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90" yWindow="660" windowWidth="21630" windowHeight="9480" tabRatio="912" activeTab="1"/>
  </bookViews>
  <sheets>
    <sheet name="Exhibits==&gt;" sheetId="16" r:id="rId1"/>
    <sheet name="Sch M-1.1" sheetId="79" r:id="rId2"/>
    <sheet name="Sch M-1.2" sheetId="60" r:id="rId3"/>
    <sheet name="Sch M-1.3-pg 1" sheetId="73" r:id="rId4"/>
    <sheet name="Sch M-1.3 pgs 2-13" sheetId="19" r:id="rId5"/>
    <sheet name="Sch M-1.3 pgs 14-19" sheetId="27" r:id="rId6"/>
    <sheet name="Data==&gt;" sheetId="15" r:id="rId7"/>
    <sheet name="12MonResults" sheetId="4" r:id="rId8"/>
    <sheet name="12MonLights" sheetId="28" r:id="rId9"/>
    <sheet name="12MonPoles" sheetId="29" r:id="rId10"/>
    <sheet name="Sources ==&gt;" sheetId="20" r:id="rId11"/>
    <sheet name="Rates" sheetId="2" r:id="rId12"/>
    <sheet name="LightingRates" sheetId="30" r:id="rId13"/>
    <sheet name="PoleRates" sheetId="31" r:id="rId14"/>
    <sheet name="1022" sheetId="1" r:id="rId15"/>
    <sheet name="1051" sheetId="6" r:id="rId16"/>
    <sheet name="1055" sheetId="7" r:id="rId17"/>
    <sheet name="SBR" sheetId="34" r:id="rId18"/>
    <sheet name="MiscData" sheetId="3" r:id="rId19"/>
    <sheet name="ECR in Base Rates" sheetId="61" r:id="rId20"/>
  </sheets>
  <externalReferences>
    <externalReference r:id="rId21"/>
  </externalReferences>
  <definedNames>
    <definedName name="\\" localSheetId="1" hidden="1">#REF!</definedName>
    <definedName name="\\" localSheetId="3" hidden="1">#REF!</definedName>
    <definedName name="\\" hidden="1">#REF!</definedName>
    <definedName name="\\\" localSheetId="1" hidden="1">#REF!</definedName>
    <definedName name="\\\" localSheetId="3" hidden="1">#REF!</definedName>
    <definedName name="\\\" hidden="1">#REF!</definedName>
    <definedName name="\\\\" localSheetId="1" hidden="1">#REF!</definedName>
    <definedName name="\\\\" hidden="1">#REF!</definedName>
    <definedName name="__123Graph_A" hidden="1">#REF!</definedName>
    <definedName name="__123Graph_B" hidden="1">#REF!</definedName>
    <definedName name="__123Graph_C" hidden="1">#REF!</definedName>
    <definedName name="__123Graph_D" hidden="1">#REF!</definedName>
    <definedName name="__123Graph_E" hidden="1">#REF!</definedName>
    <definedName name="__123Graph_F" hidden="1">#REF!</definedName>
    <definedName name="__123Graph_X" hidden="1">#REF!</definedName>
    <definedName name="_1022_Count">'[1]1022'!$D$3:$D$530</definedName>
    <definedName name="_1022_Demand_Base">'[1]1022'!$I$3:$I$530</definedName>
    <definedName name="_1022_Demand_Intermediate">'[1]1022'!$J$3:$J$530</definedName>
    <definedName name="_1022_Demand_Peak">'[1]1022'!$K$3:$K$530</definedName>
    <definedName name="_1022_KWH">'[1]1022'!$H$3:$H$530</definedName>
    <definedName name="_1022_KWH_P1">'[1]1022'!$E$3:$E$530</definedName>
    <definedName name="_1022_KWH_P2">'[1]1022'!$F$3:$F$530</definedName>
    <definedName name="_1022_KWH_P3">'[1]1022'!$G$3:$G$530</definedName>
    <definedName name="_1022_Measured_KVA_Base">'[1]1022'!$O$3:$O$530</definedName>
    <definedName name="_1022_Measured_KVA_Inter">'[1]1022'!$P$3:$P$530</definedName>
    <definedName name="_1022_Measured_KVA_Peak">'[1]1022'!$Q$3:$Q$530</definedName>
    <definedName name="_1022_Power_Factor_Revenue">'[1]1022'!$S$3:$S$530</definedName>
    <definedName name="_1022_RateCategory">'[1]1022'!$C$3:$C$530</definedName>
    <definedName name="_1022_RevenueMonth">'[1]1022'!$B$3:$B$530</definedName>
    <definedName name="_1055_Light_Count">'[1]1055'!$E$3:$E$1126</definedName>
    <definedName name="_1055_RateCategory">'[1]1055'!$C$3:$C$1126</definedName>
    <definedName name="_1055_RevMonth">'[1]1055'!$A$3:$A$1126</definedName>
    <definedName name="_12MonLights_Base_Fuel_Revenue">'[1]12MonLights'!$Y$2:$Y$1069</definedName>
    <definedName name="_12MonLights_Count">'[1]12MonLights'!$E$2:$E$1069</definedName>
    <definedName name="_12MonLights_Count_Adj">'[1]12MonLights'!$F$2:$F$1069</definedName>
    <definedName name="_12MonLights_ECR">'[1]12MonLights'!$S$2:$S$1069</definedName>
    <definedName name="_12MonLights_FAC">'[1]12MonLights'!$Q$2:$Q$1069</definedName>
    <definedName name="_12MonLights_KWH">'[1]12MonLights'!$G$2:$G$1069</definedName>
    <definedName name="_12MonLights_KWH_OutOfPeriod">'[1]12MonLights'!$H$2:$H$1069</definedName>
    <definedName name="_12MonLights_RateCategory">'[1]12MonLights'!$D$2:$D$1069</definedName>
    <definedName name="_12MonLights_RateClass">'[1]12MonLights'!$C$2:$C$1069</definedName>
    <definedName name="_12MonLights_Revenue_Actual">'[1]12MonLights'!$O$2:$O$1069</definedName>
    <definedName name="_12MonLights_Revenue_Adj">'[1]12MonLights'!$L$2:$L$1069</definedName>
    <definedName name="_12MonLights_Revenue_Calculated">'[1]12MonLights'!$N$2:$N$1069</definedName>
    <definedName name="_12MonLights_Revenue_FAC">'[1]12MonLights'!$Q$2:$Q$1069</definedName>
    <definedName name="_12MonLights_RevMonth">'[1]12MonLights'!$B$2:$B$1069</definedName>
    <definedName name="_12MonLights_TariffRateCategory">'[1]12MonLights'!$AE$2:$AE$1069</definedName>
    <definedName name="_12MonLights_TotalRevenue">'[1]12MonLights'!$U$2:$U$1069</definedName>
    <definedName name="_12MonResults_CustomerCount">'[1]12MonResults'!$F$4:$F$471</definedName>
    <definedName name="_12MonResults_CustomerCount_Adj">'[1]12MonResults'!$G$4:$G$471</definedName>
    <definedName name="_12MonResults_Demand_Measured_kW_B">'[1]12MonResults'!$M$4:$M$471</definedName>
    <definedName name="_12MonResults_Demand_Measured_kW_I">'[1]12MonResults'!$N$4:$N$471</definedName>
    <definedName name="_12MonResults_Demand_Measured_kW_P">'[1]12MonResults'!$O$4:$O$471</definedName>
    <definedName name="_12MonResults_Demand_Minimum_B">'[1]12MonResults'!$S$4:$S$471</definedName>
    <definedName name="_12MonResults_Demand_Minimum_I">'[1]12MonResults'!$T$4:$T$471</definedName>
    <definedName name="_12MonResults_Demand_Minimum_P">'[1]12MonResults'!$U$4:$U$471</definedName>
    <definedName name="_12MonResults_Demand_OutOfPeriod_B">'[1]12MonResults'!$V$4:$V$471</definedName>
    <definedName name="_12MonResults_Demand_OutOfPeriod_I">'[1]12MonResults'!$W$4:$W$471</definedName>
    <definedName name="_12MonResults_Demand_OutOfPeriod_P">'[1]12MonResults'!$X$4:$X$471</definedName>
    <definedName name="_12MonResults_KWH_OutOfPeriod">'[1]12MonResults'!$L$4:$L$471</definedName>
    <definedName name="_12MonResults_KWH_P1">'[1]12MonResults'!$H$4:$H$471</definedName>
    <definedName name="_12MonResults_KWH_P2">'[1]12MonResults'!$I$4:$I$471</definedName>
    <definedName name="_12MonResults_KWH_P3">'[1]12MonResults'!$J$4:$J$471</definedName>
    <definedName name="_12MonResults_KWH_Total">'[1]12MonResults'!$K$4:$K$471</definedName>
    <definedName name="_12MonResults_Period">'[1]12MonResults'!$BI$4:$BI$471</definedName>
    <definedName name="_12MonResults_Rate">'[1]12MonResults'!$C$4:$C$471</definedName>
    <definedName name="_12MonResults_RateCategory">'[1]12MonResults'!$E$4:$E$471</definedName>
    <definedName name="_12MonResults_RateClass">'[1]12MonResults'!$D$4:$D$471</definedName>
    <definedName name="_12MonResults_Revenue_Actual">'[1]12MonResults'!$AW$4:$AW$471</definedName>
    <definedName name="_12MonResults_Revenue_Adj_BSC">'[1]12MonResults'!$AP$4:$AP$471</definedName>
    <definedName name="_12MonResults_Revenue_Adj_Demand">'[1]12MonResults'!$AR$4:$AR$471</definedName>
    <definedName name="_12MonResults_Revenue_Adj_Energy">'[1]12MonResults'!$AQ$4:$AQ$471</definedName>
    <definedName name="_12MonResults_Revenue_BaseFuel">'[1]12MonResults'!$BG$4:$BG$471</definedName>
    <definedName name="_12MonResults_Revenue_Calculated">'[1]12MonResults'!$AV$4:$AV$471</definedName>
    <definedName name="_12MonResults_Revenue_CSR">'[1]12MonResults'!$BC$4:$BC$471</definedName>
    <definedName name="_12MonResults_Revenue_DSM">'[1]12MonResults'!$AZ$4:$AZ$471</definedName>
    <definedName name="_12MonResults_Revenue_ECR">'[1]12MonResults'!$BA$4:$BA$471</definedName>
    <definedName name="_12MonResults_Revenue_FAC">'[1]12MonResults'!$AY$4:$AY$471</definedName>
    <definedName name="_12MonResults_Revenue_Pwr_Factor">'[1]12MonResults'!$AM$4:$AM$471</definedName>
    <definedName name="_12MonResults_Revenue_Red_Cap">'[1]12MonResults'!$AL$4:$AL$471</definedName>
    <definedName name="_12MonResults_Revenue_Total">'[1]12MonResults'!$BD$4:$BD$471</definedName>
    <definedName name="_12MonResults_RevMonth">'[1]12MonResults'!$B$4:$B$471</definedName>
    <definedName name="_13Month_Base_ECR_Total">#REF!</definedName>
    <definedName name="_13Month_Count">#REF!</definedName>
    <definedName name="_13Month_Count_Adj">#REF!</definedName>
    <definedName name="_13Month_Energy">#REF!</definedName>
    <definedName name="_13Month_FAC">#REF!</definedName>
    <definedName name="_13Month_RateCategory">#REF!</definedName>
    <definedName name="_13Month_RateClass">#REF!</definedName>
    <definedName name="_13Month_Revenue_Actual">#REF!</definedName>
    <definedName name="_13thMonth_FAC_Current">#REF!</definedName>
    <definedName name="_13thMonth_Revenue_Current">#REF!</definedName>
    <definedName name="_BaseECR_Base_ECR_RateClass">#REF!</definedName>
    <definedName name="_BaseECR_Base_ECR_Revenue">#REF!</definedName>
    <definedName name="_BaseECRLights_RateClass">#REF!</definedName>
    <definedName name="_BaseECRLights_Revenue">#REF!</definedName>
    <definedName name="_ECR_BaseRevenue">#REF!</definedName>
    <definedName name="_ECR_RateCategory">#REF!</definedName>
    <definedName name="_ECR_RateClass">#REF!</definedName>
    <definedName name="_ECRResults_Revenue">#REF!</definedName>
    <definedName name="_ECRResults_Revenue_Demand_Minimum">#REF!</definedName>
    <definedName name="_ECRRollinLights_BaseRevenue">#REF!</definedName>
    <definedName name="_ECRRollinLights_RateClass">#REF!</definedName>
    <definedName name="_FACLights_FAC">#REF!</definedName>
    <definedName name="_FACLights_KWH">#REF!</definedName>
    <definedName name="_FACLights_RateClass">#REF!</definedName>
    <definedName name="_FACLights_Revenue_Calculated">#REF!</definedName>
    <definedName name="_FACLights_RevMonth">#REF!</definedName>
    <definedName name="_FACResults_FAC">#REF!</definedName>
    <definedName name="_FACResults_KWH">#REF!</definedName>
    <definedName name="_FACResults_RateCategory">#REF!</definedName>
    <definedName name="_FACResults_RateClass">#REF!</definedName>
    <definedName name="_FACResults_Revenue_Calculated">#REF!</definedName>
    <definedName name="_FACResults_Revenue_Demand_Minimum">#REF!</definedName>
    <definedName name="_FACResults_RevMonth3">#REF!</definedName>
    <definedName name="_Fill" localSheetId="3" hidden="1">#REF!</definedName>
    <definedName name="_Fill" hidden="1">#REF!</definedName>
    <definedName name="_xlnm._FilterDatabase" localSheetId="14" hidden="1">'1022'!$A$1:$O$417</definedName>
    <definedName name="_xlnm._FilterDatabase" localSheetId="15" hidden="1">'1051'!$A$1:$J$308</definedName>
    <definedName name="_xlnm._FilterDatabase" localSheetId="16" hidden="1">'1055'!$O$646:$O$715</definedName>
    <definedName name="_xlnm._FilterDatabase" localSheetId="8" hidden="1">'12MonLights'!$A$3:$AL$879</definedName>
    <definedName name="_xlnm._FilterDatabase" localSheetId="9" hidden="1">'12MonPoles'!$A$1:$AE$289</definedName>
    <definedName name="_xlnm._FilterDatabase" localSheetId="7" hidden="1">'12MonResults'!$A$3:$BF$459</definedName>
    <definedName name="_xlnm._FilterDatabase" localSheetId="19" hidden="1">'ECR in Base Rates'!$B$66:$B$140</definedName>
    <definedName name="_xlnm._FilterDatabase" localSheetId="12" hidden="1">LightingRates!$A$2:$J$1446</definedName>
    <definedName name="_xlnm._FilterDatabase" localSheetId="13" hidden="1">PoleRates!$A$2:$W$56</definedName>
    <definedName name="_xlnm._FilterDatabase" localSheetId="11" hidden="1">Rates!$A$2:$T$278</definedName>
    <definedName name="_xlnm._FilterDatabase" localSheetId="17" hidden="1">SBR!$A$1:$U$1382</definedName>
    <definedName name="_xlnm._FilterDatabase" localSheetId="5" hidden="1">'Sch M-1.3 pgs 14-19'!$B$10:$B$226</definedName>
    <definedName name="_xlnm._FilterDatabase" localSheetId="4" hidden="1">'Sch M-1.3 pgs 2-13'!$Z$10:$Z$178</definedName>
    <definedName name="_Lights_Rates">'[1]Rates-Lights'!$E$4:$E$660</definedName>
    <definedName name="_Lights_Tariff_Category">'[1]Rates-Lights'!$D$4:$D$660</definedName>
    <definedName name="_Order1" hidden="1">0</definedName>
    <definedName name="_Order2" hidden="1">0</definedName>
    <definedName name="_Rates_BasicServiceCharge">[1]Rates!$F$4:$F$212</definedName>
    <definedName name="_Rates_Demand_Base">[1]Rates!$O$4:$O$212</definedName>
    <definedName name="_Rates_Demand_Intermediate">[1]Rates!$P$4:$P$212</definedName>
    <definedName name="_Rates_Demand_Peak">[1]Rates!$Q$4:$Q$212</definedName>
    <definedName name="_Rates_Energy">[1]Rates!$G$4:$G$212</definedName>
    <definedName name="_Rates_Energy_P2">[1]Rates!$H$4:$H$212</definedName>
    <definedName name="_Rates_Energy_P3">[1]Rates!$I$4:$I$212</definedName>
    <definedName name="_Rates_FAC_Energy">[1]Rates!$K$4:$K$212</definedName>
    <definedName name="_Rates_Lights_BaseFAC">'[1]Rates-Lights'!$H$4:$H$660</definedName>
    <definedName name="_Rates_Lights_ECR">'[1]Rates-Lights'!$G$4:$G$660</definedName>
    <definedName name="_Rates_Tariff_Category">[1]Rates!$E$4:$E$212</definedName>
    <definedName name="_SBR_BSC_Revenue">[1]SBR!$F$3:$F$1707</definedName>
    <definedName name="_SBR_CSR">[1]SBR!$P$3:$P$1707</definedName>
    <definedName name="_SBR_Demand_Revenue">[1]SBR!$T$3:$T$1707</definedName>
    <definedName name="_SBR_DSM">[1]SBR!$L$3:$L$1707</definedName>
    <definedName name="_SBR_ECR">[1]SBR!$U$3:$U$1707</definedName>
    <definedName name="_SBR_Energy_Revenue">[1]SBR!$S$3:$S$1707</definedName>
    <definedName name="_SBR_FAC">[1]SBR!$M$3:$M$1707</definedName>
    <definedName name="_SBR_KWH">[1]SBR!$E$3:$E$1707</definedName>
    <definedName name="_SBR_MSR">[1]SBR!$Q$3:$Q$1707</definedName>
    <definedName name="_SBR_Rate_Category">[1]SBR!$B$3:$B$1707</definedName>
    <definedName name="_SBR_Revenue_Actual">[1]SBR!$R$3:$R$1707</definedName>
    <definedName name="_SBR_Revenue_Month">[1]SBR!$A$3:$A$1707</definedName>
    <definedName name="L_1022_Count">'1022'!$D$3:$D$417</definedName>
    <definedName name="L_1022_Demand_Base">'1022'!$I$3:$I$417</definedName>
    <definedName name="L_1022_Demand_Base_Measured">'1022'!$O$3:$O$417</definedName>
    <definedName name="L_1022_Demand_Inter">'1022'!$J$3:$J$417</definedName>
    <definedName name="L_1022_Demand_Inter_Measured">'1022'!$P$3:$P$417</definedName>
    <definedName name="L_1022_Demand_OnPeak_Measured">'1022'!$R$3:$R$417</definedName>
    <definedName name="L_1022_Demand_Peak">'1022'!$K$3:$K$417</definedName>
    <definedName name="L_1022_Demand_Peak_Measured">'1022'!$Q$3:$Q$417</definedName>
    <definedName name="L_1022_Demand_Pwr_Fctr">'1022'!$N$3:$N$417</definedName>
    <definedName name="L_1022_KWH_P1">'1022'!$E$3:$E$417</definedName>
    <definedName name="L_1022_KWH_P2">'1022'!$F$3:$F$417</definedName>
    <definedName name="L_1022_KWH_P3">'1022'!$G$3:$G$417</definedName>
    <definedName name="L_1022_KWH_Total">'1022'!$H$3:$H$417</definedName>
    <definedName name="L_1022_Rate_Category">'1022'!$C$3:$C$417</definedName>
    <definedName name="L_1022_Revenue_Month">'1022'!$B$3:$B$417</definedName>
    <definedName name="L_1022_Revenue_Power_Factor">'1022'!$S$3:$S$417</definedName>
    <definedName name="L_1051_Count_Total">'1051'!$J$3:$J$307</definedName>
    <definedName name="L_1051_Light_Category">'1051'!$B$3:$B$307</definedName>
    <definedName name="L_1051_RateCategory">'1051'!$C$3:$C$307</definedName>
    <definedName name="L_1051_Revenue_Month">'1051'!$A$3:$A$307</definedName>
    <definedName name="L_1051_Revenue_Test_Period">'1051'!$K$3:$K$307</definedName>
    <definedName name="L_1051_Revenue_Total">'1051'!$I$3:$I$307</definedName>
    <definedName name="L_1055_Count_OutOfPeriod">'1055'!$O$3:$O$908</definedName>
    <definedName name="L_1055_Count_Test_Period">'1055'!$J$3:$J$909</definedName>
    <definedName name="L_1055_Count_Total">'1055'!$E$3:$E$908</definedName>
    <definedName name="L_1055_KWH_OutOfPeriod">'1055'!$P$3:$P$911</definedName>
    <definedName name="L_1055_KWH_Test_Period">'1055'!$K$3:$K$909</definedName>
    <definedName name="L_1055_KWH_Total">'1055'!$F$3:$F$908</definedName>
    <definedName name="L_1055_RateCategory">'1055'!$C$3:$C$908</definedName>
    <definedName name="L_1055_Revenue_Month">'1055'!$A$3:$A$908</definedName>
    <definedName name="L_1055_Revenue_OutOfPeriod">'1055'!$Q$3:$Q$908</definedName>
    <definedName name="L_1055_Revenue_Pole_Total">'1055'!$H$3:$H$908</definedName>
    <definedName name="L_1055_Revenue_Poles_Test_Period">'1055'!$N$3:$N$908</definedName>
    <definedName name="L_1055_Revenue_SBR">'1055'!$R$3:$R$908</definedName>
    <definedName name="L_1055_Revenue_Test_Period_Adj">'1055'!$M$3:$M$908</definedName>
    <definedName name="L_1055_Revenue_Test_Period_Base">'1055'!$L$3:$L$908</definedName>
    <definedName name="L_1055_Revenue_Total_Adj">'1055'!$I$3:$I$908</definedName>
    <definedName name="L_1055_Revenue_Total_Base">'1055'!$G$3:$G$908</definedName>
    <definedName name="L_12MonLights_Count_OutOfPeriod">'12MonLights'!$F$4:$F$879</definedName>
    <definedName name="L_12MonLights_Count_Total">'12MonLights'!$E$4:$E$879</definedName>
    <definedName name="L_12MonLights_ECR">'12MonLights'!$R$4:$R$879</definedName>
    <definedName name="L_12MonLights_FAC">'12MonLights'!$Q$4:$Q$879</definedName>
    <definedName name="L_12MonLights_KWH_OutOfPeriod">'12MonLights'!$H$4:$H$879</definedName>
    <definedName name="L_12MonLights_KWH_Total">'12MonLights'!$G$4:$G$879</definedName>
    <definedName name="L_12MonLights_MSC">'12MonLights'!$S$4:$S$879</definedName>
    <definedName name="L_12MonLights_RateCategory">'12MonLights'!$D$4:$D$879</definedName>
    <definedName name="L_12MonLights_RateClass">'12MonLights'!$C$4:$C$879</definedName>
    <definedName name="L_12MonLights_Revenue_Adj">'12MonPoles'!$I$2:$I$289</definedName>
    <definedName name="L_12MonLights_Revenue_Adj_Test_Period">'12MonLights'!$L$4:$L$879</definedName>
    <definedName name="L_12MonLights_Revenue_Month">'12MonLights'!$B$4:$B$879</definedName>
    <definedName name="L_12MonLights_Revenue_OutOfPeriod">'12MonLights'!$M$4:$M$879</definedName>
    <definedName name="L_12MonLights_Revenue_Test_Period">'12MonLights'!$K$4:$K$879</definedName>
    <definedName name="L_12MonLights_Revenue_Total_Base">'12MonLights'!$O$4:$O$879</definedName>
    <definedName name="L_12MonLights_Revenue_Total_Calc">'12MonLights'!$N$4:$N$879</definedName>
    <definedName name="L_12MonLights_SBR">'12MonLights'!$T$4:$T$879</definedName>
    <definedName name="L_12MonLightsTariffRateCategory">'12MonLights'!$AD$4:$AD$879</definedName>
    <definedName name="L_12MonLightsTariffRateClass">'12MonLights'!$AE$4:$AE$879</definedName>
    <definedName name="L_12MonPoles_Count">'12MonPoles'!$E$2:$E$289</definedName>
    <definedName name="L_12MonPoles_Count_Adj">'12MonPoles'!$F$2:$F$289</definedName>
    <definedName name="L_12MonPoles_RateCategory">'12MonPoles'!$D$2:$D$289</definedName>
    <definedName name="L_12MonPoles_RateClass">'12MonPoles'!$C$2:$C$289</definedName>
    <definedName name="L_12MonPoles_Revenue_Actual">'12MonPoles'!$K$2:$K$289</definedName>
    <definedName name="L_12MonPoles_Revenue_Adj">'12MonPoles'!$I$2:$I$289</definedName>
    <definedName name="L_12MonPoles_Revenue_Base">'12MonPoles'!$H$2:$H$289</definedName>
    <definedName name="L_12MonPoles_Revenue_Month">'12MonPoles'!$B$2:$B$289</definedName>
    <definedName name="L_12MonPoles_Revenue_Total_Calc">'12MonPoles'!$J$2:$J$289</definedName>
    <definedName name="L_12MonPoles_TariffRateCategory">'12MonPoles'!$W$2:$W$289</definedName>
    <definedName name="L_12MonResults_Contract_Cnt">'12MonResults'!$E$4:$E$459</definedName>
    <definedName name="L_12MonResults_Contract_Cnt_Adj">'12MonResults'!$F$4:$F$459</definedName>
    <definedName name="L_12MonResults_Demand_Measured_Base">'12MonResults'!$L$4:$L$459</definedName>
    <definedName name="L_12MonResults_Demand_Measured_Inter">'12MonResults'!$M$4:$M$459</definedName>
    <definedName name="L_12MonResults_Demand_Measured_Peak">'12MonResults'!$N$4:$N$459</definedName>
    <definedName name="L_12MonResults_Demand_Minimum_Base">'12MonResults'!$O$4:$O$459</definedName>
    <definedName name="L_12MonResults_Demand_Minimum_Inter">'12MonResults'!$P$4:$P$459</definedName>
    <definedName name="L_12MonResults_Demand_Minimum_Peak">'12MonResults'!$Q$4:$Q$459</definedName>
    <definedName name="L_12MonResults_KWH_OutOfPeriod">'12MonResults'!$K$4:$K$459</definedName>
    <definedName name="L_12MonResults_KWH_P1">'12MonResults'!$G$4:$G$459</definedName>
    <definedName name="L_12MonResults_KWH_P2">'12MonResults'!$H$4:$H$459</definedName>
    <definedName name="L_12MonResults_KWH_P3">'12MonResults'!$I$4:$I$459</definedName>
    <definedName name="L_12MonResults_KWH_Total">'12MonResults'!$J$4:$J$459</definedName>
    <definedName name="L_12MonResults_RateCategory">'12MonResults'!$D$4:$D$459</definedName>
    <definedName name="L_12MonResults_RateClass">'12MonResults'!$C$4:$C$459</definedName>
    <definedName name="L_12MonResults_Revenue_Actual_Base">'12MonResults'!$AM$4:$AM$459</definedName>
    <definedName name="L_12MonResults_Revenue_Base_Calculated">'12MonResults'!$AL$4:$AL$459</definedName>
    <definedName name="L_12MonResults_Revenue_Base_Fuel">'12MonResults'!$AW$4:$AW$459</definedName>
    <definedName name="L_12MonResults_Revenue_BSC">'12MonResults'!$Z$4:$Z$459</definedName>
    <definedName name="L_12MonResults_Revenue_CSR">'12MonResults'!$AS$4:$AS$459</definedName>
    <definedName name="L_12MonResults_Revenue_Customer_Adj">'12MonResults'!$AI$4:$AI$459</definedName>
    <definedName name="L_12MonResults_Revenue_Demand_Adj">'12MonResults'!$AK$4:$AK$459</definedName>
    <definedName name="L_12MonResults_Revenue_Demand_Base">'12MonResults'!$AB$4:$AB$459</definedName>
    <definedName name="L_12MonResults_Revenue_Demand_Inter">'12MonResults'!$AC$4:$AC$459</definedName>
    <definedName name="L_12MonResults_Revenue_Demand_Minimum">'12MonResults'!$AG$4:$AG$459</definedName>
    <definedName name="L_12MonResults_Revenue_Demand_Peak">'12MonResults'!$AD$4:$AD$459</definedName>
    <definedName name="L_12MonResults_Revenue_Demand_Total">'12MonResults'!$AH$4:$AH$459</definedName>
    <definedName name="L_12MonResults_Revenue_DSM">'12MonResults'!$AP$4:$AP$459</definedName>
    <definedName name="L_12MonResults_Revenue_ECR">'12MonResults'!$AQ$4:$AQ$459</definedName>
    <definedName name="L_12MonResults_Revenue_Energy">'12MonResults'!$AA$4:$AA$459</definedName>
    <definedName name="L_12MonResults_Revenue_Energy_Adj">'12MonResults'!$AJ$4:$AJ$459</definedName>
    <definedName name="L_12MonResults_Revenue_Energy_NonFuel">'12MonResults'!$AX$4:$AX$459</definedName>
    <definedName name="L_12MonResults_Revenue_FAC">'12MonResults'!$AO$4:$AO$459</definedName>
    <definedName name="L_12MonResults_Revenue_Month">'12MonResults'!$B$4:$B$459</definedName>
    <definedName name="L_12MonResults_Revenue_MSC">'12MonResults'!$AR$4:$AR$459</definedName>
    <definedName name="L_12MonResults_Revenue_PwrFctr">'12MonResults'!$AF$4:$AF$459</definedName>
    <definedName name="L_12MonResults_Revenue_Red_Cap">'12MonResults'!$AE$4:$AE$459</definedName>
    <definedName name="L_12MonResults_Revenue_Total">'12MonResults'!$AT$4:$AT$459</definedName>
    <definedName name="L_12MonResults_TariffRateCategory">'12MonResults'!$BD$4:$BD$459</definedName>
    <definedName name="L_12MonResults_TariffRateClass">'12MonResults'!$BE$4:$BE$459</definedName>
    <definedName name="L_12MonthLights_3_Digit_Code">'12MonLights'!$AF$4:$AF$879</definedName>
    <definedName name="L_LightingRates_ECR_Rate">LightingRates!$G$4:$G$1446</definedName>
    <definedName name="L_LightingRates_FAC_Rate">LightingRates!$H$4:$H$1446</definedName>
    <definedName name="L_LightingRates_Tariff_Rate_Category">LightingRates!$E$4:$E$1446</definedName>
    <definedName name="L_LightingRates_UnitCharge">LightingRates!$F$4:$F$1446</definedName>
    <definedName name="L_LightsRates_TariffRateCategory">LightingRates!$E$4:$E$1446</definedName>
    <definedName name="L_Rates_BSC">Rates!$F$4:$F$278</definedName>
    <definedName name="L_Rates_Demand_Base">Rates!$Q$4:$Q$278</definedName>
    <definedName name="L_Rates_Demand_ECR">Rates!$U$4:$U$278</definedName>
    <definedName name="L_Rates_Demand_Intermediate">Rates!$R$4:$R$278</definedName>
    <definedName name="L_Rates_Demand_Peak">Rates!$S$4:$S$278</definedName>
    <definedName name="L_Rates_Energy">Rates!$G$4:$G$278</definedName>
    <definedName name="L_Rates_Energy_Base_Fuel">Rates!$L$4:$L$278</definedName>
    <definedName name="L_Rates_Energy_ECR">Rates!$K$4:$K$278</definedName>
    <definedName name="L_Rates_Energy_P2">Rates!$H$4:$H$278</definedName>
    <definedName name="L_Rates_Energy_P3">Rates!$I$4:$I$278</definedName>
    <definedName name="L_Rates_Tariff_Rate_Category">Rates!$E$4:$E$278</definedName>
    <definedName name="L_Rates_TariffRateClass">Rates!$C$4:$C$278</definedName>
    <definedName name="L_SBR_Base_Revenue">SBR!$Z$2:$Z$1667</definedName>
    <definedName name="L_SBR_BaseECR_Demand">SBR!$J$2:$J$1667</definedName>
    <definedName name="L_SBR_BaseECR_Energy">SBR!$I$2:$I$1167</definedName>
    <definedName name="L_SBR_BSC_Revenue">SBR!$F$2:$F$1667</definedName>
    <definedName name="L_SBR_CSR">SBR!$P$2:$P$1667</definedName>
    <definedName name="L_SBR_Demand_Revenue">SBR!$T$2:$T$1667</definedName>
    <definedName name="L_SBR_DSM">SBR!$L$2:$L$1667</definedName>
    <definedName name="L_SBR_ECR">SBR!$U$2:$U$1667</definedName>
    <definedName name="L_SBR_Energy_Revenue">SBR!$S$2:$S$1667</definedName>
    <definedName name="L_SBR_FAC">SBR!$M$2:$M$1667</definedName>
    <definedName name="L_SBR_KWH">SBR!$E$2:$E$1667</definedName>
    <definedName name="L_SBR_MSR">SBR!$Q$2:$Q$1667</definedName>
    <definedName name="L_SBR_Rate_Category">SBR!$B$2:$B$1667</definedName>
    <definedName name="L_SBR_RateClass">SBR!$D$2:$D$1667</definedName>
    <definedName name="L_SBR_Revenue_Month">SBR!$A$2:$A$1667</definedName>
    <definedName name="L_SBR_Revenue_Total">SBR!$R$2:$R$1667</definedName>
    <definedName name="_xlnm.Print_Area" localSheetId="19">'ECR in Base Rates'!$A$4:$G$142</definedName>
    <definedName name="_xlnm.Print_Area" localSheetId="2">'Sch M-1.2'!$A$1:$H$37</definedName>
    <definedName name="_xlnm.Print_Area" localSheetId="5">'Sch M-1.3 pgs 14-19'!$A$1:$F$224</definedName>
    <definedName name="_xlnm.Print_Area" localSheetId="4">'Sch M-1.3 pgs 2-13'!$A$1:$I$415</definedName>
    <definedName name="_xlnm.Print_Area" localSheetId="3">'Sch M-1.3-pg 1'!$A$1:$J$58</definedName>
    <definedName name="_xlnm.Print_Titles" localSheetId="19">'ECR in Base Rates'!$1:$3</definedName>
    <definedName name="_xlnm.Print_Titles" localSheetId="3">'Sch M-1.3-pg 1'!$A:$A,'Sch M-1.3-pg 1'!$1:$8</definedName>
    <definedName name="wrn.Wkp._.Capital._.Structure." localSheetId="1"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3"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omEquity." localSheetId="1" hidden="1">{"Wkp ComEquity",#N/A,FALSE,"Cap Struct WPs"}</definedName>
    <definedName name="wrn.Wkp._.ComEquity." localSheetId="3" hidden="1">{"Wkp ComEquity",#N/A,FALSE,"Cap Struct WPs"}</definedName>
    <definedName name="wrn.Wkp._.ComEquity." hidden="1">{"Wkp ComEquity",#N/A,FALSE,"Cap Struct WPs"}</definedName>
    <definedName name="wrn.Wkp._.JDITC." localSheetId="1" hidden="1">{"Wkp JDITC",#N/A,FALSE,"Cap Struct WPs"}</definedName>
    <definedName name="wrn.Wkp._.JDITC." localSheetId="3" hidden="1">{"Wkp JDITC",#N/A,FALSE,"Cap Struct WPs"}</definedName>
    <definedName name="wrn.Wkp._.JDITC." hidden="1">{"Wkp JDITC",#N/A,FALSE,"Cap Struct WPs"}</definedName>
    <definedName name="wrn.Wkp._.LTerm._.Debt." localSheetId="1" hidden="1">{"Wkp LTerm Debt",#N/A,FALSE,"Cap Struct WPs"}</definedName>
    <definedName name="wrn.Wkp._.LTerm._.Debt." localSheetId="3" hidden="1">{"Wkp LTerm Debt",#N/A,FALSE,"Cap Struct WPs"}</definedName>
    <definedName name="wrn.Wkp._.LTerm._.Debt." hidden="1">{"Wkp LTerm Debt",#N/A,FALSE,"Cap Struct WPs"}</definedName>
    <definedName name="wrn.Wkp._.LTerm._.Debt._.13Mo._.Avg." localSheetId="1" hidden="1">{"Wkp LTerm Debt 13MoAvg",#N/A,FALSE,"Cap Struct WPs"}</definedName>
    <definedName name="wrn.Wkp._.LTerm._.Debt._.13Mo._.Avg." localSheetId="3" hidden="1">{"Wkp LTerm Debt 13MoAvg",#N/A,FALSE,"Cap Struct WPs"}</definedName>
    <definedName name="wrn.Wkp._.LTerm._.Debt._.13Mo._.Avg." hidden="1">{"Wkp LTerm Debt 13MoAvg",#N/A,FALSE,"Cap Struct WPs"}</definedName>
    <definedName name="wrn.Wkp._.LTerm._.Debt._.Amort." localSheetId="1" hidden="1">{"Wkp Lterm Debt Amort",#N/A,FALSE,"Cap Struct WPs"}</definedName>
    <definedName name="wrn.Wkp._.LTerm._.Debt._.Amort." localSheetId="3" hidden="1">{"Wkp Lterm Debt Amort",#N/A,FALSE,"Cap Struct WPs"}</definedName>
    <definedName name="wrn.Wkp._.LTerm._.Debt._.Amort." hidden="1">{"Wkp Lterm Debt Amort",#N/A,FALSE,"Cap Struct WPs"}</definedName>
    <definedName name="wrn.Wkp._.LTerm._.Debt._.Int." localSheetId="1" hidden="1">{"Wkp LTerm Debt Int",#N/A,FALSE,"Cap Struct WPs"}</definedName>
    <definedName name="wrn.Wkp._.LTerm._.Debt._.Int." localSheetId="3" hidden="1">{"Wkp LTerm Debt Int",#N/A,FALSE,"Cap Struct WPs"}</definedName>
    <definedName name="wrn.Wkp._.LTerm._.Debt._.Int." hidden="1">{"Wkp LTerm Debt Int",#N/A,FALSE,"Cap Struct WPs"}</definedName>
    <definedName name="wrn.Wkp._.PreStock." localSheetId="1" hidden="1">{"Wkp PreStock",#N/A,FALSE,"Cap Struct WPs"}</definedName>
    <definedName name="wrn.Wkp._.PreStock." localSheetId="3" hidden="1">{"Wkp PreStock",#N/A,FALSE,"Cap Struct WPs"}</definedName>
    <definedName name="wrn.Wkp._.PreStock." hidden="1">{"Wkp PreStock",#N/A,FALSE,"Cap Struct WPs"}</definedName>
    <definedName name="wrn.Wkp._.PreStock._.13MoAvg." localSheetId="1" hidden="1">{"Wkp PreStock 13MoAvg",#N/A,FALSE,"Cap Struct WPs"}</definedName>
    <definedName name="wrn.Wkp._.PreStock._.13MoAvg." localSheetId="3" hidden="1">{"Wkp PreStock 13MoAvg",#N/A,FALSE,"Cap Struct WPs"}</definedName>
    <definedName name="wrn.Wkp._.PreStock._.13MoAvg." hidden="1">{"Wkp PreStock 13MoAvg",#N/A,FALSE,"Cap Struct WPs"}</definedName>
    <definedName name="wrn.Wkp._.PreStock._.Amort." localSheetId="1" hidden="1">{"Wkp PreStock Amort",#N/A,FALSE,"Cap Struct WPs"}</definedName>
    <definedName name="wrn.Wkp._.PreStock._.Amort." localSheetId="3" hidden="1">{"Wkp PreStock Amort",#N/A,FALSE,"Cap Struct WPs"}</definedName>
    <definedName name="wrn.Wkp._.PreStock._.Amort." hidden="1">{"Wkp PreStock Amort",#N/A,FALSE,"Cap Struct WPs"}</definedName>
    <definedName name="wrn.Wkp._.PreStock._.Dividend." localSheetId="1" hidden="1">{"Wkp PreStock Dividend",#N/A,FALSE,"Cap Struct WPs"}</definedName>
    <definedName name="wrn.Wkp._.PreStock._.Dividend." localSheetId="3" hidden="1">{"Wkp PreStock Dividend",#N/A,FALSE,"Cap Struct WPs"}</definedName>
    <definedName name="wrn.Wkp._.PreStock._.Dividend." hidden="1">{"Wkp PreStock Dividend",#N/A,FALSE,"Cap Struct WPs"}</definedName>
    <definedName name="wrn.Wkp._.STerm._.Debt." localSheetId="1" hidden="1">{"Wkp STerm Debt",#N/A,FALSE,"Cap Struct WPs"}</definedName>
    <definedName name="wrn.Wkp._.STerm._.Debt." localSheetId="3" hidden="1">{"Wkp STerm Debt",#N/A,FALSE,"Cap Struct WPs"}</definedName>
    <definedName name="wrn.Wkp._.STerm._.Debt." hidden="1">{"Wkp STerm Debt",#N/A,FALSE,"Cap Struct WPs"}</definedName>
    <definedName name="wrn.Wkp._.Unamort._.Debt._.Exp." localSheetId="1" hidden="1">{"Wkp Unamort Debt Exp",#N/A,FALSE,"Cap Struct WPs"}</definedName>
    <definedName name="wrn.Wkp._.Unamort._.Debt._.Exp." localSheetId="3" hidden="1">{"Wkp Unamort Debt Exp",#N/A,FALSE,"Cap Struct WPs"}</definedName>
    <definedName name="wrn.Wkp._.Unamort._.Debt._.Exp." hidden="1">{"Wkp Unamort Debt Exp",#N/A,FALSE,"Cap Struct WPs"}</definedName>
    <definedName name="wrn.Wkp._.Unamort._.PreStock._.Exp." localSheetId="1" hidden="1">{"Wkp Unamort PreStock Exp",#N/A,FALSE,"Cap Struct WPs"}</definedName>
    <definedName name="wrn.Wkp._.Unamort._.PreStock._.Exp." localSheetId="3" hidden="1">{"Wkp Unamort PreStock Exp",#N/A,FALSE,"Cap Struct WPs"}</definedName>
    <definedName name="wrn.Wkp._.Unamort._.PreStock._.Exp." hidden="1">{"Wkp Unamort PreStock Exp",#N/A,FALSE,"Cap Struct WPs"}</definedName>
  </definedNames>
  <calcPr calcId="145621" calcMode="manual"/>
</workbook>
</file>

<file path=xl/calcChain.xml><?xml version="1.0" encoding="utf-8"?>
<calcChain xmlns="http://schemas.openxmlformats.org/spreadsheetml/2006/main">
  <c r="C56" i="73" l="1"/>
  <c r="G21" i="60"/>
  <c r="E223" i="27"/>
  <c r="I58" i="73"/>
  <c r="H58" i="73"/>
  <c r="G58" i="73"/>
  <c r="F58" i="73"/>
  <c r="E58" i="73"/>
  <c r="D58" i="73"/>
  <c r="C58" i="73"/>
  <c r="C20" i="73"/>
  <c r="C21" i="27"/>
  <c r="E21" i="27" s="1"/>
  <c r="E21" i="19"/>
  <c r="E20" i="73"/>
  <c r="E21" i="60"/>
  <c r="C21" i="19"/>
  <c r="G894" i="28"/>
  <c r="G895" i="28" s="1"/>
  <c r="E35" i="60" s="1"/>
  <c r="G879" i="28"/>
  <c r="G878" i="28"/>
  <c r="G877" i="28"/>
  <c r="G876" i="28"/>
  <c r="G875" i="28"/>
  <c r="G874" i="28"/>
  <c r="G873" i="28"/>
  <c r="G872" i="28"/>
  <c r="G871" i="28"/>
  <c r="G870" i="28"/>
  <c r="G869" i="28"/>
  <c r="G868" i="28"/>
  <c r="G867" i="28"/>
  <c r="G866" i="28"/>
  <c r="G865" i="28"/>
  <c r="G864" i="28"/>
  <c r="G863" i="28"/>
  <c r="G862" i="28"/>
  <c r="G861" i="28"/>
  <c r="G860" i="28"/>
  <c r="G859" i="28"/>
  <c r="G858" i="28"/>
  <c r="G857" i="28"/>
  <c r="G856" i="28"/>
  <c r="G855" i="28"/>
  <c r="G854" i="28"/>
  <c r="G853" i="28"/>
  <c r="G852" i="28"/>
  <c r="G851" i="28"/>
  <c r="G850" i="28"/>
  <c r="G849" i="28"/>
  <c r="G848" i="28"/>
  <c r="G847" i="28"/>
  <c r="G846" i="28"/>
  <c r="G845" i="28"/>
  <c r="G844" i="28"/>
  <c r="G843" i="28"/>
  <c r="G842" i="28"/>
  <c r="G841" i="28"/>
  <c r="G840" i="28"/>
  <c r="G839" i="28"/>
  <c r="G838" i="28"/>
  <c r="G837" i="28"/>
  <c r="G836" i="28"/>
  <c r="G835" i="28"/>
  <c r="G834" i="28"/>
  <c r="G833" i="28"/>
  <c r="G832" i="28"/>
  <c r="G831" i="28"/>
  <c r="G830" i="28"/>
  <c r="G829" i="28"/>
  <c r="G828" i="28"/>
  <c r="G827" i="28"/>
  <c r="G826" i="28"/>
  <c r="G825" i="28"/>
  <c r="G824" i="28"/>
  <c r="G823" i="28"/>
  <c r="G822" i="28"/>
  <c r="G821" i="28"/>
  <c r="G820" i="28"/>
  <c r="G819" i="28"/>
  <c r="G818" i="28"/>
  <c r="G817" i="28"/>
  <c r="G816" i="28"/>
  <c r="G815" i="28"/>
  <c r="G814" i="28"/>
  <c r="G813" i="28"/>
  <c r="G812" i="28"/>
  <c r="G811" i="28"/>
  <c r="G810" i="28"/>
  <c r="G809" i="28"/>
  <c r="G808" i="28"/>
  <c r="G807" i="28"/>
  <c r="G806" i="28"/>
  <c r="G805" i="28"/>
  <c r="G804" i="28"/>
  <c r="G803" i="28"/>
  <c r="G802" i="28"/>
  <c r="G801" i="28"/>
  <c r="G800" i="28"/>
  <c r="G799" i="28"/>
  <c r="G798" i="28"/>
  <c r="G797" i="28"/>
  <c r="G796" i="28"/>
  <c r="G795" i="28"/>
  <c r="G794" i="28"/>
  <c r="G793" i="28"/>
  <c r="G792" i="28"/>
  <c r="G791" i="28"/>
  <c r="G790" i="28"/>
  <c r="G789" i="28"/>
  <c r="G788" i="28"/>
  <c r="G787" i="28"/>
  <c r="G786" i="28"/>
  <c r="G785" i="28"/>
  <c r="G784" i="28"/>
  <c r="G783" i="28"/>
  <c r="G782" i="28"/>
  <c r="G781" i="28"/>
  <c r="G780" i="28"/>
  <c r="G779" i="28"/>
  <c r="G778" i="28"/>
  <c r="G777" i="28"/>
  <c r="G776" i="28"/>
  <c r="G775" i="28"/>
  <c r="G774" i="28"/>
  <c r="G773" i="28"/>
  <c r="G772" i="28"/>
  <c r="G771" i="28"/>
  <c r="G770" i="28"/>
  <c r="G769" i="28"/>
  <c r="G768" i="28"/>
  <c r="G767" i="28"/>
  <c r="G766" i="28"/>
  <c r="G765" i="28"/>
  <c r="G764" i="28"/>
  <c r="G763" i="28"/>
  <c r="G762" i="28"/>
  <c r="G761" i="28"/>
  <c r="G760" i="28"/>
  <c r="G759" i="28"/>
  <c r="G758" i="28"/>
  <c r="G757" i="28"/>
  <c r="G756" i="28"/>
  <c r="G755" i="28"/>
  <c r="G754" i="28"/>
  <c r="G753" i="28"/>
  <c r="G752" i="28"/>
  <c r="G751" i="28"/>
  <c r="G750" i="28"/>
  <c r="G749" i="28"/>
  <c r="G748" i="28"/>
  <c r="G747" i="28"/>
  <c r="G746" i="28"/>
  <c r="G745" i="28"/>
  <c r="G744" i="28"/>
  <c r="G743" i="28"/>
  <c r="G742" i="28"/>
  <c r="G741" i="28"/>
  <c r="G740" i="28"/>
  <c r="G739" i="28"/>
  <c r="G738" i="28"/>
  <c r="G737" i="28"/>
  <c r="G736" i="28"/>
  <c r="G735" i="28"/>
  <c r="G734" i="28"/>
  <c r="G733" i="28"/>
  <c r="G732" i="28"/>
  <c r="G731" i="28"/>
  <c r="G730" i="28"/>
  <c r="G729" i="28"/>
  <c r="G728" i="28"/>
  <c r="G727" i="28"/>
  <c r="G726" i="28"/>
  <c r="G725" i="28"/>
  <c r="G724" i="28"/>
  <c r="G723" i="28"/>
  <c r="G722" i="28"/>
  <c r="G721" i="28"/>
  <c r="G720" i="28"/>
  <c r="G719" i="28"/>
  <c r="G718" i="28"/>
  <c r="G717" i="28"/>
  <c r="G716" i="28"/>
  <c r="G715" i="28"/>
  <c r="G714" i="28"/>
  <c r="G713" i="28"/>
  <c r="G712" i="28"/>
  <c r="G711" i="28"/>
  <c r="G710" i="28"/>
  <c r="G709" i="28"/>
  <c r="G708" i="28"/>
  <c r="G707" i="28"/>
  <c r="G706" i="28"/>
  <c r="G705" i="28"/>
  <c r="G704" i="28"/>
  <c r="G703" i="28"/>
  <c r="G702" i="28"/>
  <c r="G701" i="28"/>
  <c r="G700" i="28"/>
  <c r="G699" i="28"/>
  <c r="G698" i="28"/>
  <c r="G697" i="28"/>
  <c r="G696" i="28"/>
  <c r="G695" i="28"/>
  <c r="G694" i="28"/>
  <c r="G693" i="28"/>
  <c r="G692" i="28"/>
  <c r="G691" i="28"/>
  <c r="G690" i="28"/>
  <c r="G689" i="28"/>
  <c r="G688" i="28"/>
  <c r="G687" i="28"/>
  <c r="G686" i="28"/>
  <c r="G685" i="28"/>
  <c r="G684" i="28"/>
  <c r="G683" i="28"/>
  <c r="G682" i="28"/>
  <c r="G681" i="28"/>
  <c r="G680" i="28"/>
  <c r="G679" i="28"/>
  <c r="G678" i="28"/>
  <c r="G677" i="28"/>
  <c r="G676" i="28"/>
  <c r="G675" i="28"/>
  <c r="G674" i="28"/>
  <c r="G673" i="28"/>
  <c r="G672" i="28"/>
  <c r="G671" i="28"/>
  <c r="G670" i="28"/>
  <c r="G669" i="28"/>
  <c r="G668" i="28"/>
  <c r="G667" i="28"/>
  <c r="G666" i="28"/>
  <c r="G665" i="28"/>
  <c r="G664" i="28"/>
  <c r="G663" i="28"/>
  <c r="G662" i="28"/>
  <c r="G661" i="28"/>
  <c r="G660" i="28"/>
  <c r="G659" i="28"/>
  <c r="G658" i="28"/>
  <c r="G657" i="28"/>
  <c r="G656" i="28"/>
  <c r="G655" i="28"/>
  <c r="G654" i="28"/>
  <c r="G653" i="28"/>
  <c r="G652" i="28"/>
  <c r="G651" i="28"/>
  <c r="G650" i="28"/>
  <c r="G649" i="28"/>
  <c r="G648" i="28"/>
  <c r="G647" i="28"/>
  <c r="G646" i="28"/>
  <c r="G645" i="28"/>
  <c r="G644" i="28"/>
  <c r="G643" i="28"/>
  <c r="G642" i="28"/>
  <c r="G641" i="28"/>
  <c r="G640" i="28"/>
  <c r="G639" i="28"/>
  <c r="G638" i="28"/>
  <c r="G637" i="28"/>
  <c r="G636" i="28"/>
  <c r="G635" i="28"/>
  <c r="G634" i="28"/>
  <c r="G633" i="28"/>
  <c r="G632" i="28"/>
  <c r="G631" i="28"/>
  <c r="G630" i="28"/>
  <c r="G629" i="28"/>
  <c r="G628" i="28"/>
  <c r="G627" i="28"/>
  <c r="G626" i="28"/>
  <c r="G625" i="28"/>
  <c r="G624" i="28"/>
  <c r="G623" i="28"/>
  <c r="G622" i="28"/>
  <c r="G621" i="28"/>
  <c r="G620" i="28"/>
  <c r="G619" i="28"/>
  <c r="G618" i="28"/>
  <c r="G617" i="28"/>
  <c r="G616" i="28"/>
  <c r="G615" i="28"/>
  <c r="G614" i="28"/>
  <c r="G613" i="28"/>
  <c r="G612" i="28"/>
  <c r="G611" i="28"/>
  <c r="G610" i="28"/>
  <c r="G609" i="28"/>
  <c r="G608" i="28"/>
  <c r="G607" i="28"/>
  <c r="G606" i="28"/>
  <c r="G605" i="28"/>
  <c r="G604" i="28"/>
  <c r="G603" i="28"/>
  <c r="G602" i="28"/>
  <c r="G601" i="28"/>
  <c r="G600" i="28"/>
  <c r="G599" i="28"/>
  <c r="G598" i="28"/>
  <c r="G597" i="28"/>
  <c r="G596" i="28"/>
  <c r="G595" i="28"/>
  <c r="G594" i="28"/>
  <c r="G593" i="28"/>
  <c r="G592" i="28"/>
  <c r="G591" i="28"/>
  <c r="G590" i="28"/>
  <c r="G589" i="28"/>
  <c r="G588" i="28"/>
  <c r="G587" i="28"/>
  <c r="G586" i="28"/>
  <c r="G585" i="28"/>
  <c r="G584" i="28"/>
  <c r="G583" i="28"/>
  <c r="G582" i="28"/>
  <c r="G581" i="28"/>
  <c r="G580" i="28"/>
  <c r="G579" i="28"/>
  <c r="G578" i="28"/>
  <c r="G577" i="28"/>
  <c r="G576" i="28"/>
  <c r="G575" i="28"/>
  <c r="G574" i="28"/>
  <c r="G573" i="28"/>
  <c r="G572" i="28"/>
  <c r="G571" i="28"/>
  <c r="G570" i="28"/>
  <c r="G569" i="28"/>
  <c r="G568" i="28"/>
  <c r="G567" i="28"/>
  <c r="G566" i="28"/>
  <c r="G565" i="28"/>
  <c r="G564" i="28"/>
  <c r="G563" i="28"/>
  <c r="G562" i="28"/>
  <c r="G561" i="28"/>
  <c r="G560" i="28"/>
  <c r="G559" i="28"/>
  <c r="G558" i="28"/>
  <c r="G557" i="28"/>
  <c r="G556" i="28"/>
  <c r="G555" i="28"/>
  <c r="G554" i="28"/>
  <c r="G553" i="28"/>
  <c r="G552" i="28"/>
  <c r="G551" i="28"/>
  <c r="G550" i="28"/>
  <c r="G549" i="28"/>
  <c r="G548" i="28"/>
  <c r="G547" i="28"/>
  <c r="G546" i="28"/>
  <c r="G545" i="28"/>
  <c r="G544" i="28"/>
  <c r="G543" i="28"/>
  <c r="G542" i="28"/>
  <c r="G541" i="28"/>
  <c r="G540" i="28"/>
  <c r="G539" i="28"/>
  <c r="G538" i="28"/>
  <c r="G537" i="28"/>
  <c r="G536" i="28"/>
  <c r="G535" i="28"/>
  <c r="G534" i="28"/>
  <c r="G533" i="28"/>
  <c r="G532" i="28"/>
  <c r="G531" i="28"/>
  <c r="G530" i="28"/>
  <c r="G529" i="28"/>
  <c r="G528" i="28"/>
  <c r="G527" i="28"/>
  <c r="G526" i="28"/>
  <c r="G525" i="28"/>
  <c r="G524" i="28"/>
  <c r="G523" i="28"/>
  <c r="G522" i="28"/>
  <c r="G521" i="28"/>
  <c r="G520" i="28"/>
  <c r="G519" i="28"/>
  <c r="G518" i="28"/>
  <c r="G517" i="28"/>
  <c r="G516" i="28"/>
  <c r="G515" i="28"/>
  <c r="G514" i="28"/>
  <c r="G513" i="28"/>
  <c r="G512" i="28"/>
  <c r="G511" i="28"/>
  <c r="G510" i="28"/>
  <c r="G509" i="28"/>
  <c r="G508" i="28"/>
  <c r="G507" i="28"/>
  <c r="G506" i="28"/>
  <c r="G505" i="28"/>
  <c r="G504" i="28"/>
  <c r="G503" i="28"/>
  <c r="G502" i="28"/>
  <c r="G501" i="28"/>
  <c r="G500" i="28"/>
  <c r="G499" i="28"/>
  <c r="G498" i="28"/>
  <c r="G497" i="28"/>
  <c r="G496" i="28"/>
  <c r="G495" i="28"/>
  <c r="G494" i="28"/>
  <c r="G493" i="28"/>
  <c r="G492" i="28"/>
  <c r="G491" i="28"/>
  <c r="G490" i="28"/>
  <c r="G489" i="28"/>
  <c r="G488" i="28"/>
  <c r="G487" i="28"/>
  <c r="G486" i="28"/>
  <c r="G485" i="28"/>
  <c r="G484" i="28"/>
  <c r="G483" i="28"/>
  <c r="G482" i="28"/>
  <c r="G481" i="28"/>
  <c r="G480" i="28"/>
  <c r="G479" i="28"/>
  <c r="G478" i="28"/>
  <c r="G477" i="28"/>
  <c r="G476" i="28"/>
  <c r="G475" i="28"/>
  <c r="G474" i="28"/>
  <c r="G473" i="28"/>
  <c r="G472" i="28"/>
  <c r="G471" i="28"/>
  <c r="G470" i="28"/>
  <c r="G469" i="28"/>
  <c r="G468" i="28"/>
  <c r="G467" i="28"/>
  <c r="G466" i="28"/>
  <c r="G465" i="28"/>
  <c r="G464" i="28"/>
  <c r="G463" i="28"/>
  <c r="G462" i="28"/>
  <c r="G461" i="28"/>
  <c r="G460" i="28"/>
  <c r="G459" i="28"/>
  <c r="G458" i="28"/>
  <c r="G457" i="28"/>
  <c r="G456" i="28"/>
  <c r="G455" i="28"/>
  <c r="G454" i="28"/>
  <c r="G453" i="28"/>
  <c r="G452" i="28"/>
  <c r="G451" i="28"/>
  <c r="G450" i="28"/>
  <c r="G449" i="28"/>
  <c r="G448" i="28"/>
  <c r="G447" i="28"/>
  <c r="G446" i="28"/>
  <c r="G445" i="28"/>
  <c r="G444" i="28"/>
  <c r="G443" i="28"/>
  <c r="G442" i="28"/>
  <c r="G441" i="28"/>
  <c r="G440" i="28"/>
  <c r="G439" i="28"/>
  <c r="G438" i="28"/>
  <c r="G437" i="28"/>
  <c r="G436" i="28"/>
  <c r="G435" i="28"/>
  <c r="G434" i="28"/>
  <c r="G433" i="28"/>
  <c r="G432" i="28"/>
  <c r="G431" i="28"/>
  <c r="G430" i="28"/>
  <c r="G429" i="28"/>
  <c r="G428" i="28"/>
  <c r="G427" i="28"/>
  <c r="G426" i="28"/>
  <c r="G425" i="28"/>
  <c r="G424" i="28"/>
  <c r="G423" i="28"/>
  <c r="G422" i="28"/>
  <c r="G421" i="28"/>
  <c r="G420" i="28"/>
  <c r="G419" i="28"/>
  <c r="G418" i="28"/>
  <c r="G417" i="28"/>
  <c r="G416" i="28"/>
  <c r="G415" i="28"/>
  <c r="G414" i="28"/>
  <c r="G413" i="28"/>
  <c r="G412" i="28"/>
  <c r="G411" i="28"/>
  <c r="G410" i="28"/>
  <c r="G409" i="28"/>
  <c r="G408" i="28"/>
  <c r="G407" i="28"/>
  <c r="G406" i="28"/>
  <c r="G405" i="28"/>
  <c r="G404" i="28"/>
  <c r="G403" i="28"/>
  <c r="G402" i="28"/>
  <c r="G401" i="28"/>
  <c r="G400" i="28"/>
  <c r="G399" i="28"/>
  <c r="G398" i="28"/>
  <c r="G397" i="28"/>
  <c r="G396" i="28"/>
  <c r="G395" i="28"/>
  <c r="G394" i="28"/>
  <c r="G393" i="28"/>
  <c r="G392" i="28"/>
  <c r="G391" i="28"/>
  <c r="G390" i="28"/>
  <c r="G389" i="28"/>
  <c r="G388" i="28"/>
  <c r="G387" i="28"/>
  <c r="G386" i="28"/>
  <c r="G385" i="28"/>
  <c r="G384" i="28"/>
  <c r="G383" i="28"/>
  <c r="G382" i="28"/>
  <c r="G381" i="28"/>
  <c r="G380" i="28"/>
  <c r="G379" i="28"/>
  <c r="G378" i="28"/>
  <c r="G377" i="28"/>
  <c r="G376" i="28"/>
  <c r="G375" i="28"/>
  <c r="G374" i="28"/>
  <c r="G373" i="28"/>
  <c r="G372" i="28"/>
  <c r="G371" i="28"/>
  <c r="G370" i="28"/>
  <c r="G369" i="28"/>
  <c r="G368" i="28"/>
  <c r="G367" i="28"/>
  <c r="G366" i="28"/>
  <c r="G365" i="28"/>
  <c r="G364" i="28"/>
  <c r="G363" i="28"/>
  <c r="G362" i="28"/>
  <c r="G361" i="28"/>
  <c r="G360" i="28"/>
  <c r="G359" i="28"/>
  <c r="G358" i="28"/>
  <c r="G357" i="28"/>
  <c r="G356" i="28"/>
  <c r="G355" i="28"/>
  <c r="G354" i="28"/>
  <c r="G353" i="28"/>
  <c r="G352" i="28"/>
  <c r="G351" i="28"/>
  <c r="G350" i="28"/>
  <c r="G349" i="28"/>
  <c r="G348" i="28"/>
  <c r="G347" i="28"/>
  <c r="G346" i="28"/>
  <c r="G345" i="28"/>
  <c r="G344" i="28"/>
  <c r="G343" i="28"/>
  <c r="G342" i="28"/>
  <c r="G341" i="28"/>
  <c r="G340" i="28"/>
  <c r="G339" i="28"/>
  <c r="G338" i="28"/>
  <c r="G337" i="28"/>
  <c r="G336" i="28"/>
  <c r="G335" i="28"/>
  <c r="G334" i="28"/>
  <c r="G333" i="28"/>
  <c r="G332" i="28"/>
  <c r="G331" i="28"/>
  <c r="G330" i="28"/>
  <c r="G329" i="28"/>
  <c r="G328" i="28"/>
  <c r="G327" i="28"/>
  <c r="G326" i="28"/>
  <c r="G325" i="28"/>
  <c r="G324" i="28"/>
  <c r="G323" i="28"/>
  <c r="G322" i="28"/>
  <c r="G321" i="28"/>
  <c r="G320" i="28"/>
  <c r="G319" i="28"/>
  <c r="G318" i="28"/>
  <c r="G317" i="28"/>
  <c r="G316" i="28"/>
  <c r="G315" i="28"/>
  <c r="G314" i="28"/>
  <c r="G313" i="28"/>
  <c r="G312" i="28"/>
  <c r="G311" i="28"/>
  <c r="G310" i="28"/>
  <c r="G309" i="28"/>
  <c r="G308" i="28"/>
  <c r="G307" i="28"/>
  <c r="G306" i="28"/>
  <c r="G305" i="28"/>
  <c r="G304" i="28"/>
  <c r="G303" i="28"/>
  <c r="G302" i="28"/>
  <c r="G301" i="28"/>
  <c r="G300" i="28"/>
  <c r="G299" i="28"/>
  <c r="G298" i="28"/>
  <c r="G297" i="28"/>
  <c r="G296" i="28"/>
  <c r="G295" i="28"/>
  <c r="G294" i="28"/>
  <c r="G293" i="28"/>
  <c r="G292" i="28"/>
  <c r="G291" i="28"/>
  <c r="G290" i="28"/>
  <c r="G289" i="28"/>
  <c r="G288" i="28"/>
  <c r="G287" i="28"/>
  <c r="G286" i="28"/>
  <c r="G285" i="28"/>
  <c r="G284" i="28"/>
  <c r="G283" i="28"/>
  <c r="G282" i="28"/>
  <c r="G281" i="28"/>
  <c r="G280" i="28"/>
  <c r="G279" i="28"/>
  <c r="G278" i="28"/>
  <c r="G277" i="28"/>
  <c r="G276" i="28"/>
  <c r="G275" i="28"/>
  <c r="G274" i="28"/>
  <c r="G273" i="28"/>
  <c r="G272" i="28"/>
  <c r="G271" i="28"/>
  <c r="G270" i="28"/>
  <c r="G269" i="28"/>
  <c r="G268" i="28"/>
  <c r="G267" i="28"/>
  <c r="G266" i="28"/>
  <c r="G265" i="28"/>
  <c r="G264" i="28"/>
  <c r="G263" i="28"/>
  <c r="G262" i="28"/>
  <c r="G261" i="28"/>
  <c r="G260" i="28"/>
  <c r="G259" i="28"/>
  <c r="G258" i="28"/>
  <c r="G257" i="28"/>
  <c r="G256" i="28"/>
  <c r="G255" i="28"/>
  <c r="G254" i="28"/>
  <c r="G253" i="28"/>
  <c r="G252" i="28"/>
  <c r="G251" i="28"/>
  <c r="G250" i="28"/>
  <c r="G249" i="28"/>
  <c r="G248" i="28"/>
  <c r="G247" i="28"/>
  <c r="G246" i="28"/>
  <c r="G245" i="28"/>
  <c r="G244" i="28"/>
  <c r="G243" i="28"/>
  <c r="G242" i="28"/>
  <c r="G241" i="28"/>
  <c r="G240" i="28"/>
  <c r="G239" i="28"/>
  <c r="G238" i="28"/>
  <c r="G237" i="28"/>
  <c r="G236" i="28"/>
  <c r="G235" i="28"/>
  <c r="G234" i="28"/>
  <c r="G233" i="28"/>
  <c r="G232" i="28"/>
  <c r="G231" i="28"/>
  <c r="G230" i="28"/>
  <c r="G229" i="28"/>
  <c r="G228" i="28"/>
  <c r="G227" i="28"/>
  <c r="G226" i="28"/>
  <c r="G225" i="28"/>
  <c r="G224" i="28"/>
  <c r="G223" i="28"/>
  <c r="G222" i="28"/>
  <c r="G221" i="28"/>
  <c r="G220" i="28"/>
  <c r="G219" i="28"/>
  <c r="G218" i="28"/>
  <c r="G217" i="28"/>
  <c r="G216" i="28"/>
  <c r="G215" i="28"/>
  <c r="G214" i="28"/>
  <c r="G213" i="28"/>
  <c r="G212" i="28"/>
  <c r="G211" i="28"/>
  <c r="G210" i="28"/>
  <c r="G209" i="28"/>
  <c r="G208" i="28"/>
  <c r="G207" i="28"/>
  <c r="G206" i="28"/>
  <c r="G205" i="28"/>
  <c r="G204" i="28"/>
  <c r="G203" i="28"/>
  <c r="G202" i="28"/>
  <c r="G201" i="28"/>
  <c r="G200" i="28"/>
  <c r="G199" i="28"/>
  <c r="G198" i="28"/>
  <c r="G197" i="28"/>
  <c r="G196" i="28"/>
  <c r="G195" i="28"/>
  <c r="G194" i="28"/>
  <c r="G193" i="28"/>
  <c r="G192" i="28"/>
  <c r="G191" i="28"/>
  <c r="G190" i="28"/>
  <c r="G189" i="28"/>
  <c r="G188" i="28"/>
  <c r="G187" i="28"/>
  <c r="G186" i="28"/>
  <c r="G185" i="28"/>
  <c r="G184" i="28"/>
  <c r="G183" i="28"/>
  <c r="G182" i="28"/>
  <c r="G181" i="28"/>
  <c r="G180" i="28"/>
  <c r="G179" i="28"/>
  <c r="G178" i="28"/>
  <c r="G177" i="28"/>
  <c r="G176" i="28"/>
  <c r="G175" i="28"/>
  <c r="G174" i="28"/>
  <c r="G173" i="28"/>
  <c r="G172" i="28"/>
  <c r="G171" i="28"/>
  <c r="G170" i="28"/>
  <c r="G169" i="28"/>
  <c r="G168" i="28"/>
  <c r="G167" i="28"/>
  <c r="G166" i="28"/>
  <c r="G165" i="28"/>
  <c r="G164" i="28"/>
  <c r="G163" i="28"/>
  <c r="G162" i="28"/>
  <c r="G161" i="28"/>
  <c r="G160" i="28"/>
  <c r="G159" i="28"/>
  <c r="G158" i="28"/>
  <c r="G157" i="28"/>
  <c r="G156" i="28"/>
  <c r="G155" i="28"/>
  <c r="G154" i="28"/>
  <c r="G153" i="28"/>
  <c r="G152" i="28"/>
  <c r="G151" i="28"/>
  <c r="G150" i="28"/>
  <c r="G149" i="28"/>
  <c r="G148" i="28"/>
  <c r="G147" i="28"/>
  <c r="G146" i="28"/>
  <c r="G145" i="28"/>
  <c r="G144" i="28"/>
  <c r="G143" i="28"/>
  <c r="G142" i="28"/>
  <c r="G141" i="28"/>
  <c r="G140" i="28"/>
  <c r="G139" i="28"/>
  <c r="G138" i="28"/>
  <c r="G137" i="28"/>
  <c r="G136" i="28"/>
  <c r="G135" i="28"/>
  <c r="G134" i="28"/>
  <c r="G133" i="28"/>
  <c r="G132" i="28"/>
  <c r="G131" i="28"/>
  <c r="G130" i="28"/>
  <c r="G129" i="28"/>
  <c r="G128" i="28"/>
  <c r="G127" i="28"/>
  <c r="G126" i="28"/>
  <c r="G125" i="28"/>
  <c r="G124" i="28"/>
  <c r="G123" i="28"/>
  <c r="G122" i="28"/>
  <c r="G121" i="28"/>
  <c r="G120" i="28"/>
  <c r="G119" i="28"/>
  <c r="G118" i="28"/>
  <c r="G117" i="28"/>
  <c r="G116" i="28"/>
  <c r="G115" i="28"/>
  <c r="G114" i="28"/>
  <c r="G113" i="28"/>
  <c r="G112" i="28"/>
  <c r="G111" i="28"/>
  <c r="G110" i="28"/>
  <c r="G109" i="28"/>
  <c r="G108" i="28"/>
  <c r="G107" i="28"/>
  <c r="G106" i="28"/>
  <c r="G105" i="28"/>
  <c r="G104" i="28"/>
  <c r="G103" i="28"/>
  <c r="G102" i="28"/>
  <c r="G101" i="28"/>
  <c r="G100" i="28"/>
  <c r="G99" i="28"/>
  <c r="G98" i="28"/>
  <c r="G97" i="28"/>
  <c r="G96" i="28"/>
  <c r="G95" i="28"/>
  <c r="G94" i="28"/>
  <c r="G93" i="28"/>
  <c r="G92" i="28"/>
  <c r="G91" i="28"/>
  <c r="G90" i="28"/>
  <c r="G89" i="28"/>
  <c r="G88" i="28"/>
  <c r="G87" i="28"/>
  <c r="G86" i="28"/>
  <c r="G85" i="28"/>
  <c r="G84" i="28"/>
  <c r="G83" i="28"/>
  <c r="G82" i="28"/>
  <c r="G81" i="28"/>
  <c r="G80" i="28"/>
  <c r="G79" i="28"/>
  <c r="G78" i="28"/>
  <c r="G77" i="28"/>
  <c r="G76" i="28"/>
  <c r="G75" i="28"/>
  <c r="G74" i="28"/>
  <c r="G73" i="28"/>
  <c r="G72" i="28"/>
  <c r="G71" i="28"/>
  <c r="G70" i="28"/>
  <c r="G69" i="28"/>
  <c r="G68" i="28"/>
  <c r="G67" i="28"/>
  <c r="G66" i="28"/>
  <c r="G65" i="28"/>
  <c r="G64" i="28"/>
  <c r="G63" i="28"/>
  <c r="G62" i="28"/>
  <c r="G61" i="28"/>
  <c r="G60" i="28"/>
  <c r="G59" i="28"/>
  <c r="G58" i="28"/>
  <c r="G57" i="28"/>
  <c r="G56" i="28"/>
  <c r="G55" i="28"/>
  <c r="G54" i="28"/>
  <c r="G53" i="28"/>
  <c r="G52" i="28"/>
  <c r="G51" i="28"/>
  <c r="G50" i="28"/>
  <c r="G49" i="28"/>
  <c r="G48" i="28"/>
  <c r="G47" i="28"/>
  <c r="G46" i="28"/>
  <c r="G45" i="28"/>
  <c r="G44" i="28"/>
  <c r="G43" i="28"/>
  <c r="G42" i="28"/>
  <c r="G41" i="28"/>
  <c r="G40" i="28"/>
  <c r="G39" i="28"/>
  <c r="G38" i="28"/>
  <c r="G37" i="28"/>
  <c r="G36" i="28"/>
  <c r="G35" i="28"/>
  <c r="G34" i="28"/>
  <c r="G33" i="28"/>
  <c r="G32" i="28"/>
  <c r="G31" i="28"/>
  <c r="G30" i="28"/>
  <c r="G29" i="28"/>
  <c r="G28" i="28"/>
  <c r="G27" i="28"/>
  <c r="G26" i="28"/>
  <c r="G25" i="28"/>
  <c r="G24" i="28"/>
  <c r="G23" i="28"/>
  <c r="G22" i="28"/>
  <c r="G21" i="28"/>
  <c r="G20" i="28"/>
  <c r="G19" i="28"/>
  <c r="G18" i="28"/>
  <c r="G17" i="28"/>
  <c r="G16" i="28"/>
  <c r="G15" i="28"/>
  <c r="G14" i="28"/>
  <c r="G13" i="28"/>
  <c r="G12" i="28"/>
  <c r="G11" i="28"/>
  <c r="G10" i="28"/>
  <c r="G9" i="28"/>
  <c r="G8" i="28"/>
  <c r="G7" i="28"/>
  <c r="G6" i="28"/>
  <c r="G5" i="28"/>
  <c r="G4" i="28"/>
  <c r="E690" i="7"/>
  <c r="E634" i="7"/>
  <c r="E90" i="7"/>
  <c r="E16" i="7"/>
  <c r="E33" i="60"/>
  <c r="F33" i="60" s="1"/>
  <c r="D33" i="60"/>
  <c r="E31" i="60"/>
  <c r="F31" i="60" s="1"/>
  <c r="D31" i="60"/>
  <c r="F25" i="60" l="1"/>
  <c r="E27" i="60"/>
  <c r="F27" i="60" s="1"/>
  <c r="D27" i="60"/>
  <c r="E25" i="60"/>
  <c r="D25" i="60"/>
  <c r="E23" i="60"/>
  <c r="D23" i="60"/>
  <c r="D21" i="60"/>
  <c r="F23" i="60"/>
  <c r="D19" i="60"/>
  <c r="E164" i="19"/>
  <c r="E19" i="60" s="1"/>
  <c r="D164" i="19"/>
  <c r="C164" i="19"/>
  <c r="E17" i="60"/>
  <c r="D17" i="60"/>
  <c r="E15" i="60"/>
  <c r="D15" i="60"/>
  <c r="E13" i="60"/>
  <c r="D13" i="60"/>
  <c r="D11" i="60"/>
  <c r="E9" i="60"/>
  <c r="D9" i="60"/>
  <c r="G56" i="73" l="1"/>
  <c r="E56" i="73"/>
  <c r="M41" i="19" l="1"/>
  <c r="M74" i="19" s="1"/>
  <c r="F179" i="27"/>
  <c r="F177" i="27"/>
  <c r="F143" i="27"/>
  <c r="F141" i="27"/>
  <c r="F112" i="27"/>
  <c r="F110" i="27"/>
  <c r="F66" i="27"/>
  <c r="F64" i="27"/>
  <c r="F28" i="27"/>
  <c r="F26" i="27"/>
  <c r="F3" i="27"/>
  <c r="F1" i="27"/>
  <c r="I390" i="19"/>
  <c r="I388" i="19"/>
  <c r="I361" i="19"/>
  <c r="I359" i="19"/>
  <c r="I326" i="19"/>
  <c r="I324" i="19"/>
  <c r="I291" i="19"/>
  <c r="I289" i="19"/>
  <c r="I255" i="19"/>
  <c r="I253" i="19"/>
  <c r="I219" i="19"/>
  <c r="I217" i="19"/>
  <c r="I182" i="19"/>
  <c r="I180" i="19"/>
  <c r="I143" i="19"/>
  <c r="I141" i="19"/>
  <c r="I109" i="19"/>
  <c r="I107" i="19"/>
  <c r="I75" i="19"/>
  <c r="I73" i="19"/>
  <c r="I42" i="19"/>
  <c r="I40" i="19"/>
  <c r="I3" i="19"/>
  <c r="I1" i="19"/>
  <c r="F21" i="60"/>
  <c r="F15" i="60"/>
  <c r="F13" i="60"/>
  <c r="F9" i="60"/>
  <c r="F19" i="60" l="1"/>
  <c r="F17" i="60"/>
  <c r="M108" i="19"/>
  <c r="M142" i="19" s="1"/>
  <c r="M181" i="19" s="1"/>
  <c r="M218" i="19" s="1"/>
  <c r="M254" i="19" s="1"/>
  <c r="M290" i="19" s="1"/>
  <c r="M325" i="19" s="1"/>
  <c r="M360" i="19" s="1"/>
  <c r="M389" i="19" s="1"/>
  <c r="J2" i="27" s="1"/>
  <c r="J27" i="27" s="1"/>
  <c r="J65" i="27" s="1"/>
  <c r="J111" i="27" s="1"/>
  <c r="J142" i="27" s="1"/>
  <c r="J178" i="27" s="1"/>
  <c r="K178" i="27" l="1"/>
  <c r="F178" i="27" s="1"/>
  <c r="R1065" i="34"/>
  <c r="R146" i="34"/>
  <c r="F1303" i="34"/>
  <c r="R1303" i="34" s="1"/>
  <c r="F1189" i="34"/>
  <c r="F1065" i="34"/>
  <c r="F941" i="34"/>
  <c r="R941" i="34" s="1"/>
  <c r="F148" i="34"/>
  <c r="R148" i="34" s="1"/>
  <c r="N1303" i="34"/>
  <c r="M1303" i="34"/>
  <c r="N1301" i="34"/>
  <c r="M1301" i="34"/>
  <c r="M1381" i="34" s="1"/>
  <c r="N1189" i="34"/>
  <c r="M1189" i="34"/>
  <c r="N1187" i="34"/>
  <c r="N1268" i="34" s="1"/>
  <c r="M1187" i="34"/>
  <c r="M1268" i="34" s="1"/>
  <c r="N1065" i="34"/>
  <c r="M1065" i="34"/>
  <c r="N1063" i="34"/>
  <c r="N1154" i="34" s="1"/>
  <c r="M1063" i="34"/>
  <c r="M1154" i="34" s="1"/>
  <c r="N941" i="34"/>
  <c r="N939" i="34"/>
  <c r="N1029" i="34" s="1"/>
  <c r="M941" i="34"/>
  <c r="M939" i="34"/>
  <c r="M1029" i="34" s="1"/>
  <c r="N148" i="34"/>
  <c r="N146" i="34"/>
  <c r="N227" i="34"/>
  <c r="M148" i="34"/>
  <c r="M227" i="34" s="1"/>
  <c r="M146" i="34"/>
  <c r="G1301" i="34"/>
  <c r="G1187" i="34"/>
  <c r="R1187" i="34" s="1"/>
  <c r="G1063" i="34"/>
  <c r="R1063" i="34" s="1"/>
  <c r="G939" i="34"/>
  <c r="G146" i="34"/>
  <c r="G34" i="34"/>
  <c r="R34" i="34" s="1"/>
  <c r="G1303" i="34"/>
  <c r="G1189" i="34"/>
  <c r="G1065" i="34"/>
  <c r="G1154" i="34"/>
  <c r="G941" i="34"/>
  <c r="G148" i="34"/>
  <c r="F36" i="34"/>
  <c r="R36" i="34" s="1"/>
  <c r="G36" i="34"/>
  <c r="N36" i="34"/>
  <c r="N34" i="34"/>
  <c r="N115" i="34"/>
  <c r="M36" i="34"/>
  <c r="M115" i="34" s="1"/>
  <c r="M34" i="34"/>
  <c r="N218" i="19" l="1"/>
  <c r="I218" i="19" s="1"/>
  <c r="K111" i="27"/>
  <c r="F111" i="27" s="1"/>
  <c r="N108" i="19"/>
  <c r="I108" i="19" s="1"/>
  <c r="N74" i="19"/>
  <c r="I74" i="19" s="1"/>
  <c r="N290" i="19"/>
  <c r="I290" i="19" s="1"/>
  <c r="K2" i="27"/>
  <c r="F2" i="27" s="1"/>
  <c r="N41" i="19"/>
  <c r="I41" i="19" s="1"/>
  <c r="K142" i="27"/>
  <c r="F142" i="27" s="1"/>
  <c r="K65" i="27"/>
  <c r="F65" i="27" s="1"/>
  <c r="N142" i="19"/>
  <c r="I142" i="19" s="1"/>
  <c r="N389" i="19"/>
  <c r="I389" i="19" s="1"/>
  <c r="N325" i="19"/>
  <c r="I325" i="19" s="1"/>
  <c r="K27" i="27"/>
  <c r="F27" i="27" s="1"/>
  <c r="N360" i="19"/>
  <c r="I360" i="19" s="1"/>
  <c r="N2" i="19"/>
  <c r="I2" i="19" s="1"/>
  <c r="N254" i="19"/>
  <c r="I254" i="19" s="1"/>
  <c r="N181" i="19"/>
  <c r="I181" i="19" s="1"/>
  <c r="R1154" i="34"/>
  <c r="G1381" i="34"/>
  <c r="R939" i="34"/>
  <c r="G1029" i="34"/>
  <c r="R1029" i="34" s="1"/>
  <c r="G115" i="34"/>
  <c r="R115" i="34" s="1"/>
  <c r="G227" i="34"/>
  <c r="R227" i="34" s="1"/>
  <c r="R1301" i="34"/>
  <c r="R1189" i="34"/>
  <c r="G1268" i="34"/>
  <c r="R1268" i="34" s="1"/>
  <c r="N1381" i="34"/>
  <c r="R1381" i="34" s="1"/>
  <c r="W420" i="1" l="1"/>
  <c r="Y329" i="1"/>
  <c r="Y365" i="1"/>
  <c r="Y401" i="1"/>
  <c r="Y418" i="1"/>
  <c r="Y19" i="1"/>
  <c r="Y53" i="1"/>
  <c r="Y118" i="1"/>
  <c r="Y294" i="1"/>
  <c r="Y258" i="1"/>
  <c r="Y223" i="1"/>
  <c r="Y188" i="1"/>
  <c r="Y152" i="1"/>
  <c r="A392" i="19"/>
  <c r="A363" i="19"/>
  <c r="A328" i="19"/>
  <c r="A293" i="19"/>
  <c r="A257" i="19"/>
  <c r="A221" i="19"/>
  <c r="A184" i="19"/>
  <c r="A145" i="19"/>
  <c r="Y420" i="1" l="1"/>
  <c r="Z420" i="1" s="1"/>
  <c r="H281" i="6"/>
  <c r="H280" i="6"/>
  <c r="H279" i="6"/>
  <c r="H278" i="6"/>
  <c r="H277" i="6"/>
  <c r="H276" i="6"/>
  <c r="H275" i="6"/>
  <c r="H274" i="6"/>
  <c r="H273" i="6"/>
  <c r="H272" i="6"/>
  <c r="H271" i="6"/>
  <c r="H270" i="6"/>
  <c r="H269" i="6"/>
  <c r="H268" i="6"/>
  <c r="H267" i="6"/>
  <c r="H266" i="6"/>
  <c r="H265" i="6"/>
  <c r="H264" i="6"/>
  <c r="H263" i="6"/>
  <c r="H262" i="6"/>
  <c r="H261" i="6"/>
  <c r="H260" i="6"/>
  <c r="H259" i="6"/>
  <c r="H258" i="6"/>
  <c r="F884" i="28"/>
  <c r="E1381" i="34" l="1"/>
  <c r="E1268" i="34"/>
  <c r="E1154" i="34"/>
  <c r="E1029" i="34"/>
  <c r="E227" i="34"/>
  <c r="E115" i="34"/>
  <c r="O787" i="7" l="1"/>
  <c r="O786" i="7"/>
  <c r="O785" i="7"/>
  <c r="O784" i="7"/>
  <c r="O783" i="7"/>
  <c r="O782" i="7"/>
  <c r="O781" i="7"/>
  <c r="O780" i="7"/>
  <c r="O779" i="7"/>
  <c r="O778" i="7"/>
  <c r="O777" i="7"/>
  <c r="O776" i="7"/>
  <c r="O775" i="7"/>
  <c r="O774" i="7"/>
  <c r="O773" i="7"/>
  <c r="O772" i="7"/>
  <c r="O771" i="7"/>
  <c r="O770" i="7"/>
  <c r="O769" i="7"/>
  <c r="O768" i="7"/>
  <c r="O767" i="7"/>
  <c r="O766" i="7"/>
  <c r="O765" i="7"/>
  <c r="O764" i="7"/>
  <c r="O763" i="7"/>
  <c r="O762" i="7"/>
  <c r="O761" i="7"/>
  <c r="O760" i="7"/>
  <c r="O759" i="7"/>
  <c r="O758" i="7"/>
  <c r="O757" i="7"/>
  <c r="O756" i="7"/>
  <c r="O755" i="7"/>
  <c r="O754" i="7"/>
  <c r="O753" i="7"/>
  <c r="O752" i="7"/>
  <c r="O751" i="7"/>
  <c r="O750" i="7"/>
  <c r="O749" i="7"/>
  <c r="O748" i="7"/>
  <c r="O747" i="7"/>
  <c r="O746" i="7"/>
  <c r="O745" i="7"/>
  <c r="O744" i="7"/>
  <c r="O743" i="7"/>
  <c r="O742" i="7"/>
  <c r="O741" i="7"/>
  <c r="O740" i="7"/>
  <c r="O739" i="7"/>
  <c r="O738" i="7"/>
  <c r="O737" i="7"/>
  <c r="O736" i="7"/>
  <c r="O735" i="7"/>
  <c r="O734" i="7"/>
  <c r="O733" i="7"/>
  <c r="O732" i="7"/>
  <c r="O731" i="7"/>
  <c r="O730" i="7"/>
  <c r="O729" i="7"/>
  <c r="O728" i="7"/>
  <c r="O727" i="7"/>
  <c r="O726" i="7"/>
  <c r="O725" i="7"/>
  <c r="O724" i="7"/>
  <c r="O723" i="7"/>
  <c r="O722" i="7"/>
  <c r="O721" i="7"/>
  <c r="O720" i="7"/>
  <c r="O719" i="7"/>
  <c r="K7" i="7"/>
  <c r="K146" i="7"/>
  <c r="K145" i="7"/>
  <c r="K144" i="7"/>
  <c r="K143" i="7"/>
  <c r="K142" i="7"/>
  <c r="K141" i="7"/>
  <c r="K140" i="7"/>
  <c r="K139" i="7"/>
  <c r="K138" i="7"/>
  <c r="K137" i="7"/>
  <c r="K136" i="7"/>
  <c r="K135" i="7"/>
  <c r="K134" i="7"/>
  <c r="K133" i="7"/>
  <c r="K132" i="7"/>
  <c r="K131" i="7"/>
  <c r="K130" i="7"/>
  <c r="K129" i="7"/>
  <c r="K128" i="7"/>
  <c r="K127" i="7"/>
  <c r="K126" i="7"/>
  <c r="K125" i="7"/>
  <c r="K124" i="7"/>
  <c r="K123" i="7"/>
  <c r="K122" i="7"/>
  <c r="K121" i="7"/>
  <c r="K120" i="7"/>
  <c r="K119" i="7"/>
  <c r="K118" i="7"/>
  <c r="K117" i="7"/>
  <c r="K116" i="7"/>
  <c r="K115" i="7"/>
  <c r="K114" i="7"/>
  <c r="K113" i="7"/>
  <c r="K112" i="7"/>
  <c r="K111" i="7"/>
  <c r="K110" i="7"/>
  <c r="K109" i="7"/>
  <c r="K108" i="7"/>
  <c r="K107" i="7"/>
  <c r="K106" i="7"/>
  <c r="K105" i="7"/>
  <c r="K104" i="7"/>
  <c r="K103" i="7"/>
  <c r="K102" i="7"/>
  <c r="K101" i="7"/>
  <c r="K100" i="7"/>
  <c r="K99" i="7"/>
  <c r="K98" i="7"/>
  <c r="K97" i="7"/>
  <c r="K96" i="7"/>
  <c r="K95" i="7"/>
  <c r="K94" i="7"/>
  <c r="K93" i="7"/>
  <c r="K92" i="7"/>
  <c r="K91" i="7"/>
  <c r="K90" i="7"/>
  <c r="K89" i="7"/>
  <c r="K88" i="7"/>
  <c r="K87" i="7"/>
  <c r="K86" i="7"/>
  <c r="K85" i="7"/>
  <c r="K84" i="7"/>
  <c r="K83" i="7"/>
  <c r="K82" i="7"/>
  <c r="K81" i="7"/>
  <c r="K80" i="7"/>
  <c r="K79" i="7"/>
  <c r="K78" i="7"/>
  <c r="K77" i="7"/>
  <c r="Q79" i="7"/>
  <c r="K76" i="7"/>
  <c r="Q6" i="7"/>
  <c r="K72" i="7"/>
  <c r="K71" i="7"/>
  <c r="K70" i="7"/>
  <c r="K69" i="7"/>
  <c r="K68" i="7"/>
  <c r="K67" i="7"/>
  <c r="K66" i="7"/>
  <c r="K65" i="7"/>
  <c r="K64" i="7"/>
  <c r="K63" i="7"/>
  <c r="K62" i="7"/>
  <c r="K61" i="7"/>
  <c r="K60" i="7"/>
  <c r="K59" i="7"/>
  <c r="K58" i="7"/>
  <c r="K57" i="7"/>
  <c r="K56" i="7"/>
  <c r="K55" i="7"/>
  <c r="K54" i="7"/>
  <c r="K53" i="7"/>
  <c r="K52" i="7"/>
  <c r="K51" i="7"/>
  <c r="K50" i="7"/>
  <c r="K49" i="7"/>
  <c r="K48" i="7"/>
  <c r="K46" i="7"/>
  <c r="K45" i="7"/>
  <c r="K44" i="7"/>
  <c r="K43" i="7"/>
  <c r="K42" i="7"/>
  <c r="K41" i="7"/>
  <c r="K40" i="7"/>
  <c r="K39" i="7"/>
  <c r="K38" i="7"/>
  <c r="K37" i="7"/>
  <c r="K36" i="7"/>
  <c r="K35" i="7"/>
  <c r="K34" i="7"/>
  <c r="K33" i="7"/>
  <c r="K32" i="7"/>
  <c r="K31" i="7"/>
  <c r="K30" i="7"/>
  <c r="K29" i="7"/>
  <c r="K28" i="7"/>
  <c r="K27" i="7"/>
  <c r="K26" i="7"/>
  <c r="K25" i="7"/>
  <c r="K24" i="7"/>
  <c r="K23" i="7"/>
  <c r="K22" i="7"/>
  <c r="K21" i="7"/>
  <c r="K20" i="7"/>
  <c r="K19" i="7"/>
  <c r="K18" i="7"/>
  <c r="K17" i="7"/>
  <c r="K16" i="7"/>
  <c r="K15" i="7"/>
  <c r="K14" i="7"/>
  <c r="K13" i="7"/>
  <c r="K12" i="7"/>
  <c r="K11" i="7"/>
  <c r="K10" i="7"/>
  <c r="K9" i="7"/>
  <c r="K8" i="7"/>
  <c r="K6" i="7"/>
  <c r="K5" i="7"/>
  <c r="K4" i="7"/>
  <c r="K3" i="7"/>
  <c r="Q81" i="7" l="1"/>
  <c r="E831" i="7"/>
  <c r="K862" i="7"/>
  <c r="K861" i="7"/>
  <c r="K860" i="7"/>
  <c r="K859" i="7"/>
  <c r="K858" i="7"/>
  <c r="K857" i="7"/>
  <c r="K856" i="7"/>
  <c r="K855" i="7"/>
  <c r="K854" i="7"/>
  <c r="K853" i="7"/>
  <c r="K852" i="7"/>
  <c r="K851" i="7"/>
  <c r="K850" i="7"/>
  <c r="K849" i="7"/>
  <c r="K848" i="7"/>
  <c r="K847" i="7"/>
  <c r="K846" i="7"/>
  <c r="K845" i="7"/>
  <c r="K844" i="7"/>
  <c r="K843" i="7"/>
  <c r="K842" i="7"/>
  <c r="K841" i="7"/>
  <c r="K840" i="7"/>
  <c r="K839" i="7"/>
  <c r="K838" i="7"/>
  <c r="K837" i="7"/>
  <c r="K836" i="7"/>
  <c r="K835" i="7"/>
  <c r="K834" i="7"/>
  <c r="K833" i="7"/>
  <c r="K832" i="7"/>
  <c r="K831" i="7"/>
  <c r="K830" i="7"/>
  <c r="K829" i="7"/>
  <c r="K828" i="7"/>
  <c r="K827" i="7"/>
  <c r="K826" i="7"/>
  <c r="K825" i="7"/>
  <c r="K824" i="7"/>
  <c r="K823" i="7"/>
  <c r="K822" i="7"/>
  <c r="K821" i="7"/>
  <c r="K820" i="7"/>
  <c r="K819" i="7"/>
  <c r="K818" i="7"/>
  <c r="K817" i="7"/>
  <c r="K816" i="7"/>
  <c r="K815" i="7"/>
  <c r="K814" i="7"/>
  <c r="K813" i="7"/>
  <c r="K812" i="7"/>
  <c r="K811" i="7"/>
  <c r="K810" i="7"/>
  <c r="K809" i="7"/>
  <c r="K808" i="7"/>
  <c r="K807" i="7"/>
  <c r="K806" i="7"/>
  <c r="K805" i="7"/>
  <c r="K804" i="7"/>
  <c r="K803" i="7"/>
  <c r="K802" i="7"/>
  <c r="K801" i="7"/>
  <c r="K800" i="7"/>
  <c r="K799" i="7"/>
  <c r="K798" i="7"/>
  <c r="K797" i="7"/>
  <c r="K796" i="7"/>
  <c r="K795" i="7"/>
  <c r="K794" i="7"/>
  <c r="K787" i="7"/>
  <c r="K786" i="7"/>
  <c r="K785" i="7"/>
  <c r="K784" i="7"/>
  <c r="K783" i="7"/>
  <c r="K782" i="7"/>
  <c r="K781" i="7"/>
  <c r="K780" i="7"/>
  <c r="K779" i="7"/>
  <c r="K778" i="7"/>
  <c r="K777" i="7"/>
  <c r="K776" i="7"/>
  <c r="K775" i="7"/>
  <c r="K774" i="7"/>
  <c r="K773" i="7"/>
  <c r="K772" i="7"/>
  <c r="K771" i="7"/>
  <c r="K770" i="7"/>
  <c r="K769" i="7"/>
  <c r="K768" i="7"/>
  <c r="K767" i="7"/>
  <c r="K766" i="7"/>
  <c r="K765" i="7"/>
  <c r="K764" i="7"/>
  <c r="K763" i="7"/>
  <c r="K762" i="7"/>
  <c r="K761" i="7"/>
  <c r="K760" i="7"/>
  <c r="K759" i="7"/>
  <c r="K758" i="7"/>
  <c r="K757" i="7"/>
  <c r="K756" i="7"/>
  <c r="K755" i="7"/>
  <c r="K754" i="7"/>
  <c r="K753" i="7"/>
  <c r="K752" i="7"/>
  <c r="K751" i="7"/>
  <c r="K750" i="7"/>
  <c r="K749" i="7"/>
  <c r="K748" i="7"/>
  <c r="K747" i="7"/>
  <c r="K746" i="7"/>
  <c r="K745" i="7"/>
  <c r="K744" i="7"/>
  <c r="K743" i="7"/>
  <c r="K742" i="7"/>
  <c r="K741" i="7"/>
  <c r="K740" i="7"/>
  <c r="K739" i="7"/>
  <c r="K738" i="7"/>
  <c r="K737" i="7"/>
  <c r="K736" i="7"/>
  <c r="K735" i="7"/>
  <c r="K734" i="7"/>
  <c r="K733" i="7"/>
  <c r="K732" i="7"/>
  <c r="K731" i="7"/>
  <c r="K729" i="7"/>
  <c r="K728" i="7"/>
  <c r="K727" i="7"/>
  <c r="K726" i="7"/>
  <c r="K725" i="7"/>
  <c r="K724" i="7"/>
  <c r="K723" i="7"/>
  <c r="K722" i="7"/>
  <c r="K721" i="7"/>
  <c r="K720" i="7"/>
  <c r="K719" i="7"/>
  <c r="K715" i="7"/>
  <c r="K714" i="7"/>
  <c r="K713" i="7"/>
  <c r="K712" i="7"/>
  <c r="K711" i="7"/>
  <c r="K710" i="7"/>
  <c r="K709" i="7"/>
  <c r="K708" i="7"/>
  <c r="K707" i="7"/>
  <c r="K706" i="7"/>
  <c r="K705" i="7"/>
  <c r="K704" i="7"/>
  <c r="K703" i="7"/>
  <c r="K702" i="7"/>
  <c r="K701" i="7"/>
  <c r="K700" i="7"/>
  <c r="K699" i="7"/>
  <c r="K698" i="7"/>
  <c r="K697" i="7"/>
  <c r="K696" i="7"/>
  <c r="K695" i="7"/>
  <c r="K694" i="7"/>
  <c r="K693" i="7"/>
  <c r="K692" i="7"/>
  <c r="K691" i="7"/>
  <c r="K690" i="7"/>
  <c r="K689" i="7"/>
  <c r="K688" i="7"/>
  <c r="K687" i="7"/>
  <c r="K686" i="7"/>
  <c r="K685" i="7"/>
  <c r="K684" i="7"/>
  <c r="K683" i="7"/>
  <c r="K682" i="7"/>
  <c r="K681" i="7"/>
  <c r="K680" i="7"/>
  <c r="K679" i="7"/>
  <c r="K678" i="7"/>
  <c r="K677" i="7"/>
  <c r="K676" i="7"/>
  <c r="K675" i="7"/>
  <c r="K674" i="7"/>
  <c r="K673" i="7"/>
  <c r="K672" i="7"/>
  <c r="K671" i="7"/>
  <c r="K670" i="7"/>
  <c r="K669" i="7"/>
  <c r="K668" i="7"/>
  <c r="K667" i="7"/>
  <c r="K666" i="7"/>
  <c r="K665" i="7"/>
  <c r="K664" i="7"/>
  <c r="K663" i="7"/>
  <c r="K662" i="7"/>
  <c r="K661" i="7"/>
  <c r="K660" i="7"/>
  <c r="K659" i="7"/>
  <c r="K658" i="7"/>
  <c r="K657" i="7"/>
  <c r="K656" i="7"/>
  <c r="K655" i="7"/>
  <c r="K654" i="7"/>
  <c r="K653" i="7"/>
  <c r="K652" i="7"/>
  <c r="K651" i="7"/>
  <c r="K650" i="7"/>
  <c r="K649" i="7"/>
  <c r="K648" i="7"/>
  <c r="K647" i="7"/>
  <c r="K645" i="7"/>
  <c r="K644" i="7"/>
  <c r="K643" i="7"/>
  <c r="K642" i="7"/>
  <c r="K641" i="7"/>
  <c r="K640" i="7"/>
  <c r="K639" i="7"/>
  <c r="K638" i="7"/>
  <c r="K637" i="7"/>
  <c r="K636" i="7"/>
  <c r="K635" i="7"/>
  <c r="K634" i="7"/>
  <c r="K633" i="7"/>
  <c r="K632" i="7"/>
  <c r="K631" i="7"/>
  <c r="K630" i="7"/>
  <c r="K629" i="7"/>
  <c r="K628" i="7"/>
  <c r="K627" i="7"/>
  <c r="K626" i="7"/>
  <c r="K625" i="7"/>
  <c r="K624" i="7"/>
  <c r="K623" i="7"/>
  <c r="K622" i="7"/>
  <c r="K621" i="7"/>
  <c r="K620" i="7"/>
  <c r="K619" i="7"/>
  <c r="K618" i="7"/>
  <c r="K617" i="7"/>
  <c r="K616" i="7"/>
  <c r="K615" i="7"/>
  <c r="K614" i="7"/>
  <c r="K613" i="7"/>
  <c r="K612" i="7"/>
  <c r="K611" i="7"/>
  <c r="K610" i="7"/>
  <c r="K609" i="7"/>
  <c r="K608" i="7"/>
  <c r="K607" i="7"/>
  <c r="K606" i="7"/>
  <c r="K605" i="7"/>
  <c r="K604" i="7"/>
  <c r="K603" i="7"/>
  <c r="K602" i="7"/>
  <c r="K601" i="7"/>
  <c r="K600" i="7"/>
  <c r="K599" i="7"/>
  <c r="K598" i="7"/>
  <c r="K597" i="7"/>
  <c r="K596" i="7"/>
  <c r="K595" i="7"/>
  <c r="K594" i="7"/>
  <c r="K593" i="7"/>
  <c r="K592" i="7"/>
  <c r="K591" i="7"/>
  <c r="K590" i="7"/>
  <c r="K589" i="7"/>
  <c r="K588" i="7"/>
  <c r="K587" i="7"/>
  <c r="K586" i="7"/>
  <c r="K585" i="7"/>
  <c r="K584" i="7"/>
  <c r="K583" i="7"/>
  <c r="K582" i="7"/>
  <c r="K581" i="7"/>
  <c r="K580" i="7"/>
  <c r="K579" i="7"/>
  <c r="K578" i="7"/>
  <c r="K577" i="7"/>
  <c r="Q582" i="7" l="1"/>
  <c r="Q799" i="7"/>
  <c r="Q652" i="7"/>
  <c r="Z1382" i="34" l="1"/>
  <c r="Z1381" i="34"/>
  <c r="Z1380" i="34"/>
  <c r="Z1379" i="34"/>
  <c r="Z1378" i="34"/>
  <c r="Z1377" i="34"/>
  <c r="Z1376" i="34"/>
  <c r="Z1375" i="34"/>
  <c r="Z1374" i="34"/>
  <c r="Z1373" i="34"/>
  <c r="Z1372" i="34"/>
  <c r="Z1371" i="34"/>
  <c r="Z1370" i="34"/>
  <c r="Z1369" i="34"/>
  <c r="Z1368" i="34"/>
  <c r="Z1367" i="34"/>
  <c r="Z1366" i="34"/>
  <c r="Z1365" i="34"/>
  <c r="Z1364" i="34"/>
  <c r="Z1363" i="34"/>
  <c r="Z1362" i="34"/>
  <c r="Z1361" i="34"/>
  <c r="Z1360" i="34"/>
  <c r="Z1359" i="34"/>
  <c r="Z1358" i="34"/>
  <c r="Z1357" i="34"/>
  <c r="Z1356" i="34"/>
  <c r="Z1355" i="34"/>
  <c r="Z1354" i="34"/>
  <c r="Z1353" i="34"/>
  <c r="Z1352" i="34"/>
  <c r="Z1351" i="34"/>
  <c r="Z1350" i="34"/>
  <c r="Z1349" i="34"/>
  <c r="Z1348" i="34"/>
  <c r="Z1347" i="34"/>
  <c r="Z1346" i="34"/>
  <c r="Z1345" i="34"/>
  <c r="Z1344" i="34"/>
  <c r="Z1343" i="34"/>
  <c r="Z1342" i="34"/>
  <c r="Z1341" i="34"/>
  <c r="Z1340" i="34"/>
  <c r="Z1339" i="34"/>
  <c r="Z1338" i="34"/>
  <c r="Z1337" i="34"/>
  <c r="Z1336" i="34"/>
  <c r="Z1335" i="34"/>
  <c r="Z1334" i="34"/>
  <c r="Z1333" i="34"/>
  <c r="Z1332" i="34"/>
  <c r="Z1331" i="34"/>
  <c r="Z1330" i="34"/>
  <c r="Z1329" i="34"/>
  <c r="Z1328" i="34"/>
  <c r="Z1327" i="34"/>
  <c r="Z1326" i="34"/>
  <c r="Z1325" i="34"/>
  <c r="Z1324" i="34"/>
  <c r="Z1323" i="34"/>
  <c r="Z1322" i="34"/>
  <c r="Z1321" i="34"/>
  <c r="Z1320" i="34"/>
  <c r="Z1319" i="34"/>
  <c r="Z1318" i="34"/>
  <c r="Z1317" i="34"/>
  <c r="Z1316" i="34"/>
  <c r="Z1315" i="34"/>
  <c r="Z1314" i="34"/>
  <c r="Z1313" i="34"/>
  <c r="Z1312" i="34"/>
  <c r="Z1311" i="34"/>
  <c r="Z1310" i="34"/>
  <c r="Z1309" i="34"/>
  <c r="Z1308" i="34"/>
  <c r="Z1307" i="34"/>
  <c r="Z1306" i="34"/>
  <c r="Z1305" i="34"/>
  <c r="Z1304" i="34"/>
  <c r="Z1303" i="34"/>
  <c r="Z1302" i="34"/>
  <c r="Z1301" i="34"/>
  <c r="Z1300" i="34"/>
  <c r="Z1299" i="34"/>
  <c r="Z1298" i="34"/>
  <c r="Z1297" i="34"/>
  <c r="Z1296" i="34"/>
  <c r="Z1295" i="34"/>
  <c r="Z1294" i="34"/>
  <c r="Z1293" i="34"/>
  <c r="Z1292" i="34"/>
  <c r="Z1291" i="34"/>
  <c r="Z1290" i="34"/>
  <c r="Z1289" i="34"/>
  <c r="Z1288" i="34"/>
  <c r="Z1287" i="34"/>
  <c r="Z1286" i="34"/>
  <c r="Z1285" i="34"/>
  <c r="Z1284" i="34"/>
  <c r="Z1283" i="34"/>
  <c r="Z1282" i="34"/>
  <c r="Z1281" i="34"/>
  <c r="Z1280" i="34"/>
  <c r="Z1279" i="34"/>
  <c r="Z1278" i="34"/>
  <c r="Z1277" i="34"/>
  <c r="Z1276" i="34"/>
  <c r="Z1275" i="34"/>
  <c r="Z1274" i="34"/>
  <c r="Z1273" i="34"/>
  <c r="Z1272" i="34"/>
  <c r="Z1271" i="34"/>
  <c r="Z1270" i="34"/>
  <c r="Z1269" i="34"/>
  <c r="Z1268" i="34"/>
  <c r="Z1267" i="34"/>
  <c r="Z1266" i="34"/>
  <c r="Z1265" i="34"/>
  <c r="Z1264" i="34"/>
  <c r="Z1263" i="34"/>
  <c r="Z1262" i="34"/>
  <c r="Z1261" i="34"/>
  <c r="Z1260" i="34"/>
  <c r="Z1259" i="34"/>
  <c r="Z1258" i="34"/>
  <c r="Z1257" i="34"/>
  <c r="Z1256" i="34"/>
  <c r="Z1255" i="34"/>
  <c r="Z1254" i="34"/>
  <c r="Z1253" i="34"/>
  <c r="Z1252" i="34"/>
  <c r="Z1251" i="34"/>
  <c r="Z1250" i="34"/>
  <c r="Z1249" i="34"/>
  <c r="Z1248" i="34"/>
  <c r="Z1247" i="34"/>
  <c r="Z1246" i="34"/>
  <c r="Z1245" i="34"/>
  <c r="Z1244" i="34"/>
  <c r="Z1243" i="34"/>
  <c r="Z1242" i="34"/>
  <c r="Z1241" i="34"/>
  <c r="Z1240" i="34"/>
  <c r="Z1239" i="34"/>
  <c r="Z1238" i="34"/>
  <c r="Z1237" i="34"/>
  <c r="Z1236" i="34"/>
  <c r="Z1235" i="34"/>
  <c r="Z1234" i="34"/>
  <c r="Z1233" i="34"/>
  <c r="Z1232" i="34"/>
  <c r="Z1231" i="34"/>
  <c r="Z1230" i="34"/>
  <c r="Z1229" i="34"/>
  <c r="Z1228" i="34"/>
  <c r="Z1227" i="34"/>
  <c r="Z1226" i="34"/>
  <c r="Z1225" i="34"/>
  <c r="Z1224" i="34"/>
  <c r="Z1223" i="34"/>
  <c r="Z1222" i="34"/>
  <c r="Z1221" i="34"/>
  <c r="Z1220" i="34"/>
  <c r="Z1219" i="34"/>
  <c r="Z1218" i="34"/>
  <c r="Z1217" i="34"/>
  <c r="Z1216" i="34"/>
  <c r="Z1215" i="34"/>
  <c r="Z1214" i="34"/>
  <c r="Z1213" i="34"/>
  <c r="Z1212" i="34"/>
  <c r="Z1211" i="34"/>
  <c r="Z1210" i="34"/>
  <c r="Z1209" i="34"/>
  <c r="Z1208" i="34"/>
  <c r="Z1207" i="34"/>
  <c r="Z1206" i="34"/>
  <c r="Z1205" i="34"/>
  <c r="Z1204" i="34"/>
  <c r="Z1203" i="34"/>
  <c r="Z1202" i="34"/>
  <c r="Z1201" i="34"/>
  <c r="Z1200" i="34"/>
  <c r="Z1199" i="34"/>
  <c r="Z1198" i="34"/>
  <c r="Z1197" i="34"/>
  <c r="Z1196" i="34"/>
  <c r="Z1195" i="34"/>
  <c r="Z1194" i="34"/>
  <c r="Z1193" i="34"/>
  <c r="Z1192" i="34"/>
  <c r="Z1191" i="34"/>
  <c r="Z1190" i="34"/>
  <c r="Z1189" i="34"/>
  <c r="Z1188" i="34"/>
  <c r="Z1187" i="34"/>
  <c r="Z1186" i="34"/>
  <c r="Z1185" i="34"/>
  <c r="Z1184" i="34"/>
  <c r="Z1183" i="34"/>
  <c r="Z1182" i="34"/>
  <c r="Z1181" i="34"/>
  <c r="Z1180" i="34"/>
  <c r="Z1179" i="34"/>
  <c r="Z1178" i="34"/>
  <c r="Z1177" i="34"/>
  <c r="Z1176" i="34"/>
  <c r="Z1175" i="34"/>
  <c r="Z1174" i="34"/>
  <c r="Z1173" i="34"/>
  <c r="Z1172" i="34"/>
  <c r="Z1171" i="34"/>
  <c r="Z1170" i="34"/>
  <c r="Z1169" i="34"/>
  <c r="Z1168" i="34"/>
  <c r="Z1167" i="34"/>
  <c r="Z1166" i="34"/>
  <c r="Z1165" i="34"/>
  <c r="Z1164" i="34"/>
  <c r="Z1163" i="34"/>
  <c r="Z1162" i="34"/>
  <c r="Z1161" i="34"/>
  <c r="Z1160" i="34"/>
  <c r="Z1159" i="34"/>
  <c r="Z1158" i="34"/>
  <c r="Z1157" i="34"/>
  <c r="Z1156" i="34"/>
  <c r="Z1155" i="34"/>
  <c r="Z1154" i="34"/>
  <c r="Z1153" i="34"/>
  <c r="Z1152" i="34"/>
  <c r="Z1151" i="34"/>
  <c r="Z1150" i="34"/>
  <c r="Z1149" i="34"/>
  <c r="Z1148" i="34"/>
  <c r="Z1147" i="34"/>
  <c r="Z1146" i="34"/>
  <c r="Z1145" i="34"/>
  <c r="Z1144" i="34"/>
  <c r="Z1143" i="34"/>
  <c r="Z1142" i="34"/>
  <c r="Z1141" i="34"/>
  <c r="Z1140" i="34"/>
  <c r="Z1139" i="34"/>
  <c r="Z1138" i="34"/>
  <c r="Z1137" i="34"/>
  <c r="Z1136" i="34"/>
  <c r="Z1135" i="34"/>
  <c r="Z1134" i="34"/>
  <c r="Z1133" i="34"/>
  <c r="Z1132" i="34"/>
  <c r="Z1131" i="34"/>
  <c r="Z1130" i="34"/>
  <c r="Z1129" i="34"/>
  <c r="Z1128" i="34"/>
  <c r="Z1127" i="34"/>
  <c r="Z1126" i="34"/>
  <c r="Z1125" i="34"/>
  <c r="Z1124" i="34"/>
  <c r="Z1123" i="34"/>
  <c r="Z1122" i="34"/>
  <c r="Z1121" i="34"/>
  <c r="Z1120" i="34"/>
  <c r="Z1119" i="34"/>
  <c r="Z1118" i="34"/>
  <c r="Z1117" i="34"/>
  <c r="Z1116" i="34"/>
  <c r="Z1115" i="34"/>
  <c r="Z1114" i="34"/>
  <c r="Z1113" i="34"/>
  <c r="Z1112" i="34"/>
  <c r="Z1111" i="34"/>
  <c r="Z1110" i="34"/>
  <c r="Z1109" i="34"/>
  <c r="Z1108" i="34"/>
  <c r="Z1107" i="34"/>
  <c r="Z1106" i="34"/>
  <c r="Z1105" i="34"/>
  <c r="Z1104" i="34"/>
  <c r="Z1103" i="34"/>
  <c r="Z1102" i="34"/>
  <c r="Z1101" i="34"/>
  <c r="Z1100" i="34"/>
  <c r="Z1099" i="34"/>
  <c r="Z1098" i="34"/>
  <c r="Z1097" i="34"/>
  <c r="Z1096" i="34"/>
  <c r="Z1095" i="34"/>
  <c r="Z1094" i="34"/>
  <c r="Z1093" i="34"/>
  <c r="Z1092" i="34"/>
  <c r="Z1091" i="34"/>
  <c r="Z1090" i="34"/>
  <c r="Z1089" i="34"/>
  <c r="Z1088" i="34"/>
  <c r="Z1087" i="34"/>
  <c r="Z1086" i="34"/>
  <c r="Z1085" i="34"/>
  <c r="Z1084" i="34"/>
  <c r="Z1083" i="34"/>
  <c r="Z1082" i="34"/>
  <c r="Z1081" i="34"/>
  <c r="Z1080" i="34"/>
  <c r="Z1079" i="34"/>
  <c r="Z1078" i="34"/>
  <c r="Z1077" i="34"/>
  <c r="Z1076" i="34"/>
  <c r="Z1075" i="34"/>
  <c r="Z1074" i="34"/>
  <c r="Z1073" i="34"/>
  <c r="Z1072" i="34"/>
  <c r="Z1071" i="34"/>
  <c r="Z1070" i="34"/>
  <c r="Z1069" i="34"/>
  <c r="Z1068" i="34"/>
  <c r="Z1067" i="34"/>
  <c r="Z1066" i="34"/>
  <c r="Z1065" i="34"/>
  <c r="Z1064" i="34"/>
  <c r="Z1063" i="34"/>
  <c r="Z1062" i="34"/>
  <c r="Z1061" i="34"/>
  <c r="Z1060" i="34"/>
  <c r="Z1059" i="34"/>
  <c r="Z1058" i="34"/>
  <c r="Z1057" i="34"/>
  <c r="Z1056" i="34"/>
  <c r="Z1055" i="34"/>
  <c r="Z1054" i="34"/>
  <c r="Z1053" i="34"/>
  <c r="Z1052" i="34"/>
  <c r="Z1051" i="34"/>
  <c r="Z1050" i="34"/>
  <c r="Z1049" i="34"/>
  <c r="Z1048" i="34"/>
  <c r="Z1047" i="34"/>
  <c r="Z1046" i="34"/>
  <c r="Z1045" i="34"/>
  <c r="Z1044" i="34"/>
  <c r="Z1043" i="34"/>
  <c r="Z1042" i="34"/>
  <c r="Z1041" i="34"/>
  <c r="Z1040" i="34"/>
  <c r="Z1039" i="34"/>
  <c r="Z1038" i="34"/>
  <c r="Z1037" i="34"/>
  <c r="Z1036" i="34"/>
  <c r="Z1035" i="34"/>
  <c r="Z1034" i="34"/>
  <c r="Z1033" i="34"/>
  <c r="Z1032" i="34"/>
  <c r="Z1031" i="34"/>
  <c r="Z1030" i="34"/>
  <c r="Z1029" i="34"/>
  <c r="Z1028" i="34"/>
  <c r="Z1027" i="34"/>
  <c r="Z1026" i="34"/>
  <c r="Z1025" i="34"/>
  <c r="Z1024" i="34"/>
  <c r="Z1023" i="34"/>
  <c r="Z1022" i="34"/>
  <c r="Z1021" i="34"/>
  <c r="Z1020" i="34"/>
  <c r="Z1019" i="34"/>
  <c r="Z1018" i="34"/>
  <c r="Z1017" i="34"/>
  <c r="Z1016" i="34"/>
  <c r="Z1015" i="34"/>
  <c r="Z1014" i="34"/>
  <c r="Z1013" i="34"/>
  <c r="Z1012" i="34"/>
  <c r="Z1011" i="34"/>
  <c r="Z1010" i="34"/>
  <c r="Z1009" i="34"/>
  <c r="Z1008" i="34"/>
  <c r="Z1007" i="34"/>
  <c r="Z1006" i="34"/>
  <c r="Z1005" i="34"/>
  <c r="Z1004" i="34"/>
  <c r="Z1003" i="34"/>
  <c r="Z1002" i="34"/>
  <c r="Z1001" i="34"/>
  <c r="Z1000" i="34"/>
  <c r="Z999" i="34"/>
  <c r="Z998" i="34"/>
  <c r="Z997" i="34"/>
  <c r="Z996" i="34"/>
  <c r="Z995" i="34"/>
  <c r="Z994" i="34"/>
  <c r="Z993" i="34"/>
  <c r="Z992" i="34"/>
  <c r="Z991" i="34"/>
  <c r="Z990" i="34"/>
  <c r="Z989" i="34"/>
  <c r="Z988" i="34"/>
  <c r="Z987" i="34"/>
  <c r="Z986" i="34"/>
  <c r="Z985" i="34"/>
  <c r="Z984" i="34"/>
  <c r="Z983" i="34"/>
  <c r="Z982" i="34"/>
  <c r="Z981" i="34"/>
  <c r="Z980" i="34"/>
  <c r="Z979" i="34"/>
  <c r="Z978" i="34"/>
  <c r="Z977" i="34"/>
  <c r="Z976" i="34"/>
  <c r="Z975" i="34"/>
  <c r="Z974" i="34"/>
  <c r="Z973" i="34"/>
  <c r="Z972" i="34"/>
  <c r="Z971" i="34"/>
  <c r="Z970" i="34"/>
  <c r="Z969" i="34"/>
  <c r="Z968" i="34"/>
  <c r="Z967" i="34"/>
  <c r="Z966" i="34"/>
  <c r="Z965" i="34"/>
  <c r="Z964" i="34"/>
  <c r="Z963" i="34"/>
  <c r="Z962" i="34"/>
  <c r="Z961" i="34"/>
  <c r="Z960" i="34"/>
  <c r="Z959" i="34"/>
  <c r="Z958" i="34"/>
  <c r="Z957" i="34"/>
  <c r="Z956" i="34"/>
  <c r="Z955" i="34"/>
  <c r="Z954" i="34"/>
  <c r="Z953" i="34"/>
  <c r="Z952" i="34"/>
  <c r="Z951" i="34"/>
  <c r="Z950" i="34"/>
  <c r="Z949" i="34"/>
  <c r="Z948" i="34"/>
  <c r="Z947" i="34"/>
  <c r="Z946" i="34"/>
  <c r="Z945" i="34"/>
  <c r="Z944" i="34"/>
  <c r="Z943" i="34"/>
  <c r="Z942" i="34"/>
  <c r="Z941" i="34"/>
  <c r="Z940" i="34"/>
  <c r="Z939" i="34"/>
  <c r="Z938" i="34"/>
  <c r="Z937" i="34"/>
  <c r="Z936" i="34"/>
  <c r="Z935" i="34"/>
  <c r="Z934" i="34"/>
  <c r="Z933" i="34"/>
  <c r="Z932" i="34"/>
  <c r="Z931" i="34"/>
  <c r="Z930" i="34"/>
  <c r="Z929" i="34"/>
  <c r="Z928" i="34"/>
  <c r="Z927" i="34"/>
  <c r="Z926" i="34"/>
  <c r="Z925" i="34"/>
  <c r="Z924" i="34"/>
  <c r="Z923" i="34"/>
  <c r="Z922" i="34"/>
  <c r="Z921" i="34"/>
  <c r="Z920" i="34"/>
  <c r="Z919" i="34"/>
  <c r="Z918" i="34"/>
  <c r="Z917" i="34"/>
  <c r="Z916" i="34"/>
  <c r="Z915" i="34"/>
  <c r="Z914" i="34"/>
  <c r="Z913" i="34"/>
  <c r="Z912" i="34"/>
  <c r="Z911" i="34"/>
  <c r="Z910" i="34"/>
  <c r="Z909" i="34"/>
  <c r="Z908" i="34"/>
  <c r="Z907" i="34"/>
  <c r="Z906" i="34"/>
  <c r="Z905" i="34"/>
  <c r="Z904" i="34"/>
  <c r="Z903" i="34"/>
  <c r="Z902" i="34"/>
  <c r="Z901" i="34"/>
  <c r="Z900" i="34"/>
  <c r="Z899" i="34"/>
  <c r="Z898" i="34"/>
  <c r="Z897" i="34"/>
  <c r="Z896" i="34"/>
  <c r="Z895" i="34"/>
  <c r="Z894" i="34"/>
  <c r="Z893" i="34"/>
  <c r="Z892" i="34"/>
  <c r="Z891" i="34"/>
  <c r="Z890" i="34"/>
  <c r="Z889" i="34"/>
  <c r="Z888" i="34"/>
  <c r="Z887" i="34"/>
  <c r="Z886" i="34"/>
  <c r="Z885" i="34"/>
  <c r="Z884" i="34"/>
  <c r="Z883" i="34"/>
  <c r="Z882" i="34"/>
  <c r="Z881" i="34"/>
  <c r="Z880" i="34"/>
  <c r="Z879" i="34"/>
  <c r="Z878" i="34"/>
  <c r="Z877" i="34"/>
  <c r="Z876" i="34"/>
  <c r="Z875" i="34"/>
  <c r="Z874" i="34"/>
  <c r="Z873" i="34"/>
  <c r="Z872" i="34"/>
  <c r="Z871" i="34"/>
  <c r="Z870" i="34"/>
  <c r="Z869" i="34"/>
  <c r="Z868" i="34"/>
  <c r="Z867" i="34"/>
  <c r="Z866" i="34"/>
  <c r="Z865" i="34"/>
  <c r="Z864" i="34"/>
  <c r="Z863" i="34"/>
  <c r="Z862" i="34"/>
  <c r="Z861" i="34"/>
  <c r="Z860" i="34"/>
  <c r="Z859" i="34"/>
  <c r="Z858" i="34"/>
  <c r="Z857" i="34"/>
  <c r="Z856" i="34"/>
  <c r="Z855" i="34"/>
  <c r="Z854" i="34"/>
  <c r="Z853" i="34"/>
  <c r="Z852" i="34"/>
  <c r="Z851" i="34"/>
  <c r="Z850" i="34"/>
  <c r="Z849" i="34"/>
  <c r="Z848" i="34"/>
  <c r="Z847" i="34"/>
  <c r="Z846" i="34"/>
  <c r="Z845" i="34"/>
  <c r="Z844" i="34"/>
  <c r="Z843" i="34"/>
  <c r="Z842" i="34"/>
  <c r="Z841" i="34"/>
  <c r="Z840" i="34"/>
  <c r="Z839" i="34"/>
  <c r="Z838" i="34"/>
  <c r="Z837" i="34"/>
  <c r="Z836" i="34"/>
  <c r="Z835" i="34"/>
  <c r="Z834" i="34"/>
  <c r="Z833" i="34"/>
  <c r="Z832" i="34"/>
  <c r="Z831" i="34"/>
  <c r="Z830" i="34"/>
  <c r="Z829" i="34"/>
  <c r="Z828" i="34"/>
  <c r="Z827" i="34"/>
  <c r="Z826" i="34"/>
  <c r="Z825" i="34"/>
  <c r="Z824" i="34"/>
  <c r="Z823" i="34"/>
  <c r="Z822" i="34"/>
  <c r="Z821" i="34"/>
  <c r="Z820" i="34"/>
  <c r="Z819" i="34"/>
  <c r="Z818" i="34"/>
  <c r="Z817" i="34"/>
  <c r="Z816" i="34"/>
  <c r="Z815" i="34"/>
  <c r="Z814" i="34"/>
  <c r="Z813" i="34"/>
  <c r="Z812" i="34"/>
  <c r="Z811" i="34"/>
  <c r="Z810" i="34"/>
  <c r="Z809" i="34"/>
  <c r="Z808" i="34"/>
  <c r="Z807" i="34"/>
  <c r="Z806" i="34"/>
  <c r="Z805" i="34"/>
  <c r="Z804" i="34"/>
  <c r="Z803" i="34"/>
  <c r="Z802" i="34"/>
  <c r="Z801" i="34"/>
  <c r="Z800" i="34"/>
  <c r="Z799" i="34"/>
  <c r="Z798" i="34"/>
  <c r="Z797" i="34"/>
  <c r="Z796" i="34"/>
  <c r="Z795" i="34"/>
  <c r="Z794" i="34"/>
  <c r="Z793" i="34"/>
  <c r="Z792" i="34"/>
  <c r="Z791" i="34"/>
  <c r="Z790" i="34"/>
  <c r="Z789" i="34"/>
  <c r="Z788" i="34"/>
  <c r="Z787" i="34"/>
  <c r="Z786" i="34"/>
  <c r="Z785" i="34"/>
  <c r="Z784" i="34"/>
  <c r="Z783" i="34"/>
  <c r="Z782" i="34"/>
  <c r="Z781" i="34"/>
  <c r="Z780" i="34"/>
  <c r="Z779" i="34"/>
  <c r="Z778" i="34"/>
  <c r="Z777" i="34"/>
  <c r="Z776" i="34"/>
  <c r="Z775" i="34"/>
  <c r="Z774" i="34"/>
  <c r="Z773" i="34"/>
  <c r="Z772" i="34"/>
  <c r="Z771" i="34"/>
  <c r="Z770" i="34"/>
  <c r="Z769" i="34"/>
  <c r="Z768" i="34"/>
  <c r="Z767" i="34"/>
  <c r="Z766" i="34"/>
  <c r="Z765" i="34"/>
  <c r="Z764" i="34"/>
  <c r="Z763" i="34"/>
  <c r="Z762" i="34"/>
  <c r="Z761" i="34"/>
  <c r="Z760" i="34"/>
  <c r="Z759" i="34"/>
  <c r="Z758" i="34"/>
  <c r="Z757" i="34"/>
  <c r="Z756" i="34"/>
  <c r="Z755" i="34"/>
  <c r="Z754" i="34"/>
  <c r="Z753" i="34"/>
  <c r="Z752" i="34"/>
  <c r="Z751" i="34"/>
  <c r="Z750" i="34"/>
  <c r="Z749" i="34"/>
  <c r="Z748" i="34"/>
  <c r="Z747" i="34"/>
  <c r="Z746" i="34"/>
  <c r="Z745" i="34"/>
  <c r="Z744" i="34"/>
  <c r="Z743" i="34"/>
  <c r="Z742" i="34"/>
  <c r="Z741" i="34"/>
  <c r="Z740" i="34"/>
  <c r="Z739" i="34"/>
  <c r="Z738" i="34"/>
  <c r="Z737" i="34"/>
  <c r="Z736" i="34"/>
  <c r="Z735" i="34"/>
  <c r="Z734" i="34"/>
  <c r="Z733" i="34"/>
  <c r="Z732" i="34"/>
  <c r="Z731" i="34"/>
  <c r="Z730" i="34"/>
  <c r="Z729" i="34"/>
  <c r="Z728" i="34"/>
  <c r="Z727" i="34"/>
  <c r="Z726" i="34"/>
  <c r="Z725" i="34"/>
  <c r="Z724" i="34"/>
  <c r="Z723" i="34"/>
  <c r="Z722" i="34"/>
  <c r="Z721" i="34"/>
  <c r="Z720" i="34"/>
  <c r="Z719" i="34"/>
  <c r="Z718" i="34"/>
  <c r="Z717" i="34"/>
  <c r="Z716" i="34"/>
  <c r="Z715" i="34"/>
  <c r="Z714" i="34"/>
  <c r="Z713" i="34"/>
  <c r="Z712" i="34"/>
  <c r="Z711" i="34"/>
  <c r="Z710" i="34"/>
  <c r="Z709" i="34"/>
  <c r="Z708" i="34"/>
  <c r="Z707" i="34"/>
  <c r="Z706" i="34"/>
  <c r="Z705" i="34"/>
  <c r="Z704" i="34"/>
  <c r="Z703" i="34"/>
  <c r="Z702" i="34"/>
  <c r="Z701" i="34"/>
  <c r="Z700" i="34"/>
  <c r="Z699" i="34"/>
  <c r="Z698" i="34"/>
  <c r="Z697" i="34"/>
  <c r="Z696" i="34"/>
  <c r="Z695" i="34"/>
  <c r="Z694" i="34"/>
  <c r="Z693" i="34"/>
  <c r="Z692" i="34"/>
  <c r="Z691" i="34"/>
  <c r="Z690" i="34"/>
  <c r="Z689" i="34"/>
  <c r="Z688" i="34"/>
  <c r="Z687" i="34"/>
  <c r="Z686" i="34"/>
  <c r="Z685" i="34"/>
  <c r="Z684" i="34"/>
  <c r="Z683" i="34"/>
  <c r="Z682" i="34"/>
  <c r="Z681" i="34"/>
  <c r="Z680" i="34"/>
  <c r="Z679" i="34"/>
  <c r="Z678" i="34"/>
  <c r="Z677" i="34"/>
  <c r="Z676" i="34"/>
  <c r="Z675" i="34"/>
  <c r="Z674" i="34"/>
  <c r="Z673" i="34"/>
  <c r="Z672" i="34"/>
  <c r="Z671" i="34"/>
  <c r="Z670" i="34"/>
  <c r="Z669" i="34"/>
  <c r="Z668" i="34"/>
  <c r="Z667" i="34"/>
  <c r="Z666" i="34"/>
  <c r="Z665" i="34"/>
  <c r="Z664" i="34"/>
  <c r="Z663" i="34"/>
  <c r="Z662" i="34"/>
  <c r="Z661" i="34"/>
  <c r="Z660" i="34"/>
  <c r="Z659" i="34"/>
  <c r="Z658" i="34"/>
  <c r="Z657" i="34"/>
  <c r="Z656" i="34"/>
  <c r="Z655" i="34"/>
  <c r="Z654" i="34"/>
  <c r="Z653" i="34"/>
  <c r="Z652" i="34"/>
  <c r="Z651" i="34"/>
  <c r="Z650" i="34"/>
  <c r="Z649" i="34"/>
  <c r="Z648" i="34"/>
  <c r="Z647" i="34"/>
  <c r="Z646" i="34"/>
  <c r="Z645" i="34"/>
  <c r="Z644" i="34"/>
  <c r="Z643" i="34"/>
  <c r="Z642" i="34"/>
  <c r="Z641" i="34"/>
  <c r="Z640" i="34"/>
  <c r="Z639" i="34"/>
  <c r="Z638" i="34"/>
  <c r="Z637" i="34"/>
  <c r="Z636" i="34"/>
  <c r="Z635" i="34"/>
  <c r="Z634" i="34"/>
  <c r="Z633" i="34"/>
  <c r="Z632" i="34"/>
  <c r="Z631" i="34"/>
  <c r="Z630" i="34"/>
  <c r="Z629" i="34"/>
  <c r="Z628" i="34"/>
  <c r="Z627" i="34"/>
  <c r="Z626" i="34"/>
  <c r="Z625" i="34"/>
  <c r="Z624" i="34"/>
  <c r="Z623" i="34"/>
  <c r="Z622" i="34"/>
  <c r="Z621" i="34"/>
  <c r="Z620" i="34"/>
  <c r="Z619" i="34"/>
  <c r="Z618" i="34"/>
  <c r="Z617" i="34"/>
  <c r="Z616" i="34"/>
  <c r="Z615" i="34"/>
  <c r="Z614" i="34"/>
  <c r="Z613" i="34"/>
  <c r="Z612" i="34"/>
  <c r="Z611" i="34"/>
  <c r="Z610" i="34"/>
  <c r="Z609" i="34"/>
  <c r="Z608" i="34"/>
  <c r="Z607" i="34"/>
  <c r="Z606" i="34"/>
  <c r="Z605" i="34"/>
  <c r="Z604" i="34"/>
  <c r="Z603" i="34"/>
  <c r="Z602" i="34"/>
  <c r="Z601" i="34"/>
  <c r="Z600" i="34"/>
  <c r="Z599" i="34"/>
  <c r="Z598" i="34"/>
  <c r="Z597" i="34"/>
  <c r="Z596" i="34"/>
  <c r="Z595" i="34"/>
  <c r="Z594" i="34"/>
  <c r="Z593" i="34"/>
  <c r="Z592" i="34"/>
  <c r="Z591" i="34"/>
  <c r="Z590" i="34"/>
  <c r="Z589" i="34"/>
  <c r="Z588" i="34"/>
  <c r="Z587" i="34"/>
  <c r="Z586" i="34"/>
  <c r="Z585" i="34"/>
  <c r="Z584" i="34"/>
  <c r="Z583" i="34"/>
  <c r="Z582" i="34"/>
  <c r="Z581" i="34"/>
  <c r="Z580" i="34"/>
  <c r="Z579" i="34"/>
  <c r="Z578" i="34"/>
  <c r="Z577" i="34"/>
  <c r="Z576" i="34"/>
  <c r="Z575" i="34"/>
  <c r="Z574" i="34"/>
  <c r="Z573" i="34"/>
  <c r="Z572" i="34"/>
  <c r="Z571" i="34"/>
  <c r="Z570" i="34"/>
  <c r="Z569" i="34"/>
  <c r="Z568" i="34"/>
  <c r="Z567" i="34"/>
  <c r="Z566" i="34"/>
  <c r="Z565" i="34"/>
  <c r="Z564" i="34"/>
  <c r="Z563" i="34"/>
  <c r="Z562" i="34"/>
  <c r="Z561" i="34"/>
  <c r="Z560" i="34"/>
  <c r="Z559" i="34"/>
  <c r="Z558" i="34"/>
  <c r="Z557" i="34"/>
  <c r="Z556" i="34"/>
  <c r="Z555" i="34"/>
  <c r="Z554" i="34"/>
  <c r="Z553" i="34"/>
  <c r="Z552" i="34"/>
  <c r="Z551" i="34"/>
  <c r="Z550" i="34"/>
  <c r="Z549" i="34"/>
  <c r="Z548" i="34"/>
  <c r="Z547" i="34"/>
  <c r="Z546" i="34"/>
  <c r="Z545" i="34"/>
  <c r="Z544" i="34"/>
  <c r="Z543" i="34"/>
  <c r="Z542" i="34"/>
  <c r="Z541" i="34"/>
  <c r="Z540" i="34"/>
  <c r="Z539" i="34"/>
  <c r="Z538" i="34"/>
  <c r="Z537" i="34"/>
  <c r="Z536" i="34"/>
  <c r="Z535" i="34"/>
  <c r="Z534" i="34"/>
  <c r="Z533" i="34"/>
  <c r="Z532" i="34"/>
  <c r="Z531" i="34"/>
  <c r="Z530" i="34"/>
  <c r="Z529" i="34"/>
  <c r="Z528" i="34"/>
  <c r="Z527" i="34"/>
  <c r="Z526" i="34"/>
  <c r="Z525" i="34"/>
  <c r="Z524" i="34"/>
  <c r="Z523" i="34"/>
  <c r="Z522" i="34"/>
  <c r="Z521" i="34"/>
  <c r="Z520" i="34"/>
  <c r="Z519" i="34"/>
  <c r="Z518" i="34"/>
  <c r="Z517" i="34"/>
  <c r="Z516" i="34"/>
  <c r="Z515" i="34"/>
  <c r="Z514" i="34"/>
  <c r="Z513" i="34"/>
  <c r="Z512" i="34"/>
  <c r="Z511" i="34"/>
  <c r="Z510" i="34"/>
  <c r="Z509" i="34"/>
  <c r="Z508" i="34"/>
  <c r="Z507" i="34"/>
  <c r="Z506" i="34"/>
  <c r="Z505" i="34"/>
  <c r="Z504" i="34"/>
  <c r="Z503" i="34"/>
  <c r="Z502" i="34"/>
  <c r="Z501" i="34"/>
  <c r="Z500" i="34"/>
  <c r="Z499" i="34"/>
  <c r="Z498" i="34"/>
  <c r="Z497" i="34"/>
  <c r="Z496" i="34"/>
  <c r="Z495" i="34"/>
  <c r="Z494" i="34"/>
  <c r="Z493" i="34"/>
  <c r="Z492" i="34"/>
  <c r="Z491" i="34"/>
  <c r="Z490" i="34"/>
  <c r="Z489" i="34"/>
  <c r="Z488" i="34"/>
  <c r="Z487" i="34"/>
  <c r="Z486" i="34"/>
  <c r="Z485" i="34"/>
  <c r="Z484" i="34"/>
  <c r="Z483" i="34"/>
  <c r="Z482" i="34"/>
  <c r="Z481" i="34"/>
  <c r="Z480" i="34"/>
  <c r="Z479" i="34"/>
  <c r="Z478" i="34"/>
  <c r="Z477" i="34"/>
  <c r="Z476" i="34"/>
  <c r="Z475" i="34"/>
  <c r="Z474" i="34"/>
  <c r="Z473" i="34"/>
  <c r="Z472" i="34"/>
  <c r="Z471" i="34"/>
  <c r="Z470" i="34"/>
  <c r="Z469" i="34"/>
  <c r="Z468" i="34"/>
  <c r="Z467" i="34"/>
  <c r="Z466" i="34"/>
  <c r="Z465" i="34"/>
  <c r="Z464" i="34"/>
  <c r="Z463" i="34"/>
  <c r="Z462" i="34"/>
  <c r="Z461" i="34"/>
  <c r="Z460" i="34"/>
  <c r="Z459" i="34"/>
  <c r="Z458" i="34"/>
  <c r="Z457" i="34"/>
  <c r="Z456" i="34"/>
  <c r="Z455" i="34"/>
  <c r="Z454" i="34"/>
  <c r="Z453" i="34"/>
  <c r="Z452" i="34"/>
  <c r="Z451" i="34"/>
  <c r="Z450" i="34"/>
  <c r="Z449" i="34"/>
  <c r="Z448" i="34"/>
  <c r="Z447" i="34"/>
  <c r="Z446" i="34"/>
  <c r="Z445" i="34"/>
  <c r="Z444" i="34"/>
  <c r="Z443" i="34"/>
  <c r="Z442" i="34"/>
  <c r="Z441" i="34"/>
  <c r="Z440" i="34"/>
  <c r="Z439" i="34"/>
  <c r="Z438" i="34"/>
  <c r="Z437" i="34"/>
  <c r="Z436" i="34"/>
  <c r="Z435" i="34"/>
  <c r="Z434" i="34"/>
  <c r="Z433" i="34"/>
  <c r="Z432" i="34"/>
  <c r="Z431" i="34"/>
  <c r="Z430" i="34"/>
  <c r="Z429" i="34"/>
  <c r="Z428" i="34"/>
  <c r="Z427" i="34"/>
  <c r="Z426" i="34"/>
  <c r="Z425" i="34"/>
  <c r="Z424" i="34"/>
  <c r="Z423" i="34"/>
  <c r="Z422" i="34"/>
  <c r="Z421" i="34"/>
  <c r="Z420" i="34"/>
  <c r="Z419" i="34"/>
  <c r="Z418" i="34"/>
  <c r="Z417" i="34"/>
  <c r="Z416" i="34"/>
  <c r="Z415" i="34"/>
  <c r="Z414" i="34"/>
  <c r="Z413" i="34"/>
  <c r="Z412" i="34"/>
  <c r="Z411" i="34"/>
  <c r="Z410" i="34"/>
  <c r="Z409" i="34"/>
  <c r="Z408" i="34"/>
  <c r="Z407" i="34"/>
  <c r="Z406" i="34"/>
  <c r="Z405" i="34"/>
  <c r="Z404" i="34"/>
  <c r="Z403" i="34"/>
  <c r="Z402" i="34"/>
  <c r="Z401" i="34"/>
  <c r="Z400" i="34"/>
  <c r="Z399" i="34"/>
  <c r="Z398" i="34"/>
  <c r="Z397" i="34"/>
  <c r="Z396" i="34"/>
  <c r="Z395" i="34"/>
  <c r="Z394" i="34"/>
  <c r="Z393" i="34"/>
  <c r="Z392" i="34"/>
  <c r="Z391" i="34"/>
  <c r="Z390" i="34"/>
  <c r="Z389" i="34"/>
  <c r="Z388" i="34"/>
  <c r="Z387" i="34"/>
  <c r="Z386" i="34"/>
  <c r="Z385" i="34"/>
  <c r="Z384" i="34"/>
  <c r="Z383" i="34"/>
  <c r="Z382" i="34"/>
  <c r="Z381" i="34"/>
  <c r="Z380" i="34"/>
  <c r="Z379" i="34"/>
  <c r="Z378" i="34"/>
  <c r="Z377" i="34"/>
  <c r="Z376" i="34"/>
  <c r="Z375" i="34"/>
  <c r="Z374" i="34"/>
  <c r="Z373" i="34"/>
  <c r="Z372" i="34"/>
  <c r="Z371" i="34"/>
  <c r="Z370" i="34"/>
  <c r="Z369" i="34"/>
  <c r="Z368" i="34"/>
  <c r="Z367" i="34"/>
  <c r="Z366" i="34"/>
  <c r="Z365" i="34"/>
  <c r="Z364" i="34"/>
  <c r="Z363" i="34"/>
  <c r="Z362" i="34"/>
  <c r="Z361" i="34"/>
  <c r="Z360" i="34"/>
  <c r="Z359" i="34"/>
  <c r="Z358" i="34"/>
  <c r="Z357" i="34"/>
  <c r="Z356" i="34"/>
  <c r="Z355" i="34"/>
  <c r="Z354" i="34"/>
  <c r="Z353" i="34"/>
  <c r="Z352" i="34"/>
  <c r="Z351" i="34"/>
  <c r="Z350" i="34"/>
  <c r="Z349" i="34"/>
  <c r="Z348" i="34"/>
  <c r="Z347" i="34"/>
  <c r="Z346" i="34"/>
  <c r="Z345" i="34"/>
  <c r="Z344" i="34"/>
  <c r="Z343" i="34"/>
  <c r="Z342" i="34"/>
  <c r="Z341" i="34"/>
  <c r="Z340" i="34"/>
  <c r="Z339" i="34"/>
  <c r="Z338" i="34"/>
  <c r="Z337" i="34"/>
  <c r="Z336" i="34"/>
  <c r="Z335" i="34"/>
  <c r="Z334" i="34"/>
  <c r="Z333" i="34"/>
  <c r="Z332" i="34"/>
  <c r="Z331" i="34"/>
  <c r="Z330" i="34"/>
  <c r="Z329" i="34"/>
  <c r="Z328" i="34"/>
  <c r="Z327" i="34"/>
  <c r="Z326" i="34"/>
  <c r="Z325" i="34"/>
  <c r="Z324" i="34"/>
  <c r="Z323" i="34"/>
  <c r="Z322" i="34"/>
  <c r="Z321" i="34"/>
  <c r="Z320" i="34"/>
  <c r="Z319" i="34"/>
  <c r="Z318" i="34"/>
  <c r="Z317" i="34"/>
  <c r="Z316" i="34"/>
  <c r="Z315" i="34"/>
  <c r="Z314" i="34"/>
  <c r="Z313" i="34"/>
  <c r="Z312" i="34"/>
  <c r="Z311" i="34"/>
  <c r="Z310" i="34"/>
  <c r="Z309" i="34"/>
  <c r="Z308" i="34"/>
  <c r="Z307" i="34"/>
  <c r="Z306" i="34"/>
  <c r="Z305" i="34"/>
  <c r="Z304" i="34"/>
  <c r="Z303" i="34"/>
  <c r="Z302" i="34"/>
  <c r="Z301" i="34"/>
  <c r="Z300" i="34"/>
  <c r="Z299" i="34"/>
  <c r="Z298" i="34"/>
  <c r="Z297" i="34"/>
  <c r="Z296" i="34"/>
  <c r="Z295" i="34"/>
  <c r="Z294" i="34"/>
  <c r="Z293" i="34"/>
  <c r="Z292" i="34"/>
  <c r="Z291" i="34"/>
  <c r="Z290" i="34"/>
  <c r="Z289" i="34"/>
  <c r="Z288" i="34"/>
  <c r="Z287" i="34"/>
  <c r="Z286" i="34"/>
  <c r="Z285" i="34"/>
  <c r="Z284" i="34"/>
  <c r="Z283" i="34"/>
  <c r="Z282" i="34"/>
  <c r="Z281" i="34"/>
  <c r="Z280" i="34"/>
  <c r="Z279" i="34"/>
  <c r="Z278" i="34"/>
  <c r="Z277" i="34"/>
  <c r="Z276" i="34"/>
  <c r="Z275" i="34"/>
  <c r="Z274" i="34"/>
  <c r="Z273" i="34"/>
  <c r="Z272" i="34"/>
  <c r="Z271" i="34"/>
  <c r="Z270" i="34"/>
  <c r="Z269" i="34"/>
  <c r="Z268" i="34"/>
  <c r="Z267" i="34"/>
  <c r="Z266" i="34"/>
  <c r="Z265" i="34"/>
  <c r="Z264" i="34"/>
  <c r="Z263" i="34"/>
  <c r="Z262" i="34"/>
  <c r="Z261" i="34"/>
  <c r="Z260" i="34"/>
  <c r="Z259" i="34"/>
  <c r="Z258" i="34"/>
  <c r="Z257" i="34"/>
  <c r="Z256" i="34"/>
  <c r="Z255" i="34"/>
  <c r="Z254" i="34"/>
  <c r="Z253" i="34"/>
  <c r="Z252" i="34"/>
  <c r="Z251" i="34"/>
  <c r="Z250" i="34"/>
  <c r="Z249" i="34"/>
  <c r="Z248" i="34"/>
  <c r="Z247" i="34"/>
  <c r="Z246" i="34"/>
  <c r="Z245" i="34"/>
  <c r="Z244" i="34"/>
  <c r="Z243" i="34"/>
  <c r="Z242" i="34"/>
  <c r="Z241" i="34"/>
  <c r="Z240" i="34"/>
  <c r="Z239" i="34"/>
  <c r="Z238" i="34"/>
  <c r="Z237" i="34"/>
  <c r="Z236" i="34"/>
  <c r="Z235" i="34"/>
  <c r="Z234" i="34"/>
  <c r="Z233" i="34"/>
  <c r="Z232" i="34"/>
  <c r="Z231" i="34"/>
  <c r="Z230" i="34"/>
  <c r="Z229" i="34"/>
  <c r="Z228" i="34"/>
  <c r="Z227" i="34"/>
  <c r="Z226" i="34"/>
  <c r="Z225" i="34"/>
  <c r="Z224" i="34"/>
  <c r="Z223" i="34"/>
  <c r="Z222" i="34"/>
  <c r="Z221" i="34"/>
  <c r="Z220" i="34"/>
  <c r="Z219" i="34"/>
  <c r="Z218" i="34"/>
  <c r="Z217" i="34"/>
  <c r="Z216" i="34"/>
  <c r="Z215" i="34"/>
  <c r="Z214" i="34"/>
  <c r="Z213" i="34"/>
  <c r="Z212" i="34"/>
  <c r="Z211" i="34"/>
  <c r="Z210" i="34"/>
  <c r="Z209" i="34"/>
  <c r="Z208" i="34"/>
  <c r="Z207" i="34"/>
  <c r="Z206" i="34"/>
  <c r="Z205" i="34"/>
  <c r="Z204" i="34"/>
  <c r="Z203" i="34"/>
  <c r="Z202" i="34"/>
  <c r="Z201" i="34"/>
  <c r="Z200" i="34"/>
  <c r="Z199" i="34"/>
  <c r="Z198" i="34"/>
  <c r="Z197" i="34"/>
  <c r="Z196" i="34"/>
  <c r="Z195" i="34"/>
  <c r="Z194" i="34"/>
  <c r="Z193" i="34"/>
  <c r="Z192" i="34"/>
  <c r="Z191" i="34"/>
  <c r="Z190" i="34"/>
  <c r="Z189" i="34"/>
  <c r="Z188" i="34"/>
  <c r="Z187" i="34"/>
  <c r="Z186" i="34"/>
  <c r="Z185" i="34"/>
  <c r="Z184" i="34"/>
  <c r="Z183" i="34"/>
  <c r="Z182" i="34"/>
  <c r="Z181" i="34"/>
  <c r="Z180" i="34"/>
  <c r="Z179" i="34"/>
  <c r="Z178" i="34"/>
  <c r="Z177" i="34"/>
  <c r="Z176" i="34"/>
  <c r="Z175" i="34"/>
  <c r="Z174" i="34"/>
  <c r="Z173" i="34"/>
  <c r="Z172" i="34"/>
  <c r="Z171" i="34"/>
  <c r="Z170" i="34"/>
  <c r="Z169" i="34"/>
  <c r="Z168" i="34"/>
  <c r="Z167" i="34"/>
  <c r="Z166" i="34"/>
  <c r="Z165" i="34"/>
  <c r="Z164" i="34"/>
  <c r="Z163" i="34"/>
  <c r="Z162" i="34"/>
  <c r="Z161" i="34"/>
  <c r="Z160" i="34"/>
  <c r="Z159" i="34"/>
  <c r="Z158" i="34"/>
  <c r="Z157" i="34"/>
  <c r="Z156" i="34"/>
  <c r="Z155" i="34"/>
  <c r="Z154" i="34"/>
  <c r="Z153" i="34"/>
  <c r="Z152" i="34"/>
  <c r="Z151" i="34"/>
  <c r="Z150" i="34"/>
  <c r="Z149" i="34"/>
  <c r="Z148" i="34"/>
  <c r="Z147" i="34"/>
  <c r="Z146" i="34"/>
  <c r="Z145" i="34"/>
  <c r="Z144" i="34"/>
  <c r="Z143" i="34"/>
  <c r="Z142" i="34"/>
  <c r="Z141" i="34"/>
  <c r="Z140" i="34"/>
  <c r="Z139" i="34"/>
  <c r="Z138" i="34"/>
  <c r="Z137" i="34"/>
  <c r="Z136" i="34"/>
  <c r="Z135" i="34"/>
  <c r="Z134" i="34"/>
  <c r="Z133" i="34"/>
  <c r="Z132" i="34"/>
  <c r="Z131" i="34"/>
  <c r="Z130" i="34"/>
  <c r="Z129" i="34"/>
  <c r="Z128" i="34"/>
  <c r="Z127" i="34"/>
  <c r="Z126" i="34"/>
  <c r="Z125" i="34"/>
  <c r="Z124" i="34"/>
  <c r="Z123" i="34"/>
  <c r="Z122" i="34"/>
  <c r="Z121" i="34"/>
  <c r="Z120" i="34"/>
  <c r="Z119" i="34"/>
  <c r="Z118" i="34"/>
  <c r="Z117" i="34"/>
  <c r="Z116" i="34"/>
  <c r="Z115" i="34"/>
  <c r="Z114" i="34"/>
  <c r="Z113" i="34"/>
  <c r="Z112" i="34"/>
  <c r="Z111" i="34"/>
  <c r="Z110" i="34"/>
  <c r="Z109" i="34"/>
  <c r="Z108" i="34"/>
  <c r="Z107" i="34"/>
  <c r="Z106" i="34"/>
  <c r="Z105" i="34"/>
  <c r="Z104" i="34"/>
  <c r="Z103" i="34"/>
  <c r="Z102" i="34"/>
  <c r="Z101" i="34"/>
  <c r="Z100" i="34"/>
  <c r="Z99" i="34"/>
  <c r="Z98" i="34"/>
  <c r="Z97" i="34"/>
  <c r="Z96" i="34"/>
  <c r="Z95" i="34"/>
  <c r="Z94" i="34"/>
  <c r="Z93" i="34"/>
  <c r="Z92" i="34"/>
  <c r="Z91" i="34"/>
  <c r="Z90" i="34"/>
  <c r="Z89" i="34"/>
  <c r="Z88" i="34"/>
  <c r="Z87" i="34"/>
  <c r="Z86" i="34"/>
  <c r="Z85" i="34"/>
  <c r="Z84" i="34"/>
  <c r="Z83" i="34"/>
  <c r="Z82" i="34"/>
  <c r="Z81" i="34"/>
  <c r="Z80" i="34"/>
  <c r="Z79" i="34"/>
  <c r="Z78" i="34"/>
  <c r="Z77" i="34"/>
  <c r="Z76" i="34"/>
  <c r="Z75" i="34"/>
  <c r="Z74" i="34"/>
  <c r="Z73" i="34"/>
  <c r="Z72" i="34"/>
  <c r="Z71" i="34"/>
  <c r="Z70" i="34"/>
  <c r="Z69" i="34"/>
  <c r="Z68" i="34"/>
  <c r="Z67" i="34"/>
  <c r="Z66" i="34"/>
  <c r="Z65" i="34"/>
  <c r="Z64" i="34"/>
  <c r="Z63" i="34"/>
  <c r="Z62" i="34"/>
  <c r="Z61" i="34"/>
  <c r="Z60" i="34"/>
  <c r="Z59" i="34"/>
  <c r="Z58" i="34"/>
  <c r="Z57" i="34"/>
  <c r="Z56" i="34"/>
  <c r="Z55" i="34"/>
  <c r="Z54" i="34"/>
  <c r="Z53" i="34"/>
  <c r="Z52" i="34"/>
  <c r="Z51" i="34"/>
  <c r="Z50" i="34"/>
  <c r="Z49" i="34"/>
  <c r="Z48" i="34"/>
  <c r="Z47" i="34"/>
  <c r="Z46" i="34"/>
  <c r="Z45" i="34"/>
  <c r="Z44" i="34"/>
  <c r="Z43" i="34"/>
  <c r="Z42" i="34"/>
  <c r="Z41" i="34"/>
  <c r="Z40" i="34"/>
  <c r="Z39" i="34"/>
  <c r="Z38" i="34"/>
  <c r="Z37" i="34"/>
  <c r="Z36" i="34"/>
  <c r="Z35" i="34"/>
  <c r="Z34" i="34"/>
  <c r="Z33" i="34"/>
  <c r="Z32" i="34"/>
  <c r="Z31" i="34"/>
  <c r="Z30" i="34"/>
  <c r="Z29" i="34"/>
  <c r="Z28" i="34"/>
  <c r="Z27" i="34"/>
  <c r="Z26" i="34"/>
  <c r="Z25" i="34"/>
  <c r="Z24" i="34"/>
  <c r="Z23" i="34"/>
  <c r="Z22" i="34"/>
  <c r="Z21" i="34"/>
  <c r="Z20" i="34"/>
  <c r="Z19" i="34"/>
  <c r="Z18" i="34"/>
  <c r="Z17" i="34"/>
  <c r="Z16" i="34"/>
  <c r="Z15" i="34"/>
  <c r="Z14" i="34"/>
  <c r="Z13" i="34"/>
  <c r="Z12" i="34"/>
  <c r="Z11" i="34"/>
  <c r="Z10" i="34"/>
  <c r="Z9" i="34"/>
  <c r="Z8" i="34"/>
  <c r="Z7" i="34"/>
  <c r="Z6" i="34"/>
  <c r="Z5" i="34"/>
  <c r="K51" i="6" l="1"/>
  <c r="K50" i="6"/>
  <c r="K49" i="6"/>
  <c r="K48" i="6"/>
  <c r="K47" i="6"/>
  <c r="K46" i="6"/>
  <c r="K45" i="6"/>
  <c r="K44" i="6"/>
  <c r="K43" i="6"/>
  <c r="K42" i="6"/>
  <c r="K41" i="6"/>
  <c r="K40" i="6"/>
  <c r="K39" i="6"/>
  <c r="K38" i="6"/>
  <c r="K37" i="6"/>
  <c r="K36" i="6"/>
  <c r="K35" i="6"/>
  <c r="K34" i="6"/>
  <c r="K33" i="6"/>
  <c r="K32" i="6"/>
  <c r="K31" i="6"/>
  <c r="K30" i="6"/>
  <c r="K29" i="6"/>
  <c r="K28" i="6"/>
  <c r="E730" i="7" l="1"/>
  <c r="K730" i="7" s="1"/>
  <c r="Q724" i="7" s="1"/>
  <c r="I55" i="73"/>
  <c r="K47" i="7"/>
  <c r="Q8" i="7" s="1"/>
  <c r="Q807" i="7" l="1"/>
  <c r="Q795" i="7" s="1"/>
  <c r="Q796" i="7" s="1"/>
  <c r="Q798" i="7" s="1"/>
  <c r="K281" i="6"/>
  <c r="F281" i="6"/>
  <c r="K280" i="6"/>
  <c r="F280" i="6"/>
  <c r="K279" i="6"/>
  <c r="D279" i="6"/>
  <c r="K278" i="6"/>
  <c r="D278" i="6"/>
  <c r="K277" i="6"/>
  <c r="D277" i="6"/>
  <c r="K276" i="6"/>
  <c r="D276" i="6"/>
  <c r="K275" i="6"/>
  <c r="D275" i="6"/>
  <c r="K274" i="6"/>
  <c r="D274" i="6"/>
  <c r="K273" i="6"/>
  <c r="D273" i="6"/>
  <c r="K272" i="6"/>
  <c r="D272" i="6"/>
  <c r="K271" i="6"/>
  <c r="D271" i="6"/>
  <c r="K270" i="6"/>
  <c r="D270" i="6"/>
  <c r="K269" i="6"/>
  <c r="D269" i="6"/>
  <c r="K268" i="6"/>
  <c r="D268" i="6"/>
  <c r="K267" i="6"/>
  <c r="D267" i="6"/>
  <c r="K266" i="6"/>
  <c r="D266" i="6"/>
  <c r="K265" i="6"/>
  <c r="D265" i="6"/>
  <c r="K264" i="6"/>
  <c r="D264" i="6"/>
  <c r="K263" i="6"/>
  <c r="F263" i="6"/>
  <c r="K262" i="6"/>
  <c r="F262" i="6"/>
  <c r="K261" i="6"/>
  <c r="F261" i="6"/>
  <c r="K260" i="6"/>
  <c r="F260" i="6"/>
  <c r="K259" i="6"/>
  <c r="F259" i="6"/>
  <c r="K258" i="6"/>
  <c r="F258" i="6"/>
  <c r="Q732" i="7"/>
  <c r="Q720" i="7" s="1"/>
  <c r="Q721" i="7" s="1"/>
  <c r="Q723" i="7" s="1"/>
  <c r="Q800" i="7" l="1"/>
  <c r="Q725" i="7"/>
  <c r="O862" i="7" l="1"/>
  <c r="O858" i="7"/>
  <c r="O854" i="7"/>
  <c r="O850" i="7"/>
  <c r="O846" i="7"/>
  <c r="O842" i="7"/>
  <c r="O838" i="7"/>
  <c r="O834" i="7"/>
  <c r="O830" i="7"/>
  <c r="O826" i="7"/>
  <c r="O822" i="7"/>
  <c r="O818" i="7"/>
  <c r="O814" i="7"/>
  <c r="O810" i="7"/>
  <c r="O806" i="7"/>
  <c r="O802" i="7"/>
  <c r="O798" i="7"/>
  <c r="O794" i="7"/>
  <c r="O860" i="7"/>
  <c r="O856" i="7"/>
  <c r="O852" i="7"/>
  <c r="O848" i="7"/>
  <c r="O844" i="7"/>
  <c r="O840" i="7"/>
  <c r="O836" i="7"/>
  <c r="O832" i="7"/>
  <c r="O828" i="7"/>
  <c r="O824" i="7"/>
  <c r="O820" i="7"/>
  <c r="O816" i="7"/>
  <c r="O812" i="7"/>
  <c r="O808" i="7"/>
  <c r="O804" i="7"/>
  <c r="O800" i="7"/>
  <c r="O796" i="7"/>
  <c r="O859" i="7"/>
  <c r="O855" i="7"/>
  <c r="O851" i="7"/>
  <c r="O847" i="7"/>
  <c r="O843" i="7"/>
  <c r="O839" i="7"/>
  <c r="O835" i="7"/>
  <c r="O831" i="7"/>
  <c r="O827" i="7"/>
  <c r="O823" i="7"/>
  <c r="O819" i="7"/>
  <c r="O815" i="7"/>
  <c r="O811" i="7"/>
  <c r="O807" i="7"/>
  <c r="O803" i="7"/>
  <c r="O799" i="7"/>
  <c r="O795" i="7"/>
  <c r="O861" i="7"/>
  <c r="O857" i="7"/>
  <c r="O853" i="7"/>
  <c r="O849" i="7"/>
  <c r="O845" i="7"/>
  <c r="O841" i="7"/>
  <c r="O837" i="7"/>
  <c r="O833" i="7"/>
  <c r="O829" i="7"/>
  <c r="O825" i="7"/>
  <c r="O821" i="7"/>
  <c r="O817" i="7"/>
  <c r="O813" i="7"/>
  <c r="O809" i="7"/>
  <c r="O805" i="7"/>
  <c r="O801" i="7"/>
  <c r="O797" i="7"/>
  <c r="L841" i="7"/>
  <c r="M841" i="7" s="1"/>
  <c r="L818" i="7"/>
  <c r="M818" i="7" s="1"/>
  <c r="L809" i="7"/>
  <c r="M809" i="7" s="1"/>
  <c r="L829" i="7"/>
  <c r="M829" i="7" s="1"/>
  <c r="L797" i="7"/>
  <c r="M797" i="7" s="1"/>
  <c r="L853" i="7"/>
  <c r="M853" i="7" s="1"/>
  <c r="L860" i="7"/>
  <c r="M860" i="7" s="1"/>
  <c r="L846" i="7"/>
  <c r="M846" i="7" s="1"/>
  <c r="L796" i="7"/>
  <c r="M796" i="7" s="1"/>
  <c r="L828" i="7"/>
  <c r="M828" i="7" s="1"/>
  <c r="L814" i="7"/>
  <c r="M814" i="7" s="1"/>
  <c r="L816" i="7"/>
  <c r="M816" i="7" s="1"/>
  <c r="L844" i="7"/>
  <c r="M844" i="7" s="1"/>
  <c r="L801" i="7"/>
  <c r="M801" i="7" s="1"/>
  <c r="L825" i="7"/>
  <c r="M825" i="7" s="1"/>
  <c r="L799" i="7"/>
  <c r="M799" i="7" s="1"/>
  <c r="L831" i="7"/>
  <c r="M831" i="7" s="1"/>
  <c r="L859" i="7"/>
  <c r="M859" i="7" s="1"/>
  <c r="L827" i="7"/>
  <c r="M827" i="7" s="1"/>
  <c r="L855" i="7"/>
  <c r="M855" i="7" s="1"/>
  <c r="L850" i="7"/>
  <c r="M850" i="7" s="1"/>
  <c r="L862" i="7"/>
  <c r="M862" i="7" s="1"/>
  <c r="L842" i="7"/>
  <c r="M842" i="7" s="1"/>
  <c r="L822" i="7"/>
  <c r="M822" i="7" s="1"/>
  <c r="L804" i="7"/>
  <c r="M804" i="7" s="1"/>
  <c r="L836" i="7"/>
  <c r="M836" i="7" s="1"/>
  <c r="L817" i="7"/>
  <c r="M817" i="7" s="1"/>
  <c r="L849" i="7"/>
  <c r="M849" i="7" s="1"/>
  <c r="L810" i="7"/>
  <c r="M810" i="7" s="1"/>
  <c r="L824" i="7"/>
  <c r="M824" i="7" s="1"/>
  <c r="L852" i="7"/>
  <c r="M852" i="7" s="1"/>
  <c r="L821" i="7"/>
  <c r="M821" i="7" s="1"/>
  <c r="L834" i="7"/>
  <c r="M834" i="7" s="1"/>
  <c r="L794" i="7"/>
  <c r="M794" i="7" s="1"/>
  <c r="L811" i="7"/>
  <c r="M811" i="7" s="1"/>
  <c r="L839" i="7"/>
  <c r="M839" i="7" s="1"/>
  <c r="L807" i="7"/>
  <c r="M807" i="7" s="1"/>
  <c r="L835" i="7"/>
  <c r="M835" i="7" s="1"/>
  <c r="L854" i="7"/>
  <c r="M854" i="7" s="1"/>
  <c r="L798" i="7"/>
  <c r="M798" i="7" s="1"/>
  <c r="L812" i="7"/>
  <c r="M812" i="7" s="1"/>
  <c r="L848" i="7"/>
  <c r="M848" i="7" s="1"/>
  <c r="L805" i="7"/>
  <c r="M805" i="7" s="1"/>
  <c r="L837" i="7"/>
  <c r="M837" i="7" s="1"/>
  <c r="L830" i="7"/>
  <c r="M830" i="7" s="1"/>
  <c r="L800" i="7"/>
  <c r="M800" i="7" s="1"/>
  <c r="L832" i="7"/>
  <c r="M832" i="7" s="1"/>
  <c r="L833" i="7"/>
  <c r="M833" i="7" s="1"/>
  <c r="L838" i="7"/>
  <c r="M838" i="7" s="1"/>
  <c r="L813" i="7"/>
  <c r="M813" i="7" s="1"/>
  <c r="L819" i="7"/>
  <c r="M819" i="7" s="1"/>
  <c r="L803" i="7"/>
  <c r="M803" i="7" s="1"/>
  <c r="L858" i="7"/>
  <c r="M858" i="7" s="1"/>
  <c r="L857" i="7"/>
  <c r="M857" i="7" s="1"/>
  <c r="L845" i="7"/>
  <c r="M845" i="7" s="1"/>
  <c r="L826" i="7"/>
  <c r="M826" i="7" s="1"/>
  <c r="L847" i="7"/>
  <c r="M847" i="7" s="1"/>
  <c r="L815" i="7"/>
  <c r="M815" i="7" s="1"/>
  <c r="L820" i="7"/>
  <c r="M820" i="7" s="1"/>
  <c r="L808" i="7"/>
  <c r="M808" i="7" s="1"/>
  <c r="L861" i="7"/>
  <c r="M861" i="7" s="1"/>
  <c r="L851" i="7"/>
  <c r="M851" i="7" s="1"/>
  <c r="L823" i="7"/>
  <c r="M823" i="7" s="1"/>
  <c r="L806" i="7"/>
  <c r="M806" i="7" s="1"/>
  <c r="L856" i="7"/>
  <c r="M856" i="7" s="1"/>
  <c r="L840" i="7"/>
  <c r="M840" i="7" s="1"/>
  <c r="L802" i="7"/>
  <c r="M802" i="7" s="1"/>
  <c r="L795" i="7"/>
  <c r="M795" i="7" s="1"/>
  <c r="L843" i="7"/>
  <c r="M843" i="7" s="1"/>
  <c r="L732" i="7"/>
  <c r="M732" i="7" s="1"/>
  <c r="L748" i="7"/>
  <c r="M748" i="7" s="1"/>
  <c r="L764" i="7"/>
  <c r="M764" i="7" s="1"/>
  <c r="L780" i="7"/>
  <c r="M780" i="7" s="1"/>
  <c r="L726" i="7"/>
  <c r="M726" i="7" s="1"/>
  <c r="L742" i="7"/>
  <c r="M742" i="7" s="1"/>
  <c r="L758" i="7"/>
  <c r="M758" i="7" s="1"/>
  <c r="L774" i="7"/>
  <c r="M774" i="7" s="1"/>
  <c r="L720" i="7"/>
  <c r="M720" i="7" s="1"/>
  <c r="L736" i="7"/>
  <c r="M736" i="7" s="1"/>
  <c r="L752" i="7"/>
  <c r="M752" i="7" s="1"/>
  <c r="L768" i="7"/>
  <c r="M768" i="7" s="1"/>
  <c r="L784" i="7"/>
  <c r="M784" i="7" s="1"/>
  <c r="L730" i="7"/>
  <c r="M730" i="7" s="1"/>
  <c r="L746" i="7"/>
  <c r="M746" i="7" s="1"/>
  <c r="L762" i="7"/>
  <c r="M762" i="7" s="1"/>
  <c r="L778" i="7"/>
  <c r="M778" i="7" s="1"/>
  <c r="L724" i="7"/>
  <c r="M724" i="7" s="1"/>
  <c r="L740" i="7"/>
  <c r="M740" i="7" s="1"/>
  <c r="L756" i="7"/>
  <c r="M756" i="7" s="1"/>
  <c r="L772" i="7"/>
  <c r="M772" i="7" s="1"/>
  <c r="L719" i="7"/>
  <c r="M719" i="7" s="1"/>
  <c r="L734" i="7"/>
  <c r="M734" i="7" s="1"/>
  <c r="L750" i="7"/>
  <c r="M750" i="7" s="1"/>
  <c r="L766" i="7"/>
  <c r="M766" i="7" s="1"/>
  <c r="L782" i="7"/>
  <c r="M782" i="7" s="1"/>
  <c r="L728" i="7"/>
  <c r="M728" i="7" s="1"/>
  <c r="L744" i="7"/>
  <c r="M744" i="7" s="1"/>
  <c r="L760" i="7"/>
  <c r="M760" i="7" s="1"/>
  <c r="L776" i="7"/>
  <c r="M776" i="7" s="1"/>
  <c r="L787" i="7"/>
  <c r="M787" i="7" s="1"/>
  <c r="L771" i="7"/>
  <c r="M771" i="7" s="1"/>
  <c r="L755" i="7"/>
  <c r="M755" i="7" s="1"/>
  <c r="L739" i="7"/>
  <c r="M739" i="7" s="1"/>
  <c r="L723" i="7"/>
  <c r="M723" i="7" s="1"/>
  <c r="L785" i="7"/>
  <c r="M785" i="7" s="1"/>
  <c r="L769" i="7"/>
  <c r="M769" i="7" s="1"/>
  <c r="L753" i="7"/>
  <c r="M753" i="7" s="1"/>
  <c r="L729" i="7"/>
  <c r="M729" i="7" s="1"/>
  <c r="L754" i="7"/>
  <c r="M754" i="7" s="1"/>
  <c r="L783" i="7"/>
  <c r="M783" i="7" s="1"/>
  <c r="L767" i="7"/>
  <c r="M767" i="7" s="1"/>
  <c r="L751" i="7"/>
  <c r="M751" i="7" s="1"/>
  <c r="L735" i="7"/>
  <c r="M735" i="7" s="1"/>
  <c r="L741" i="7"/>
  <c r="M741" i="7" s="1"/>
  <c r="L781" i="7"/>
  <c r="M781" i="7" s="1"/>
  <c r="L765" i="7"/>
  <c r="M765" i="7" s="1"/>
  <c r="L749" i="7"/>
  <c r="M749" i="7" s="1"/>
  <c r="L725" i="7"/>
  <c r="M725" i="7" s="1"/>
  <c r="L738" i="7"/>
  <c r="M738" i="7" s="1"/>
  <c r="L763" i="7"/>
  <c r="M763" i="7" s="1"/>
  <c r="L747" i="7"/>
  <c r="M747" i="7" s="1"/>
  <c r="L731" i="7"/>
  <c r="M731" i="7" s="1"/>
  <c r="L777" i="7"/>
  <c r="M777" i="7" s="1"/>
  <c r="L761" i="7"/>
  <c r="M761" i="7" s="1"/>
  <c r="L786" i="7"/>
  <c r="M786" i="7" s="1"/>
  <c r="L722" i="7"/>
  <c r="M722" i="7" s="1"/>
  <c r="L775" i="7"/>
  <c r="M775" i="7" s="1"/>
  <c r="L743" i="7"/>
  <c r="M743" i="7" s="1"/>
  <c r="L721" i="7"/>
  <c r="M721" i="7" s="1"/>
  <c r="L757" i="7"/>
  <c r="M757" i="7" s="1"/>
  <c r="L770" i="7"/>
  <c r="M770" i="7" s="1"/>
  <c r="L779" i="7"/>
  <c r="M779" i="7" s="1"/>
  <c r="L733" i="7"/>
  <c r="M733" i="7" s="1"/>
  <c r="L745" i="7"/>
  <c r="M745" i="7" s="1"/>
  <c r="L759" i="7"/>
  <c r="M759" i="7" s="1"/>
  <c r="L727" i="7"/>
  <c r="M727" i="7" s="1"/>
  <c r="L773" i="7"/>
  <c r="M773" i="7" s="1"/>
  <c r="L737" i="7"/>
  <c r="M737" i="7" s="1"/>
  <c r="F256" i="6" l="1"/>
  <c r="F255" i="6"/>
  <c r="D254" i="6"/>
  <c r="D253" i="6"/>
  <c r="D252" i="6"/>
  <c r="D251" i="6"/>
  <c r="D250" i="6"/>
  <c r="D249" i="6"/>
  <c r="D248" i="6"/>
  <c r="D247" i="6"/>
  <c r="D246" i="6"/>
  <c r="D245" i="6"/>
  <c r="D244" i="6"/>
  <c r="D243" i="6"/>
  <c r="D242" i="6"/>
  <c r="D241" i="6"/>
  <c r="D240" i="6"/>
  <c r="D239" i="6"/>
  <c r="F238" i="6"/>
  <c r="F237" i="6"/>
  <c r="F236" i="6"/>
  <c r="F235" i="6"/>
  <c r="F234" i="6"/>
  <c r="F233" i="6"/>
  <c r="H220" i="6" l="1"/>
  <c r="H219" i="6"/>
  <c r="K227" i="6"/>
  <c r="K218" i="6"/>
  <c r="K214" i="6"/>
  <c r="K210" i="6"/>
  <c r="H228" i="6"/>
  <c r="K228" i="6" s="1"/>
  <c r="H229" i="6"/>
  <c r="K229" i="6" s="1"/>
  <c r="H206" i="6"/>
  <c r="H205" i="6"/>
  <c r="H204" i="6"/>
  <c r="H203" i="6"/>
  <c r="H202" i="6"/>
  <c r="H201" i="6"/>
  <c r="H200" i="6"/>
  <c r="H199" i="6"/>
  <c r="H198" i="6"/>
  <c r="H197" i="6"/>
  <c r="H196" i="6"/>
  <c r="H195" i="6"/>
  <c r="H194" i="6"/>
  <c r="H193" i="6"/>
  <c r="H192" i="6"/>
  <c r="H191" i="6"/>
  <c r="H190" i="6"/>
  <c r="H189" i="6"/>
  <c r="H188" i="6"/>
  <c r="H187" i="6"/>
  <c r="H186" i="6"/>
  <c r="H185" i="6"/>
  <c r="H184" i="6"/>
  <c r="H183" i="6"/>
  <c r="H180" i="6"/>
  <c r="H179" i="6"/>
  <c r="H178" i="6"/>
  <c r="H177" i="6"/>
  <c r="H176" i="6"/>
  <c r="H175" i="6"/>
  <c r="H174" i="6"/>
  <c r="H173" i="6"/>
  <c r="H172" i="6"/>
  <c r="H171" i="6"/>
  <c r="H170" i="6"/>
  <c r="H169" i="6"/>
  <c r="H168" i="6"/>
  <c r="H167" i="6"/>
  <c r="H166" i="6"/>
  <c r="H165" i="6"/>
  <c r="H164" i="6"/>
  <c r="H163" i="6"/>
  <c r="H162" i="6"/>
  <c r="H161" i="6"/>
  <c r="H160" i="6"/>
  <c r="H159" i="6"/>
  <c r="H158" i="6"/>
  <c r="H157" i="6"/>
  <c r="H154" i="6"/>
  <c r="H153" i="6"/>
  <c r="H152" i="6"/>
  <c r="H151" i="6"/>
  <c r="H150" i="6"/>
  <c r="H149" i="6"/>
  <c r="H148" i="6"/>
  <c r="H147" i="6"/>
  <c r="H146" i="6"/>
  <c r="H145" i="6"/>
  <c r="H144" i="6"/>
  <c r="H143" i="6"/>
  <c r="H142" i="6"/>
  <c r="H141" i="6"/>
  <c r="H140" i="6"/>
  <c r="H139" i="6"/>
  <c r="H138" i="6"/>
  <c r="H137" i="6"/>
  <c r="H136" i="6"/>
  <c r="H135" i="6"/>
  <c r="H134" i="6"/>
  <c r="H133" i="6"/>
  <c r="H132" i="6"/>
  <c r="H131" i="6"/>
  <c r="H128" i="6"/>
  <c r="H127" i="6"/>
  <c r="H126" i="6"/>
  <c r="H125" i="6"/>
  <c r="H124" i="6"/>
  <c r="H123" i="6"/>
  <c r="H122" i="6"/>
  <c r="H121" i="6"/>
  <c r="H120" i="6"/>
  <c r="H119" i="6"/>
  <c r="H118" i="6"/>
  <c r="H117" i="6"/>
  <c r="H116" i="6"/>
  <c r="H115" i="6"/>
  <c r="H114" i="6"/>
  <c r="H113" i="6"/>
  <c r="H112" i="6"/>
  <c r="H111" i="6"/>
  <c r="H110" i="6"/>
  <c r="H109" i="6"/>
  <c r="H108" i="6"/>
  <c r="H107" i="6"/>
  <c r="H106" i="6"/>
  <c r="H105" i="6"/>
  <c r="H102" i="6"/>
  <c r="H101" i="6"/>
  <c r="H100" i="6"/>
  <c r="H99" i="6"/>
  <c r="H98" i="6"/>
  <c r="H97" i="6"/>
  <c r="H96" i="6"/>
  <c r="H95" i="6"/>
  <c r="H94" i="6"/>
  <c r="H93" i="6"/>
  <c r="H92" i="6"/>
  <c r="H91" i="6"/>
  <c r="H90" i="6"/>
  <c r="H89" i="6"/>
  <c r="H88" i="6"/>
  <c r="H87" i="6"/>
  <c r="H86" i="6"/>
  <c r="H85" i="6"/>
  <c r="H84" i="6"/>
  <c r="H83" i="6"/>
  <c r="H82" i="6"/>
  <c r="H81" i="6"/>
  <c r="H80" i="6"/>
  <c r="H79" i="6"/>
  <c r="H76" i="6"/>
  <c r="H75" i="6"/>
  <c r="H74" i="6"/>
  <c r="H73" i="6"/>
  <c r="H72" i="6"/>
  <c r="H71" i="6"/>
  <c r="H70" i="6"/>
  <c r="H69" i="6"/>
  <c r="H68" i="6"/>
  <c r="H67" i="6"/>
  <c r="H66" i="6"/>
  <c r="H65" i="6"/>
  <c r="H64" i="6"/>
  <c r="H63" i="6"/>
  <c r="H62" i="6"/>
  <c r="H61" i="6"/>
  <c r="H60" i="6"/>
  <c r="H59" i="6"/>
  <c r="H58" i="6"/>
  <c r="H57" i="6"/>
  <c r="H56" i="6"/>
  <c r="H55" i="6"/>
  <c r="H54" i="6"/>
  <c r="H53" i="6"/>
  <c r="H51" i="6"/>
  <c r="H50" i="6"/>
  <c r="H49" i="6"/>
  <c r="H48" i="6"/>
  <c r="H47" i="6"/>
  <c r="H46" i="6"/>
  <c r="H45" i="6"/>
  <c r="H44" i="6"/>
  <c r="H43" i="6"/>
  <c r="H42" i="6"/>
  <c r="H41" i="6"/>
  <c r="H40" i="6"/>
  <c r="H39" i="6"/>
  <c r="H38" i="6"/>
  <c r="H37" i="6"/>
  <c r="H36" i="6"/>
  <c r="H35" i="6"/>
  <c r="H34" i="6"/>
  <c r="H33" i="6"/>
  <c r="H32" i="6"/>
  <c r="H31" i="6"/>
  <c r="H30" i="6"/>
  <c r="H29" i="6"/>
  <c r="H28" i="6"/>
  <c r="H26" i="6"/>
  <c r="K26" i="6" s="1"/>
  <c r="H25" i="6"/>
  <c r="K25" i="6" s="1"/>
  <c r="H24" i="6"/>
  <c r="K24" i="6" s="1"/>
  <c r="H23" i="6"/>
  <c r="K23" i="6" s="1"/>
  <c r="H22" i="6"/>
  <c r="K22" i="6" s="1"/>
  <c r="H21" i="6"/>
  <c r="K21" i="6" s="1"/>
  <c r="H20" i="6"/>
  <c r="K20" i="6" s="1"/>
  <c r="H19" i="6"/>
  <c r="K19" i="6" s="1"/>
  <c r="H18" i="6"/>
  <c r="K18" i="6" s="1"/>
  <c r="H17" i="6"/>
  <c r="K17" i="6" s="1"/>
  <c r="H16" i="6"/>
  <c r="K16" i="6" s="1"/>
  <c r="H15" i="6"/>
  <c r="K15" i="6" s="1"/>
  <c r="H14" i="6"/>
  <c r="K14" i="6" s="1"/>
  <c r="H13" i="6"/>
  <c r="K13" i="6" s="1"/>
  <c r="H12" i="6"/>
  <c r="K12" i="6" s="1"/>
  <c r="H11" i="6"/>
  <c r="K11" i="6" s="1"/>
  <c r="H10" i="6"/>
  <c r="K10" i="6" s="1"/>
  <c r="H9" i="6"/>
  <c r="K9" i="6" s="1"/>
  <c r="H8" i="6"/>
  <c r="K8" i="6" s="1"/>
  <c r="H7" i="6"/>
  <c r="K7" i="6" s="1"/>
  <c r="H6" i="6"/>
  <c r="K6" i="6" s="1"/>
  <c r="H5" i="6"/>
  <c r="K5" i="6" s="1"/>
  <c r="H4" i="6"/>
  <c r="K4" i="6" s="1"/>
  <c r="H3" i="6"/>
  <c r="K3" i="6" s="1"/>
  <c r="H306" i="6"/>
  <c r="K306" i="6" s="1"/>
  <c r="H305" i="6"/>
  <c r="K305" i="6" s="1"/>
  <c r="H304" i="6"/>
  <c r="K304" i="6" s="1"/>
  <c r="H303" i="6"/>
  <c r="K303" i="6" s="1"/>
  <c r="H302" i="6"/>
  <c r="K302" i="6" s="1"/>
  <c r="H301" i="6"/>
  <c r="K301" i="6" s="1"/>
  <c r="H300" i="6"/>
  <c r="K300" i="6" s="1"/>
  <c r="H299" i="6"/>
  <c r="K299" i="6" s="1"/>
  <c r="H298" i="6"/>
  <c r="K298" i="6" s="1"/>
  <c r="H297" i="6"/>
  <c r="K297" i="6" s="1"/>
  <c r="H296" i="6"/>
  <c r="K296" i="6" s="1"/>
  <c r="H295" i="6"/>
  <c r="K295" i="6" s="1"/>
  <c r="H294" i="6"/>
  <c r="K294" i="6" s="1"/>
  <c r="H293" i="6"/>
  <c r="K293" i="6" s="1"/>
  <c r="H292" i="6"/>
  <c r="K292" i="6" s="1"/>
  <c r="H291" i="6"/>
  <c r="K291" i="6" s="1"/>
  <c r="H290" i="6"/>
  <c r="K290" i="6" s="1"/>
  <c r="H289" i="6"/>
  <c r="K289" i="6" s="1"/>
  <c r="H288" i="6"/>
  <c r="K288" i="6" s="1"/>
  <c r="H287" i="6"/>
  <c r="K287" i="6" s="1"/>
  <c r="H286" i="6"/>
  <c r="K286" i="6" s="1"/>
  <c r="H285" i="6"/>
  <c r="K285" i="6" s="1"/>
  <c r="H284" i="6"/>
  <c r="K284" i="6" s="1"/>
  <c r="H283" i="6"/>
  <c r="K283" i="6" s="1"/>
  <c r="H256" i="6"/>
  <c r="K256" i="6" s="1"/>
  <c r="H255" i="6"/>
  <c r="K255" i="6" s="1"/>
  <c r="H254" i="6"/>
  <c r="K254" i="6" s="1"/>
  <c r="H253" i="6"/>
  <c r="K253" i="6" s="1"/>
  <c r="H252" i="6"/>
  <c r="K252" i="6" s="1"/>
  <c r="H251" i="6"/>
  <c r="K251" i="6" s="1"/>
  <c r="H250" i="6"/>
  <c r="K250" i="6" s="1"/>
  <c r="H249" i="6"/>
  <c r="K249" i="6" s="1"/>
  <c r="H248" i="6"/>
  <c r="K248" i="6" s="1"/>
  <c r="H247" i="6"/>
  <c r="K247" i="6" s="1"/>
  <c r="H246" i="6"/>
  <c r="K246" i="6" s="1"/>
  <c r="H245" i="6"/>
  <c r="K245" i="6" s="1"/>
  <c r="H244" i="6"/>
  <c r="K244" i="6" s="1"/>
  <c r="H243" i="6"/>
  <c r="K243" i="6" s="1"/>
  <c r="H242" i="6"/>
  <c r="K242" i="6" s="1"/>
  <c r="H241" i="6"/>
  <c r="K241" i="6" s="1"/>
  <c r="H240" i="6"/>
  <c r="K240" i="6" s="1"/>
  <c r="H239" i="6"/>
  <c r="K239" i="6" s="1"/>
  <c r="H238" i="6"/>
  <c r="K238" i="6" s="1"/>
  <c r="H237" i="6"/>
  <c r="K237" i="6" s="1"/>
  <c r="H236" i="6"/>
  <c r="K236" i="6" s="1"/>
  <c r="H235" i="6"/>
  <c r="K235" i="6" s="1"/>
  <c r="H234" i="6"/>
  <c r="K234" i="6" s="1"/>
  <c r="H233" i="6"/>
  <c r="K233" i="6" s="1"/>
  <c r="H231" i="6"/>
  <c r="K231" i="6" s="1"/>
  <c r="H230" i="6"/>
  <c r="K230" i="6" s="1"/>
  <c r="H227" i="6"/>
  <c r="H226" i="6"/>
  <c r="K226" i="6" s="1"/>
  <c r="H225" i="6"/>
  <c r="K225" i="6" s="1"/>
  <c r="H224" i="6"/>
  <c r="K224" i="6" s="1"/>
  <c r="H223" i="6"/>
  <c r="K223" i="6" s="1"/>
  <c r="H222" i="6"/>
  <c r="K222" i="6" s="1"/>
  <c r="H221" i="6"/>
  <c r="K221" i="6" s="1"/>
  <c r="H218" i="6"/>
  <c r="H217" i="6"/>
  <c r="K217" i="6" s="1"/>
  <c r="H216" i="6"/>
  <c r="K216" i="6" s="1"/>
  <c r="H215" i="6"/>
  <c r="K215" i="6" s="1"/>
  <c r="H214" i="6"/>
  <c r="H213" i="6"/>
  <c r="K213" i="6" s="1"/>
  <c r="H212" i="6"/>
  <c r="K212" i="6" s="1"/>
  <c r="H211" i="6"/>
  <c r="K211" i="6" s="1"/>
  <c r="H210" i="6"/>
  <c r="H209" i="6"/>
  <c r="K209" i="6" s="1"/>
  <c r="H208" i="6"/>
  <c r="L256" i="6" l="1"/>
  <c r="Q650" i="7" s="1"/>
  <c r="K208" i="6"/>
  <c r="K219" i="6"/>
  <c r="K220" i="6"/>
  <c r="R1402" i="34" l="1"/>
  <c r="P1402" i="34"/>
  <c r="R1401" i="34"/>
  <c r="P1401" i="34"/>
  <c r="R1399" i="34"/>
  <c r="P1399" i="34"/>
  <c r="R1398" i="34"/>
  <c r="P1398" i="34"/>
  <c r="R1397" i="34"/>
  <c r="P1397" i="34"/>
  <c r="R1396" i="34"/>
  <c r="P1396" i="34"/>
  <c r="O1402" i="34"/>
  <c r="N1402" i="34"/>
  <c r="M1402" i="34"/>
  <c r="L1402" i="34"/>
  <c r="K1402" i="34"/>
  <c r="J1402" i="34"/>
  <c r="I1402" i="34"/>
  <c r="H1402" i="34"/>
  <c r="G1402" i="34"/>
  <c r="F1402" i="34"/>
  <c r="E1402" i="34"/>
  <c r="O1401" i="34"/>
  <c r="N1401" i="34"/>
  <c r="M1401" i="34"/>
  <c r="L1401" i="34"/>
  <c r="K1401" i="34"/>
  <c r="J1401" i="34"/>
  <c r="I1401" i="34"/>
  <c r="H1401" i="34"/>
  <c r="G1401" i="34"/>
  <c r="F1401" i="34"/>
  <c r="E1401" i="34"/>
  <c r="O1399" i="34"/>
  <c r="N1399" i="34"/>
  <c r="M1399" i="34"/>
  <c r="L1399" i="34"/>
  <c r="K1399" i="34"/>
  <c r="J1399" i="34"/>
  <c r="I1399" i="34"/>
  <c r="H1399" i="34"/>
  <c r="G1399" i="34"/>
  <c r="F1399" i="34"/>
  <c r="E1399" i="34"/>
  <c r="O1398" i="34"/>
  <c r="N1398" i="34"/>
  <c r="M1398" i="34"/>
  <c r="L1398" i="34"/>
  <c r="K1398" i="34"/>
  <c r="J1398" i="34"/>
  <c r="I1398" i="34"/>
  <c r="H1398" i="34"/>
  <c r="G1398" i="34"/>
  <c r="F1398" i="34"/>
  <c r="E1398" i="34"/>
  <c r="O1397" i="34"/>
  <c r="N1397" i="34"/>
  <c r="M1397" i="34"/>
  <c r="L1397" i="34"/>
  <c r="K1397" i="34"/>
  <c r="J1397" i="34"/>
  <c r="I1397" i="34"/>
  <c r="H1397" i="34"/>
  <c r="G1397" i="34"/>
  <c r="F1397" i="34"/>
  <c r="E1397" i="34"/>
  <c r="O1396" i="34"/>
  <c r="N1396" i="34"/>
  <c r="M1396" i="34"/>
  <c r="L1396" i="34"/>
  <c r="K1396" i="34"/>
  <c r="J1396" i="34"/>
  <c r="I1396" i="34"/>
  <c r="H1396" i="34"/>
  <c r="G1396" i="34"/>
  <c r="F1396" i="34"/>
  <c r="E1396" i="34"/>
  <c r="R1393" i="34"/>
  <c r="P1393" i="34"/>
  <c r="O1393" i="34"/>
  <c r="N1393" i="34"/>
  <c r="M1393" i="34"/>
  <c r="L1393" i="34"/>
  <c r="K1393" i="34"/>
  <c r="J1393" i="34"/>
  <c r="I1393" i="34"/>
  <c r="H1393" i="34"/>
  <c r="G1393" i="34"/>
  <c r="F1393" i="34"/>
  <c r="E1393" i="34"/>
  <c r="E148" i="7"/>
  <c r="H148" i="7"/>
  <c r="I148" i="7"/>
  <c r="K148" i="7"/>
  <c r="N148" i="7"/>
  <c r="F306" i="6"/>
  <c r="F305" i="6"/>
  <c r="D304" i="6"/>
  <c r="D303" i="6"/>
  <c r="D302" i="6"/>
  <c r="D301" i="6"/>
  <c r="D300" i="6"/>
  <c r="D299" i="6"/>
  <c r="D298" i="6"/>
  <c r="D297" i="6"/>
  <c r="D296" i="6"/>
  <c r="D295" i="6"/>
  <c r="D294" i="6"/>
  <c r="D293" i="6"/>
  <c r="D292" i="6"/>
  <c r="D291" i="6"/>
  <c r="D290" i="6"/>
  <c r="D289" i="6"/>
  <c r="F288" i="6"/>
  <c r="F287" i="6"/>
  <c r="F286" i="6"/>
  <c r="F285" i="6"/>
  <c r="F284" i="6"/>
  <c r="F283" i="6"/>
  <c r="W15" i="34" l="1"/>
  <c r="X15" i="34" s="1"/>
  <c r="W1381" i="34" l="1"/>
  <c r="X1381" i="34" s="1"/>
  <c r="U1381" i="34"/>
  <c r="T1381" i="34"/>
  <c r="S1381" i="34"/>
  <c r="W1268" i="34"/>
  <c r="X1268" i="34" s="1"/>
  <c r="U1268" i="34"/>
  <c r="T1268" i="34"/>
  <c r="S1268" i="34"/>
  <c r="W1154" i="34"/>
  <c r="X1154" i="34" s="1"/>
  <c r="U1154" i="34"/>
  <c r="T1154" i="34"/>
  <c r="S1154" i="34"/>
  <c r="W1029" i="34"/>
  <c r="X1029" i="34" s="1"/>
  <c r="U1029" i="34"/>
  <c r="T1029" i="34"/>
  <c r="S1029" i="34"/>
  <c r="W227" i="34"/>
  <c r="X227" i="34" s="1"/>
  <c r="U227" i="34"/>
  <c r="T227" i="34"/>
  <c r="S227" i="34"/>
  <c r="W114" i="34"/>
  <c r="X114" i="34" s="1"/>
  <c r="U114" i="34"/>
  <c r="T114" i="34"/>
  <c r="S114" i="34"/>
  <c r="AH806" i="28"/>
  <c r="AH805" i="28"/>
  <c r="AH804" i="28"/>
  <c r="AH803" i="28"/>
  <c r="AH802" i="28"/>
  <c r="AH801" i="28"/>
  <c r="AH800" i="28"/>
  <c r="AH799" i="28"/>
  <c r="AH798" i="28"/>
  <c r="AH797" i="28"/>
  <c r="AH796" i="28"/>
  <c r="AH795" i="28"/>
  <c r="W1298" i="34"/>
  <c r="X1298" i="34" s="1"/>
  <c r="W1297" i="34"/>
  <c r="X1297" i="34" s="1"/>
  <c r="W11" i="34" l="1"/>
  <c r="X11" i="34" s="1"/>
  <c r="W1285" i="34"/>
  <c r="X1285" i="34" s="1"/>
  <c r="W1284" i="34"/>
  <c r="X1284" i="34" s="1"/>
  <c r="W1283" i="34"/>
  <c r="X1283" i="34" s="1"/>
  <c r="W1282" i="34"/>
  <c r="X1282" i="34" s="1"/>
  <c r="W1281" i="34"/>
  <c r="X1281" i="34" s="1"/>
  <c r="W1280" i="34"/>
  <c r="X1280" i="34" s="1"/>
  <c r="W1279" i="34"/>
  <c r="X1279" i="34" s="1"/>
  <c r="W1278" i="34"/>
  <c r="X1278" i="34" s="1"/>
  <c r="W1277" i="34"/>
  <c r="X1277" i="34" s="1"/>
  <c r="W1276" i="34"/>
  <c r="X1276" i="34" s="1"/>
  <c r="W1275" i="34"/>
  <c r="X1275" i="34" s="1"/>
  <c r="W1274" i="34"/>
  <c r="X1274" i="34" s="1"/>
  <c r="W1273" i="34"/>
  <c r="X1273" i="34" s="1"/>
  <c r="W1272" i="34"/>
  <c r="X1272" i="34" s="1"/>
  <c r="W1271" i="34"/>
  <c r="X1271" i="34" s="1"/>
  <c r="W1270" i="34"/>
  <c r="X1270" i="34" s="1"/>
  <c r="W1269" i="34"/>
  <c r="X1269" i="34" s="1"/>
  <c r="W1267" i="34"/>
  <c r="X1267" i="34" s="1"/>
  <c r="W1266" i="34"/>
  <c r="X1266" i="34" s="1"/>
  <c r="W1265" i="34"/>
  <c r="X1265" i="34" s="1"/>
  <c r="W1264" i="34"/>
  <c r="X1264" i="34" s="1"/>
  <c r="W1263" i="34"/>
  <c r="X1263" i="34" s="1"/>
  <c r="W1262" i="34"/>
  <c r="X1262" i="34" s="1"/>
  <c r="W1261" i="34"/>
  <c r="X1261" i="34" s="1"/>
  <c r="W1260" i="34"/>
  <c r="X1260" i="34" s="1"/>
  <c r="W1259" i="34"/>
  <c r="X1259" i="34" s="1"/>
  <c r="W1258" i="34"/>
  <c r="X1258" i="34" s="1"/>
  <c r="W1257" i="34"/>
  <c r="X1257" i="34" s="1"/>
  <c r="W1256" i="34"/>
  <c r="X1256" i="34" s="1"/>
  <c r="W1255" i="34"/>
  <c r="X1255" i="34" s="1"/>
  <c r="W1254" i="34"/>
  <c r="X1254" i="34" s="1"/>
  <c r="W1253" i="34"/>
  <c r="X1253" i="34" s="1"/>
  <c r="W1252" i="34"/>
  <c r="X1252" i="34" s="1"/>
  <c r="W1251" i="34"/>
  <c r="X1251" i="34" s="1"/>
  <c r="W1250" i="34"/>
  <c r="X1250" i="34" s="1"/>
  <c r="W1249" i="34"/>
  <c r="X1249" i="34" s="1"/>
  <c r="W1248" i="34"/>
  <c r="X1248" i="34" s="1"/>
  <c r="W1247" i="34"/>
  <c r="X1247" i="34" s="1"/>
  <c r="W1246" i="34"/>
  <c r="X1246" i="34" s="1"/>
  <c r="W1245" i="34"/>
  <c r="X1245" i="34" s="1"/>
  <c r="W1244" i="34"/>
  <c r="X1244" i="34" s="1"/>
  <c r="W1243" i="34"/>
  <c r="X1243" i="34" s="1"/>
  <c r="W1242" i="34"/>
  <c r="X1242" i="34" s="1"/>
  <c r="W1241" i="34"/>
  <c r="X1241" i="34" s="1"/>
  <c r="W1240" i="34"/>
  <c r="X1240" i="34" s="1"/>
  <c r="W1239" i="34"/>
  <c r="X1239" i="34" s="1"/>
  <c r="W1238" i="34"/>
  <c r="X1238" i="34" s="1"/>
  <c r="W1237" i="34"/>
  <c r="X1237" i="34" s="1"/>
  <c r="W1236" i="34"/>
  <c r="X1236" i="34" s="1"/>
  <c r="W1235" i="34"/>
  <c r="X1235" i="34" s="1"/>
  <c r="W1234" i="34"/>
  <c r="X1234" i="34" s="1"/>
  <c r="W1233" i="34"/>
  <c r="X1233" i="34" s="1"/>
  <c r="W1232" i="34"/>
  <c r="X1232" i="34" s="1"/>
  <c r="W1231" i="34"/>
  <c r="X1231" i="34" s="1"/>
  <c r="W1230" i="34"/>
  <c r="X1230" i="34" s="1"/>
  <c r="W1229" i="34"/>
  <c r="X1229" i="34" s="1"/>
  <c r="W1228" i="34"/>
  <c r="X1228" i="34" s="1"/>
  <c r="W1227" i="34"/>
  <c r="X1227" i="34" s="1"/>
  <c r="W1226" i="34"/>
  <c r="X1226" i="34" s="1"/>
  <c r="W1225" i="34"/>
  <c r="X1225" i="34" s="1"/>
  <c r="W1224" i="34"/>
  <c r="X1224" i="34" s="1"/>
  <c r="W1223" i="34"/>
  <c r="X1223" i="34" s="1"/>
  <c r="W1222" i="34"/>
  <c r="X1222" i="34" s="1"/>
  <c r="W1221" i="34"/>
  <c r="X1221" i="34" s="1"/>
  <c r="W1220" i="34"/>
  <c r="X1220" i="34" s="1"/>
  <c r="W1219" i="34"/>
  <c r="X1219" i="34" s="1"/>
  <c r="W1218" i="34"/>
  <c r="X1218" i="34" s="1"/>
  <c r="W1217" i="34"/>
  <c r="X1217" i="34" s="1"/>
  <c r="W1216" i="34"/>
  <c r="X1216" i="34" s="1"/>
  <c r="W1215" i="34"/>
  <c r="X1215" i="34" s="1"/>
  <c r="W1214" i="34"/>
  <c r="X1214" i="34" s="1"/>
  <c r="W1213" i="34"/>
  <c r="X1213" i="34" s="1"/>
  <c r="W1212" i="34"/>
  <c r="X1212" i="34" s="1"/>
  <c r="W1211" i="34"/>
  <c r="X1211" i="34" s="1"/>
  <c r="W1210" i="34"/>
  <c r="X1210" i="34" s="1"/>
  <c r="W1209" i="34"/>
  <c r="X1209" i="34" s="1"/>
  <c r="W1208" i="34"/>
  <c r="X1208" i="34" s="1"/>
  <c r="W1207" i="34"/>
  <c r="X1207" i="34" s="1"/>
  <c r="W1206" i="34"/>
  <c r="X1206" i="34" s="1"/>
  <c r="W1205" i="34"/>
  <c r="X1205" i="34" s="1"/>
  <c r="W1204" i="34"/>
  <c r="X1204" i="34" s="1"/>
  <c r="W1203" i="34"/>
  <c r="X1203" i="34" s="1"/>
  <c r="W1202" i="34"/>
  <c r="X1202" i="34" s="1"/>
  <c r="W1201" i="34"/>
  <c r="X1201" i="34" s="1"/>
  <c r="W1200" i="34"/>
  <c r="X1200" i="34" s="1"/>
  <c r="W1199" i="34"/>
  <c r="X1199" i="34" s="1"/>
  <c r="W1198" i="34"/>
  <c r="X1198" i="34" s="1"/>
  <c r="W1197" i="34"/>
  <c r="X1197" i="34" s="1"/>
  <c r="W1196" i="34"/>
  <c r="X1196" i="34" s="1"/>
  <c r="W1195" i="34"/>
  <c r="X1195" i="34" s="1"/>
  <c r="W1194" i="34"/>
  <c r="X1194" i="34" s="1"/>
  <c r="W1193" i="34"/>
  <c r="X1193" i="34" s="1"/>
  <c r="W1192" i="34"/>
  <c r="X1192" i="34" s="1"/>
  <c r="W1191" i="34"/>
  <c r="X1191" i="34" s="1"/>
  <c r="W1190" i="34"/>
  <c r="X1190" i="34" s="1"/>
  <c r="W1189" i="34"/>
  <c r="X1189" i="34" s="1"/>
  <c r="W1188" i="34"/>
  <c r="X1188" i="34" s="1"/>
  <c r="W1187" i="34"/>
  <c r="X1187" i="34" s="1"/>
  <c r="W1186" i="34"/>
  <c r="X1186" i="34" s="1"/>
  <c r="W1185" i="34"/>
  <c r="X1185" i="34" s="1"/>
  <c r="W1184" i="34"/>
  <c r="X1184" i="34" s="1"/>
  <c r="W1183" i="34"/>
  <c r="X1183" i="34" s="1"/>
  <c r="W1182" i="34"/>
  <c r="X1182" i="34" s="1"/>
  <c r="W1181" i="34"/>
  <c r="X1181" i="34" s="1"/>
  <c r="W1180" i="34"/>
  <c r="X1180" i="34" s="1"/>
  <c r="W1179" i="34"/>
  <c r="X1179" i="34" s="1"/>
  <c r="W1178" i="34"/>
  <c r="X1178" i="34" s="1"/>
  <c r="W1177" i="34"/>
  <c r="X1177" i="34" s="1"/>
  <c r="W1176" i="34"/>
  <c r="X1176" i="34" s="1"/>
  <c r="W1175" i="34"/>
  <c r="X1175" i="34" s="1"/>
  <c r="W1174" i="34"/>
  <c r="X1174" i="34" s="1"/>
  <c r="W1173" i="34"/>
  <c r="X1173" i="34" s="1"/>
  <c r="W1172" i="34"/>
  <c r="X1172" i="34" s="1"/>
  <c r="W1171" i="34"/>
  <c r="X1171" i="34" s="1"/>
  <c r="W1170" i="34"/>
  <c r="X1170" i="34" s="1"/>
  <c r="W1169" i="34"/>
  <c r="X1169" i="34" s="1"/>
  <c r="W1168" i="34"/>
  <c r="X1168" i="34" s="1"/>
  <c r="W1167" i="34"/>
  <c r="X1167" i="34" s="1"/>
  <c r="W1166" i="34"/>
  <c r="X1166" i="34" s="1"/>
  <c r="W1165" i="34"/>
  <c r="X1165" i="34" s="1"/>
  <c r="W1164" i="34"/>
  <c r="X1164" i="34" s="1"/>
  <c r="W1163" i="34"/>
  <c r="X1163" i="34" s="1"/>
  <c r="W1162" i="34"/>
  <c r="X1162" i="34" s="1"/>
  <c r="W1161" i="34"/>
  <c r="X1161" i="34" s="1"/>
  <c r="W1160" i="34"/>
  <c r="X1160" i="34" s="1"/>
  <c r="W1159" i="34"/>
  <c r="X1159" i="34" s="1"/>
  <c r="W1158" i="34"/>
  <c r="X1158" i="34" s="1"/>
  <c r="W1157" i="34"/>
  <c r="X1157" i="34" s="1"/>
  <c r="W1156" i="34"/>
  <c r="X1156" i="34" s="1"/>
  <c r="W1155" i="34"/>
  <c r="X1155" i="34" s="1"/>
  <c r="W1153" i="34"/>
  <c r="X1153" i="34" s="1"/>
  <c r="W1152" i="34"/>
  <c r="X1152" i="34" s="1"/>
  <c r="W1151" i="34"/>
  <c r="X1151" i="34" s="1"/>
  <c r="W1150" i="34"/>
  <c r="X1150" i="34" s="1"/>
  <c r="W1149" i="34"/>
  <c r="X1149" i="34" s="1"/>
  <c r="W1148" i="34"/>
  <c r="X1148" i="34" s="1"/>
  <c r="W1147" i="34"/>
  <c r="X1147" i="34" s="1"/>
  <c r="W1146" i="34"/>
  <c r="X1146" i="34" s="1"/>
  <c r="W1145" i="34"/>
  <c r="X1145" i="34" s="1"/>
  <c r="W1144" i="34"/>
  <c r="X1144" i="34" s="1"/>
  <c r="W1143" i="34"/>
  <c r="X1143" i="34" s="1"/>
  <c r="W1142" i="34"/>
  <c r="X1142" i="34" s="1"/>
  <c r="W1141" i="34"/>
  <c r="X1141" i="34" s="1"/>
  <c r="W1140" i="34"/>
  <c r="X1140" i="34" s="1"/>
  <c r="W1139" i="34"/>
  <c r="X1139" i="34" s="1"/>
  <c r="W1138" i="34"/>
  <c r="X1138" i="34" s="1"/>
  <c r="W1137" i="34"/>
  <c r="X1137" i="34" s="1"/>
  <c r="W1136" i="34"/>
  <c r="X1136" i="34" s="1"/>
  <c r="W1135" i="34"/>
  <c r="X1135" i="34" s="1"/>
  <c r="W1134" i="34"/>
  <c r="X1134" i="34" s="1"/>
  <c r="W1133" i="34"/>
  <c r="X1133" i="34" s="1"/>
  <c r="W1132" i="34"/>
  <c r="X1132" i="34" s="1"/>
  <c r="W1131" i="34"/>
  <c r="X1131" i="34" s="1"/>
  <c r="W1130" i="34"/>
  <c r="X1130" i="34" s="1"/>
  <c r="W1129" i="34"/>
  <c r="X1129" i="34" s="1"/>
  <c r="W1128" i="34"/>
  <c r="X1128" i="34" s="1"/>
  <c r="W1127" i="34"/>
  <c r="X1127" i="34" s="1"/>
  <c r="W1126" i="34"/>
  <c r="X1126" i="34" s="1"/>
  <c r="W1125" i="34"/>
  <c r="X1125" i="34" s="1"/>
  <c r="W1124" i="34"/>
  <c r="X1124" i="34" s="1"/>
  <c r="W1123" i="34"/>
  <c r="X1123" i="34" s="1"/>
  <c r="W1122" i="34"/>
  <c r="X1122" i="34" s="1"/>
  <c r="W1121" i="34"/>
  <c r="X1121" i="34" s="1"/>
  <c r="W1120" i="34"/>
  <c r="X1120" i="34" s="1"/>
  <c r="W1119" i="34"/>
  <c r="X1119" i="34" s="1"/>
  <c r="W1118" i="34"/>
  <c r="X1118" i="34" s="1"/>
  <c r="W1117" i="34"/>
  <c r="X1117" i="34" s="1"/>
  <c r="W1116" i="34"/>
  <c r="X1116" i="34" s="1"/>
  <c r="W1115" i="34"/>
  <c r="X1115" i="34" s="1"/>
  <c r="W1114" i="34"/>
  <c r="X1114" i="34" s="1"/>
  <c r="W1113" i="34"/>
  <c r="X1113" i="34" s="1"/>
  <c r="W1112" i="34"/>
  <c r="X1112" i="34" s="1"/>
  <c r="W1111" i="34"/>
  <c r="X1111" i="34" s="1"/>
  <c r="W1110" i="34"/>
  <c r="X1110" i="34" s="1"/>
  <c r="W1109" i="34"/>
  <c r="X1109" i="34" s="1"/>
  <c r="W1108" i="34"/>
  <c r="X1108" i="34" s="1"/>
  <c r="W1107" i="34"/>
  <c r="X1107" i="34" s="1"/>
  <c r="W1106" i="34"/>
  <c r="X1106" i="34" s="1"/>
  <c r="W1105" i="34"/>
  <c r="X1105" i="34" s="1"/>
  <c r="W1104" i="34"/>
  <c r="X1104" i="34" s="1"/>
  <c r="W1103" i="34"/>
  <c r="X1103" i="34" s="1"/>
  <c r="W1102" i="34"/>
  <c r="X1102" i="34" s="1"/>
  <c r="W1101" i="34"/>
  <c r="X1101" i="34" s="1"/>
  <c r="W1100" i="34"/>
  <c r="X1100" i="34" s="1"/>
  <c r="W1099" i="34"/>
  <c r="X1099" i="34" s="1"/>
  <c r="W1098" i="34"/>
  <c r="X1098" i="34" s="1"/>
  <c r="W1097" i="34"/>
  <c r="X1097" i="34" s="1"/>
  <c r="W1096" i="34"/>
  <c r="X1096" i="34" s="1"/>
  <c r="W1095" i="34"/>
  <c r="X1095" i="34" s="1"/>
  <c r="W1094" i="34"/>
  <c r="X1094" i="34" s="1"/>
  <c r="W1093" i="34"/>
  <c r="X1093" i="34" s="1"/>
  <c r="W1092" i="34"/>
  <c r="X1092" i="34" s="1"/>
  <c r="W1091" i="34"/>
  <c r="X1091" i="34" s="1"/>
  <c r="W1090" i="34"/>
  <c r="X1090" i="34" s="1"/>
  <c r="W1089" i="34"/>
  <c r="X1089" i="34" s="1"/>
  <c r="W1088" i="34"/>
  <c r="X1088" i="34" s="1"/>
  <c r="W1087" i="34"/>
  <c r="X1087" i="34" s="1"/>
  <c r="W1086" i="34"/>
  <c r="X1086" i="34" s="1"/>
  <c r="W1085" i="34"/>
  <c r="X1085" i="34" s="1"/>
  <c r="W1084" i="34"/>
  <c r="X1084" i="34" s="1"/>
  <c r="W1083" i="34"/>
  <c r="X1083" i="34" s="1"/>
  <c r="W1082" i="34"/>
  <c r="X1082" i="34" s="1"/>
  <c r="W1081" i="34"/>
  <c r="X1081" i="34" s="1"/>
  <c r="W1080" i="34"/>
  <c r="X1080" i="34" s="1"/>
  <c r="W1079" i="34"/>
  <c r="X1079" i="34" s="1"/>
  <c r="W1078" i="34"/>
  <c r="X1078" i="34" s="1"/>
  <c r="W1077" i="34"/>
  <c r="X1077" i="34" s="1"/>
  <c r="W1076" i="34"/>
  <c r="X1076" i="34" s="1"/>
  <c r="W1075" i="34"/>
  <c r="X1075" i="34" s="1"/>
  <c r="W1074" i="34"/>
  <c r="X1074" i="34" s="1"/>
  <c r="W1073" i="34"/>
  <c r="X1073" i="34" s="1"/>
  <c r="W1072" i="34"/>
  <c r="X1072" i="34" s="1"/>
  <c r="W1071" i="34"/>
  <c r="X1071" i="34" s="1"/>
  <c r="W1070" i="34"/>
  <c r="X1070" i="34" s="1"/>
  <c r="W1069" i="34"/>
  <c r="X1069" i="34" s="1"/>
  <c r="W1068" i="34"/>
  <c r="X1068" i="34" s="1"/>
  <c r="W1067" i="34"/>
  <c r="X1067" i="34" s="1"/>
  <c r="W1066" i="34"/>
  <c r="X1066" i="34" s="1"/>
  <c r="W1065" i="34"/>
  <c r="X1065" i="34" s="1"/>
  <c r="W1064" i="34"/>
  <c r="X1064" i="34" s="1"/>
  <c r="W1063" i="34"/>
  <c r="X1063" i="34" s="1"/>
  <c r="W1062" i="34"/>
  <c r="X1062" i="34" s="1"/>
  <c r="W1061" i="34"/>
  <c r="X1061" i="34" s="1"/>
  <c r="W1060" i="34"/>
  <c r="X1060" i="34" s="1"/>
  <c r="W1059" i="34"/>
  <c r="X1059" i="34" s="1"/>
  <c r="W1058" i="34"/>
  <c r="X1058" i="34" s="1"/>
  <c r="W1057" i="34"/>
  <c r="X1057" i="34" s="1"/>
  <c r="W1056" i="34"/>
  <c r="X1056" i="34" s="1"/>
  <c r="W1055" i="34"/>
  <c r="X1055" i="34" s="1"/>
  <c r="W1054" i="34"/>
  <c r="X1054" i="34" s="1"/>
  <c r="W1053" i="34"/>
  <c r="X1053" i="34" s="1"/>
  <c r="W1052" i="34"/>
  <c r="X1052" i="34" s="1"/>
  <c r="W1051" i="34"/>
  <c r="X1051" i="34" s="1"/>
  <c r="W1050" i="34"/>
  <c r="X1050" i="34" s="1"/>
  <c r="W1049" i="34"/>
  <c r="X1049" i="34" s="1"/>
  <c r="W1048" i="34"/>
  <c r="X1048" i="34" s="1"/>
  <c r="W1047" i="34"/>
  <c r="X1047" i="34" s="1"/>
  <c r="W1046" i="34"/>
  <c r="X1046" i="34" s="1"/>
  <c r="W1045" i="34"/>
  <c r="X1045" i="34" s="1"/>
  <c r="W1044" i="34"/>
  <c r="X1044" i="34" s="1"/>
  <c r="W1043" i="34"/>
  <c r="X1043" i="34" s="1"/>
  <c r="W1042" i="34"/>
  <c r="X1042" i="34" s="1"/>
  <c r="W1041" i="34"/>
  <c r="X1041" i="34" s="1"/>
  <c r="W1040" i="34"/>
  <c r="X1040" i="34" s="1"/>
  <c r="W1039" i="34"/>
  <c r="X1039" i="34" s="1"/>
  <c r="W1038" i="34"/>
  <c r="X1038" i="34" s="1"/>
  <c r="W1037" i="34"/>
  <c r="X1037" i="34" s="1"/>
  <c r="W1036" i="34"/>
  <c r="X1036" i="34" s="1"/>
  <c r="W1035" i="34"/>
  <c r="X1035" i="34" s="1"/>
  <c r="W1034" i="34"/>
  <c r="X1034" i="34" s="1"/>
  <c r="W1033" i="34"/>
  <c r="X1033" i="34" s="1"/>
  <c r="W1032" i="34"/>
  <c r="X1032" i="34" s="1"/>
  <c r="W1031" i="34"/>
  <c r="X1031" i="34" s="1"/>
  <c r="W1030" i="34"/>
  <c r="X1030" i="34" s="1"/>
  <c r="W1028" i="34"/>
  <c r="X1028" i="34" s="1"/>
  <c r="W1027" i="34"/>
  <c r="X1027" i="34" s="1"/>
  <c r="W1026" i="34"/>
  <c r="X1026" i="34" s="1"/>
  <c r="W1025" i="34"/>
  <c r="X1025" i="34" s="1"/>
  <c r="W1024" i="34"/>
  <c r="X1024" i="34" s="1"/>
  <c r="W1023" i="34"/>
  <c r="X1023" i="34" s="1"/>
  <c r="W1022" i="34"/>
  <c r="X1022" i="34" s="1"/>
  <c r="W1021" i="34"/>
  <c r="X1021" i="34" s="1"/>
  <c r="W1020" i="34"/>
  <c r="X1020" i="34" s="1"/>
  <c r="W1019" i="34"/>
  <c r="X1019" i="34" s="1"/>
  <c r="W1018" i="34"/>
  <c r="X1018" i="34" s="1"/>
  <c r="W1017" i="34"/>
  <c r="X1017" i="34" s="1"/>
  <c r="W1016" i="34"/>
  <c r="X1016" i="34" s="1"/>
  <c r="W1015" i="34"/>
  <c r="X1015" i="34" s="1"/>
  <c r="W1014" i="34"/>
  <c r="X1014" i="34" s="1"/>
  <c r="W1013" i="34"/>
  <c r="X1013" i="34" s="1"/>
  <c r="W1012" i="34"/>
  <c r="X1012" i="34" s="1"/>
  <c r="W1011" i="34"/>
  <c r="X1011" i="34" s="1"/>
  <c r="W1010" i="34"/>
  <c r="X1010" i="34" s="1"/>
  <c r="W1009" i="34"/>
  <c r="X1009" i="34" s="1"/>
  <c r="W1008" i="34"/>
  <c r="X1008" i="34" s="1"/>
  <c r="W1007" i="34"/>
  <c r="X1007" i="34" s="1"/>
  <c r="W1006" i="34"/>
  <c r="X1006" i="34" s="1"/>
  <c r="W1005" i="34"/>
  <c r="X1005" i="34" s="1"/>
  <c r="W1004" i="34"/>
  <c r="X1004" i="34" s="1"/>
  <c r="W1003" i="34"/>
  <c r="X1003" i="34" s="1"/>
  <c r="W1002" i="34"/>
  <c r="X1002" i="34" s="1"/>
  <c r="W1001" i="34"/>
  <c r="X1001" i="34" s="1"/>
  <c r="W1000" i="34"/>
  <c r="X1000" i="34" s="1"/>
  <c r="W999" i="34"/>
  <c r="X999" i="34" s="1"/>
  <c r="W998" i="34"/>
  <c r="X998" i="34" s="1"/>
  <c r="W997" i="34"/>
  <c r="X997" i="34" s="1"/>
  <c r="W996" i="34"/>
  <c r="X996" i="34" s="1"/>
  <c r="W995" i="34"/>
  <c r="X995" i="34" s="1"/>
  <c r="W994" i="34"/>
  <c r="X994" i="34" s="1"/>
  <c r="W993" i="34"/>
  <c r="X993" i="34" s="1"/>
  <c r="W992" i="34"/>
  <c r="X992" i="34" s="1"/>
  <c r="W991" i="34"/>
  <c r="X991" i="34" s="1"/>
  <c r="W990" i="34"/>
  <c r="X990" i="34" s="1"/>
  <c r="W989" i="34"/>
  <c r="X989" i="34" s="1"/>
  <c r="W988" i="34"/>
  <c r="X988" i="34" s="1"/>
  <c r="W987" i="34"/>
  <c r="X987" i="34" s="1"/>
  <c r="W986" i="34"/>
  <c r="X986" i="34" s="1"/>
  <c r="W985" i="34"/>
  <c r="X985" i="34" s="1"/>
  <c r="W984" i="34"/>
  <c r="X984" i="34" s="1"/>
  <c r="W983" i="34"/>
  <c r="X983" i="34" s="1"/>
  <c r="W982" i="34"/>
  <c r="X982" i="34" s="1"/>
  <c r="W981" i="34"/>
  <c r="X981" i="34" s="1"/>
  <c r="W980" i="34"/>
  <c r="X980" i="34" s="1"/>
  <c r="W979" i="34"/>
  <c r="X979" i="34" s="1"/>
  <c r="W978" i="34"/>
  <c r="X978" i="34" s="1"/>
  <c r="W977" i="34"/>
  <c r="X977" i="34" s="1"/>
  <c r="W976" i="34"/>
  <c r="X976" i="34" s="1"/>
  <c r="W975" i="34"/>
  <c r="X975" i="34" s="1"/>
  <c r="W974" i="34"/>
  <c r="X974" i="34" s="1"/>
  <c r="W973" i="34"/>
  <c r="X973" i="34" s="1"/>
  <c r="W972" i="34"/>
  <c r="X972" i="34" s="1"/>
  <c r="W971" i="34"/>
  <c r="X971" i="34" s="1"/>
  <c r="W970" i="34"/>
  <c r="X970" i="34" s="1"/>
  <c r="W969" i="34"/>
  <c r="X969" i="34" s="1"/>
  <c r="W968" i="34"/>
  <c r="X968" i="34" s="1"/>
  <c r="W967" i="34"/>
  <c r="X967" i="34" s="1"/>
  <c r="W966" i="34"/>
  <c r="X966" i="34" s="1"/>
  <c r="W965" i="34"/>
  <c r="X965" i="34" s="1"/>
  <c r="W964" i="34"/>
  <c r="X964" i="34" s="1"/>
  <c r="W963" i="34"/>
  <c r="X963" i="34" s="1"/>
  <c r="W962" i="34"/>
  <c r="X962" i="34" s="1"/>
  <c r="W961" i="34"/>
  <c r="X961" i="34" s="1"/>
  <c r="W960" i="34"/>
  <c r="X960" i="34" s="1"/>
  <c r="W959" i="34"/>
  <c r="X959" i="34" s="1"/>
  <c r="W958" i="34"/>
  <c r="X958" i="34" s="1"/>
  <c r="W957" i="34"/>
  <c r="X957" i="34" s="1"/>
  <c r="W956" i="34"/>
  <c r="X956" i="34" s="1"/>
  <c r="W955" i="34"/>
  <c r="X955" i="34" s="1"/>
  <c r="W954" i="34"/>
  <c r="X954" i="34" s="1"/>
  <c r="W953" i="34"/>
  <c r="X953" i="34" s="1"/>
  <c r="W952" i="34"/>
  <c r="X952" i="34" s="1"/>
  <c r="W951" i="34"/>
  <c r="X951" i="34" s="1"/>
  <c r="W950" i="34"/>
  <c r="X950" i="34" s="1"/>
  <c r="W949" i="34"/>
  <c r="X949" i="34" s="1"/>
  <c r="W948" i="34"/>
  <c r="X948" i="34" s="1"/>
  <c r="W947" i="34"/>
  <c r="X947" i="34" s="1"/>
  <c r="W946" i="34"/>
  <c r="X946" i="34" s="1"/>
  <c r="W945" i="34"/>
  <c r="X945" i="34" s="1"/>
  <c r="W944" i="34"/>
  <c r="X944" i="34" s="1"/>
  <c r="W943" i="34"/>
  <c r="X943" i="34" s="1"/>
  <c r="W942" i="34"/>
  <c r="X942" i="34" s="1"/>
  <c r="W941" i="34"/>
  <c r="X941" i="34" s="1"/>
  <c r="W940" i="34"/>
  <c r="X940" i="34" s="1"/>
  <c r="W939" i="34"/>
  <c r="X939" i="34" s="1"/>
  <c r="W938" i="34"/>
  <c r="X938" i="34" s="1"/>
  <c r="W937" i="34"/>
  <c r="X937" i="34" s="1"/>
  <c r="W936" i="34"/>
  <c r="X936" i="34" s="1"/>
  <c r="W935" i="34"/>
  <c r="X935" i="34" s="1"/>
  <c r="W934" i="34"/>
  <c r="X934" i="34" s="1"/>
  <c r="W933" i="34"/>
  <c r="X933" i="34" s="1"/>
  <c r="W932" i="34"/>
  <c r="X932" i="34" s="1"/>
  <c r="W931" i="34"/>
  <c r="X931" i="34" s="1"/>
  <c r="W930" i="34"/>
  <c r="X930" i="34" s="1"/>
  <c r="W929" i="34"/>
  <c r="X929" i="34" s="1"/>
  <c r="W928" i="34"/>
  <c r="X928" i="34" s="1"/>
  <c r="W927" i="34"/>
  <c r="X927" i="34" s="1"/>
  <c r="W926" i="34"/>
  <c r="X926" i="34" s="1"/>
  <c r="W925" i="34"/>
  <c r="X925" i="34" s="1"/>
  <c r="W924" i="34"/>
  <c r="X924" i="34" s="1"/>
  <c r="W923" i="34"/>
  <c r="X923" i="34" s="1"/>
  <c r="W922" i="34"/>
  <c r="X922" i="34" s="1"/>
  <c r="W921" i="34"/>
  <c r="X921" i="34" s="1"/>
  <c r="W920" i="34"/>
  <c r="X920" i="34" s="1"/>
  <c r="W919" i="34"/>
  <c r="X919" i="34" s="1"/>
  <c r="W918" i="34"/>
  <c r="X918" i="34" s="1"/>
  <c r="W917" i="34"/>
  <c r="X917" i="34" s="1"/>
  <c r="W916" i="34"/>
  <c r="X916" i="34" s="1"/>
  <c r="W915" i="34"/>
  <c r="X915" i="34" s="1"/>
  <c r="W914" i="34"/>
  <c r="X914" i="34" s="1"/>
  <c r="W913" i="34"/>
  <c r="X913" i="34" s="1"/>
  <c r="W912" i="34"/>
  <c r="X912" i="34" s="1"/>
  <c r="W911" i="34"/>
  <c r="X911" i="34" s="1"/>
  <c r="W910" i="34"/>
  <c r="X910" i="34" s="1"/>
  <c r="W909" i="34"/>
  <c r="X909" i="34" s="1"/>
  <c r="W908" i="34"/>
  <c r="X908" i="34" s="1"/>
  <c r="W907" i="34"/>
  <c r="X907" i="34" s="1"/>
  <c r="W906" i="34"/>
  <c r="X906" i="34" s="1"/>
  <c r="W905" i="34"/>
  <c r="X905" i="34" s="1"/>
  <c r="W904" i="34"/>
  <c r="X904" i="34" s="1"/>
  <c r="W903" i="34"/>
  <c r="X903" i="34" s="1"/>
  <c r="W902" i="34"/>
  <c r="X902" i="34" s="1"/>
  <c r="W901" i="34"/>
  <c r="X901" i="34" s="1"/>
  <c r="W900" i="34"/>
  <c r="X900" i="34" s="1"/>
  <c r="W899" i="34"/>
  <c r="X899" i="34" s="1"/>
  <c r="W898" i="34"/>
  <c r="X898" i="34" s="1"/>
  <c r="W897" i="34"/>
  <c r="X897" i="34" s="1"/>
  <c r="W896" i="34"/>
  <c r="X896" i="34" s="1"/>
  <c r="W895" i="34"/>
  <c r="X895" i="34" s="1"/>
  <c r="W894" i="34"/>
  <c r="X894" i="34" s="1"/>
  <c r="W893" i="34"/>
  <c r="X893" i="34" s="1"/>
  <c r="W892" i="34"/>
  <c r="X892" i="34" s="1"/>
  <c r="W891" i="34"/>
  <c r="X891" i="34" s="1"/>
  <c r="W890" i="34"/>
  <c r="X890" i="34" s="1"/>
  <c r="W889" i="34"/>
  <c r="X889" i="34" s="1"/>
  <c r="W888" i="34"/>
  <c r="X888" i="34" s="1"/>
  <c r="W887" i="34"/>
  <c r="X887" i="34" s="1"/>
  <c r="W886" i="34"/>
  <c r="X886" i="34" s="1"/>
  <c r="W885" i="34"/>
  <c r="X885" i="34" s="1"/>
  <c r="W884" i="34"/>
  <c r="X884" i="34" s="1"/>
  <c r="W883" i="34"/>
  <c r="X883" i="34" s="1"/>
  <c r="W882" i="34"/>
  <c r="X882" i="34" s="1"/>
  <c r="W881" i="34"/>
  <c r="X881" i="34" s="1"/>
  <c r="W880" i="34"/>
  <c r="X880" i="34" s="1"/>
  <c r="W879" i="34"/>
  <c r="X879" i="34" s="1"/>
  <c r="W878" i="34"/>
  <c r="X878" i="34" s="1"/>
  <c r="W877" i="34"/>
  <c r="X877" i="34" s="1"/>
  <c r="W876" i="34"/>
  <c r="X876" i="34" s="1"/>
  <c r="W875" i="34"/>
  <c r="X875" i="34" s="1"/>
  <c r="W874" i="34"/>
  <c r="X874" i="34" s="1"/>
  <c r="W873" i="34"/>
  <c r="X873" i="34" s="1"/>
  <c r="W872" i="34"/>
  <c r="X872" i="34" s="1"/>
  <c r="W871" i="34"/>
  <c r="X871" i="34" s="1"/>
  <c r="W870" i="34"/>
  <c r="X870" i="34" s="1"/>
  <c r="W869" i="34"/>
  <c r="X869" i="34" s="1"/>
  <c r="W868" i="34"/>
  <c r="X868" i="34" s="1"/>
  <c r="W867" i="34"/>
  <c r="X867" i="34" s="1"/>
  <c r="W866" i="34"/>
  <c r="X866" i="34" s="1"/>
  <c r="W865" i="34"/>
  <c r="X865" i="34" s="1"/>
  <c r="W864" i="34"/>
  <c r="X864" i="34" s="1"/>
  <c r="W863" i="34"/>
  <c r="X863" i="34" s="1"/>
  <c r="W862" i="34"/>
  <c r="X862" i="34" s="1"/>
  <c r="W861" i="34"/>
  <c r="X861" i="34" s="1"/>
  <c r="W860" i="34"/>
  <c r="X860" i="34" s="1"/>
  <c r="W859" i="34"/>
  <c r="X859" i="34" s="1"/>
  <c r="W858" i="34"/>
  <c r="X858" i="34" s="1"/>
  <c r="W857" i="34"/>
  <c r="X857" i="34" s="1"/>
  <c r="W856" i="34"/>
  <c r="X856" i="34" s="1"/>
  <c r="W855" i="34"/>
  <c r="X855" i="34" s="1"/>
  <c r="W854" i="34"/>
  <c r="X854" i="34" s="1"/>
  <c r="W853" i="34"/>
  <c r="X853" i="34" s="1"/>
  <c r="W852" i="34"/>
  <c r="X852" i="34" s="1"/>
  <c r="W851" i="34"/>
  <c r="X851" i="34" s="1"/>
  <c r="W850" i="34"/>
  <c r="X850" i="34" s="1"/>
  <c r="W849" i="34"/>
  <c r="X849" i="34" s="1"/>
  <c r="W848" i="34"/>
  <c r="X848" i="34" s="1"/>
  <c r="W847" i="34"/>
  <c r="X847" i="34" s="1"/>
  <c r="W846" i="34"/>
  <c r="X846" i="34" s="1"/>
  <c r="W845" i="34"/>
  <c r="X845" i="34" s="1"/>
  <c r="W844" i="34"/>
  <c r="X844" i="34" s="1"/>
  <c r="W843" i="34"/>
  <c r="X843" i="34" s="1"/>
  <c r="W842" i="34"/>
  <c r="X842" i="34" s="1"/>
  <c r="W841" i="34"/>
  <c r="X841" i="34" s="1"/>
  <c r="W840" i="34"/>
  <c r="X840" i="34" s="1"/>
  <c r="W839" i="34"/>
  <c r="X839" i="34" s="1"/>
  <c r="W838" i="34"/>
  <c r="X838" i="34" s="1"/>
  <c r="W837" i="34"/>
  <c r="X837" i="34" s="1"/>
  <c r="W836" i="34"/>
  <c r="X836" i="34" s="1"/>
  <c r="W835" i="34"/>
  <c r="X835" i="34" s="1"/>
  <c r="W834" i="34"/>
  <c r="X834" i="34" s="1"/>
  <c r="W833" i="34"/>
  <c r="X833" i="34" s="1"/>
  <c r="W832" i="34"/>
  <c r="X832" i="34" s="1"/>
  <c r="W831" i="34"/>
  <c r="X831" i="34" s="1"/>
  <c r="W830" i="34"/>
  <c r="X830" i="34" s="1"/>
  <c r="W829" i="34"/>
  <c r="X829" i="34" s="1"/>
  <c r="W828" i="34"/>
  <c r="X828" i="34" s="1"/>
  <c r="W827" i="34"/>
  <c r="X827" i="34" s="1"/>
  <c r="W826" i="34"/>
  <c r="X826" i="34" s="1"/>
  <c r="W825" i="34"/>
  <c r="X825" i="34" s="1"/>
  <c r="W824" i="34"/>
  <c r="X824" i="34" s="1"/>
  <c r="W823" i="34"/>
  <c r="X823" i="34" s="1"/>
  <c r="W822" i="34"/>
  <c r="X822" i="34" s="1"/>
  <c r="W821" i="34"/>
  <c r="X821" i="34" s="1"/>
  <c r="W820" i="34"/>
  <c r="X820" i="34" s="1"/>
  <c r="W819" i="34"/>
  <c r="X819" i="34" s="1"/>
  <c r="W818" i="34"/>
  <c r="X818" i="34" s="1"/>
  <c r="W817" i="34"/>
  <c r="X817" i="34" s="1"/>
  <c r="W816" i="34"/>
  <c r="X816" i="34" s="1"/>
  <c r="W815" i="34"/>
  <c r="X815" i="34" s="1"/>
  <c r="W814" i="34"/>
  <c r="X814" i="34" s="1"/>
  <c r="W813" i="34"/>
  <c r="X813" i="34" s="1"/>
  <c r="W812" i="34"/>
  <c r="X812" i="34" s="1"/>
  <c r="W811" i="34"/>
  <c r="X811" i="34" s="1"/>
  <c r="W810" i="34"/>
  <c r="X810" i="34" s="1"/>
  <c r="W809" i="34"/>
  <c r="X809" i="34" s="1"/>
  <c r="W808" i="34"/>
  <c r="X808" i="34" s="1"/>
  <c r="W807" i="34"/>
  <c r="X807" i="34" s="1"/>
  <c r="W806" i="34"/>
  <c r="X806" i="34" s="1"/>
  <c r="W805" i="34"/>
  <c r="X805" i="34" s="1"/>
  <c r="W804" i="34"/>
  <c r="X804" i="34" s="1"/>
  <c r="W803" i="34"/>
  <c r="X803" i="34" s="1"/>
  <c r="W802" i="34"/>
  <c r="X802" i="34" s="1"/>
  <c r="W801" i="34"/>
  <c r="X801" i="34" s="1"/>
  <c r="W800" i="34"/>
  <c r="X800" i="34" s="1"/>
  <c r="W799" i="34"/>
  <c r="X799" i="34" s="1"/>
  <c r="W798" i="34"/>
  <c r="X798" i="34" s="1"/>
  <c r="W797" i="34"/>
  <c r="X797" i="34" s="1"/>
  <c r="W796" i="34"/>
  <c r="X796" i="34" s="1"/>
  <c r="W795" i="34"/>
  <c r="X795" i="34" s="1"/>
  <c r="W794" i="34"/>
  <c r="X794" i="34" s="1"/>
  <c r="W793" i="34"/>
  <c r="X793" i="34" s="1"/>
  <c r="W792" i="34"/>
  <c r="X792" i="34" s="1"/>
  <c r="W791" i="34"/>
  <c r="X791" i="34" s="1"/>
  <c r="W790" i="34"/>
  <c r="X790" i="34" s="1"/>
  <c r="W789" i="34"/>
  <c r="X789" i="34" s="1"/>
  <c r="W788" i="34"/>
  <c r="X788" i="34" s="1"/>
  <c r="W787" i="34"/>
  <c r="X787" i="34" s="1"/>
  <c r="W786" i="34"/>
  <c r="X786" i="34" s="1"/>
  <c r="W785" i="34"/>
  <c r="X785" i="34" s="1"/>
  <c r="W784" i="34"/>
  <c r="X784" i="34" s="1"/>
  <c r="W783" i="34"/>
  <c r="X783" i="34" s="1"/>
  <c r="W782" i="34"/>
  <c r="X782" i="34" s="1"/>
  <c r="W781" i="34"/>
  <c r="X781" i="34" s="1"/>
  <c r="W780" i="34"/>
  <c r="X780" i="34" s="1"/>
  <c r="W779" i="34"/>
  <c r="X779" i="34" s="1"/>
  <c r="W778" i="34"/>
  <c r="X778" i="34" s="1"/>
  <c r="W777" i="34"/>
  <c r="X777" i="34" s="1"/>
  <c r="W776" i="34"/>
  <c r="X776" i="34" s="1"/>
  <c r="W775" i="34"/>
  <c r="X775" i="34" s="1"/>
  <c r="W774" i="34"/>
  <c r="X774" i="34" s="1"/>
  <c r="W773" i="34"/>
  <c r="X773" i="34" s="1"/>
  <c r="W772" i="34"/>
  <c r="X772" i="34" s="1"/>
  <c r="W771" i="34"/>
  <c r="X771" i="34" s="1"/>
  <c r="W770" i="34"/>
  <c r="X770" i="34" s="1"/>
  <c r="W769" i="34"/>
  <c r="X769" i="34" s="1"/>
  <c r="W768" i="34"/>
  <c r="X768" i="34" s="1"/>
  <c r="W767" i="34"/>
  <c r="X767" i="34" s="1"/>
  <c r="W766" i="34"/>
  <c r="X766" i="34" s="1"/>
  <c r="W765" i="34"/>
  <c r="X765" i="34" s="1"/>
  <c r="W764" i="34"/>
  <c r="X764" i="34" s="1"/>
  <c r="W763" i="34"/>
  <c r="X763" i="34" s="1"/>
  <c r="W762" i="34"/>
  <c r="X762" i="34" s="1"/>
  <c r="W761" i="34"/>
  <c r="X761" i="34" s="1"/>
  <c r="W760" i="34"/>
  <c r="X760" i="34" s="1"/>
  <c r="W759" i="34"/>
  <c r="X759" i="34" s="1"/>
  <c r="W758" i="34"/>
  <c r="X758" i="34" s="1"/>
  <c r="W757" i="34"/>
  <c r="X757" i="34" s="1"/>
  <c r="W756" i="34"/>
  <c r="X756" i="34" s="1"/>
  <c r="W755" i="34"/>
  <c r="X755" i="34" s="1"/>
  <c r="W754" i="34"/>
  <c r="X754" i="34" s="1"/>
  <c r="W753" i="34"/>
  <c r="X753" i="34" s="1"/>
  <c r="W752" i="34"/>
  <c r="X752" i="34" s="1"/>
  <c r="W751" i="34"/>
  <c r="X751" i="34" s="1"/>
  <c r="W750" i="34"/>
  <c r="X750" i="34" s="1"/>
  <c r="W749" i="34"/>
  <c r="X749" i="34" s="1"/>
  <c r="W748" i="34"/>
  <c r="X748" i="34" s="1"/>
  <c r="W747" i="34"/>
  <c r="X747" i="34" s="1"/>
  <c r="W746" i="34"/>
  <c r="X746" i="34" s="1"/>
  <c r="W745" i="34"/>
  <c r="X745" i="34" s="1"/>
  <c r="W744" i="34"/>
  <c r="X744" i="34" s="1"/>
  <c r="W743" i="34"/>
  <c r="X743" i="34" s="1"/>
  <c r="W742" i="34"/>
  <c r="X742" i="34" s="1"/>
  <c r="W741" i="34"/>
  <c r="X741" i="34" s="1"/>
  <c r="W740" i="34"/>
  <c r="X740" i="34" s="1"/>
  <c r="W739" i="34"/>
  <c r="X739" i="34" s="1"/>
  <c r="W738" i="34"/>
  <c r="X738" i="34" s="1"/>
  <c r="W737" i="34"/>
  <c r="X737" i="34" s="1"/>
  <c r="W736" i="34"/>
  <c r="X736" i="34" s="1"/>
  <c r="W735" i="34"/>
  <c r="X735" i="34" s="1"/>
  <c r="W734" i="34"/>
  <c r="X734" i="34" s="1"/>
  <c r="W733" i="34"/>
  <c r="X733" i="34" s="1"/>
  <c r="W732" i="34"/>
  <c r="X732" i="34" s="1"/>
  <c r="W731" i="34"/>
  <c r="X731" i="34" s="1"/>
  <c r="W730" i="34"/>
  <c r="X730" i="34" s="1"/>
  <c r="W729" i="34"/>
  <c r="X729" i="34" s="1"/>
  <c r="W728" i="34"/>
  <c r="X728" i="34" s="1"/>
  <c r="W727" i="34"/>
  <c r="X727" i="34" s="1"/>
  <c r="W726" i="34"/>
  <c r="X726" i="34" s="1"/>
  <c r="W725" i="34"/>
  <c r="X725" i="34" s="1"/>
  <c r="W724" i="34"/>
  <c r="X724" i="34" s="1"/>
  <c r="W723" i="34"/>
  <c r="X723" i="34" s="1"/>
  <c r="W722" i="34"/>
  <c r="X722" i="34" s="1"/>
  <c r="W721" i="34"/>
  <c r="X721" i="34" s="1"/>
  <c r="W720" i="34"/>
  <c r="X720" i="34" s="1"/>
  <c r="W719" i="34"/>
  <c r="X719" i="34" s="1"/>
  <c r="W718" i="34"/>
  <c r="X718" i="34" s="1"/>
  <c r="W717" i="34"/>
  <c r="X717" i="34" s="1"/>
  <c r="W716" i="34"/>
  <c r="X716" i="34" s="1"/>
  <c r="W715" i="34"/>
  <c r="X715" i="34" s="1"/>
  <c r="W714" i="34"/>
  <c r="X714" i="34" s="1"/>
  <c r="W713" i="34"/>
  <c r="X713" i="34" s="1"/>
  <c r="W712" i="34"/>
  <c r="X712" i="34" s="1"/>
  <c r="W711" i="34"/>
  <c r="X711" i="34" s="1"/>
  <c r="W710" i="34"/>
  <c r="X710" i="34" s="1"/>
  <c r="W709" i="34"/>
  <c r="X709" i="34" s="1"/>
  <c r="W708" i="34"/>
  <c r="X708" i="34" s="1"/>
  <c r="W707" i="34"/>
  <c r="X707" i="34" s="1"/>
  <c r="W706" i="34"/>
  <c r="X706" i="34" s="1"/>
  <c r="W705" i="34"/>
  <c r="X705" i="34" s="1"/>
  <c r="W704" i="34"/>
  <c r="X704" i="34" s="1"/>
  <c r="W703" i="34"/>
  <c r="X703" i="34" s="1"/>
  <c r="W702" i="34"/>
  <c r="X702" i="34" s="1"/>
  <c r="W701" i="34"/>
  <c r="X701" i="34" s="1"/>
  <c r="W700" i="34"/>
  <c r="X700" i="34" s="1"/>
  <c r="W699" i="34"/>
  <c r="X699" i="34" s="1"/>
  <c r="W698" i="34"/>
  <c r="X698" i="34" s="1"/>
  <c r="W697" i="34"/>
  <c r="X697" i="34" s="1"/>
  <c r="W696" i="34"/>
  <c r="X696" i="34" s="1"/>
  <c r="W695" i="34"/>
  <c r="X695" i="34" s="1"/>
  <c r="W694" i="34"/>
  <c r="X694" i="34" s="1"/>
  <c r="W693" i="34"/>
  <c r="X693" i="34" s="1"/>
  <c r="W692" i="34"/>
  <c r="X692" i="34" s="1"/>
  <c r="W691" i="34"/>
  <c r="X691" i="34" s="1"/>
  <c r="W690" i="34"/>
  <c r="X690" i="34" s="1"/>
  <c r="W689" i="34"/>
  <c r="X689" i="34" s="1"/>
  <c r="W688" i="34"/>
  <c r="X688" i="34" s="1"/>
  <c r="W687" i="34"/>
  <c r="X687" i="34" s="1"/>
  <c r="W686" i="34"/>
  <c r="X686" i="34" s="1"/>
  <c r="W685" i="34"/>
  <c r="X685" i="34" s="1"/>
  <c r="W684" i="34"/>
  <c r="X684" i="34" s="1"/>
  <c r="W683" i="34"/>
  <c r="X683" i="34" s="1"/>
  <c r="W682" i="34"/>
  <c r="X682" i="34" s="1"/>
  <c r="W681" i="34"/>
  <c r="X681" i="34" s="1"/>
  <c r="W680" i="34"/>
  <c r="X680" i="34" s="1"/>
  <c r="W679" i="34"/>
  <c r="X679" i="34" s="1"/>
  <c r="W678" i="34"/>
  <c r="X678" i="34" s="1"/>
  <c r="W677" i="34"/>
  <c r="X677" i="34" s="1"/>
  <c r="W676" i="34"/>
  <c r="X676" i="34" s="1"/>
  <c r="W675" i="34"/>
  <c r="X675" i="34" s="1"/>
  <c r="W674" i="34"/>
  <c r="X674" i="34" s="1"/>
  <c r="W673" i="34"/>
  <c r="X673" i="34" s="1"/>
  <c r="W672" i="34"/>
  <c r="X672" i="34" s="1"/>
  <c r="W671" i="34"/>
  <c r="X671" i="34" s="1"/>
  <c r="W670" i="34"/>
  <c r="X670" i="34" s="1"/>
  <c r="W669" i="34"/>
  <c r="X669" i="34" s="1"/>
  <c r="W668" i="34"/>
  <c r="X668" i="34" s="1"/>
  <c r="W667" i="34"/>
  <c r="X667" i="34" s="1"/>
  <c r="W666" i="34"/>
  <c r="X666" i="34" s="1"/>
  <c r="W665" i="34"/>
  <c r="X665" i="34" s="1"/>
  <c r="W664" i="34"/>
  <c r="X664" i="34" s="1"/>
  <c r="W663" i="34"/>
  <c r="X663" i="34" s="1"/>
  <c r="W662" i="34"/>
  <c r="X662" i="34" s="1"/>
  <c r="W661" i="34"/>
  <c r="X661" i="34" s="1"/>
  <c r="W660" i="34"/>
  <c r="X660" i="34" s="1"/>
  <c r="W659" i="34"/>
  <c r="X659" i="34" s="1"/>
  <c r="W658" i="34"/>
  <c r="X658" i="34" s="1"/>
  <c r="W657" i="34"/>
  <c r="X657" i="34" s="1"/>
  <c r="W656" i="34"/>
  <c r="X656" i="34" s="1"/>
  <c r="W655" i="34"/>
  <c r="X655" i="34" s="1"/>
  <c r="W654" i="34"/>
  <c r="X654" i="34" s="1"/>
  <c r="W653" i="34"/>
  <c r="X653" i="34" s="1"/>
  <c r="W652" i="34"/>
  <c r="X652" i="34" s="1"/>
  <c r="W651" i="34"/>
  <c r="X651" i="34" s="1"/>
  <c r="W650" i="34"/>
  <c r="X650" i="34" s="1"/>
  <c r="W649" i="34"/>
  <c r="X649" i="34" s="1"/>
  <c r="W648" i="34"/>
  <c r="X648" i="34" s="1"/>
  <c r="W647" i="34"/>
  <c r="X647" i="34" s="1"/>
  <c r="W646" i="34"/>
  <c r="X646" i="34" s="1"/>
  <c r="W645" i="34"/>
  <c r="X645" i="34" s="1"/>
  <c r="W644" i="34"/>
  <c r="X644" i="34" s="1"/>
  <c r="W643" i="34"/>
  <c r="X643" i="34" s="1"/>
  <c r="W642" i="34"/>
  <c r="X642" i="34" s="1"/>
  <c r="W641" i="34"/>
  <c r="X641" i="34" s="1"/>
  <c r="W640" i="34"/>
  <c r="X640" i="34" s="1"/>
  <c r="W639" i="34"/>
  <c r="X639" i="34" s="1"/>
  <c r="W638" i="34"/>
  <c r="X638" i="34" s="1"/>
  <c r="W637" i="34"/>
  <c r="X637" i="34" s="1"/>
  <c r="W636" i="34"/>
  <c r="X636" i="34" s="1"/>
  <c r="W635" i="34"/>
  <c r="X635" i="34" s="1"/>
  <c r="W634" i="34"/>
  <c r="X634" i="34" s="1"/>
  <c r="W633" i="34"/>
  <c r="X633" i="34" s="1"/>
  <c r="W632" i="34"/>
  <c r="X632" i="34" s="1"/>
  <c r="W631" i="34"/>
  <c r="X631" i="34" s="1"/>
  <c r="W630" i="34"/>
  <c r="X630" i="34" s="1"/>
  <c r="W629" i="34"/>
  <c r="X629" i="34" s="1"/>
  <c r="W628" i="34"/>
  <c r="X628" i="34" s="1"/>
  <c r="W627" i="34"/>
  <c r="X627" i="34" s="1"/>
  <c r="W626" i="34"/>
  <c r="X626" i="34" s="1"/>
  <c r="W625" i="34"/>
  <c r="X625" i="34" s="1"/>
  <c r="W624" i="34"/>
  <c r="X624" i="34" s="1"/>
  <c r="W623" i="34"/>
  <c r="X623" i="34" s="1"/>
  <c r="W622" i="34"/>
  <c r="X622" i="34" s="1"/>
  <c r="W621" i="34"/>
  <c r="X621" i="34" s="1"/>
  <c r="W620" i="34"/>
  <c r="X620" i="34" s="1"/>
  <c r="W619" i="34"/>
  <c r="X619" i="34" s="1"/>
  <c r="W618" i="34"/>
  <c r="X618" i="34" s="1"/>
  <c r="W617" i="34"/>
  <c r="X617" i="34" s="1"/>
  <c r="W616" i="34"/>
  <c r="X616" i="34" s="1"/>
  <c r="W615" i="34"/>
  <c r="X615" i="34" s="1"/>
  <c r="W614" i="34"/>
  <c r="X614" i="34" s="1"/>
  <c r="W613" i="34"/>
  <c r="X613" i="34" s="1"/>
  <c r="W612" i="34"/>
  <c r="X612" i="34" s="1"/>
  <c r="W611" i="34"/>
  <c r="X611" i="34" s="1"/>
  <c r="W610" i="34"/>
  <c r="X610" i="34" s="1"/>
  <c r="W609" i="34"/>
  <c r="X609" i="34" s="1"/>
  <c r="W608" i="34"/>
  <c r="X608" i="34" s="1"/>
  <c r="W607" i="34"/>
  <c r="X607" i="34" s="1"/>
  <c r="W606" i="34"/>
  <c r="X606" i="34" s="1"/>
  <c r="W605" i="34"/>
  <c r="X605" i="34" s="1"/>
  <c r="W604" i="34"/>
  <c r="X604" i="34" s="1"/>
  <c r="W603" i="34"/>
  <c r="X603" i="34" s="1"/>
  <c r="W602" i="34"/>
  <c r="X602" i="34" s="1"/>
  <c r="W601" i="34"/>
  <c r="X601" i="34" s="1"/>
  <c r="W600" i="34"/>
  <c r="X600" i="34" s="1"/>
  <c r="W599" i="34"/>
  <c r="X599" i="34" s="1"/>
  <c r="W598" i="34"/>
  <c r="X598" i="34" s="1"/>
  <c r="W597" i="34"/>
  <c r="X597" i="34" s="1"/>
  <c r="W596" i="34"/>
  <c r="X596" i="34" s="1"/>
  <c r="W595" i="34"/>
  <c r="X595" i="34" s="1"/>
  <c r="W594" i="34"/>
  <c r="X594" i="34" s="1"/>
  <c r="W593" i="34"/>
  <c r="X593" i="34" s="1"/>
  <c r="W592" i="34"/>
  <c r="X592" i="34" s="1"/>
  <c r="W591" i="34"/>
  <c r="X591" i="34" s="1"/>
  <c r="W590" i="34"/>
  <c r="X590" i="34" s="1"/>
  <c r="W589" i="34"/>
  <c r="X589" i="34" s="1"/>
  <c r="W588" i="34"/>
  <c r="X588" i="34" s="1"/>
  <c r="W587" i="34"/>
  <c r="X587" i="34" s="1"/>
  <c r="W586" i="34"/>
  <c r="X586" i="34" s="1"/>
  <c r="W585" i="34"/>
  <c r="X585" i="34" s="1"/>
  <c r="W584" i="34"/>
  <c r="X584" i="34" s="1"/>
  <c r="W583" i="34"/>
  <c r="X583" i="34" s="1"/>
  <c r="W582" i="34"/>
  <c r="X582" i="34" s="1"/>
  <c r="W581" i="34"/>
  <c r="X581" i="34" s="1"/>
  <c r="W580" i="34"/>
  <c r="X580" i="34" s="1"/>
  <c r="W579" i="34"/>
  <c r="X579" i="34" s="1"/>
  <c r="W578" i="34"/>
  <c r="X578" i="34" s="1"/>
  <c r="W577" i="34"/>
  <c r="X577" i="34" s="1"/>
  <c r="W576" i="34"/>
  <c r="X576" i="34" s="1"/>
  <c r="W575" i="34"/>
  <c r="X575" i="34" s="1"/>
  <c r="W574" i="34"/>
  <c r="X574" i="34" s="1"/>
  <c r="W573" i="34"/>
  <c r="X573" i="34" s="1"/>
  <c r="W572" i="34"/>
  <c r="X572" i="34" s="1"/>
  <c r="W571" i="34"/>
  <c r="X571" i="34" s="1"/>
  <c r="W570" i="34"/>
  <c r="X570" i="34" s="1"/>
  <c r="W569" i="34"/>
  <c r="X569" i="34" s="1"/>
  <c r="W568" i="34"/>
  <c r="X568" i="34" s="1"/>
  <c r="W567" i="34"/>
  <c r="X567" i="34" s="1"/>
  <c r="W566" i="34"/>
  <c r="X566" i="34" s="1"/>
  <c r="W565" i="34"/>
  <c r="X565" i="34" s="1"/>
  <c r="W564" i="34"/>
  <c r="X564" i="34" s="1"/>
  <c r="W563" i="34"/>
  <c r="X563" i="34" s="1"/>
  <c r="W562" i="34"/>
  <c r="X562" i="34" s="1"/>
  <c r="W561" i="34"/>
  <c r="X561" i="34" s="1"/>
  <c r="W560" i="34"/>
  <c r="X560" i="34" s="1"/>
  <c r="W559" i="34"/>
  <c r="X559" i="34" s="1"/>
  <c r="W558" i="34"/>
  <c r="X558" i="34" s="1"/>
  <c r="W557" i="34"/>
  <c r="X557" i="34" s="1"/>
  <c r="W556" i="34"/>
  <c r="X556" i="34" s="1"/>
  <c r="W555" i="34"/>
  <c r="X555" i="34" s="1"/>
  <c r="W554" i="34"/>
  <c r="X554" i="34" s="1"/>
  <c r="W553" i="34"/>
  <c r="X553" i="34" s="1"/>
  <c r="W552" i="34"/>
  <c r="X552" i="34" s="1"/>
  <c r="W551" i="34"/>
  <c r="X551" i="34" s="1"/>
  <c r="W550" i="34"/>
  <c r="X550" i="34" s="1"/>
  <c r="W549" i="34"/>
  <c r="X549" i="34" s="1"/>
  <c r="W548" i="34"/>
  <c r="X548" i="34" s="1"/>
  <c r="W547" i="34"/>
  <c r="X547" i="34" s="1"/>
  <c r="W546" i="34"/>
  <c r="X546" i="34" s="1"/>
  <c r="W545" i="34"/>
  <c r="X545" i="34" s="1"/>
  <c r="W544" i="34"/>
  <c r="X544" i="34" s="1"/>
  <c r="W543" i="34"/>
  <c r="X543" i="34" s="1"/>
  <c r="W542" i="34"/>
  <c r="X542" i="34" s="1"/>
  <c r="W541" i="34"/>
  <c r="X541" i="34" s="1"/>
  <c r="W540" i="34"/>
  <c r="X540" i="34" s="1"/>
  <c r="W539" i="34"/>
  <c r="X539" i="34" s="1"/>
  <c r="W538" i="34"/>
  <c r="X538" i="34" s="1"/>
  <c r="W537" i="34"/>
  <c r="X537" i="34" s="1"/>
  <c r="W536" i="34"/>
  <c r="X536" i="34" s="1"/>
  <c r="W535" i="34"/>
  <c r="X535" i="34" s="1"/>
  <c r="W534" i="34"/>
  <c r="X534" i="34" s="1"/>
  <c r="W533" i="34"/>
  <c r="X533" i="34" s="1"/>
  <c r="W532" i="34"/>
  <c r="X532" i="34" s="1"/>
  <c r="W531" i="34"/>
  <c r="X531" i="34" s="1"/>
  <c r="W530" i="34"/>
  <c r="X530" i="34" s="1"/>
  <c r="W529" i="34"/>
  <c r="X529" i="34" s="1"/>
  <c r="W528" i="34"/>
  <c r="X528" i="34" s="1"/>
  <c r="W527" i="34"/>
  <c r="X527" i="34" s="1"/>
  <c r="W526" i="34"/>
  <c r="X526" i="34" s="1"/>
  <c r="W525" i="34"/>
  <c r="X525" i="34" s="1"/>
  <c r="W524" i="34"/>
  <c r="X524" i="34" s="1"/>
  <c r="W523" i="34"/>
  <c r="X523" i="34" s="1"/>
  <c r="W522" i="34"/>
  <c r="X522" i="34" s="1"/>
  <c r="W521" i="34"/>
  <c r="X521" i="34" s="1"/>
  <c r="W520" i="34"/>
  <c r="X520" i="34" s="1"/>
  <c r="W519" i="34"/>
  <c r="X519" i="34" s="1"/>
  <c r="W518" i="34"/>
  <c r="X518" i="34" s="1"/>
  <c r="W517" i="34"/>
  <c r="X517" i="34" s="1"/>
  <c r="W516" i="34"/>
  <c r="X516" i="34" s="1"/>
  <c r="W515" i="34"/>
  <c r="X515" i="34" s="1"/>
  <c r="W514" i="34"/>
  <c r="X514" i="34" s="1"/>
  <c r="W513" i="34"/>
  <c r="X513" i="34" s="1"/>
  <c r="W512" i="34"/>
  <c r="X512" i="34" s="1"/>
  <c r="W511" i="34"/>
  <c r="X511" i="34" s="1"/>
  <c r="W510" i="34"/>
  <c r="X510" i="34" s="1"/>
  <c r="W509" i="34"/>
  <c r="X509" i="34" s="1"/>
  <c r="W508" i="34"/>
  <c r="X508" i="34" s="1"/>
  <c r="W507" i="34"/>
  <c r="X507" i="34" s="1"/>
  <c r="W506" i="34"/>
  <c r="X506" i="34" s="1"/>
  <c r="W505" i="34"/>
  <c r="X505" i="34" s="1"/>
  <c r="W504" i="34"/>
  <c r="X504" i="34" s="1"/>
  <c r="W503" i="34"/>
  <c r="X503" i="34" s="1"/>
  <c r="W502" i="34"/>
  <c r="X502" i="34" s="1"/>
  <c r="W501" i="34"/>
  <c r="X501" i="34" s="1"/>
  <c r="W500" i="34"/>
  <c r="X500" i="34" s="1"/>
  <c r="W499" i="34"/>
  <c r="X499" i="34" s="1"/>
  <c r="W498" i="34"/>
  <c r="X498" i="34" s="1"/>
  <c r="W497" i="34"/>
  <c r="X497" i="34" s="1"/>
  <c r="W496" i="34"/>
  <c r="X496" i="34" s="1"/>
  <c r="W495" i="34"/>
  <c r="X495" i="34" s="1"/>
  <c r="W494" i="34"/>
  <c r="X494" i="34" s="1"/>
  <c r="W493" i="34"/>
  <c r="X493" i="34" s="1"/>
  <c r="W492" i="34"/>
  <c r="X492" i="34" s="1"/>
  <c r="W491" i="34"/>
  <c r="X491" i="34" s="1"/>
  <c r="W490" i="34"/>
  <c r="X490" i="34" s="1"/>
  <c r="W489" i="34"/>
  <c r="X489" i="34" s="1"/>
  <c r="W488" i="34"/>
  <c r="X488" i="34" s="1"/>
  <c r="W487" i="34"/>
  <c r="X487" i="34" s="1"/>
  <c r="W486" i="34"/>
  <c r="X486" i="34" s="1"/>
  <c r="W485" i="34"/>
  <c r="X485" i="34" s="1"/>
  <c r="W484" i="34"/>
  <c r="X484" i="34" s="1"/>
  <c r="W483" i="34"/>
  <c r="X483" i="34" s="1"/>
  <c r="W482" i="34"/>
  <c r="X482" i="34" s="1"/>
  <c r="W481" i="34"/>
  <c r="X481" i="34" s="1"/>
  <c r="W480" i="34"/>
  <c r="X480" i="34" s="1"/>
  <c r="W479" i="34"/>
  <c r="X479" i="34" s="1"/>
  <c r="W478" i="34"/>
  <c r="X478" i="34" s="1"/>
  <c r="W477" i="34"/>
  <c r="X477" i="34" s="1"/>
  <c r="W476" i="34"/>
  <c r="X476" i="34" s="1"/>
  <c r="W475" i="34"/>
  <c r="X475" i="34" s="1"/>
  <c r="W474" i="34"/>
  <c r="X474" i="34" s="1"/>
  <c r="W473" i="34"/>
  <c r="X473" i="34" s="1"/>
  <c r="W472" i="34"/>
  <c r="X472" i="34" s="1"/>
  <c r="W471" i="34"/>
  <c r="X471" i="34" s="1"/>
  <c r="W470" i="34"/>
  <c r="X470" i="34" s="1"/>
  <c r="W469" i="34"/>
  <c r="X469" i="34" s="1"/>
  <c r="W468" i="34"/>
  <c r="X468" i="34" s="1"/>
  <c r="W467" i="34"/>
  <c r="X467" i="34" s="1"/>
  <c r="W466" i="34"/>
  <c r="X466" i="34" s="1"/>
  <c r="W465" i="34"/>
  <c r="X465" i="34" s="1"/>
  <c r="W464" i="34"/>
  <c r="X464" i="34" s="1"/>
  <c r="W463" i="34"/>
  <c r="X463" i="34" s="1"/>
  <c r="W462" i="34"/>
  <c r="X462" i="34" s="1"/>
  <c r="W461" i="34"/>
  <c r="X461" i="34" s="1"/>
  <c r="W460" i="34"/>
  <c r="X460" i="34" s="1"/>
  <c r="W459" i="34"/>
  <c r="X459" i="34" s="1"/>
  <c r="W458" i="34"/>
  <c r="X458" i="34" s="1"/>
  <c r="W457" i="34"/>
  <c r="X457" i="34" s="1"/>
  <c r="W456" i="34"/>
  <c r="X456" i="34" s="1"/>
  <c r="W455" i="34"/>
  <c r="X455" i="34" s="1"/>
  <c r="W454" i="34"/>
  <c r="X454" i="34" s="1"/>
  <c r="W453" i="34"/>
  <c r="X453" i="34" s="1"/>
  <c r="W452" i="34"/>
  <c r="X452" i="34" s="1"/>
  <c r="W451" i="34"/>
  <c r="X451" i="34" s="1"/>
  <c r="W450" i="34"/>
  <c r="X450" i="34" s="1"/>
  <c r="W449" i="34"/>
  <c r="X449" i="34" s="1"/>
  <c r="W448" i="34"/>
  <c r="X448" i="34" s="1"/>
  <c r="W447" i="34"/>
  <c r="X447" i="34" s="1"/>
  <c r="W446" i="34"/>
  <c r="X446" i="34" s="1"/>
  <c r="W445" i="34"/>
  <c r="X445" i="34" s="1"/>
  <c r="W444" i="34"/>
  <c r="X444" i="34" s="1"/>
  <c r="W443" i="34"/>
  <c r="X443" i="34" s="1"/>
  <c r="W442" i="34"/>
  <c r="X442" i="34" s="1"/>
  <c r="W441" i="34"/>
  <c r="X441" i="34" s="1"/>
  <c r="W440" i="34"/>
  <c r="X440" i="34" s="1"/>
  <c r="W439" i="34"/>
  <c r="X439" i="34" s="1"/>
  <c r="W438" i="34"/>
  <c r="X438" i="34" s="1"/>
  <c r="W437" i="34"/>
  <c r="X437" i="34" s="1"/>
  <c r="W436" i="34"/>
  <c r="X436" i="34" s="1"/>
  <c r="W435" i="34"/>
  <c r="X435" i="34" s="1"/>
  <c r="W434" i="34"/>
  <c r="X434" i="34" s="1"/>
  <c r="W433" i="34"/>
  <c r="X433" i="34" s="1"/>
  <c r="W432" i="34"/>
  <c r="X432" i="34" s="1"/>
  <c r="W431" i="34"/>
  <c r="X431" i="34" s="1"/>
  <c r="W430" i="34"/>
  <c r="X430" i="34" s="1"/>
  <c r="W429" i="34"/>
  <c r="X429" i="34" s="1"/>
  <c r="W428" i="34"/>
  <c r="X428" i="34" s="1"/>
  <c r="W427" i="34"/>
  <c r="X427" i="34" s="1"/>
  <c r="W426" i="34"/>
  <c r="X426" i="34" s="1"/>
  <c r="W425" i="34"/>
  <c r="X425" i="34" s="1"/>
  <c r="W424" i="34"/>
  <c r="X424" i="34" s="1"/>
  <c r="W423" i="34"/>
  <c r="X423" i="34" s="1"/>
  <c r="W422" i="34"/>
  <c r="X422" i="34" s="1"/>
  <c r="W421" i="34"/>
  <c r="X421" i="34" s="1"/>
  <c r="W420" i="34"/>
  <c r="X420" i="34" s="1"/>
  <c r="W419" i="34"/>
  <c r="X419" i="34" s="1"/>
  <c r="W418" i="34"/>
  <c r="X418" i="34" s="1"/>
  <c r="W417" i="34"/>
  <c r="X417" i="34" s="1"/>
  <c r="W416" i="34"/>
  <c r="X416" i="34" s="1"/>
  <c r="W415" i="34"/>
  <c r="X415" i="34" s="1"/>
  <c r="W414" i="34"/>
  <c r="X414" i="34" s="1"/>
  <c r="W413" i="34"/>
  <c r="X413" i="34" s="1"/>
  <c r="W412" i="34"/>
  <c r="X412" i="34" s="1"/>
  <c r="W411" i="34"/>
  <c r="X411" i="34" s="1"/>
  <c r="W410" i="34"/>
  <c r="X410" i="34" s="1"/>
  <c r="W409" i="34"/>
  <c r="X409" i="34" s="1"/>
  <c r="W408" i="34"/>
  <c r="X408" i="34" s="1"/>
  <c r="W407" i="34"/>
  <c r="X407" i="34" s="1"/>
  <c r="W406" i="34"/>
  <c r="X406" i="34" s="1"/>
  <c r="W405" i="34"/>
  <c r="X405" i="34" s="1"/>
  <c r="W404" i="34"/>
  <c r="X404" i="34" s="1"/>
  <c r="W403" i="34"/>
  <c r="X403" i="34" s="1"/>
  <c r="W402" i="34"/>
  <c r="X402" i="34" s="1"/>
  <c r="W401" i="34"/>
  <c r="X401" i="34" s="1"/>
  <c r="W400" i="34"/>
  <c r="X400" i="34" s="1"/>
  <c r="W399" i="34"/>
  <c r="X399" i="34" s="1"/>
  <c r="W398" i="34"/>
  <c r="X398" i="34" s="1"/>
  <c r="W397" i="34"/>
  <c r="X397" i="34" s="1"/>
  <c r="W396" i="34"/>
  <c r="X396" i="34" s="1"/>
  <c r="W395" i="34"/>
  <c r="X395" i="34" s="1"/>
  <c r="W394" i="34"/>
  <c r="X394" i="34" s="1"/>
  <c r="W393" i="34"/>
  <c r="X393" i="34" s="1"/>
  <c r="W392" i="34"/>
  <c r="X392" i="34" s="1"/>
  <c r="W391" i="34"/>
  <c r="X391" i="34" s="1"/>
  <c r="W390" i="34"/>
  <c r="X390" i="34" s="1"/>
  <c r="W389" i="34"/>
  <c r="X389" i="34" s="1"/>
  <c r="W388" i="34"/>
  <c r="X388" i="34" s="1"/>
  <c r="W387" i="34"/>
  <c r="X387" i="34" s="1"/>
  <c r="W386" i="34"/>
  <c r="X386" i="34" s="1"/>
  <c r="W385" i="34"/>
  <c r="X385" i="34" s="1"/>
  <c r="W384" i="34"/>
  <c r="X384" i="34" s="1"/>
  <c r="W383" i="34"/>
  <c r="X383" i="34" s="1"/>
  <c r="W382" i="34"/>
  <c r="X382" i="34" s="1"/>
  <c r="W381" i="34"/>
  <c r="X381" i="34" s="1"/>
  <c r="W380" i="34"/>
  <c r="X380" i="34" s="1"/>
  <c r="W379" i="34"/>
  <c r="X379" i="34" s="1"/>
  <c r="W378" i="34"/>
  <c r="X378" i="34" s="1"/>
  <c r="W377" i="34"/>
  <c r="X377" i="34" s="1"/>
  <c r="W376" i="34"/>
  <c r="X376" i="34" s="1"/>
  <c r="W375" i="34"/>
  <c r="X375" i="34" s="1"/>
  <c r="W374" i="34"/>
  <c r="X374" i="34" s="1"/>
  <c r="W373" i="34"/>
  <c r="X373" i="34" s="1"/>
  <c r="W372" i="34"/>
  <c r="X372" i="34" s="1"/>
  <c r="W371" i="34"/>
  <c r="X371" i="34" s="1"/>
  <c r="W370" i="34"/>
  <c r="X370" i="34" s="1"/>
  <c r="W369" i="34"/>
  <c r="X369" i="34" s="1"/>
  <c r="W368" i="34"/>
  <c r="X368" i="34" s="1"/>
  <c r="W367" i="34"/>
  <c r="X367" i="34" s="1"/>
  <c r="W366" i="34"/>
  <c r="X366" i="34" s="1"/>
  <c r="W365" i="34"/>
  <c r="X365" i="34" s="1"/>
  <c r="W364" i="34"/>
  <c r="X364" i="34" s="1"/>
  <c r="W363" i="34"/>
  <c r="X363" i="34" s="1"/>
  <c r="W362" i="34"/>
  <c r="X362" i="34" s="1"/>
  <c r="W361" i="34"/>
  <c r="X361" i="34" s="1"/>
  <c r="W360" i="34"/>
  <c r="X360" i="34" s="1"/>
  <c r="W359" i="34"/>
  <c r="X359" i="34" s="1"/>
  <c r="W358" i="34"/>
  <c r="X358" i="34" s="1"/>
  <c r="W357" i="34"/>
  <c r="X357" i="34" s="1"/>
  <c r="W356" i="34"/>
  <c r="X356" i="34" s="1"/>
  <c r="W355" i="34"/>
  <c r="X355" i="34" s="1"/>
  <c r="W354" i="34"/>
  <c r="X354" i="34" s="1"/>
  <c r="W353" i="34"/>
  <c r="X353" i="34" s="1"/>
  <c r="W352" i="34"/>
  <c r="X352" i="34" s="1"/>
  <c r="W350" i="34"/>
  <c r="X350" i="34" s="1"/>
  <c r="W349" i="34"/>
  <c r="X349" i="34" s="1"/>
  <c r="W348" i="34"/>
  <c r="X348" i="34" s="1"/>
  <c r="W347" i="34"/>
  <c r="X347" i="34" s="1"/>
  <c r="W346" i="34"/>
  <c r="X346" i="34" s="1"/>
  <c r="W345" i="34"/>
  <c r="X345" i="34" s="1"/>
  <c r="W344" i="34"/>
  <c r="X344" i="34" s="1"/>
  <c r="W343" i="34"/>
  <c r="X343" i="34" s="1"/>
  <c r="W342" i="34"/>
  <c r="X342" i="34" s="1"/>
  <c r="W341" i="34"/>
  <c r="X341" i="34" s="1"/>
  <c r="W340" i="34"/>
  <c r="X340" i="34" s="1"/>
  <c r="W339" i="34"/>
  <c r="X339" i="34" s="1"/>
  <c r="W338" i="34"/>
  <c r="X338" i="34" s="1"/>
  <c r="W337" i="34"/>
  <c r="X337" i="34" s="1"/>
  <c r="W336" i="34"/>
  <c r="X336" i="34" s="1"/>
  <c r="W335" i="34"/>
  <c r="X335" i="34" s="1"/>
  <c r="W334" i="34"/>
  <c r="X334" i="34" s="1"/>
  <c r="W333" i="34"/>
  <c r="X333" i="34" s="1"/>
  <c r="W332" i="34"/>
  <c r="X332" i="34" s="1"/>
  <c r="W331" i="34"/>
  <c r="X331" i="34" s="1"/>
  <c r="W330" i="34"/>
  <c r="X330" i="34" s="1"/>
  <c r="W329" i="34"/>
  <c r="X329" i="34" s="1"/>
  <c r="W328" i="34"/>
  <c r="X328" i="34" s="1"/>
  <c r="W327" i="34"/>
  <c r="X327" i="34" s="1"/>
  <c r="W326" i="34"/>
  <c r="X326" i="34" s="1"/>
  <c r="W325" i="34"/>
  <c r="X325" i="34" s="1"/>
  <c r="W324" i="34"/>
  <c r="X324" i="34" s="1"/>
  <c r="W323" i="34"/>
  <c r="X323" i="34" s="1"/>
  <c r="W322" i="34"/>
  <c r="X322" i="34" s="1"/>
  <c r="W321" i="34"/>
  <c r="X321" i="34" s="1"/>
  <c r="W320" i="34"/>
  <c r="X320" i="34" s="1"/>
  <c r="W319" i="34"/>
  <c r="X319" i="34" s="1"/>
  <c r="W318" i="34"/>
  <c r="X318" i="34" s="1"/>
  <c r="W317" i="34"/>
  <c r="X317" i="34" s="1"/>
  <c r="W316" i="34"/>
  <c r="X316" i="34" s="1"/>
  <c r="W315" i="34"/>
  <c r="X315" i="34" s="1"/>
  <c r="W314" i="34"/>
  <c r="X314" i="34" s="1"/>
  <c r="W313" i="34"/>
  <c r="X313" i="34" s="1"/>
  <c r="W312" i="34"/>
  <c r="X312" i="34" s="1"/>
  <c r="W311" i="34"/>
  <c r="X311" i="34" s="1"/>
  <c r="W310" i="34"/>
  <c r="X310" i="34" s="1"/>
  <c r="W309" i="34"/>
  <c r="X309" i="34" s="1"/>
  <c r="W308" i="34"/>
  <c r="X308" i="34" s="1"/>
  <c r="W307" i="34"/>
  <c r="X307" i="34" s="1"/>
  <c r="W306" i="34"/>
  <c r="X306" i="34" s="1"/>
  <c r="W305" i="34"/>
  <c r="X305" i="34" s="1"/>
  <c r="W304" i="34"/>
  <c r="X304" i="34" s="1"/>
  <c r="W303" i="34"/>
  <c r="X303" i="34" s="1"/>
  <c r="W302" i="34"/>
  <c r="X302" i="34" s="1"/>
  <c r="W301" i="34"/>
  <c r="X301" i="34" s="1"/>
  <c r="W300" i="34"/>
  <c r="X300" i="34" s="1"/>
  <c r="W299" i="34"/>
  <c r="X299" i="34" s="1"/>
  <c r="W298" i="34"/>
  <c r="X298" i="34" s="1"/>
  <c r="W297" i="34"/>
  <c r="X297" i="34" s="1"/>
  <c r="W296" i="34"/>
  <c r="X296" i="34" s="1"/>
  <c r="W295" i="34"/>
  <c r="X295" i="34" s="1"/>
  <c r="W294" i="34"/>
  <c r="X294" i="34" s="1"/>
  <c r="W293" i="34"/>
  <c r="X293" i="34" s="1"/>
  <c r="W292" i="34"/>
  <c r="X292" i="34" s="1"/>
  <c r="W291" i="34"/>
  <c r="X291" i="34" s="1"/>
  <c r="W290" i="34"/>
  <c r="X290" i="34" s="1"/>
  <c r="W289" i="34"/>
  <c r="X289" i="34" s="1"/>
  <c r="W288" i="34"/>
  <c r="X288" i="34" s="1"/>
  <c r="W287" i="34"/>
  <c r="X287" i="34" s="1"/>
  <c r="W286" i="34"/>
  <c r="X286" i="34" s="1"/>
  <c r="W285" i="34"/>
  <c r="X285" i="34" s="1"/>
  <c r="W284" i="34"/>
  <c r="X284" i="34" s="1"/>
  <c r="W283" i="34"/>
  <c r="X283" i="34" s="1"/>
  <c r="W282" i="34"/>
  <c r="X282" i="34" s="1"/>
  <c r="W281" i="34"/>
  <c r="X281" i="34" s="1"/>
  <c r="W280" i="34"/>
  <c r="X280" i="34" s="1"/>
  <c r="W279" i="34"/>
  <c r="X279" i="34" s="1"/>
  <c r="W278" i="34"/>
  <c r="X278" i="34" s="1"/>
  <c r="W277" i="34"/>
  <c r="X277" i="34" s="1"/>
  <c r="W276" i="34"/>
  <c r="X276" i="34" s="1"/>
  <c r="W275" i="34"/>
  <c r="X275" i="34" s="1"/>
  <c r="W274" i="34"/>
  <c r="X274" i="34" s="1"/>
  <c r="W273" i="34"/>
  <c r="X273" i="34" s="1"/>
  <c r="W272" i="34"/>
  <c r="X272" i="34" s="1"/>
  <c r="W271" i="34"/>
  <c r="X271" i="34" s="1"/>
  <c r="W270" i="34"/>
  <c r="X270" i="34" s="1"/>
  <c r="W269" i="34"/>
  <c r="X269" i="34" s="1"/>
  <c r="W268" i="34"/>
  <c r="X268" i="34" s="1"/>
  <c r="W267" i="34"/>
  <c r="X267" i="34" s="1"/>
  <c r="W266" i="34"/>
  <c r="X266" i="34" s="1"/>
  <c r="W265" i="34"/>
  <c r="X265" i="34" s="1"/>
  <c r="W264" i="34"/>
  <c r="X264" i="34" s="1"/>
  <c r="W263" i="34"/>
  <c r="X263" i="34" s="1"/>
  <c r="W262" i="34"/>
  <c r="X262" i="34" s="1"/>
  <c r="W261" i="34"/>
  <c r="X261" i="34" s="1"/>
  <c r="W260" i="34"/>
  <c r="X260" i="34" s="1"/>
  <c r="W259" i="34"/>
  <c r="X259" i="34" s="1"/>
  <c r="W258" i="34"/>
  <c r="X258" i="34" s="1"/>
  <c r="W257" i="34"/>
  <c r="X257" i="34" s="1"/>
  <c r="W256" i="34"/>
  <c r="X256" i="34" s="1"/>
  <c r="W255" i="34"/>
  <c r="X255" i="34" s="1"/>
  <c r="W254" i="34"/>
  <c r="X254" i="34" s="1"/>
  <c r="W253" i="34"/>
  <c r="X253" i="34" s="1"/>
  <c r="W252" i="34"/>
  <c r="X252" i="34" s="1"/>
  <c r="W251" i="34"/>
  <c r="X251" i="34" s="1"/>
  <c r="W250" i="34"/>
  <c r="X250" i="34" s="1"/>
  <c r="W249" i="34"/>
  <c r="X249" i="34" s="1"/>
  <c r="W248" i="34"/>
  <c r="X248" i="34" s="1"/>
  <c r="W247" i="34"/>
  <c r="X247" i="34" s="1"/>
  <c r="W246" i="34"/>
  <c r="X246" i="34" s="1"/>
  <c r="W245" i="34"/>
  <c r="X245" i="34" s="1"/>
  <c r="W244" i="34"/>
  <c r="X244" i="34" s="1"/>
  <c r="W243" i="34"/>
  <c r="X243" i="34" s="1"/>
  <c r="W242" i="34"/>
  <c r="X242" i="34" s="1"/>
  <c r="W241" i="34"/>
  <c r="X241" i="34" s="1"/>
  <c r="W240" i="34"/>
  <c r="X240" i="34" s="1"/>
  <c r="W239" i="34"/>
  <c r="X239" i="34" s="1"/>
  <c r="W238" i="34"/>
  <c r="X238" i="34" s="1"/>
  <c r="W237" i="34"/>
  <c r="X237" i="34" s="1"/>
  <c r="W236" i="34"/>
  <c r="X236" i="34" s="1"/>
  <c r="W235" i="34"/>
  <c r="X235" i="34" s="1"/>
  <c r="W234" i="34"/>
  <c r="X234" i="34" s="1"/>
  <c r="W233" i="34"/>
  <c r="X233" i="34" s="1"/>
  <c r="W232" i="34"/>
  <c r="X232" i="34" s="1"/>
  <c r="W231" i="34"/>
  <c r="X231" i="34" s="1"/>
  <c r="W230" i="34"/>
  <c r="X230" i="34" s="1"/>
  <c r="W229" i="34"/>
  <c r="X229" i="34" s="1"/>
  <c r="W228" i="34"/>
  <c r="X228" i="34" s="1"/>
  <c r="W226" i="34"/>
  <c r="X226" i="34" s="1"/>
  <c r="W225" i="34"/>
  <c r="X225" i="34" s="1"/>
  <c r="W224" i="34"/>
  <c r="X224" i="34" s="1"/>
  <c r="W223" i="34"/>
  <c r="X223" i="34" s="1"/>
  <c r="W222" i="34"/>
  <c r="X222" i="34" s="1"/>
  <c r="W221" i="34"/>
  <c r="X221" i="34" s="1"/>
  <c r="W220" i="34"/>
  <c r="X220" i="34" s="1"/>
  <c r="W219" i="34"/>
  <c r="X219" i="34" s="1"/>
  <c r="W218" i="34"/>
  <c r="X218" i="34" s="1"/>
  <c r="W217" i="34"/>
  <c r="X217" i="34" s="1"/>
  <c r="W216" i="34"/>
  <c r="X216" i="34" s="1"/>
  <c r="W215" i="34"/>
  <c r="X215" i="34" s="1"/>
  <c r="W214" i="34"/>
  <c r="X214" i="34" s="1"/>
  <c r="W213" i="34"/>
  <c r="X213" i="34" s="1"/>
  <c r="W212" i="34"/>
  <c r="X212" i="34" s="1"/>
  <c r="W211" i="34"/>
  <c r="X211" i="34" s="1"/>
  <c r="W210" i="34"/>
  <c r="X210" i="34" s="1"/>
  <c r="W209" i="34"/>
  <c r="X209" i="34" s="1"/>
  <c r="W208" i="34"/>
  <c r="X208" i="34" s="1"/>
  <c r="W207" i="34"/>
  <c r="X207" i="34" s="1"/>
  <c r="W206" i="34"/>
  <c r="X206" i="34" s="1"/>
  <c r="W205" i="34"/>
  <c r="X205" i="34" s="1"/>
  <c r="W204" i="34"/>
  <c r="X204" i="34" s="1"/>
  <c r="W203" i="34"/>
  <c r="X203" i="34" s="1"/>
  <c r="W202" i="34"/>
  <c r="X202" i="34" s="1"/>
  <c r="W201" i="34"/>
  <c r="X201" i="34" s="1"/>
  <c r="W200" i="34"/>
  <c r="X200" i="34" s="1"/>
  <c r="W199" i="34"/>
  <c r="X199" i="34" s="1"/>
  <c r="W198" i="34"/>
  <c r="X198" i="34" s="1"/>
  <c r="W197" i="34"/>
  <c r="X197" i="34" s="1"/>
  <c r="W196" i="34"/>
  <c r="X196" i="34" s="1"/>
  <c r="W195" i="34"/>
  <c r="X195" i="34" s="1"/>
  <c r="W194" i="34"/>
  <c r="X194" i="34" s="1"/>
  <c r="W193" i="34"/>
  <c r="X193" i="34" s="1"/>
  <c r="W192" i="34"/>
  <c r="X192" i="34" s="1"/>
  <c r="W191" i="34"/>
  <c r="X191" i="34" s="1"/>
  <c r="W190" i="34"/>
  <c r="X190" i="34" s="1"/>
  <c r="W189" i="34"/>
  <c r="X189" i="34" s="1"/>
  <c r="W188" i="34"/>
  <c r="X188" i="34" s="1"/>
  <c r="W187" i="34"/>
  <c r="X187" i="34" s="1"/>
  <c r="W186" i="34"/>
  <c r="X186" i="34" s="1"/>
  <c r="W185" i="34"/>
  <c r="X185" i="34" s="1"/>
  <c r="W184" i="34"/>
  <c r="X184" i="34" s="1"/>
  <c r="W183" i="34"/>
  <c r="X183" i="34" s="1"/>
  <c r="W182" i="34"/>
  <c r="X182" i="34" s="1"/>
  <c r="W181" i="34"/>
  <c r="X181" i="34" s="1"/>
  <c r="W180" i="34"/>
  <c r="X180" i="34" s="1"/>
  <c r="W179" i="34"/>
  <c r="X179" i="34" s="1"/>
  <c r="W178" i="34"/>
  <c r="X178" i="34" s="1"/>
  <c r="W177" i="34"/>
  <c r="X177" i="34" s="1"/>
  <c r="W176" i="34"/>
  <c r="X176" i="34" s="1"/>
  <c r="W175" i="34"/>
  <c r="X175" i="34" s="1"/>
  <c r="W174" i="34"/>
  <c r="X174" i="34" s="1"/>
  <c r="W173" i="34"/>
  <c r="X173" i="34" s="1"/>
  <c r="W172" i="34"/>
  <c r="X172" i="34" s="1"/>
  <c r="W171" i="34"/>
  <c r="X171" i="34" s="1"/>
  <c r="W170" i="34"/>
  <c r="X170" i="34" s="1"/>
  <c r="W169" i="34"/>
  <c r="X169" i="34" s="1"/>
  <c r="W168" i="34"/>
  <c r="X168" i="34" s="1"/>
  <c r="W167" i="34"/>
  <c r="X167" i="34" s="1"/>
  <c r="W166" i="34"/>
  <c r="X166" i="34" s="1"/>
  <c r="W165" i="34"/>
  <c r="X165" i="34" s="1"/>
  <c r="W164" i="34"/>
  <c r="X164" i="34" s="1"/>
  <c r="W163" i="34"/>
  <c r="X163" i="34" s="1"/>
  <c r="W162" i="34"/>
  <c r="X162" i="34" s="1"/>
  <c r="W161" i="34"/>
  <c r="X161" i="34" s="1"/>
  <c r="W160" i="34"/>
  <c r="X160" i="34" s="1"/>
  <c r="W159" i="34"/>
  <c r="X159" i="34" s="1"/>
  <c r="W158" i="34"/>
  <c r="X158" i="34" s="1"/>
  <c r="W157" i="34"/>
  <c r="X157" i="34" s="1"/>
  <c r="W156" i="34"/>
  <c r="X156" i="34" s="1"/>
  <c r="W155" i="34"/>
  <c r="X155" i="34" s="1"/>
  <c r="W154" i="34"/>
  <c r="X154" i="34" s="1"/>
  <c r="W153" i="34"/>
  <c r="X153" i="34" s="1"/>
  <c r="W152" i="34"/>
  <c r="X152" i="34" s="1"/>
  <c r="W151" i="34"/>
  <c r="X151" i="34" s="1"/>
  <c r="W150" i="34"/>
  <c r="X150" i="34" s="1"/>
  <c r="W149" i="34"/>
  <c r="X149" i="34" s="1"/>
  <c r="W148" i="34"/>
  <c r="X148" i="34" s="1"/>
  <c r="W147" i="34"/>
  <c r="X147" i="34" s="1"/>
  <c r="W146" i="34"/>
  <c r="X146" i="34" s="1"/>
  <c r="W145" i="34"/>
  <c r="X145" i="34" s="1"/>
  <c r="W144" i="34"/>
  <c r="X144" i="34" s="1"/>
  <c r="W143" i="34"/>
  <c r="X143" i="34" s="1"/>
  <c r="W142" i="34"/>
  <c r="X142" i="34" s="1"/>
  <c r="W141" i="34"/>
  <c r="X141" i="34" s="1"/>
  <c r="W140" i="34"/>
  <c r="X140" i="34" s="1"/>
  <c r="W139" i="34"/>
  <c r="X139" i="34" s="1"/>
  <c r="W138" i="34"/>
  <c r="X138" i="34" s="1"/>
  <c r="W137" i="34"/>
  <c r="X137" i="34" s="1"/>
  <c r="W136" i="34"/>
  <c r="X136" i="34" s="1"/>
  <c r="W135" i="34"/>
  <c r="X135" i="34" s="1"/>
  <c r="W134" i="34"/>
  <c r="X134" i="34" s="1"/>
  <c r="W133" i="34"/>
  <c r="X133" i="34" s="1"/>
  <c r="W132" i="34"/>
  <c r="X132" i="34" s="1"/>
  <c r="W131" i="34"/>
  <c r="X131" i="34" s="1"/>
  <c r="W130" i="34"/>
  <c r="X130" i="34" s="1"/>
  <c r="W129" i="34"/>
  <c r="X129" i="34" s="1"/>
  <c r="W128" i="34"/>
  <c r="X128" i="34" s="1"/>
  <c r="W127" i="34"/>
  <c r="X127" i="34" s="1"/>
  <c r="W126" i="34"/>
  <c r="X126" i="34" s="1"/>
  <c r="W125" i="34"/>
  <c r="X125" i="34" s="1"/>
  <c r="W124" i="34"/>
  <c r="X124" i="34" s="1"/>
  <c r="W123" i="34"/>
  <c r="X123" i="34" s="1"/>
  <c r="W122" i="34"/>
  <c r="X122" i="34" s="1"/>
  <c r="W121" i="34"/>
  <c r="X121" i="34" s="1"/>
  <c r="W120" i="34"/>
  <c r="X120" i="34" s="1"/>
  <c r="W119" i="34"/>
  <c r="X119" i="34" s="1"/>
  <c r="W118" i="34"/>
  <c r="X118" i="34" s="1"/>
  <c r="W117" i="34"/>
  <c r="X117" i="34" s="1"/>
  <c r="W116" i="34"/>
  <c r="X116" i="34" s="1"/>
  <c r="W115" i="34"/>
  <c r="X115" i="34" s="1"/>
  <c r="W113" i="34"/>
  <c r="X113" i="34" s="1"/>
  <c r="W112" i="34"/>
  <c r="X112" i="34" s="1"/>
  <c r="W111" i="34"/>
  <c r="X111" i="34" s="1"/>
  <c r="W110" i="34"/>
  <c r="X110" i="34" s="1"/>
  <c r="W109" i="34"/>
  <c r="X109" i="34" s="1"/>
  <c r="W108" i="34"/>
  <c r="X108" i="34" s="1"/>
  <c r="W107" i="34"/>
  <c r="X107" i="34" s="1"/>
  <c r="W106" i="34"/>
  <c r="X106" i="34" s="1"/>
  <c r="W105" i="34"/>
  <c r="X105" i="34" s="1"/>
  <c r="W104" i="34"/>
  <c r="X104" i="34" s="1"/>
  <c r="W103" i="34"/>
  <c r="X103" i="34" s="1"/>
  <c r="W102" i="34"/>
  <c r="X102" i="34" s="1"/>
  <c r="W101" i="34"/>
  <c r="X101" i="34" s="1"/>
  <c r="W100" i="34"/>
  <c r="X100" i="34" s="1"/>
  <c r="W99" i="34"/>
  <c r="X99" i="34" s="1"/>
  <c r="W98" i="34"/>
  <c r="X98" i="34" s="1"/>
  <c r="W97" i="34"/>
  <c r="X97" i="34" s="1"/>
  <c r="W96" i="34"/>
  <c r="X96" i="34" s="1"/>
  <c r="W95" i="34"/>
  <c r="X95" i="34" s="1"/>
  <c r="W94" i="34"/>
  <c r="X94" i="34" s="1"/>
  <c r="W93" i="34"/>
  <c r="X93" i="34" s="1"/>
  <c r="W92" i="34"/>
  <c r="X92" i="34" s="1"/>
  <c r="W91" i="34"/>
  <c r="X91" i="34" s="1"/>
  <c r="W90" i="34"/>
  <c r="X90" i="34" s="1"/>
  <c r="W89" i="34"/>
  <c r="X89" i="34" s="1"/>
  <c r="W88" i="34"/>
  <c r="X88" i="34" s="1"/>
  <c r="W87" i="34"/>
  <c r="X87" i="34" s="1"/>
  <c r="W86" i="34"/>
  <c r="X86" i="34" s="1"/>
  <c r="W85" i="34"/>
  <c r="X85" i="34" s="1"/>
  <c r="W84" i="34"/>
  <c r="X84" i="34" s="1"/>
  <c r="W83" i="34"/>
  <c r="X83" i="34" s="1"/>
  <c r="W82" i="34"/>
  <c r="X82" i="34" s="1"/>
  <c r="W81" i="34"/>
  <c r="X81" i="34" s="1"/>
  <c r="W80" i="34"/>
  <c r="X80" i="34" s="1"/>
  <c r="W79" i="34"/>
  <c r="X79" i="34" s="1"/>
  <c r="W78" i="34"/>
  <c r="X78" i="34" s="1"/>
  <c r="W77" i="34"/>
  <c r="X77" i="34" s="1"/>
  <c r="W76" i="34"/>
  <c r="X76" i="34" s="1"/>
  <c r="W75" i="34"/>
  <c r="X75" i="34" s="1"/>
  <c r="W74" i="34"/>
  <c r="X74" i="34" s="1"/>
  <c r="W73" i="34"/>
  <c r="X73" i="34" s="1"/>
  <c r="W72" i="34"/>
  <c r="X72" i="34" s="1"/>
  <c r="W71" i="34"/>
  <c r="X71" i="34" s="1"/>
  <c r="W70" i="34"/>
  <c r="X70" i="34" s="1"/>
  <c r="W69" i="34"/>
  <c r="X69" i="34" s="1"/>
  <c r="W68" i="34"/>
  <c r="X68" i="34" s="1"/>
  <c r="W67" i="34"/>
  <c r="X67" i="34" s="1"/>
  <c r="W66" i="34"/>
  <c r="X66" i="34" s="1"/>
  <c r="W65" i="34"/>
  <c r="X65" i="34" s="1"/>
  <c r="W64" i="34"/>
  <c r="X64" i="34" s="1"/>
  <c r="W63" i="34"/>
  <c r="X63" i="34" s="1"/>
  <c r="W62" i="34"/>
  <c r="X62" i="34" s="1"/>
  <c r="W61" i="34"/>
  <c r="X61" i="34" s="1"/>
  <c r="W60" i="34"/>
  <c r="X60" i="34" s="1"/>
  <c r="W59" i="34"/>
  <c r="X59" i="34" s="1"/>
  <c r="W58" i="34"/>
  <c r="X58" i="34" s="1"/>
  <c r="W57" i="34"/>
  <c r="X57" i="34" s="1"/>
  <c r="W56" i="34"/>
  <c r="X56" i="34" s="1"/>
  <c r="W55" i="34"/>
  <c r="X55" i="34" s="1"/>
  <c r="W54" i="34"/>
  <c r="X54" i="34" s="1"/>
  <c r="W53" i="34"/>
  <c r="X53" i="34" s="1"/>
  <c r="W52" i="34"/>
  <c r="X52" i="34" s="1"/>
  <c r="W51" i="34"/>
  <c r="X51" i="34" s="1"/>
  <c r="W50" i="34"/>
  <c r="X50" i="34" s="1"/>
  <c r="W49" i="34"/>
  <c r="X49" i="34" s="1"/>
  <c r="W48" i="34"/>
  <c r="X48" i="34" s="1"/>
  <c r="W47" i="34"/>
  <c r="X47" i="34" s="1"/>
  <c r="W46" i="34"/>
  <c r="X46" i="34" s="1"/>
  <c r="W45" i="34"/>
  <c r="X45" i="34" s="1"/>
  <c r="W44" i="34"/>
  <c r="X44" i="34" s="1"/>
  <c r="W43" i="34"/>
  <c r="X43" i="34" s="1"/>
  <c r="W42" i="34"/>
  <c r="X42" i="34" s="1"/>
  <c r="W41" i="34"/>
  <c r="X41" i="34" s="1"/>
  <c r="W40" i="34"/>
  <c r="X40" i="34" s="1"/>
  <c r="W39" i="34"/>
  <c r="X39" i="34" s="1"/>
  <c r="W38" i="34"/>
  <c r="X38" i="34" s="1"/>
  <c r="W37" i="34"/>
  <c r="X37" i="34" s="1"/>
  <c r="W36" i="34"/>
  <c r="X36" i="34" s="1"/>
  <c r="W35" i="34"/>
  <c r="X35" i="34" s="1"/>
  <c r="W34" i="34"/>
  <c r="X34" i="34" s="1"/>
  <c r="W33" i="34"/>
  <c r="X33" i="34" s="1"/>
  <c r="W32" i="34"/>
  <c r="X32" i="34" s="1"/>
  <c r="W31" i="34"/>
  <c r="X31" i="34" s="1"/>
  <c r="W30" i="34"/>
  <c r="X30" i="34" s="1"/>
  <c r="W29" i="34"/>
  <c r="X29" i="34" s="1"/>
  <c r="W28" i="34"/>
  <c r="X28" i="34" s="1"/>
  <c r="W27" i="34"/>
  <c r="X27" i="34" s="1"/>
  <c r="W26" i="34"/>
  <c r="X26" i="34" s="1"/>
  <c r="W25" i="34"/>
  <c r="X25" i="34" s="1"/>
  <c r="W24" i="34"/>
  <c r="X24" i="34" s="1"/>
  <c r="W23" i="34"/>
  <c r="X23" i="34" s="1"/>
  <c r="W22" i="34"/>
  <c r="X22" i="34" s="1"/>
  <c r="W21" i="34"/>
  <c r="X21" i="34" s="1"/>
  <c r="W20" i="34"/>
  <c r="X20" i="34" s="1"/>
  <c r="W19" i="34"/>
  <c r="X19" i="34" s="1"/>
  <c r="W18" i="34"/>
  <c r="X18" i="34" s="1"/>
  <c r="W1286" i="34"/>
  <c r="X1286" i="34" s="1"/>
  <c r="W16" i="34"/>
  <c r="X16" i="34" s="1"/>
  <c r="G56" i="19" l="1"/>
  <c r="G54" i="19"/>
  <c r="F65" i="61" l="1"/>
  <c r="F64" i="61"/>
  <c r="F62" i="61"/>
  <c r="F57" i="61"/>
  <c r="F56" i="61"/>
  <c r="F51" i="61"/>
  <c r="F50" i="61"/>
  <c r="F49" i="61"/>
  <c r="F44" i="61"/>
  <c r="F43" i="61"/>
  <c r="F37" i="61"/>
  <c r="F36" i="61"/>
  <c r="F30" i="61"/>
  <c r="F29" i="61"/>
  <c r="F23" i="61"/>
  <c r="F22" i="61"/>
  <c r="F18" i="61"/>
  <c r="F6" i="61"/>
  <c r="F11" i="61"/>
  <c r="F5" i="61"/>
  <c r="D198" i="27" l="1"/>
  <c r="D197" i="27"/>
  <c r="D195" i="27"/>
  <c r="D194" i="27"/>
  <c r="D187" i="27"/>
  <c r="D211" i="27"/>
  <c r="D210" i="27"/>
  <c r="D207" i="27"/>
  <c r="D206" i="27"/>
  <c r="D204" i="27"/>
  <c r="D203" i="27"/>
  <c r="D202" i="27"/>
  <c r="D201" i="27"/>
  <c r="D190" i="27"/>
  <c r="D189" i="27"/>
  <c r="D188" i="27"/>
  <c r="D173" i="27"/>
  <c r="D172" i="27"/>
  <c r="D170" i="27"/>
  <c r="D169" i="27"/>
  <c r="D167" i="27"/>
  <c r="D166" i="27"/>
  <c r="D164" i="27"/>
  <c r="D163" i="27"/>
  <c r="D161" i="27"/>
  <c r="D160" i="27"/>
  <c r="D159" i="27"/>
  <c r="D157" i="27"/>
  <c r="D156" i="27"/>
  <c r="D155" i="27"/>
  <c r="D136" i="27"/>
  <c r="D135" i="27"/>
  <c r="D134" i="27"/>
  <c r="D133" i="27"/>
  <c r="D130" i="27"/>
  <c r="D128" i="27"/>
  <c r="D127" i="27"/>
  <c r="D125" i="27"/>
  <c r="D124" i="27"/>
  <c r="D123" i="27"/>
  <c r="D122" i="27"/>
  <c r="D120" i="27"/>
  <c r="D83" i="27"/>
  <c r="D82" i="27"/>
  <c r="D81" i="27"/>
  <c r="D80" i="27"/>
  <c r="D79" i="27"/>
  <c r="D78" i="27"/>
  <c r="D75" i="27"/>
  <c r="D74" i="27"/>
  <c r="D60" i="27"/>
  <c r="D59" i="27"/>
  <c r="D58" i="27"/>
  <c r="D56" i="27"/>
  <c r="D55" i="27"/>
  <c r="D54" i="27"/>
  <c r="D52" i="27"/>
  <c r="D51" i="27"/>
  <c r="D50" i="27"/>
  <c r="D46" i="27"/>
  <c r="D45" i="27"/>
  <c r="D43" i="27"/>
  <c r="D42" i="27"/>
  <c r="D40" i="27"/>
  <c r="D39" i="27"/>
  <c r="D37" i="27"/>
  <c r="D36" i="27"/>
  <c r="D23" i="27"/>
  <c r="D22" i="27"/>
  <c r="D21" i="27"/>
  <c r="D18" i="27"/>
  <c r="D16" i="27"/>
  <c r="D15" i="27"/>
  <c r="D13" i="27"/>
  <c r="D12" i="27"/>
  <c r="D11" i="27"/>
  <c r="G399" i="19"/>
  <c r="G397" i="19"/>
  <c r="G370" i="19"/>
  <c r="G368" i="19"/>
  <c r="G341" i="19"/>
  <c r="G340" i="19"/>
  <c r="G339" i="19"/>
  <c r="G338" i="19"/>
  <c r="G335" i="19"/>
  <c r="G333" i="19"/>
  <c r="G306" i="19"/>
  <c r="G305" i="19"/>
  <c r="G304" i="19"/>
  <c r="G303" i="19"/>
  <c r="G300" i="19"/>
  <c r="G298" i="19"/>
  <c r="G272" i="19"/>
  <c r="G271" i="19"/>
  <c r="G270" i="19"/>
  <c r="G269" i="19"/>
  <c r="G268" i="19"/>
  <c r="G267" i="19"/>
  <c r="G264" i="19"/>
  <c r="G262" i="19"/>
  <c r="G236" i="19"/>
  <c r="G235" i="19"/>
  <c r="G234" i="19"/>
  <c r="G233" i="19"/>
  <c r="G232" i="19"/>
  <c r="G231" i="19"/>
  <c r="G228" i="19"/>
  <c r="G226" i="19"/>
  <c r="G199" i="19"/>
  <c r="G198" i="19"/>
  <c r="G197" i="19"/>
  <c r="G196" i="19"/>
  <c r="G195" i="19"/>
  <c r="G194" i="19"/>
  <c r="G191" i="19"/>
  <c r="G189" i="19"/>
  <c r="G160" i="19"/>
  <c r="G159" i="19"/>
  <c r="G156" i="19"/>
  <c r="G155" i="19"/>
  <c r="G158" i="19"/>
  <c r="G157" i="19"/>
  <c r="G152" i="19"/>
  <c r="G150" i="19"/>
  <c r="G123" i="19"/>
  <c r="G122" i="19"/>
  <c r="G121" i="19"/>
  <c r="G120" i="19"/>
  <c r="G117" i="19"/>
  <c r="G115" i="19"/>
  <c r="G89" i="19"/>
  <c r="G87" i="19"/>
  <c r="G86" i="19"/>
  <c r="G88" i="19"/>
  <c r="G83" i="19"/>
  <c r="G81" i="19"/>
  <c r="G51" i="19"/>
  <c r="G49" i="19"/>
  <c r="G21" i="19"/>
  <c r="G20" i="19"/>
  <c r="G19" i="19"/>
  <c r="G17" i="19"/>
  <c r="G11" i="19"/>
  <c r="G9" i="19"/>
  <c r="AA265" i="29" l="1"/>
  <c r="AA264" i="29"/>
  <c r="AA263" i="29"/>
  <c r="AA262" i="29"/>
  <c r="AA261" i="29"/>
  <c r="AA260" i="29"/>
  <c r="AA259" i="29"/>
  <c r="AA258" i="29"/>
  <c r="AA289" i="29"/>
  <c r="AA288" i="29"/>
  <c r="AA287" i="29"/>
  <c r="AA286" i="29"/>
  <c r="AA285" i="29"/>
  <c r="AA284" i="29"/>
  <c r="AA283" i="29"/>
  <c r="AA282" i="29"/>
  <c r="AA281" i="29"/>
  <c r="AA280" i="29"/>
  <c r="AA279" i="29"/>
  <c r="AA278" i="29"/>
  <c r="AA277" i="29"/>
  <c r="AA276" i="29"/>
  <c r="AA275" i="29"/>
  <c r="AA274" i="29"/>
  <c r="AA273" i="29"/>
  <c r="AA272" i="29"/>
  <c r="AA271" i="29"/>
  <c r="AA270" i="29"/>
  <c r="AA269" i="29"/>
  <c r="AA268" i="29"/>
  <c r="AA267" i="29"/>
  <c r="AA266" i="29"/>
  <c r="AA257" i="29"/>
  <c r="AA256" i="29"/>
  <c r="AA255" i="29"/>
  <c r="AA254" i="29"/>
  <c r="AA253" i="29"/>
  <c r="AA252" i="29"/>
  <c r="AA251" i="29"/>
  <c r="AA250" i="29"/>
  <c r="AA249" i="29"/>
  <c r="AA248" i="29"/>
  <c r="AA247" i="29"/>
  <c r="AA246" i="29"/>
  <c r="AA245" i="29"/>
  <c r="AA244" i="29"/>
  <c r="AA243" i="29"/>
  <c r="AA242" i="29"/>
  <c r="I306" i="7"/>
  <c r="D6" i="73"/>
  <c r="E6" i="73" s="1"/>
  <c r="G6" i="73" l="1"/>
  <c r="F6" i="73"/>
  <c r="H6" i="73" l="1"/>
  <c r="I6" i="73" s="1"/>
  <c r="BF459" i="4" l="1"/>
  <c r="BF458" i="4"/>
  <c r="BF457" i="4"/>
  <c r="BF456" i="4"/>
  <c r="BF455" i="4"/>
  <c r="BF454" i="4"/>
  <c r="BF453" i="4"/>
  <c r="BF452" i="4"/>
  <c r="BF451" i="4"/>
  <c r="BF450" i="4"/>
  <c r="BF449" i="4"/>
  <c r="BF448" i="4"/>
  <c r="BF447" i="4"/>
  <c r="BF446" i="4"/>
  <c r="BF445" i="4"/>
  <c r="BF444" i="4"/>
  <c r="BF443" i="4"/>
  <c r="BF442" i="4"/>
  <c r="BF441" i="4"/>
  <c r="BF440" i="4"/>
  <c r="BF439" i="4"/>
  <c r="BF438" i="4"/>
  <c r="BF437" i="4"/>
  <c r="BF436" i="4"/>
  <c r="BF435" i="4"/>
  <c r="BF434" i="4"/>
  <c r="BF433" i="4"/>
  <c r="BF432" i="4"/>
  <c r="BF431" i="4"/>
  <c r="BF430" i="4"/>
  <c r="BF429" i="4"/>
  <c r="BF428" i="4"/>
  <c r="BF427" i="4"/>
  <c r="BF426" i="4"/>
  <c r="BF425" i="4"/>
  <c r="BF424" i="4"/>
  <c r="BF423" i="4"/>
  <c r="BF422" i="4"/>
  <c r="BF421" i="4"/>
  <c r="BF420" i="4"/>
  <c r="BF419" i="4"/>
  <c r="BF418" i="4"/>
  <c r="BF417" i="4"/>
  <c r="BF416" i="4"/>
  <c r="BF415" i="4"/>
  <c r="BF414" i="4"/>
  <c r="BF413" i="4"/>
  <c r="BF412" i="4"/>
  <c r="BF411" i="4"/>
  <c r="BF410" i="4"/>
  <c r="BF409" i="4"/>
  <c r="BF408" i="4"/>
  <c r="BF407" i="4"/>
  <c r="BF406" i="4"/>
  <c r="BF405" i="4"/>
  <c r="BF404" i="4"/>
  <c r="BF403" i="4"/>
  <c r="BF402" i="4"/>
  <c r="BF401" i="4"/>
  <c r="BF400" i="4"/>
  <c r="BF399" i="4"/>
  <c r="BF398" i="4"/>
  <c r="BF397" i="4"/>
  <c r="BF396" i="4"/>
  <c r="BF395" i="4"/>
  <c r="BF394" i="4"/>
  <c r="BF393" i="4"/>
  <c r="BF392" i="4"/>
  <c r="BF391" i="4"/>
  <c r="BF390" i="4"/>
  <c r="BF389" i="4"/>
  <c r="BF388" i="4"/>
  <c r="BF387" i="4"/>
  <c r="BF386" i="4"/>
  <c r="BF385" i="4"/>
  <c r="BF384" i="4"/>
  <c r="BF383" i="4"/>
  <c r="BF382" i="4"/>
  <c r="BF381" i="4"/>
  <c r="BF380" i="4"/>
  <c r="BF379" i="4"/>
  <c r="BF378" i="4"/>
  <c r="BF377" i="4"/>
  <c r="BF376" i="4"/>
  <c r="BF375" i="4"/>
  <c r="BF374" i="4"/>
  <c r="BF373" i="4"/>
  <c r="BF372" i="4"/>
  <c r="BF371" i="4"/>
  <c r="BF370" i="4"/>
  <c r="BF369" i="4"/>
  <c r="BF368" i="4"/>
  <c r="BF367" i="4"/>
  <c r="BF366" i="4"/>
  <c r="BF365" i="4"/>
  <c r="BF364" i="4"/>
  <c r="BF363" i="4"/>
  <c r="BF362" i="4"/>
  <c r="BF361" i="4"/>
  <c r="BF360" i="4"/>
  <c r="BF359" i="4"/>
  <c r="BF358" i="4"/>
  <c r="BF357" i="4"/>
  <c r="BF356" i="4"/>
  <c r="BF355" i="4"/>
  <c r="BF354" i="4"/>
  <c r="BF353" i="4"/>
  <c r="BF352" i="4"/>
  <c r="BF351" i="4"/>
  <c r="BF350" i="4"/>
  <c r="BF349" i="4"/>
  <c r="BF348" i="4"/>
  <c r="BF347" i="4"/>
  <c r="BF346" i="4"/>
  <c r="BF345" i="4"/>
  <c r="BF344" i="4"/>
  <c r="BF343" i="4"/>
  <c r="BF342" i="4"/>
  <c r="BF341" i="4"/>
  <c r="BF340" i="4"/>
  <c r="BF339" i="4"/>
  <c r="BF338" i="4"/>
  <c r="BF337" i="4"/>
  <c r="BF336" i="4"/>
  <c r="BF335" i="4"/>
  <c r="BF334" i="4"/>
  <c r="BF333" i="4"/>
  <c r="BF332" i="4"/>
  <c r="BF331" i="4"/>
  <c r="BF330" i="4"/>
  <c r="BF329" i="4"/>
  <c r="BF328" i="4"/>
  <c r="BF327" i="4"/>
  <c r="BF326" i="4"/>
  <c r="BF325" i="4"/>
  <c r="BF324" i="4"/>
  <c r="BF323" i="4"/>
  <c r="BF322" i="4"/>
  <c r="BF321" i="4"/>
  <c r="BF320" i="4"/>
  <c r="BF319" i="4"/>
  <c r="BF318" i="4"/>
  <c r="BF317" i="4"/>
  <c r="BF316" i="4"/>
  <c r="BF315" i="4"/>
  <c r="BF314" i="4"/>
  <c r="BF313" i="4"/>
  <c r="BF312" i="4"/>
  <c r="BF311" i="4"/>
  <c r="BF310" i="4"/>
  <c r="BF309" i="4"/>
  <c r="BF308" i="4"/>
  <c r="BF307" i="4"/>
  <c r="BF306" i="4"/>
  <c r="BF305" i="4"/>
  <c r="BF304" i="4"/>
  <c r="BF303" i="4"/>
  <c r="BF302" i="4"/>
  <c r="BF301" i="4"/>
  <c r="BF300" i="4"/>
  <c r="BF299" i="4"/>
  <c r="BF298" i="4"/>
  <c r="BF297" i="4"/>
  <c r="BF296" i="4"/>
  <c r="BF295" i="4"/>
  <c r="BF294" i="4"/>
  <c r="BF293" i="4"/>
  <c r="BF292" i="4"/>
  <c r="BF291" i="4"/>
  <c r="BF290" i="4"/>
  <c r="BF289" i="4"/>
  <c r="BF288" i="4"/>
  <c r="BF287" i="4"/>
  <c r="BF286" i="4"/>
  <c r="BF285" i="4"/>
  <c r="BF284" i="4"/>
  <c r="BF283" i="4"/>
  <c r="BF282" i="4"/>
  <c r="BF281" i="4"/>
  <c r="BF280" i="4"/>
  <c r="BF279" i="4"/>
  <c r="BF278" i="4"/>
  <c r="BF277" i="4"/>
  <c r="BF276" i="4"/>
  <c r="BF275" i="4"/>
  <c r="BF274" i="4"/>
  <c r="BF273" i="4"/>
  <c r="BF272" i="4"/>
  <c r="BF271" i="4"/>
  <c r="BF270" i="4"/>
  <c r="BF269" i="4"/>
  <c r="BF268" i="4"/>
  <c r="BF267" i="4"/>
  <c r="BF266" i="4"/>
  <c r="BF265" i="4"/>
  <c r="BF264" i="4"/>
  <c r="BF263" i="4"/>
  <c r="BF262" i="4"/>
  <c r="BF261" i="4"/>
  <c r="BF260" i="4"/>
  <c r="BF259" i="4"/>
  <c r="BF258" i="4"/>
  <c r="BF257" i="4"/>
  <c r="BF256" i="4"/>
  <c r="BF255" i="4"/>
  <c r="BF254" i="4"/>
  <c r="BF253" i="4"/>
  <c r="BF252" i="4"/>
  <c r="BF251" i="4"/>
  <c r="BF250" i="4"/>
  <c r="BF249" i="4"/>
  <c r="BF248" i="4"/>
  <c r="BF247" i="4"/>
  <c r="BF246" i="4"/>
  <c r="BF245" i="4"/>
  <c r="BF244" i="4"/>
  <c r="BF243" i="4"/>
  <c r="BF242" i="4"/>
  <c r="BF241" i="4"/>
  <c r="BF240" i="4"/>
  <c r="BF239" i="4"/>
  <c r="BF238" i="4"/>
  <c r="BF237" i="4"/>
  <c r="BF236" i="4"/>
  <c r="BF235" i="4"/>
  <c r="BF234" i="4"/>
  <c r="BF233" i="4"/>
  <c r="BF232" i="4"/>
  <c r="BF231" i="4"/>
  <c r="BF230" i="4"/>
  <c r="BF229" i="4"/>
  <c r="BF228" i="4"/>
  <c r="BF227" i="4"/>
  <c r="BF226" i="4"/>
  <c r="BF225" i="4"/>
  <c r="BF224" i="4"/>
  <c r="BF223" i="4"/>
  <c r="BF222" i="4"/>
  <c r="BF221" i="4"/>
  <c r="BF220" i="4"/>
  <c r="BF219" i="4"/>
  <c r="BF218" i="4"/>
  <c r="BF217" i="4"/>
  <c r="BF216" i="4"/>
  <c r="BF215" i="4"/>
  <c r="BF214" i="4"/>
  <c r="BF213" i="4"/>
  <c r="BF212" i="4"/>
  <c r="BF211" i="4"/>
  <c r="BF210" i="4"/>
  <c r="BF209" i="4"/>
  <c r="BF208" i="4"/>
  <c r="BF207" i="4"/>
  <c r="BF206" i="4"/>
  <c r="BF205" i="4"/>
  <c r="BF204" i="4"/>
  <c r="BF203" i="4"/>
  <c r="BF202" i="4"/>
  <c r="BF201" i="4"/>
  <c r="BF200" i="4"/>
  <c r="BF199" i="4"/>
  <c r="BF198" i="4"/>
  <c r="BF197" i="4"/>
  <c r="BF196" i="4"/>
  <c r="BF195" i="4"/>
  <c r="BF194" i="4"/>
  <c r="BF193" i="4"/>
  <c r="BF192" i="4"/>
  <c r="BF191" i="4"/>
  <c r="BF190" i="4"/>
  <c r="BF189" i="4"/>
  <c r="BF188" i="4"/>
  <c r="BF187" i="4"/>
  <c r="BF186" i="4"/>
  <c r="BF185" i="4"/>
  <c r="BF184" i="4"/>
  <c r="BF183" i="4"/>
  <c r="BF182" i="4"/>
  <c r="BF181" i="4"/>
  <c r="BF180" i="4"/>
  <c r="BF179" i="4"/>
  <c r="BF178" i="4"/>
  <c r="BF177" i="4"/>
  <c r="BF176" i="4"/>
  <c r="BF175" i="4"/>
  <c r="BF174" i="4"/>
  <c r="BF173" i="4"/>
  <c r="BF172" i="4"/>
  <c r="BF171" i="4"/>
  <c r="BF170" i="4"/>
  <c r="BF169" i="4"/>
  <c r="BF168" i="4"/>
  <c r="BF167" i="4"/>
  <c r="BF166" i="4"/>
  <c r="BF165" i="4"/>
  <c r="BF164" i="4"/>
  <c r="BF163" i="4"/>
  <c r="BF162" i="4"/>
  <c r="BF161" i="4"/>
  <c r="BF160" i="4"/>
  <c r="BF159" i="4"/>
  <c r="BF158" i="4"/>
  <c r="BF157" i="4"/>
  <c r="BF156" i="4"/>
  <c r="BF155" i="4"/>
  <c r="BF154" i="4"/>
  <c r="BF153" i="4"/>
  <c r="BF152" i="4"/>
  <c r="BF151" i="4"/>
  <c r="BF150" i="4"/>
  <c r="BF149" i="4"/>
  <c r="BF148" i="4"/>
  <c r="BF147" i="4"/>
  <c r="BF146" i="4"/>
  <c r="BF145" i="4"/>
  <c r="BF144" i="4"/>
  <c r="BF143" i="4"/>
  <c r="BF142" i="4"/>
  <c r="BF141" i="4"/>
  <c r="BF140" i="4"/>
  <c r="BF139" i="4"/>
  <c r="BF138" i="4"/>
  <c r="BF137" i="4"/>
  <c r="BF136" i="4"/>
  <c r="BF135" i="4"/>
  <c r="BF134" i="4"/>
  <c r="BF133" i="4"/>
  <c r="BF132" i="4"/>
  <c r="BF131" i="4"/>
  <c r="BF130" i="4"/>
  <c r="BF129" i="4"/>
  <c r="BF128" i="4"/>
  <c r="BF127" i="4"/>
  <c r="BF126" i="4"/>
  <c r="BF125" i="4"/>
  <c r="BF124" i="4"/>
  <c r="BF123" i="4"/>
  <c r="BF122" i="4"/>
  <c r="BF121" i="4"/>
  <c r="BF120" i="4"/>
  <c r="BF119" i="4"/>
  <c r="BF118" i="4"/>
  <c r="BF117" i="4"/>
  <c r="BF116" i="4"/>
  <c r="BF115" i="4"/>
  <c r="BF114" i="4"/>
  <c r="BF113" i="4"/>
  <c r="BF112" i="4"/>
  <c r="BF111" i="4"/>
  <c r="BF110" i="4"/>
  <c r="BF109" i="4"/>
  <c r="BF108" i="4"/>
  <c r="BF107" i="4"/>
  <c r="BF106" i="4"/>
  <c r="BF105" i="4"/>
  <c r="BF104" i="4"/>
  <c r="BF103" i="4"/>
  <c r="BF102" i="4"/>
  <c r="BF101" i="4"/>
  <c r="BF100" i="4"/>
  <c r="BF99" i="4"/>
  <c r="BF98" i="4"/>
  <c r="BF97" i="4"/>
  <c r="BF96" i="4"/>
  <c r="BF95" i="4"/>
  <c r="BF94" i="4"/>
  <c r="BF93" i="4"/>
  <c r="BF92" i="4"/>
  <c r="BF91" i="4"/>
  <c r="BF90" i="4"/>
  <c r="BF89" i="4"/>
  <c r="BF88" i="4"/>
  <c r="BF87" i="4"/>
  <c r="BF86" i="4"/>
  <c r="BF85" i="4"/>
  <c r="BF84" i="4"/>
  <c r="BF83" i="4"/>
  <c r="BF82" i="4"/>
  <c r="BF81" i="4"/>
  <c r="BF80" i="4"/>
  <c r="BF79" i="4"/>
  <c r="BF78" i="4"/>
  <c r="BF77" i="4"/>
  <c r="BF76" i="4"/>
  <c r="BF75" i="4"/>
  <c r="BF74" i="4"/>
  <c r="BF73" i="4"/>
  <c r="BF72" i="4"/>
  <c r="BF71" i="4"/>
  <c r="BF70" i="4"/>
  <c r="BF69" i="4"/>
  <c r="BF68" i="4"/>
  <c r="BF67" i="4"/>
  <c r="BF66" i="4"/>
  <c r="BF65" i="4"/>
  <c r="BF64" i="4"/>
  <c r="BF63" i="4"/>
  <c r="BF62" i="4"/>
  <c r="BF61" i="4"/>
  <c r="BF60" i="4"/>
  <c r="BF59" i="4"/>
  <c r="BF58" i="4"/>
  <c r="BF57" i="4"/>
  <c r="BF56" i="4"/>
  <c r="BF55" i="4"/>
  <c r="BF54" i="4"/>
  <c r="BF53" i="4"/>
  <c r="BF52" i="4"/>
  <c r="BF51" i="4"/>
  <c r="BF50" i="4"/>
  <c r="BF49" i="4"/>
  <c r="BF48" i="4"/>
  <c r="BF47" i="4"/>
  <c r="BF46" i="4"/>
  <c r="BF45" i="4"/>
  <c r="BF44" i="4"/>
  <c r="BF43" i="4"/>
  <c r="BF42" i="4"/>
  <c r="BF41" i="4"/>
  <c r="BF40" i="4"/>
  <c r="BF39" i="4"/>
  <c r="BF38" i="4"/>
  <c r="BF37" i="4"/>
  <c r="BF36" i="4"/>
  <c r="BF35" i="4"/>
  <c r="BF34" i="4"/>
  <c r="BF33" i="4"/>
  <c r="BF32" i="4"/>
  <c r="BF31" i="4"/>
  <c r="BF30" i="4"/>
  <c r="BF29" i="4"/>
  <c r="BF28" i="4"/>
  <c r="BF27" i="4"/>
  <c r="BF26" i="4"/>
  <c r="BF25" i="4"/>
  <c r="BF24" i="4"/>
  <c r="BF23" i="4"/>
  <c r="BF22" i="4"/>
  <c r="BF21" i="4"/>
  <c r="BF20" i="4"/>
  <c r="BF19" i="4"/>
  <c r="BF18" i="4"/>
  <c r="BF17" i="4"/>
  <c r="BF16" i="4"/>
  <c r="BF15" i="4"/>
  <c r="BF14" i="4"/>
  <c r="BF13" i="4"/>
  <c r="BF12" i="4"/>
  <c r="BF11" i="4"/>
  <c r="BF10" i="4"/>
  <c r="BF9" i="4"/>
  <c r="BF8" i="4"/>
  <c r="BF7" i="4"/>
  <c r="BF6" i="4"/>
  <c r="BF5" i="4"/>
  <c r="BF4" i="4"/>
  <c r="AH879" i="28"/>
  <c r="AH878" i="28"/>
  <c r="AH877" i="28"/>
  <c r="AH876" i="28"/>
  <c r="AH875" i="28"/>
  <c r="AH874" i="28"/>
  <c r="AH873" i="28"/>
  <c r="AH872" i="28"/>
  <c r="AH871" i="28"/>
  <c r="AH870" i="28"/>
  <c r="AH869" i="28"/>
  <c r="AH868" i="28"/>
  <c r="AH867" i="28"/>
  <c r="AH866" i="28"/>
  <c r="AH865" i="28"/>
  <c r="AH864" i="28"/>
  <c r="AH863" i="28"/>
  <c r="AH862" i="28"/>
  <c r="AH861" i="28"/>
  <c r="AH860" i="28"/>
  <c r="AH859" i="28"/>
  <c r="AH858" i="28"/>
  <c r="AH857" i="28"/>
  <c r="AH856" i="28"/>
  <c r="AH855" i="28"/>
  <c r="AH854" i="28"/>
  <c r="AH853" i="28"/>
  <c r="AH852" i="28"/>
  <c r="AH851" i="28"/>
  <c r="AH850" i="28"/>
  <c r="AH849" i="28"/>
  <c r="AH848" i="28"/>
  <c r="AH847" i="28"/>
  <c r="AH846" i="28"/>
  <c r="AH845" i="28"/>
  <c r="AH844" i="28"/>
  <c r="AH843" i="28"/>
  <c r="AH842" i="28"/>
  <c r="AH841" i="28"/>
  <c r="AH840" i="28"/>
  <c r="AH839" i="28"/>
  <c r="AH838" i="28"/>
  <c r="AH837" i="28"/>
  <c r="AH836" i="28"/>
  <c r="AH835" i="28"/>
  <c r="AH834" i="28"/>
  <c r="AH833" i="28"/>
  <c r="AH832" i="28"/>
  <c r="AH831" i="28"/>
  <c r="AH830" i="28"/>
  <c r="AH829" i="28"/>
  <c r="AH828" i="28"/>
  <c r="AH827" i="28"/>
  <c r="AH826" i="28"/>
  <c r="AH825" i="28"/>
  <c r="AH824" i="28"/>
  <c r="AH823" i="28"/>
  <c r="AH822" i="28"/>
  <c r="AH821" i="28"/>
  <c r="AH820" i="28"/>
  <c r="AH819" i="28"/>
  <c r="AH818" i="28"/>
  <c r="AH817" i="28"/>
  <c r="AH816" i="28"/>
  <c r="AH815" i="28"/>
  <c r="AH814" i="28"/>
  <c r="AH813" i="28"/>
  <c r="AH812" i="28"/>
  <c r="AH811" i="28"/>
  <c r="AH810" i="28"/>
  <c r="AH809" i="28"/>
  <c r="AH808" i="28"/>
  <c r="AH807" i="28"/>
  <c r="AH794" i="28"/>
  <c r="AH793" i="28"/>
  <c r="AH792" i="28"/>
  <c r="AH791" i="28"/>
  <c r="AH790" i="28"/>
  <c r="AH789" i="28"/>
  <c r="AH788" i="28"/>
  <c r="AH787" i="28"/>
  <c r="AH786" i="28"/>
  <c r="AH785" i="28"/>
  <c r="AH784" i="28"/>
  <c r="AH783" i="28"/>
  <c r="AH782" i="28"/>
  <c r="AH781" i="28"/>
  <c r="AH780" i="28"/>
  <c r="AH779" i="28"/>
  <c r="AH778" i="28"/>
  <c r="AH777" i="28"/>
  <c r="AH776" i="28"/>
  <c r="AH775" i="28"/>
  <c r="AH774" i="28"/>
  <c r="AH773" i="28"/>
  <c r="AH772" i="28"/>
  <c r="AH771" i="28"/>
  <c r="AH770" i="28"/>
  <c r="AH769" i="28"/>
  <c r="AH768" i="28"/>
  <c r="AH767" i="28"/>
  <c r="AH766" i="28"/>
  <c r="AH765" i="28"/>
  <c r="AH764" i="28"/>
  <c r="AH763" i="28"/>
  <c r="AH762" i="28"/>
  <c r="AH761" i="28"/>
  <c r="AH760" i="28"/>
  <c r="AH759" i="28"/>
  <c r="AH758" i="28"/>
  <c r="AH757" i="28"/>
  <c r="AH756" i="28"/>
  <c r="AH755" i="28"/>
  <c r="AH754" i="28"/>
  <c r="AH753" i="28"/>
  <c r="AH752" i="28"/>
  <c r="AH751" i="28"/>
  <c r="AH750" i="28"/>
  <c r="AH749" i="28"/>
  <c r="AH748" i="28"/>
  <c r="AH747" i="28"/>
  <c r="AH746" i="28"/>
  <c r="AH745" i="28"/>
  <c r="AH744" i="28"/>
  <c r="AH743" i="28"/>
  <c r="AH742" i="28"/>
  <c r="AH741" i="28"/>
  <c r="AH740" i="28"/>
  <c r="AH739" i="28"/>
  <c r="AH738" i="28"/>
  <c r="AH737" i="28"/>
  <c r="AH736" i="28"/>
  <c r="AH735" i="28"/>
  <c r="AH734" i="28"/>
  <c r="AH733" i="28"/>
  <c r="AH732" i="28"/>
  <c r="AH731" i="28"/>
  <c r="AH730" i="28"/>
  <c r="AH729" i="28"/>
  <c r="AH728" i="28"/>
  <c r="AH727" i="28"/>
  <c r="AH726" i="28"/>
  <c r="AH725" i="28"/>
  <c r="AH724" i="28"/>
  <c r="AH723" i="28"/>
  <c r="AH722" i="28"/>
  <c r="AH721" i="28"/>
  <c r="AH720" i="28"/>
  <c r="AH719" i="28"/>
  <c r="AH718" i="28"/>
  <c r="AH717" i="28"/>
  <c r="AH716" i="28"/>
  <c r="AH715" i="28"/>
  <c r="AH714" i="28"/>
  <c r="AH713" i="28"/>
  <c r="AH712" i="28"/>
  <c r="AH711" i="28"/>
  <c r="AH710" i="28"/>
  <c r="AH709" i="28"/>
  <c r="AH708" i="28"/>
  <c r="AH707" i="28"/>
  <c r="AH706" i="28"/>
  <c r="AH705" i="28"/>
  <c r="AH704" i="28"/>
  <c r="AH703" i="28"/>
  <c r="AH702" i="28"/>
  <c r="AH701" i="28"/>
  <c r="AH700" i="28"/>
  <c r="AH699" i="28"/>
  <c r="AH698" i="28"/>
  <c r="AH697" i="28"/>
  <c r="AH696" i="28"/>
  <c r="AH695" i="28"/>
  <c r="AH694" i="28"/>
  <c r="AH693" i="28"/>
  <c r="AH692" i="28"/>
  <c r="AH691" i="28"/>
  <c r="AH690" i="28"/>
  <c r="AH689" i="28"/>
  <c r="AH688" i="28"/>
  <c r="AH687" i="28"/>
  <c r="AH686" i="28"/>
  <c r="AH685" i="28"/>
  <c r="AH684" i="28"/>
  <c r="AH683" i="28"/>
  <c r="AH682" i="28"/>
  <c r="AH681" i="28"/>
  <c r="AH680" i="28"/>
  <c r="AH679" i="28"/>
  <c r="AH678" i="28"/>
  <c r="AH677" i="28"/>
  <c r="AH676" i="28"/>
  <c r="AH675" i="28"/>
  <c r="AH674" i="28"/>
  <c r="AH673" i="28"/>
  <c r="AH672" i="28"/>
  <c r="AH671" i="28"/>
  <c r="AH670" i="28"/>
  <c r="AH669" i="28"/>
  <c r="AH668" i="28"/>
  <c r="AH667" i="28"/>
  <c r="AH666" i="28"/>
  <c r="AH665" i="28"/>
  <c r="AH664" i="28"/>
  <c r="AH663" i="28"/>
  <c r="AH662" i="28"/>
  <c r="AH661" i="28"/>
  <c r="AH660" i="28"/>
  <c r="AH659" i="28"/>
  <c r="AH658" i="28"/>
  <c r="AH657" i="28"/>
  <c r="AH656" i="28"/>
  <c r="AH655" i="28"/>
  <c r="AH654" i="28"/>
  <c r="AH653" i="28"/>
  <c r="AH652" i="28"/>
  <c r="AH651" i="28"/>
  <c r="AH650" i="28"/>
  <c r="AH649" i="28"/>
  <c r="AH648" i="28"/>
  <c r="AH647" i="28"/>
  <c r="AH646" i="28"/>
  <c r="AH645" i="28"/>
  <c r="AH644" i="28"/>
  <c r="AH643" i="28"/>
  <c r="AH642" i="28"/>
  <c r="AH641" i="28"/>
  <c r="AH640" i="28"/>
  <c r="AH639" i="28"/>
  <c r="AH638" i="28"/>
  <c r="AH637" i="28"/>
  <c r="AH636" i="28"/>
  <c r="AH635" i="28"/>
  <c r="AH634" i="28"/>
  <c r="AH633" i="28"/>
  <c r="AH632" i="28"/>
  <c r="AH631" i="28"/>
  <c r="AH630" i="28"/>
  <c r="AH629" i="28"/>
  <c r="AH628" i="28"/>
  <c r="AH627" i="28"/>
  <c r="AH626" i="28"/>
  <c r="AH625" i="28"/>
  <c r="AH624" i="28"/>
  <c r="AH623" i="28"/>
  <c r="AH622" i="28"/>
  <c r="AH621" i="28"/>
  <c r="AH620" i="28"/>
  <c r="AH619" i="28"/>
  <c r="AH618" i="28"/>
  <c r="AH617" i="28"/>
  <c r="AH616" i="28"/>
  <c r="AH615" i="28"/>
  <c r="AH614" i="28"/>
  <c r="AH613" i="28"/>
  <c r="AH612" i="28"/>
  <c r="AH611" i="28"/>
  <c r="AH610" i="28"/>
  <c r="AH609" i="28"/>
  <c r="AH608" i="28"/>
  <c r="AH607" i="28"/>
  <c r="AH606" i="28"/>
  <c r="AH605" i="28"/>
  <c r="AH604" i="28"/>
  <c r="AH603" i="28"/>
  <c r="AH602" i="28"/>
  <c r="AH601" i="28"/>
  <c r="AH600" i="28"/>
  <c r="AH599" i="28"/>
  <c r="AH598" i="28"/>
  <c r="AH597" i="28"/>
  <c r="AH596" i="28"/>
  <c r="AH595" i="28"/>
  <c r="AH594" i="28"/>
  <c r="AH593" i="28"/>
  <c r="AH592" i="28"/>
  <c r="AH591" i="28"/>
  <c r="AH590" i="28"/>
  <c r="AH589" i="28"/>
  <c r="AH588" i="28"/>
  <c r="AH587" i="28"/>
  <c r="AH586" i="28"/>
  <c r="AH585" i="28"/>
  <c r="AH584" i="28"/>
  <c r="AH583" i="28"/>
  <c r="AH582" i="28"/>
  <c r="AH581" i="28"/>
  <c r="AH580" i="28"/>
  <c r="AH579" i="28"/>
  <c r="AH578" i="28"/>
  <c r="AH577" i="28"/>
  <c r="AH576" i="28"/>
  <c r="AH575" i="28"/>
  <c r="AH574" i="28"/>
  <c r="AH573" i="28"/>
  <c r="AH572" i="28"/>
  <c r="AH571" i="28"/>
  <c r="AH570" i="28"/>
  <c r="AH569" i="28"/>
  <c r="AH568" i="28"/>
  <c r="AH567" i="28"/>
  <c r="AH566" i="28"/>
  <c r="AH565" i="28"/>
  <c r="AH564" i="28"/>
  <c r="AH563" i="28"/>
  <c r="AH562" i="28"/>
  <c r="AH561" i="28"/>
  <c r="AH560" i="28"/>
  <c r="AH559" i="28"/>
  <c r="AH558" i="28"/>
  <c r="AH557" i="28"/>
  <c r="AH556" i="28"/>
  <c r="AH555" i="28"/>
  <c r="AH554" i="28"/>
  <c r="AH553" i="28"/>
  <c r="AH552" i="28"/>
  <c r="AH551" i="28"/>
  <c r="AH550" i="28"/>
  <c r="AH549" i="28"/>
  <c r="AH548" i="28"/>
  <c r="AH547" i="28"/>
  <c r="AH546" i="28"/>
  <c r="AH545" i="28"/>
  <c r="AH544" i="28"/>
  <c r="AH543" i="28"/>
  <c r="AH542" i="28"/>
  <c r="AH541" i="28"/>
  <c r="AH540" i="28"/>
  <c r="AH539" i="28"/>
  <c r="AH538" i="28"/>
  <c r="AH537" i="28"/>
  <c r="AH536" i="28"/>
  <c r="AH535" i="28"/>
  <c r="AH534" i="28"/>
  <c r="AH533" i="28"/>
  <c r="AH532" i="28"/>
  <c r="AH531" i="28"/>
  <c r="AH530" i="28"/>
  <c r="AH529" i="28"/>
  <c r="AH528" i="28"/>
  <c r="AH527" i="28"/>
  <c r="AH526" i="28"/>
  <c r="AH525" i="28"/>
  <c r="AH524" i="28"/>
  <c r="AH523" i="28"/>
  <c r="AH522" i="28"/>
  <c r="AH521" i="28"/>
  <c r="AH520" i="28"/>
  <c r="AH519" i="28"/>
  <c r="AH518" i="28"/>
  <c r="AH517" i="28"/>
  <c r="AH516" i="28"/>
  <c r="AH515" i="28"/>
  <c r="AH514" i="28"/>
  <c r="AH513" i="28"/>
  <c r="AH512" i="28"/>
  <c r="AH511" i="28"/>
  <c r="AH510" i="28"/>
  <c r="AH509" i="28"/>
  <c r="AH508" i="28"/>
  <c r="AH507" i="28"/>
  <c r="AH506" i="28"/>
  <c r="AH505" i="28"/>
  <c r="AH504" i="28"/>
  <c r="AH503" i="28"/>
  <c r="AH502" i="28"/>
  <c r="AH501" i="28"/>
  <c r="AH500" i="28"/>
  <c r="AH499" i="28"/>
  <c r="AH498" i="28"/>
  <c r="AH497" i="28"/>
  <c r="AH496" i="28"/>
  <c r="AH495" i="28"/>
  <c r="AH494" i="28"/>
  <c r="AH493" i="28"/>
  <c r="AH492" i="28"/>
  <c r="AH491" i="28"/>
  <c r="AH490" i="28"/>
  <c r="AH489" i="28"/>
  <c r="AH488" i="28"/>
  <c r="AH487" i="28"/>
  <c r="AH486" i="28"/>
  <c r="AH485" i="28"/>
  <c r="AH484" i="28"/>
  <c r="AH483" i="28"/>
  <c r="AH482" i="28"/>
  <c r="AH481" i="28"/>
  <c r="AH480" i="28"/>
  <c r="AH479" i="28"/>
  <c r="AH478" i="28"/>
  <c r="AH477" i="28"/>
  <c r="AH476" i="28"/>
  <c r="AH475" i="28"/>
  <c r="AH474" i="28"/>
  <c r="AH473" i="28"/>
  <c r="AH472" i="28"/>
  <c r="AH471" i="28"/>
  <c r="AH470" i="28"/>
  <c r="AH469" i="28"/>
  <c r="AH468" i="28"/>
  <c r="AH467" i="28"/>
  <c r="AH466" i="28"/>
  <c r="AH465" i="28"/>
  <c r="AH464" i="28"/>
  <c r="AH463" i="28"/>
  <c r="AH462" i="28"/>
  <c r="AH461" i="28"/>
  <c r="AH460" i="28"/>
  <c r="AH459" i="28"/>
  <c r="AH458" i="28"/>
  <c r="AH457" i="28"/>
  <c r="AH456" i="28"/>
  <c r="AH455" i="28"/>
  <c r="AH454" i="28"/>
  <c r="AH453" i="28"/>
  <c r="AH452" i="28"/>
  <c r="AH451" i="28"/>
  <c r="AH450" i="28"/>
  <c r="AH449" i="28"/>
  <c r="AH448" i="28"/>
  <c r="AH447" i="28"/>
  <c r="AH446" i="28"/>
  <c r="AH445" i="28"/>
  <c r="AH444" i="28"/>
  <c r="AH443" i="28"/>
  <c r="AH442" i="28"/>
  <c r="AH441" i="28"/>
  <c r="AH440" i="28"/>
  <c r="AH439" i="28"/>
  <c r="AH438" i="28"/>
  <c r="AH437" i="28"/>
  <c r="AH436" i="28"/>
  <c r="AH435" i="28"/>
  <c r="AH434" i="28"/>
  <c r="AH433" i="28"/>
  <c r="AH432" i="28"/>
  <c r="AH431" i="28"/>
  <c r="AH430" i="28"/>
  <c r="AH429" i="28"/>
  <c r="AH428" i="28"/>
  <c r="AH427" i="28"/>
  <c r="AH426" i="28"/>
  <c r="AH425" i="28"/>
  <c r="AH424" i="28"/>
  <c r="AH423" i="28"/>
  <c r="AH422" i="28"/>
  <c r="AH421" i="28"/>
  <c r="AH420" i="28"/>
  <c r="AH419" i="28"/>
  <c r="AH418" i="28"/>
  <c r="AH417" i="28"/>
  <c r="AH416" i="28"/>
  <c r="AH415" i="28"/>
  <c r="AH414" i="28"/>
  <c r="AH413" i="28"/>
  <c r="AH412" i="28"/>
  <c r="AH411" i="28"/>
  <c r="AH410" i="28"/>
  <c r="AH409" i="28"/>
  <c r="AH408" i="28"/>
  <c r="AH407" i="28"/>
  <c r="AH406" i="28"/>
  <c r="AH405" i="28"/>
  <c r="AH404" i="28"/>
  <c r="AH403" i="28"/>
  <c r="AH402" i="28"/>
  <c r="AH401" i="28"/>
  <c r="AH400" i="28"/>
  <c r="AH399" i="28"/>
  <c r="AH398" i="28"/>
  <c r="AH397" i="28"/>
  <c r="AH396" i="28"/>
  <c r="AH395" i="28"/>
  <c r="AH394" i="28"/>
  <c r="AH393" i="28"/>
  <c r="AH392" i="28"/>
  <c r="AH391" i="28"/>
  <c r="AH390" i="28"/>
  <c r="AH389" i="28"/>
  <c r="AH388" i="28"/>
  <c r="AH387" i="28"/>
  <c r="AH386" i="28"/>
  <c r="AH385" i="28"/>
  <c r="AH384" i="28"/>
  <c r="AH383" i="28"/>
  <c r="AH382" i="28"/>
  <c r="AH381" i="28"/>
  <c r="AH380" i="28"/>
  <c r="AH379" i="28"/>
  <c r="AH378" i="28"/>
  <c r="AH377" i="28"/>
  <c r="AH376" i="28"/>
  <c r="AH375" i="28"/>
  <c r="AH374" i="28"/>
  <c r="AH373" i="28"/>
  <c r="AH372" i="28"/>
  <c r="AH371" i="28"/>
  <c r="AH370" i="28"/>
  <c r="AH369" i="28"/>
  <c r="AH368" i="28"/>
  <c r="AH367" i="28"/>
  <c r="AH366" i="28"/>
  <c r="AH365" i="28"/>
  <c r="AH364" i="28"/>
  <c r="AH363" i="28"/>
  <c r="AH362" i="28"/>
  <c r="AH361" i="28"/>
  <c r="AH360" i="28"/>
  <c r="AH359" i="28"/>
  <c r="AH358" i="28"/>
  <c r="AH357" i="28"/>
  <c r="AH356" i="28"/>
  <c r="AH355" i="28"/>
  <c r="AH354" i="28"/>
  <c r="AH353" i="28"/>
  <c r="AH352" i="28"/>
  <c r="AH351" i="28"/>
  <c r="AH350" i="28"/>
  <c r="AH349" i="28"/>
  <c r="AH348" i="28"/>
  <c r="AH347" i="28"/>
  <c r="AH346" i="28"/>
  <c r="AH345" i="28"/>
  <c r="AH344" i="28"/>
  <c r="AH343" i="28"/>
  <c r="AH342" i="28"/>
  <c r="AH341" i="28"/>
  <c r="AH340" i="28"/>
  <c r="AH339" i="28"/>
  <c r="AH338" i="28"/>
  <c r="AH337" i="28"/>
  <c r="AH336" i="28"/>
  <c r="AH335" i="28"/>
  <c r="AH334" i="28"/>
  <c r="AH333" i="28"/>
  <c r="AH332" i="28"/>
  <c r="AH331" i="28"/>
  <c r="AH330" i="28"/>
  <c r="AH329" i="28"/>
  <c r="AH328" i="28"/>
  <c r="AH327" i="28"/>
  <c r="AH326" i="28"/>
  <c r="AH325" i="28"/>
  <c r="AH324" i="28"/>
  <c r="AH323" i="28"/>
  <c r="AH322" i="28"/>
  <c r="AH321" i="28"/>
  <c r="AH320" i="28"/>
  <c r="AH319" i="28"/>
  <c r="AH318" i="28"/>
  <c r="AH317" i="28"/>
  <c r="AH316" i="28"/>
  <c r="AH315" i="28"/>
  <c r="AH314" i="28"/>
  <c r="AH313" i="28"/>
  <c r="AH312" i="28"/>
  <c r="AH311" i="28"/>
  <c r="AH310" i="28"/>
  <c r="AH309" i="28"/>
  <c r="AH308" i="28"/>
  <c r="AH307" i="28"/>
  <c r="AH306" i="28"/>
  <c r="AH305" i="28"/>
  <c r="AH304" i="28"/>
  <c r="AH303" i="28"/>
  <c r="AH302" i="28"/>
  <c r="AH301" i="28"/>
  <c r="AH300" i="28"/>
  <c r="AH299" i="28"/>
  <c r="AH298" i="28"/>
  <c r="AH297" i="28"/>
  <c r="AH296" i="28"/>
  <c r="AH295" i="28"/>
  <c r="AH294" i="28"/>
  <c r="AH293" i="28"/>
  <c r="AH292" i="28"/>
  <c r="AH291" i="28"/>
  <c r="AH290" i="28"/>
  <c r="AH289" i="28"/>
  <c r="AH288" i="28"/>
  <c r="AH287" i="28"/>
  <c r="AH286" i="28"/>
  <c r="AH285" i="28"/>
  <c r="AH284" i="28"/>
  <c r="AH283" i="28"/>
  <c r="AH282" i="28"/>
  <c r="AH281" i="28"/>
  <c r="AH280" i="28"/>
  <c r="AH279" i="28"/>
  <c r="AH278" i="28"/>
  <c r="AH277" i="28"/>
  <c r="AH276" i="28"/>
  <c r="AH275" i="28"/>
  <c r="AH274" i="28"/>
  <c r="AH273" i="28"/>
  <c r="AH272" i="28"/>
  <c r="AH271" i="28"/>
  <c r="AH270" i="28"/>
  <c r="AH269" i="28"/>
  <c r="AH268" i="28"/>
  <c r="AH267" i="28"/>
  <c r="AH266" i="28"/>
  <c r="AH265" i="28"/>
  <c r="AH264" i="28"/>
  <c r="AH263" i="28"/>
  <c r="AH262" i="28"/>
  <c r="AH261" i="28"/>
  <c r="AH260" i="28"/>
  <c r="AH259" i="28"/>
  <c r="AH258" i="28"/>
  <c r="AH257" i="28"/>
  <c r="AH256" i="28"/>
  <c r="AH255" i="28"/>
  <c r="AH254" i="28"/>
  <c r="AH253" i="28"/>
  <c r="AH252" i="28"/>
  <c r="AH251" i="28"/>
  <c r="AH250" i="28"/>
  <c r="AH249" i="28"/>
  <c r="AH248" i="28"/>
  <c r="AH247" i="28"/>
  <c r="AH246" i="28"/>
  <c r="AH245" i="28"/>
  <c r="AH244" i="28"/>
  <c r="AH243" i="28"/>
  <c r="AH242" i="28"/>
  <c r="AH241" i="28"/>
  <c r="AH240" i="28"/>
  <c r="AH239" i="28"/>
  <c r="AH238" i="28"/>
  <c r="AH237" i="28"/>
  <c r="AH236" i="28"/>
  <c r="AH235" i="28"/>
  <c r="AH234" i="28"/>
  <c r="AH233" i="28"/>
  <c r="AH232" i="28"/>
  <c r="AH231" i="28"/>
  <c r="AH230" i="28"/>
  <c r="AH229" i="28"/>
  <c r="AH228" i="28"/>
  <c r="AH227" i="28"/>
  <c r="AH226" i="28"/>
  <c r="AH225" i="28"/>
  <c r="AH224" i="28"/>
  <c r="AH223" i="28"/>
  <c r="AH222" i="28"/>
  <c r="AH221" i="28"/>
  <c r="AH220" i="28"/>
  <c r="AH219" i="28"/>
  <c r="AH218" i="28"/>
  <c r="AH217" i="28"/>
  <c r="AH216" i="28"/>
  <c r="AH215" i="28"/>
  <c r="AH214" i="28"/>
  <c r="AH213" i="28"/>
  <c r="AH212" i="28"/>
  <c r="AH211" i="28"/>
  <c r="AH210" i="28"/>
  <c r="AH209" i="28"/>
  <c r="AH208" i="28"/>
  <c r="AH207" i="28"/>
  <c r="AH206" i="28"/>
  <c r="AH205" i="28"/>
  <c r="AH204" i="28"/>
  <c r="AH203" i="28"/>
  <c r="AH202" i="28"/>
  <c r="AH201" i="28"/>
  <c r="AH200" i="28"/>
  <c r="AH199" i="28"/>
  <c r="AH198" i="28"/>
  <c r="AH197" i="28"/>
  <c r="AH196" i="28"/>
  <c r="AH195" i="28"/>
  <c r="AH194" i="28"/>
  <c r="AH193" i="28"/>
  <c r="AH192" i="28"/>
  <c r="AH191" i="28"/>
  <c r="AH190" i="28"/>
  <c r="AH189" i="28"/>
  <c r="AH188" i="28"/>
  <c r="AH187" i="28"/>
  <c r="AH186" i="28"/>
  <c r="AH185" i="28"/>
  <c r="AH184" i="28"/>
  <c r="AH183" i="28"/>
  <c r="AH182" i="28"/>
  <c r="AH181" i="28"/>
  <c r="AH180" i="28"/>
  <c r="AH179" i="28"/>
  <c r="AH178" i="28"/>
  <c r="AH177" i="28"/>
  <c r="AH176" i="28"/>
  <c r="AH175" i="28"/>
  <c r="AH174" i="28"/>
  <c r="AH173" i="28"/>
  <c r="AH172" i="28"/>
  <c r="AH171" i="28"/>
  <c r="AH170" i="28"/>
  <c r="AH169" i="28"/>
  <c r="AH168" i="28"/>
  <c r="AH167" i="28"/>
  <c r="AH166" i="28"/>
  <c r="AH165" i="28"/>
  <c r="AH164" i="28"/>
  <c r="AH163" i="28"/>
  <c r="AH162" i="28"/>
  <c r="AH161" i="28"/>
  <c r="AH160" i="28"/>
  <c r="AH159" i="28"/>
  <c r="AH158" i="28"/>
  <c r="AH157" i="28"/>
  <c r="AH156" i="28"/>
  <c r="AH155" i="28"/>
  <c r="AH154" i="28"/>
  <c r="AH153" i="28"/>
  <c r="AH152" i="28"/>
  <c r="AH151" i="28"/>
  <c r="AH150" i="28"/>
  <c r="AH149" i="28"/>
  <c r="AH148" i="28"/>
  <c r="AH147" i="28"/>
  <c r="AH146" i="28"/>
  <c r="AH145" i="28"/>
  <c r="AH144" i="28"/>
  <c r="AH143" i="28"/>
  <c r="AH142" i="28"/>
  <c r="AH141" i="28"/>
  <c r="AH140" i="28"/>
  <c r="AH139" i="28"/>
  <c r="AH138" i="28"/>
  <c r="AH137" i="28"/>
  <c r="AH136" i="28"/>
  <c r="AH135" i="28"/>
  <c r="AH134" i="28"/>
  <c r="AH133" i="28"/>
  <c r="AH132" i="28"/>
  <c r="AH131" i="28"/>
  <c r="AH130" i="28"/>
  <c r="AH129" i="28"/>
  <c r="AH128" i="28"/>
  <c r="AH127" i="28"/>
  <c r="AH126" i="28"/>
  <c r="AH125" i="28"/>
  <c r="AH124" i="28"/>
  <c r="AH123" i="28"/>
  <c r="AH122" i="28"/>
  <c r="AH121" i="28"/>
  <c r="AH120" i="28"/>
  <c r="AH119" i="28"/>
  <c r="AH118" i="28"/>
  <c r="AH117" i="28"/>
  <c r="AH116" i="28"/>
  <c r="AH115" i="28"/>
  <c r="AH114" i="28"/>
  <c r="AH113" i="28"/>
  <c r="AH112" i="28"/>
  <c r="AH111" i="28"/>
  <c r="AH110" i="28"/>
  <c r="AH109" i="28"/>
  <c r="AH108" i="28"/>
  <c r="AH107" i="28"/>
  <c r="AH106" i="28"/>
  <c r="AH105" i="28"/>
  <c r="AH104" i="28"/>
  <c r="AH103" i="28"/>
  <c r="AH102" i="28"/>
  <c r="AH101" i="28"/>
  <c r="AH100" i="28"/>
  <c r="AH99" i="28"/>
  <c r="AH98" i="28"/>
  <c r="AH97" i="28"/>
  <c r="AH96" i="28"/>
  <c r="AH95" i="28"/>
  <c r="AH94" i="28"/>
  <c r="AH93" i="28"/>
  <c r="AH92" i="28"/>
  <c r="AH91" i="28"/>
  <c r="AH90" i="28"/>
  <c r="AH89" i="28"/>
  <c r="AH88" i="28"/>
  <c r="AH87" i="28"/>
  <c r="AH86" i="28"/>
  <c r="AH85" i="28"/>
  <c r="AH84" i="28"/>
  <c r="AH83" i="28"/>
  <c r="AH82" i="28"/>
  <c r="AH81" i="28"/>
  <c r="AH80" i="28"/>
  <c r="AH79" i="28"/>
  <c r="AH78" i="28"/>
  <c r="AH77" i="28"/>
  <c r="AH76" i="28"/>
  <c r="AH75" i="28"/>
  <c r="AH74" i="28"/>
  <c r="AH73" i="28"/>
  <c r="AH72" i="28"/>
  <c r="AH71" i="28"/>
  <c r="AH70" i="28"/>
  <c r="AH69" i="28"/>
  <c r="AH68" i="28"/>
  <c r="AH67" i="28"/>
  <c r="AH66" i="28"/>
  <c r="AH65" i="28"/>
  <c r="AH64" i="28"/>
  <c r="AH63" i="28"/>
  <c r="AH62" i="28"/>
  <c r="AH61" i="28"/>
  <c r="AH60" i="28"/>
  <c r="AH59" i="28"/>
  <c r="AH58" i="28"/>
  <c r="AH57" i="28"/>
  <c r="AH56" i="28"/>
  <c r="AH55" i="28"/>
  <c r="AH54" i="28"/>
  <c r="AH53" i="28"/>
  <c r="AH52" i="28"/>
  <c r="AH51" i="28"/>
  <c r="AH50" i="28"/>
  <c r="AH49" i="28"/>
  <c r="AH48" i="28"/>
  <c r="AH47" i="28"/>
  <c r="AH46" i="28"/>
  <c r="AH45" i="28"/>
  <c r="AH44" i="28"/>
  <c r="AH43" i="28"/>
  <c r="AH42" i="28"/>
  <c r="AH41" i="28"/>
  <c r="AH40" i="28"/>
  <c r="AH39" i="28"/>
  <c r="AH38" i="28"/>
  <c r="AH37" i="28"/>
  <c r="AH36" i="28"/>
  <c r="AH35" i="28"/>
  <c r="AH34" i="28"/>
  <c r="AH33" i="28"/>
  <c r="AH32" i="28"/>
  <c r="AH31" i="28"/>
  <c r="AH30" i="28"/>
  <c r="AH29" i="28"/>
  <c r="AH28" i="28"/>
  <c r="AH27" i="28"/>
  <c r="AH26" i="28"/>
  <c r="AH25" i="28"/>
  <c r="AH24" i="28"/>
  <c r="AH23" i="28"/>
  <c r="AH22" i="28"/>
  <c r="AH21" i="28"/>
  <c r="AH20" i="28"/>
  <c r="AH19" i="28"/>
  <c r="AH18" i="28"/>
  <c r="AH17" i="28"/>
  <c r="AH16" i="28"/>
  <c r="AH15" i="28"/>
  <c r="AH14" i="28"/>
  <c r="AH13" i="28"/>
  <c r="AH12" i="28"/>
  <c r="AH11" i="28"/>
  <c r="AH10" i="28"/>
  <c r="AH9" i="28"/>
  <c r="AH8" i="28"/>
  <c r="AH7" i="28"/>
  <c r="AH6" i="28"/>
  <c r="AH5" i="28"/>
  <c r="AH4" i="28"/>
  <c r="AA241" i="29"/>
  <c r="AA240" i="29"/>
  <c r="AA239" i="29"/>
  <c r="AA238" i="29"/>
  <c r="AA237" i="29"/>
  <c r="AA236" i="29"/>
  <c r="AA235" i="29"/>
  <c r="AA234" i="29"/>
  <c r="AA233" i="29"/>
  <c r="AA232" i="29"/>
  <c r="AA231" i="29"/>
  <c r="AA230" i="29"/>
  <c r="AA229" i="29"/>
  <c r="AA228" i="29"/>
  <c r="AA227" i="29"/>
  <c r="AA226" i="29"/>
  <c r="AA225" i="29"/>
  <c r="AA224" i="29"/>
  <c r="AA223" i="29"/>
  <c r="AA222" i="29"/>
  <c r="AA221" i="29"/>
  <c r="AA220" i="29"/>
  <c r="AA219" i="29"/>
  <c r="AA218" i="29"/>
  <c r="AA217" i="29"/>
  <c r="AA216" i="29"/>
  <c r="AA215" i="29"/>
  <c r="AA214" i="29"/>
  <c r="AA213" i="29"/>
  <c r="AA212" i="29"/>
  <c r="AA211" i="29"/>
  <c r="AA210" i="29"/>
  <c r="AA209" i="29"/>
  <c r="AA208" i="29"/>
  <c r="AA207" i="29"/>
  <c r="AA206" i="29"/>
  <c r="AA205" i="29"/>
  <c r="AA204" i="29"/>
  <c r="AA203" i="29"/>
  <c r="AA202" i="29"/>
  <c r="AA201" i="29"/>
  <c r="AA200" i="29"/>
  <c r="AA199" i="29"/>
  <c r="AA198" i="29"/>
  <c r="AA197" i="29"/>
  <c r="AA196" i="29"/>
  <c r="AA195" i="29"/>
  <c r="AA194" i="29"/>
  <c r="AA193" i="29"/>
  <c r="AA192" i="29"/>
  <c r="AA191" i="29"/>
  <c r="AA190" i="29"/>
  <c r="AA189" i="29"/>
  <c r="AA188" i="29"/>
  <c r="AA187" i="29"/>
  <c r="AA186" i="29"/>
  <c r="AA185" i="29"/>
  <c r="AA184" i="29"/>
  <c r="AA183" i="29"/>
  <c r="AA182" i="29"/>
  <c r="AA181" i="29"/>
  <c r="AA180" i="29"/>
  <c r="AA179" i="29"/>
  <c r="AA178" i="29"/>
  <c r="AA177" i="29"/>
  <c r="AA176" i="29"/>
  <c r="AA175" i="29"/>
  <c r="AA174" i="29"/>
  <c r="AA173" i="29"/>
  <c r="AA172" i="29"/>
  <c r="AA171" i="29"/>
  <c r="AA170" i="29"/>
  <c r="AA169" i="29"/>
  <c r="AA168" i="29"/>
  <c r="AA167" i="29"/>
  <c r="AA166" i="29"/>
  <c r="AA165" i="29"/>
  <c r="AA164" i="29"/>
  <c r="AA163" i="29"/>
  <c r="AA162" i="29"/>
  <c r="AA161" i="29"/>
  <c r="AA160" i="29"/>
  <c r="AA159" i="29"/>
  <c r="AA158" i="29"/>
  <c r="AA157" i="29"/>
  <c r="AA156" i="29"/>
  <c r="AA155" i="29"/>
  <c r="AA154" i="29"/>
  <c r="AA153" i="29"/>
  <c r="AA152" i="29"/>
  <c r="AA151" i="29"/>
  <c r="AA150" i="29"/>
  <c r="AA149" i="29"/>
  <c r="AA148" i="29"/>
  <c r="AA147" i="29"/>
  <c r="AA146" i="29"/>
  <c r="AA145" i="29"/>
  <c r="AA144" i="29"/>
  <c r="AA143" i="29"/>
  <c r="AA142" i="29"/>
  <c r="AA141" i="29"/>
  <c r="AA140" i="29"/>
  <c r="AA139" i="29"/>
  <c r="AA138" i="29"/>
  <c r="AA137" i="29"/>
  <c r="AA136" i="29"/>
  <c r="AA135" i="29"/>
  <c r="AA134" i="29"/>
  <c r="AA133" i="29"/>
  <c r="AA132" i="29"/>
  <c r="AA131" i="29"/>
  <c r="AA130" i="29"/>
  <c r="AA129" i="29"/>
  <c r="AA128" i="29"/>
  <c r="AA127" i="29"/>
  <c r="AA126" i="29"/>
  <c r="AA125" i="29"/>
  <c r="AA124" i="29"/>
  <c r="AA123" i="29"/>
  <c r="AA122" i="29"/>
  <c r="AA121" i="29"/>
  <c r="AA120" i="29"/>
  <c r="AA119" i="29"/>
  <c r="AA118" i="29"/>
  <c r="AA117" i="29"/>
  <c r="AA116" i="29"/>
  <c r="AA115" i="29"/>
  <c r="AA114" i="29"/>
  <c r="AA113" i="29"/>
  <c r="AA112" i="29"/>
  <c r="AA111" i="29"/>
  <c r="AA110" i="29"/>
  <c r="AA109" i="29"/>
  <c r="AA108" i="29"/>
  <c r="AA107" i="29"/>
  <c r="AA106" i="29"/>
  <c r="AA105" i="29"/>
  <c r="AA104" i="29"/>
  <c r="AA103" i="29"/>
  <c r="AA102" i="29"/>
  <c r="AA101" i="29"/>
  <c r="AA100" i="29"/>
  <c r="AA99" i="29"/>
  <c r="AA98" i="29"/>
  <c r="AA97" i="29"/>
  <c r="AA96" i="29"/>
  <c r="AA95" i="29"/>
  <c r="AA94" i="29"/>
  <c r="AA93" i="29"/>
  <c r="AA92" i="29"/>
  <c r="AA91" i="29"/>
  <c r="AA90" i="29"/>
  <c r="AA89" i="29"/>
  <c r="AA88" i="29"/>
  <c r="AA87" i="29"/>
  <c r="AA86" i="29"/>
  <c r="AA85" i="29"/>
  <c r="AA84" i="29"/>
  <c r="AA83" i="29"/>
  <c r="AA82" i="29"/>
  <c r="AA81" i="29"/>
  <c r="AA80" i="29"/>
  <c r="AA79" i="29"/>
  <c r="AA78" i="29"/>
  <c r="AA77" i="29"/>
  <c r="AA76" i="29"/>
  <c r="AA75" i="29"/>
  <c r="AA74" i="29"/>
  <c r="AA73" i="29"/>
  <c r="AA72" i="29"/>
  <c r="AA71" i="29"/>
  <c r="AA70" i="29"/>
  <c r="AA69" i="29"/>
  <c r="AA68" i="29"/>
  <c r="AA67" i="29"/>
  <c r="AA66" i="29"/>
  <c r="AA65" i="29"/>
  <c r="AA64" i="29"/>
  <c r="AA63" i="29"/>
  <c r="AA62" i="29"/>
  <c r="AA61" i="29"/>
  <c r="AA60" i="29"/>
  <c r="AA59" i="29"/>
  <c r="AA58" i="29"/>
  <c r="AA57" i="29"/>
  <c r="AA56" i="29"/>
  <c r="AA55" i="29"/>
  <c r="AA54" i="29"/>
  <c r="AA53" i="29"/>
  <c r="AA52" i="29"/>
  <c r="AA51" i="29"/>
  <c r="AA50" i="29"/>
  <c r="AA49" i="29"/>
  <c r="AA48" i="29"/>
  <c r="AA47" i="29"/>
  <c r="AA46" i="29"/>
  <c r="AA45" i="29"/>
  <c r="AA44" i="29"/>
  <c r="AA43" i="29"/>
  <c r="AA42" i="29"/>
  <c r="AA41" i="29"/>
  <c r="AA40" i="29"/>
  <c r="AA39" i="29"/>
  <c r="AA38" i="29"/>
  <c r="AA37" i="29"/>
  <c r="AA36" i="29"/>
  <c r="AA35" i="29"/>
  <c r="AA34" i="29"/>
  <c r="AA33" i="29"/>
  <c r="AA32" i="29"/>
  <c r="AA31" i="29"/>
  <c r="AA30" i="29"/>
  <c r="AA29" i="29"/>
  <c r="AA28" i="29"/>
  <c r="AA27" i="29"/>
  <c r="AA26" i="29"/>
  <c r="AA25" i="29"/>
  <c r="AA24" i="29"/>
  <c r="AA23" i="29"/>
  <c r="AA22" i="29"/>
  <c r="AA21" i="29"/>
  <c r="AA20" i="29"/>
  <c r="AA19" i="29"/>
  <c r="AA18" i="29"/>
  <c r="AA17" i="29"/>
  <c r="AA16" i="29"/>
  <c r="AA15" i="29"/>
  <c r="AA14" i="29"/>
  <c r="AA13" i="29"/>
  <c r="AA12" i="29"/>
  <c r="AA11" i="29"/>
  <c r="AA10" i="29"/>
  <c r="AA9" i="29"/>
  <c r="AA8" i="29"/>
  <c r="AA7" i="29"/>
  <c r="AA6" i="29"/>
  <c r="AA5" i="29"/>
  <c r="AA4" i="29"/>
  <c r="AA3" i="29"/>
  <c r="AA2" i="29"/>
  <c r="S277" i="2" l="1"/>
  <c r="R277" i="2"/>
  <c r="Q277" i="2"/>
  <c r="L277" i="2"/>
  <c r="I277" i="2" s="1"/>
  <c r="G277" i="2"/>
  <c r="E277" i="2"/>
  <c r="C277" i="2"/>
  <c r="Q211" i="4"/>
  <c r="Q173" i="4"/>
  <c r="P135" i="4"/>
  <c r="P97" i="4"/>
  <c r="H277" i="2" l="1"/>
  <c r="D1" i="3" l="1"/>
  <c r="Q574" i="7" l="1"/>
  <c r="Q573" i="7"/>
  <c r="Q572" i="7"/>
  <c r="Q571" i="7"/>
  <c r="Q570" i="7"/>
  <c r="Q569" i="7"/>
  <c r="Q568" i="7"/>
  <c r="Q567" i="7"/>
  <c r="Q566" i="7"/>
  <c r="Q565" i="7"/>
  <c r="Q564" i="7"/>
  <c r="Q563" i="7"/>
  <c r="Q562" i="7"/>
  <c r="Q561" i="7"/>
  <c r="Q560" i="7"/>
  <c r="Q559" i="7"/>
  <c r="Q558" i="7"/>
  <c r="Q557" i="7"/>
  <c r="Q556" i="7"/>
  <c r="Q555" i="7"/>
  <c r="Q554" i="7"/>
  <c r="Q553" i="7"/>
  <c r="Q552" i="7"/>
  <c r="Q551" i="7"/>
  <c r="Q550" i="7"/>
  <c r="Q549" i="7"/>
  <c r="Q548" i="7"/>
  <c r="Q547" i="7"/>
  <c r="Q546" i="7"/>
  <c r="Q545" i="7"/>
  <c r="Q544" i="7"/>
  <c r="Q543" i="7"/>
  <c r="Q542" i="7"/>
  <c r="Q541" i="7"/>
  <c r="Q540" i="7"/>
  <c r="Q539" i="7"/>
  <c r="Q538" i="7"/>
  <c r="Q537" i="7"/>
  <c r="Q536" i="7"/>
  <c r="Q535" i="7"/>
  <c r="Q534" i="7"/>
  <c r="Q533" i="7"/>
  <c r="Q532" i="7"/>
  <c r="Q531" i="7"/>
  <c r="Q530" i="7"/>
  <c r="Q529" i="7"/>
  <c r="Q528" i="7"/>
  <c r="Q527" i="7"/>
  <c r="Q526" i="7"/>
  <c r="Q525" i="7"/>
  <c r="Q524" i="7"/>
  <c r="Q523" i="7"/>
  <c r="Q522" i="7"/>
  <c r="Q521" i="7"/>
  <c r="Q520" i="7"/>
  <c r="Q519" i="7"/>
  <c r="Q518" i="7"/>
  <c r="Q517" i="7"/>
  <c r="Q516" i="7"/>
  <c r="Q515" i="7"/>
  <c r="Q514" i="7"/>
  <c r="Q513" i="7"/>
  <c r="Q512" i="7"/>
  <c r="Q511" i="7"/>
  <c r="Q510" i="7"/>
  <c r="Q509" i="7"/>
  <c r="Q508" i="7"/>
  <c r="Q507" i="7"/>
  <c r="Q506" i="7"/>
  <c r="Q505" i="7"/>
  <c r="Q503" i="7"/>
  <c r="Q502" i="7"/>
  <c r="Q501" i="7"/>
  <c r="Q500" i="7"/>
  <c r="Q499" i="7"/>
  <c r="Q498" i="7"/>
  <c r="Q497" i="7"/>
  <c r="Q496" i="7"/>
  <c r="Q495" i="7"/>
  <c r="Q494" i="7"/>
  <c r="Q493" i="7"/>
  <c r="Q492" i="7"/>
  <c r="Q491" i="7"/>
  <c r="Q490" i="7"/>
  <c r="Q489" i="7"/>
  <c r="Q488" i="7"/>
  <c r="Q487" i="7"/>
  <c r="Q486" i="7"/>
  <c r="Q485" i="7"/>
  <c r="Q484" i="7"/>
  <c r="Q483" i="7"/>
  <c r="Q482" i="7"/>
  <c r="Q481" i="7"/>
  <c r="Q480" i="7"/>
  <c r="Q479" i="7"/>
  <c r="Q478" i="7"/>
  <c r="Q477" i="7"/>
  <c r="Q476" i="7"/>
  <c r="Q475" i="7"/>
  <c r="Q474" i="7"/>
  <c r="Q473" i="7"/>
  <c r="Q472" i="7"/>
  <c r="Q471" i="7"/>
  <c r="Q470" i="7"/>
  <c r="Q469" i="7"/>
  <c r="Q468" i="7"/>
  <c r="Q467" i="7"/>
  <c r="Q466" i="7"/>
  <c r="Q465" i="7"/>
  <c r="Q464" i="7"/>
  <c r="Q463" i="7"/>
  <c r="Q462" i="7"/>
  <c r="Q461" i="7"/>
  <c r="Q460" i="7"/>
  <c r="Q459" i="7"/>
  <c r="Q458" i="7"/>
  <c r="Q457" i="7"/>
  <c r="Q456" i="7"/>
  <c r="Q455" i="7"/>
  <c r="Q454" i="7"/>
  <c r="Q453" i="7"/>
  <c r="Q452" i="7"/>
  <c r="Q451" i="7"/>
  <c r="Q450" i="7"/>
  <c r="Q449" i="7"/>
  <c r="Q448" i="7"/>
  <c r="Q447" i="7"/>
  <c r="Q446" i="7"/>
  <c r="Q445" i="7"/>
  <c r="Q444" i="7"/>
  <c r="Q443" i="7"/>
  <c r="Q442" i="7"/>
  <c r="Q441" i="7"/>
  <c r="Q440" i="7"/>
  <c r="Q439" i="7"/>
  <c r="Q438" i="7"/>
  <c r="Q437" i="7"/>
  <c r="Q436" i="7"/>
  <c r="O225" i="7"/>
  <c r="P225" i="7"/>
  <c r="Q225" i="7"/>
  <c r="R225" i="7"/>
  <c r="O226" i="7"/>
  <c r="P226" i="7"/>
  <c r="Q226" i="7"/>
  <c r="R226" i="7"/>
  <c r="O227" i="7"/>
  <c r="P227" i="7"/>
  <c r="Q227" i="7"/>
  <c r="R227" i="7"/>
  <c r="O228" i="7"/>
  <c r="P228" i="7"/>
  <c r="Q228" i="7"/>
  <c r="R228" i="7"/>
  <c r="O229" i="7"/>
  <c r="P229" i="7"/>
  <c r="Q229" i="7"/>
  <c r="R229" i="7"/>
  <c r="O230" i="7"/>
  <c r="P230" i="7"/>
  <c r="Q230" i="7"/>
  <c r="R230" i="7"/>
  <c r="O231" i="7"/>
  <c r="P231" i="7"/>
  <c r="Q231" i="7"/>
  <c r="R231" i="7"/>
  <c r="O232" i="7"/>
  <c r="P232" i="7"/>
  <c r="Q232" i="7"/>
  <c r="R232" i="7"/>
  <c r="O233" i="7"/>
  <c r="P233" i="7"/>
  <c r="Q233" i="7"/>
  <c r="R233" i="7"/>
  <c r="O234" i="7"/>
  <c r="P234" i="7"/>
  <c r="Q234" i="7"/>
  <c r="R234" i="7"/>
  <c r="O235" i="7"/>
  <c r="P235" i="7"/>
  <c r="Q235" i="7"/>
  <c r="R235" i="7"/>
  <c r="O236" i="7"/>
  <c r="P236" i="7"/>
  <c r="Q236" i="7"/>
  <c r="R236" i="7"/>
  <c r="O237" i="7"/>
  <c r="P237" i="7"/>
  <c r="Q237" i="7"/>
  <c r="R237" i="7"/>
  <c r="O238" i="7"/>
  <c r="P238" i="7"/>
  <c r="Q238" i="7"/>
  <c r="R238" i="7"/>
  <c r="O239" i="7"/>
  <c r="P239" i="7"/>
  <c r="Q239" i="7"/>
  <c r="R239" i="7"/>
  <c r="O240" i="7"/>
  <c r="P240" i="7"/>
  <c r="Q240" i="7"/>
  <c r="R240" i="7"/>
  <c r="O241" i="7"/>
  <c r="P241" i="7"/>
  <c r="Q241" i="7"/>
  <c r="R241" i="7"/>
  <c r="O242" i="7"/>
  <c r="P242" i="7"/>
  <c r="Q242" i="7"/>
  <c r="R242" i="7"/>
  <c r="O243" i="7"/>
  <c r="P243" i="7"/>
  <c r="Q243" i="7"/>
  <c r="R243" i="7"/>
  <c r="O244" i="7"/>
  <c r="P244" i="7"/>
  <c r="Q244" i="7"/>
  <c r="R244" i="7"/>
  <c r="O245" i="7"/>
  <c r="P245" i="7"/>
  <c r="Q245" i="7"/>
  <c r="R245" i="7"/>
  <c r="O246" i="7"/>
  <c r="P246" i="7"/>
  <c r="Q246" i="7"/>
  <c r="R246" i="7"/>
  <c r="O247" i="7"/>
  <c r="P247" i="7"/>
  <c r="Q247" i="7"/>
  <c r="R247" i="7"/>
  <c r="O248" i="7"/>
  <c r="P248" i="7"/>
  <c r="Q248" i="7"/>
  <c r="R248" i="7"/>
  <c r="O249" i="7"/>
  <c r="P249" i="7"/>
  <c r="Q249" i="7"/>
  <c r="R249" i="7"/>
  <c r="O250" i="7"/>
  <c r="P250" i="7"/>
  <c r="Q250" i="7"/>
  <c r="R250" i="7"/>
  <c r="O251" i="7"/>
  <c r="P251" i="7"/>
  <c r="Q251" i="7"/>
  <c r="R251" i="7"/>
  <c r="O252" i="7"/>
  <c r="P252" i="7"/>
  <c r="Q252" i="7"/>
  <c r="R252" i="7"/>
  <c r="O253" i="7"/>
  <c r="P253" i="7"/>
  <c r="Q253" i="7"/>
  <c r="R253" i="7"/>
  <c r="O254" i="7"/>
  <c r="P254" i="7"/>
  <c r="Q254" i="7"/>
  <c r="R254" i="7"/>
  <c r="O255" i="7"/>
  <c r="P255" i="7"/>
  <c r="Q255" i="7"/>
  <c r="R255" i="7"/>
  <c r="O256" i="7"/>
  <c r="P256" i="7"/>
  <c r="Q256" i="7"/>
  <c r="R256" i="7"/>
  <c r="O257" i="7"/>
  <c r="P257" i="7"/>
  <c r="Q257" i="7"/>
  <c r="R257" i="7"/>
  <c r="O258" i="7"/>
  <c r="P258" i="7"/>
  <c r="Q258" i="7"/>
  <c r="R258" i="7"/>
  <c r="O259" i="7"/>
  <c r="P259" i="7"/>
  <c r="Q259" i="7"/>
  <c r="R259" i="7"/>
  <c r="O260" i="7"/>
  <c r="P260" i="7"/>
  <c r="Q260" i="7"/>
  <c r="R260" i="7"/>
  <c r="O261" i="7"/>
  <c r="P261" i="7"/>
  <c r="Q261" i="7"/>
  <c r="R261" i="7"/>
  <c r="O262" i="7"/>
  <c r="P262" i="7"/>
  <c r="Q262" i="7"/>
  <c r="R262" i="7"/>
  <c r="O263" i="7"/>
  <c r="P263" i="7"/>
  <c r="Q263" i="7"/>
  <c r="R263" i="7"/>
  <c r="O264" i="7"/>
  <c r="P264" i="7"/>
  <c r="Q264" i="7"/>
  <c r="R264" i="7"/>
  <c r="O265" i="7"/>
  <c r="P265" i="7"/>
  <c r="Q265" i="7"/>
  <c r="R265" i="7"/>
  <c r="O266" i="7"/>
  <c r="P266" i="7"/>
  <c r="Q266" i="7"/>
  <c r="R266" i="7"/>
  <c r="O267" i="7"/>
  <c r="P267" i="7"/>
  <c r="Q267" i="7"/>
  <c r="R267" i="7"/>
  <c r="O268" i="7"/>
  <c r="P268" i="7"/>
  <c r="Q268" i="7"/>
  <c r="R268" i="7"/>
  <c r="O269" i="7"/>
  <c r="P269" i="7"/>
  <c r="Q269" i="7"/>
  <c r="R269" i="7"/>
  <c r="O270" i="7"/>
  <c r="P270" i="7"/>
  <c r="Q270" i="7"/>
  <c r="R270" i="7"/>
  <c r="O271" i="7"/>
  <c r="P271" i="7"/>
  <c r="Q271" i="7"/>
  <c r="R271" i="7"/>
  <c r="O272" i="7"/>
  <c r="P272" i="7"/>
  <c r="Q272" i="7"/>
  <c r="R272" i="7"/>
  <c r="O273" i="7"/>
  <c r="P273" i="7"/>
  <c r="Q273" i="7"/>
  <c r="R273" i="7"/>
  <c r="O274" i="7"/>
  <c r="P274" i="7"/>
  <c r="Q274" i="7"/>
  <c r="R274" i="7"/>
  <c r="O275" i="7"/>
  <c r="P275" i="7"/>
  <c r="Q275" i="7"/>
  <c r="R275" i="7"/>
  <c r="O276" i="7"/>
  <c r="P276" i="7"/>
  <c r="Q276" i="7"/>
  <c r="R276" i="7"/>
  <c r="O277" i="7"/>
  <c r="P277" i="7"/>
  <c r="Q277" i="7"/>
  <c r="R277" i="7"/>
  <c r="O278" i="7"/>
  <c r="P278" i="7"/>
  <c r="Q278" i="7"/>
  <c r="R278" i="7"/>
  <c r="O279" i="7"/>
  <c r="P279" i="7"/>
  <c r="Q279" i="7"/>
  <c r="R279" i="7"/>
  <c r="O280" i="7"/>
  <c r="P280" i="7"/>
  <c r="Q280" i="7"/>
  <c r="R280" i="7"/>
  <c r="O281" i="7"/>
  <c r="P281" i="7"/>
  <c r="Q281" i="7"/>
  <c r="R281" i="7"/>
  <c r="O282" i="7"/>
  <c r="P282" i="7"/>
  <c r="Q282" i="7"/>
  <c r="R282" i="7"/>
  <c r="O283" i="7"/>
  <c r="P283" i="7"/>
  <c r="Q283" i="7"/>
  <c r="R283" i="7"/>
  <c r="O284" i="7"/>
  <c r="P284" i="7"/>
  <c r="Q284" i="7"/>
  <c r="R284" i="7"/>
  <c r="O285" i="7"/>
  <c r="P285" i="7"/>
  <c r="Q285" i="7"/>
  <c r="R285" i="7"/>
  <c r="O286" i="7"/>
  <c r="P286" i="7"/>
  <c r="Q286" i="7"/>
  <c r="R286" i="7"/>
  <c r="O287" i="7"/>
  <c r="P287" i="7"/>
  <c r="Q287" i="7"/>
  <c r="R287" i="7"/>
  <c r="O288" i="7"/>
  <c r="P288" i="7"/>
  <c r="Q288" i="7"/>
  <c r="R288" i="7"/>
  <c r="O289" i="7"/>
  <c r="P289" i="7"/>
  <c r="Q289" i="7"/>
  <c r="R289" i="7"/>
  <c r="O290" i="7"/>
  <c r="P290" i="7"/>
  <c r="Q290" i="7"/>
  <c r="R290" i="7"/>
  <c r="O291" i="7"/>
  <c r="P291" i="7"/>
  <c r="Q291" i="7"/>
  <c r="R291" i="7"/>
  <c r="O292" i="7"/>
  <c r="P292" i="7"/>
  <c r="Q292" i="7"/>
  <c r="R292" i="7"/>
  <c r="O293" i="7"/>
  <c r="P293" i="7"/>
  <c r="Q293" i="7"/>
  <c r="R293" i="7"/>
  <c r="R222" i="7"/>
  <c r="Q222" i="7"/>
  <c r="P222" i="7"/>
  <c r="O222" i="7"/>
  <c r="R221" i="7"/>
  <c r="Q221" i="7"/>
  <c r="P221" i="7"/>
  <c r="O221" i="7"/>
  <c r="R220" i="7"/>
  <c r="Q220" i="7"/>
  <c r="P220" i="7"/>
  <c r="O220" i="7"/>
  <c r="R219" i="7"/>
  <c r="Q219" i="7"/>
  <c r="P219" i="7"/>
  <c r="O219" i="7"/>
  <c r="R218" i="7"/>
  <c r="Q218" i="7"/>
  <c r="P218" i="7"/>
  <c r="O218" i="7"/>
  <c r="R217" i="7"/>
  <c r="Q217" i="7"/>
  <c r="P217" i="7"/>
  <c r="O217" i="7"/>
  <c r="R216" i="7"/>
  <c r="Q216" i="7"/>
  <c r="P216" i="7"/>
  <c r="O216" i="7"/>
  <c r="R215" i="7"/>
  <c r="Q215" i="7"/>
  <c r="P215" i="7"/>
  <c r="O215" i="7"/>
  <c r="R214" i="7"/>
  <c r="Q214" i="7"/>
  <c r="P214" i="7"/>
  <c r="O214" i="7"/>
  <c r="R213" i="7"/>
  <c r="Q213" i="7"/>
  <c r="P213" i="7"/>
  <c r="O213" i="7"/>
  <c r="R212" i="7"/>
  <c r="Q212" i="7"/>
  <c r="P212" i="7"/>
  <c r="O212" i="7"/>
  <c r="R211" i="7"/>
  <c r="Q211" i="7"/>
  <c r="P211" i="7"/>
  <c r="O211" i="7"/>
  <c r="R210" i="7"/>
  <c r="Q210" i="7"/>
  <c r="P210" i="7"/>
  <c r="O210" i="7"/>
  <c r="R209" i="7"/>
  <c r="Q209" i="7"/>
  <c r="P209" i="7"/>
  <c r="O209" i="7"/>
  <c r="R208" i="7"/>
  <c r="Q208" i="7"/>
  <c r="P208" i="7"/>
  <c r="O208" i="7"/>
  <c r="R207" i="7"/>
  <c r="Q207" i="7"/>
  <c r="P207" i="7"/>
  <c r="O207" i="7"/>
  <c r="R206" i="7"/>
  <c r="Q206" i="7"/>
  <c r="P206" i="7"/>
  <c r="O206" i="7"/>
  <c r="R205" i="7"/>
  <c r="Q205" i="7"/>
  <c r="P205" i="7"/>
  <c r="O205" i="7"/>
  <c r="R204" i="7"/>
  <c r="Q204" i="7"/>
  <c r="P204" i="7"/>
  <c r="O204" i="7"/>
  <c r="R203" i="7"/>
  <c r="Q203" i="7"/>
  <c r="P203" i="7"/>
  <c r="O203" i="7"/>
  <c r="R202" i="7"/>
  <c r="Q202" i="7"/>
  <c r="P202" i="7"/>
  <c r="O202" i="7"/>
  <c r="R201" i="7"/>
  <c r="Q201" i="7"/>
  <c r="P201" i="7"/>
  <c r="O201" i="7"/>
  <c r="R200" i="7"/>
  <c r="Q200" i="7"/>
  <c r="P200" i="7"/>
  <c r="O200" i="7"/>
  <c r="R199" i="7"/>
  <c r="Q199" i="7"/>
  <c r="P199" i="7"/>
  <c r="O199" i="7"/>
  <c r="R198" i="7"/>
  <c r="Q198" i="7"/>
  <c r="P198" i="7"/>
  <c r="O198" i="7"/>
  <c r="R197" i="7"/>
  <c r="Q197" i="7"/>
  <c r="P197" i="7"/>
  <c r="O197" i="7"/>
  <c r="R196" i="7"/>
  <c r="Q196" i="7"/>
  <c r="P196" i="7"/>
  <c r="O196" i="7"/>
  <c r="R195" i="7"/>
  <c r="Q195" i="7"/>
  <c r="P195" i="7"/>
  <c r="O195" i="7"/>
  <c r="R194" i="7"/>
  <c r="Q194" i="7"/>
  <c r="P194" i="7"/>
  <c r="O194" i="7"/>
  <c r="R193" i="7"/>
  <c r="Q193" i="7"/>
  <c r="P193" i="7"/>
  <c r="O193" i="7"/>
  <c r="R192" i="7"/>
  <c r="Q192" i="7"/>
  <c r="P192" i="7"/>
  <c r="O192" i="7"/>
  <c r="R191" i="7"/>
  <c r="Q191" i="7"/>
  <c r="P191" i="7"/>
  <c r="O191" i="7"/>
  <c r="R190" i="7"/>
  <c r="Q190" i="7"/>
  <c r="P190" i="7"/>
  <c r="O190" i="7"/>
  <c r="R189" i="7"/>
  <c r="Q189" i="7"/>
  <c r="P189" i="7"/>
  <c r="O189" i="7"/>
  <c r="R188" i="7"/>
  <c r="Q188" i="7"/>
  <c r="P188" i="7"/>
  <c r="O188" i="7"/>
  <c r="R187" i="7"/>
  <c r="Q187" i="7"/>
  <c r="P187" i="7"/>
  <c r="O187" i="7"/>
  <c r="R186" i="7"/>
  <c r="Q186" i="7"/>
  <c r="P186" i="7"/>
  <c r="O186" i="7"/>
  <c r="R185" i="7"/>
  <c r="Q185" i="7"/>
  <c r="P185" i="7"/>
  <c r="O185" i="7"/>
  <c r="R184" i="7"/>
  <c r="Q184" i="7"/>
  <c r="P184" i="7"/>
  <c r="O184" i="7"/>
  <c r="R183" i="7"/>
  <c r="Q183" i="7"/>
  <c r="P183" i="7"/>
  <c r="O183" i="7"/>
  <c r="R182" i="7"/>
  <c r="Q182" i="7"/>
  <c r="P182" i="7"/>
  <c r="O182" i="7"/>
  <c r="R181" i="7"/>
  <c r="Q181" i="7"/>
  <c r="P181" i="7"/>
  <c r="O181" i="7"/>
  <c r="R180" i="7"/>
  <c r="Q180" i="7"/>
  <c r="P180" i="7"/>
  <c r="O180" i="7"/>
  <c r="R179" i="7"/>
  <c r="Q179" i="7"/>
  <c r="P179" i="7"/>
  <c r="O179" i="7"/>
  <c r="R178" i="7"/>
  <c r="Q178" i="7"/>
  <c r="P178" i="7"/>
  <c r="O178" i="7"/>
  <c r="R177" i="7"/>
  <c r="Q177" i="7"/>
  <c r="P177" i="7"/>
  <c r="O177" i="7"/>
  <c r="R176" i="7"/>
  <c r="Q176" i="7"/>
  <c r="P176" i="7"/>
  <c r="O176" i="7"/>
  <c r="R175" i="7"/>
  <c r="Q175" i="7"/>
  <c r="P175" i="7"/>
  <c r="O175" i="7"/>
  <c r="R174" i="7"/>
  <c r="Q174" i="7"/>
  <c r="P174" i="7"/>
  <c r="O174" i="7"/>
  <c r="R173" i="7"/>
  <c r="Q173" i="7"/>
  <c r="P173" i="7"/>
  <c r="O173" i="7"/>
  <c r="R172" i="7"/>
  <c r="Q172" i="7"/>
  <c r="P172" i="7"/>
  <c r="O172" i="7"/>
  <c r="R171" i="7"/>
  <c r="Q171" i="7"/>
  <c r="P171" i="7"/>
  <c r="O171" i="7"/>
  <c r="R170" i="7"/>
  <c r="Q170" i="7"/>
  <c r="P170" i="7"/>
  <c r="O170" i="7"/>
  <c r="R169" i="7"/>
  <c r="Q169" i="7"/>
  <c r="P169" i="7"/>
  <c r="O169" i="7"/>
  <c r="R168" i="7"/>
  <c r="Q168" i="7"/>
  <c r="P168" i="7"/>
  <c r="O168" i="7"/>
  <c r="R167" i="7"/>
  <c r="Q167" i="7"/>
  <c r="P167" i="7"/>
  <c r="O167" i="7"/>
  <c r="R166" i="7"/>
  <c r="Q166" i="7"/>
  <c r="P166" i="7"/>
  <c r="O166" i="7"/>
  <c r="R165" i="7"/>
  <c r="Q165" i="7"/>
  <c r="P165" i="7"/>
  <c r="O165" i="7"/>
  <c r="R164" i="7"/>
  <c r="Q164" i="7"/>
  <c r="P164" i="7"/>
  <c r="O164" i="7"/>
  <c r="R163" i="7"/>
  <c r="Q163" i="7"/>
  <c r="P163" i="7"/>
  <c r="O163" i="7"/>
  <c r="R162" i="7"/>
  <c r="Q162" i="7"/>
  <c r="P162" i="7"/>
  <c r="O162" i="7"/>
  <c r="R161" i="7"/>
  <c r="Q161" i="7"/>
  <c r="P161" i="7"/>
  <c r="O161" i="7"/>
  <c r="R160" i="7"/>
  <c r="Q160" i="7"/>
  <c r="P160" i="7"/>
  <c r="O160" i="7"/>
  <c r="R159" i="7"/>
  <c r="Q159" i="7"/>
  <c r="P159" i="7"/>
  <c r="O159" i="7"/>
  <c r="R158" i="7"/>
  <c r="Q158" i="7"/>
  <c r="P158" i="7"/>
  <c r="O158" i="7"/>
  <c r="R157" i="7"/>
  <c r="Q157" i="7"/>
  <c r="P157" i="7"/>
  <c r="O157" i="7"/>
  <c r="R156" i="7"/>
  <c r="Q156" i="7"/>
  <c r="P156" i="7"/>
  <c r="O156" i="7"/>
  <c r="R155" i="7"/>
  <c r="Q155" i="7"/>
  <c r="P155" i="7"/>
  <c r="O155" i="7"/>
  <c r="R154" i="7"/>
  <c r="Q154" i="7"/>
  <c r="P154" i="7"/>
  <c r="O154" i="7"/>
  <c r="R153" i="7"/>
  <c r="Q153" i="7"/>
  <c r="P153" i="7"/>
  <c r="O153" i="7"/>
  <c r="R152" i="7"/>
  <c r="Q152" i="7"/>
  <c r="P152" i="7"/>
  <c r="O152" i="7"/>
  <c r="R151" i="7"/>
  <c r="Q151" i="7"/>
  <c r="P151" i="7"/>
  <c r="O151" i="7"/>
  <c r="R150" i="7"/>
  <c r="Q150" i="7"/>
  <c r="P150" i="7"/>
  <c r="O150" i="7"/>
  <c r="R149" i="7"/>
  <c r="Q149" i="7"/>
  <c r="P149" i="7"/>
  <c r="O149" i="7"/>
  <c r="F206" i="6" l="1"/>
  <c r="F205" i="6"/>
  <c r="D204" i="6"/>
  <c r="D203" i="6"/>
  <c r="D202" i="6"/>
  <c r="D201" i="6"/>
  <c r="D200" i="6"/>
  <c r="D199" i="6"/>
  <c r="D198" i="6"/>
  <c r="D197" i="6"/>
  <c r="D196" i="6"/>
  <c r="D195" i="6"/>
  <c r="D194" i="6"/>
  <c r="D193" i="6"/>
  <c r="D192" i="6"/>
  <c r="D191" i="6"/>
  <c r="D190" i="6"/>
  <c r="D189" i="6"/>
  <c r="F188" i="6"/>
  <c r="F187" i="6"/>
  <c r="F186" i="6"/>
  <c r="F185" i="6"/>
  <c r="F184" i="6"/>
  <c r="F183" i="6"/>
  <c r="F180" i="6"/>
  <c r="F179" i="6"/>
  <c r="D178" i="6"/>
  <c r="D177" i="6"/>
  <c r="D176" i="6"/>
  <c r="D175" i="6"/>
  <c r="D174" i="6"/>
  <c r="D173" i="6"/>
  <c r="D172" i="6"/>
  <c r="D171" i="6"/>
  <c r="D170" i="6"/>
  <c r="D169" i="6"/>
  <c r="D168" i="6"/>
  <c r="D167" i="6"/>
  <c r="D166" i="6"/>
  <c r="D165" i="6"/>
  <c r="D164" i="6"/>
  <c r="D163" i="6"/>
  <c r="F162" i="6"/>
  <c r="F161" i="6"/>
  <c r="F160" i="6"/>
  <c r="F159" i="6"/>
  <c r="F158" i="6"/>
  <c r="F157" i="6"/>
  <c r="F154" i="6"/>
  <c r="F153" i="6"/>
  <c r="D152" i="6"/>
  <c r="D151" i="6"/>
  <c r="D150" i="6"/>
  <c r="D149" i="6"/>
  <c r="D148" i="6"/>
  <c r="D147" i="6"/>
  <c r="D146" i="6"/>
  <c r="D145" i="6"/>
  <c r="D144" i="6"/>
  <c r="D143" i="6"/>
  <c r="D142" i="6"/>
  <c r="D141" i="6"/>
  <c r="D140" i="6"/>
  <c r="D139" i="6"/>
  <c r="D138" i="6"/>
  <c r="D137" i="6"/>
  <c r="F136" i="6"/>
  <c r="F135" i="6"/>
  <c r="F134" i="6"/>
  <c r="F133" i="6"/>
  <c r="F132" i="6"/>
  <c r="F131" i="6"/>
  <c r="F128" i="6"/>
  <c r="F127" i="6"/>
  <c r="D126" i="6"/>
  <c r="D125" i="6"/>
  <c r="D124" i="6"/>
  <c r="D123" i="6"/>
  <c r="D122" i="6"/>
  <c r="D121" i="6"/>
  <c r="D120" i="6"/>
  <c r="D119" i="6"/>
  <c r="D118" i="6"/>
  <c r="D117" i="6"/>
  <c r="D116" i="6"/>
  <c r="D115" i="6"/>
  <c r="D114" i="6"/>
  <c r="D113" i="6"/>
  <c r="D112" i="6"/>
  <c r="D111" i="6"/>
  <c r="F110" i="6"/>
  <c r="F109" i="6"/>
  <c r="F108" i="6"/>
  <c r="F107" i="6"/>
  <c r="F106" i="6"/>
  <c r="F105" i="6"/>
  <c r="F102" i="6"/>
  <c r="F101" i="6"/>
  <c r="D100" i="6"/>
  <c r="D99" i="6"/>
  <c r="D98" i="6"/>
  <c r="D97" i="6"/>
  <c r="D96" i="6"/>
  <c r="D95" i="6"/>
  <c r="D94" i="6"/>
  <c r="D93" i="6"/>
  <c r="D92" i="6"/>
  <c r="D91" i="6"/>
  <c r="D90" i="6"/>
  <c r="D89" i="6"/>
  <c r="D88" i="6"/>
  <c r="D87" i="6"/>
  <c r="D86" i="6"/>
  <c r="D85" i="6"/>
  <c r="F84" i="6"/>
  <c r="F83" i="6"/>
  <c r="F82" i="6"/>
  <c r="F81" i="6"/>
  <c r="F80" i="6"/>
  <c r="F79" i="6"/>
  <c r="D74" i="6"/>
  <c r="D73" i="6"/>
  <c r="D72" i="6"/>
  <c r="D71" i="6"/>
  <c r="D70" i="6"/>
  <c r="D69" i="6"/>
  <c r="D68" i="6"/>
  <c r="D67" i="6"/>
  <c r="D66" i="6"/>
  <c r="D65" i="6"/>
  <c r="D64" i="6"/>
  <c r="D63" i="6"/>
  <c r="D62" i="6"/>
  <c r="D61" i="6"/>
  <c r="D60" i="6"/>
  <c r="D59" i="6"/>
  <c r="F76" i="6"/>
  <c r="F75" i="6"/>
  <c r="F58" i="6"/>
  <c r="F57" i="6"/>
  <c r="F56" i="6"/>
  <c r="F55" i="6"/>
  <c r="F54" i="6"/>
  <c r="F53" i="6"/>
  <c r="J52" i="6" l="1"/>
  <c r="I52" i="6"/>
  <c r="U570" i="34" l="1"/>
  <c r="T570" i="34"/>
  <c r="S570" i="34"/>
  <c r="U569" i="34"/>
  <c r="T569" i="34"/>
  <c r="S569" i="34"/>
  <c r="U568" i="34"/>
  <c r="T568" i="34"/>
  <c r="S568" i="34"/>
  <c r="U567" i="34"/>
  <c r="T567" i="34"/>
  <c r="S567" i="34"/>
  <c r="U566" i="34"/>
  <c r="T566" i="34"/>
  <c r="S566" i="34"/>
  <c r="U565" i="34"/>
  <c r="T565" i="34"/>
  <c r="S565" i="34"/>
  <c r="U564" i="34"/>
  <c r="T564" i="34"/>
  <c r="S564" i="34"/>
  <c r="U563" i="34"/>
  <c r="T563" i="34"/>
  <c r="S563" i="34"/>
  <c r="U562" i="34"/>
  <c r="T562" i="34"/>
  <c r="S562" i="34"/>
  <c r="U561" i="34"/>
  <c r="T561" i="34"/>
  <c r="S561" i="34"/>
  <c r="U560" i="34"/>
  <c r="T560" i="34"/>
  <c r="S560" i="34"/>
  <c r="U559" i="34"/>
  <c r="T559" i="34"/>
  <c r="S559" i="34"/>
  <c r="U558" i="34"/>
  <c r="T558" i="34"/>
  <c r="S558" i="34"/>
  <c r="U557" i="34"/>
  <c r="T557" i="34"/>
  <c r="S557" i="34"/>
  <c r="U556" i="34"/>
  <c r="T556" i="34"/>
  <c r="S556" i="34"/>
  <c r="U555" i="34"/>
  <c r="T555" i="34"/>
  <c r="S555" i="34"/>
  <c r="U554" i="34"/>
  <c r="T554" i="34"/>
  <c r="S554" i="34"/>
  <c r="U553" i="34"/>
  <c r="T553" i="34"/>
  <c r="S553" i="34"/>
  <c r="U552" i="34"/>
  <c r="T552" i="34"/>
  <c r="S552" i="34"/>
  <c r="U551" i="34"/>
  <c r="T551" i="34"/>
  <c r="S551" i="34"/>
  <c r="U550" i="34"/>
  <c r="T550" i="34"/>
  <c r="S550" i="34"/>
  <c r="U549" i="34"/>
  <c r="T549" i="34"/>
  <c r="S549" i="34"/>
  <c r="U548" i="34"/>
  <c r="T548" i="34"/>
  <c r="S548" i="34"/>
  <c r="U547" i="34"/>
  <c r="T547" i="34"/>
  <c r="S547" i="34"/>
  <c r="U546" i="34"/>
  <c r="T546" i="34"/>
  <c r="S546" i="34"/>
  <c r="U545" i="34"/>
  <c r="T545" i="34"/>
  <c r="S545" i="34"/>
  <c r="U544" i="34"/>
  <c r="T544" i="34"/>
  <c r="S544" i="34"/>
  <c r="U543" i="34"/>
  <c r="T543" i="34"/>
  <c r="S543" i="34"/>
  <c r="U542" i="34"/>
  <c r="T542" i="34"/>
  <c r="S542" i="34"/>
  <c r="U541" i="34"/>
  <c r="T541" i="34"/>
  <c r="S541" i="34"/>
  <c r="U540" i="34"/>
  <c r="T540" i="34"/>
  <c r="S540" i="34"/>
  <c r="U539" i="34"/>
  <c r="T539" i="34"/>
  <c r="S539" i="34"/>
  <c r="U538" i="34"/>
  <c r="T538" i="34"/>
  <c r="S538" i="34"/>
  <c r="U537" i="34"/>
  <c r="T537" i="34"/>
  <c r="S537" i="34"/>
  <c r="U536" i="34"/>
  <c r="T536" i="34"/>
  <c r="S536" i="34"/>
  <c r="U535" i="34"/>
  <c r="T535" i="34"/>
  <c r="S535" i="34"/>
  <c r="U534" i="34"/>
  <c r="T534" i="34"/>
  <c r="S534" i="34"/>
  <c r="U533" i="34"/>
  <c r="T533" i="34"/>
  <c r="S533" i="34"/>
  <c r="U532" i="34"/>
  <c r="T532" i="34"/>
  <c r="S532" i="34"/>
  <c r="U531" i="34"/>
  <c r="T531" i="34"/>
  <c r="S531" i="34"/>
  <c r="U530" i="34"/>
  <c r="T530" i="34"/>
  <c r="S530" i="34"/>
  <c r="U529" i="34"/>
  <c r="T529" i="34"/>
  <c r="S529" i="34"/>
  <c r="U528" i="34"/>
  <c r="T528" i="34"/>
  <c r="S528" i="34"/>
  <c r="U527" i="34"/>
  <c r="T527" i="34"/>
  <c r="S527" i="34"/>
  <c r="U526" i="34"/>
  <c r="T526" i="34"/>
  <c r="S526" i="34"/>
  <c r="U525" i="34"/>
  <c r="T525" i="34"/>
  <c r="S525" i="34"/>
  <c r="U524" i="34"/>
  <c r="T524" i="34"/>
  <c r="S524" i="34"/>
  <c r="U523" i="34"/>
  <c r="T523" i="34"/>
  <c r="S523" i="34"/>
  <c r="U522" i="34"/>
  <c r="T522" i="34"/>
  <c r="S522" i="34"/>
  <c r="U521" i="34"/>
  <c r="T521" i="34"/>
  <c r="S521" i="34"/>
  <c r="U520" i="34"/>
  <c r="T520" i="34"/>
  <c r="S520" i="34"/>
  <c r="U519" i="34"/>
  <c r="T519" i="34"/>
  <c r="S519" i="34"/>
  <c r="U518" i="34"/>
  <c r="T518" i="34"/>
  <c r="S518" i="34"/>
  <c r="U517" i="34"/>
  <c r="T517" i="34"/>
  <c r="S517" i="34"/>
  <c r="U516" i="34"/>
  <c r="T516" i="34"/>
  <c r="S516" i="34"/>
  <c r="U515" i="34"/>
  <c r="T515" i="34"/>
  <c r="S515" i="34"/>
  <c r="U514" i="34"/>
  <c r="T514" i="34"/>
  <c r="S514" i="34"/>
  <c r="U513" i="34"/>
  <c r="T513" i="34"/>
  <c r="S513" i="34"/>
  <c r="U512" i="34"/>
  <c r="T512" i="34"/>
  <c r="S512" i="34"/>
  <c r="U511" i="34"/>
  <c r="T511" i="34"/>
  <c r="S511" i="34"/>
  <c r="U510" i="34"/>
  <c r="T510" i="34"/>
  <c r="S510" i="34"/>
  <c r="U509" i="34"/>
  <c r="T509" i="34"/>
  <c r="S509" i="34"/>
  <c r="U508" i="34"/>
  <c r="T508" i="34"/>
  <c r="S508" i="34"/>
  <c r="U507" i="34"/>
  <c r="T507" i="34"/>
  <c r="S507" i="34"/>
  <c r="U506" i="34"/>
  <c r="T506" i="34"/>
  <c r="S506" i="34"/>
  <c r="U505" i="34"/>
  <c r="T505" i="34"/>
  <c r="S505" i="34"/>
  <c r="U504" i="34"/>
  <c r="T504" i="34"/>
  <c r="S504" i="34"/>
  <c r="U503" i="34"/>
  <c r="T503" i="34"/>
  <c r="S503" i="34"/>
  <c r="U502" i="34"/>
  <c r="T502" i="34"/>
  <c r="S502" i="34"/>
  <c r="U501" i="34"/>
  <c r="T501" i="34"/>
  <c r="S501" i="34"/>
  <c r="U500" i="34"/>
  <c r="T500" i="34"/>
  <c r="S500" i="34"/>
  <c r="U499" i="34"/>
  <c r="T499" i="34"/>
  <c r="S499" i="34"/>
  <c r="U498" i="34"/>
  <c r="T498" i="34"/>
  <c r="S498" i="34"/>
  <c r="U497" i="34"/>
  <c r="T497" i="34"/>
  <c r="S497" i="34"/>
  <c r="U496" i="34"/>
  <c r="T496" i="34"/>
  <c r="S496" i="34"/>
  <c r="U495" i="34"/>
  <c r="T495" i="34"/>
  <c r="S495" i="34"/>
  <c r="U494" i="34"/>
  <c r="T494" i="34"/>
  <c r="S494" i="34"/>
  <c r="U493" i="34"/>
  <c r="T493" i="34"/>
  <c r="S493" i="34"/>
  <c r="U492" i="34"/>
  <c r="T492" i="34"/>
  <c r="S492" i="34"/>
  <c r="U491" i="34"/>
  <c r="T491" i="34"/>
  <c r="S491" i="34"/>
  <c r="U490" i="34"/>
  <c r="T490" i="34"/>
  <c r="S490" i="34"/>
  <c r="U489" i="34"/>
  <c r="T489" i="34"/>
  <c r="S489" i="34"/>
  <c r="U488" i="34"/>
  <c r="T488" i="34"/>
  <c r="S488" i="34"/>
  <c r="U487" i="34"/>
  <c r="T487" i="34"/>
  <c r="S487" i="34"/>
  <c r="U486" i="34"/>
  <c r="T486" i="34"/>
  <c r="S486" i="34"/>
  <c r="U485" i="34"/>
  <c r="T485" i="34"/>
  <c r="S485" i="34"/>
  <c r="U484" i="34"/>
  <c r="T484" i="34"/>
  <c r="S484" i="34"/>
  <c r="U483" i="34"/>
  <c r="T483" i="34"/>
  <c r="S483" i="34"/>
  <c r="U482" i="34"/>
  <c r="T482" i="34"/>
  <c r="S482" i="34"/>
  <c r="U481" i="34"/>
  <c r="T481" i="34"/>
  <c r="S481" i="34"/>
  <c r="U480" i="34"/>
  <c r="T480" i="34"/>
  <c r="S480" i="34"/>
  <c r="U479" i="34"/>
  <c r="T479" i="34"/>
  <c r="S479" i="34"/>
  <c r="U478" i="34"/>
  <c r="T478" i="34"/>
  <c r="S478" i="34"/>
  <c r="U477" i="34"/>
  <c r="T477" i="34"/>
  <c r="S477" i="34"/>
  <c r="U476" i="34"/>
  <c r="T476" i="34"/>
  <c r="S476" i="34"/>
  <c r="U475" i="34"/>
  <c r="T475" i="34"/>
  <c r="S475" i="34"/>
  <c r="U474" i="34"/>
  <c r="T474" i="34"/>
  <c r="S474" i="34"/>
  <c r="U473" i="34"/>
  <c r="T473" i="34"/>
  <c r="S473" i="34"/>
  <c r="U472" i="34"/>
  <c r="T472" i="34"/>
  <c r="S472" i="34"/>
  <c r="U471" i="34"/>
  <c r="T471" i="34"/>
  <c r="S471" i="34"/>
  <c r="U470" i="34"/>
  <c r="T470" i="34"/>
  <c r="S470" i="34"/>
  <c r="U469" i="34"/>
  <c r="T469" i="34"/>
  <c r="S469" i="34"/>
  <c r="U468" i="34"/>
  <c r="T468" i="34"/>
  <c r="S468" i="34"/>
  <c r="U467" i="34"/>
  <c r="T467" i="34"/>
  <c r="S467" i="34"/>
  <c r="U466" i="34"/>
  <c r="T466" i="34"/>
  <c r="S466" i="34"/>
  <c r="U465" i="34"/>
  <c r="T465" i="34"/>
  <c r="S465" i="34"/>
  <c r="U464" i="34"/>
  <c r="T464" i="34"/>
  <c r="S464" i="34"/>
  <c r="U463" i="34"/>
  <c r="T463" i="34"/>
  <c r="S463" i="34"/>
  <c r="U462" i="34"/>
  <c r="T462" i="34"/>
  <c r="S462" i="34"/>
  <c r="U461" i="34"/>
  <c r="T461" i="34"/>
  <c r="S461" i="34"/>
  <c r="U460" i="34"/>
  <c r="T460" i="34"/>
  <c r="S460" i="34"/>
  <c r="U459" i="34"/>
  <c r="T459" i="34"/>
  <c r="S459" i="34"/>
  <c r="U458" i="34"/>
  <c r="T458" i="34"/>
  <c r="S458" i="34"/>
  <c r="U457" i="34"/>
  <c r="T457" i="34"/>
  <c r="S457" i="34"/>
  <c r="U456" i="34"/>
  <c r="T456" i="34"/>
  <c r="S456" i="34"/>
  <c r="U455" i="34"/>
  <c r="T455" i="34"/>
  <c r="S455" i="34"/>
  <c r="U454" i="34"/>
  <c r="T454" i="34"/>
  <c r="S454" i="34"/>
  <c r="U347" i="34"/>
  <c r="T347" i="34"/>
  <c r="S347" i="34"/>
  <c r="U346" i="34"/>
  <c r="T346" i="34"/>
  <c r="S346" i="34"/>
  <c r="U345" i="34"/>
  <c r="T345" i="34"/>
  <c r="S345" i="34"/>
  <c r="U344" i="34"/>
  <c r="T344" i="34"/>
  <c r="S344" i="34"/>
  <c r="U343" i="34"/>
  <c r="T343" i="34"/>
  <c r="S343" i="34"/>
  <c r="U342" i="34"/>
  <c r="T342" i="34"/>
  <c r="S342" i="34"/>
  <c r="U341" i="34"/>
  <c r="T341" i="34"/>
  <c r="S341" i="34"/>
  <c r="U340" i="34"/>
  <c r="T340" i="34"/>
  <c r="S340" i="34"/>
  <c r="U339" i="34"/>
  <c r="T339" i="34"/>
  <c r="S339" i="34"/>
  <c r="S338" i="34"/>
  <c r="T338" i="34"/>
  <c r="U338" i="34"/>
  <c r="U230" i="34"/>
  <c r="T230" i="34"/>
  <c r="S230" i="34"/>
  <c r="U229" i="34"/>
  <c r="T229" i="34"/>
  <c r="S229" i="34"/>
  <c r="U228" i="34"/>
  <c r="T228" i="34"/>
  <c r="S228" i="34"/>
  <c r="U226" i="34"/>
  <c r="T226" i="34"/>
  <c r="S226" i="34"/>
  <c r="U225" i="34"/>
  <c r="T225" i="34"/>
  <c r="S225" i="34"/>
  <c r="U224" i="34"/>
  <c r="T224" i="34"/>
  <c r="S224" i="34"/>
  <c r="U223" i="34"/>
  <c r="T223" i="34"/>
  <c r="S223" i="34"/>
  <c r="U222" i="34"/>
  <c r="T222" i="34"/>
  <c r="S222" i="34"/>
  <c r="U221" i="34"/>
  <c r="T221" i="34"/>
  <c r="S221" i="34"/>
  <c r="U220" i="34"/>
  <c r="T220" i="34"/>
  <c r="S220" i="34"/>
  <c r="U219" i="34"/>
  <c r="T219" i="34"/>
  <c r="S219" i="34"/>
  <c r="U218" i="34"/>
  <c r="T218" i="34"/>
  <c r="S218" i="34"/>
  <c r="U217" i="34"/>
  <c r="T217" i="34"/>
  <c r="S217" i="34"/>
  <c r="U216" i="34"/>
  <c r="T216" i="34"/>
  <c r="S216" i="34"/>
  <c r="U215" i="34"/>
  <c r="T215" i="34"/>
  <c r="S215" i="34"/>
  <c r="U214" i="34"/>
  <c r="T214" i="34"/>
  <c r="S214" i="34"/>
  <c r="U213" i="34"/>
  <c r="T213" i="34"/>
  <c r="S213" i="34"/>
  <c r="U212" i="34"/>
  <c r="T212" i="34"/>
  <c r="S212" i="34"/>
  <c r="U211" i="34"/>
  <c r="T211" i="34"/>
  <c r="S211" i="34"/>
  <c r="U210" i="34"/>
  <c r="T210" i="34"/>
  <c r="S210" i="34"/>
  <c r="U209" i="34"/>
  <c r="T209" i="34"/>
  <c r="S209" i="34"/>
  <c r="U208" i="34"/>
  <c r="T208" i="34"/>
  <c r="S208" i="34"/>
  <c r="U207" i="34"/>
  <c r="T207" i="34"/>
  <c r="S207" i="34"/>
  <c r="U206" i="34"/>
  <c r="T206" i="34"/>
  <c r="S206" i="34"/>
  <c r="U205" i="34"/>
  <c r="T205" i="34"/>
  <c r="S205" i="34"/>
  <c r="U204" i="34"/>
  <c r="T204" i="34"/>
  <c r="S204" i="34"/>
  <c r="U203" i="34"/>
  <c r="T203" i="34"/>
  <c r="S203" i="34"/>
  <c r="U202" i="34"/>
  <c r="T202" i="34"/>
  <c r="S202" i="34"/>
  <c r="U201" i="34"/>
  <c r="T201" i="34"/>
  <c r="S201" i="34"/>
  <c r="U200" i="34"/>
  <c r="T200" i="34"/>
  <c r="S200" i="34"/>
  <c r="U199" i="34"/>
  <c r="T199" i="34"/>
  <c r="S199" i="34"/>
  <c r="U198" i="34"/>
  <c r="T198" i="34"/>
  <c r="S198" i="34"/>
  <c r="U197" i="34"/>
  <c r="T197" i="34"/>
  <c r="S197" i="34"/>
  <c r="U196" i="34"/>
  <c r="T196" i="34"/>
  <c r="S196" i="34"/>
  <c r="U195" i="34"/>
  <c r="T195" i="34"/>
  <c r="S195" i="34"/>
  <c r="U194" i="34"/>
  <c r="T194" i="34"/>
  <c r="S194" i="34"/>
  <c r="U193" i="34"/>
  <c r="T193" i="34"/>
  <c r="S193" i="34"/>
  <c r="U192" i="34"/>
  <c r="T192" i="34"/>
  <c r="S192" i="34"/>
  <c r="U191" i="34"/>
  <c r="T191" i="34"/>
  <c r="S191" i="34"/>
  <c r="U190" i="34"/>
  <c r="T190" i="34"/>
  <c r="S190" i="34"/>
  <c r="U189" i="34"/>
  <c r="T189" i="34"/>
  <c r="S189" i="34"/>
  <c r="U188" i="34"/>
  <c r="T188" i="34"/>
  <c r="S188" i="34"/>
  <c r="U187" i="34"/>
  <c r="T187" i="34"/>
  <c r="S187" i="34"/>
  <c r="U186" i="34"/>
  <c r="T186" i="34"/>
  <c r="S186" i="34"/>
  <c r="U185" i="34"/>
  <c r="T185" i="34"/>
  <c r="S185" i="34"/>
  <c r="U184" i="34"/>
  <c r="T184" i="34"/>
  <c r="S184" i="34"/>
  <c r="U183" i="34"/>
  <c r="T183" i="34"/>
  <c r="S183" i="34"/>
  <c r="U182" i="34"/>
  <c r="T182" i="34"/>
  <c r="S182" i="34"/>
  <c r="U181" i="34"/>
  <c r="T181" i="34"/>
  <c r="S181" i="34"/>
  <c r="U180" i="34"/>
  <c r="T180" i="34"/>
  <c r="S180" i="34"/>
  <c r="U179" i="34"/>
  <c r="T179" i="34"/>
  <c r="S179" i="34"/>
  <c r="U178" i="34"/>
  <c r="T178" i="34"/>
  <c r="S178" i="34"/>
  <c r="U177" i="34"/>
  <c r="T177" i="34"/>
  <c r="S177" i="34"/>
  <c r="U176" i="34"/>
  <c r="T176" i="34"/>
  <c r="S176" i="34"/>
  <c r="U175" i="34"/>
  <c r="T175" i="34"/>
  <c r="S175" i="34"/>
  <c r="U174" i="34"/>
  <c r="T174" i="34"/>
  <c r="S174" i="34"/>
  <c r="U173" i="34"/>
  <c r="T173" i="34"/>
  <c r="S173" i="34"/>
  <c r="U172" i="34"/>
  <c r="T172" i="34"/>
  <c r="S172" i="34"/>
  <c r="U171" i="34"/>
  <c r="T171" i="34"/>
  <c r="S171" i="34"/>
  <c r="U170" i="34"/>
  <c r="T170" i="34"/>
  <c r="S170" i="34"/>
  <c r="U169" i="34"/>
  <c r="T169" i="34"/>
  <c r="S169" i="34"/>
  <c r="U168" i="34"/>
  <c r="T168" i="34"/>
  <c r="S168" i="34"/>
  <c r="U167" i="34"/>
  <c r="T167" i="34"/>
  <c r="S167" i="34"/>
  <c r="U166" i="34"/>
  <c r="T166" i="34"/>
  <c r="S166" i="34"/>
  <c r="U165" i="34"/>
  <c r="T165" i="34"/>
  <c r="S165" i="34"/>
  <c r="U164" i="34"/>
  <c r="T164" i="34"/>
  <c r="S164" i="34"/>
  <c r="U163" i="34"/>
  <c r="T163" i="34"/>
  <c r="S163" i="34"/>
  <c r="U162" i="34"/>
  <c r="T162" i="34"/>
  <c r="S162" i="34"/>
  <c r="U161" i="34"/>
  <c r="T161" i="34"/>
  <c r="S161" i="34"/>
  <c r="U160" i="34"/>
  <c r="T160" i="34"/>
  <c r="S160" i="34"/>
  <c r="U159" i="34"/>
  <c r="T159" i="34"/>
  <c r="S159" i="34"/>
  <c r="U158" i="34"/>
  <c r="T158" i="34"/>
  <c r="S158" i="34"/>
  <c r="U157" i="34"/>
  <c r="T157" i="34"/>
  <c r="S157" i="34"/>
  <c r="U156" i="34"/>
  <c r="T156" i="34"/>
  <c r="S156" i="34"/>
  <c r="U155" i="34"/>
  <c r="T155" i="34"/>
  <c r="S155" i="34"/>
  <c r="U154" i="34"/>
  <c r="T154" i="34"/>
  <c r="S154" i="34"/>
  <c r="U153" i="34"/>
  <c r="T153" i="34"/>
  <c r="S153" i="34"/>
  <c r="U152" i="34"/>
  <c r="T152" i="34"/>
  <c r="S152" i="34"/>
  <c r="U151" i="34"/>
  <c r="T151" i="34"/>
  <c r="S151" i="34"/>
  <c r="U150" i="34"/>
  <c r="T150" i="34"/>
  <c r="S150" i="34"/>
  <c r="U149" i="34"/>
  <c r="T149" i="34"/>
  <c r="S149" i="34"/>
  <c r="U148" i="34"/>
  <c r="T148" i="34"/>
  <c r="S148" i="34"/>
  <c r="U147" i="34"/>
  <c r="T147" i="34"/>
  <c r="S147" i="34"/>
  <c r="U146" i="34"/>
  <c r="T146" i="34"/>
  <c r="S146" i="34"/>
  <c r="U145" i="34"/>
  <c r="T145" i="34"/>
  <c r="S145" i="34"/>
  <c r="U144" i="34"/>
  <c r="T144" i="34"/>
  <c r="S144" i="34"/>
  <c r="U143" i="34"/>
  <c r="T143" i="34"/>
  <c r="S143" i="34"/>
  <c r="U142" i="34"/>
  <c r="T142" i="34"/>
  <c r="S142" i="34"/>
  <c r="U141" i="34"/>
  <c r="T141" i="34"/>
  <c r="S141" i="34"/>
  <c r="U140" i="34"/>
  <c r="T140" i="34"/>
  <c r="S140" i="34"/>
  <c r="U139" i="34"/>
  <c r="T139" i="34"/>
  <c r="S139" i="34"/>
  <c r="U138" i="34"/>
  <c r="T138" i="34"/>
  <c r="S138" i="34"/>
  <c r="U137" i="34"/>
  <c r="T137" i="34"/>
  <c r="S137" i="34"/>
  <c r="U136" i="34"/>
  <c r="T136" i="34"/>
  <c r="S136" i="34"/>
  <c r="U135" i="34"/>
  <c r="T135" i="34"/>
  <c r="S135" i="34"/>
  <c r="U134" i="34"/>
  <c r="T134" i="34"/>
  <c r="S134" i="34"/>
  <c r="U133" i="34"/>
  <c r="T133" i="34"/>
  <c r="S133" i="34"/>
  <c r="U132" i="34"/>
  <c r="T132" i="34"/>
  <c r="S132" i="34"/>
  <c r="U131" i="34"/>
  <c r="T131" i="34"/>
  <c r="S131" i="34"/>
  <c r="U130" i="34"/>
  <c r="T130" i="34"/>
  <c r="S130" i="34"/>
  <c r="U129" i="34"/>
  <c r="T129" i="34"/>
  <c r="S129" i="34"/>
  <c r="U128" i="34"/>
  <c r="T128" i="34"/>
  <c r="S128" i="34"/>
  <c r="U127" i="34"/>
  <c r="T127" i="34"/>
  <c r="S127" i="34"/>
  <c r="U126" i="34"/>
  <c r="T126" i="34"/>
  <c r="S126" i="34"/>
  <c r="U125" i="34"/>
  <c r="T125" i="34"/>
  <c r="S125" i="34"/>
  <c r="U124" i="34"/>
  <c r="T124" i="34"/>
  <c r="S124" i="34"/>
  <c r="U123" i="34"/>
  <c r="T123" i="34"/>
  <c r="S123" i="34"/>
  <c r="U122" i="34"/>
  <c r="T122" i="34"/>
  <c r="S122" i="34"/>
  <c r="U121" i="34"/>
  <c r="T121" i="34"/>
  <c r="S121" i="34"/>
  <c r="U120" i="34"/>
  <c r="T120" i="34"/>
  <c r="S120" i="34"/>
  <c r="U119" i="34"/>
  <c r="T119" i="34"/>
  <c r="S119" i="34"/>
  <c r="U118" i="34"/>
  <c r="T118" i="34"/>
  <c r="S118" i="34"/>
  <c r="U117" i="34"/>
  <c r="T117" i="34"/>
  <c r="S117" i="34"/>
  <c r="Q435" i="7" l="1"/>
  <c r="Q434" i="7"/>
  <c r="Q432" i="7"/>
  <c r="Q431" i="7"/>
  <c r="Q430" i="7"/>
  <c r="Q429" i="7"/>
  <c r="Q428" i="7"/>
  <c r="Q427" i="7"/>
  <c r="Q426" i="7"/>
  <c r="Q425" i="7"/>
  <c r="Q424" i="7"/>
  <c r="Q423" i="7"/>
  <c r="Q422" i="7"/>
  <c r="Q421" i="7"/>
  <c r="Q420" i="7"/>
  <c r="Q419" i="7"/>
  <c r="Q418" i="7"/>
  <c r="Q417" i="7"/>
  <c r="Q416" i="7"/>
  <c r="Q415" i="7"/>
  <c r="Q414" i="7"/>
  <c r="Q413" i="7"/>
  <c r="Q412" i="7"/>
  <c r="Q411" i="7"/>
  <c r="Q410" i="7"/>
  <c r="Q409" i="7"/>
  <c r="Q408" i="7"/>
  <c r="Q407" i="7"/>
  <c r="Q406" i="7"/>
  <c r="Q405" i="7"/>
  <c r="Q404" i="7"/>
  <c r="Q403" i="7"/>
  <c r="Q402" i="7"/>
  <c r="Q401" i="7"/>
  <c r="Q400" i="7"/>
  <c r="Q399" i="7"/>
  <c r="Q398" i="7"/>
  <c r="Q397" i="7"/>
  <c r="Q396" i="7"/>
  <c r="Q395" i="7"/>
  <c r="Q394" i="7"/>
  <c r="Q393" i="7"/>
  <c r="Q392" i="7"/>
  <c r="Q391" i="7"/>
  <c r="Q390" i="7"/>
  <c r="Q389" i="7"/>
  <c r="Q388" i="7"/>
  <c r="Q387" i="7"/>
  <c r="Q386" i="7"/>
  <c r="Q385" i="7"/>
  <c r="Q384" i="7"/>
  <c r="Q383" i="7"/>
  <c r="Q382" i="7"/>
  <c r="Q381" i="7"/>
  <c r="Q380" i="7"/>
  <c r="Q379" i="7"/>
  <c r="Q378" i="7"/>
  <c r="Q377" i="7"/>
  <c r="Q376" i="7"/>
  <c r="Q375" i="7"/>
  <c r="Q374" i="7"/>
  <c r="Q373" i="7"/>
  <c r="Q372" i="7"/>
  <c r="Q371" i="7"/>
  <c r="Q370" i="7"/>
  <c r="Q369" i="7"/>
  <c r="Q368" i="7"/>
  <c r="Q367" i="7"/>
  <c r="Q366" i="7"/>
  <c r="Q365" i="7"/>
  <c r="Q364" i="7"/>
  <c r="P364" i="7"/>
  <c r="O364" i="7"/>
  <c r="O506" i="7"/>
  <c r="P506" i="7"/>
  <c r="U116" i="34"/>
  <c r="T116" i="34"/>
  <c r="S116" i="34"/>
  <c r="U115" i="34"/>
  <c r="T115" i="34"/>
  <c r="S115" i="34"/>
  <c r="U113" i="34"/>
  <c r="T113" i="34"/>
  <c r="S113" i="34"/>
  <c r="U112" i="34"/>
  <c r="T112" i="34"/>
  <c r="S112" i="34"/>
  <c r="U111" i="34"/>
  <c r="T111" i="34"/>
  <c r="S111" i="34"/>
  <c r="U110" i="34"/>
  <c r="T110" i="34"/>
  <c r="S110" i="34"/>
  <c r="U109" i="34"/>
  <c r="T109" i="34"/>
  <c r="S109" i="34"/>
  <c r="U108" i="34"/>
  <c r="T108" i="34"/>
  <c r="S108" i="34"/>
  <c r="U107" i="34"/>
  <c r="T107" i="34"/>
  <c r="S107" i="34"/>
  <c r="U106" i="34"/>
  <c r="T106" i="34"/>
  <c r="S106" i="34"/>
  <c r="U105" i="34"/>
  <c r="T105" i="34"/>
  <c r="S105" i="34"/>
  <c r="U104" i="34"/>
  <c r="T104" i="34"/>
  <c r="S104" i="34"/>
  <c r="U103" i="34"/>
  <c r="T103" i="34"/>
  <c r="S103" i="34"/>
  <c r="U102" i="34"/>
  <c r="T102" i="34"/>
  <c r="S102" i="34"/>
  <c r="U101" i="34"/>
  <c r="T101" i="34"/>
  <c r="S101" i="34"/>
  <c r="U100" i="34"/>
  <c r="T100" i="34"/>
  <c r="S100" i="34"/>
  <c r="U99" i="34"/>
  <c r="T99" i="34"/>
  <c r="S99" i="34"/>
  <c r="U98" i="34"/>
  <c r="T98" i="34"/>
  <c r="S98" i="34"/>
  <c r="U97" i="34"/>
  <c r="T97" i="34"/>
  <c r="S97" i="34"/>
  <c r="U96" i="34"/>
  <c r="T96" i="34"/>
  <c r="S96" i="34"/>
  <c r="U95" i="34"/>
  <c r="T95" i="34"/>
  <c r="S95" i="34"/>
  <c r="U94" i="34"/>
  <c r="T94" i="34"/>
  <c r="S94" i="34"/>
  <c r="U93" i="34"/>
  <c r="T93" i="34"/>
  <c r="S93" i="34"/>
  <c r="U92" i="34"/>
  <c r="T92" i="34"/>
  <c r="S92" i="34"/>
  <c r="U91" i="34"/>
  <c r="T91" i="34"/>
  <c r="S91" i="34"/>
  <c r="U90" i="34"/>
  <c r="T90" i="34"/>
  <c r="S90" i="34"/>
  <c r="U89" i="34"/>
  <c r="T89" i="34"/>
  <c r="S89" i="34"/>
  <c r="U88" i="34"/>
  <c r="T88" i="34"/>
  <c r="S88" i="34"/>
  <c r="U87" i="34"/>
  <c r="T87" i="34"/>
  <c r="S87" i="34"/>
  <c r="U86" i="34"/>
  <c r="T86" i="34"/>
  <c r="S86" i="34"/>
  <c r="U85" i="34"/>
  <c r="T85" i="34"/>
  <c r="S85" i="34"/>
  <c r="U84" i="34"/>
  <c r="T84" i="34"/>
  <c r="S84" i="34"/>
  <c r="U83" i="34"/>
  <c r="T83" i="34"/>
  <c r="S83" i="34"/>
  <c r="U82" i="34"/>
  <c r="T82" i="34"/>
  <c r="S82" i="34"/>
  <c r="U81" i="34"/>
  <c r="T81" i="34"/>
  <c r="S81" i="34"/>
  <c r="U80" i="34"/>
  <c r="T80" i="34"/>
  <c r="S80" i="34"/>
  <c r="U79" i="34"/>
  <c r="T79" i="34"/>
  <c r="S79" i="34"/>
  <c r="U78" i="34"/>
  <c r="T78" i="34"/>
  <c r="S78" i="34"/>
  <c r="U77" i="34"/>
  <c r="T77" i="34"/>
  <c r="S77" i="34"/>
  <c r="U76" i="34"/>
  <c r="T76" i="34"/>
  <c r="S76" i="34"/>
  <c r="U75" i="34"/>
  <c r="T75" i="34"/>
  <c r="S75" i="34"/>
  <c r="U74" i="34"/>
  <c r="T74" i="34"/>
  <c r="S74" i="34"/>
  <c r="U73" i="34"/>
  <c r="T73" i="34"/>
  <c r="S73" i="34"/>
  <c r="U72" i="34"/>
  <c r="T72" i="34"/>
  <c r="S72" i="34"/>
  <c r="U71" i="34"/>
  <c r="T71" i="34"/>
  <c r="S71" i="34"/>
  <c r="U70" i="34"/>
  <c r="T70" i="34"/>
  <c r="S70" i="34"/>
  <c r="U69" i="34"/>
  <c r="T69" i="34"/>
  <c r="S69" i="34"/>
  <c r="U68" i="34"/>
  <c r="T68" i="34"/>
  <c r="S68" i="34"/>
  <c r="U67" i="34"/>
  <c r="T67" i="34"/>
  <c r="S67" i="34"/>
  <c r="U66" i="34"/>
  <c r="T66" i="34"/>
  <c r="S66" i="34"/>
  <c r="U65" i="34"/>
  <c r="T65" i="34"/>
  <c r="S65" i="34"/>
  <c r="U64" i="34"/>
  <c r="T64" i="34"/>
  <c r="S64" i="34"/>
  <c r="U63" i="34"/>
  <c r="T63" i="34"/>
  <c r="S63" i="34"/>
  <c r="U62" i="34"/>
  <c r="T62" i="34"/>
  <c r="S62" i="34"/>
  <c r="U61" i="34"/>
  <c r="T61" i="34"/>
  <c r="S61" i="34"/>
  <c r="U60" i="34"/>
  <c r="T60" i="34"/>
  <c r="S60" i="34"/>
  <c r="U59" i="34"/>
  <c r="T59" i="34"/>
  <c r="S59" i="34"/>
  <c r="U58" i="34"/>
  <c r="T58" i="34"/>
  <c r="S58" i="34"/>
  <c r="U57" i="34"/>
  <c r="T57" i="34"/>
  <c r="S57" i="34"/>
  <c r="U56" i="34"/>
  <c r="T56" i="34"/>
  <c r="S56" i="34"/>
  <c r="U55" i="34"/>
  <c r="T55" i="34"/>
  <c r="S55" i="34"/>
  <c r="U54" i="34"/>
  <c r="T54" i="34"/>
  <c r="S54" i="34"/>
  <c r="U53" i="34"/>
  <c r="T53" i="34"/>
  <c r="S53" i="34"/>
  <c r="U52" i="34"/>
  <c r="T52" i="34"/>
  <c r="S52" i="34"/>
  <c r="U51" i="34"/>
  <c r="T51" i="34"/>
  <c r="S51" i="34"/>
  <c r="U50" i="34"/>
  <c r="T50" i="34"/>
  <c r="S50" i="34"/>
  <c r="U49" i="34"/>
  <c r="T49" i="34"/>
  <c r="S49" i="34"/>
  <c r="U48" i="34"/>
  <c r="T48" i="34"/>
  <c r="S48" i="34"/>
  <c r="U47" i="34"/>
  <c r="T47" i="34"/>
  <c r="S47" i="34"/>
  <c r="U46" i="34"/>
  <c r="T46" i="34"/>
  <c r="S46" i="34"/>
  <c r="U45" i="34"/>
  <c r="T45" i="34"/>
  <c r="S45" i="34"/>
  <c r="U44" i="34"/>
  <c r="T44" i="34"/>
  <c r="S44" i="34"/>
  <c r="U43" i="34"/>
  <c r="T43" i="34"/>
  <c r="S43" i="34"/>
  <c r="U42" i="34"/>
  <c r="T42" i="34"/>
  <c r="S42" i="34"/>
  <c r="U41" i="34"/>
  <c r="T41" i="34"/>
  <c r="S41" i="34"/>
  <c r="U40" i="34"/>
  <c r="T40" i="34"/>
  <c r="S40" i="34"/>
  <c r="U39" i="34"/>
  <c r="T39" i="34"/>
  <c r="S39" i="34"/>
  <c r="U38" i="34"/>
  <c r="T38" i="34"/>
  <c r="S38" i="34"/>
  <c r="U37" i="34"/>
  <c r="T37" i="34"/>
  <c r="S37" i="34"/>
  <c r="U36" i="34"/>
  <c r="T36" i="34"/>
  <c r="S36" i="34"/>
  <c r="U35" i="34"/>
  <c r="T35" i="34"/>
  <c r="S35" i="34"/>
  <c r="U34" i="34"/>
  <c r="T34" i="34"/>
  <c r="S34" i="34"/>
  <c r="U33" i="34"/>
  <c r="T33" i="34"/>
  <c r="S33" i="34"/>
  <c r="U32" i="34"/>
  <c r="T32" i="34"/>
  <c r="S32" i="34"/>
  <c r="U31" i="34"/>
  <c r="T31" i="34"/>
  <c r="S31" i="34"/>
  <c r="U30" i="34"/>
  <c r="T30" i="34"/>
  <c r="S30" i="34"/>
  <c r="U29" i="34"/>
  <c r="T29" i="34"/>
  <c r="S29" i="34"/>
  <c r="U28" i="34"/>
  <c r="T28" i="34"/>
  <c r="S28" i="34"/>
  <c r="U27" i="34"/>
  <c r="T27" i="34"/>
  <c r="S27" i="34"/>
  <c r="U26" i="34"/>
  <c r="T26" i="34"/>
  <c r="S26" i="34"/>
  <c r="U25" i="34"/>
  <c r="T25" i="34"/>
  <c r="S25" i="34"/>
  <c r="U24" i="34"/>
  <c r="T24" i="34"/>
  <c r="S24" i="34"/>
  <c r="U23" i="34"/>
  <c r="T23" i="34"/>
  <c r="S23" i="34"/>
  <c r="U22" i="34"/>
  <c r="T22" i="34"/>
  <c r="S22" i="34"/>
  <c r="U21" i="34"/>
  <c r="T21" i="34"/>
  <c r="S21" i="34"/>
  <c r="U20" i="34"/>
  <c r="T20" i="34"/>
  <c r="S20" i="34"/>
  <c r="U19" i="34"/>
  <c r="T19" i="34"/>
  <c r="S19" i="34"/>
  <c r="U18" i="34"/>
  <c r="T18" i="34"/>
  <c r="S18" i="34"/>
  <c r="U17" i="34"/>
  <c r="T17" i="34"/>
  <c r="S17" i="34"/>
  <c r="U16" i="34"/>
  <c r="T16" i="34"/>
  <c r="S16" i="34"/>
  <c r="U15" i="34"/>
  <c r="T15" i="34"/>
  <c r="S15" i="34"/>
  <c r="U14" i="34"/>
  <c r="T14" i="34"/>
  <c r="S14" i="34"/>
  <c r="U13" i="34"/>
  <c r="T13" i="34"/>
  <c r="S13" i="34"/>
  <c r="U12" i="34"/>
  <c r="T12" i="34"/>
  <c r="S12" i="34"/>
  <c r="U11" i="34"/>
  <c r="T11" i="34"/>
  <c r="S11" i="34"/>
  <c r="U10" i="34"/>
  <c r="T10" i="34"/>
  <c r="S10" i="34"/>
  <c r="U9" i="34"/>
  <c r="T9" i="34"/>
  <c r="S9" i="34"/>
  <c r="U8" i="34"/>
  <c r="T8" i="34"/>
  <c r="S8" i="34"/>
  <c r="U7" i="34"/>
  <c r="T7" i="34"/>
  <c r="S7" i="34"/>
  <c r="U6" i="34"/>
  <c r="T6" i="34"/>
  <c r="S6" i="34"/>
  <c r="U5" i="34"/>
  <c r="T5" i="34"/>
  <c r="S5" i="34"/>
  <c r="J27" i="6"/>
  <c r="I27" i="6"/>
  <c r="R574" i="7" l="1"/>
  <c r="R573" i="7"/>
  <c r="R572" i="7"/>
  <c r="R571" i="7"/>
  <c r="R570" i="7"/>
  <c r="R569" i="7"/>
  <c r="R568" i="7"/>
  <c r="R567" i="7"/>
  <c r="R566" i="7"/>
  <c r="R565" i="7"/>
  <c r="R564" i="7"/>
  <c r="R563" i="7"/>
  <c r="R562" i="7"/>
  <c r="R561" i="7"/>
  <c r="R560" i="7"/>
  <c r="R559" i="7"/>
  <c r="R558" i="7"/>
  <c r="R557" i="7"/>
  <c r="R556" i="7"/>
  <c r="R555" i="7"/>
  <c r="R554" i="7"/>
  <c r="R553" i="7"/>
  <c r="R552" i="7"/>
  <c r="R551" i="7"/>
  <c r="R550" i="7"/>
  <c r="R549" i="7"/>
  <c r="R548" i="7"/>
  <c r="R547" i="7"/>
  <c r="R546" i="7"/>
  <c r="R545" i="7"/>
  <c r="R544" i="7"/>
  <c r="R543" i="7"/>
  <c r="R542" i="7"/>
  <c r="R541" i="7"/>
  <c r="R540" i="7"/>
  <c r="R539" i="7"/>
  <c r="R538" i="7"/>
  <c r="R537" i="7"/>
  <c r="R536" i="7"/>
  <c r="R535" i="7"/>
  <c r="R534" i="7"/>
  <c r="R533" i="7"/>
  <c r="R532" i="7"/>
  <c r="R531" i="7"/>
  <c r="R530" i="7"/>
  <c r="R529" i="7"/>
  <c r="R528" i="7"/>
  <c r="R527" i="7"/>
  <c r="R526" i="7"/>
  <c r="R525" i="7"/>
  <c r="R524" i="7"/>
  <c r="R523" i="7"/>
  <c r="R522" i="7"/>
  <c r="R521" i="7"/>
  <c r="R520" i="7"/>
  <c r="R519" i="7"/>
  <c r="R518" i="7"/>
  <c r="R517" i="7"/>
  <c r="R516" i="7"/>
  <c r="R515" i="7"/>
  <c r="R514" i="7"/>
  <c r="R513" i="7"/>
  <c r="R512" i="7"/>
  <c r="R511" i="7"/>
  <c r="R510" i="7"/>
  <c r="R509" i="7"/>
  <c r="R508" i="7"/>
  <c r="R507" i="7"/>
  <c r="R506" i="7"/>
  <c r="R503" i="7"/>
  <c r="R502" i="7"/>
  <c r="R501" i="7"/>
  <c r="R500" i="7"/>
  <c r="R499" i="7"/>
  <c r="R498" i="7"/>
  <c r="R497" i="7"/>
  <c r="R496" i="7"/>
  <c r="R495" i="7"/>
  <c r="R494" i="7"/>
  <c r="R493" i="7"/>
  <c r="R492" i="7"/>
  <c r="R491" i="7"/>
  <c r="R490" i="7"/>
  <c r="R489" i="7"/>
  <c r="R488" i="7"/>
  <c r="R487" i="7"/>
  <c r="R486" i="7"/>
  <c r="R485" i="7"/>
  <c r="R484" i="7"/>
  <c r="R483" i="7"/>
  <c r="R482" i="7"/>
  <c r="R481" i="7"/>
  <c r="R480" i="7"/>
  <c r="R479" i="7"/>
  <c r="R478" i="7"/>
  <c r="R477" i="7"/>
  <c r="R476" i="7"/>
  <c r="R475" i="7"/>
  <c r="R474" i="7"/>
  <c r="R473" i="7"/>
  <c r="R472" i="7"/>
  <c r="R471" i="7"/>
  <c r="R470" i="7"/>
  <c r="R469" i="7"/>
  <c r="R468" i="7"/>
  <c r="R467" i="7"/>
  <c r="R466" i="7"/>
  <c r="R465" i="7"/>
  <c r="R464" i="7"/>
  <c r="R463" i="7"/>
  <c r="R462" i="7"/>
  <c r="R461" i="7"/>
  <c r="R460" i="7"/>
  <c r="R459" i="7"/>
  <c r="R458" i="7"/>
  <c r="R457" i="7"/>
  <c r="R456" i="7"/>
  <c r="R455" i="7"/>
  <c r="R454" i="7"/>
  <c r="R453" i="7"/>
  <c r="R452" i="7"/>
  <c r="R451" i="7"/>
  <c r="R450" i="7"/>
  <c r="R449" i="7"/>
  <c r="R448" i="7"/>
  <c r="R447" i="7"/>
  <c r="R446" i="7"/>
  <c r="R445" i="7"/>
  <c r="R444" i="7"/>
  <c r="R443" i="7"/>
  <c r="R442" i="7"/>
  <c r="R441" i="7"/>
  <c r="R440" i="7"/>
  <c r="R439" i="7"/>
  <c r="R438" i="7"/>
  <c r="R437" i="7"/>
  <c r="R436" i="7"/>
  <c r="R435" i="7"/>
  <c r="R432" i="7"/>
  <c r="R431" i="7"/>
  <c r="R430" i="7"/>
  <c r="R429" i="7"/>
  <c r="R428" i="7"/>
  <c r="R427" i="7"/>
  <c r="R426" i="7"/>
  <c r="R425" i="7"/>
  <c r="R424" i="7"/>
  <c r="R423" i="7"/>
  <c r="R422" i="7"/>
  <c r="R421" i="7"/>
  <c r="R420" i="7"/>
  <c r="R419" i="7"/>
  <c r="R418" i="7"/>
  <c r="R417" i="7"/>
  <c r="R416" i="7"/>
  <c r="R415" i="7"/>
  <c r="R414" i="7"/>
  <c r="R413" i="7"/>
  <c r="R412" i="7"/>
  <c r="R411" i="7"/>
  <c r="R410" i="7"/>
  <c r="R409" i="7"/>
  <c r="R408" i="7"/>
  <c r="R407" i="7"/>
  <c r="R406" i="7"/>
  <c r="R405" i="7"/>
  <c r="R404" i="7"/>
  <c r="R403" i="7"/>
  <c r="R402" i="7"/>
  <c r="R401" i="7"/>
  <c r="R400" i="7"/>
  <c r="R399" i="7"/>
  <c r="R398" i="7"/>
  <c r="R397" i="7"/>
  <c r="R396" i="7"/>
  <c r="R395" i="7"/>
  <c r="R394" i="7"/>
  <c r="R393" i="7"/>
  <c r="R392" i="7"/>
  <c r="R391" i="7"/>
  <c r="R390" i="7"/>
  <c r="R389" i="7"/>
  <c r="R388" i="7"/>
  <c r="R387" i="7"/>
  <c r="R386" i="7"/>
  <c r="R385" i="7"/>
  <c r="R384" i="7"/>
  <c r="R383" i="7"/>
  <c r="R382" i="7"/>
  <c r="R381" i="7"/>
  <c r="R380" i="7"/>
  <c r="R379" i="7"/>
  <c r="R378" i="7"/>
  <c r="R377" i="7"/>
  <c r="R376" i="7"/>
  <c r="R375" i="7"/>
  <c r="R374" i="7"/>
  <c r="R373" i="7"/>
  <c r="R372" i="7"/>
  <c r="R371" i="7"/>
  <c r="R370" i="7"/>
  <c r="R369" i="7"/>
  <c r="R368" i="7"/>
  <c r="R367" i="7"/>
  <c r="R366" i="7"/>
  <c r="R365" i="7"/>
  <c r="R364" i="7"/>
  <c r="O574" i="7"/>
  <c r="O573" i="7"/>
  <c r="O572" i="7"/>
  <c r="O571" i="7"/>
  <c r="O570" i="7"/>
  <c r="O569" i="7"/>
  <c r="O568" i="7"/>
  <c r="O567" i="7"/>
  <c r="O566" i="7"/>
  <c r="O565" i="7"/>
  <c r="O564" i="7"/>
  <c r="O563" i="7"/>
  <c r="O562" i="7"/>
  <c r="O561" i="7"/>
  <c r="O560" i="7"/>
  <c r="O559" i="7"/>
  <c r="O558" i="7"/>
  <c r="O557" i="7"/>
  <c r="O556" i="7"/>
  <c r="O555" i="7"/>
  <c r="O554" i="7"/>
  <c r="O553" i="7"/>
  <c r="O552" i="7"/>
  <c r="O551" i="7"/>
  <c r="O550" i="7"/>
  <c r="O549" i="7"/>
  <c r="O548" i="7"/>
  <c r="O547" i="7"/>
  <c r="O546" i="7"/>
  <c r="O545" i="7"/>
  <c r="O544" i="7"/>
  <c r="O543" i="7"/>
  <c r="O542" i="7"/>
  <c r="O541" i="7"/>
  <c r="O540" i="7"/>
  <c r="O539" i="7"/>
  <c r="O538" i="7"/>
  <c r="O537" i="7"/>
  <c r="O536" i="7"/>
  <c r="O535" i="7"/>
  <c r="O534" i="7"/>
  <c r="O533" i="7"/>
  <c r="O532" i="7"/>
  <c r="O531" i="7"/>
  <c r="O530" i="7"/>
  <c r="O529" i="7"/>
  <c r="O528" i="7"/>
  <c r="O527" i="7"/>
  <c r="O526" i="7"/>
  <c r="O525" i="7"/>
  <c r="O524" i="7"/>
  <c r="O523" i="7"/>
  <c r="O522" i="7"/>
  <c r="O521" i="7"/>
  <c r="O520" i="7"/>
  <c r="O519" i="7"/>
  <c r="O518" i="7"/>
  <c r="O517" i="7"/>
  <c r="O516" i="7"/>
  <c r="O515" i="7"/>
  <c r="O514" i="7"/>
  <c r="O513" i="7"/>
  <c r="O512" i="7"/>
  <c r="O511" i="7"/>
  <c r="O510" i="7"/>
  <c r="O509" i="7"/>
  <c r="O508" i="7"/>
  <c r="O507" i="7"/>
  <c r="O503" i="7"/>
  <c r="O502" i="7"/>
  <c r="O501" i="7"/>
  <c r="O500" i="7"/>
  <c r="O499" i="7"/>
  <c r="O498" i="7"/>
  <c r="O497" i="7"/>
  <c r="O496" i="7"/>
  <c r="O495" i="7"/>
  <c r="O494" i="7"/>
  <c r="O493" i="7"/>
  <c r="O492" i="7"/>
  <c r="O491" i="7"/>
  <c r="O490" i="7"/>
  <c r="O489" i="7"/>
  <c r="O488" i="7"/>
  <c r="O487" i="7"/>
  <c r="O486" i="7"/>
  <c r="O485" i="7"/>
  <c r="O484" i="7"/>
  <c r="O483" i="7"/>
  <c r="O482" i="7"/>
  <c r="O481" i="7"/>
  <c r="O480" i="7"/>
  <c r="O479" i="7"/>
  <c r="O478" i="7"/>
  <c r="O477" i="7"/>
  <c r="O476" i="7"/>
  <c r="O475" i="7"/>
  <c r="O474" i="7"/>
  <c r="O473" i="7"/>
  <c r="O472" i="7"/>
  <c r="O471" i="7"/>
  <c r="O470" i="7"/>
  <c r="O469" i="7"/>
  <c r="O468" i="7"/>
  <c r="O467" i="7"/>
  <c r="O466" i="7"/>
  <c r="O465" i="7"/>
  <c r="O464" i="7"/>
  <c r="O463" i="7"/>
  <c r="O462" i="7"/>
  <c r="O461" i="7"/>
  <c r="O460" i="7"/>
  <c r="O459" i="7"/>
  <c r="O458" i="7"/>
  <c r="O457" i="7"/>
  <c r="O456" i="7"/>
  <c r="O455" i="7"/>
  <c r="O454" i="7"/>
  <c r="O453" i="7"/>
  <c r="O452" i="7"/>
  <c r="O451" i="7"/>
  <c r="O450" i="7"/>
  <c r="O449" i="7"/>
  <c r="O448" i="7"/>
  <c r="O447" i="7"/>
  <c r="O446" i="7"/>
  <c r="O445" i="7"/>
  <c r="O444" i="7"/>
  <c r="O443" i="7"/>
  <c r="O442" i="7"/>
  <c r="O441" i="7"/>
  <c r="O440" i="7"/>
  <c r="O439" i="7"/>
  <c r="O438" i="7"/>
  <c r="O437" i="7"/>
  <c r="O436" i="7"/>
  <c r="O435" i="7"/>
  <c r="O432" i="7"/>
  <c r="O431" i="7"/>
  <c r="O430" i="7"/>
  <c r="O429" i="7"/>
  <c r="O428" i="7"/>
  <c r="O427" i="7"/>
  <c r="O426" i="7"/>
  <c r="O425" i="7"/>
  <c r="O424" i="7"/>
  <c r="O423" i="7"/>
  <c r="O422" i="7"/>
  <c r="O421" i="7"/>
  <c r="O420" i="7"/>
  <c r="O419" i="7"/>
  <c r="O418" i="7"/>
  <c r="O417" i="7"/>
  <c r="O416" i="7"/>
  <c r="O415" i="7"/>
  <c r="O414" i="7"/>
  <c r="O413" i="7"/>
  <c r="O412" i="7"/>
  <c r="O411" i="7"/>
  <c r="O410" i="7"/>
  <c r="O409" i="7"/>
  <c r="O408" i="7"/>
  <c r="O407" i="7"/>
  <c r="O406" i="7"/>
  <c r="O405" i="7"/>
  <c r="O404" i="7"/>
  <c r="O403" i="7"/>
  <c r="O402" i="7"/>
  <c r="O401" i="7"/>
  <c r="O400" i="7"/>
  <c r="O399" i="7"/>
  <c r="O398" i="7"/>
  <c r="O397" i="7"/>
  <c r="O396" i="7"/>
  <c r="O395" i="7"/>
  <c r="O394" i="7"/>
  <c r="O393" i="7"/>
  <c r="O392" i="7"/>
  <c r="O391" i="7"/>
  <c r="O390" i="7"/>
  <c r="O389" i="7"/>
  <c r="O388" i="7"/>
  <c r="O387" i="7"/>
  <c r="O386" i="7"/>
  <c r="O385" i="7"/>
  <c r="O384" i="7"/>
  <c r="O383" i="7"/>
  <c r="O382" i="7"/>
  <c r="O381" i="7"/>
  <c r="O380" i="7"/>
  <c r="O379" i="7"/>
  <c r="O378" i="7"/>
  <c r="O377" i="7"/>
  <c r="O376" i="7"/>
  <c r="O375" i="7"/>
  <c r="O374" i="7"/>
  <c r="O373" i="7"/>
  <c r="O372" i="7"/>
  <c r="O371" i="7"/>
  <c r="O370" i="7"/>
  <c r="O369" i="7"/>
  <c r="O368" i="7"/>
  <c r="O367" i="7"/>
  <c r="O366" i="7"/>
  <c r="O365" i="7"/>
  <c r="N575" i="7"/>
  <c r="M575" i="7"/>
  <c r="L575" i="7"/>
  <c r="K575" i="7"/>
  <c r="J575" i="7"/>
  <c r="I575" i="7"/>
  <c r="H575" i="7"/>
  <c r="G575" i="7"/>
  <c r="F575" i="7"/>
  <c r="E575" i="7"/>
  <c r="P574" i="7"/>
  <c r="P573" i="7"/>
  <c r="P572" i="7"/>
  <c r="P571" i="7"/>
  <c r="P570" i="7"/>
  <c r="P569" i="7"/>
  <c r="P568" i="7"/>
  <c r="P567" i="7"/>
  <c r="P566" i="7"/>
  <c r="P565" i="7"/>
  <c r="P564" i="7"/>
  <c r="P563" i="7"/>
  <c r="P562" i="7"/>
  <c r="P561" i="7"/>
  <c r="P560" i="7"/>
  <c r="P559" i="7"/>
  <c r="P558" i="7"/>
  <c r="P557" i="7"/>
  <c r="P556" i="7"/>
  <c r="P555" i="7"/>
  <c r="P554" i="7"/>
  <c r="P553" i="7"/>
  <c r="P552" i="7"/>
  <c r="P551" i="7"/>
  <c r="P550" i="7"/>
  <c r="P549" i="7"/>
  <c r="P548" i="7"/>
  <c r="P547" i="7"/>
  <c r="P546" i="7"/>
  <c r="P545" i="7"/>
  <c r="P544" i="7"/>
  <c r="P543" i="7"/>
  <c r="P542" i="7"/>
  <c r="P541" i="7"/>
  <c r="P540" i="7"/>
  <c r="P539" i="7"/>
  <c r="P538" i="7"/>
  <c r="P537" i="7"/>
  <c r="P536" i="7"/>
  <c r="P535" i="7"/>
  <c r="P534" i="7"/>
  <c r="P533" i="7"/>
  <c r="P532" i="7"/>
  <c r="P531" i="7"/>
  <c r="P530" i="7"/>
  <c r="P529" i="7"/>
  <c r="P528" i="7"/>
  <c r="P527" i="7"/>
  <c r="P526" i="7"/>
  <c r="P525" i="7"/>
  <c r="P524" i="7"/>
  <c r="P523" i="7"/>
  <c r="P522" i="7"/>
  <c r="P521" i="7"/>
  <c r="P520" i="7"/>
  <c r="P519" i="7"/>
  <c r="P518" i="7"/>
  <c r="P517" i="7"/>
  <c r="P516" i="7"/>
  <c r="P515" i="7"/>
  <c r="P514" i="7"/>
  <c r="P513" i="7"/>
  <c r="P512" i="7"/>
  <c r="P511" i="7"/>
  <c r="P510" i="7"/>
  <c r="P509" i="7"/>
  <c r="P508" i="7"/>
  <c r="P507" i="7"/>
  <c r="E504" i="7"/>
  <c r="N504" i="7"/>
  <c r="M504" i="7"/>
  <c r="L504" i="7"/>
  <c r="K504" i="7"/>
  <c r="J504" i="7"/>
  <c r="I504" i="7"/>
  <c r="H504" i="7"/>
  <c r="G504" i="7"/>
  <c r="F504" i="7"/>
  <c r="P503" i="7"/>
  <c r="P502" i="7"/>
  <c r="P501" i="7"/>
  <c r="P500" i="7"/>
  <c r="P499" i="7"/>
  <c r="P498" i="7"/>
  <c r="P497" i="7"/>
  <c r="P496" i="7"/>
  <c r="P495" i="7"/>
  <c r="P494" i="7"/>
  <c r="P493" i="7"/>
  <c r="P492" i="7"/>
  <c r="P491" i="7"/>
  <c r="P490" i="7"/>
  <c r="P489" i="7"/>
  <c r="P488" i="7"/>
  <c r="P487" i="7"/>
  <c r="P486" i="7"/>
  <c r="P485" i="7"/>
  <c r="P484" i="7"/>
  <c r="P483" i="7"/>
  <c r="P482" i="7"/>
  <c r="P481" i="7"/>
  <c r="P480" i="7"/>
  <c r="P479" i="7"/>
  <c r="P478" i="7"/>
  <c r="P477" i="7"/>
  <c r="P476" i="7"/>
  <c r="P475" i="7"/>
  <c r="P474" i="7"/>
  <c r="P473" i="7"/>
  <c r="P472" i="7"/>
  <c r="P471" i="7"/>
  <c r="P470" i="7"/>
  <c r="P469" i="7"/>
  <c r="P468" i="7"/>
  <c r="P467" i="7"/>
  <c r="P466" i="7"/>
  <c r="P465" i="7"/>
  <c r="P464" i="7"/>
  <c r="P463" i="7"/>
  <c r="P462" i="7"/>
  <c r="P461" i="7"/>
  <c r="P460" i="7"/>
  <c r="P459" i="7"/>
  <c r="P458" i="7"/>
  <c r="P457" i="7"/>
  <c r="P456" i="7"/>
  <c r="P455" i="7"/>
  <c r="P454" i="7"/>
  <c r="P453" i="7"/>
  <c r="P452" i="7"/>
  <c r="P451" i="7"/>
  <c r="P450" i="7"/>
  <c r="P449" i="7"/>
  <c r="P448" i="7"/>
  <c r="P447" i="7"/>
  <c r="P446" i="7"/>
  <c r="P445" i="7"/>
  <c r="P444" i="7"/>
  <c r="P443" i="7"/>
  <c r="P442" i="7"/>
  <c r="P441" i="7"/>
  <c r="P440" i="7"/>
  <c r="P439" i="7"/>
  <c r="P438" i="7"/>
  <c r="P437" i="7"/>
  <c r="P436" i="7"/>
  <c r="P435" i="7"/>
  <c r="Q504" i="7" l="1"/>
  <c r="Q575" i="7"/>
  <c r="O575" i="7"/>
  <c r="P504" i="7"/>
  <c r="P575" i="7"/>
  <c r="R575" i="7"/>
  <c r="R504" i="7"/>
  <c r="O504" i="7"/>
  <c r="S237" i="2" l="1"/>
  <c r="U1382" i="34" l="1"/>
  <c r="T1382" i="34"/>
  <c r="S1382" i="34"/>
  <c r="U1380" i="34"/>
  <c r="T1380" i="34"/>
  <c r="S1380" i="34"/>
  <c r="U1379" i="34"/>
  <c r="T1379" i="34"/>
  <c r="S1379" i="34"/>
  <c r="U1378" i="34"/>
  <c r="T1378" i="34"/>
  <c r="S1378" i="34"/>
  <c r="U1377" i="34"/>
  <c r="T1377" i="34"/>
  <c r="S1377" i="34"/>
  <c r="U1376" i="34"/>
  <c r="T1376" i="34"/>
  <c r="S1376" i="34"/>
  <c r="U1375" i="34"/>
  <c r="T1375" i="34"/>
  <c r="S1375" i="34"/>
  <c r="U1374" i="34"/>
  <c r="T1374" i="34"/>
  <c r="S1374" i="34"/>
  <c r="U1373" i="34"/>
  <c r="T1373" i="34"/>
  <c r="S1373" i="34"/>
  <c r="U1372" i="34"/>
  <c r="T1372" i="34"/>
  <c r="S1372" i="34"/>
  <c r="U1371" i="34"/>
  <c r="T1371" i="34"/>
  <c r="S1371" i="34"/>
  <c r="U1370" i="34"/>
  <c r="T1370" i="34"/>
  <c r="S1370" i="34"/>
  <c r="U1369" i="34"/>
  <c r="T1369" i="34"/>
  <c r="S1369" i="34"/>
  <c r="U1368" i="34"/>
  <c r="T1368" i="34"/>
  <c r="S1368" i="34"/>
  <c r="U1367" i="34"/>
  <c r="T1367" i="34"/>
  <c r="S1367" i="34"/>
  <c r="U1366" i="34"/>
  <c r="T1366" i="34"/>
  <c r="S1366" i="34"/>
  <c r="U1365" i="34"/>
  <c r="T1365" i="34"/>
  <c r="S1365" i="34"/>
  <c r="U1364" i="34"/>
  <c r="T1364" i="34"/>
  <c r="S1364" i="34"/>
  <c r="U1363" i="34"/>
  <c r="T1363" i="34"/>
  <c r="S1363" i="34"/>
  <c r="U1362" i="34"/>
  <c r="T1362" i="34"/>
  <c r="S1362" i="34"/>
  <c r="U1361" i="34"/>
  <c r="T1361" i="34"/>
  <c r="S1361" i="34"/>
  <c r="U1360" i="34"/>
  <c r="T1360" i="34"/>
  <c r="S1360" i="34"/>
  <c r="U1359" i="34"/>
  <c r="T1359" i="34"/>
  <c r="S1359" i="34"/>
  <c r="U1358" i="34"/>
  <c r="T1358" i="34"/>
  <c r="S1358" i="34"/>
  <c r="U1357" i="34"/>
  <c r="T1357" i="34"/>
  <c r="S1357" i="34"/>
  <c r="U1356" i="34"/>
  <c r="T1356" i="34"/>
  <c r="S1356" i="34"/>
  <c r="U1355" i="34"/>
  <c r="T1355" i="34"/>
  <c r="S1355" i="34"/>
  <c r="U1354" i="34"/>
  <c r="T1354" i="34"/>
  <c r="S1354" i="34"/>
  <c r="U1353" i="34"/>
  <c r="T1353" i="34"/>
  <c r="S1353" i="34"/>
  <c r="U1352" i="34"/>
  <c r="T1352" i="34"/>
  <c r="S1352" i="34"/>
  <c r="U1351" i="34"/>
  <c r="T1351" i="34"/>
  <c r="S1351" i="34"/>
  <c r="U1350" i="34"/>
  <c r="T1350" i="34"/>
  <c r="S1350" i="34"/>
  <c r="U1349" i="34"/>
  <c r="T1349" i="34"/>
  <c r="S1349" i="34"/>
  <c r="U1348" i="34"/>
  <c r="T1348" i="34"/>
  <c r="S1348" i="34"/>
  <c r="U1347" i="34"/>
  <c r="T1347" i="34"/>
  <c r="S1347" i="34"/>
  <c r="U1346" i="34"/>
  <c r="T1346" i="34"/>
  <c r="S1346" i="34"/>
  <c r="U1345" i="34"/>
  <c r="T1345" i="34"/>
  <c r="S1345" i="34"/>
  <c r="U1344" i="34"/>
  <c r="T1344" i="34"/>
  <c r="S1344" i="34"/>
  <c r="U1343" i="34"/>
  <c r="T1343" i="34"/>
  <c r="S1343" i="34"/>
  <c r="U1342" i="34"/>
  <c r="T1342" i="34"/>
  <c r="S1342" i="34"/>
  <c r="U1341" i="34"/>
  <c r="T1341" i="34"/>
  <c r="S1341" i="34"/>
  <c r="U1340" i="34"/>
  <c r="T1340" i="34"/>
  <c r="S1340" i="34"/>
  <c r="U1339" i="34"/>
  <c r="T1339" i="34"/>
  <c r="S1339" i="34"/>
  <c r="U1338" i="34"/>
  <c r="T1338" i="34"/>
  <c r="S1338" i="34"/>
  <c r="U1337" i="34"/>
  <c r="T1337" i="34"/>
  <c r="S1337" i="34"/>
  <c r="U1336" i="34"/>
  <c r="T1336" i="34"/>
  <c r="S1336" i="34"/>
  <c r="U1335" i="34"/>
  <c r="T1335" i="34"/>
  <c r="S1335" i="34"/>
  <c r="U1334" i="34"/>
  <c r="T1334" i="34"/>
  <c r="S1334" i="34"/>
  <c r="U1333" i="34"/>
  <c r="T1333" i="34"/>
  <c r="S1333" i="34"/>
  <c r="U1332" i="34"/>
  <c r="T1332" i="34"/>
  <c r="S1332" i="34"/>
  <c r="U1331" i="34"/>
  <c r="T1331" i="34"/>
  <c r="S1331" i="34"/>
  <c r="U1330" i="34"/>
  <c r="T1330" i="34"/>
  <c r="S1330" i="34"/>
  <c r="U1329" i="34"/>
  <c r="T1329" i="34"/>
  <c r="S1329" i="34"/>
  <c r="U1328" i="34"/>
  <c r="T1328" i="34"/>
  <c r="S1328" i="34"/>
  <c r="U1327" i="34"/>
  <c r="T1327" i="34"/>
  <c r="S1327" i="34"/>
  <c r="U1326" i="34"/>
  <c r="T1326" i="34"/>
  <c r="S1326" i="34"/>
  <c r="U1325" i="34"/>
  <c r="T1325" i="34"/>
  <c r="S1325" i="34"/>
  <c r="U1324" i="34"/>
  <c r="T1324" i="34"/>
  <c r="S1324" i="34"/>
  <c r="U1323" i="34"/>
  <c r="T1323" i="34"/>
  <c r="S1323" i="34"/>
  <c r="U1322" i="34"/>
  <c r="T1322" i="34"/>
  <c r="S1322" i="34"/>
  <c r="U1321" i="34"/>
  <c r="T1321" i="34"/>
  <c r="S1321" i="34"/>
  <c r="U1320" i="34"/>
  <c r="T1320" i="34"/>
  <c r="S1320" i="34"/>
  <c r="U1319" i="34"/>
  <c r="T1319" i="34"/>
  <c r="S1319" i="34"/>
  <c r="U1318" i="34"/>
  <c r="T1318" i="34"/>
  <c r="S1318" i="34"/>
  <c r="U1317" i="34"/>
  <c r="T1317" i="34"/>
  <c r="S1317" i="34"/>
  <c r="U1316" i="34"/>
  <c r="T1316" i="34"/>
  <c r="S1316" i="34"/>
  <c r="U1315" i="34"/>
  <c r="T1315" i="34"/>
  <c r="S1315" i="34"/>
  <c r="U1314" i="34"/>
  <c r="T1314" i="34"/>
  <c r="S1314" i="34"/>
  <c r="U1313" i="34"/>
  <c r="T1313" i="34"/>
  <c r="S1313" i="34"/>
  <c r="U1312" i="34"/>
  <c r="T1312" i="34"/>
  <c r="S1312" i="34"/>
  <c r="U1311" i="34"/>
  <c r="T1311" i="34"/>
  <c r="S1311" i="34"/>
  <c r="U1310" i="34"/>
  <c r="T1310" i="34"/>
  <c r="S1310" i="34"/>
  <c r="U1309" i="34"/>
  <c r="T1309" i="34"/>
  <c r="S1309" i="34"/>
  <c r="U1308" i="34"/>
  <c r="T1308" i="34"/>
  <c r="S1308" i="34"/>
  <c r="U1307" i="34"/>
  <c r="T1307" i="34"/>
  <c r="S1307" i="34"/>
  <c r="U1306" i="34"/>
  <c r="T1306" i="34"/>
  <c r="S1306" i="34"/>
  <c r="U1305" i="34"/>
  <c r="T1305" i="34"/>
  <c r="S1305" i="34"/>
  <c r="U1304" i="34"/>
  <c r="T1304" i="34"/>
  <c r="S1304" i="34"/>
  <c r="U1303" i="34"/>
  <c r="T1303" i="34"/>
  <c r="S1303" i="34"/>
  <c r="U1302" i="34"/>
  <c r="T1302" i="34"/>
  <c r="S1302" i="34"/>
  <c r="U1301" i="34"/>
  <c r="T1301" i="34"/>
  <c r="S1301" i="34"/>
  <c r="U1300" i="34"/>
  <c r="T1300" i="34"/>
  <c r="S1300" i="34"/>
  <c r="U1299" i="34"/>
  <c r="T1299" i="34"/>
  <c r="S1299" i="34"/>
  <c r="U1298" i="34"/>
  <c r="T1298" i="34"/>
  <c r="S1298" i="34"/>
  <c r="U1297" i="34"/>
  <c r="T1297" i="34"/>
  <c r="S1297" i="34"/>
  <c r="U1296" i="34"/>
  <c r="T1296" i="34"/>
  <c r="S1296" i="34"/>
  <c r="U1295" i="34"/>
  <c r="T1295" i="34"/>
  <c r="S1295" i="34"/>
  <c r="U1294" i="34"/>
  <c r="T1294" i="34"/>
  <c r="S1294" i="34"/>
  <c r="U1293" i="34"/>
  <c r="T1293" i="34"/>
  <c r="S1293" i="34"/>
  <c r="U1292" i="34"/>
  <c r="T1292" i="34"/>
  <c r="S1292" i="34"/>
  <c r="U1291" i="34"/>
  <c r="T1291" i="34"/>
  <c r="S1291" i="34"/>
  <c r="U1290" i="34"/>
  <c r="T1290" i="34"/>
  <c r="S1290" i="34"/>
  <c r="U1289" i="34"/>
  <c r="T1289" i="34"/>
  <c r="S1289" i="34"/>
  <c r="U1288" i="34"/>
  <c r="T1288" i="34"/>
  <c r="S1288" i="34"/>
  <c r="U1287" i="34"/>
  <c r="T1287" i="34"/>
  <c r="S1287" i="34"/>
  <c r="U1286" i="34"/>
  <c r="T1286" i="34"/>
  <c r="S1286" i="34"/>
  <c r="U1285" i="34"/>
  <c r="T1285" i="34"/>
  <c r="S1285" i="34"/>
  <c r="U1284" i="34"/>
  <c r="T1284" i="34"/>
  <c r="S1284" i="34"/>
  <c r="U1283" i="34"/>
  <c r="T1283" i="34"/>
  <c r="S1283" i="34"/>
  <c r="U1282" i="34"/>
  <c r="T1282" i="34"/>
  <c r="S1282" i="34"/>
  <c r="U1281" i="34"/>
  <c r="T1281" i="34"/>
  <c r="S1281" i="34"/>
  <c r="U1280" i="34"/>
  <c r="T1280" i="34"/>
  <c r="S1280" i="34"/>
  <c r="U1279" i="34"/>
  <c r="T1279" i="34"/>
  <c r="S1279" i="34"/>
  <c r="U1278" i="34"/>
  <c r="T1278" i="34"/>
  <c r="S1278" i="34"/>
  <c r="U1277" i="34"/>
  <c r="T1277" i="34"/>
  <c r="S1277" i="34"/>
  <c r="U1276" i="34"/>
  <c r="T1276" i="34"/>
  <c r="S1276" i="34"/>
  <c r="U1275" i="34"/>
  <c r="T1275" i="34"/>
  <c r="S1275" i="34"/>
  <c r="U1274" i="34"/>
  <c r="T1274" i="34"/>
  <c r="S1274" i="34"/>
  <c r="U1273" i="34"/>
  <c r="T1273" i="34"/>
  <c r="S1273" i="34"/>
  <c r="U1272" i="34"/>
  <c r="T1272" i="34"/>
  <c r="S1272" i="34"/>
  <c r="U1271" i="34"/>
  <c r="T1271" i="34"/>
  <c r="S1271" i="34"/>
  <c r="U1270" i="34"/>
  <c r="T1270" i="34"/>
  <c r="S1270" i="34"/>
  <c r="U1269" i="34"/>
  <c r="T1269" i="34"/>
  <c r="S1269" i="34"/>
  <c r="U1267" i="34"/>
  <c r="T1267" i="34"/>
  <c r="S1267" i="34"/>
  <c r="U1266" i="34"/>
  <c r="T1266" i="34"/>
  <c r="S1266" i="34"/>
  <c r="U1265" i="34"/>
  <c r="T1265" i="34"/>
  <c r="S1265" i="34"/>
  <c r="U1264" i="34"/>
  <c r="T1264" i="34"/>
  <c r="S1264" i="34"/>
  <c r="U1263" i="34"/>
  <c r="T1263" i="34"/>
  <c r="S1263" i="34"/>
  <c r="U1262" i="34"/>
  <c r="T1262" i="34"/>
  <c r="S1262" i="34"/>
  <c r="U1261" i="34"/>
  <c r="T1261" i="34"/>
  <c r="S1261" i="34"/>
  <c r="U1260" i="34"/>
  <c r="T1260" i="34"/>
  <c r="S1260" i="34"/>
  <c r="U1259" i="34"/>
  <c r="T1259" i="34"/>
  <c r="S1259" i="34"/>
  <c r="U1258" i="34"/>
  <c r="T1258" i="34"/>
  <c r="S1258" i="34"/>
  <c r="U1257" i="34"/>
  <c r="T1257" i="34"/>
  <c r="S1257" i="34"/>
  <c r="U1256" i="34"/>
  <c r="T1256" i="34"/>
  <c r="S1256" i="34"/>
  <c r="U1255" i="34"/>
  <c r="T1255" i="34"/>
  <c r="S1255" i="34"/>
  <c r="U1254" i="34"/>
  <c r="T1254" i="34"/>
  <c r="S1254" i="34"/>
  <c r="U1253" i="34"/>
  <c r="T1253" i="34"/>
  <c r="S1253" i="34"/>
  <c r="U1252" i="34"/>
  <c r="T1252" i="34"/>
  <c r="S1252" i="34"/>
  <c r="U1251" i="34"/>
  <c r="T1251" i="34"/>
  <c r="S1251" i="34"/>
  <c r="U1250" i="34"/>
  <c r="T1250" i="34"/>
  <c r="S1250" i="34"/>
  <c r="U1249" i="34"/>
  <c r="T1249" i="34"/>
  <c r="S1249" i="34"/>
  <c r="U1248" i="34"/>
  <c r="T1248" i="34"/>
  <c r="S1248" i="34"/>
  <c r="U1247" i="34"/>
  <c r="T1247" i="34"/>
  <c r="S1247" i="34"/>
  <c r="U1246" i="34"/>
  <c r="T1246" i="34"/>
  <c r="S1246" i="34"/>
  <c r="U1245" i="34"/>
  <c r="T1245" i="34"/>
  <c r="S1245" i="34"/>
  <c r="U1244" i="34"/>
  <c r="T1244" i="34"/>
  <c r="S1244" i="34"/>
  <c r="U1243" i="34"/>
  <c r="T1243" i="34"/>
  <c r="S1243" i="34"/>
  <c r="U1242" i="34"/>
  <c r="T1242" i="34"/>
  <c r="S1242" i="34"/>
  <c r="U1241" i="34"/>
  <c r="T1241" i="34"/>
  <c r="S1241" i="34"/>
  <c r="U1240" i="34"/>
  <c r="T1240" i="34"/>
  <c r="S1240" i="34"/>
  <c r="U1239" i="34"/>
  <c r="T1239" i="34"/>
  <c r="S1239" i="34"/>
  <c r="U1238" i="34"/>
  <c r="T1238" i="34"/>
  <c r="S1238" i="34"/>
  <c r="U1237" i="34"/>
  <c r="T1237" i="34"/>
  <c r="S1237" i="34"/>
  <c r="U1236" i="34"/>
  <c r="T1236" i="34"/>
  <c r="S1236" i="34"/>
  <c r="U1235" i="34"/>
  <c r="T1235" i="34"/>
  <c r="S1235" i="34"/>
  <c r="U1234" i="34"/>
  <c r="T1234" i="34"/>
  <c r="S1234" i="34"/>
  <c r="U1233" i="34"/>
  <c r="T1233" i="34"/>
  <c r="S1233" i="34"/>
  <c r="U1232" i="34"/>
  <c r="T1232" i="34"/>
  <c r="S1232" i="34"/>
  <c r="U1231" i="34"/>
  <c r="T1231" i="34"/>
  <c r="S1231" i="34"/>
  <c r="U1230" i="34"/>
  <c r="T1230" i="34"/>
  <c r="S1230" i="34"/>
  <c r="U1229" i="34"/>
  <c r="T1229" i="34"/>
  <c r="S1229" i="34"/>
  <c r="U1228" i="34"/>
  <c r="T1228" i="34"/>
  <c r="S1228" i="34"/>
  <c r="U1227" i="34"/>
  <c r="T1227" i="34"/>
  <c r="S1227" i="34"/>
  <c r="U1226" i="34"/>
  <c r="T1226" i="34"/>
  <c r="S1226" i="34"/>
  <c r="U1225" i="34"/>
  <c r="T1225" i="34"/>
  <c r="S1225" i="34"/>
  <c r="U1224" i="34"/>
  <c r="T1224" i="34"/>
  <c r="S1224" i="34"/>
  <c r="U1223" i="34"/>
  <c r="T1223" i="34"/>
  <c r="S1223" i="34"/>
  <c r="U1222" i="34"/>
  <c r="T1222" i="34"/>
  <c r="S1222" i="34"/>
  <c r="U1221" i="34"/>
  <c r="T1221" i="34"/>
  <c r="S1221" i="34"/>
  <c r="U1220" i="34"/>
  <c r="T1220" i="34"/>
  <c r="S1220" i="34"/>
  <c r="U1219" i="34"/>
  <c r="T1219" i="34"/>
  <c r="S1219" i="34"/>
  <c r="U1218" i="34"/>
  <c r="T1218" i="34"/>
  <c r="S1218" i="34"/>
  <c r="U1217" i="34"/>
  <c r="T1217" i="34"/>
  <c r="S1217" i="34"/>
  <c r="U1216" i="34"/>
  <c r="T1216" i="34"/>
  <c r="S1216" i="34"/>
  <c r="U1215" i="34"/>
  <c r="T1215" i="34"/>
  <c r="S1215" i="34"/>
  <c r="U1214" i="34"/>
  <c r="T1214" i="34"/>
  <c r="S1214" i="34"/>
  <c r="U1213" i="34"/>
  <c r="T1213" i="34"/>
  <c r="S1213" i="34"/>
  <c r="U1212" i="34"/>
  <c r="T1212" i="34"/>
  <c r="S1212" i="34"/>
  <c r="U1211" i="34"/>
  <c r="T1211" i="34"/>
  <c r="S1211" i="34"/>
  <c r="U1210" i="34"/>
  <c r="T1210" i="34"/>
  <c r="S1210" i="34"/>
  <c r="U1209" i="34"/>
  <c r="T1209" i="34"/>
  <c r="S1209" i="34"/>
  <c r="U1208" i="34"/>
  <c r="T1208" i="34"/>
  <c r="S1208" i="34"/>
  <c r="U1207" i="34"/>
  <c r="T1207" i="34"/>
  <c r="S1207" i="34"/>
  <c r="U1206" i="34"/>
  <c r="T1206" i="34"/>
  <c r="S1206" i="34"/>
  <c r="U1205" i="34"/>
  <c r="T1205" i="34"/>
  <c r="S1205" i="34"/>
  <c r="U1204" i="34"/>
  <c r="T1204" i="34"/>
  <c r="S1204" i="34"/>
  <c r="U1203" i="34"/>
  <c r="T1203" i="34"/>
  <c r="S1203" i="34"/>
  <c r="U1202" i="34"/>
  <c r="T1202" i="34"/>
  <c r="S1202" i="34"/>
  <c r="U1201" i="34"/>
  <c r="T1201" i="34"/>
  <c r="S1201" i="34"/>
  <c r="U1200" i="34"/>
  <c r="T1200" i="34"/>
  <c r="S1200" i="34"/>
  <c r="U1199" i="34"/>
  <c r="T1199" i="34"/>
  <c r="S1199" i="34"/>
  <c r="U1198" i="34"/>
  <c r="T1198" i="34"/>
  <c r="S1198" i="34"/>
  <c r="U1197" i="34"/>
  <c r="T1197" i="34"/>
  <c r="S1197" i="34"/>
  <c r="U1196" i="34"/>
  <c r="T1196" i="34"/>
  <c r="S1196" i="34"/>
  <c r="U1195" i="34"/>
  <c r="T1195" i="34"/>
  <c r="S1195" i="34"/>
  <c r="U1194" i="34"/>
  <c r="T1194" i="34"/>
  <c r="S1194" i="34"/>
  <c r="U1193" i="34"/>
  <c r="T1193" i="34"/>
  <c r="S1193" i="34"/>
  <c r="U1192" i="34"/>
  <c r="T1192" i="34"/>
  <c r="S1192" i="34"/>
  <c r="U1191" i="34"/>
  <c r="T1191" i="34"/>
  <c r="S1191" i="34"/>
  <c r="U1190" i="34"/>
  <c r="T1190" i="34"/>
  <c r="S1190" i="34"/>
  <c r="U1189" i="34"/>
  <c r="T1189" i="34"/>
  <c r="S1189" i="34"/>
  <c r="U1188" i="34"/>
  <c r="T1188" i="34"/>
  <c r="S1188" i="34"/>
  <c r="U1187" i="34"/>
  <c r="T1187" i="34"/>
  <c r="S1187" i="34"/>
  <c r="U1186" i="34"/>
  <c r="T1186" i="34"/>
  <c r="S1186" i="34"/>
  <c r="U1185" i="34"/>
  <c r="T1185" i="34"/>
  <c r="S1185" i="34"/>
  <c r="U1184" i="34"/>
  <c r="T1184" i="34"/>
  <c r="S1184" i="34"/>
  <c r="U1183" i="34"/>
  <c r="T1183" i="34"/>
  <c r="S1183" i="34"/>
  <c r="U1182" i="34"/>
  <c r="T1182" i="34"/>
  <c r="S1182" i="34"/>
  <c r="U1181" i="34"/>
  <c r="T1181" i="34"/>
  <c r="S1181" i="34"/>
  <c r="U1180" i="34"/>
  <c r="T1180" i="34"/>
  <c r="S1180" i="34"/>
  <c r="U1179" i="34"/>
  <c r="T1179" i="34"/>
  <c r="S1179" i="34"/>
  <c r="U1178" i="34"/>
  <c r="T1178" i="34"/>
  <c r="S1178" i="34"/>
  <c r="U1177" i="34"/>
  <c r="T1177" i="34"/>
  <c r="S1177" i="34"/>
  <c r="U1176" i="34"/>
  <c r="T1176" i="34"/>
  <c r="S1176" i="34"/>
  <c r="U1175" i="34"/>
  <c r="T1175" i="34"/>
  <c r="S1175" i="34"/>
  <c r="U1174" i="34"/>
  <c r="T1174" i="34"/>
  <c r="S1174" i="34"/>
  <c r="U1173" i="34"/>
  <c r="T1173" i="34"/>
  <c r="S1173" i="34"/>
  <c r="U1172" i="34"/>
  <c r="T1172" i="34"/>
  <c r="S1172" i="34"/>
  <c r="U1171" i="34"/>
  <c r="T1171" i="34"/>
  <c r="S1171" i="34"/>
  <c r="U1170" i="34"/>
  <c r="T1170" i="34"/>
  <c r="S1170" i="34"/>
  <c r="U1169" i="34"/>
  <c r="T1169" i="34"/>
  <c r="S1169" i="34"/>
  <c r="U1168" i="34"/>
  <c r="T1168" i="34"/>
  <c r="S1168" i="34"/>
  <c r="U1167" i="34"/>
  <c r="T1167" i="34"/>
  <c r="S1167" i="34"/>
  <c r="U1166" i="34"/>
  <c r="T1166" i="34"/>
  <c r="S1166" i="34"/>
  <c r="U1165" i="34"/>
  <c r="T1165" i="34"/>
  <c r="S1165" i="34"/>
  <c r="U1164" i="34"/>
  <c r="T1164" i="34"/>
  <c r="S1164" i="34"/>
  <c r="U1163" i="34"/>
  <c r="T1163" i="34"/>
  <c r="S1163" i="34"/>
  <c r="U1162" i="34"/>
  <c r="T1162" i="34"/>
  <c r="S1162" i="34"/>
  <c r="U1161" i="34"/>
  <c r="T1161" i="34"/>
  <c r="S1161" i="34"/>
  <c r="U1160" i="34"/>
  <c r="T1160" i="34"/>
  <c r="S1160" i="34"/>
  <c r="U1159" i="34"/>
  <c r="T1159" i="34"/>
  <c r="S1159" i="34"/>
  <c r="U1158" i="34"/>
  <c r="T1158" i="34"/>
  <c r="S1158" i="34"/>
  <c r="U1157" i="34"/>
  <c r="T1157" i="34"/>
  <c r="S1157" i="34"/>
  <c r="U1156" i="34"/>
  <c r="T1156" i="34"/>
  <c r="S1156" i="34"/>
  <c r="U1155" i="34"/>
  <c r="T1155" i="34"/>
  <c r="S1155" i="34"/>
  <c r="U1153" i="34"/>
  <c r="T1153" i="34"/>
  <c r="S1153" i="34"/>
  <c r="U1152" i="34"/>
  <c r="T1152" i="34"/>
  <c r="S1152" i="34"/>
  <c r="U1151" i="34"/>
  <c r="T1151" i="34"/>
  <c r="S1151" i="34"/>
  <c r="U1150" i="34"/>
  <c r="T1150" i="34"/>
  <c r="S1150" i="34"/>
  <c r="U1149" i="34"/>
  <c r="T1149" i="34"/>
  <c r="S1149" i="34"/>
  <c r="U1148" i="34"/>
  <c r="T1148" i="34"/>
  <c r="S1148" i="34"/>
  <c r="U1147" i="34"/>
  <c r="T1147" i="34"/>
  <c r="S1147" i="34"/>
  <c r="U1146" i="34"/>
  <c r="T1146" i="34"/>
  <c r="S1146" i="34"/>
  <c r="U1145" i="34"/>
  <c r="T1145" i="34"/>
  <c r="S1145" i="34"/>
  <c r="U1144" i="34"/>
  <c r="T1144" i="34"/>
  <c r="S1144" i="34"/>
  <c r="U1143" i="34"/>
  <c r="T1143" i="34"/>
  <c r="S1143" i="34"/>
  <c r="U1142" i="34"/>
  <c r="T1142" i="34"/>
  <c r="S1142" i="34"/>
  <c r="U1141" i="34"/>
  <c r="T1141" i="34"/>
  <c r="S1141" i="34"/>
  <c r="U1140" i="34"/>
  <c r="T1140" i="34"/>
  <c r="S1140" i="34"/>
  <c r="U1139" i="34"/>
  <c r="T1139" i="34"/>
  <c r="S1139" i="34"/>
  <c r="U1138" i="34"/>
  <c r="T1138" i="34"/>
  <c r="S1138" i="34"/>
  <c r="U1137" i="34"/>
  <c r="T1137" i="34"/>
  <c r="S1137" i="34"/>
  <c r="U1136" i="34"/>
  <c r="T1136" i="34"/>
  <c r="S1136" i="34"/>
  <c r="U1135" i="34"/>
  <c r="T1135" i="34"/>
  <c r="S1135" i="34"/>
  <c r="U1134" i="34"/>
  <c r="T1134" i="34"/>
  <c r="S1134" i="34"/>
  <c r="U1133" i="34"/>
  <c r="T1133" i="34"/>
  <c r="S1133" i="34"/>
  <c r="U1132" i="34"/>
  <c r="T1132" i="34"/>
  <c r="S1132" i="34"/>
  <c r="U1131" i="34"/>
  <c r="T1131" i="34"/>
  <c r="S1131" i="34"/>
  <c r="U1130" i="34"/>
  <c r="T1130" i="34"/>
  <c r="S1130" i="34"/>
  <c r="U1129" i="34"/>
  <c r="T1129" i="34"/>
  <c r="S1129" i="34"/>
  <c r="U1128" i="34"/>
  <c r="T1128" i="34"/>
  <c r="S1128" i="34"/>
  <c r="U1127" i="34"/>
  <c r="T1127" i="34"/>
  <c r="S1127" i="34"/>
  <c r="U1126" i="34"/>
  <c r="T1126" i="34"/>
  <c r="S1126" i="34"/>
  <c r="U1125" i="34"/>
  <c r="T1125" i="34"/>
  <c r="S1125" i="34"/>
  <c r="U1124" i="34"/>
  <c r="T1124" i="34"/>
  <c r="S1124" i="34"/>
  <c r="U1123" i="34"/>
  <c r="T1123" i="34"/>
  <c r="S1123" i="34"/>
  <c r="U1122" i="34"/>
  <c r="T1122" i="34"/>
  <c r="S1122" i="34"/>
  <c r="U1121" i="34"/>
  <c r="T1121" i="34"/>
  <c r="S1121" i="34"/>
  <c r="U1120" i="34"/>
  <c r="T1120" i="34"/>
  <c r="S1120" i="34"/>
  <c r="U1119" i="34"/>
  <c r="T1119" i="34"/>
  <c r="S1119" i="34"/>
  <c r="U1118" i="34"/>
  <c r="T1118" i="34"/>
  <c r="S1118" i="34"/>
  <c r="U1117" i="34"/>
  <c r="T1117" i="34"/>
  <c r="S1117" i="34"/>
  <c r="U1116" i="34"/>
  <c r="T1116" i="34"/>
  <c r="S1116" i="34"/>
  <c r="U1115" i="34"/>
  <c r="T1115" i="34"/>
  <c r="S1115" i="34"/>
  <c r="U1114" i="34"/>
  <c r="T1114" i="34"/>
  <c r="S1114" i="34"/>
  <c r="U1113" i="34"/>
  <c r="T1113" i="34"/>
  <c r="S1113" i="34"/>
  <c r="U1112" i="34"/>
  <c r="T1112" i="34"/>
  <c r="S1112" i="34"/>
  <c r="U1111" i="34"/>
  <c r="T1111" i="34"/>
  <c r="S1111" i="34"/>
  <c r="U1110" i="34"/>
  <c r="T1110" i="34"/>
  <c r="S1110" i="34"/>
  <c r="U1109" i="34"/>
  <c r="T1109" i="34"/>
  <c r="S1109" i="34"/>
  <c r="U1108" i="34"/>
  <c r="T1108" i="34"/>
  <c r="S1108" i="34"/>
  <c r="U1107" i="34"/>
  <c r="T1107" i="34"/>
  <c r="S1107" i="34"/>
  <c r="U1106" i="34"/>
  <c r="T1106" i="34"/>
  <c r="S1106" i="34"/>
  <c r="U1105" i="34"/>
  <c r="T1105" i="34"/>
  <c r="S1105" i="34"/>
  <c r="U1104" i="34"/>
  <c r="T1104" i="34"/>
  <c r="S1104" i="34"/>
  <c r="U1103" i="34"/>
  <c r="T1103" i="34"/>
  <c r="S1103" i="34"/>
  <c r="U1102" i="34"/>
  <c r="T1102" i="34"/>
  <c r="S1102" i="34"/>
  <c r="U1101" i="34"/>
  <c r="T1101" i="34"/>
  <c r="S1101" i="34"/>
  <c r="U1100" i="34"/>
  <c r="T1100" i="34"/>
  <c r="S1100" i="34"/>
  <c r="U1099" i="34"/>
  <c r="T1099" i="34"/>
  <c r="S1099" i="34"/>
  <c r="U1098" i="34"/>
  <c r="T1098" i="34"/>
  <c r="S1098" i="34"/>
  <c r="U1097" i="34"/>
  <c r="T1097" i="34"/>
  <c r="S1097" i="34"/>
  <c r="U1096" i="34"/>
  <c r="T1096" i="34"/>
  <c r="S1096" i="34"/>
  <c r="U1095" i="34"/>
  <c r="T1095" i="34"/>
  <c r="S1095" i="34"/>
  <c r="U1094" i="34"/>
  <c r="T1094" i="34"/>
  <c r="S1094" i="34"/>
  <c r="U1093" i="34"/>
  <c r="T1093" i="34"/>
  <c r="S1093" i="34"/>
  <c r="U1092" i="34"/>
  <c r="T1092" i="34"/>
  <c r="S1092" i="34"/>
  <c r="U1091" i="34"/>
  <c r="T1091" i="34"/>
  <c r="S1091" i="34"/>
  <c r="U1090" i="34"/>
  <c r="T1090" i="34"/>
  <c r="S1090" i="34"/>
  <c r="U1089" i="34"/>
  <c r="T1089" i="34"/>
  <c r="S1089" i="34"/>
  <c r="U1088" i="34"/>
  <c r="T1088" i="34"/>
  <c r="S1088" i="34"/>
  <c r="U1087" i="34"/>
  <c r="T1087" i="34"/>
  <c r="S1087" i="34"/>
  <c r="U1086" i="34"/>
  <c r="T1086" i="34"/>
  <c r="S1086" i="34"/>
  <c r="U1085" i="34"/>
  <c r="T1085" i="34"/>
  <c r="S1085" i="34"/>
  <c r="U1084" i="34"/>
  <c r="T1084" i="34"/>
  <c r="S1084" i="34"/>
  <c r="U1083" i="34"/>
  <c r="T1083" i="34"/>
  <c r="S1083" i="34"/>
  <c r="U1082" i="34"/>
  <c r="T1082" i="34"/>
  <c r="S1082" i="34"/>
  <c r="U1081" i="34"/>
  <c r="T1081" i="34"/>
  <c r="S1081" i="34"/>
  <c r="U1080" i="34"/>
  <c r="T1080" i="34"/>
  <c r="S1080" i="34"/>
  <c r="U1079" i="34"/>
  <c r="T1079" i="34"/>
  <c r="S1079" i="34"/>
  <c r="U1078" i="34"/>
  <c r="T1078" i="34"/>
  <c r="S1078" i="34"/>
  <c r="U1077" i="34"/>
  <c r="T1077" i="34"/>
  <c r="S1077" i="34"/>
  <c r="U1076" i="34"/>
  <c r="T1076" i="34"/>
  <c r="S1076" i="34"/>
  <c r="U1075" i="34"/>
  <c r="T1075" i="34"/>
  <c r="S1075" i="34"/>
  <c r="U1074" i="34"/>
  <c r="T1074" i="34"/>
  <c r="S1074" i="34"/>
  <c r="U1073" i="34"/>
  <c r="T1073" i="34"/>
  <c r="S1073" i="34"/>
  <c r="U1072" i="34"/>
  <c r="T1072" i="34"/>
  <c r="S1072" i="34"/>
  <c r="U1071" i="34"/>
  <c r="T1071" i="34"/>
  <c r="S1071" i="34"/>
  <c r="U1070" i="34"/>
  <c r="T1070" i="34"/>
  <c r="S1070" i="34"/>
  <c r="U1069" i="34"/>
  <c r="T1069" i="34"/>
  <c r="S1069" i="34"/>
  <c r="U1068" i="34"/>
  <c r="T1068" i="34"/>
  <c r="S1068" i="34"/>
  <c r="U1067" i="34"/>
  <c r="T1067" i="34"/>
  <c r="S1067" i="34"/>
  <c r="U1066" i="34"/>
  <c r="T1066" i="34"/>
  <c r="S1066" i="34"/>
  <c r="U1065" i="34"/>
  <c r="T1065" i="34"/>
  <c r="S1065" i="34"/>
  <c r="U1064" i="34"/>
  <c r="T1064" i="34"/>
  <c r="S1064" i="34"/>
  <c r="U1063" i="34"/>
  <c r="T1063" i="34"/>
  <c r="S1063" i="34"/>
  <c r="U1062" i="34"/>
  <c r="T1062" i="34"/>
  <c r="S1062" i="34"/>
  <c r="U1061" i="34"/>
  <c r="T1061" i="34"/>
  <c r="S1061" i="34"/>
  <c r="U1060" i="34"/>
  <c r="T1060" i="34"/>
  <c r="S1060" i="34"/>
  <c r="U1059" i="34"/>
  <c r="T1059" i="34"/>
  <c r="S1059" i="34"/>
  <c r="U1058" i="34"/>
  <c r="T1058" i="34"/>
  <c r="S1058" i="34"/>
  <c r="U1057" i="34"/>
  <c r="T1057" i="34"/>
  <c r="S1057" i="34"/>
  <c r="U1056" i="34"/>
  <c r="T1056" i="34"/>
  <c r="S1056" i="34"/>
  <c r="U1055" i="34"/>
  <c r="T1055" i="34"/>
  <c r="S1055" i="34"/>
  <c r="U1054" i="34"/>
  <c r="T1054" i="34"/>
  <c r="S1054" i="34"/>
  <c r="U1053" i="34"/>
  <c r="T1053" i="34"/>
  <c r="S1053" i="34"/>
  <c r="U1052" i="34"/>
  <c r="T1052" i="34"/>
  <c r="S1052" i="34"/>
  <c r="U1051" i="34"/>
  <c r="T1051" i="34"/>
  <c r="S1051" i="34"/>
  <c r="U1050" i="34"/>
  <c r="T1050" i="34"/>
  <c r="S1050" i="34"/>
  <c r="U1049" i="34"/>
  <c r="T1049" i="34"/>
  <c r="S1049" i="34"/>
  <c r="U1048" i="34"/>
  <c r="T1048" i="34"/>
  <c r="S1048" i="34"/>
  <c r="U1047" i="34"/>
  <c r="T1047" i="34"/>
  <c r="S1047" i="34"/>
  <c r="U1046" i="34"/>
  <c r="T1046" i="34"/>
  <c r="S1046" i="34"/>
  <c r="U1045" i="34"/>
  <c r="T1045" i="34"/>
  <c r="S1045" i="34"/>
  <c r="U1044" i="34"/>
  <c r="T1044" i="34"/>
  <c r="S1044" i="34"/>
  <c r="U1043" i="34"/>
  <c r="T1043" i="34"/>
  <c r="S1043" i="34"/>
  <c r="U1042" i="34"/>
  <c r="T1042" i="34"/>
  <c r="S1042" i="34"/>
  <c r="U1041" i="34"/>
  <c r="T1041" i="34"/>
  <c r="S1041" i="34"/>
  <c r="U1040" i="34"/>
  <c r="T1040" i="34"/>
  <c r="S1040" i="34"/>
  <c r="U1039" i="34"/>
  <c r="T1039" i="34"/>
  <c r="S1039" i="34"/>
  <c r="U1038" i="34"/>
  <c r="T1038" i="34"/>
  <c r="S1038" i="34"/>
  <c r="U1037" i="34"/>
  <c r="T1037" i="34"/>
  <c r="S1037" i="34"/>
  <c r="U1036" i="34"/>
  <c r="T1036" i="34"/>
  <c r="S1036" i="34"/>
  <c r="U1035" i="34"/>
  <c r="T1035" i="34"/>
  <c r="S1035" i="34"/>
  <c r="U1034" i="34"/>
  <c r="T1034" i="34"/>
  <c r="S1034" i="34"/>
  <c r="U1033" i="34"/>
  <c r="T1033" i="34"/>
  <c r="S1033" i="34"/>
  <c r="U1032" i="34"/>
  <c r="T1032" i="34"/>
  <c r="S1032" i="34"/>
  <c r="U1031" i="34"/>
  <c r="T1031" i="34"/>
  <c r="S1031" i="34"/>
  <c r="U1030" i="34"/>
  <c r="T1030" i="34"/>
  <c r="S1030" i="34"/>
  <c r="U1028" i="34"/>
  <c r="T1028" i="34"/>
  <c r="S1028" i="34"/>
  <c r="U1027" i="34"/>
  <c r="T1027" i="34"/>
  <c r="S1027" i="34"/>
  <c r="U1026" i="34"/>
  <c r="T1026" i="34"/>
  <c r="S1026" i="34"/>
  <c r="U1025" i="34"/>
  <c r="T1025" i="34"/>
  <c r="S1025" i="34"/>
  <c r="U1024" i="34"/>
  <c r="T1024" i="34"/>
  <c r="S1024" i="34"/>
  <c r="U1023" i="34"/>
  <c r="T1023" i="34"/>
  <c r="S1023" i="34"/>
  <c r="U1022" i="34"/>
  <c r="T1022" i="34"/>
  <c r="S1022" i="34"/>
  <c r="U1021" i="34"/>
  <c r="T1021" i="34"/>
  <c r="S1021" i="34"/>
  <c r="U1020" i="34"/>
  <c r="T1020" i="34"/>
  <c r="S1020" i="34"/>
  <c r="U1019" i="34"/>
  <c r="T1019" i="34"/>
  <c r="S1019" i="34"/>
  <c r="U1018" i="34"/>
  <c r="T1018" i="34"/>
  <c r="S1018" i="34"/>
  <c r="U1017" i="34"/>
  <c r="T1017" i="34"/>
  <c r="S1017" i="34"/>
  <c r="U1016" i="34"/>
  <c r="T1016" i="34"/>
  <c r="S1016" i="34"/>
  <c r="U1015" i="34"/>
  <c r="T1015" i="34"/>
  <c r="S1015" i="34"/>
  <c r="U1014" i="34"/>
  <c r="T1014" i="34"/>
  <c r="S1014" i="34"/>
  <c r="U1013" i="34"/>
  <c r="T1013" i="34"/>
  <c r="S1013" i="34"/>
  <c r="U1012" i="34"/>
  <c r="T1012" i="34"/>
  <c r="S1012" i="34"/>
  <c r="U1011" i="34"/>
  <c r="T1011" i="34"/>
  <c r="S1011" i="34"/>
  <c r="U1010" i="34"/>
  <c r="T1010" i="34"/>
  <c r="S1010" i="34"/>
  <c r="U1009" i="34"/>
  <c r="T1009" i="34"/>
  <c r="S1009" i="34"/>
  <c r="U1008" i="34"/>
  <c r="T1008" i="34"/>
  <c r="S1008" i="34"/>
  <c r="U1007" i="34"/>
  <c r="T1007" i="34"/>
  <c r="S1007" i="34"/>
  <c r="U1006" i="34"/>
  <c r="T1006" i="34"/>
  <c r="S1006" i="34"/>
  <c r="U1005" i="34"/>
  <c r="T1005" i="34"/>
  <c r="S1005" i="34"/>
  <c r="U1004" i="34"/>
  <c r="T1004" i="34"/>
  <c r="S1004" i="34"/>
  <c r="U1003" i="34"/>
  <c r="T1003" i="34"/>
  <c r="S1003" i="34"/>
  <c r="U1002" i="34"/>
  <c r="T1002" i="34"/>
  <c r="S1002" i="34"/>
  <c r="U1001" i="34"/>
  <c r="T1001" i="34"/>
  <c r="S1001" i="34"/>
  <c r="U1000" i="34"/>
  <c r="T1000" i="34"/>
  <c r="S1000" i="34"/>
  <c r="U999" i="34"/>
  <c r="T999" i="34"/>
  <c r="S999" i="34"/>
  <c r="U998" i="34"/>
  <c r="T998" i="34"/>
  <c r="S998" i="34"/>
  <c r="U997" i="34"/>
  <c r="T997" i="34"/>
  <c r="S997" i="34"/>
  <c r="U996" i="34"/>
  <c r="T996" i="34"/>
  <c r="S996" i="34"/>
  <c r="U995" i="34"/>
  <c r="T995" i="34"/>
  <c r="S995" i="34"/>
  <c r="U994" i="34"/>
  <c r="T994" i="34"/>
  <c r="S994" i="34"/>
  <c r="U993" i="34"/>
  <c r="T993" i="34"/>
  <c r="S993" i="34"/>
  <c r="U992" i="34"/>
  <c r="T992" i="34"/>
  <c r="S992" i="34"/>
  <c r="U991" i="34"/>
  <c r="T991" i="34"/>
  <c r="S991" i="34"/>
  <c r="U990" i="34"/>
  <c r="T990" i="34"/>
  <c r="S990" i="34"/>
  <c r="U989" i="34"/>
  <c r="T989" i="34"/>
  <c r="S989" i="34"/>
  <c r="U988" i="34"/>
  <c r="T988" i="34"/>
  <c r="S988" i="34"/>
  <c r="U987" i="34"/>
  <c r="T987" i="34"/>
  <c r="S987" i="34"/>
  <c r="U986" i="34"/>
  <c r="T986" i="34"/>
  <c r="S986" i="34"/>
  <c r="U985" i="34"/>
  <c r="T985" i="34"/>
  <c r="S985" i="34"/>
  <c r="U984" i="34"/>
  <c r="T984" i="34"/>
  <c r="S984" i="34"/>
  <c r="U983" i="34"/>
  <c r="T983" i="34"/>
  <c r="S983" i="34"/>
  <c r="U982" i="34"/>
  <c r="T982" i="34"/>
  <c r="S982" i="34"/>
  <c r="U981" i="34"/>
  <c r="T981" i="34"/>
  <c r="S981" i="34"/>
  <c r="U980" i="34"/>
  <c r="T980" i="34"/>
  <c r="S980" i="34"/>
  <c r="U979" i="34"/>
  <c r="T979" i="34"/>
  <c r="S979" i="34"/>
  <c r="U978" i="34"/>
  <c r="T978" i="34"/>
  <c r="S978" i="34"/>
  <c r="U977" i="34"/>
  <c r="T977" i="34"/>
  <c r="S977" i="34"/>
  <c r="U976" i="34"/>
  <c r="T976" i="34"/>
  <c r="S976" i="34"/>
  <c r="U975" i="34"/>
  <c r="T975" i="34"/>
  <c r="S975" i="34"/>
  <c r="U974" i="34"/>
  <c r="T974" i="34"/>
  <c r="S974" i="34"/>
  <c r="U973" i="34"/>
  <c r="T973" i="34"/>
  <c r="S973" i="34"/>
  <c r="U972" i="34"/>
  <c r="T972" i="34"/>
  <c r="S972" i="34"/>
  <c r="U971" i="34"/>
  <c r="T971" i="34"/>
  <c r="S971" i="34"/>
  <c r="U970" i="34"/>
  <c r="T970" i="34"/>
  <c r="S970" i="34"/>
  <c r="U969" i="34"/>
  <c r="T969" i="34"/>
  <c r="S969" i="34"/>
  <c r="U968" i="34"/>
  <c r="T968" i="34"/>
  <c r="S968" i="34"/>
  <c r="U967" i="34"/>
  <c r="T967" i="34"/>
  <c r="S967" i="34"/>
  <c r="U966" i="34"/>
  <c r="T966" i="34"/>
  <c r="S966" i="34"/>
  <c r="U965" i="34"/>
  <c r="T965" i="34"/>
  <c r="S965" i="34"/>
  <c r="U964" i="34"/>
  <c r="T964" i="34"/>
  <c r="S964" i="34"/>
  <c r="U963" i="34"/>
  <c r="T963" i="34"/>
  <c r="S963" i="34"/>
  <c r="U962" i="34"/>
  <c r="T962" i="34"/>
  <c r="S962" i="34"/>
  <c r="U961" i="34"/>
  <c r="T961" i="34"/>
  <c r="S961" i="34"/>
  <c r="U960" i="34"/>
  <c r="T960" i="34"/>
  <c r="S960" i="34"/>
  <c r="U959" i="34"/>
  <c r="T959" i="34"/>
  <c r="S959" i="34"/>
  <c r="U958" i="34"/>
  <c r="T958" i="34"/>
  <c r="S958" i="34"/>
  <c r="U957" i="34"/>
  <c r="T957" i="34"/>
  <c r="S957" i="34"/>
  <c r="U956" i="34"/>
  <c r="T956" i="34"/>
  <c r="S956" i="34"/>
  <c r="U955" i="34"/>
  <c r="T955" i="34"/>
  <c r="S955" i="34"/>
  <c r="U954" i="34"/>
  <c r="T954" i="34"/>
  <c r="S954" i="34"/>
  <c r="U953" i="34"/>
  <c r="T953" i="34"/>
  <c r="S953" i="34"/>
  <c r="U952" i="34"/>
  <c r="T952" i="34"/>
  <c r="S952" i="34"/>
  <c r="U951" i="34"/>
  <c r="T951" i="34"/>
  <c r="S951" i="34"/>
  <c r="U950" i="34"/>
  <c r="T950" i="34"/>
  <c r="S950" i="34"/>
  <c r="U949" i="34"/>
  <c r="T949" i="34"/>
  <c r="S949" i="34"/>
  <c r="U948" i="34"/>
  <c r="T948" i="34"/>
  <c r="S948" i="34"/>
  <c r="U947" i="34"/>
  <c r="T947" i="34"/>
  <c r="S947" i="34"/>
  <c r="U946" i="34"/>
  <c r="T946" i="34"/>
  <c r="S946" i="34"/>
  <c r="U945" i="34"/>
  <c r="T945" i="34"/>
  <c r="S945" i="34"/>
  <c r="U944" i="34"/>
  <c r="T944" i="34"/>
  <c r="S944" i="34"/>
  <c r="U943" i="34"/>
  <c r="T943" i="34"/>
  <c r="S943" i="34"/>
  <c r="U942" i="34"/>
  <c r="T942" i="34"/>
  <c r="S942" i="34"/>
  <c r="U941" i="34"/>
  <c r="T941" i="34"/>
  <c r="S941" i="34"/>
  <c r="U940" i="34"/>
  <c r="T940" i="34"/>
  <c r="S940" i="34"/>
  <c r="U939" i="34"/>
  <c r="T939" i="34"/>
  <c r="S939" i="34"/>
  <c r="U938" i="34"/>
  <c r="T938" i="34"/>
  <c r="S938" i="34"/>
  <c r="U937" i="34"/>
  <c r="T937" i="34"/>
  <c r="S937" i="34"/>
  <c r="U936" i="34"/>
  <c r="T936" i="34"/>
  <c r="S936" i="34"/>
  <c r="U935" i="34"/>
  <c r="T935" i="34"/>
  <c r="S935" i="34"/>
  <c r="U934" i="34"/>
  <c r="T934" i="34"/>
  <c r="S934" i="34"/>
  <c r="U933" i="34"/>
  <c r="T933" i="34"/>
  <c r="S933" i="34"/>
  <c r="U932" i="34"/>
  <c r="T932" i="34"/>
  <c r="S932" i="34"/>
  <c r="U931" i="34"/>
  <c r="T931" i="34"/>
  <c r="S931" i="34"/>
  <c r="U930" i="34"/>
  <c r="T930" i="34"/>
  <c r="S930" i="34"/>
  <c r="U929" i="34"/>
  <c r="T929" i="34"/>
  <c r="S929" i="34"/>
  <c r="U928" i="34"/>
  <c r="T928" i="34"/>
  <c r="S928" i="34"/>
  <c r="U927" i="34"/>
  <c r="T927" i="34"/>
  <c r="S927" i="34"/>
  <c r="U926" i="34"/>
  <c r="T926" i="34"/>
  <c r="S926" i="34"/>
  <c r="U925" i="34"/>
  <c r="T925" i="34"/>
  <c r="S925" i="34"/>
  <c r="U924" i="34"/>
  <c r="T924" i="34"/>
  <c r="S924" i="34"/>
  <c r="U923" i="34"/>
  <c r="T923" i="34"/>
  <c r="S923" i="34"/>
  <c r="U922" i="34"/>
  <c r="T922" i="34"/>
  <c r="S922" i="34"/>
  <c r="U921" i="34"/>
  <c r="T921" i="34"/>
  <c r="S921" i="34"/>
  <c r="U920" i="34"/>
  <c r="T920" i="34"/>
  <c r="S920" i="34"/>
  <c r="U919" i="34"/>
  <c r="T919" i="34"/>
  <c r="S919" i="34"/>
  <c r="U918" i="34"/>
  <c r="T918" i="34"/>
  <c r="S918" i="34"/>
  <c r="U917" i="34"/>
  <c r="T917" i="34"/>
  <c r="S917" i="34"/>
  <c r="U916" i="34"/>
  <c r="T916" i="34"/>
  <c r="S916" i="34"/>
  <c r="U915" i="34"/>
  <c r="T915" i="34"/>
  <c r="S915" i="34"/>
  <c r="U914" i="34"/>
  <c r="T914" i="34"/>
  <c r="S914" i="34"/>
  <c r="U913" i="34"/>
  <c r="T913" i="34"/>
  <c r="S913" i="34"/>
  <c r="U912" i="34"/>
  <c r="T912" i="34"/>
  <c r="S912" i="34"/>
  <c r="U911" i="34"/>
  <c r="T911" i="34"/>
  <c r="S911" i="34"/>
  <c r="U910" i="34"/>
  <c r="T910" i="34"/>
  <c r="S910" i="34"/>
  <c r="U909" i="34"/>
  <c r="T909" i="34"/>
  <c r="S909" i="34"/>
  <c r="U908" i="34"/>
  <c r="T908" i="34"/>
  <c r="S908" i="34"/>
  <c r="U907" i="34"/>
  <c r="T907" i="34"/>
  <c r="S907" i="34"/>
  <c r="U906" i="34"/>
  <c r="T906" i="34"/>
  <c r="S906" i="34"/>
  <c r="U905" i="34"/>
  <c r="T905" i="34"/>
  <c r="S905" i="34"/>
  <c r="U904" i="34"/>
  <c r="T904" i="34"/>
  <c r="S904" i="34"/>
  <c r="U903" i="34"/>
  <c r="T903" i="34"/>
  <c r="S903" i="34"/>
  <c r="U902" i="34"/>
  <c r="T902" i="34"/>
  <c r="S902" i="34"/>
  <c r="U901" i="34"/>
  <c r="T901" i="34"/>
  <c r="S901" i="34"/>
  <c r="U900" i="34"/>
  <c r="T900" i="34"/>
  <c r="S900" i="34"/>
  <c r="U899" i="34"/>
  <c r="T899" i="34"/>
  <c r="S899" i="34"/>
  <c r="U898" i="34"/>
  <c r="T898" i="34"/>
  <c r="S898" i="34"/>
  <c r="U897" i="34"/>
  <c r="T897" i="34"/>
  <c r="S897" i="34"/>
  <c r="U896" i="34"/>
  <c r="T896" i="34"/>
  <c r="S896" i="34"/>
  <c r="U895" i="34"/>
  <c r="T895" i="34"/>
  <c r="S895" i="34"/>
  <c r="U894" i="34"/>
  <c r="T894" i="34"/>
  <c r="S894" i="34"/>
  <c r="U893" i="34"/>
  <c r="T893" i="34"/>
  <c r="S893" i="34"/>
  <c r="U892" i="34"/>
  <c r="T892" i="34"/>
  <c r="S892" i="34"/>
  <c r="U891" i="34"/>
  <c r="T891" i="34"/>
  <c r="S891" i="34"/>
  <c r="U890" i="34"/>
  <c r="T890" i="34"/>
  <c r="S890" i="34"/>
  <c r="U889" i="34"/>
  <c r="T889" i="34"/>
  <c r="S889" i="34"/>
  <c r="U888" i="34"/>
  <c r="T888" i="34"/>
  <c r="S888" i="34"/>
  <c r="U887" i="34"/>
  <c r="T887" i="34"/>
  <c r="S887" i="34"/>
  <c r="U886" i="34"/>
  <c r="T886" i="34"/>
  <c r="S886" i="34"/>
  <c r="U885" i="34"/>
  <c r="T885" i="34"/>
  <c r="S885" i="34"/>
  <c r="U884" i="34"/>
  <c r="T884" i="34"/>
  <c r="S884" i="34"/>
  <c r="U883" i="34"/>
  <c r="T883" i="34"/>
  <c r="S883" i="34"/>
  <c r="U882" i="34"/>
  <c r="T882" i="34"/>
  <c r="S882" i="34"/>
  <c r="U881" i="34"/>
  <c r="T881" i="34"/>
  <c r="S881" i="34"/>
  <c r="U880" i="34"/>
  <c r="T880" i="34"/>
  <c r="S880" i="34"/>
  <c r="U879" i="34"/>
  <c r="T879" i="34"/>
  <c r="S879" i="34"/>
  <c r="U878" i="34"/>
  <c r="T878" i="34"/>
  <c r="S878" i="34"/>
  <c r="U877" i="34"/>
  <c r="T877" i="34"/>
  <c r="S877" i="34"/>
  <c r="U876" i="34"/>
  <c r="T876" i="34"/>
  <c r="S876" i="34"/>
  <c r="U875" i="34"/>
  <c r="T875" i="34"/>
  <c r="S875" i="34"/>
  <c r="U874" i="34"/>
  <c r="T874" i="34"/>
  <c r="S874" i="34"/>
  <c r="U873" i="34"/>
  <c r="T873" i="34"/>
  <c r="S873" i="34"/>
  <c r="U872" i="34"/>
  <c r="T872" i="34"/>
  <c r="S872" i="34"/>
  <c r="U871" i="34"/>
  <c r="T871" i="34"/>
  <c r="S871" i="34"/>
  <c r="U870" i="34"/>
  <c r="T870" i="34"/>
  <c r="S870" i="34"/>
  <c r="U869" i="34"/>
  <c r="T869" i="34"/>
  <c r="S869" i="34"/>
  <c r="U868" i="34"/>
  <c r="T868" i="34"/>
  <c r="S868" i="34"/>
  <c r="U867" i="34"/>
  <c r="T867" i="34"/>
  <c r="S867" i="34"/>
  <c r="U866" i="34"/>
  <c r="T866" i="34"/>
  <c r="S866" i="34"/>
  <c r="U865" i="34"/>
  <c r="T865" i="34"/>
  <c r="S865" i="34"/>
  <c r="U864" i="34"/>
  <c r="T864" i="34"/>
  <c r="S864" i="34"/>
  <c r="U863" i="34"/>
  <c r="T863" i="34"/>
  <c r="S863" i="34"/>
  <c r="U862" i="34"/>
  <c r="T862" i="34"/>
  <c r="S862" i="34"/>
  <c r="U861" i="34"/>
  <c r="T861" i="34"/>
  <c r="S861" i="34"/>
  <c r="U860" i="34"/>
  <c r="T860" i="34"/>
  <c r="S860" i="34"/>
  <c r="U859" i="34"/>
  <c r="T859" i="34"/>
  <c r="S859" i="34"/>
  <c r="U858" i="34"/>
  <c r="T858" i="34"/>
  <c r="S858" i="34"/>
  <c r="U857" i="34"/>
  <c r="T857" i="34"/>
  <c r="S857" i="34"/>
  <c r="U856" i="34"/>
  <c r="T856" i="34"/>
  <c r="S856" i="34"/>
  <c r="U855" i="34"/>
  <c r="T855" i="34"/>
  <c r="S855" i="34"/>
  <c r="U854" i="34"/>
  <c r="T854" i="34"/>
  <c r="S854" i="34"/>
  <c r="U853" i="34"/>
  <c r="T853" i="34"/>
  <c r="S853" i="34"/>
  <c r="U852" i="34"/>
  <c r="T852" i="34"/>
  <c r="S852" i="34"/>
  <c r="U851" i="34"/>
  <c r="T851" i="34"/>
  <c r="S851" i="34"/>
  <c r="U850" i="34"/>
  <c r="T850" i="34"/>
  <c r="S850" i="34"/>
  <c r="U849" i="34"/>
  <c r="T849" i="34"/>
  <c r="S849" i="34"/>
  <c r="U848" i="34"/>
  <c r="T848" i="34"/>
  <c r="S848" i="34"/>
  <c r="U847" i="34"/>
  <c r="T847" i="34"/>
  <c r="S847" i="34"/>
  <c r="U846" i="34"/>
  <c r="T846" i="34"/>
  <c r="S846" i="34"/>
  <c r="U845" i="34"/>
  <c r="T845" i="34"/>
  <c r="S845" i="34"/>
  <c r="U844" i="34"/>
  <c r="T844" i="34"/>
  <c r="S844" i="34"/>
  <c r="U843" i="34"/>
  <c r="T843" i="34"/>
  <c r="S843" i="34"/>
  <c r="U842" i="34"/>
  <c r="T842" i="34"/>
  <c r="S842" i="34"/>
  <c r="U841" i="34"/>
  <c r="T841" i="34"/>
  <c r="S841" i="34"/>
  <c r="U840" i="34"/>
  <c r="T840" i="34"/>
  <c r="S840" i="34"/>
  <c r="U839" i="34"/>
  <c r="T839" i="34"/>
  <c r="S839" i="34"/>
  <c r="U838" i="34"/>
  <c r="T838" i="34"/>
  <c r="S838" i="34"/>
  <c r="U837" i="34"/>
  <c r="T837" i="34"/>
  <c r="S837" i="34"/>
  <c r="U836" i="34"/>
  <c r="T836" i="34"/>
  <c r="S836" i="34"/>
  <c r="U835" i="34"/>
  <c r="T835" i="34"/>
  <c r="S835" i="34"/>
  <c r="U834" i="34"/>
  <c r="T834" i="34"/>
  <c r="S834" i="34"/>
  <c r="U833" i="34"/>
  <c r="T833" i="34"/>
  <c r="S833" i="34"/>
  <c r="U832" i="34"/>
  <c r="T832" i="34"/>
  <c r="S832" i="34"/>
  <c r="U831" i="34"/>
  <c r="T831" i="34"/>
  <c r="S831" i="34"/>
  <c r="U830" i="34"/>
  <c r="T830" i="34"/>
  <c r="S830" i="34"/>
  <c r="U829" i="34"/>
  <c r="T829" i="34"/>
  <c r="S829" i="34"/>
  <c r="U828" i="34"/>
  <c r="T828" i="34"/>
  <c r="S828" i="34"/>
  <c r="U827" i="34"/>
  <c r="T827" i="34"/>
  <c r="S827" i="34"/>
  <c r="U826" i="34"/>
  <c r="T826" i="34"/>
  <c r="S826" i="34"/>
  <c r="U825" i="34"/>
  <c r="T825" i="34"/>
  <c r="S825" i="34"/>
  <c r="U824" i="34"/>
  <c r="T824" i="34"/>
  <c r="S824" i="34"/>
  <c r="U823" i="34"/>
  <c r="T823" i="34"/>
  <c r="S823" i="34"/>
  <c r="U822" i="34"/>
  <c r="T822" i="34"/>
  <c r="S822" i="34"/>
  <c r="U821" i="34"/>
  <c r="T821" i="34"/>
  <c r="S821" i="34"/>
  <c r="U820" i="34"/>
  <c r="T820" i="34"/>
  <c r="S820" i="34"/>
  <c r="U819" i="34"/>
  <c r="T819" i="34"/>
  <c r="S819" i="34"/>
  <c r="U818" i="34"/>
  <c r="T818" i="34"/>
  <c r="S818" i="34"/>
  <c r="U817" i="34"/>
  <c r="T817" i="34"/>
  <c r="S817" i="34"/>
  <c r="U816" i="34"/>
  <c r="T816" i="34"/>
  <c r="S816" i="34"/>
  <c r="U815" i="34"/>
  <c r="T815" i="34"/>
  <c r="S815" i="34"/>
  <c r="U814" i="34"/>
  <c r="T814" i="34"/>
  <c r="S814" i="34"/>
  <c r="U813" i="34"/>
  <c r="T813" i="34"/>
  <c r="S813" i="34"/>
  <c r="U812" i="34"/>
  <c r="T812" i="34"/>
  <c r="S812" i="34"/>
  <c r="U811" i="34"/>
  <c r="T811" i="34"/>
  <c r="S811" i="34"/>
  <c r="U810" i="34"/>
  <c r="T810" i="34"/>
  <c r="S810" i="34"/>
  <c r="U809" i="34"/>
  <c r="T809" i="34"/>
  <c r="S809" i="34"/>
  <c r="U808" i="34"/>
  <c r="T808" i="34"/>
  <c r="S808" i="34"/>
  <c r="U807" i="34"/>
  <c r="T807" i="34"/>
  <c r="S807" i="34"/>
  <c r="U806" i="34"/>
  <c r="T806" i="34"/>
  <c r="S806" i="34"/>
  <c r="U805" i="34"/>
  <c r="T805" i="34"/>
  <c r="S805" i="34"/>
  <c r="U804" i="34"/>
  <c r="T804" i="34"/>
  <c r="S804" i="34"/>
  <c r="U803" i="34"/>
  <c r="T803" i="34"/>
  <c r="S803" i="34"/>
  <c r="U802" i="34"/>
  <c r="T802" i="34"/>
  <c r="S802" i="34"/>
  <c r="U801" i="34"/>
  <c r="T801" i="34"/>
  <c r="S801" i="34"/>
  <c r="U800" i="34"/>
  <c r="T800" i="34"/>
  <c r="S800" i="34"/>
  <c r="U799" i="34"/>
  <c r="T799" i="34"/>
  <c r="S799" i="34"/>
  <c r="U798" i="34"/>
  <c r="T798" i="34"/>
  <c r="S798" i="34"/>
  <c r="U797" i="34"/>
  <c r="T797" i="34"/>
  <c r="S797" i="34"/>
  <c r="U796" i="34"/>
  <c r="T796" i="34"/>
  <c r="S796" i="34"/>
  <c r="U795" i="34"/>
  <c r="T795" i="34"/>
  <c r="S795" i="34"/>
  <c r="U794" i="34"/>
  <c r="T794" i="34"/>
  <c r="S794" i="34"/>
  <c r="U793" i="34"/>
  <c r="T793" i="34"/>
  <c r="S793" i="34"/>
  <c r="U792" i="34"/>
  <c r="T792" i="34"/>
  <c r="S792" i="34"/>
  <c r="U791" i="34"/>
  <c r="T791" i="34"/>
  <c r="S791" i="34"/>
  <c r="U790" i="34"/>
  <c r="T790" i="34"/>
  <c r="S790" i="34"/>
  <c r="U789" i="34"/>
  <c r="T789" i="34"/>
  <c r="S789" i="34"/>
  <c r="U788" i="34"/>
  <c r="T788" i="34"/>
  <c r="S788" i="34"/>
  <c r="U787" i="34"/>
  <c r="T787" i="34"/>
  <c r="S787" i="34"/>
  <c r="U786" i="34"/>
  <c r="T786" i="34"/>
  <c r="S786" i="34"/>
  <c r="U785" i="34"/>
  <c r="T785" i="34"/>
  <c r="S785" i="34"/>
  <c r="U784" i="34"/>
  <c r="T784" i="34"/>
  <c r="S784" i="34"/>
  <c r="U783" i="34"/>
  <c r="T783" i="34"/>
  <c r="S783" i="34"/>
  <c r="U782" i="34"/>
  <c r="T782" i="34"/>
  <c r="S782" i="34"/>
  <c r="U781" i="34"/>
  <c r="T781" i="34"/>
  <c r="S781" i="34"/>
  <c r="U780" i="34"/>
  <c r="T780" i="34"/>
  <c r="S780" i="34"/>
  <c r="U779" i="34"/>
  <c r="T779" i="34"/>
  <c r="S779" i="34"/>
  <c r="U778" i="34"/>
  <c r="T778" i="34"/>
  <c r="S778" i="34"/>
  <c r="U777" i="34"/>
  <c r="T777" i="34"/>
  <c r="S777" i="34"/>
  <c r="U776" i="34"/>
  <c r="T776" i="34"/>
  <c r="S776" i="34"/>
  <c r="U775" i="34"/>
  <c r="T775" i="34"/>
  <c r="S775" i="34"/>
  <c r="U774" i="34"/>
  <c r="T774" i="34"/>
  <c r="S774" i="34"/>
  <c r="U773" i="34"/>
  <c r="T773" i="34"/>
  <c r="S773" i="34"/>
  <c r="U772" i="34"/>
  <c r="T772" i="34"/>
  <c r="S772" i="34"/>
  <c r="U771" i="34"/>
  <c r="T771" i="34"/>
  <c r="S771" i="34"/>
  <c r="U770" i="34"/>
  <c r="T770" i="34"/>
  <c r="S770" i="34"/>
  <c r="U769" i="34"/>
  <c r="T769" i="34"/>
  <c r="S769" i="34"/>
  <c r="U768" i="34"/>
  <c r="T768" i="34"/>
  <c r="S768" i="34"/>
  <c r="U767" i="34"/>
  <c r="T767" i="34"/>
  <c r="S767" i="34"/>
  <c r="U766" i="34"/>
  <c r="T766" i="34"/>
  <c r="S766" i="34"/>
  <c r="U765" i="34"/>
  <c r="T765" i="34"/>
  <c r="S765" i="34"/>
  <c r="U764" i="34"/>
  <c r="T764" i="34"/>
  <c r="S764" i="34"/>
  <c r="U763" i="34"/>
  <c r="T763" i="34"/>
  <c r="S763" i="34"/>
  <c r="U762" i="34"/>
  <c r="T762" i="34"/>
  <c r="S762" i="34"/>
  <c r="U761" i="34"/>
  <c r="T761" i="34"/>
  <c r="S761" i="34"/>
  <c r="U760" i="34"/>
  <c r="T760" i="34"/>
  <c r="S760" i="34"/>
  <c r="U759" i="34"/>
  <c r="T759" i="34"/>
  <c r="S759" i="34"/>
  <c r="U758" i="34"/>
  <c r="T758" i="34"/>
  <c r="S758" i="34"/>
  <c r="U757" i="34"/>
  <c r="T757" i="34"/>
  <c r="S757" i="34"/>
  <c r="U756" i="34"/>
  <c r="T756" i="34"/>
  <c r="S756" i="34"/>
  <c r="U755" i="34"/>
  <c r="T755" i="34"/>
  <c r="S755" i="34"/>
  <c r="U754" i="34"/>
  <c r="T754" i="34"/>
  <c r="S754" i="34"/>
  <c r="U753" i="34"/>
  <c r="T753" i="34"/>
  <c r="S753" i="34"/>
  <c r="U752" i="34"/>
  <c r="T752" i="34"/>
  <c r="S752" i="34"/>
  <c r="U751" i="34"/>
  <c r="T751" i="34"/>
  <c r="S751" i="34"/>
  <c r="U750" i="34"/>
  <c r="T750" i="34"/>
  <c r="S750" i="34"/>
  <c r="U749" i="34"/>
  <c r="T749" i="34"/>
  <c r="S749" i="34"/>
  <c r="U748" i="34"/>
  <c r="T748" i="34"/>
  <c r="S748" i="34"/>
  <c r="U747" i="34"/>
  <c r="T747" i="34"/>
  <c r="S747" i="34"/>
  <c r="U746" i="34"/>
  <c r="T746" i="34"/>
  <c r="S746" i="34"/>
  <c r="U745" i="34"/>
  <c r="T745" i="34"/>
  <c r="S745" i="34"/>
  <c r="U744" i="34"/>
  <c r="T744" i="34"/>
  <c r="S744" i="34"/>
  <c r="U743" i="34"/>
  <c r="T743" i="34"/>
  <c r="S743" i="34"/>
  <c r="U742" i="34"/>
  <c r="T742" i="34"/>
  <c r="S742" i="34"/>
  <c r="U741" i="34"/>
  <c r="T741" i="34"/>
  <c r="S741" i="34"/>
  <c r="U740" i="34"/>
  <c r="T740" i="34"/>
  <c r="S740" i="34"/>
  <c r="U739" i="34"/>
  <c r="T739" i="34"/>
  <c r="S739" i="34"/>
  <c r="U738" i="34"/>
  <c r="T738" i="34"/>
  <c r="S738" i="34"/>
  <c r="U737" i="34"/>
  <c r="T737" i="34"/>
  <c r="S737" i="34"/>
  <c r="U736" i="34"/>
  <c r="T736" i="34"/>
  <c r="S736" i="34"/>
  <c r="U735" i="34"/>
  <c r="T735" i="34"/>
  <c r="S735" i="34"/>
  <c r="U734" i="34"/>
  <c r="T734" i="34"/>
  <c r="S734" i="34"/>
  <c r="U733" i="34"/>
  <c r="T733" i="34"/>
  <c r="S733" i="34"/>
  <c r="U732" i="34"/>
  <c r="T732" i="34"/>
  <c r="S732" i="34"/>
  <c r="U731" i="34"/>
  <c r="T731" i="34"/>
  <c r="S731" i="34"/>
  <c r="U730" i="34"/>
  <c r="T730" i="34"/>
  <c r="S730" i="34"/>
  <c r="U729" i="34"/>
  <c r="T729" i="34"/>
  <c r="S729" i="34"/>
  <c r="U728" i="34"/>
  <c r="T728" i="34"/>
  <c r="S728" i="34"/>
  <c r="U727" i="34"/>
  <c r="T727" i="34"/>
  <c r="S727" i="34"/>
  <c r="U726" i="34"/>
  <c r="T726" i="34"/>
  <c r="S726" i="34"/>
  <c r="U725" i="34"/>
  <c r="T725" i="34"/>
  <c r="S725" i="34"/>
  <c r="U724" i="34"/>
  <c r="T724" i="34"/>
  <c r="S724" i="34"/>
  <c r="U723" i="34"/>
  <c r="T723" i="34"/>
  <c r="S723" i="34"/>
  <c r="U722" i="34"/>
  <c r="T722" i="34"/>
  <c r="S722" i="34"/>
  <c r="U721" i="34"/>
  <c r="T721" i="34"/>
  <c r="S721" i="34"/>
  <c r="U720" i="34"/>
  <c r="T720" i="34"/>
  <c r="S720" i="34"/>
  <c r="U719" i="34"/>
  <c r="T719" i="34"/>
  <c r="S719" i="34"/>
  <c r="U718" i="34"/>
  <c r="T718" i="34"/>
  <c r="S718" i="34"/>
  <c r="U717" i="34"/>
  <c r="T717" i="34"/>
  <c r="S717" i="34"/>
  <c r="U716" i="34"/>
  <c r="T716" i="34"/>
  <c r="S716" i="34"/>
  <c r="U715" i="34"/>
  <c r="T715" i="34"/>
  <c r="S715" i="34"/>
  <c r="U714" i="34"/>
  <c r="T714" i="34"/>
  <c r="S714" i="34"/>
  <c r="U713" i="34"/>
  <c r="T713" i="34"/>
  <c r="S713" i="34"/>
  <c r="U712" i="34"/>
  <c r="T712" i="34"/>
  <c r="S712" i="34"/>
  <c r="U711" i="34"/>
  <c r="T711" i="34"/>
  <c r="S711" i="34"/>
  <c r="U710" i="34"/>
  <c r="T710" i="34"/>
  <c r="S710" i="34"/>
  <c r="U709" i="34"/>
  <c r="T709" i="34"/>
  <c r="S709" i="34"/>
  <c r="U708" i="34"/>
  <c r="T708" i="34"/>
  <c r="S708" i="34"/>
  <c r="U707" i="34"/>
  <c r="T707" i="34"/>
  <c r="S707" i="34"/>
  <c r="U706" i="34"/>
  <c r="T706" i="34"/>
  <c r="S706" i="34"/>
  <c r="U705" i="34"/>
  <c r="T705" i="34"/>
  <c r="S705" i="34"/>
  <c r="U704" i="34"/>
  <c r="T704" i="34"/>
  <c r="S704" i="34"/>
  <c r="U703" i="34"/>
  <c r="T703" i="34"/>
  <c r="S703" i="34"/>
  <c r="U702" i="34"/>
  <c r="T702" i="34"/>
  <c r="S702" i="34"/>
  <c r="U701" i="34"/>
  <c r="T701" i="34"/>
  <c r="S701" i="34"/>
  <c r="U700" i="34"/>
  <c r="T700" i="34"/>
  <c r="S700" i="34"/>
  <c r="U699" i="34"/>
  <c r="T699" i="34"/>
  <c r="S699" i="34"/>
  <c r="U698" i="34"/>
  <c r="T698" i="34"/>
  <c r="S698" i="34"/>
  <c r="U697" i="34"/>
  <c r="T697" i="34"/>
  <c r="S697" i="34"/>
  <c r="U696" i="34"/>
  <c r="T696" i="34"/>
  <c r="S696" i="34"/>
  <c r="U695" i="34"/>
  <c r="T695" i="34"/>
  <c r="S695" i="34"/>
  <c r="U694" i="34"/>
  <c r="T694" i="34"/>
  <c r="S694" i="34"/>
  <c r="U693" i="34"/>
  <c r="T693" i="34"/>
  <c r="S693" i="34"/>
  <c r="U692" i="34"/>
  <c r="T692" i="34"/>
  <c r="S692" i="34"/>
  <c r="U691" i="34"/>
  <c r="T691" i="34"/>
  <c r="S691" i="34"/>
  <c r="U690" i="34"/>
  <c r="T690" i="34"/>
  <c r="S690" i="34"/>
  <c r="U689" i="34"/>
  <c r="T689" i="34"/>
  <c r="S689" i="34"/>
  <c r="U688" i="34"/>
  <c r="T688" i="34"/>
  <c r="S688" i="34"/>
  <c r="U687" i="34"/>
  <c r="T687" i="34"/>
  <c r="S687" i="34"/>
  <c r="U686" i="34"/>
  <c r="T686" i="34"/>
  <c r="S686" i="34"/>
  <c r="U685" i="34"/>
  <c r="T685" i="34"/>
  <c r="S685" i="34"/>
  <c r="U684" i="34"/>
  <c r="T684" i="34"/>
  <c r="S684" i="34"/>
  <c r="U683" i="34"/>
  <c r="T683" i="34"/>
  <c r="S683" i="34"/>
  <c r="U682" i="34"/>
  <c r="T682" i="34"/>
  <c r="S682" i="34"/>
  <c r="U681" i="34"/>
  <c r="T681" i="34"/>
  <c r="S681" i="34"/>
  <c r="U680" i="34"/>
  <c r="T680" i="34"/>
  <c r="S680" i="34"/>
  <c r="U679" i="34"/>
  <c r="T679" i="34"/>
  <c r="S679" i="34"/>
  <c r="U678" i="34"/>
  <c r="T678" i="34"/>
  <c r="S678" i="34"/>
  <c r="U677" i="34"/>
  <c r="T677" i="34"/>
  <c r="S677" i="34"/>
  <c r="U676" i="34"/>
  <c r="T676" i="34"/>
  <c r="S676" i="34"/>
  <c r="U675" i="34"/>
  <c r="T675" i="34"/>
  <c r="S675" i="34"/>
  <c r="U674" i="34"/>
  <c r="T674" i="34"/>
  <c r="S674" i="34"/>
  <c r="U673" i="34"/>
  <c r="T673" i="34"/>
  <c r="S673" i="34"/>
  <c r="U672" i="34"/>
  <c r="T672" i="34"/>
  <c r="S672" i="34"/>
  <c r="U671" i="34"/>
  <c r="T671" i="34"/>
  <c r="S671" i="34"/>
  <c r="U670" i="34"/>
  <c r="T670" i="34"/>
  <c r="S670" i="34"/>
  <c r="U669" i="34"/>
  <c r="T669" i="34"/>
  <c r="S669" i="34"/>
  <c r="U668" i="34"/>
  <c r="T668" i="34"/>
  <c r="S668" i="34"/>
  <c r="U667" i="34"/>
  <c r="T667" i="34"/>
  <c r="S667" i="34"/>
  <c r="U666" i="34"/>
  <c r="T666" i="34"/>
  <c r="S666" i="34"/>
  <c r="U665" i="34"/>
  <c r="T665" i="34"/>
  <c r="S665" i="34"/>
  <c r="U664" i="34"/>
  <c r="T664" i="34"/>
  <c r="S664" i="34"/>
  <c r="U663" i="34"/>
  <c r="T663" i="34"/>
  <c r="S663" i="34"/>
  <c r="U662" i="34"/>
  <c r="T662" i="34"/>
  <c r="S662" i="34"/>
  <c r="U661" i="34"/>
  <c r="T661" i="34"/>
  <c r="S661" i="34"/>
  <c r="U660" i="34"/>
  <c r="T660" i="34"/>
  <c r="S660" i="34"/>
  <c r="U659" i="34"/>
  <c r="T659" i="34"/>
  <c r="S659" i="34"/>
  <c r="U658" i="34"/>
  <c r="T658" i="34"/>
  <c r="S658" i="34"/>
  <c r="U657" i="34"/>
  <c r="T657" i="34"/>
  <c r="S657" i="34"/>
  <c r="U656" i="34"/>
  <c r="T656" i="34"/>
  <c r="S656" i="34"/>
  <c r="U655" i="34"/>
  <c r="T655" i="34"/>
  <c r="S655" i="34"/>
  <c r="U654" i="34"/>
  <c r="T654" i="34"/>
  <c r="S654" i="34"/>
  <c r="U653" i="34"/>
  <c r="T653" i="34"/>
  <c r="S653" i="34"/>
  <c r="U652" i="34"/>
  <c r="T652" i="34"/>
  <c r="S652" i="34"/>
  <c r="U651" i="34"/>
  <c r="T651" i="34"/>
  <c r="S651" i="34"/>
  <c r="U650" i="34"/>
  <c r="T650" i="34"/>
  <c r="S650" i="34"/>
  <c r="U649" i="34"/>
  <c r="T649" i="34"/>
  <c r="S649" i="34"/>
  <c r="U648" i="34"/>
  <c r="T648" i="34"/>
  <c r="S648" i="34"/>
  <c r="U647" i="34"/>
  <c r="T647" i="34"/>
  <c r="S647" i="34"/>
  <c r="U646" i="34"/>
  <c r="T646" i="34"/>
  <c r="S646" i="34"/>
  <c r="U645" i="34"/>
  <c r="T645" i="34"/>
  <c r="S645" i="34"/>
  <c r="U644" i="34"/>
  <c r="T644" i="34"/>
  <c r="S644" i="34"/>
  <c r="U643" i="34"/>
  <c r="T643" i="34"/>
  <c r="S643" i="34"/>
  <c r="U642" i="34"/>
  <c r="T642" i="34"/>
  <c r="S642" i="34"/>
  <c r="U641" i="34"/>
  <c r="T641" i="34"/>
  <c r="S641" i="34"/>
  <c r="U640" i="34"/>
  <c r="T640" i="34"/>
  <c r="S640" i="34"/>
  <c r="U639" i="34"/>
  <c r="T639" i="34"/>
  <c r="S639" i="34"/>
  <c r="U638" i="34"/>
  <c r="T638" i="34"/>
  <c r="S638" i="34"/>
  <c r="U637" i="34"/>
  <c r="T637" i="34"/>
  <c r="S637" i="34"/>
  <c r="U636" i="34"/>
  <c r="T636" i="34"/>
  <c r="S636" i="34"/>
  <c r="U635" i="34"/>
  <c r="T635" i="34"/>
  <c r="S635" i="34"/>
  <c r="U634" i="34"/>
  <c r="T634" i="34"/>
  <c r="S634" i="34"/>
  <c r="U633" i="34"/>
  <c r="T633" i="34"/>
  <c r="S633" i="34"/>
  <c r="U632" i="34"/>
  <c r="T632" i="34"/>
  <c r="S632" i="34"/>
  <c r="U631" i="34"/>
  <c r="T631" i="34"/>
  <c r="S631" i="34"/>
  <c r="U630" i="34"/>
  <c r="T630" i="34"/>
  <c r="S630" i="34"/>
  <c r="U629" i="34"/>
  <c r="T629" i="34"/>
  <c r="S629" i="34"/>
  <c r="U628" i="34"/>
  <c r="T628" i="34"/>
  <c r="S628" i="34"/>
  <c r="U627" i="34"/>
  <c r="T627" i="34"/>
  <c r="S627" i="34"/>
  <c r="U626" i="34"/>
  <c r="T626" i="34"/>
  <c r="S626" i="34"/>
  <c r="U625" i="34"/>
  <c r="T625" i="34"/>
  <c r="S625" i="34"/>
  <c r="U624" i="34"/>
  <c r="T624" i="34"/>
  <c r="S624" i="34"/>
  <c r="U623" i="34"/>
  <c r="T623" i="34"/>
  <c r="S623" i="34"/>
  <c r="U622" i="34"/>
  <c r="T622" i="34"/>
  <c r="S622" i="34"/>
  <c r="U621" i="34"/>
  <c r="T621" i="34"/>
  <c r="S621" i="34"/>
  <c r="U620" i="34"/>
  <c r="T620" i="34"/>
  <c r="S620" i="34"/>
  <c r="U619" i="34"/>
  <c r="T619" i="34"/>
  <c r="S619" i="34"/>
  <c r="U618" i="34"/>
  <c r="T618" i="34"/>
  <c r="S618" i="34"/>
  <c r="U617" i="34"/>
  <c r="T617" i="34"/>
  <c r="S617" i="34"/>
  <c r="U616" i="34"/>
  <c r="T616" i="34"/>
  <c r="S616" i="34"/>
  <c r="U615" i="34"/>
  <c r="T615" i="34"/>
  <c r="S615" i="34"/>
  <c r="U614" i="34"/>
  <c r="T614" i="34"/>
  <c r="S614" i="34"/>
  <c r="U613" i="34"/>
  <c r="T613" i="34"/>
  <c r="S613" i="34"/>
  <c r="U612" i="34"/>
  <c r="T612" i="34"/>
  <c r="S612" i="34"/>
  <c r="U611" i="34"/>
  <c r="T611" i="34"/>
  <c r="S611" i="34"/>
  <c r="U610" i="34"/>
  <c r="T610" i="34"/>
  <c r="S610" i="34"/>
  <c r="U609" i="34"/>
  <c r="T609" i="34"/>
  <c r="S609" i="34"/>
  <c r="U608" i="34"/>
  <c r="T608" i="34"/>
  <c r="S608" i="34"/>
  <c r="U607" i="34"/>
  <c r="T607" i="34"/>
  <c r="S607" i="34"/>
  <c r="U606" i="34"/>
  <c r="T606" i="34"/>
  <c r="S606" i="34"/>
  <c r="U605" i="34"/>
  <c r="T605" i="34"/>
  <c r="S605" i="34"/>
  <c r="U604" i="34"/>
  <c r="T604" i="34"/>
  <c r="S604" i="34"/>
  <c r="U603" i="34"/>
  <c r="T603" i="34"/>
  <c r="S603" i="34"/>
  <c r="U602" i="34"/>
  <c r="T602" i="34"/>
  <c r="S602" i="34"/>
  <c r="U601" i="34"/>
  <c r="T601" i="34"/>
  <c r="S601" i="34"/>
  <c r="U600" i="34"/>
  <c r="T600" i="34"/>
  <c r="S600" i="34"/>
  <c r="U599" i="34"/>
  <c r="T599" i="34"/>
  <c r="S599" i="34"/>
  <c r="U598" i="34"/>
  <c r="T598" i="34"/>
  <c r="S598" i="34"/>
  <c r="U597" i="34"/>
  <c r="T597" i="34"/>
  <c r="S597" i="34"/>
  <c r="U596" i="34"/>
  <c r="T596" i="34"/>
  <c r="S596" i="34"/>
  <c r="U595" i="34"/>
  <c r="T595" i="34"/>
  <c r="S595" i="34"/>
  <c r="U594" i="34"/>
  <c r="T594" i="34"/>
  <c r="S594" i="34"/>
  <c r="U593" i="34"/>
  <c r="T593" i="34"/>
  <c r="S593" i="34"/>
  <c r="U592" i="34"/>
  <c r="T592" i="34"/>
  <c r="S592" i="34"/>
  <c r="U591" i="34"/>
  <c r="T591" i="34"/>
  <c r="S591" i="34"/>
  <c r="U590" i="34"/>
  <c r="T590" i="34"/>
  <c r="S590" i="34"/>
  <c r="U589" i="34"/>
  <c r="T589" i="34"/>
  <c r="S589" i="34"/>
  <c r="U588" i="34"/>
  <c r="T588" i="34"/>
  <c r="S588" i="34"/>
  <c r="U587" i="34"/>
  <c r="T587" i="34"/>
  <c r="S587" i="34"/>
  <c r="U586" i="34"/>
  <c r="T586" i="34"/>
  <c r="S586" i="34"/>
  <c r="U585" i="34"/>
  <c r="T585" i="34"/>
  <c r="S585" i="34"/>
  <c r="U584" i="34"/>
  <c r="T584" i="34"/>
  <c r="S584" i="34"/>
  <c r="U583" i="34"/>
  <c r="T583" i="34"/>
  <c r="S583" i="34"/>
  <c r="U582" i="34"/>
  <c r="T582" i="34"/>
  <c r="S582" i="34"/>
  <c r="U581" i="34"/>
  <c r="T581" i="34"/>
  <c r="S581" i="34"/>
  <c r="U580" i="34"/>
  <c r="T580" i="34"/>
  <c r="S580" i="34"/>
  <c r="U579" i="34"/>
  <c r="T579" i="34"/>
  <c r="S579" i="34"/>
  <c r="U578" i="34"/>
  <c r="T578" i="34"/>
  <c r="S578" i="34"/>
  <c r="U577" i="34"/>
  <c r="T577" i="34"/>
  <c r="S577" i="34"/>
  <c r="U576" i="34"/>
  <c r="T576" i="34"/>
  <c r="S576" i="34"/>
  <c r="U575" i="34"/>
  <c r="T575" i="34"/>
  <c r="S575" i="34"/>
  <c r="U574" i="34"/>
  <c r="T574" i="34"/>
  <c r="S574" i="34"/>
  <c r="U573" i="34"/>
  <c r="T573" i="34"/>
  <c r="S573" i="34"/>
  <c r="U572" i="34"/>
  <c r="T572" i="34"/>
  <c r="S572" i="34"/>
  <c r="U571" i="34"/>
  <c r="T571" i="34"/>
  <c r="S571" i="34"/>
  <c r="P100" i="31" l="1"/>
  <c r="O100" i="31"/>
  <c r="N100" i="31"/>
  <c r="M100" i="31"/>
  <c r="E100" i="31"/>
  <c r="C100" i="31"/>
  <c r="P88" i="31"/>
  <c r="O88" i="31"/>
  <c r="N88" i="31"/>
  <c r="M88" i="31"/>
  <c r="E88" i="31"/>
  <c r="C88" i="31"/>
  <c r="P76" i="31"/>
  <c r="O76" i="31"/>
  <c r="N76" i="31"/>
  <c r="M76" i="31"/>
  <c r="E76" i="31"/>
  <c r="C76" i="31"/>
  <c r="AD2" i="29"/>
  <c r="AC2" i="29"/>
  <c r="P104" i="31" l="1"/>
  <c r="O104" i="31"/>
  <c r="N104" i="31"/>
  <c r="M104" i="31"/>
  <c r="E104" i="31"/>
  <c r="C104" i="31"/>
  <c r="P103" i="31"/>
  <c r="O103" i="31"/>
  <c r="N103" i="31"/>
  <c r="M103" i="31"/>
  <c r="E103" i="31"/>
  <c r="C103" i="31"/>
  <c r="P102" i="31"/>
  <c r="O102" i="31"/>
  <c r="N102" i="31"/>
  <c r="M102" i="31"/>
  <c r="E102" i="31"/>
  <c r="C102" i="31"/>
  <c r="P101" i="31"/>
  <c r="O101" i="31"/>
  <c r="N101" i="31"/>
  <c r="M101" i="31"/>
  <c r="E101" i="31"/>
  <c r="C101" i="31"/>
  <c r="P99" i="31"/>
  <c r="O99" i="31"/>
  <c r="N99" i="31"/>
  <c r="M99" i="31"/>
  <c r="E99" i="31"/>
  <c r="C99" i="31"/>
  <c r="P98" i="31"/>
  <c r="O98" i="31"/>
  <c r="N98" i="31"/>
  <c r="M98" i="31"/>
  <c r="E98" i="31"/>
  <c r="C98" i="31"/>
  <c r="P97" i="31"/>
  <c r="O97" i="31"/>
  <c r="N97" i="31"/>
  <c r="M97" i="31"/>
  <c r="E97" i="31"/>
  <c r="C97" i="31"/>
  <c r="P96" i="31"/>
  <c r="O96" i="31"/>
  <c r="N96" i="31"/>
  <c r="M96" i="31"/>
  <c r="E96" i="31"/>
  <c r="C96" i="31"/>
  <c r="P95" i="31"/>
  <c r="O95" i="31"/>
  <c r="N95" i="31"/>
  <c r="M95" i="31"/>
  <c r="E95" i="31"/>
  <c r="C95" i="31"/>
  <c r="P94" i="31"/>
  <c r="O94" i="31"/>
  <c r="N94" i="31"/>
  <c r="M94" i="31"/>
  <c r="E94" i="31"/>
  <c r="C94" i="31"/>
  <c r="P93" i="31"/>
  <c r="O93" i="31"/>
  <c r="N93" i="31"/>
  <c r="M93" i="31"/>
  <c r="E93" i="31"/>
  <c r="C93" i="31"/>
  <c r="P92" i="31"/>
  <c r="O92" i="31"/>
  <c r="N92" i="31"/>
  <c r="M92" i="31"/>
  <c r="E92" i="31"/>
  <c r="C92" i="31"/>
  <c r="P91" i="31"/>
  <c r="O91" i="31"/>
  <c r="N91" i="31"/>
  <c r="M91" i="31"/>
  <c r="E91" i="31"/>
  <c r="C91" i="31"/>
  <c r="P90" i="31"/>
  <c r="O90" i="31"/>
  <c r="N90" i="31"/>
  <c r="M90" i="31"/>
  <c r="E90" i="31"/>
  <c r="C90" i="31"/>
  <c r="P89" i="31"/>
  <c r="O89" i="31"/>
  <c r="N89" i="31"/>
  <c r="M89" i="31"/>
  <c r="E89" i="31"/>
  <c r="C89" i="31"/>
  <c r="P87" i="31"/>
  <c r="O87" i="31"/>
  <c r="N87" i="31"/>
  <c r="M87" i="31"/>
  <c r="E87" i="31"/>
  <c r="C87" i="31"/>
  <c r="P86" i="31"/>
  <c r="O86" i="31"/>
  <c r="N86" i="31"/>
  <c r="M86" i="31"/>
  <c r="E86" i="31"/>
  <c r="C86" i="31"/>
  <c r="P85" i="31"/>
  <c r="O85" i="31"/>
  <c r="N85" i="31"/>
  <c r="M85" i="31"/>
  <c r="E85" i="31"/>
  <c r="C85" i="31"/>
  <c r="P84" i="31"/>
  <c r="O84" i="31"/>
  <c r="N84" i="31"/>
  <c r="M84" i="31"/>
  <c r="E84" i="31"/>
  <c r="C84" i="31"/>
  <c r="P83" i="31"/>
  <c r="O83" i="31"/>
  <c r="N83" i="31"/>
  <c r="M83" i="31"/>
  <c r="E83" i="31"/>
  <c r="C83" i="31"/>
  <c r="P82" i="31"/>
  <c r="O82" i="31"/>
  <c r="N82" i="31"/>
  <c r="M82" i="31"/>
  <c r="E82" i="31"/>
  <c r="C82" i="31"/>
  <c r="P81" i="31"/>
  <c r="O81" i="31"/>
  <c r="N81" i="31"/>
  <c r="M81" i="31"/>
  <c r="E81" i="31"/>
  <c r="C81" i="31"/>
  <c r="D88" i="27" l="1"/>
  <c r="D151" i="27"/>
  <c r="D91" i="27"/>
  <c r="D87" i="27"/>
  <c r="D193" i="27"/>
  <c r="D150" i="27"/>
  <c r="D90" i="27"/>
  <c r="D86" i="27"/>
  <c r="D89" i="27"/>
  <c r="D48" i="27"/>
  <c r="F140" i="61"/>
  <c r="F139" i="61"/>
  <c r="F138" i="61"/>
  <c r="F137" i="61"/>
  <c r="F136" i="61"/>
  <c r="F135" i="61"/>
  <c r="F134" i="61"/>
  <c r="F133" i="61"/>
  <c r="F132" i="61"/>
  <c r="F131" i="61"/>
  <c r="F130" i="61"/>
  <c r="F129" i="61"/>
  <c r="F128" i="61"/>
  <c r="F127" i="61"/>
  <c r="F126" i="61"/>
  <c r="F125" i="61"/>
  <c r="F124" i="61"/>
  <c r="F123" i="61"/>
  <c r="F122" i="61"/>
  <c r="F121" i="61"/>
  <c r="F120" i="61"/>
  <c r="F119" i="61"/>
  <c r="F118" i="61"/>
  <c r="F117" i="61"/>
  <c r="F116" i="61"/>
  <c r="F115" i="61"/>
  <c r="F114" i="61"/>
  <c r="F113" i="61"/>
  <c r="F112" i="61"/>
  <c r="F111" i="61"/>
  <c r="F110" i="61"/>
  <c r="F109" i="61"/>
  <c r="F108" i="61"/>
  <c r="F107" i="61"/>
  <c r="F106" i="61"/>
  <c r="F105" i="61"/>
  <c r="F104" i="61"/>
  <c r="F103" i="61"/>
  <c r="F102" i="61"/>
  <c r="F101" i="61"/>
  <c r="F100" i="61"/>
  <c r="F99" i="61"/>
  <c r="F98" i="61"/>
  <c r="F97" i="61"/>
  <c r="F96" i="61"/>
  <c r="F95" i="61"/>
  <c r="F94" i="61"/>
  <c r="F93" i="61"/>
  <c r="F92" i="61"/>
  <c r="F91" i="61"/>
  <c r="F90" i="61"/>
  <c r="F89" i="61"/>
  <c r="F88" i="61"/>
  <c r="F87" i="61"/>
  <c r="F86" i="61"/>
  <c r="F85" i="61"/>
  <c r="F84" i="61"/>
  <c r="F83" i="61"/>
  <c r="F82" i="61"/>
  <c r="F81" i="61"/>
  <c r="F80" i="61"/>
  <c r="F79" i="61"/>
  <c r="F78" i="61"/>
  <c r="F77" i="61"/>
  <c r="F76" i="61"/>
  <c r="F75" i="61"/>
  <c r="F74" i="61"/>
  <c r="F73" i="61"/>
  <c r="F72" i="61"/>
  <c r="F71" i="61"/>
  <c r="F70" i="61"/>
  <c r="F69" i="61"/>
  <c r="F68" i="61"/>
  <c r="F67" i="61"/>
  <c r="F42" i="61"/>
  <c r="F35" i="61"/>
  <c r="F28" i="61"/>
  <c r="F17" i="61"/>
  <c r="F10" i="61"/>
  <c r="U337" i="34"/>
  <c r="T337" i="34"/>
  <c r="S337" i="34"/>
  <c r="U336" i="34"/>
  <c r="T336" i="34"/>
  <c r="S336" i="34"/>
  <c r="U335" i="34"/>
  <c r="T335" i="34"/>
  <c r="S335" i="34"/>
  <c r="U334" i="34"/>
  <c r="T334" i="34"/>
  <c r="S334" i="34"/>
  <c r="U333" i="34"/>
  <c r="T333" i="34"/>
  <c r="S333" i="34"/>
  <c r="U332" i="34"/>
  <c r="T332" i="34"/>
  <c r="S332" i="34"/>
  <c r="U331" i="34"/>
  <c r="T331" i="34"/>
  <c r="S331" i="34"/>
  <c r="U330" i="34"/>
  <c r="T330" i="34"/>
  <c r="S330" i="34"/>
  <c r="U329" i="34"/>
  <c r="T329" i="34"/>
  <c r="S329" i="34"/>
  <c r="U328" i="34"/>
  <c r="T328" i="34"/>
  <c r="S328" i="34"/>
  <c r="U327" i="34"/>
  <c r="T327" i="34"/>
  <c r="S327" i="34"/>
  <c r="U326" i="34"/>
  <c r="T326" i="34"/>
  <c r="S326" i="34"/>
  <c r="U325" i="34"/>
  <c r="T325" i="34"/>
  <c r="S325" i="34"/>
  <c r="U324" i="34"/>
  <c r="T324" i="34"/>
  <c r="S324" i="34"/>
  <c r="U323" i="34"/>
  <c r="T323" i="34"/>
  <c r="S323" i="34"/>
  <c r="U322" i="34"/>
  <c r="T322" i="34"/>
  <c r="S322" i="34"/>
  <c r="U321" i="34"/>
  <c r="T321" i="34"/>
  <c r="S321" i="34"/>
  <c r="U320" i="34"/>
  <c r="T320" i="34"/>
  <c r="S320" i="34"/>
  <c r="U319" i="34"/>
  <c r="T319" i="34"/>
  <c r="S319" i="34"/>
  <c r="U318" i="34"/>
  <c r="T318" i="34"/>
  <c r="S318" i="34"/>
  <c r="U317" i="34"/>
  <c r="T317" i="34"/>
  <c r="S317" i="34"/>
  <c r="U316" i="34"/>
  <c r="T316" i="34"/>
  <c r="S316" i="34"/>
  <c r="U315" i="34"/>
  <c r="T315" i="34"/>
  <c r="S315" i="34"/>
  <c r="U314" i="34"/>
  <c r="T314" i="34"/>
  <c r="S314" i="34"/>
  <c r="U313" i="34"/>
  <c r="T313" i="34"/>
  <c r="S313" i="34"/>
  <c r="U312" i="34"/>
  <c r="T312" i="34"/>
  <c r="S312" i="34"/>
  <c r="U311" i="34"/>
  <c r="T311" i="34"/>
  <c r="S311" i="34"/>
  <c r="U310" i="34"/>
  <c r="T310" i="34"/>
  <c r="S310" i="34"/>
  <c r="U309" i="34"/>
  <c r="T309" i="34"/>
  <c r="S309" i="34"/>
  <c r="U308" i="34"/>
  <c r="T308" i="34"/>
  <c r="S308" i="34"/>
  <c r="U307" i="34"/>
  <c r="T307" i="34"/>
  <c r="S307" i="34"/>
  <c r="U306" i="34"/>
  <c r="T306" i="34"/>
  <c r="S306" i="34"/>
  <c r="U305" i="34"/>
  <c r="T305" i="34"/>
  <c r="S305" i="34"/>
  <c r="U304" i="34"/>
  <c r="T304" i="34"/>
  <c r="S304" i="34"/>
  <c r="U303" i="34"/>
  <c r="T303" i="34"/>
  <c r="S303" i="34"/>
  <c r="U302" i="34"/>
  <c r="T302" i="34"/>
  <c r="S302" i="34"/>
  <c r="U301" i="34"/>
  <c r="T301" i="34"/>
  <c r="S301" i="34"/>
  <c r="U300" i="34"/>
  <c r="T300" i="34"/>
  <c r="S300" i="34"/>
  <c r="U299" i="34"/>
  <c r="T299" i="34"/>
  <c r="S299" i="34"/>
  <c r="U298" i="34"/>
  <c r="T298" i="34"/>
  <c r="S298" i="34"/>
  <c r="U297" i="34"/>
  <c r="T297" i="34"/>
  <c r="S297" i="34"/>
  <c r="U296" i="34"/>
  <c r="T296" i="34"/>
  <c r="S296" i="34"/>
  <c r="U295" i="34"/>
  <c r="T295" i="34"/>
  <c r="S295" i="34"/>
  <c r="U294" i="34"/>
  <c r="T294" i="34"/>
  <c r="S294" i="34"/>
  <c r="U293" i="34"/>
  <c r="T293" i="34"/>
  <c r="S293" i="34"/>
  <c r="U292" i="34"/>
  <c r="T292" i="34"/>
  <c r="S292" i="34"/>
  <c r="U291" i="34"/>
  <c r="T291" i="34"/>
  <c r="S291" i="34"/>
  <c r="U290" i="34"/>
  <c r="T290" i="34"/>
  <c r="S290" i="34"/>
  <c r="U289" i="34"/>
  <c r="T289" i="34"/>
  <c r="S289" i="34"/>
  <c r="U288" i="34"/>
  <c r="T288" i="34"/>
  <c r="S288" i="34"/>
  <c r="U287" i="34"/>
  <c r="T287" i="34"/>
  <c r="S287" i="34"/>
  <c r="U286" i="34"/>
  <c r="T286" i="34"/>
  <c r="S286" i="34"/>
  <c r="U285" i="34"/>
  <c r="T285" i="34"/>
  <c r="S285" i="34"/>
  <c r="U284" i="34"/>
  <c r="T284" i="34"/>
  <c r="S284" i="34"/>
  <c r="U283" i="34"/>
  <c r="T283" i="34"/>
  <c r="S283" i="34"/>
  <c r="U282" i="34"/>
  <c r="T282" i="34"/>
  <c r="S282" i="34"/>
  <c r="U281" i="34"/>
  <c r="T281" i="34"/>
  <c r="S281" i="34"/>
  <c r="U280" i="34"/>
  <c r="T280" i="34"/>
  <c r="S280" i="34"/>
  <c r="U279" i="34"/>
  <c r="T279" i="34"/>
  <c r="S279" i="34"/>
  <c r="U278" i="34"/>
  <c r="T278" i="34"/>
  <c r="S278" i="34"/>
  <c r="U277" i="34"/>
  <c r="T277" i="34"/>
  <c r="S277" i="34"/>
  <c r="U276" i="34"/>
  <c r="T276" i="34"/>
  <c r="S276" i="34"/>
  <c r="U275" i="34"/>
  <c r="T275" i="34"/>
  <c r="S275" i="34"/>
  <c r="U274" i="34"/>
  <c r="T274" i="34"/>
  <c r="S274" i="34"/>
  <c r="U273" i="34"/>
  <c r="T273" i="34"/>
  <c r="S273" i="34"/>
  <c r="U272" i="34"/>
  <c r="T272" i="34"/>
  <c r="S272" i="34"/>
  <c r="U271" i="34"/>
  <c r="T271" i="34"/>
  <c r="S271" i="34"/>
  <c r="U270" i="34"/>
  <c r="T270" i="34"/>
  <c r="S270" i="34"/>
  <c r="U269" i="34"/>
  <c r="T269" i="34"/>
  <c r="S269" i="34"/>
  <c r="U268" i="34"/>
  <c r="T268" i="34"/>
  <c r="S268" i="34"/>
  <c r="U267" i="34"/>
  <c r="T267" i="34"/>
  <c r="S267" i="34"/>
  <c r="U266" i="34"/>
  <c r="T266" i="34"/>
  <c r="S266" i="34"/>
  <c r="U265" i="34"/>
  <c r="T265" i="34"/>
  <c r="S265" i="34"/>
  <c r="U264" i="34"/>
  <c r="T264" i="34"/>
  <c r="S264" i="34"/>
  <c r="U263" i="34"/>
  <c r="T263" i="34"/>
  <c r="S263" i="34"/>
  <c r="U262" i="34"/>
  <c r="T262" i="34"/>
  <c r="S262" i="34"/>
  <c r="U261" i="34"/>
  <c r="T261" i="34"/>
  <c r="S261" i="34"/>
  <c r="U260" i="34"/>
  <c r="T260" i="34"/>
  <c r="S260" i="34"/>
  <c r="U259" i="34"/>
  <c r="T259" i="34"/>
  <c r="S259" i="34"/>
  <c r="U258" i="34"/>
  <c r="T258" i="34"/>
  <c r="S258" i="34"/>
  <c r="U257" i="34"/>
  <c r="T257" i="34"/>
  <c r="S257" i="34"/>
  <c r="U256" i="34"/>
  <c r="T256" i="34"/>
  <c r="S256" i="34"/>
  <c r="U255" i="34"/>
  <c r="T255" i="34"/>
  <c r="S255" i="34"/>
  <c r="U254" i="34"/>
  <c r="T254" i="34"/>
  <c r="S254" i="34"/>
  <c r="U253" i="34"/>
  <c r="T253" i="34"/>
  <c r="S253" i="34"/>
  <c r="U252" i="34"/>
  <c r="T252" i="34"/>
  <c r="S252" i="34"/>
  <c r="U251" i="34"/>
  <c r="T251" i="34"/>
  <c r="S251" i="34"/>
  <c r="U250" i="34"/>
  <c r="T250" i="34"/>
  <c r="S250" i="34"/>
  <c r="U249" i="34"/>
  <c r="T249" i="34"/>
  <c r="S249" i="34"/>
  <c r="U248" i="34"/>
  <c r="T248" i="34"/>
  <c r="S248" i="34"/>
  <c r="U247" i="34"/>
  <c r="T247" i="34"/>
  <c r="S247" i="34"/>
  <c r="U246" i="34"/>
  <c r="T246" i="34"/>
  <c r="S246" i="34"/>
  <c r="U245" i="34"/>
  <c r="T245" i="34"/>
  <c r="S245" i="34"/>
  <c r="U244" i="34"/>
  <c r="T244" i="34"/>
  <c r="S244" i="34"/>
  <c r="U243" i="34"/>
  <c r="T243" i="34"/>
  <c r="S243" i="34"/>
  <c r="U242" i="34"/>
  <c r="T242" i="34"/>
  <c r="S242" i="34"/>
  <c r="U241" i="34"/>
  <c r="T241" i="34"/>
  <c r="S241" i="34"/>
  <c r="U240" i="34"/>
  <c r="T240" i="34"/>
  <c r="S240" i="34"/>
  <c r="U239" i="34"/>
  <c r="T239" i="34"/>
  <c r="S239" i="34"/>
  <c r="U238" i="34"/>
  <c r="T238" i="34"/>
  <c r="S238" i="34"/>
  <c r="U237" i="34"/>
  <c r="T237" i="34"/>
  <c r="S237" i="34"/>
  <c r="U236" i="34"/>
  <c r="T236" i="34"/>
  <c r="S236" i="34"/>
  <c r="U235" i="34"/>
  <c r="T235" i="34"/>
  <c r="S235" i="34"/>
  <c r="U234" i="34"/>
  <c r="T234" i="34"/>
  <c r="S234" i="34"/>
  <c r="U233" i="34"/>
  <c r="T233" i="34"/>
  <c r="S233" i="34"/>
  <c r="U232" i="34"/>
  <c r="T232" i="34"/>
  <c r="S232" i="34"/>
  <c r="U231" i="34"/>
  <c r="T231" i="34"/>
  <c r="S231" i="34"/>
  <c r="F887" i="28" l="1"/>
  <c r="F1446" i="30" l="1"/>
  <c r="F1445" i="30"/>
  <c r="F1444" i="30"/>
  <c r="F1443" i="30"/>
  <c r="F1442" i="30"/>
  <c r="F1441" i="30"/>
  <c r="F1440" i="30"/>
  <c r="F1439" i="30"/>
  <c r="F1438" i="30"/>
  <c r="F1437" i="30"/>
  <c r="F1436" i="30"/>
  <c r="F1435" i="30"/>
  <c r="F1434" i="30"/>
  <c r="F1433" i="30"/>
  <c r="F1432" i="30"/>
  <c r="F1431" i="30"/>
  <c r="F1430" i="30"/>
  <c r="F1429" i="30"/>
  <c r="F1428" i="30"/>
  <c r="F1427" i="30"/>
  <c r="F1426" i="30"/>
  <c r="F1425" i="30"/>
  <c r="F1424" i="30"/>
  <c r="F1423" i="30"/>
  <c r="F1422" i="30"/>
  <c r="F1421" i="30"/>
  <c r="F1420" i="30"/>
  <c r="F1419" i="30"/>
  <c r="F1418" i="30"/>
  <c r="F1417" i="30"/>
  <c r="F1416" i="30"/>
  <c r="F1415" i="30"/>
  <c r="F1414" i="30"/>
  <c r="F1413" i="30"/>
  <c r="F1412" i="30"/>
  <c r="F1411" i="30"/>
  <c r="F1410" i="30"/>
  <c r="F1409" i="30"/>
  <c r="F1408" i="30"/>
  <c r="F1407" i="30"/>
  <c r="F1406" i="30"/>
  <c r="F1405" i="30"/>
  <c r="F1404" i="30"/>
  <c r="F1403" i="30"/>
  <c r="F1402" i="30"/>
  <c r="F1401" i="30"/>
  <c r="F1400" i="30"/>
  <c r="F1399" i="30"/>
  <c r="F1398" i="30"/>
  <c r="F1397" i="30"/>
  <c r="F1396" i="30"/>
  <c r="F1395" i="30"/>
  <c r="F1394" i="30"/>
  <c r="F1393" i="30"/>
  <c r="F1392" i="30"/>
  <c r="F1391" i="30"/>
  <c r="F1390" i="30"/>
  <c r="F1389" i="30"/>
  <c r="F1388" i="30"/>
  <c r="F1387" i="30"/>
  <c r="F1386" i="30"/>
  <c r="F1385" i="30"/>
  <c r="F1384" i="30"/>
  <c r="F1383" i="30"/>
  <c r="F1382" i="30"/>
  <c r="F1381" i="30"/>
  <c r="F1380" i="30"/>
  <c r="F1379" i="30"/>
  <c r="F1378" i="30"/>
  <c r="F1377" i="30"/>
  <c r="F1376" i="30"/>
  <c r="F1375" i="30"/>
  <c r="E1374" i="30"/>
  <c r="C1374" i="30"/>
  <c r="E1373" i="30"/>
  <c r="C1373" i="30"/>
  <c r="E1372" i="30"/>
  <c r="C1372" i="30"/>
  <c r="E1371" i="30"/>
  <c r="C1371" i="30"/>
  <c r="E1370" i="30"/>
  <c r="C1370" i="30"/>
  <c r="E1369" i="30"/>
  <c r="C1369" i="30"/>
  <c r="E1368" i="30"/>
  <c r="C1368" i="30"/>
  <c r="E1367" i="30"/>
  <c r="C1367" i="30"/>
  <c r="E1366" i="30"/>
  <c r="C1366" i="30"/>
  <c r="E1365" i="30"/>
  <c r="C1365" i="30"/>
  <c r="E1364" i="30"/>
  <c r="C1364" i="30"/>
  <c r="E1363" i="30"/>
  <c r="C1363" i="30"/>
  <c r="E1362" i="30"/>
  <c r="C1362" i="30"/>
  <c r="E1361" i="30"/>
  <c r="C1361" i="30"/>
  <c r="E1360" i="30"/>
  <c r="C1360" i="30"/>
  <c r="E1359" i="30"/>
  <c r="C1359" i="30"/>
  <c r="E1358" i="30"/>
  <c r="C1358" i="30"/>
  <c r="E1357" i="30"/>
  <c r="C1357" i="30"/>
  <c r="E1356" i="30"/>
  <c r="C1356" i="30"/>
  <c r="E1355" i="30"/>
  <c r="C1355" i="30"/>
  <c r="E1354" i="30"/>
  <c r="C1354" i="30"/>
  <c r="E1353" i="30"/>
  <c r="C1353" i="30"/>
  <c r="E1352" i="30"/>
  <c r="C1352" i="30"/>
  <c r="E1351" i="30"/>
  <c r="C1351" i="30"/>
  <c r="E1350" i="30"/>
  <c r="C1350" i="30"/>
  <c r="E1349" i="30"/>
  <c r="C1349" i="30"/>
  <c r="E1348" i="30"/>
  <c r="C1348" i="30"/>
  <c r="E1347" i="30"/>
  <c r="C1347" i="30"/>
  <c r="E1346" i="30"/>
  <c r="C1346" i="30"/>
  <c r="E1345" i="30"/>
  <c r="C1345" i="30"/>
  <c r="E1344" i="30"/>
  <c r="C1344" i="30"/>
  <c r="E1343" i="30"/>
  <c r="C1343" i="30"/>
  <c r="E1342" i="30"/>
  <c r="C1342" i="30"/>
  <c r="E1341" i="30"/>
  <c r="C1341" i="30"/>
  <c r="E1340" i="30"/>
  <c r="C1340" i="30"/>
  <c r="E1339" i="30"/>
  <c r="C1339" i="30"/>
  <c r="E1338" i="30"/>
  <c r="C1338" i="30"/>
  <c r="E1337" i="30"/>
  <c r="C1337" i="30"/>
  <c r="E1336" i="30"/>
  <c r="C1336" i="30"/>
  <c r="E1335" i="30"/>
  <c r="C1335" i="30"/>
  <c r="E1334" i="30"/>
  <c r="C1334" i="30"/>
  <c r="E1333" i="30"/>
  <c r="C1333" i="30"/>
  <c r="E1332" i="30"/>
  <c r="C1332" i="30"/>
  <c r="E1331" i="30"/>
  <c r="C1331" i="30"/>
  <c r="E1330" i="30"/>
  <c r="C1330" i="30"/>
  <c r="E1329" i="30"/>
  <c r="C1329" i="30"/>
  <c r="E1328" i="30"/>
  <c r="C1328" i="30"/>
  <c r="E1327" i="30"/>
  <c r="C1327" i="30"/>
  <c r="E1326" i="30"/>
  <c r="C1326" i="30"/>
  <c r="E1325" i="30"/>
  <c r="C1325" i="30"/>
  <c r="E1324" i="30"/>
  <c r="C1324" i="30"/>
  <c r="E1323" i="30"/>
  <c r="C1323" i="30"/>
  <c r="E1322" i="30"/>
  <c r="C1322" i="30"/>
  <c r="E1321" i="30"/>
  <c r="C1321" i="30"/>
  <c r="E1320" i="30"/>
  <c r="C1320" i="30"/>
  <c r="E1319" i="30"/>
  <c r="C1319" i="30"/>
  <c r="E1318" i="30"/>
  <c r="C1318" i="30"/>
  <c r="E1317" i="30"/>
  <c r="C1317" i="30"/>
  <c r="E1316" i="30"/>
  <c r="C1316" i="30"/>
  <c r="E1315" i="30"/>
  <c r="C1315" i="30"/>
  <c r="E1314" i="30"/>
  <c r="C1314" i="30"/>
  <c r="E1313" i="30"/>
  <c r="C1313" i="30"/>
  <c r="E1312" i="30"/>
  <c r="C1312" i="30"/>
  <c r="E1311" i="30"/>
  <c r="C1311" i="30"/>
  <c r="E1310" i="30"/>
  <c r="C1310" i="30"/>
  <c r="E1309" i="30"/>
  <c r="C1309" i="30"/>
  <c r="E1308" i="30"/>
  <c r="C1308" i="30"/>
  <c r="E1307" i="30"/>
  <c r="C1307" i="30"/>
  <c r="E1306" i="30"/>
  <c r="C1306" i="30"/>
  <c r="E1305" i="30"/>
  <c r="C1305" i="30"/>
  <c r="E1304" i="30"/>
  <c r="C1304" i="30"/>
  <c r="E1303" i="30"/>
  <c r="C1303" i="30"/>
  <c r="E1302" i="30"/>
  <c r="C1302" i="30"/>
  <c r="E1301" i="30"/>
  <c r="C1301" i="30"/>
  <c r="E1300" i="30"/>
  <c r="C1300" i="30"/>
  <c r="E1299" i="30"/>
  <c r="C1299" i="30"/>
  <c r="E1298" i="30"/>
  <c r="C1298" i="30"/>
  <c r="E1297" i="30"/>
  <c r="C1297" i="30"/>
  <c r="E1296" i="30"/>
  <c r="C1296" i="30"/>
  <c r="E1295" i="30"/>
  <c r="C1295" i="30"/>
  <c r="E1294" i="30"/>
  <c r="C1294" i="30"/>
  <c r="E1293" i="30"/>
  <c r="C1293" i="30"/>
  <c r="E1292" i="30"/>
  <c r="C1292" i="30"/>
  <c r="E1291" i="30"/>
  <c r="C1291" i="30"/>
  <c r="E1290" i="30"/>
  <c r="C1290" i="30"/>
  <c r="E1289" i="30"/>
  <c r="C1289" i="30"/>
  <c r="E1288" i="30"/>
  <c r="C1288" i="30"/>
  <c r="E1287" i="30"/>
  <c r="C1287" i="30"/>
  <c r="E1286" i="30"/>
  <c r="C1286" i="30"/>
  <c r="E1285" i="30"/>
  <c r="C1285" i="30"/>
  <c r="E1284" i="30"/>
  <c r="C1284" i="30"/>
  <c r="E1283" i="30"/>
  <c r="C1283" i="30"/>
  <c r="E1282" i="30"/>
  <c r="C1282" i="30"/>
  <c r="E1281" i="30"/>
  <c r="C1281" i="30"/>
  <c r="E1280" i="30"/>
  <c r="C1280" i="30"/>
  <c r="E1279" i="30"/>
  <c r="C1279" i="30"/>
  <c r="E1278" i="30"/>
  <c r="C1278" i="30"/>
  <c r="E1277" i="30"/>
  <c r="C1277" i="30"/>
  <c r="E1276" i="30"/>
  <c r="C1276" i="30"/>
  <c r="E1275" i="30"/>
  <c r="C1275" i="30"/>
  <c r="E1274" i="30"/>
  <c r="C1274" i="30"/>
  <c r="E1273" i="30"/>
  <c r="C1273" i="30"/>
  <c r="E1272" i="30"/>
  <c r="C1272" i="30"/>
  <c r="E1271" i="30"/>
  <c r="C1271" i="30"/>
  <c r="E1270" i="30"/>
  <c r="C1270" i="30"/>
  <c r="E1269" i="30"/>
  <c r="C1269" i="30"/>
  <c r="E1268" i="30"/>
  <c r="C1268" i="30"/>
  <c r="E1267" i="30"/>
  <c r="C1267" i="30"/>
  <c r="E1266" i="30"/>
  <c r="C1266" i="30"/>
  <c r="E1265" i="30"/>
  <c r="C1265" i="30"/>
  <c r="E1264" i="30"/>
  <c r="C1264" i="30"/>
  <c r="E1263" i="30"/>
  <c r="C1263" i="30"/>
  <c r="E1262" i="30"/>
  <c r="C1262" i="30"/>
  <c r="E1261" i="30"/>
  <c r="C1261" i="30"/>
  <c r="E1260" i="30"/>
  <c r="C1260" i="30"/>
  <c r="E1259" i="30"/>
  <c r="C1259" i="30"/>
  <c r="E1258" i="30"/>
  <c r="C1258" i="30"/>
  <c r="E1257" i="30"/>
  <c r="C1257" i="30"/>
  <c r="E1256" i="30"/>
  <c r="C1256" i="30"/>
  <c r="E1255" i="30"/>
  <c r="C1255" i="30"/>
  <c r="E1254" i="30"/>
  <c r="C1254" i="30"/>
  <c r="E1253" i="30"/>
  <c r="C1253" i="30"/>
  <c r="E1252" i="30"/>
  <c r="C1252" i="30"/>
  <c r="E1251" i="30"/>
  <c r="C1251" i="30"/>
  <c r="E1250" i="30"/>
  <c r="C1250" i="30"/>
  <c r="E1249" i="30"/>
  <c r="C1249" i="30"/>
  <c r="E1248" i="30"/>
  <c r="C1248" i="30"/>
  <c r="E1247" i="30"/>
  <c r="C1247" i="30"/>
  <c r="E1246" i="30"/>
  <c r="C1246" i="30"/>
  <c r="E1245" i="30"/>
  <c r="C1245" i="30"/>
  <c r="E1244" i="30"/>
  <c r="C1244" i="30"/>
  <c r="E1243" i="30"/>
  <c r="C1243" i="30"/>
  <c r="E1242" i="30"/>
  <c r="C1242" i="30"/>
  <c r="E1241" i="30"/>
  <c r="C1241" i="30"/>
  <c r="E1240" i="30"/>
  <c r="C1240" i="30"/>
  <c r="E1239" i="30"/>
  <c r="C1239" i="30"/>
  <c r="E1238" i="30"/>
  <c r="C1238" i="30"/>
  <c r="E1237" i="30"/>
  <c r="C1237" i="30"/>
  <c r="E1236" i="30"/>
  <c r="C1236" i="30"/>
  <c r="E1235" i="30"/>
  <c r="C1235" i="30"/>
  <c r="E1234" i="30"/>
  <c r="C1234" i="30"/>
  <c r="E1233" i="30"/>
  <c r="C1233" i="30"/>
  <c r="E1232" i="30"/>
  <c r="C1232" i="30"/>
  <c r="E1231" i="30"/>
  <c r="C1231" i="30"/>
  <c r="E1230" i="30"/>
  <c r="C1230" i="30"/>
  <c r="E1229" i="30"/>
  <c r="C1229" i="30"/>
  <c r="E1228" i="30"/>
  <c r="C1228" i="30"/>
  <c r="E1227" i="30"/>
  <c r="C1227" i="30"/>
  <c r="E1226" i="30"/>
  <c r="C1226" i="30"/>
  <c r="E1225" i="30"/>
  <c r="C1225" i="30"/>
  <c r="E1224" i="30"/>
  <c r="C1224" i="30"/>
  <c r="E1223" i="30"/>
  <c r="C1223" i="30"/>
  <c r="E1222" i="30"/>
  <c r="C1222" i="30"/>
  <c r="E1221" i="30"/>
  <c r="C1221" i="30"/>
  <c r="E1220" i="30"/>
  <c r="C1220" i="30"/>
  <c r="E1219" i="30"/>
  <c r="C1219" i="30"/>
  <c r="E1218" i="30"/>
  <c r="C1218" i="30"/>
  <c r="E1217" i="30"/>
  <c r="C1217" i="30"/>
  <c r="E1216" i="30"/>
  <c r="C1216" i="30"/>
  <c r="E1215" i="30"/>
  <c r="C1215" i="30"/>
  <c r="E1214" i="30"/>
  <c r="C1214" i="30"/>
  <c r="E1213" i="30"/>
  <c r="C1213" i="30"/>
  <c r="E1212" i="30"/>
  <c r="C1212" i="30"/>
  <c r="E1211" i="30"/>
  <c r="C1211" i="30"/>
  <c r="E1210" i="30"/>
  <c r="C1210" i="30"/>
  <c r="E1209" i="30"/>
  <c r="C1209" i="30"/>
  <c r="E1208" i="30"/>
  <c r="C1208" i="30"/>
  <c r="E1207" i="30"/>
  <c r="C1207" i="30"/>
  <c r="E1206" i="30"/>
  <c r="C1206" i="30"/>
  <c r="E1205" i="30"/>
  <c r="C1205" i="30"/>
  <c r="E1204" i="30"/>
  <c r="C1204" i="30"/>
  <c r="H1203" i="30"/>
  <c r="G1203" i="30"/>
  <c r="H1202" i="30"/>
  <c r="G1202" i="30"/>
  <c r="H1201" i="30"/>
  <c r="G1201" i="30"/>
  <c r="G1372" i="30" s="1"/>
  <c r="H1372" i="30" s="1"/>
  <c r="H1200" i="30"/>
  <c r="G1200" i="30"/>
  <c r="G1371" i="30" s="1"/>
  <c r="H1371" i="30" s="1"/>
  <c r="H1199" i="30"/>
  <c r="G1199" i="30"/>
  <c r="G1370" i="30" s="1"/>
  <c r="H1370" i="30" s="1"/>
  <c r="H1198" i="30"/>
  <c r="G1198" i="30"/>
  <c r="H1197" i="30"/>
  <c r="G1197" i="30"/>
  <c r="H1196" i="30"/>
  <c r="G1196" i="30"/>
  <c r="H1195" i="30"/>
  <c r="G1195" i="30"/>
  <c r="H1194" i="30"/>
  <c r="G1194" i="30"/>
  <c r="G1365" i="30" s="1"/>
  <c r="H1365" i="30" s="1"/>
  <c r="H1193" i="30"/>
  <c r="G1193" i="30"/>
  <c r="G1364" i="30" s="1"/>
  <c r="H1364" i="30" s="1"/>
  <c r="H1192" i="30"/>
  <c r="G1192" i="30"/>
  <c r="G1363" i="30" s="1"/>
  <c r="H1363" i="30" s="1"/>
  <c r="H1191" i="30"/>
  <c r="G1191" i="30"/>
  <c r="H1190" i="30"/>
  <c r="G1190" i="30"/>
  <c r="G1361" i="30" s="1"/>
  <c r="H1361" i="30" s="1"/>
  <c r="H1189" i="30"/>
  <c r="G1189" i="30"/>
  <c r="G1360" i="30" s="1"/>
  <c r="H1360" i="30" s="1"/>
  <c r="H1188" i="30"/>
  <c r="G1188" i="30"/>
  <c r="H1187" i="30"/>
  <c r="G1187" i="30"/>
  <c r="H1186" i="30"/>
  <c r="G1186" i="30"/>
  <c r="H1185" i="30"/>
  <c r="G1185" i="30"/>
  <c r="H1184" i="30"/>
  <c r="G1184" i="30"/>
  <c r="G1355" i="30" s="1"/>
  <c r="H1355" i="30" s="1"/>
  <c r="H1183" i="30"/>
  <c r="G1183" i="30"/>
  <c r="G1354" i="30" s="1"/>
  <c r="H1354" i="30" s="1"/>
  <c r="H1182" i="30"/>
  <c r="G1182" i="30"/>
  <c r="G1353" i="30" s="1"/>
  <c r="H1353" i="30" s="1"/>
  <c r="H1181" i="30"/>
  <c r="G1181" i="30"/>
  <c r="G1352" i="30" s="1"/>
  <c r="H1352" i="30" s="1"/>
  <c r="H1180" i="30"/>
  <c r="G1180" i="30"/>
  <c r="H1179" i="30"/>
  <c r="G1179" i="30"/>
  <c r="H1178" i="30"/>
  <c r="G1178" i="30"/>
  <c r="G1349" i="30" s="1"/>
  <c r="H1349" i="30" s="1"/>
  <c r="H1177" i="30"/>
  <c r="G1177" i="30"/>
  <c r="G1348" i="30" s="1"/>
  <c r="H1348" i="30" s="1"/>
  <c r="H1176" i="30"/>
  <c r="G1176" i="30"/>
  <c r="G1347" i="30" s="1"/>
  <c r="H1347" i="30" s="1"/>
  <c r="H1175" i="30"/>
  <c r="G1175" i="30"/>
  <c r="G1346" i="30" s="1"/>
  <c r="H1346" i="30" s="1"/>
  <c r="H1174" i="30"/>
  <c r="G1174" i="30"/>
  <c r="H1173" i="30"/>
  <c r="G1173" i="30"/>
  <c r="H1172" i="30"/>
  <c r="G1172" i="30"/>
  <c r="H1171" i="30"/>
  <c r="G1171" i="30"/>
  <c r="H1170" i="30"/>
  <c r="G1170" i="30"/>
  <c r="H1169" i="30"/>
  <c r="G1169" i="30"/>
  <c r="G1340" i="30" s="1"/>
  <c r="H1340" i="30" s="1"/>
  <c r="H1168" i="30"/>
  <c r="G1168" i="30"/>
  <c r="G1339" i="30" s="1"/>
  <c r="H1339" i="30" s="1"/>
  <c r="H1167" i="30"/>
  <c r="G1167" i="30"/>
  <c r="G1338" i="30" s="1"/>
  <c r="H1338" i="30" s="1"/>
  <c r="H1166" i="30"/>
  <c r="G1166" i="30"/>
  <c r="G1337" i="30" s="1"/>
  <c r="H1337" i="30" s="1"/>
  <c r="H1165" i="30"/>
  <c r="G1165" i="30"/>
  <c r="G1336" i="30" s="1"/>
  <c r="H1336" i="30" s="1"/>
  <c r="H1164" i="30"/>
  <c r="G1164" i="30"/>
  <c r="H1163" i="30"/>
  <c r="G1163" i="30"/>
  <c r="H1162" i="30"/>
  <c r="G1162" i="30"/>
  <c r="G1333" i="30" s="1"/>
  <c r="H1333" i="30" s="1"/>
  <c r="H1161" i="30"/>
  <c r="G1161" i="30"/>
  <c r="G1332" i="30" s="1"/>
  <c r="H1332" i="30" s="1"/>
  <c r="H1160" i="30"/>
  <c r="G1160" i="30"/>
  <c r="G1331" i="30" s="1"/>
  <c r="H1331" i="30" s="1"/>
  <c r="H1159" i="30"/>
  <c r="G1159" i="30"/>
  <c r="G1330" i="30" s="1"/>
  <c r="H1330" i="30" s="1"/>
  <c r="H1158" i="30"/>
  <c r="G1158" i="30"/>
  <c r="G1329" i="30" s="1"/>
  <c r="H1329" i="30" s="1"/>
  <c r="H1157" i="30"/>
  <c r="G1157" i="30"/>
  <c r="G1328" i="30" s="1"/>
  <c r="H1328" i="30" s="1"/>
  <c r="H1156" i="30"/>
  <c r="G1156" i="30"/>
  <c r="H1155" i="30"/>
  <c r="G1155" i="30"/>
  <c r="H1154" i="30"/>
  <c r="G1154" i="30"/>
  <c r="H1153" i="30"/>
  <c r="G1153" i="30"/>
  <c r="G1324" i="30" s="1"/>
  <c r="H1324" i="30" s="1"/>
  <c r="H1152" i="30"/>
  <c r="G1152" i="30"/>
  <c r="G1323" i="30" s="1"/>
  <c r="H1323" i="30" s="1"/>
  <c r="H1151" i="30"/>
  <c r="G1151" i="30"/>
  <c r="G1322" i="30" s="1"/>
  <c r="H1322" i="30" s="1"/>
  <c r="H1150" i="30"/>
  <c r="G1150" i="30"/>
  <c r="H1149" i="30"/>
  <c r="G1149" i="30"/>
  <c r="G1320" i="30" s="1"/>
  <c r="H1320" i="30" s="1"/>
  <c r="H1148" i="30"/>
  <c r="G1148" i="30"/>
  <c r="H1147" i="30"/>
  <c r="G1147" i="30"/>
  <c r="H1146" i="30"/>
  <c r="G1146" i="30"/>
  <c r="G1317" i="30" s="1"/>
  <c r="H1317" i="30" s="1"/>
  <c r="H1145" i="30"/>
  <c r="G1145" i="30"/>
  <c r="H1144" i="30"/>
  <c r="G1144" i="30"/>
  <c r="H1143" i="30"/>
  <c r="G1143" i="30"/>
  <c r="H1142" i="30"/>
  <c r="G1142" i="30"/>
  <c r="H1141" i="30"/>
  <c r="G1141" i="30"/>
  <c r="H1140" i="30"/>
  <c r="G1140" i="30"/>
  <c r="H1139" i="30"/>
  <c r="G1139" i="30"/>
  <c r="H1138" i="30"/>
  <c r="G1138" i="30"/>
  <c r="H1137" i="30"/>
  <c r="G1137" i="30"/>
  <c r="H1136" i="30"/>
  <c r="G1136" i="30"/>
  <c r="H1135" i="30"/>
  <c r="G1135" i="30"/>
  <c r="H1134" i="30"/>
  <c r="G1134" i="30"/>
  <c r="H1133" i="30"/>
  <c r="G1133" i="30"/>
  <c r="H1132" i="30"/>
  <c r="G1132" i="30"/>
  <c r="H1131" i="30"/>
  <c r="G1131" i="30"/>
  <c r="H1130" i="30"/>
  <c r="G1130" i="30"/>
  <c r="H1129" i="30"/>
  <c r="G1129" i="30"/>
  <c r="H1128" i="30"/>
  <c r="G1128" i="30"/>
  <c r="H1127" i="30"/>
  <c r="G1127" i="30"/>
  <c r="H1126" i="30"/>
  <c r="G1126" i="30"/>
  <c r="H1125" i="30"/>
  <c r="G1125" i="30"/>
  <c r="H1124" i="30"/>
  <c r="G1124" i="30"/>
  <c r="H1123" i="30"/>
  <c r="G1123" i="30"/>
  <c r="H1122" i="30"/>
  <c r="G1122" i="30"/>
  <c r="H1121" i="30"/>
  <c r="G1121" i="30"/>
  <c r="H1120" i="30"/>
  <c r="G1120" i="30"/>
  <c r="H1119" i="30"/>
  <c r="G1119" i="30"/>
  <c r="H1118" i="30"/>
  <c r="G1118" i="30"/>
  <c r="H1117" i="30"/>
  <c r="G1117" i="30"/>
  <c r="H1116" i="30"/>
  <c r="G1116" i="30"/>
  <c r="H1115" i="30"/>
  <c r="G1115" i="30"/>
  <c r="H1114" i="30"/>
  <c r="G1114" i="30"/>
  <c r="H1113" i="30"/>
  <c r="G1113" i="30"/>
  <c r="H1112" i="30"/>
  <c r="G1112" i="30"/>
  <c r="G1283" i="30" s="1"/>
  <c r="H1283" i="30" s="1"/>
  <c r="H1111" i="30"/>
  <c r="G1111" i="30"/>
  <c r="G1282" i="30" s="1"/>
  <c r="H1282" i="30" s="1"/>
  <c r="H1110" i="30"/>
  <c r="G1110" i="30"/>
  <c r="G1281" i="30" s="1"/>
  <c r="H1281" i="30" s="1"/>
  <c r="H1109" i="30"/>
  <c r="G1109" i="30"/>
  <c r="H1108" i="30"/>
  <c r="G1108" i="30"/>
  <c r="H1107" i="30"/>
  <c r="G1107" i="30"/>
  <c r="H1106" i="30"/>
  <c r="G1106" i="30"/>
  <c r="H1105" i="30"/>
  <c r="G1105" i="30"/>
  <c r="H1104" i="30"/>
  <c r="G1104" i="30"/>
  <c r="H1103" i="30"/>
  <c r="G1103" i="30"/>
  <c r="H1102" i="30"/>
  <c r="G1102" i="30"/>
  <c r="H1101" i="30"/>
  <c r="G1101" i="30"/>
  <c r="H1100" i="30"/>
  <c r="G1100" i="30"/>
  <c r="H1099" i="30"/>
  <c r="G1099" i="30"/>
  <c r="H1098" i="30"/>
  <c r="G1098" i="30"/>
  <c r="H1097" i="30"/>
  <c r="G1097" i="30"/>
  <c r="G1268" i="30" s="1"/>
  <c r="H1268" i="30" s="1"/>
  <c r="H1096" i="30"/>
  <c r="G1096" i="30"/>
  <c r="G1267" i="30" s="1"/>
  <c r="H1267" i="30" s="1"/>
  <c r="H1095" i="30"/>
  <c r="G1095" i="30"/>
  <c r="H1094" i="30"/>
  <c r="G1094" i="30"/>
  <c r="H1093" i="30"/>
  <c r="G1093" i="30"/>
  <c r="H1092" i="30"/>
  <c r="G1092" i="30"/>
  <c r="H1091" i="30"/>
  <c r="G1091" i="30"/>
  <c r="H1090" i="30"/>
  <c r="G1090" i="30"/>
  <c r="H1089" i="30"/>
  <c r="G1089" i="30"/>
  <c r="H1088" i="30"/>
  <c r="G1088" i="30"/>
  <c r="H1087" i="30"/>
  <c r="G1087" i="30"/>
  <c r="H1086" i="30"/>
  <c r="G1086" i="30"/>
  <c r="H1085" i="30"/>
  <c r="G1085" i="30"/>
  <c r="H1084" i="30"/>
  <c r="G1084" i="30"/>
  <c r="H1083" i="30"/>
  <c r="G1083" i="30"/>
  <c r="H1082" i="30"/>
  <c r="G1082" i="30"/>
  <c r="G1253" i="30" s="1"/>
  <c r="H1253" i="30" s="1"/>
  <c r="H1081" i="30"/>
  <c r="G1081" i="30"/>
  <c r="G1252" i="30" s="1"/>
  <c r="H1252" i="30" s="1"/>
  <c r="H1080" i="30"/>
  <c r="G1080" i="30"/>
  <c r="G1251" i="30" s="1"/>
  <c r="H1251" i="30" s="1"/>
  <c r="H1079" i="30"/>
  <c r="G1079" i="30"/>
  <c r="G1250" i="30" s="1"/>
  <c r="H1250" i="30" s="1"/>
  <c r="H1078" i="30"/>
  <c r="G1078" i="30"/>
  <c r="G1249" i="30" s="1"/>
  <c r="H1249" i="30" s="1"/>
  <c r="H1077" i="30"/>
  <c r="G1077" i="30"/>
  <c r="G1248" i="30" s="1"/>
  <c r="H1248" i="30" s="1"/>
  <c r="H1076" i="30"/>
  <c r="G1076" i="30"/>
  <c r="H1075" i="30"/>
  <c r="G1075" i="30"/>
  <c r="H1074" i="30"/>
  <c r="G1074" i="30"/>
  <c r="G1245" i="30" s="1"/>
  <c r="H1245" i="30" s="1"/>
  <c r="H1073" i="30"/>
  <c r="G1073" i="30"/>
  <c r="G1244" i="30" s="1"/>
  <c r="H1244" i="30" s="1"/>
  <c r="H1072" i="30"/>
  <c r="G1072" i="30"/>
  <c r="H1071" i="30"/>
  <c r="G1071" i="30"/>
  <c r="H1070" i="30"/>
  <c r="G1070" i="30"/>
  <c r="H1069" i="30"/>
  <c r="G1069" i="30"/>
  <c r="G1240" i="30" s="1"/>
  <c r="H1240" i="30" s="1"/>
  <c r="H1068" i="30"/>
  <c r="G1068" i="30"/>
  <c r="H1067" i="30"/>
  <c r="G1067" i="30"/>
  <c r="H1066" i="30"/>
  <c r="G1066" i="30"/>
  <c r="H1065" i="30"/>
  <c r="G1065" i="30"/>
  <c r="H1064" i="30"/>
  <c r="G1064" i="30"/>
  <c r="H1063" i="30"/>
  <c r="G1063" i="30"/>
  <c r="H1062" i="30"/>
  <c r="G1062" i="30"/>
  <c r="H1061" i="30"/>
  <c r="G1061" i="30"/>
  <c r="H1060" i="30"/>
  <c r="G1060" i="30"/>
  <c r="H1059" i="30"/>
  <c r="G1059" i="30"/>
  <c r="H1058" i="30"/>
  <c r="G1058" i="30"/>
  <c r="H1057" i="30"/>
  <c r="G1057" i="30"/>
  <c r="G1228" i="30" s="1"/>
  <c r="H1228" i="30" s="1"/>
  <c r="H1056" i="30"/>
  <c r="G1056" i="30"/>
  <c r="H1055" i="30"/>
  <c r="G1055" i="30"/>
  <c r="H1054" i="30"/>
  <c r="G1054" i="30"/>
  <c r="H1053" i="30"/>
  <c r="G1053" i="30"/>
  <c r="H1052" i="30"/>
  <c r="G1052" i="30"/>
  <c r="H1051" i="30"/>
  <c r="G1051" i="30"/>
  <c r="H1050" i="30"/>
  <c r="G1050" i="30"/>
  <c r="H1049" i="30"/>
  <c r="G1049" i="30"/>
  <c r="H1048" i="30"/>
  <c r="G1048" i="30"/>
  <c r="H1047" i="30"/>
  <c r="G1047" i="30"/>
  <c r="H1046" i="30"/>
  <c r="G1046" i="30"/>
  <c r="H1045" i="30"/>
  <c r="G1045" i="30"/>
  <c r="G1216" i="30" s="1"/>
  <c r="H1216" i="30" s="1"/>
  <c r="H1044" i="30"/>
  <c r="G1044" i="30"/>
  <c r="H1043" i="30"/>
  <c r="G1043" i="30"/>
  <c r="H1042" i="30"/>
  <c r="G1042" i="30"/>
  <c r="G1213" i="30" s="1"/>
  <c r="H1213" i="30" s="1"/>
  <c r="H1041" i="30"/>
  <c r="G1041" i="30"/>
  <c r="G1212" i="30" s="1"/>
  <c r="H1212" i="30" s="1"/>
  <c r="H1040" i="30"/>
  <c r="G1040" i="30"/>
  <c r="H1039" i="30"/>
  <c r="G1039" i="30"/>
  <c r="G1210" i="30" s="1"/>
  <c r="H1210" i="30" s="1"/>
  <c r="H1038" i="30"/>
  <c r="G1038" i="30"/>
  <c r="G1209" i="30" s="1"/>
  <c r="H1209" i="30" s="1"/>
  <c r="H1037" i="30"/>
  <c r="G1037" i="30"/>
  <c r="H1036" i="30"/>
  <c r="G1036" i="30"/>
  <c r="G1207" i="30" s="1"/>
  <c r="H1207" i="30" s="1"/>
  <c r="H1035" i="30"/>
  <c r="G1035" i="30"/>
  <c r="H1034" i="30"/>
  <c r="G1034" i="30"/>
  <c r="H1033" i="30"/>
  <c r="G1033" i="30"/>
  <c r="S278" i="2"/>
  <c r="R278" i="2"/>
  <c r="Q278" i="2"/>
  <c r="S276" i="2"/>
  <c r="R276" i="2"/>
  <c r="Q276" i="2"/>
  <c r="S275" i="2"/>
  <c r="R275" i="2"/>
  <c r="Q275" i="2"/>
  <c r="S274" i="2"/>
  <c r="R274" i="2"/>
  <c r="Q274" i="2"/>
  <c r="S273" i="2"/>
  <c r="R273" i="2"/>
  <c r="Q273" i="2"/>
  <c r="S272" i="2"/>
  <c r="R272" i="2"/>
  <c r="Q272" i="2"/>
  <c r="S271" i="2"/>
  <c r="R271" i="2"/>
  <c r="Q271" i="2"/>
  <c r="S270" i="2"/>
  <c r="R270" i="2"/>
  <c r="Q270" i="2"/>
  <c r="S269" i="2"/>
  <c r="R269" i="2"/>
  <c r="Q269" i="2"/>
  <c r="S268" i="2"/>
  <c r="R268" i="2"/>
  <c r="Q268" i="2"/>
  <c r="S267" i="2"/>
  <c r="R267" i="2"/>
  <c r="Q267" i="2"/>
  <c r="S266" i="2"/>
  <c r="R266" i="2"/>
  <c r="Q266" i="2"/>
  <c r="S265" i="2"/>
  <c r="R265" i="2"/>
  <c r="Q265" i="2"/>
  <c r="S264" i="2"/>
  <c r="R264" i="2"/>
  <c r="Q264" i="2"/>
  <c r="S263" i="2"/>
  <c r="R263" i="2"/>
  <c r="Q263" i="2"/>
  <c r="S262" i="2"/>
  <c r="R262" i="2"/>
  <c r="Q262" i="2"/>
  <c r="S261" i="2"/>
  <c r="R261" i="2"/>
  <c r="Q261" i="2"/>
  <c r="S260" i="2"/>
  <c r="R260" i="2"/>
  <c r="Q260" i="2"/>
  <c r="S259" i="2"/>
  <c r="R259" i="2"/>
  <c r="Q259" i="2"/>
  <c r="S258" i="2"/>
  <c r="R258" i="2"/>
  <c r="Q258" i="2"/>
  <c r="S257" i="2"/>
  <c r="R257" i="2"/>
  <c r="Q257" i="2"/>
  <c r="S256" i="2"/>
  <c r="R256" i="2"/>
  <c r="Q256" i="2"/>
  <c r="S255" i="2"/>
  <c r="R255" i="2"/>
  <c r="Q255" i="2"/>
  <c r="S254" i="2"/>
  <c r="R254" i="2"/>
  <c r="Q254" i="2"/>
  <c r="G240" i="2"/>
  <c r="L239" i="2"/>
  <c r="M239" i="2" s="1"/>
  <c r="E239" i="2"/>
  <c r="C239" i="2"/>
  <c r="Y238" i="2"/>
  <c r="X238" i="2"/>
  <c r="L238" i="2"/>
  <c r="M238" i="2" s="1"/>
  <c r="E238" i="2"/>
  <c r="C238" i="2"/>
  <c r="X237" i="2"/>
  <c r="L237" i="2"/>
  <c r="M237" i="2" s="1"/>
  <c r="E237" i="2"/>
  <c r="C237" i="2"/>
  <c r="P236" i="2"/>
  <c r="O236" i="2"/>
  <c r="N236" i="2"/>
  <c r="L236" i="2"/>
  <c r="M236" i="2" s="1"/>
  <c r="E236" i="2"/>
  <c r="C236" i="2"/>
  <c r="P235" i="2"/>
  <c r="O235" i="2"/>
  <c r="N235" i="2"/>
  <c r="L235" i="2"/>
  <c r="M235" i="2" s="1"/>
  <c r="E235" i="2"/>
  <c r="C235" i="2"/>
  <c r="P234" i="2"/>
  <c r="O234" i="2"/>
  <c r="N234" i="2"/>
  <c r="L234" i="2"/>
  <c r="M234" i="2" s="1"/>
  <c r="E234" i="2"/>
  <c r="C234" i="2"/>
  <c r="P233" i="2"/>
  <c r="O233" i="2"/>
  <c r="N233" i="2"/>
  <c r="L233" i="2"/>
  <c r="M233" i="2" s="1"/>
  <c r="E233" i="2"/>
  <c r="C233" i="2"/>
  <c r="P232" i="2"/>
  <c r="O232" i="2"/>
  <c r="N232" i="2"/>
  <c r="L232" i="2"/>
  <c r="M232" i="2" s="1"/>
  <c r="E232" i="2"/>
  <c r="C232" i="2"/>
  <c r="P231" i="2"/>
  <c r="O231" i="2"/>
  <c r="N231" i="2"/>
  <c r="L231" i="2"/>
  <c r="M231" i="2" s="1"/>
  <c r="E231" i="2"/>
  <c r="C231" i="2"/>
  <c r="P230" i="2"/>
  <c r="O230" i="2"/>
  <c r="N230" i="2"/>
  <c r="L230" i="2"/>
  <c r="M230" i="2" s="1"/>
  <c r="E230" i="2"/>
  <c r="C230" i="2"/>
  <c r="Y229" i="2"/>
  <c r="X229" i="2"/>
  <c r="W229" i="2"/>
  <c r="P229" i="2"/>
  <c r="O229" i="2"/>
  <c r="N229" i="2"/>
  <c r="L229" i="2"/>
  <c r="M229" i="2" s="1"/>
  <c r="E229" i="2"/>
  <c r="C229" i="2"/>
  <c r="Y228" i="2"/>
  <c r="X228" i="2"/>
  <c r="W228" i="2"/>
  <c r="P228" i="2"/>
  <c r="O228" i="2"/>
  <c r="N228" i="2"/>
  <c r="L228" i="2"/>
  <c r="M228" i="2" s="1"/>
  <c r="E228" i="2"/>
  <c r="C228" i="2"/>
  <c r="Y227" i="2"/>
  <c r="X227" i="2"/>
  <c r="W227" i="2"/>
  <c r="P227" i="2"/>
  <c r="O227" i="2"/>
  <c r="N227" i="2"/>
  <c r="L227" i="2"/>
  <c r="M227" i="2" s="1"/>
  <c r="E227" i="2"/>
  <c r="C227" i="2"/>
  <c r="Y226" i="2"/>
  <c r="X226" i="2"/>
  <c r="W226" i="2"/>
  <c r="P226" i="2"/>
  <c r="O226" i="2"/>
  <c r="N226" i="2"/>
  <c r="L226" i="2"/>
  <c r="M226" i="2" s="1"/>
  <c r="F226" i="2"/>
  <c r="E226" i="2"/>
  <c r="C226" i="2"/>
  <c r="Y225" i="2"/>
  <c r="X225" i="2"/>
  <c r="W225" i="2"/>
  <c r="P225" i="2"/>
  <c r="O225" i="2"/>
  <c r="N225" i="2"/>
  <c r="L225" i="2"/>
  <c r="M225" i="2" s="1"/>
  <c r="F225" i="2"/>
  <c r="E225" i="2"/>
  <c r="C225" i="2"/>
  <c r="Y224" i="2"/>
  <c r="X224" i="2"/>
  <c r="W224" i="2"/>
  <c r="P224" i="2"/>
  <c r="O224" i="2"/>
  <c r="N224" i="2"/>
  <c r="L224" i="2"/>
  <c r="M224" i="2" s="1"/>
  <c r="E224" i="2"/>
  <c r="C224" i="2"/>
  <c r="Y223" i="2"/>
  <c r="X223" i="2"/>
  <c r="P223" i="2"/>
  <c r="O223" i="2"/>
  <c r="N223" i="2"/>
  <c r="L223" i="2"/>
  <c r="M223" i="2" s="1"/>
  <c r="E223" i="2"/>
  <c r="C223" i="2"/>
  <c r="Y222" i="2"/>
  <c r="X222" i="2"/>
  <c r="P222" i="2"/>
  <c r="O222" i="2"/>
  <c r="N222" i="2"/>
  <c r="L222" i="2"/>
  <c r="M222" i="2" s="1"/>
  <c r="E222" i="2"/>
  <c r="C222" i="2"/>
  <c r="Y221" i="2"/>
  <c r="X221" i="2"/>
  <c r="W221" i="2"/>
  <c r="P221" i="2"/>
  <c r="O221" i="2"/>
  <c r="N221" i="2"/>
  <c r="L221" i="2"/>
  <c r="M221" i="2" s="1"/>
  <c r="E221" i="2"/>
  <c r="C221" i="2"/>
  <c r="Y220" i="2"/>
  <c r="X220" i="2"/>
  <c r="W220" i="2"/>
  <c r="P220" i="2"/>
  <c r="O220" i="2"/>
  <c r="N220" i="2"/>
  <c r="L220" i="2"/>
  <c r="M220" i="2" s="1"/>
  <c r="E220" i="2"/>
  <c r="C220" i="2"/>
  <c r="Y219" i="2"/>
  <c r="X219" i="2"/>
  <c r="P219" i="2"/>
  <c r="O219" i="2"/>
  <c r="N219" i="2"/>
  <c r="L219" i="2"/>
  <c r="M219" i="2" s="1"/>
  <c r="E219" i="2"/>
  <c r="C219" i="2"/>
  <c r="Y218" i="2"/>
  <c r="X218" i="2"/>
  <c r="P218" i="2"/>
  <c r="O218" i="2"/>
  <c r="N218" i="2"/>
  <c r="L218" i="2"/>
  <c r="M218" i="2" s="1"/>
  <c r="E218" i="2"/>
  <c r="C218" i="2"/>
  <c r="Y217" i="2"/>
  <c r="X217" i="2"/>
  <c r="P217" i="2"/>
  <c r="O217" i="2"/>
  <c r="N217" i="2"/>
  <c r="L217" i="2"/>
  <c r="M217" i="2" s="1"/>
  <c r="E217" i="2"/>
  <c r="C217" i="2"/>
  <c r="Y216" i="2"/>
  <c r="X216" i="2"/>
  <c r="P216" i="2"/>
  <c r="O216" i="2"/>
  <c r="N216" i="2"/>
  <c r="L216" i="2"/>
  <c r="M216" i="2" s="1"/>
  <c r="E216" i="2"/>
  <c r="C216" i="2"/>
  <c r="P215" i="2"/>
  <c r="O215" i="2"/>
  <c r="N215" i="2"/>
  <c r="L215" i="2"/>
  <c r="M215" i="2" s="1"/>
  <c r="E215" i="2"/>
  <c r="C215" i="2"/>
  <c r="P214" i="2"/>
  <c r="O214" i="2"/>
  <c r="N214" i="2"/>
  <c r="L214" i="2"/>
  <c r="M214" i="2" s="1"/>
  <c r="E214" i="2"/>
  <c r="C214" i="2"/>
  <c r="P213" i="2"/>
  <c r="O213" i="2"/>
  <c r="N213" i="2"/>
  <c r="L213" i="2"/>
  <c r="M213" i="2" s="1"/>
  <c r="E213" i="2"/>
  <c r="C213" i="2"/>
  <c r="P212" i="2"/>
  <c r="O212" i="2"/>
  <c r="N212" i="2"/>
  <c r="L212" i="2"/>
  <c r="M212" i="2" s="1"/>
  <c r="E212" i="2"/>
  <c r="C212" i="2"/>
  <c r="P211" i="2"/>
  <c r="O211" i="2"/>
  <c r="N211" i="2"/>
  <c r="L211" i="2"/>
  <c r="M211" i="2" s="1"/>
  <c r="E211" i="2"/>
  <c r="C211" i="2"/>
  <c r="P210" i="2"/>
  <c r="O210" i="2"/>
  <c r="N210" i="2"/>
  <c r="L210" i="2"/>
  <c r="M210" i="2" s="1"/>
  <c r="E210" i="2"/>
  <c r="C210" i="2"/>
  <c r="P209" i="2"/>
  <c r="O209" i="2"/>
  <c r="N209" i="2"/>
  <c r="L209" i="2"/>
  <c r="M209" i="2" s="1"/>
  <c r="E209" i="2"/>
  <c r="C209" i="2"/>
  <c r="P208" i="2"/>
  <c r="O208" i="2"/>
  <c r="N208" i="2"/>
  <c r="L208" i="2"/>
  <c r="M208" i="2" s="1"/>
  <c r="E208" i="2"/>
  <c r="C208" i="2"/>
  <c r="P207" i="2"/>
  <c r="O207" i="2"/>
  <c r="N207" i="2"/>
  <c r="L207" i="2"/>
  <c r="M207" i="2" s="1"/>
  <c r="E207" i="2"/>
  <c r="C207" i="2"/>
  <c r="P206" i="2"/>
  <c r="O206" i="2"/>
  <c r="N206" i="2"/>
  <c r="L206" i="2"/>
  <c r="M206" i="2" s="1"/>
  <c r="E206" i="2"/>
  <c r="C206" i="2"/>
  <c r="P205" i="2"/>
  <c r="O205" i="2"/>
  <c r="N205" i="2"/>
  <c r="L205" i="2"/>
  <c r="M205" i="2" s="1"/>
  <c r="E205" i="2"/>
  <c r="C205" i="2"/>
  <c r="P204" i="2"/>
  <c r="O204" i="2"/>
  <c r="N204" i="2"/>
  <c r="L204" i="2"/>
  <c r="M204" i="2" s="1"/>
  <c r="E204" i="2"/>
  <c r="C204" i="2"/>
  <c r="P203" i="2"/>
  <c r="O203" i="2"/>
  <c r="N203" i="2"/>
  <c r="L203" i="2"/>
  <c r="M203" i="2" s="1"/>
  <c r="E203" i="2"/>
  <c r="C203" i="2"/>
  <c r="P202" i="2"/>
  <c r="O202" i="2"/>
  <c r="N202" i="2"/>
  <c r="M202" i="2"/>
  <c r="E202" i="2"/>
  <c r="C202" i="2"/>
  <c r="I1086" i="30" l="1"/>
  <c r="I1091" i="30"/>
  <c r="I1099" i="30"/>
  <c r="I1107" i="30"/>
  <c r="I1147" i="30"/>
  <c r="I1155" i="30"/>
  <c r="I1171" i="30"/>
  <c r="I1052" i="30"/>
  <c r="I1054" i="30"/>
  <c r="I1060" i="30"/>
  <c r="I1062" i="30"/>
  <c r="I1068" i="30"/>
  <c r="I1070" i="30"/>
  <c r="I1076" i="30"/>
  <c r="I1090" i="30"/>
  <c r="I1106" i="30"/>
  <c r="I1110" i="30"/>
  <c r="I1150" i="30"/>
  <c r="I1043" i="30"/>
  <c r="I1083" i="30"/>
  <c r="I1201" i="30"/>
  <c r="I1180" i="30"/>
  <c r="I1188" i="30"/>
  <c r="I1198" i="30"/>
  <c r="I1202" i="30"/>
  <c r="I1057" i="30"/>
  <c r="I1065" i="30"/>
  <c r="I1073" i="30"/>
  <c r="I1154" i="30"/>
  <c r="I1170" i="30"/>
  <c r="I1174" i="30"/>
  <c r="I1113" i="30"/>
  <c r="I1121" i="30"/>
  <c r="I1129" i="30"/>
  <c r="I1137" i="30"/>
  <c r="I1049" i="30"/>
  <c r="I1042" i="30"/>
  <c r="I1046" i="30"/>
  <c r="I1116" i="30"/>
  <c r="I1118" i="30"/>
  <c r="I1124" i="30"/>
  <c r="I1126" i="30"/>
  <c r="I1132" i="30"/>
  <c r="I1134" i="30"/>
  <c r="I1140" i="30"/>
  <c r="I1142" i="30"/>
  <c r="I1177" i="30"/>
  <c r="I1185" i="30"/>
  <c r="I1193" i="30"/>
  <c r="I1145" i="30"/>
  <c r="G1373" i="30"/>
  <c r="H1373" i="30" s="1"/>
  <c r="I1041" i="30"/>
  <c r="I1051" i="30"/>
  <c r="I1058" i="30"/>
  <c r="I1074" i="30"/>
  <c r="I1084" i="30"/>
  <c r="I1089" i="30"/>
  <c r="I1097" i="30"/>
  <c r="I1105" i="30"/>
  <c r="I1115" i="30"/>
  <c r="I1122" i="30"/>
  <c r="I1138" i="30"/>
  <c r="I1148" i="30"/>
  <c r="I1153" i="30"/>
  <c r="I1161" i="30"/>
  <c r="I1169" i="30"/>
  <c r="I1179" i="30"/>
  <c r="I1182" i="30"/>
  <c r="I1186" i="30"/>
  <c r="G1241" i="30"/>
  <c r="H1241" i="30" s="1"/>
  <c r="G1351" i="30"/>
  <c r="H1351" i="30" s="1"/>
  <c r="G1318" i="30"/>
  <c r="H1318" i="30" s="1"/>
  <c r="I1081" i="30"/>
  <c r="G1369" i="30"/>
  <c r="H1369" i="30" s="1"/>
  <c r="I1036" i="30"/>
  <c r="I1044" i="30"/>
  <c r="I1059" i="30"/>
  <c r="I1067" i="30"/>
  <c r="I1075" i="30"/>
  <c r="I1078" i="30"/>
  <c r="I1092" i="30"/>
  <c r="I1094" i="30"/>
  <c r="I1100" i="30"/>
  <c r="I1102" i="30"/>
  <c r="I1108" i="30"/>
  <c r="I1123" i="30"/>
  <c r="I1131" i="30"/>
  <c r="I1139" i="30"/>
  <c r="I1156" i="30"/>
  <c r="I1172" i="30"/>
  <c r="I1187" i="30"/>
  <c r="I1203" i="30"/>
  <c r="I1158" i="30"/>
  <c r="I1190" i="30"/>
  <c r="G1326" i="30"/>
  <c r="H1326" i="30" s="1"/>
  <c r="I1035" i="30"/>
  <c r="I1038" i="30"/>
  <c r="I1050" i="30"/>
  <c r="I1082" i="30"/>
  <c r="I1114" i="30"/>
  <c r="I1146" i="30"/>
  <c r="I1163" i="30"/>
  <c r="G1334" i="30"/>
  <c r="H1334" i="30" s="1"/>
  <c r="I1166" i="30"/>
  <c r="I1178" i="30"/>
  <c r="I1195" i="30"/>
  <c r="G1366" i="30"/>
  <c r="H1366" i="30" s="1"/>
  <c r="G1319" i="30"/>
  <c r="H1319" i="30" s="1"/>
  <c r="G1215" i="30"/>
  <c r="H1215" i="30" s="1"/>
  <c r="G1247" i="30"/>
  <c r="H1247" i="30" s="1"/>
  <c r="I1034" i="30"/>
  <c r="I1066" i="30"/>
  <c r="I1098" i="30"/>
  <c r="I1130" i="30"/>
  <c r="I1162" i="30"/>
  <c r="I1164" i="30"/>
  <c r="G1335" i="30"/>
  <c r="H1335" i="30" s="1"/>
  <c r="I1194" i="30"/>
  <c r="I1196" i="30"/>
  <c r="G1367" i="30"/>
  <c r="H1367" i="30" s="1"/>
  <c r="G1214" i="30"/>
  <c r="H1214" i="30" s="1"/>
  <c r="G1246" i="30"/>
  <c r="H1246" i="30" s="1"/>
  <c r="G1271" i="30"/>
  <c r="H1271" i="30" s="1"/>
  <c r="G1327" i="30"/>
  <c r="H1327" i="30" s="1"/>
  <c r="G1350" i="30"/>
  <c r="H1350" i="30" s="1"/>
  <c r="G1374" i="30"/>
  <c r="H1374" i="30" s="1"/>
  <c r="I1040" i="30"/>
  <c r="I1045" i="30"/>
  <c r="I1047" i="30"/>
  <c r="I1056" i="30"/>
  <c r="I1061" i="30"/>
  <c r="I1063" i="30"/>
  <c r="I1072" i="30"/>
  <c r="I1077" i="30"/>
  <c r="I1079" i="30"/>
  <c r="I1088" i="30"/>
  <c r="I1093" i="30"/>
  <c r="I1095" i="30"/>
  <c r="I1104" i="30"/>
  <c r="I1109" i="30"/>
  <c r="I1111" i="30"/>
  <c r="I1120" i="30"/>
  <c r="I1125" i="30"/>
  <c r="I1127" i="30"/>
  <c r="I1136" i="30"/>
  <c r="I1141" i="30"/>
  <c r="I1143" i="30"/>
  <c r="I1152" i="30"/>
  <c r="I1157" i="30"/>
  <c r="I1159" i="30"/>
  <c r="I1168" i="30"/>
  <c r="I1173" i="30"/>
  <c r="I1175" i="30"/>
  <c r="I1184" i="30"/>
  <c r="I1189" i="30"/>
  <c r="I1191" i="30"/>
  <c r="I1200" i="30"/>
  <c r="I1037" i="30"/>
  <c r="I1039" i="30"/>
  <c r="I1048" i="30"/>
  <c r="I1053" i="30"/>
  <c r="I1055" i="30"/>
  <c r="I1064" i="30"/>
  <c r="I1069" i="30"/>
  <c r="I1071" i="30"/>
  <c r="I1080" i="30"/>
  <c r="I1085" i="30"/>
  <c r="I1087" i="30"/>
  <c r="I1096" i="30"/>
  <c r="I1101" i="30"/>
  <c r="I1103" i="30"/>
  <c r="I1112" i="30"/>
  <c r="I1117" i="30"/>
  <c r="I1119" i="30"/>
  <c r="I1128" i="30"/>
  <c r="I1133" i="30"/>
  <c r="I1135" i="30"/>
  <c r="I1144" i="30"/>
  <c r="I1149" i="30"/>
  <c r="I1151" i="30"/>
  <c r="I1160" i="30"/>
  <c r="I1165" i="30"/>
  <c r="I1167" i="30"/>
  <c r="I1176" i="30"/>
  <c r="I1181" i="30"/>
  <c r="I1183" i="30"/>
  <c r="I1192" i="30"/>
  <c r="I1197" i="30"/>
  <c r="I1199" i="30"/>
  <c r="N239" i="2"/>
  <c r="O239" i="2"/>
  <c r="E1427" i="30" l="1"/>
  <c r="C1427" i="30"/>
  <c r="E1446" i="30"/>
  <c r="C1446" i="30"/>
  <c r="E1445" i="30"/>
  <c r="C1445" i="30"/>
  <c r="E1444" i="30"/>
  <c r="C1444" i="30"/>
  <c r="E1443" i="30"/>
  <c r="C1443" i="30"/>
  <c r="E1442" i="30"/>
  <c r="C1442" i="30"/>
  <c r="E1441" i="30"/>
  <c r="C1441" i="30"/>
  <c r="E1440" i="30"/>
  <c r="C1440" i="30"/>
  <c r="E1439" i="30"/>
  <c r="C1439" i="30"/>
  <c r="E1438" i="30"/>
  <c r="C1438" i="30"/>
  <c r="E1437" i="30"/>
  <c r="C1437" i="30"/>
  <c r="E1436" i="30"/>
  <c r="C1436" i="30"/>
  <c r="E1435" i="30"/>
  <c r="C1435" i="30"/>
  <c r="E1434" i="30"/>
  <c r="C1434" i="30"/>
  <c r="E1433" i="30"/>
  <c r="C1433" i="30"/>
  <c r="E1432" i="30"/>
  <c r="C1432" i="30"/>
  <c r="E1431" i="30"/>
  <c r="C1431" i="30"/>
  <c r="E1430" i="30"/>
  <c r="C1430" i="30"/>
  <c r="E1429" i="30"/>
  <c r="C1429" i="30"/>
  <c r="E1428" i="30"/>
  <c r="C1428" i="30"/>
  <c r="E1426" i="30"/>
  <c r="C1426" i="30"/>
  <c r="E1425" i="30"/>
  <c r="C1425" i="30"/>
  <c r="E1424" i="30"/>
  <c r="C1424" i="30"/>
  <c r="E1423" i="30"/>
  <c r="C1423" i="30"/>
  <c r="E1422" i="30"/>
  <c r="C1422" i="30"/>
  <c r="E1421" i="30"/>
  <c r="C1421" i="30"/>
  <c r="E1420" i="30"/>
  <c r="C1420" i="30"/>
  <c r="E1419" i="30"/>
  <c r="C1419" i="30"/>
  <c r="E1418" i="30"/>
  <c r="C1418" i="30"/>
  <c r="E1417" i="30"/>
  <c r="C1417" i="30"/>
  <c r="E1416" i="30"/>
  <c r="C1416" i="30"/>
  <c r="E1415" i="30"/>
  <c r="C1415" i="30"/>
  <c r="E1414" i="30"/>
  <c r="C1414" i="30"/>
  <c r="E1413" i="30"/>
  <c r="C1413" i="30"/>
  <c r="E1412" i="30"/>
  <c r="C1412" i="30"/>
  <c r="E1411" i="30"/>
  <c r="C1411" i="30"/>
  <c r="E1410" i="30"/>
  <c r="C1410" i="30"/>
  <c r="E1409" i="30"/>
  <c r="C1409" i="30"/>
  <c r="E1408" i="30"/>
  <c r="C1408" i="30"/>
  <c r="E1407" i="30"/>
  <c r="C1407" i="30"/>
  <c r="E1406" i="30"/>
  <c r="C1406" i="30"/>
  <c r="E1405" i="30"/>
  <c r="C1405" i="30"/>
  <c r="E1404" i="30"/>
  <c r="C1404" i="30"/>
  <c r="E1403" i="30"/>
  <c r="C1403" i="30"/>
  <c r="E1402" i="30"/>
  <c r="C1402" i="30"/>
  <c r="E1401" i="30"/>
  <c r="C1401" i="30"/>
  <c r="E1400" i="30"/>
  <c r="C1400" i="30"/>
  <c r="E1399" i="30"/>
  <c r="C1399" i="30"/>
  <c r="E1398" i="30"/>
  <c r="C1398" i="30"/>
  <c r="E1397" i="30"/>
  <c r="C1397" i="30"/>
  <c r="E1396" i="30"/>
  <c r="C1396" i="30"/>
  <c r="E1395" i="30"/>
  <c r="C1395" i="30"/>
  <c r="E1394" i="30"/>
  <c r="C1394" i="30"/>
  <c r="E1393" i="30"/>
  <c r="C1393" i="30"/>
  <c r="E1392" i="30"/>
  <c r="C1392" i="30"/>
  <c r="E1391" i="30"/>
  <c r="C1391" i="30"/>
  <c r="E1390" i="30"/>
  <c r="C1390" i="30"/>
  <c r="E1389" i="30"/>
  <c r="C1389" i="30"/>
  <c r="E1388" i="30"/>
  <c r="C1388" i="30"/>
  <c r="E1387" i="30"/>
  <c r="C1387" i="30"/>
  <c r="E1386" i="30"/>
  <c r="C1386" i="30"/>
  <c r="E1385" i="30"/>
  <c r="C1385" i="30"/>
  <c r="E1384" i="30"/>
  <c r="C1384" i="30"/>
  <c r="E1383" i="30"/>
  <c r="C1383" i="30"/>
  <c r="E1382" i="30"/>
  <c r="C1382" i="30"/>
  <c r="E1381" i="30"/>
  <c r="C1381" i="30"/>
  <c r="E1380" i="30"/>
  <c r="C1380" i="30"/>
  <c r="E1379" i="30"/>
  <c r="C1379" i="30"/>
  <c r="E1378" i="30"/>
  <c r="C1378" i="30"/>
  <c r="E1377" i="30"/>
  <c r="C1377" i="30"/>
  <c r="E1376" i="30"/>
  <c r="C1376" i="30"/>
  <c r="E1375" i="30"/>
  <c r="C1375" i="30"/>
  <c r="L278" i="2"/>
  <c r="L276" i="2"/>
  <c r="G276" i="2" s="1"/>
  <c r="L275" i="2"/>
  <c r="G275" i="2" s="1"/>
  <c r="L274" i="2"/>
  <c r="G274" i="2" s="1"/>
  <c r="L273" i="2"/>
  <c r="G273" i="2" s="1"/>
  <c r="L272" i="2"/>
  <c r="G272" i="2" s="1"/>
  <c r="L271" i="2"/>
  <c r="G271" i="2" s="1"/>
  <c r="L270" i="2"/>
  <c r="G270" i="2" s="1"/>
  <c r="L269" i="2"/>
  <c r="G269" i="2" s="1"/>
  <c r="L268" i="2"/>
  <c r="G268" i="2" s="1"/>
  <c r="L267" i="2"/>
  <c r="G267" i="2" s="1"/>
  <c r="L266" i="2"/>
  <c r="G266" i="2" s="1"/>
  <c r="L265" i="2"/>
  <c r="G265" i="2" s="1"/>
  <c r="L264" i="2"/>
  <c r="G264" i="2" s="1"/>
  <c r="L263" i="2"/>
  <c r="G263" i="2" s="1"/>
  <c r="L262" i="2"/>
  <c r="G262" i="2" s="1"/>
  <c r="L261" i="2"/>
  <c r="G261" i="2" s="1"/>
  <c r="L260" i="2"/>
  <c r="G260" i="2" s="1"/>
  <c r="L259" i="2"/>
  <c r="G259" i="2" s="1"/>
  <c r="L258" i="2"/>
  <c r="G258" i="2" s="1"/>
  <c r="L257" i="2"/>
  <c r="G257" i="2" s="1"/>
  <c r="L256" i="2"/>
  <c r="G256" i="2" s="1"/>
  <c r="L255" i="2"/>
  <c r="G255" i="2" s="1"/>
  <c r="L254" i="2"/>
  <c r="G254" i="2" s="1"/>
  <c r="L253" i="2"/>
  <c r="G253" i="2" s="1"/>
  <c r="L252" i="2"/>
  <c r="G252" i="2" s="1"/>
  <c r="L251" i="2"/>
  <c r="G251" i="2" s="1"/>
  <c r="L250" i="2"/>
  <c r="G250" i="2" s="1"/>
  <c r="L249" i="2"/>
  <c r="G249" i="2" s="1"/>
  <c r="L248" i="2"/>
  <c r="G248" i="2" s="1"/>
  <c r="L247" i="2"/>
  <c r="G247" i="2" s="1"/>
  <c r="L246" i="2"/>
  <c r="G246" i="2" s="1"/>
  <c r="L245" i="2"/>
  <c r="G245" i="2" s="1"/>
  <c r="L244" i="2"/>
  <c r="G244" i="2" s="1"/>
  <c r="L243" i="2"/>
  <c r="G243" i="2" s="1"/>
  <c r="L242" i="2"/>
  <c r="G242" i="2" s="1"/>
  <c r="L241" i="2"/>
  <c r="G241" i="2" s="1"/>
  <c r="E278" i="2"/>
  <c r="C278" i="2"/>
  <c r="E276" i="2"/>
  <c r="C276" i="2"/>
  <c r="E275" i="2"/>
  <c r="C275" i="2"/>
  <c r="P274" i="2"/>
  <c r="E274" i="2"/>
  <c r="C274" i="2"/>
  <c r="P273" i="2"/>
  <c r="E273" i="2"/>
  <c r="C273" i="2"/>
  <c r="P272" i="2"/>
  <c r="E272" i="2"/>
  <c r="C272" i="2"/>
  <c r="P271" i="2"/>
  <c r="E271" i="2"/>
  <c r="C271" i="2"/>
  <c r="P270" i="2"/>
  <c r="E270" i="2"/>
  <c r="C270" i="2"/>
  <c r="P269" i="2"/>
  <c r="E269" i="2"/>
  <c r="C269" i="2"/>
  <c r="P268" i="2"/>
  <c r="E268" i="2"/>
  <c r="C268" i="2"/>
  <c r="P267" i="2"/>
  <c r="E267" i="2"/>
  <c r="C267" i="2"/>
  <c r="P266" i="2"/>
  <c r="E266" i="2"/>
  <c r="C266" i="2"/>
  <c r="P265" i="2"/>
  <c r="E265" i="2"/>
  <c r="C265" i="2"/>
  <c r="P264" i="2"/>
  <c r="F264" i="2"/>
  <c r="E264" i="2"/>
  <c r="C264" i="2"/>
  <c r="P263" i="2"/>
  <c r="F263" i="2"/>
  <c r="E263" i="2"/>
  <c r="C263" i="2"/>
  <c r="P262" i="2"/>
  <c r="E262" i="2"/>
  <c r="C262" i="2"/>
  <c r="P261" i="2"/>
  <c r="E261" i="2"/>
  <c r="C261" i="2"/>
  <c r="P260" i="2"/>
  <c r="E260" i="2"/>
  <c r="C260" i="2"/>
  <c r="P259" i="2"/>
  <c r="E259" i="2"/>
  <c r="C259" i="2"/>
  <c r="P258" i="2"/>
  <c r="E258" i="2"/>
  <c r="C258" i="2"/>
  <c r="P257" i="2"/>
  <c r="E257" i="2"/>
  <c r="C257" i="2"/>
  <c r="P256" i="2"/>
  <c r="E256" i="2"/>
  <c r="C256" i="2"/>
  <c r="P255" i="2"/>
  <c r="E255" i="2"/>
  <c r="C255" i="2"/>
  <c r="P254" i="2"/>
  <c r="E254" i="2"/>
  <c r="C254" i="2"/>
  <c r="P253" i="2"/>
  <c r="E253" i="2"/>
  <c r="C253" i="2"/>
  <c r="P252" i="2"/>
  <c r="E252" i="2"/>
  <c r="C252" i="2"/>
  <c r="P251" i="2"/>
  <c r="E251" i="2"/>
  <c r="C251" i="2"/>
  <c r="P250" i="2"/>
  <c r="E250" i="2"/>
  <c r="C250" i="2"/>
  <c r="P249" i="2"/>
  <c r="E249" i="2"/>
  <c r="C249" i="2"/>
  <c r="P248" i="2"/>
  <c r="E248" i="2"/>
  <c r="C248" i="2"/>
  <c r="P247" i="2"/>
  <c r="E247" i="2"/>
  <c r="C247" i="2"/>
  <c r="P246" i="2"/>
  <c r="E246" i="2"/>
  <c r="C246" i="2"/>
  <c r="P245" i="2"/>
  <c r="E245" i="2"/>
  <c r="C245" i="2"/>
  <c r="P244" i="2"/>
  <c r="E244" i="2"/>
  <c r="C244" i="2"/>
  <c r="P243" i="2"/>
  <c r="E243" i="2"/>
  <c r="C243" i="2"/>
  <c r="P242" i="2"/>
  <c r="E242" i="2"/>
  <c r="C242" i="2"/>
  <c r="P241" i="2"/>
  <c r="E241" i="2"/>
  <c r="C241" i="2"/>
  <c r="P240" i="2"/>
  <c r="E240" i="2"/>
  <c r="C240" i="2"/>
  <c r="A24" i="3"/>
  <c r="G278" i="2" l="1"/>
  <c r="H278" i="2"/>
  <c r="I278" i="2"/>
  <c r="AJ4" i="28"/>
  <c r="AF6" i="3"/>
  <c r="AF7" i="3" s="1"/>
  <c r="AF8" i="3" s="1"/>
  <c r="AF9" i="3" s="1"/>
  <c r="AC6" i="3"/>
  <c r="AC7" i="3" s="1"/>
  <c r="AC8" i="3" s="1"/>
  <c r="AC9" i="3" s="1"/>
  <c r="AC10" i="3" s="1"/>
  <c r="AC11" i="3" s="1"/>
  <c r="AC12" i="3" s="1"/>
  <c r="AC13" i="3" s="1"/>
  <c r="AC14" i="3" s="1"/>
  <c r="AC15" i="3" s="1"/>
  <c r="AC16" i="3" s="1"/>
  <c r="AC17" i="3" s="1"/>
  <c r="AC18" i="3" s="1"/>
  <c r="AC19" i="3" s="1"/>
  <c r="AC20" i="3" s="1"/>
  <c r="AC21" i="3" s="1"/>
  <c r="AC22" i="3" s="1"/>
  <c r="AC23" i="3" s="1"/>
  <c r="AC24" i="3" s="1"/>
  <c r="AC25" i="3" s="1"/>
  <c r="AC26" i="3" s="1"/>
  <c r="AC27" i="3" s="1"/>
  <c r="AC28" i="3" s="1"/>
  <c r="AC29" i="3" s="1"/>
  <c r="AC30" i="3" s="1"/>
  <c r="AC31" i="3" s="1"/>
  <c r="AC32" i="3" s="1"/>
  <c r="AC33" i="3" s="1"/>
  <c r="AC34" i="3" s="1"/>
  <c r="AC35" i="3" s="1"/>
  <c r="AC36" i="3" s="1"/>
  <c r="AC37" i="3" s="1"/>
  <c r="AC38" i="3" s="1"/>
  <c r="AC39" i="3" s="1"/>
  <c r="AC40" i="3" s="1"/>
  <c r="AC41" i="3" s="1"/>
  <c r="AC42" i="3" s="1"/>
  <c r="AC43" i="3" s="1"/>
  <c r="AC44" i="3" s="1"/>
  <c r="AC45" i="3" s="1"/>
  <c r="AC46" i="3" s="1"/>
  <c r="AC47" i="3" s="1"/>
  <c r="AC48" i="3" s="1"/>
  <c r="AC49" i="3" s="1"/>
  <c r="AC50" i="3" s="1"/>
  <c r="AC51" i="3" s="1"/>
  <c r="AC52" i="3" s="1"/>
  <c r="AC53" i="3" s="1"/>
  <c r="AC54" i="3" s="1"/>
  <c r="AC55" i="3" s="1"/>
  <c r="AC56" i="3" s="1"/>
  <c r="AC57" i="3" s="1"/>
  <c r="AC58" i="3" s="1"/>
  <c r="AC59" i="3" s="1"/>
  <c r="AC60" i="3" s="1"/>
  <c r="AC61" i="3" s="1"/>
  <c r="AC62" i="3" s="1"/>
  <c r="AC63" i="3" s="1"/>
  <c r="AC64" i="3" s="1"/>
  <c r="AC65" i="3" s="1"/>
  <c r="AC66" i="3" s="1"/>
  <c r="AC67" i="3" s="1"/>
  <c r="AC68" i="3" s="1"/>
  <c r="AC69" i="3" s="1"/>
  <c r="AC70" i="3" s="1"/>
  <c r="AC71" i="3" s="1"/>
  <c r="AC72" i="3" s="1"/>
  <c r="AC73" i="3" s="1"/>
  <c r="AC74" i="3" s="1"/>
  <c r="AC75" i="3" s="1"/>
  <c r="AC76" i="3" s="1"/>
  <c r="AC77" i="3" s="1"/>
  <c r="AI5" i="28" l="1"/>
  <c r="AJ5" i="28" s="1"/>
  <c r="AF5" i="28" s="1"/>
  <c r="AK4" i="28"/>
  <c r="AF4" i="28"/>
  <c r="AF10" i="3"/>
  <c r="AF11" i="3" s="1"/>
  <c r="AF12" i="3" s="1"/>
  <c r="AF13" i="3" s="1"/>
  <c r="AF14" i="3" l="1"/>
  <c r="AF15" i="3" s="1"/>
  <c r="AF16" i="3" s="1"/>
  <c r="AF17" i="3" s="1"/>
  <c r="AF18" i="3" s="1"/>
  <c r="AF19" i="3" s="1"/>
  <c r="AF20" i="3" s="1"/>
  <c r="AF21" i="3" s="1"/>
  <c r="AF22" i="3" s="1"/>
  <c r="AF23" i="3" s="1"/>
  <c r="AF24" i="3" s="1"/>
  <c r="AF25" i="3" s="1"/>
  <c r="AF26" i="3" s="1"/>
  <c r="AF27" i="3" s="1"/>
  <c r="AF28" i="3" s="1"/>
  <c r="AB3" i="29" s="1"/>
  <c r="AI6" i="28"/>
  <c r="AI7" i="28" s="1"/>
  <c r="AK5" i="28"/>
  <c r="AB4" i="29" l="1"/>
  <c r="AD4" i="29" s="1"/>
  <c r="AC3" i="29"/>
  <c r="AD3" i="29"/>
  <c r="AJ6" i="28"/>
  <c r="AK6" i="28" s="1"/>
  <c r="AB5" i="29"/>
  <c r="AI8" i="28"/>
  <c r="AJ7" i="28"/>
  <c r="AC4" i="29" l="1"/>
  <c r="AF6" i="28"/>
  <c r="AB6" i="29"/>
  <c r="AC5" i="29"/>
  <c r="AD5" i="29"/>
  <c r="AK7" i="28"/>
  <c r="AF7" i="28"/>
  <c r="AI9" i="28"/>
  <c r="AJ8" i="28"/>
  <c r="AC6" i="29" l="1"/>
  <c r="AD6" i="29"/>
  <c r="AB7" i="29"/>
  <c r="AK8" i="28"/>
  <c r="AF8" i="28"/>
  <c r="AJ9" i="28"/>
  <c r="AI10" i="28"/>
  <c r="AD7" i="29" l="1"/>
  <c r="AC7" i="29"/>
  <c r="AB8" i="29"/>
  <c r="AK9" i="28"/>
  <c r="AF9" i="28"/>
  <c r="AJ10" i="28"/>
  <c r="AI11" i="28"/>
  <c r="AB9" i="29" l="1"/>
  <c r="AD8" i="29"/>
  <c r="AC8" i="29"/>
  <c r="AK10" i="28"/>
  <c r="AF10" i="28"/>
  <c r="AI12" i="28"/>
  <c r="AJ11" i="28"/>
  <c r="AD9" i="29" l="1"/>
  <c r="AB10" i="29"/>
  <c r="AC9" i="29"/>
  <c r="AK11" i="28"/>
  <c r="AF11" i="28"/>
  <c r="AI13" i="28"/>
  <c r="AJ12" i="28"/>
  <c r="AC10" i="29" l="1"/>
  <c r="AB11" i="29"/>
  <c r="AD10" i="29"/>
  <c r="AK12" i="28"/>
  <c r="AF12" i="28"/>
  <c r="AJ13" i="28"/>
  <c r="AI14" i="28"/>
  <c r="AD11" i="29" l="1"/>
  <c r="AB12" i="29"/>
  <c r="AC11" i="29"/>
  <c r="AK13" i="28"/>
  <c r="AF13" i="28"/>
  <c r="AJ14" i="28"/>
  <c r="AI15" i="28"/>
  <c r="AB13" i="29" l="1"/>
  <c r="AC12" i="29"/>
  <c r="AD12" i="29"/>
  <c r="AK14" i="28"/>
  <c r="AF14" i="28"/>
  <c r="AI16" i="28"/>
  <c r="AJ15" i="28"/>
  <c r="AB14" i="29" l="1"/>
  <c r="AD13" i="29"/>
  <c r="AC13" i="29"/>
  <c r="AK15" i="28"/>
  <c r="AF15" i="28"/>
  <c r="AI17" i="28"/>
  <c r="AJ16" i="28"/>
  <c r="AC14" i="29" l="1"/>
  <c r="AB15" i="29"/>
  <c r="AD14" i="29"/>
  <c r="AK16" i="28"/>
  <c r="AF16" i="28"/>
  <c r="AJ17" i="28"/>
  <c r="AI18" i="28"/>
  <c r="AD15" i="29" l="1"/>
  <c r="AC15" i="29"/>
  <c r="AB16" i="29"/>
  <c r="AK17" i="28"/>
  <c r="AF17" i="28"/>
  <c r="AJ18" i="28"/>
  <c r="AI19" i="28"/>
  <c r="AB17" i="29" l="1"/>
  <c r="AD16" i="29"/>
  <c r="AC16" i="29"/>
  <c r="AK18" i="28"/>
  <c r="AF18" i="28"/>
  <c r="AI20" i="28"/>
  <c r="AJ19" i="28"/>
  <c r="AD17" i="29" l="1"/>
  <c r="AC17" i="29"/>
  <c r="AB18" i="29"/>
  <c r="AK19" i="28"/>
  <c r="AF19" i="28"/>
  <c r="AI21" i="28"/>
  <c r="AJ20" i="28"/>
  <c r="AC18" i="29" l="1"/>
  <c r="AB19" i="29"/>
  <c r="AD18" i="29"/>
  <c r="AK20" i="28"/>
  <c r="AF20" i="28"/>
  <c r="AJ21" i="28"/>
  <c r="AI22" i="28"/>
  <c r="AD19" i="29" l="1"/>
  <c r="AB20" i="29"/>
  <c r="AC19" i="29"/>
  <c r="AK21" i="28"/>
  <c r="AF21" i="28"/>
  <c r="AJ22" i="28"/>
  <c r="AI23" i="28"/>
  <c r="AB21" i="29" l="1"/>
  <c r="AC20" i="29"/>
  <c r="AD20" i="29"/>
  <c r="AK22" i="28"/>
  <c r="AF22" i="28"/>
  <c r="AI24" i="28"/>
  <c r="AJ23" i="28"/>
  <c r="AB22" i="29" l="1"/>
  <c r="AC21" i="29"/>
  <c r="AD21" i="29"/>
  <c r="AK23" i="28"/>
  <c r="AF23" i="28"/>
  <c r="AI25" i="28"/>
  <c r="AJ24" i="28"/>
  <c r="AC22" i="29" l="1"/>
  <c r="AB23" i="29"/>
  <c r="AD22" i="29"/>
  <c r="AK24" i="28"/>
  <c r="AF24" i="28"/>
  <c r="AJ25" i="28"/>
  <c r="AI26" i="28"/>
  <c r="AD23" i="29" l="1"/>
  <c r="AC23" i="29"/>
  <c r="AB24" i="29"/>
  <c r="AK25" i="28"/>
  <c r="AF25" i="28"/>
  <c r="AJ26" i="28"/>
  <c r="AI27" i="28"/>
  <c r="AB25" i="29" l="1"/>
  <c r="AD24" i="29"/>
  <c r="AC24" i="29"/>
  <c r="AK26" i="28"/>
  <c r="AF26" i="28"/>
  <c r="AI28" i="28"/>
  <c r="AJ27" i="28"/>
  <c r="AD25" i="29" l="1"/>
  <c r="AC25" i="29"/>
  <c r="AB26" i="29"/>
  <c r="AK27" i="28"/>
  <c r="AF27" i="28"/>
  <c r="AI29" i="28"/>
  <c r="AJ28" i="28"/>
  <c r="A25" i="3"/>
  <c r="AC26" i="29" l="1"/>
  <c r="AD26" i="29"/>
  <c r="AB27" i="29"/>
  <c r="AK28" i="28"/>
  <c r="AF28" i="28"/>
  <c r="AJ29" i="28"/>
  <c r="AI30" i="28"/>
  <c r="AD27" i="29" l="1"/>
  <c r="AB28" i="29"/>
  <c r="AC27" i="29"/>
  <c r="AK29" i="28"/>
  <c r="AF29" i="28"/>
  <c r="AJ30" i="28"/>
  <c r="AI31" i="28"/>
  <c r="E1036" i="30"/>
  <c r="C1036" i="30"/>
  <c r="C1037" i="30"/>
  <c r="E1037" i="30"/>
  <c r="C1038" i="30"/>
  <c r="E1038" i="30"/>
  <c r="C1039" i="30"/>
  <c r="E1039" i="30"/>
  <c r="C1040" i="30"/>
  <c r="E1040" i="30"/>
  <c r="C1041" i="30"/>
  <c r="E1041" i="30"/>
  <c r="C1042" i="30"/>
  <c r="E1042" i="30"/>
  <c r="C1043" i="30"/>
  <c r="E1043" i="30"/>
  <c r="C1044" i="30"/>
  <c r="E1044" i="30"/>
  <c r="C1045" i="30"/>
  <c r="E1045" i="30"/>
  <c r="C1046" i="30"/>
  <c r="E1046" i="30"/>
  <c r="C1047" i="30"/>
  <c r="E1047" i="30"/>
  <c r="C1048" i="30"/>
  <c r="E1048" i="30"/>
  <c r="C1049" i="30"/>
  <c r="E1049" i="30"/>
  <c r="C1050" i="30"/>
  <c r="E1050" i="30"/>
  <c r="C1051" i="30"/>
  <c r="E1051" i="30"/>
  <c r="C1052" i="30"/>
  <c r="E1052" i="30"/>
  <c r="C1053" i="30"/>
  <c r="E1053" i="30"/>
  <c r="C1054" i="30"/>
  <c r="E1054" i="30"/>
  <c r="C1055" i="30"/>
  <c r="E1055" i="30"/>
  <c r="C1056" i="30"/>
  <c r="E1056" i="30"/>
  <c r="C1034" i="30"/>
  <c r="E1034" i="30"/>
  <c r="C1057" i="30"/>
  <c r="E1057" i="30"/>
  <c r="C1058" i="30"/>
  <c r="E1058" i="30"/>
  <c r="C1059" i="30"/>
  <c r="E1059" i="30"/>
  <c r="C1060" i="30"/>
  <c r="E1060" i="30"/>
  <c r="C1061" i="30"/>
  <c r="E1061" i="30"/>
  <c r="C1062" i="30"/>
  <c r="E1062" i="30"/>
  <c r="C1063" i="30"/>
  <c r="E1063" i="30"/>
  <c r="C1064" i="30"/>
  <c r="E1064" i="30"/>
  <c r="C1065" i="30"/>
  <c r="E1065" i="30"/>
  <c r="C1066" i="30"/>
  <c r="E1066" i="30"/>
  <c r="C1067" i="30"/>
  <c r="E1067" i="30"/>
  <c r="C1035" i="30"/>
  <c r="E1035" i="30"/>
  <c r="C1068" i="30"/>
  <c r="E1068" i="30"/>
  <c r="C1069" i="30"/>
  <c r="E1069" i="30"/>
  <c r="C1070" i="30"/>
  <c r="E1070" i="30"/>
  <c r="C1071" i="30"/>
  <c r="E1071" i="30"/>
  <c r="C1072" i="30"/>
  <c r="E1072" i="30"/>
  <c r="C1073" i="30"/>
  <c r="E1073" i="30"/>
  <c r="C1074" i="30"/>
  <c r="E1074" i="30"/>
  <c r="C1075" i="30"/>
  <c r="E1075" i="30"/>
  <c r="C1076" i="30"/>
  <c r="E1076" i="30"/>
  <c r="C1077" i="30"/>
  <c r="E1077" i="30"/>
  <c r="C1078" i="30"/>
  <c r="E1078" i="30"/>
  <c r="C1079" i="30"/>
  <c r="E1079" i="30"/>
  <c r="C1080" i="30"/>
  <c r="E1080" i="30"/>
  <c r="C1081" i="30"/>
  <c r="E1081" i="30"/>
  <c r="C1082" i="30"/>
  <c r="E1082" i="30"/>
  <c r="C1083" i="30"/>
  <c r="E1083" i="30"/>
  <c r="C1084" i="30"/>
  <c r="E1084" i="30"/>
  <c r="C1085" i="30"/>
  <c r="E1085" i="30"/>
  <c r="C1086" i="30"/>
  <c r="E1086" i="30"/>
  <c r="C1087" i="30"/>
  <c r="E1087" i="30"/>
  <c r="C1088" i="30"/>
  <c r="E1088" i="30"/>
  <c r="C1089" i="30"/>
  <c r="E1089" i="30"/>
  <c r="C1090" i="30"/>
  <c r="E1090" i="30"/>
  <c r="C1091" i="30"/>
  <c r="E1091" i="30"/>
  <c r="C1092" i="30"/>
  <c r="E1092" i="30"/>
  <c r="C1093" i="30"/>
  <c r="E1093" i="30"/>
  <c r="C1094" i="30"/>
  <c r="E1094" i="30"/>
  <c r="C1095" i="30"/>
  <c r="E1095" i="30"/>
  <c r="C1096" i="30"/>
  <c r="E1096" i="30"/>
  <c r="C1097" i="30"/>
  <c r="E1097" i="30"/>
  <c r="C1098" i="30"/>
  <c r="E1098" i="30"/>
  <c r="C1099" i="30"/>
  <c r="E1099" i="30"/>
  <c r="C1100" i="30"/>
  <c r="E1100" i="30"/>
  <c r="C1101" i="30"/>
  <c r="E1101" i="30"/>
  <c r="C1102" i="30"/>
  <c r="E1102" i="30"/>
  <c r="C1103" i="30"/>
  <c r="E1103" i="30"/>
  <c r="C1104" i="30"/>
  <c r="E1104" i="30"/>
  <c r="C1105" i="30"/>
  <c r="E1105" i="30"/>
  <c r="C1106" i="30"/>
  <c r="E1106" i="30"/>
  <c r="C1107" i="30"/>
  <c r="E1107" i="30"/>
  <c r="C1108" i="30"/>
  <c r="E1108" i="30"/>
  <c r="C1109" i="30"/>
  <c r="E1109" i="30"/>
  <c r="C1110" i="30"/>
  <c r="E1110" i="30"/>
  <c r="C1111" i="30"/>
  <c r="E1111" i="30"/>
  <c r="C1112" i="30"/>
  <c r="E1112" i="30"/>
  <c r="C1113" i="30"/>
  <c r="E1113" i="30"/>
  <c r="C1114" i="30"/>
  <c r="E1114" i="30"/>
  <c r="C1115" i="30"/>
  <c r="E1115" i="30"/>
  <c r="C1116" i="30"/>
  <c r="E1116" i="30"/>
  <c r="C1117" i="30"/>
  <c r="E1117" i="30"/>
  <c r="C1118" i="30"/>
  <c r="E1118" i="30"/>
  <c r="C1119" i="30"/>
  <c r="E1119" i="30"/>
  <c r="C1120" i="30"/>
  <c r="E1120" i="30"/>
  <c r="C1121" i="30"/>
  <c r="E1121" i="30"/>
  <c r="C1122" i="30"/>
  <c r="E1122" i="30"/>
  <c r="C1123" i="30"/>
  <c r="E1123" i="30"/>
  <c r="C1124" i="30"/>
  <c r="E1124" i="30"/>
  <c r="C1125" i="30"/>
  <c r="E1125" i="30"/>
  <c r="C1126" i="30"/>
  <c r="E1126" i="30"/>
  <c r="C1127" i="30"/>
  <c r="E1127" i="30"/>
  <c r="C1128" i="30"/>
  <c r="E1128" i="30"/>
  <c r="C1129" i="30"/>
  <c r="E1129" i="30"/>
  <c r="C1130" i="30"/>
  <c r="E1130" i="30"/>
  <c r="C1131" i="30"/>
  <c r="E1131" i="30"/>
  <c r="C1132" i="30"/>
  <c r="E1132" i="30"/>
  <c r="C1133" i="30"/>
  <c r="E1133" i="30"/>
  <c r="C1134" i="30"/>
  <c r="E1134" i="30"/>
  <c r="C1135" i="30"/>
  <c r="E1135" i="30"/>
  <c r="C1136" i="30"/>
  <c r="E1136" i="30"/>
  <c r="C1137" i="30"/>
  <c r="E1137" i="30"/>
  <c r="C1138" i="30"/>
  <c r="E1138" i="30"/>
  <c r="C1139" i="30"/>
  <c r="E1139" i="30"/>
  <c r="C1140" i="30"/>
  <c r="E1140" i="30"/>
  <c r="C1141" i="30"/>
  <c r="E1141" i="30"/>
  <c r="C1142" i="30"/>
  <c r="E1142" i="30"/>
  <c r="C1143" i="30"/>
  <c r="E1143" i="30"/>
  <c r="C1144" i="30"/>
  <c r="E1144" i="30"/>
  <c r="C1145" i="30"/>
  <c r="E1145" i="30"/>
  <c r="C1146" i="30"/>
  <c r="E1146" i="30"/>
  <c r="C1147" i="30"/>
  <c r="E1147" i="30"/>
  <c r="C1148" i="30"/>
  <c r="E1148" i="30"/>
  <c r="C1149" i="30"/>
  <c r="E1149" i="30"/>
  <c r="C1150" i="30"/>
  <c r="E1150" i="30"/>
  <c r="C1151" i="30"/>
  <c r="E1151" i="30"/>
  <c r="C1152" i="30"/>
  <c r="E1152" i="30"/>
  <c r="C1153" i="30"/>
  <c r="E1153" i="30"/>
  <c r="C1154" i="30"/>
  <c r="E1154" i="30"/>
  <c r="C1155" i="30"/>
  <c r="E1155" i="30"/>
  <c r="C1156" i="30"/>
  <c r="E1156" i="30"/>
  <c r="C1157" i="30"/>
  <c r="E1157" i="30"/>
  <c r="C1158" i="30"/>
  <c r="E1158" i="30"/>
  <c r="C1159" i="30"/>
  <c r="E1159" i="30"/>
  <c r="C1160" i="30"/>
  <c r="E1160" i="30"/>
  <c r="C1161" i="30"/>
  <c r="E1161" i="30"/>
  <c r="C1162" i="30"/>
  <c r="E1162" i="30"/>
  <c r="C1163" i="30"/>
  <c r="E1163" i="30"/>
  <c r="C1164" i="30"/>
  <c r="E1164" i="30"/>
  <c r="C1165" i="30"/>
  <c r="E1165" i="30"/>
  <c r="C1166" i="30"/>
  <c r="E1166" i="30"/>
  <c r="C1167" i="30"/>
  <c r="E1167" i="30"/>
  <c r="C1168" i="30"/>
  <c r="E1168" i="30"/>
  <c r="C1169" i="30"/>
  <c r="E1169" i="30"/>
  <c r="C1170" i="30"/>
  <c r="E1170" i="30"/>
  <c r="C1171" i="30"/>
  <c r="E1171" i="30"/>
  <c r="C1172" i="30"/>
  <c r="E1172" i="30"/>
  <c r="C1173" i="30"/>
  <c r="E1173" i="30"/>
  <c r="C1174" i="30"/>
  <c r="E1174" i="30"/>
  <c r="C1175" i="30"/>
  <c r="E1175" i="30"/>
  <c r="C1176" i="30"/>
  <c r="E1176" i="30"/>
  <c r="C1177" i="30"/>
  <c r="E1177" i="30"/>
  <c r="C1178" i="30"/>
  <c r="E1178" i="30"/>
  <c r="C1179" i="30"/>
  <c r="E1179" i="30"/>
  <c r="C1180" i="30"/>
  <c r="E1180" i="30"/>
  <c r="C1181" i="30"/>
  <c r="E1181" i="30"/>
  <c r="C1182" i="30"/>
  <c r="E1182" i="30"/>
  <c r="C1183" i="30"/>
  <c r="E1183" i="30"/>
  <c r="C1184" i="30"/>
  <c r="E1184" i="30"/>
  <c r="C1185" i="30"/>
  <c r="E1185" i="30"/>
  <c r="C1186" i="30"/>
  <c r="E1186" i="30"/>
  <c r="E1203" i="30"/>
  <c r="C1203" i="30"/>
  <c r="E1202" i="30"/>
  <c r="C1202" i="30"/>
  <c r="E1201" i="30"/>
  <c r="C1201" i="30"/>
  <c r="E1200" i="30"/>
  <c r="C1200" i="30"/>
  <c r="E1199" i="30"/>
  <c r="C1199" i="30"/>
  <c r="E1198" i="30"/>
  <c r="C1198" i="30"/>
  <c r="E1197" i="30"/>
  <c r="C1197" i="30"/>
  <c r="E1196" i="30"/>
  <c r="C1196" i="30"/>
  <c r="E1195" i="30"/>
  <c r="C1195" i="30"/>
  <c r="E1194" i="30"/>
  <c r="C1194" i="30"/>
  <c r="E1193" i="30"/>
  <c r="C1193" i="30"/>
  <c r="E1192" i="30"/>
  <c r="C1192" i="30"/>
  <c r="E1191" i="30"/>
  <c r="C1191" i="30"/>
  <c r="E1190" i="30"/>
  <c r="C1190" i="30"/>
  <c r="E1189" i="30"/>
  <c r="C1189" i="30"/>
  <c r="E1188" i="30"/>
  <c r="C1188" i="30"/>
  <c r="E1187" i="30"/>
  <c r="C1187" i="30"/>
  <c r="E1033" i="30"/>
  <c r="C1033" i="30"/>
  <c r="P80" i="31"/>
  <c r="O80" i="31"/>
  <c r="N80" i="31"/>
  <c r="M80" i="31"/>
  <c r="E80" i="31"/>
  <c r="C80" i="31"/>
  <c r="P79" i="31"/>
  <c r="O79" i="31"/>
  <c r="N79" i="31"/>
  <c r="M79" i="31"/>
  <c r="E79" i="31"/>
  <c r="C79" i="31"/>
  <c r="P78" i="31"/>
  <c r="O78" i="31"/>
  <c r="N78" i="31"/>
  <c r="M78" i="31"/>
  <c r="E78" i="31"/>
  <c r="C78" i="31"/>
  <c r="P77" i="31"/>
  <c r="O77" i="31"/>
  <c r="N77" i="31"/>
  <c r="M77" i="31"/>
  <c r="E77" i="31"/>
  <c r="C77" i="31"/>
  <c r="P75" i="31"/>
  <c r="O75" i="31"/>
  <c r="N75" i="31"/>
  <c r="M75" i="31"/>
  <c r="E75" i="31"/>
  <c r="C75" i="31"/>
  <c r="P74" i="31"/>
  <c r="O74" i="31"/>
  <c r="N74" i="31"/>
  <c r="M74" i="31"/>
  <c r="E74" i="31"/>
  <c r="C74" i="31"/>
  <c r="P73" i="31"/>
  <c r="O73" i="31"/>
  <c r="N73" i="31"/>
  <c r="M73" i="31"/>
  <c r="E73" i="31"/>
  <c r="C73" i="31"/>
  <c r="P72" i="31"/>
  <c r="O72" i="31"/>
  <c r="N72" i="31"/>
  <c r="M72" i="31"/>
  <c r="E72" i="31"/>
  <c r="C72" i="31"/>
  <c r="P71" i="31"/>
  <c r="O71" i="31"/>
  <c r="N71" i="31"/>
  <c r="M71" i="31"/>
  <c r="E71" i="31"/>
  <c r="C71" i="31"/>
  <c r="P70" i="31"/>
  <c r="O70" i="31"/>
  <c r="N70" i="31"/>
  <c r="M70" i="31"/>
  <c r="E70" i="31"/>
  <c r="C70" i="31"/>
  <c r="P69" i="31"/>
  <c r="O69" i="31"/>
  <c r="N69" i="31"/>
  <c r="M69" i="31"/>
  <c r="E69" i="31"/>
  <c r="C69" i="31"/>
  <c r="AB29" i="29" l="1"/>
  <c r="AC28" i="29"/>
  <c r="AD28" i="29"/>
  <c r="AK30" i="28"/>
  <c r="AF30" i="28"/>
  <c r="AI32" i="28"/>
  <c r="AJ31" i="28"/>
  <c r="I1033" i="30"/>
  <c r="AB30" i="29" l="1"/>
  <c r="AD29" i="29"/>
  <c r="AC29" i="29"/>
  <c r="AK31" i="28"/>
  <c r="AF31" i="28"/>
  <c r="AI33" i="28"/>
  <c r="AJ32" i="28"/>
  <c r="AC30" i="29" l="1"/>
  <c r="AB31" i="29"/>
  <c r="AD30" i="29"/>
  <c r="AK32" i="28"/>
  <c r="AF32" i="28"/>
  <c r="AJ33" i="28"/>
  <c r="AI34" i="28"/>
  <c r="AD31" i="29" l="1"/>
  <c r="AC31" i="29"/>
  <c r="AB32" i="29"/>
  <c r="AK33" i="28"/>
  <c r="AF33" i="28"/>
  <c r="AJ34" i="28"/>
  <c r="AI35" i="28"/>
  <c r="AB33" i="29" l="1"/>
  <c r="AD32" i="29"/>
  <c r="AC32" i="29"/>
  <c r="AK34" i="28"/>
  <c r="AF34" i="28"/>
  <c r="AI36" i="28"/>
  <c r="AJ35" i="28"/>
  <c r="W351" i="34"/>
  <c r="X351" i="34" s="1"/>
  <c r="U453" i="34"/>
  <c r="T453" i="34"/>
  <c r="S453" i="34"/>
  <c r="U452" i="34"/>
  <c r="T452" i="34"/>
  <c r="S452" i="34"/>
  <c r="U451" i="34"/>
  <c r="T451" i="34"/>
  <c r="S451" i="34"/>
  <c r="U450" i="34"/>
  <c r="T450" i="34"/>
  <c r="S450" i="34"/>
  <c r="U449" i="34"/>
  <c r="T449" i="34"/>
  <c r="S449" i="34"/>
  <c r="U448" i="34"/>
  <c r="T448" i="34"/>
  <c r="S448" i="34"/>
  <c r="U447" i="34"/>
  <c r="T447" i="34"/>
  <c r="S447" i="34"/>
  <c r="U446" i="34"/>
  <c r="T446" i="34"/>
  <c r="S446" i="34"/>
  <c r="U445" i="34"/>
  <c r="T445" i="34"/>
  <c r="S445" i="34"/>
  <c r="U444" i="34"/>
  <c r="T444" i="34"/>
  <c r="S444" i="34"/>
  <c r="U443" i="34"/>
  <c r="T443" i="34"/>
  <c r="S443" i="34"/>
  <c r="U442" i="34"/>
  <c r="T442" i="34"/>
  <c r="S442" i="34"/>
  <c r="U441" i="34"/>
  <c r="T441" i="34"/>
  <c r="S441" i="34"/>
  <c r="U440" i="34"/>
  <c r="T440" i="34"/>
  <c r="S440" i="34"/>
  <c r="U439" i="34"/>
  <c r="T439" i="34"/>
  <c r="S439" i="34"/>
  <c r="U438" i="34"/>
  <c r="T438" i="34"/>
  <c r="S438" i="34"/>
  <c r="U437" i="34"/>
  <c r="T437" i="34"/>
  <c r="S437" i="34"/>
  <c r="U436" i="34"/>
  <c r="T436" i="34"/>
  <c r="S436" i="34"/>
  <c r="U435" i="34"/>
  <c r="T435" i="34"/>
  <c r="S435" i="34"/>
  <c r="U434" i="34"/>
  <c r="T434" i="34"/>
  <c r="S434" i="34"/>
  <c r="U433" i="34"/>
  <c r="T433" i="34"/>
  <c r="S433" i="34"/>
  <c r="U432" i="34"/>
  <c r="T432" i="34"/>
  <c r="S432" i="34"/>
  <c r="U431" i="34"/>
  <c r="T431" i="34"/>
  <c r="S431" i="34"/>
  <c r="U430" i="34"/>
  <c r="T430" i="34"/>
  <c r="S430" i="34"/>
  <c r="U429" i="34"/>
  <c r="T429" i="34"/>
  <c r="S429" i="34"/>
  <c r="U428" i="34"/>
  <c r="T428" i="34"/>
  <c r="S428" i="34"/>
  <c r="U427" i="34"/>
  <c r="T427" i="34"/>
  <c r="S427" i="34"/>
  <c r="U426" i="34"/>
  <c r="T426" i="34"/>
  <c r="S426" i="34"/>
  <c r="U425" i="34"/>
  <c r="T425" i="34"/>
  <c r="S425" i="34"/>
  <c r="U424" i="34"/>
  <c r="T424" i="34"/>
  <c r="S424" i="34"/>
  <c r="U423" i="34"/>
  <c r="T423" i="34"/>
  <c r="S423" i="34"/>
  <c r="U422" i="34"/>
  <c r="T422" i="34"/>
  <c r="S422" i="34"/>
  <c r="U421" i="34"/>
  <c r="T421" i="34"/>
  <c r="S421" i="34"/>
  <c r="U420" i="34"/>
  <c r="T420" i="34"/>
  <c r="S420" i="34"/>
  <c r="U419" i="34"/>
  <c r="T419" i="34"/>
  <c r="S419" i="34"/>
  <c r="U418" i="34"/>
  <c r="T418" i="34"/>
  <c r="S418" i="34"/>
  <c r="U417" i="34"/>
  <c r="T417" i="34"/>
  <c r="S417" i="34"/>
  <c r="U416" i="34"/>
  <c r="T416" i="34"/>
  <c r="S416" i="34"/>
  <c r="U415" i="34"/>
  <c r="T415" i="34"/>
  <c r="S415" i="34"/>
  <c r="U414" i="34"/>
  <c r="T414" i="34"/>
  <c r="S414" i="34"/>
  <c r="U413" i="34"/>
  <c r="T413" i="34"/>
  <c r="S413" i="34"/>
  <c r="U412" i="34"/>
  <c r="T412" i="34"/>
  <c r="S412" i="34"/>
  <c r="U411" i="34"/>
  <c r="T411" i="34"/>
  <c r="S411" i="34"/>
  <c r="U410" i="34"/>
  <c r="T410" i="34"/>
  <c r="S410" i="34"/>
  <c r="U409" i="34"/>
  <c r="T409" i="34"/>
  <c r="S409" i="34"/>
  <c r="U408" i="34"/>
  <c r="T408" i="34"/>
  <c r="S408" i="34"/>
  <c r="U407" i="34"/>
  <c r="T407" i="34"/>
  <c r="S407" i="34"/>
  <c r="U406" i="34"/>
  <c r="T406" i="34"/>
  <c r="S406" i="34"/>
  <c r="U405" i="34"/>
  <c r="T405" i="34"/>
  <c r="S405" i="34"/>
  <c r="U404" i="34"/>
  <c r="T404" i="34"/>
  <c r="S404" i="34"/>
  <c r="U403" i="34"/>
  <c r="T403" i="34"/>
  <c r="S403" i="34"/>
  <c r="U402" i="34"/>
  <c r="T402" i="34"/>
  <c r="S402" i="34"/>
  <c r="U401" i="34"/>
  <c r="T401" i="34"/>
  <c r="S401" i="34"/>
  <c r="U400" i="34"/>
  <c r="T400" i="34"/>
  <c r="S400" i="34"/>
  <c r="U399" i="34"/>
  <c r="T399" i="34"/>
  <c r="S399" i="34"/>
  <c r="U398" i="34"/>
  <c r="T398" i="34"/>
  <c r="S398" i="34"/>
  <c r="U397" i="34"/>
  <c r="T397" i="34"/>
  <c r="S397" i="34"/>
  <c r="U396" i="34"/>
  <c r="T396" i="34"/>
  <c r="S396" i="34"/>
  <c r="U395" i="34"/>
  <c r="T395" i="34"/>
  <c r="S395" i="34"/>
  <c r="U394" i="34"/>
  <c r="T394" i="34"/>
  <c r="S394" i="34"/>
  <c r="U393" i="34"/>
  <c r="T393" i="34"/>
  <c r="S393" i="34"/>
  <c r="U392" i="34"/>
  <c r="T392" i="34"/>
  <c r="S392" i="34"/>
  <c r="U391" i="34"/>
  <c r="T391" i="34"/>
  <c r="S391" i="34"/>
  <c r="U390" i="34"/>
  <c r="T390" i="34"/>
  <c r="S390" i="34"/>
  <c r="U389" i="34"/>
  <c r="T389" i="34"/>
  <c r="S389" i="34"/>
  <c r="U388" i="34"/>
  <c r="T388" i="34"/>
  <c r="S388" i="34"/>
  <c r="U387" i="34"/>
  <c r="T387" i="34"/>
  <c r="S387" i="34"/>
  <c r="U386" i="34"/>
  <c r="T386" i="34"/>
  <c r="S386" i="34"/>
  <c r="U385" i="34"/>
  <c r="T385" i="34"/>
  <c r="S385" i="34"/>
  <c r="U384" i="34"/>
  <c r="T384" i="34"/>
  <c r="S384" i="34"/>
  <c r="U383" i="34"/>
  <c r="T383" i="34"/>
  <c r="S383" i="34"/>
  <c r="U382" i="34"/>
  <c r="T382" i="34"/>
  <c r="S382" i="34"/>
  <c r="U381" i="34"/>
  <c r="T381" i="34"/>
  <c r="S381" i="34"/>
  <c r="U380" i="34"/>
  <c r="T380" i="34"/>
  <c r="S380" i="34"/>
  <c r="U379" i="34"/>
  <c r="T379" i="34"/>
  <c r="S379" i="34"/>
  <c r="U378" i="34"/>
  <c r="T378" i="34"/>
  <c r="S378" i="34"/>
  <c r="U377" i="34"/>
  <c r="T377" i="34"/>
  <c r="S377" i="34"/>
  <c r="U376" i="34"/>
  <c r="T376" i="34"/>
  <c r="S376" i="34"/>
  <c r="U375" i="34"/>
  <c r="T375" i="34"/>
  <c r="S375" i="34"/>
  <c r="U374" i="34"/>
  <c r="T374" i="34"/>
  <c r="S374" i="34"/>
  <c r="U373" i="34"/>
  <c r="T373" i="34"/>
  <c r="S373" i="34"/>
  <c r="U372" i="34"/>
  <c r="T372" i="34"/>
  <c r="S372" i="34"/>
  <c r="U371" i="34"/>
  <c r="T371" i="34"/>
  <c r="S371" i="34"/>
  <c r="U370" i="34"/>
  <c r="T370" i="34"/>
  <c r="S370" i="34"/>
  <c r="U369" i="34"/>
  <c r="T369" i="34"/>
  <c r="S369" i="34"/>
  <c r="U368" i="34"/>
  <c r="T368" i="34"/>
  <c r="S368" i="34"/>
  <c r="U367" i="34"/>
  <c r="T367" i="34"/>
  <c r="S367" i="34"/>
  <c r="U366" i="34"/>
  <c r="T366" i="34"/>
  <c r="S366" i="34"/>
  <c r="U365" i="34"/>
  <c r="T365" i="34"/>
  <c r="S365" i="34"/>
  <c r="U364" i="34"/>
  <c r="T364" i="34"/>
  <c r="S364" i="34"/>
  <c r="U363" i="34"/>
  <c r="T363" i="34"/>
  <c r="S363" i="34"/>
  <c r="U362" i="34"/>
  <c r="T362" i="34"/>
  <c r="S362" i="34"/>
  <c r="U361" i="34"/>
  <c r="T361" i="34"/>
  <c r="S361" i="34"/>
  <c r="U360" i="34"/>
  <c r="T360" i="34"/>
  <c r="S360" i="34"/>
  <c r="U359" i="34"/>
  <c r="T359" i="34"/>
  <c r="S359" i="34"/>
  <c r="U358" i="34"/>
  <c r="T358" i="34"/>
  <c r="S358" i="34"/>
  <c r="U357" i="34"/>
  <c r="T357" i="34"/>
  <c r="S357" i="34"/>
  <c r="U356" i="34"/>
  <c r="T356" i="34"/>
  <c r="S356" i="34"/>
  <c r="U355" i="34"/>
  <c r="T355" i="34"/>
  <c r="S355" i="34"/>
  <c r="U354" i="34"/>
  <c r="T354" i="34"/>
  <c r="S354" i="34"/>
  <c r="U353" i="34"/>
  <c r="T353" i="34"/>
  <c r="S353" i="34"/>
  <c r="U352" i="34"/>
  <c r="T352" i="34"/>
  <c r="S352" i="34"/>
  <c r="U351" i="34"/>
  <c r="T351" i="34"/>
  <c r="S351" i="34"/>
  <c r="U350" i="34"/>
  <c r="T350" i="34"/>
  <c r="S350" i="34"/>
  <c r="U349" i="34"/>
  <c r="T349" i="34"/>
  <c r="S349" i="34"/>
  <c r="U348" i="34"/>
  <c r="T348" i="34"/>
  <c r="S348" i="34"/>
  <c r="AD33" i="29" l="1"/>
  <c r="AC33" i="29"/>
  <c r="AB34" i="29"/>
  <c r="AK35" i="28"/>
  <c r="AF35" i="28"/>
  <c r="AI37" i="28"/>
  <c r="AJ36" i="28"/>
  <c r="AC34" i="29" l="1"/>
  <c r="AB35" i="29"/>
  <c r="AD34" i="29"/>
  <c r="AK36" i="28"/>
  <c r="AF36" i="28"/>
  <c r="AJ37" i="28"/>
  <c r="AI38" i="28"/>
  <c r="AD35" i="29" l="1"/>
  <c r="AB36" i="29"/>
  <c r="AC35" i="29"/>
  <c r="AK37" i="28"/>
  <c r="AF37" i="28"/>
  <c r="AJ38" i="28"/>
  <c r="AI39" i="28"/>
  <c r="AB37" i="29" l="1"/>
  <c r="AC36" i="29"/>
  <c r="AD36" i="29"/>
  <c r="AK38" i="28"/>
  <c r="AF38" i="28"/>
  <c r="AI40" i="28"/>
  <c r="AJ39" i="28"/>
  <c r="AB38" i="29" l="1"/>
  <c r="AC37" i="29"/>
  <c r="AD37" i="29"/>
  <c r="AK39" i="28"/>
  <c r="AF39" i="28"/>
  <c r="AI41" i="28"/>
  <c r="AJ40" i="28"/>
  <c r="AC38" i="29" l="1"/>
  <c r="AB39" i="29"/>
  <c r="AD38" i="29"/>
  <c r="AK40" i="28"/>
  <c r="AF40" i="28"/>
  <c r="AJ41" i="28"/>
  <c r="AI42" i="28"/>
  <c r="AC39" i="29" l="1"/>
  <c r="AB40" i="29"/>
  <c r="AD39" i="29"/>
  <c r="AK41" i="28"/>
  <c r="AF41" i="28"/>
  <c r="AJ42" i="28"/>
  <c r="AI43" i="28"/>
  <c r="AB41" i="29" l="1"/>
  <c r="AC40" i="29"/>
  <c r="AD40" i="29"/>
  <c r="AK42" i="28"/>
  <c r="AF42" i="28"/>
  <c r="AI44" i="28"/>
  <c r="AJ43" i="28"/>
  <c r="AC41" i="29" l="1"/>
  <c r="AB42" i="29"/>
  <c r="AD41" i="29"/>
  <c r="AK43" i="28"/>
  <c r="AF43" i="28"/>
  <c r="AI45" i="28"/>
  <c r="AJ44" i="28"/>
  <c r="AB43" i="29" l="1"/>
  <c r="AD42" i="29"/>
  <c r="AC42" i="29"/>
  <c r="AK44" i="28"/>
  <c r="AF44" i="28"/>
  <c r="AJ45" i="28"/>
  <c r="AI46" i="28"/>
  <c r="I899" i="30"/>
  <c r="I898" i="30"/>
  <c r="AB44" i="29" l="1"/>
  <c r="AC43" i="29"/>
  <c r="AD43" i="29"/>
  <c r="AK45" i="28"/>
  <c r="AF45" i="28"/>
  <c r="AJ46" i="28"/>
  <c r="AI47" i="28"/>
  <c r="AC44" i="29" l="1"/>
  <c r="AD44" i="29"/>
  <c r="AB45" i="29"/>
  <c r="AK46" i="28"/>
  <c r="AF46" i="28"/>
  <c r="AI48" i="28"/>
  <c r="AJ47" i="28"/>
  <c r="AD45" i="29" l="1"/>
  <c r="AC45" i="29"/>
  <c r="AB46" i="29"/>
  <c r="AK47" i="28"/>
  <c r="AF47" i="28"/>
  <c r="AI49" i="28"/>
  <c r="AJ48" i="28"/>
  <c r="AB47" i="29" l="1"/>
  <c r="AD46" i="29"/>
  <c r="AC46" i="29"/>
  <c r="AK48" i="28"/>
  <c r="AF48" i="28"/>
  <c r="AJ49" i="28"/>
  <c r="AI50" i="28"/>
  <c r="AC47" i="29" l="1"/>
  <c r="AB48" i="29"/>
  <c r="AD47" i="29"/>
  <c r="AK49" i="28"/>
  <c r="AF49" i="28"/>
  <c r="AJ50" i="28"/>
  <c r="AI51" i="28"/>
  <c r="AC48" i="29" l="1"/>
  <c r="AD48" i="29"/>
  <c r="AB49" i="29"/>
  <c r="AK50" i="28"/>
  <c r="AF50" i="28"/>
  <c r="AI52" i="28"/>
  <c r="AJ51" i="28"/>
  <c r="AB50" i="29" l="1"/>
  <c r="AC49" i="29"/>
  <c r="AD49" i="29"/>
  <c r="AK51" i="28"/>
  <c r="AF51" i="28"/>
  <c r="AI53" i="28"/>
  <c r="AJ52" i="28"/>
  <c r="AB51" i="29" l="1"/>
  <c r="AD50" i="29"/>
  <c r="AC50" i="29"/>
  <c r="AK52" i="28"/>
  <c r="AF52" i="28"/>
  <c r="AJ53" i="28"/>
  <c r="AI54" i="28"/>
  <c r="AB52" i="29" l="1"/>
  <c r="AC51" i="29"/>
  <c r="AD51" i="29"/>
  <c r="AK53" i="28"/>
  <c r="AF53" i="28"/>
  <c r="AJ54" i="28"/>
  <c r="AI55" i="28"/>
  <c r="AD52" i="29" l="1"/>
  <c r="AC52" i="29"/>
  <c r="AB53" i="29"/>
  <c r="AK54" i="28"/>
  <c r="AF54" i="28"/>
  <c r="AI56" i="28"/>
  <c r="AJ55" i="28"/>
  <c r="AB54" i="29" l="1"/>
  <c r="AC53" i="29"/>
  <c r="AD53" i="29"/>
  <c r="AK55" i="28"/>
  <c r="AF55" i="28"/>
  <c r="AI57" i="28"/>
  <c r="AJ56" i="28"/>
  <c r="AD54" i="29" l="1"/>
  <c r="AC54" i="29"/>
  <c r="AB55" i="29"/>
  <c r="AK56" i="28"/>
  <c r="AF56" i="28"/>
  <c r="AJ57" i="28"/>
  <c r="AI58" i="28"/>
  <c r="AC55" i="29" l="1"/>
  <c r="AB56" i="29"/>
  <c r="AD55" i="29"/>
  <c r="AK57" i="28"/>
  <c r="AF57" i="28"/>
  <c r="AJ58" i="28"/>
  <c r="AI59" i="28"/>
  <c r="AD56" i="29" l="1"/>
  <c r="AC56" i="29"/>
  <c r="AB57" i="29"/>
  <c r="AK58" i="28"/>
  <c r="AF58" i="28"/>
  <c r="AI60" i="28"/>
  <c r="AJ59" i="28"/>
  <c r="AC57" i="29" l="1"/>
  <c r="AB58" i="29"/>
  <c r="AD57" i="29"/>
  <c r="AK59" i="28"/>
  <c r="AF59" i="28"/>
  <c r="AI61" i="28"/>
  <c r="AJ60" i="28"/>
  <c r="AD58" i="29" l="1"/>
  <c r="AC58" i="29"/>
  <c r="AB59" i="29"/>
  <c r="AK60" i="28"/>
  <c r="AF60" i="28"/>
  <c r="AJ61" i="28"/>
  <c r="AI62" i="28"/>
  <c r="AD59" i="29" l="1"/>
  <c r="AB60" i="29"/>
  <c r="AC59" i="29"/>
  <c r="AK61" i="28"/>
  <c r="AF61" i="28"/>
  <c r="AJ62" i="28"/>
  <c r="AI63" i="28"/>
  <c r="AB61" i="29" l="1"/>
  <c r="AD60" i="29"/>
  <c r="AC60" i="29"/>
  <c r="AK62" i="28"/>
  <c r="AF62" i="28"/>
  <c r="AI64" i="28"/>
  <c r="AJ63" i="28"/>
  <c r="AC61" i="29" l="1"/>
  <c r="AB62" i="29"/>
  <c r="AD61" i="29"/>
  <c r="AK63" i="28"/>
  <c r="AF63" i="28"/>
  <c r="AI65" i="28"/>
  <c r="AJ64" i="28"/>
  <c r="AD62" i="29" l="1"/>
  <c r="AC62" i="29"/>
  <c r="AB63" i="29"/>
  <c r="AK64" i="28"/>
  <c r="AF64" i="28"/>
  <c r="AJ65" i="28"/>
  <c r="AI66" i="28"/>
  <c r="AC63" i="29" l="1"/>
  <c r="AD63" i="29"/>
  <c r="AB64" i="29"/>
  <c r="AK65" i="28"/>
  <c r="AF65" i="28"/>
  <c r="AJ66" i="28"/>
  <c r="AI67" i="28"/>
  <c r="AB65" i="29" l="1"/>
  <c r="AD64" i="29"/>
  <c r="AC64" i="29"/>
  <c r="AK66" i="28"/>
  <c r="AF66" i="28"/>
  <c r="AI68" i="28"/>
  <c r="AJ67" i="28"/>
  <c r="AC65" i="29" l="1"/>
  <c r="AD65" i="29"/>
  <c r="AB66" i="29"/>
  <c r="AK67" i="28"/>
  <c r="AF67" i="28"/>
  <c r="AI69" i="28"/>
  <c r="AJ68" i="28"/>
  <c r="AD66" i="29" l="1"/>
  <c r="AC66" i="29"/>
  <c r="AB67" i="29"/>
  <c r="AK68" i="28"/>
  <c r="AF68" i="28"/>
  <c r="AJ69" i="28"/>
  <c r="AI70" i="28"/>
  <c r="AB68" i="29" l="1"/>
  <c r="AD67" i="29"/>
  <c r="AC67" i="29"/>
  <c r="AK69" i="28"/>
  <c r="AF69" i="28"/>
  <c r="AJ70" i="28"/>
  <c r="AI71" i="28"/>
  <c r="AB69" i="29" l="1"/>
  <c r="AC68" i="29"/>
  <c r="AD68" i="29"/>
  <c r="AK70" i="28"/>
  <c r="AF70" i="28"/>
  <c r="AI72" i="28"/>
  <c r="AJ71" i="28"/>
  <c r="AB70" i="29" l="1"/>
  <c r="AD69" i="29"/>
  <c r="AC69" i="29"/>
  <c r="AK71" i="28"/>
  <c r="AF71" i="28"/>
  <c r="AI73" i="28"/>
  <c r="AJ72" i="28"/>
  <c r="AC70" i="29" l="1"/>
  <c r="AB71" i="29"/>
  <c r="AD70" i="29"/>
  <c r="AK72" i="28"/>
  <c r="AF72" i="28"/>
  <c r="AJ73" i="28"/>
  <c r="AI74" i="28"/>
  <c r="AC71" i="29" l="1"/>
  <c r="AB72" i="29"/>
  <c r="AD71" i="29"/>
  <c r="AK73" i="28"/>
  <c r="AF73" i="28"/>
  <c r="AJ74" i="28"/>
  <c r="AI75" i="28"/>
  <c r="AD72" i="29" l="1"/>
  <c r="C72" i="29" s="1"/>
  <c r="AB73" i="29"/>
  <c r="AC72" i="29"/>
  <c r="D72" i="29" s="1"/>
  <c r="AK74" i="28"/>
  <c r="AF74" i="28"/>
  <c r="AI76" i="28"/>
  <c r="AJ75" i="28"/>
  <c r="AB74" i="29" l="1"/>
  <c r="AD73" i="29"/>
  <c r="C73" i="29" s="1"/>
  <c r="AC73" i="29"/>
  <c r="D73" i="29" s="1"/>
  <c r="AK75" i="28"/>
  <c r="AF75" i="28"/>
  <c r="AI77" i="28"/>
  <c r="AJ76" i="28"/>
  <c r="AC74" i="29" l="1"/>
  <c r="D74" i="29" s="1"/>
  <c r="AB75" i="29"/>
  <c r="AD74" i="29"/>
  <c r="C74" i="29" s="1"/>
  <c r="AK76" i="28"/>
  <c r="AF76" i="28"/>
  <c r="AJ77" i="28"/>
  <c r="AI78" i="28"/>
  <c r="AC75" i="29" l="1"/>
  <c r="D75" i="29" s="1"/>
  <c r="AB76" i="29"/>
  <c r="AD75" i="29"/>
  <c r="C75" i="29" s="1"/>
  <c r="AK77" i="28"/>
  <c r="AF77" i="28"/>
  <c r="AJ78" i="28"/>
  <c r="AI79" i="28"/>
  <c r="AD76" i="29" l="1"/>
  <c r="C76" i="29" s="1"/>
  <c r="AB77" i="29"/>
  <c r="AC76" i="29"/>
  <c r="D76" i="29" s="1"/>
  <c r="AK78" i="28"/>
  <c r="AF78" i="28"/>
  <c r="AI80" i="28"/>
  <c r="AJ79" i="28"/>
  <c r="AB78" i="29" l="1"/>
  <c r="AC77" i="29"/>
  <c r="D77" i="29" s="1"/>
  <c r="AD77" i="29"/>
  <c r="C77" i="29" s="1"/>
  <c r="AK79" i="28"/>
  <c r="AF79" i="28"/>
  <c r="AI81" i="28"/>
  <c r="AJ80" i="28"/>
  <c r="AC78" i="29" l="1"/>
  <c r="D78" i="29" s="1"/>
  <c r="AB79" i="29"/>
  <c r="AD78" i="29"/>
  <c r="C78" i="29" s="1"/>
  <c r="AK80" i="28"/>
  <c r="AF80" i="28"/>
  <c r="AJ81" i="28"/>
  <c r="AI82" i="28"/>
  <c r="AD79" i="29" l="1"/>
  <c r="C79" i="29" s="1"/>
  <c r="AB80" i="29"/>
  <c r="AC79" i="29"/>
  <c r="D79" i="29" s="1"/>
  <c r="AK81" i="28"/>
  <c r="AF81" i="28"/>
  <c r="AJ82" i="28"/>
  <c r="AI83" i="28"/>
  <c r="AD80" i="29" l="1"/>
  <c r="C80" i="29" s="1"/>
  <c r="AC80" i="29"/>
  <c r="D80" i="29" s="1"/>
  <c r="AB81" i="29"/>
  <c r="AK82" i="28"/>
  <c r="AF82" i="28"/>
  <c r="AI84" i="28"/>
  <c r="AJ83" i="28"/>
  <c r="AB82" i="29" l="1"/>
  <c r="AC81" i="29"/>
  <c r="D81" i="29" s="1"/>
  <c r="AD81" i="29"/>
  <c r="C81" i="29" s="1"/>
  <c r="AK83" i="28"/>
  <c r="AF83" i="28"/>
  <c r="AI85" i="28"/>
  <c r="AJ84" i="28"/>
  <c r="AC82" i="29" l="1"/>
  <c r="D82" i="29" s="1"/>
  <c r="AD82" i="29"/>
  <c r="C82" i="29" s="1"/>
  <c r="AB83" i="29"/>
  <c r="AK84" i="28"/>
  <c r="AF84" i="28"/>
  <c r="AJ85" i="28"/>
  <c r="AI86" i="28"/>
  <c r="AC83" i="29" l="1"/>
  <c r="D83" i="29" s="1"/>
  <c r="AB84" i="29"/>
  <c r="AD83" i="29"/>
  <c r="C83" i="29" s="1"/>
  <c r="AK85" i="28"/>
  <c r="AF85" i="28"/>
  <c r="AJ86" i="28"/>
  <c r="AI87" i="28"/>
  <c r="AB85" i="29" l="1"/>
  <c r="AC84" i="29"/>
  <c r="D84" i="29" s="1"/>
  <c r="AD84" i="29"/>
  <c r="C84" i="29" s="1"/>
  <c r="AK86" i="28"/>
  <c r="AF86" i="28"/>
  <c r="AI88" i="28"/>
  <c r="AJ87" i="28"/>
  <c r="AB86" i="29" l="1"/>
  <c r="AC85" i="29"/>
  <c r="D85" i="29" s="1"/>
  <c r="AD85" i="29"/>
  <c r="C85" i="29" s="1"/>
  <c r="AK87" i="28"/>
  <c r="AF87" i="28"/>
  <c r="AI89" i="28"/>
  <c r="AJ88" i="28"/>
  <c r="AC86" i="29" l="1"/>
  <c r="D86" i="29" s="1"/>
  <c r="AD86" i="29"/>
  <c r="C86" i="29" s="1"/>
  <c r="AB87" i="29"/>
  <c r="AK88" i="28"/>
  <c r="AF88" i="28"/>
  <c r="AJ89" i="28"/>
  <c r="AI90" i="28"/>
  <c r="AC87" i="29" l="1"/>
  <c r="D87" i="29" s="1"/>
  <c r="AD87" i="29"/>
  <c r="C87" i="29" s="1"/>
  <c r="AB88" i="29"/>
  <c r="AK89" i="28"/>
  <c r="AF89" i="28"/>
  <c r="AJ90" i="28"/>
  <c r="AI91" i="28"/>
  <c r="B1" i="61"/>
  <c r="C1" i="61" s="1"/>
  <c r="D1" i="61" s="1"/>
  <c r="E1" i="61" s="1"/>
  <c r="F1" i="61" s="1"/>
  <c r="G1" i="61" s="1"/>
  <c r="AC88" i="29" l="1"/>
  <c r="D88" i="29" s="1"/>
  <c r="AD88" i="29"/>
  <c r="C88" i="29" s="1"/>
  <c r="AB89" i="29"/>
  <c r="AK90" i="28"/>
  <c r="AF90" i="28"/>
  <c r="AI92" i="28"/>
  <c r="AJ91" i="28"/>
  <c r="AB90" i="29" l="1"/>
  <c r="AC89" i="29"/>
  <c r="D89" i="29" s="1"/>
  <c r="AD89" i="29"/>
  <c r="C89" i="29" s="1"/>
  <c r="AK91" i="28"/>
  <c r="AF91" i="28"/>
  <c r="AI93" i="28"/>
  <c r="AJ92" i="28"/>
  <c r="AC90" i="29" l="1"/>
  <c r="D90" i="29" s="1"/>
  <c r="AD90" i="29"/>
  <c r="C90" i="29" s="1"/>
  <c r="AB91" i="29"/>
  <c r="AK92" i="28"/>
  <c r="AF92" i="28"/>
  <c r="AJ93" i="28"/>
  <c r="AI94" i="28"/>
  <c r="AC91" i="29" l="1"/>
  <c r="D91" i="29" s="1"/>
  <c r="AD91" i="29"/>
  <c r="C91" i="29" s="1"/>
  <c r="AB92" i="29"/>
  <c r="AK93" i="28"/>
  <c r="AF93" i="28"/>
  <c r="AJ94" i="28"/>
  <c r="AI95" i="28"/>
  <c r="AD92" i="29" l="1"/>
  <c r="C92" i="29" s="1"/>
  <c r="AB93" i="29"/>
  <c r="AC92" i="29"/>
  <c r="D92" i="29" s="1"/>
  <c r="AK94" i="28"/>
  <c r="AF94" i="28"/>
  <c r="AI96" i="28"/>
  <c r="AJ95" i="28"/>
  <c r="AB94" i="29" l="1"/>
  <c r="AC93" i="29"/>
  <c r="D93" i="29" s="1"/>
  <c r="AD93" i="29"/>
  <c r="C93" i="29" s="1"/>
  <c r="AK95" i="28"/>
  <c r="AF95" i="28"/>
  <c r="AI97" i="28"/>
  <c r="AJ96" i="28"/>
  <c r="AC94" i="29" l="1"/>
  <c r="D94" i="29" s="1"/>
  <c r="AB95" i="29"/>
  <c r="AD94" i="29"/>
  <c r="C94" i="29" s="1"/>
  <c r="AK96" i="28"/>
  <c r="AF96" i="28"/>
  <c r="AJ97" i="28"/>
  <c r="AI98" i="28"/>
  <c r="AC95" i="29" l="1"/>
  <c r="D95" i="29" s="1"/>
  <c r="AB96" i="29"/>
  <c r="AD95" i="29"/>
  <c r="C95" i="29" s="1"/>
  <c r="AK97" i="28"/>
  <c r="AF97" i="28"/>
  <c r="AJ98" i="28"/>
  <c r="AI99" i="28"/>
  <c r="AD96" i="29" l="1"/>
  <c r="C96" i="29" s="1"/>
  <c r="AC96" i="29"/>
  <c r="D96" i="29" s="1"/>
  <c r="AB97" i="29"/>
  <c r="AK98" i="28"/>
  <c r="AF98" i="28"/>
  <c r="AI100" i="28"/>
  <c r="AJ99" i="28"/>
  <c r="AB98" i="29" l="1"/>
  <c r="AC97" i="29"/>
  <c r="D97" i="29" s="1"/>
  <c r="AD97" i="29"/>
  <c r="C97" i="29" s="1"/>
  <c r="AK99" i="28"/>
  <c r="AF99" i="28"/>
  <c r="AI101" i="28"/>
  <c r="AJ100" i="28"/>
  <c r="AC98" i="29" l="1"/>
  <c r="D98" i="29" s="1"/>
  <c r="AB99" i="29"/>
  <c r="AD98" i="29"/>
  <c r="C98" i="29" s="1"/>
  <c r="AK100" i="28"/>
  <c r="AF100" i="28"/>
  <c r="AJ101" i="28"/>
  <c r="AI102" i="28"/>
  <c r="AC99" i="29" l="1"/>
  <c r="D99" i="29" s="1"/>
  <c r="AD99" i="29"/>
  <c r="C99" i="29" s="1"/>
  <c r="AB100" i="29"/>
  <c r="AK101" i="28"/>
  <c r="AF101" i="28"/>
  <c r="AJ102" i="28"/>
  <c r="AI103" i="28"/>
  <c r="AD100" i="29" l="1"/>
  <c r="C100" i="29" s="1"/>
  <c r="AB101" i="29"/>
  <c r="AC100" i="29"/>
  <c r="D100" i="29" s="1"/>
  <c r="AK102" i="28"/>
  <c r="AF102" i="28"/>
  <c r="AI104" i="28"/>
  <c r="AJ103" i="28"/>
  <c r="AC101" i="29" l="1"/>
  <c r="D101" i="29" s="1"/>
  <c r="AD101" i="29"/>
  <c r="C101" i="29" s="1"/>
  <c r="AB102" i="29"/>
  <c r="AK103" i="28"/>
  <c r="AF103" i="28"/>
  <c r="AI105" i="28"/>
  <c r="AJ104" i="28"/>
  <c r="BK4" i="4"/>
  <c r="BJ4" i="4"/>
  <c r="AC102" i="29" l="1"/>
  <c r="D102" i="29" s="1"/>
  <c r="AB103" i="29"/>
  <c r="AD102" i="29"/>
  <c r="C102" i="29" s="1"/>
  <c r="AK104" i="28"/>
  <c r="AF104" i="28"/>
  <c r="AJ105" i="28"/>
  <c r="AI106" i="28"/>
  <c r="AB104" i="29" l="1"/>
  <c r="AD103" i="29"/>
  <c r="C103" i="29" s="1"/>
  <c r="AC103" i="29"/>
  <c r="D103" i="29" s="1"/>
  <c r="AK105" i="28"/>
  <c r="AF105" i="28"/>
  <c r="AJ106" i="28"/>
  <c r="AI107" i="28"/>
  <c r="AC104" i="29" l="1"/>
  <c r="D104" i="29" s="1"/>
  <c r="AD104" i="29"/>
  <c r="C104" i="29" s="1"/>
  <c r="AB105" i="29"/>
  <c r="AK106" i="28"/>
  <c r="AF106" i="28"/>
  <c r="AI108" i="28"/>
  <c r="AJ107" i="28"/>
  <c r="AD105" i="29" l="1"/>
  <c r="C105" i="29" s="1"/>
  <c r="AB106" i="29"/>
  <c r="AC105" i="29"/>
  <c r="D105" i="29" s="1"/>
  <c r="AK107" i="28"/>
  <c r="AF107" i="28"/>
  <c r="AI109" i="28"/>
  <c r="AJ108" i="28"/>
  <c r="AC106" i="29" l="1"/>
  <c r="D106" i="29" s="1"/>
  <c r="AB107" i="29"/>
  <c r="AD106" i="29"/>
  <c r="C106" i="29" s="1"/>
  <c r="AK108" i="28"/>
  <c r="AF108" i="28"/>
  <c r="AJ109" i="28"/>
  <c r="AI110" i="28"/>
  <c r="AB108" i="29" l="1"/>
  <c r="AD107" i="29"/>
  <c r="C107" i="29" s="1"/>
  <c r="AC107" i="29"/>
  <c r="D107" i="29" s="1"/>
  <c r="AK109" i="28"/>
  <c r="AF109" i="28"/>
  <c r="AJ110" i="28"/>
  <c r="AI111" i="28"/>
  <c r="AC108" i="29" l="1"/>
  <c r="D108" i="29" s="1"/>
  <c r="AD108" i="29"/>
  <c r="C108" i="29" s="1"/>
  <c r="AB109" i="29"/>
  <c r="AK110" i="28"/>
  <c r="AF110" i="28"/>
  <c r="AI112" i="28"/>
  <c r="AJ111" i="28"/>
  <c r="I1032" i="30"/>
  <c r="I1031" i="30"/>
  <c r="I1030" i="30"/>
  <c r="I1029" i="30"/>
  <c r="I1028" i="30"/>
  <c r="I1027" i="30"/>
  <c r="I1026" i="30"/>
  <c r="I1025" i="30"/>
  <c r="I1024" i="30"/>
  <c r="I1023" i="30"/>
  <c r="I1022" i="30"/>
  <c r="I1021" i="30"/>
  <c r="I1020" i="30"/>
  <c r="I1019" i="30"/>
  <c r="I1018" i="30"/>
  <c r="I1017" i="30"/>
  <c r="I1016" i="30"/>
  <c r="I1015" i="30"/>
  <c r="I1014" i="30"/>
  <c r="I1013" i="30"/>
  <c r="I1012" i="30"/>
  <c r="I1011" i="30"/>
  <c r="I1010" i="30"/>
  <c r="I1009" i="30"/>
  <c r="I1008" i="30"/>
  <c r="I1007" i="30"/>
  <c r="I1006" i="30"/>
  <c r="I1005" i="30"/>
  <c r="I1004" i="30"/>
  <c r="I1003" i="30"/>
  <c r="I1002" i="30"/>
  <c r="I1001" i="30"/>
  <c r="I1000" i="30"/>
  <c r="I999" i="30"/>
  <c r="I998" i="30"/>
  <c r="I997" i="30"/>
  <c r="I996" i="30"/>
  <c r="I995" i="30"/>
  <c r="I994" i="30"/>
  <c r="I993" i="30"/>
  <c r="I992" i="30"/>
  <c r="I991" i="30"/>
  <c r="I990" i="30"/>
  <c r="I989" i="30"/>
  <c r="I988" i="30"/>
  <c r="I987" i="30"/>
  <c r="I986" i="30"/>
  <c r="I985" i="30"/>
  <c r="I984" i="30"/>
  <c r="I983" i="30"/>
  <c r="I982" i="30"/>
  <c r="I981" i="30"/>
  <c r="I980" i="30"/>
  <c r="I979" i="30"/>
  <c r="I978" i="30"/>
  <c r="I977" i="30"/>
  <c r="I976" i="30"/>
  <c r="I975" i="30"/>
  <c r="I974" i="30"/>
  <c r="I973" i="30"/>
  <c r="I972" i="30"/>
  <c r="I971" i="30"/>
  <c r="I970" i="30"/>
  <c r="I969" i="30"/>
  <c r="I968" i="30"/>
  <c r="I967" i="30"/>
  <c r="I966" i="30"/>
  <c r="I965" i="30"/>
  <c r="I964" i="30"/>
  <c r="I963" i="30"/>
  <c r="I962" i="30"/>
  <c r="I961" i="30"/>
  <c r="I960" i="30"/>
  <c r="I959" i="30"/>
  <c r="I958" i="30"/>
  <c r="I957" i="30"/>
  <c r="I956" i="30"/>
  <c r="I955" i="30"/>
  <c r="I954" i="30"/>
  <c r="I953" i="30"/>
  <c r="I952" i="30"/>
  <c r="I951" i="30"/>
  <c r="I950" i="30"/>
  <c r="I949" i="30"/>
  <c r="I948" i="30"/>
  <c r="I947" i="30"/>
  <c r="I946" i="30"/>
  <c r="I945" i="30"/>
  <c r="I944" i="30"/>
  <c r="I943" i="30"/>
  <c r="I942" i="30"/>
  <c r="I941" i="30"/>
  <c r="I940" i="30"/>
  <c r="I939" i="30"/>
  <c r="I938" i="30"/>
  <c r="I937" i="30"/>
  <c r="I936" i="30"/>
  <c r="I935" i="30"/>
  <c r="I934" i="30"/>
  <c r="I933" i="30"/>
  <c r="I932" i="30"/>
  <c r="I931" i="30"/>
  <c r="I930" i="30"/>
  <c r="I929" i="30"/>
  <c r="I928" i="30"/>
  <c r="I927" i="30"/>
  <c r="I926" i="30"/>
  <c r="I925" i="30"/>
  <c r="I924" i="30"/>
  <c r="I923" i="30"/>
  <c r="I922" i="30"/>
  <c r="I921" i="30"/>
  <c r="I920" i="30"/>
  <c r="I919" i="30"/>
  <c r="I918" i="30"/>
  <c r="I917" i="30"/>
  <c r="I916" i="30"/>
  <c r="I915" i="30"/>
  <c r="I914" i="30"/>
  <c r="I913" i="30"/>
  <c r="I912" i="30"/>
  <c r="I911" i="30"/>
  <c r="I910" i="30"/>
  <c r="I909" i="30"/>
  <c r="I908" i="30"/>
  <c r="I907" i="30"/>
  <c r="I906" i="30"/>
  <c r="I905" i="30"/>
  <c r="I904" i="30"/>
  <c r="I903" i="30"/>
  <c r="I902" i="30"/>
  <c r="I901" i="30"/>
  <c r="I900" i="30"/>
  <c r="I897" i="30"/>
  <c r="I896" i="30"/>
  <c r="I895" i="30"/>
  <c r="I894" i="30"/>
  <c r="I893" i="30"/>
  <c r="I892" i="30"/>
  <c r="I891" i="30"/>
  <c r="I890" i="30"/>
  <c r="I889" i="30"/>
  <c r="I888" i="30"/>
  <c r="I887" i="30"/>
  <c r="I886" i="30"/>
  <c r="I885" i="30"/>
  <c r="I884" i="30"/>
  <c r="I883" i="30"/>
  <c r="I882" i="30"/>
  <c r="I881" i="30"/>
  <c r="I880" i="30"/>
  <c r="I879" i="30"/>
  <c r="I878" i="30"/>
  <c r="I877" i="30"/>
  <c r="I876" i="30"/>
  <c r="I875" i="30"/>
  <c r="I874" i="30"/>
  <c r="I873" i="30"/>
  <c r="I872" i="30"/>
  <c r="I871" i="30"/>
  <c r="I870" i="30"/>
  <c r="I869" i="30"/>
  <c r="I868" i="30"/>
  <c r="I867" i="30"/>
  <c r="I866" i="30"/>
  <c r="I865" i="30"/>
  <c r="I864" i="30"/>
  <c r="I863" i="30"/>
  <c r="I862" i="30"/>
  <c r="I861" i="30"/>
  <c r="I860" i="30"/>
  <c r="I859" i="30"/>
  <c r="I858" i="30"/>
  <c r="I857" i="30"/>
  <c r="I856" i="30"/>
  <c r="I855" i="30"/>
  <c r="I854" i="30"/>
  <c r="I853" i="30"/>
  <c r="I852" i="30"/>
  <c r="I851" i="30"/>
  <c r="I850" i="30"/>
  <c r="I849" i="30"/>
  <c r="I848" i="30"/>
  <c r="I847" i="30"/>
  <c r="I846" i="30"/>
  <c r="I845" i="30"/>
  <c r="I844" i="30"/>
  <c r="I843" i="30"/>
  <c r="I842" i="30"/>
  <c r="I841" i="30"/>
  <c r="I840" i="30"/>
  <c r="I839" i="30"/>
  <c r="I838" i="30"/>
  <c r="I837" i="30"/>
  <c r="I836" i="30"/>
  <c r="I835" i="30"/>
  <c r="I834" i="30"/>
  <c r="I833" i="30"/>
  <c r="I832" i="30"/>
  <c r="I831" i="30"/>
  <c r="I830" i="30"/>
  <c r="I829" i="30"/>
  <c r="I828" i="30"/>
  <c r="I827" i="30"/>
  <c r="I826" i="30"/>
  <c r="I825" i="30"/>
  <c r="I824" i="30"/>
  <c r="I823" i="30"/>
  <c r="I822" i="30"/>
  <c r="I821" i="30"/>
  <c r="I820" i="30"/>
  <c r="I819" i="30"/>
  <c r="I818" i="30"/>
  <c r="I817" i="30"/>
  <c r="I816" i="30"/>
  <c r="I815" i="30"/>
  <c r="I814" i="30"/>
  <c r="I813" i="30"/>
  <c r="I812" i="30"/>
  <c r="I811" i="30"/>
  <c r="I810" i="30"/>
  <c r="I809" i="30"/>
  <c r="I808" i="30"/>
  <c r="I807" i="30"/>
  <c r="I806" i="30"/>
  <c r="I805" i="30"/>
  <c r="I804" i="30"/>
  <c r="I803" i="30"/>
  <c r="I802" i="30"/>
  <c r="I801" i="30"/>
  <c r="I800" i="30"/>
  <c r="I799" i="30"/>
  <c r="I798" i="30"/>
  <c r="I797" i="30"/>
  <c r="I796" i="30"/>
  <c r="I795" i="30"/>
  <c r="I794" i="30"/>
  <c r="I793" i="30"/>
  <c r="I792" i="30"/>
  <c r="I791" i="30"/>
  <c r="I790" i="30"/>
  <c r="I789" i="30"/>
  <c r="I788" i="30"/>
  <c r="I787" i="30"/>
  <c r="I786" i="30"/>
  <c r="I785" i="30"/>
  <c r="I784" i="30"/>
  <c r="I783" i="30"/>
  <c r="I782" i="30"/>
  <c r="I781" i="30"/>
  <c r="I780" i="30"/>
  <c r="I779" i="30"/>
  <c r="I778" i="30"/>
  <c r="I777" i="30"/>
  <c r="I776" i="30"/>
  <c r="I775" i="30"/>
  <c r="I774" i="30"/>
  <c r="I773" i="30"/>
  <c r="AD109" i="29" l="1"/>
  <c r="C109" i="29" s="1"/>
  <c r="AB110" i="29"/>
  <c r="AC109" i="29"/>
  <c r="D109" i="29" s="1"/>
  <c r="AK111" i="28"/>
  <c r="AF111" i="28"/>
  <c r="AI113" i="28"/>
  <c r="AJ112" i="28"/>
  <c r="O201" i="2"/>
  <c r="N201" i="2"/>
  <c r="M201" i="2"/>
  <c r="E201" i="2"/>
  <c r="C201" i="2"/>
  <c r="Y200" i="2"/>
  <c r="X200" i="2"/>
  <c r="M200" i="2"/>
  <c r="E200" i="2"/>
  <c r="C200" i="2"/>
  <c r="Y199" i="2"/>
  <c r="X199" i="2"/>
  <c r="M199" i="2"/>
  <c r="E199" i="2"/>
  <c r="C199" i="2"/>
  <c r="P198" i="2"/>
  <c r="O198" i="2"/>
  <c r="N198" i="2"/>
  <c r="M198" i="2"/>
  <c r="E198" i="2"/>
  <c r="C198" i="2"/>
  <c r="P197" i="2"/>
  <c r="O197" i="2"/>
  <c r="N197" i="2"/>
  <c r="M197" i="2"/>
  <c r="E197" i="2"/>
  <c r="C197" i="2"/>
  <c r="P196" i="2"/>
  <c r="O196" i="2"/>
  <c r="N196" i="2"/>
  <c r="M196" i="2"/>
  <c r="E196" i="2"/>
  <c r="C196" i="2"/>
  <c r="P195" i="2"/>
  <c r="O195" i="2"/>
  <c r="N195" i="2"/>
  <c r="M195" i="2"/>
  <c r="E195" i="2"/>
  <c r="C195" i="2"/>
  <c r="P194" i="2"/>
  <c r="O194" i="2"/>
  <c r="N194" i="2"/>
  <c r="M194" i="2"/>
  <c r="E194" i="2"/>
  <c r="C194" i="2"/>
  <c r="P193" i="2"/>
  <c r="O193" i="2"/>
  <c r="N193" i="2"/>
  <c r="M193" i="2"/>
  <c r="E193" i="2"/>
  <c r="C193" i="2"/>
  <c r="P192" i="2"/>
  <c r="O192" i="2"/>
  <c r="N192" i="2"/>
  <c r="M192" i="2"/>
  <c r="E192" i="2"/>
  <c r="C192" i="2"/>
  <c r="Y191" i="2"/>
  <c r="X191" i="2"/>
  <c r="W191" i="2"/>
  <c r="P191" i="2"/>
  <c r="O191" i="2"/>
  <c r="N191" i="2"/>
  <c r="M191" i="2"/>
  <c r="E191" i="2"/>
  <c r="C191" i="2"/>
  <c r="Y190" i="2"/>
  <c r="X190" i="2"/>
  <c r="W190" i="2"/>
  <c r="P190" i="2"/>
  <c r="O190" i="2"/>
  <c r="N190" i="2"/>
  <c r="M190" i="2"/>
  <c r="E190" i="2"/>
  <c r="C190" i="2"/>
  <c r="Y189" i="2"/>
  <c r="X189" i="2"/>
  <c r="W189" i="2"/>
  <c r="P189" i="2"/>
  <c r="O189" i="2"/>
  <c r="N189" i="2"/>
  <c r="M189" i="2"/>
  <c r="E189" i="2"/>
  <c r="C189" i="2"/>
  <c r="Y188" i="2"/>
  <c r="X188" i="2"/>
  <c r="W188" i="2"/>
  <c r="P188" i="2"/>
  <c r="O188" i="2"/>
  <c r="N188" i="2"/>
  <c r="M188" i="2"/>
  <c r="F188" i="2"/>
  <c r="E188" i="2"/>
  <c r="C188" i="2"/>
  <c r="Y187" i="2"/>
  <c r="X187" i="2"/>
  <c r="W187" i="2"/>
  <c r="P187" i="2"/>
  <c r="O187" i="2"/>
  <c r="N187" i="2"/>
  <c r="M187" i="2"/>
  <c r="F187" i="2"/>
  <c r="E187" i="2"/>
  <c r="C187" i="2"/>
  <c r="Y186" i="2"/>
  <c r="X186" i="2"/>
  <c r="W186" i="2"/>
  <c r="P186" i="2"/>
  <c r="O186" i="2"/>
  <c r="N186" i="2"/>
  <c r="M186" i="2"/>
  <c r="E186" i="2"/>
  <c r="C186" i="2"/>
  <c r="Y185" i="2"/>
  <c r="X185" i="2"/>
  <c r="P185" i="2"/>
  <c r="O185" i="2"/>
  <c r="N185" i="2"/>
  <c r="M185" i="2"/>
  <c r="E185" i="2"/>
  <c r="C185" i="2"/>
  <c r="Y184" i="2"/>
  <c r="X184" i="2"/>
  <c r="P184" i="2"/>
  <c r="O184" i="2"/>
  <c r="N184" i="2"/>
  <c r="M184" i="2"/>
  <c r="E184" i="2"/>
  <c r="C184" i="2"/>
  <c r="Y183" i="2"/>
  <c r="X183" i="2"/>
  <c r="W183" i="2"/>
  <c r="P183" i="2"/>
  <c r="O183" i="2"/>
  <c r="N183" i="2"/>
  <c r="E183" i="2"/>
  <c r="C183" i="2"/>
  <c r="Y182" i="2"/>
  <c r="X182" i="2"/>
  <c r="W182" i="2"/>
  <c r="P182" i="2"/>
  <c r="O182" i="2"/>
  <c r="N182" i="2"/>
  <c r="E182" i="2"/>
  <c r="C182" i="2"/>
  <c r="Y181" i="2"/>
  <c r="X181" i="2"/>
  <c r="P181" i="2"/>
  <c r="O181" i="2"/>
  <c r="N181" i="2"/>
  <c r="E181" i="2"/>
  <c r="C181" i="2"/>
  <c r="Y180" i="2"/>
  <c r="X180" i="2"/>
  <c r="P180" i="2"/>
  <c r="O180" i="2"/>
  <c r="N180" i="2"/>
  <c r="E180" i="2"/>
  <c r="C180" i="2"/>
  <c r="Y179" i="2"/>
  <c r="X179" i="2"/>
  <c r="P179" i="2"/>
  <c r="O179" i="2"/>
  <c r="N179" i="2"/>
  <c r="E179" i="2"/>
  <c r="C179" i="2"/>
  <c r="Y178" i="2"/>
  <c r="X178" i="2"/>
  <c r="P178" i="2"/>
  <c r="O178" i="2"/>
  <c r="N178" i="2"/>
  <c r="E178" i="2"/>
  <c r="C178" i="2"/>
  <c r="P177" i="2"/>
  <c r="O177" i="2"/>
  <c r="N177" i="2"/>
  <c r="M177" i="2"/>
  <c r="E177" i="2"/>
  <c r="C177" i="2"/>
  <c r="P176" i="2"/>
  <c r="O176" i="2"/>
  <c r="N176" i="2"/>
  <c r="M176" i="2"/>
  <c r="E176" i="2"/>
  <c r="C176" i="2"/>
  <c r="P175" i="2"/>
  <c r="O175" i="2"/>
  <c r="N175" i="2"/>
  <c r="M175" i="2"/>
  <c r="E175" i="2"/>
  <c r="C175" i="2"/>
  <c r="P174" i="2"/>
  <c r="O174" i="2"/>
  <c r="N174" i="2"/>
  <c r="M174" i="2"/>
  <c r="E174" i="2"/>
  <c r="C174" i="2"/>
  <c r="P173" i="2"/>
  <c r="O173" i="2"/>
  <c r="N173" i="2"/>
  <c r="M173" i="2"/>
  <c r="E173" i="2"/>
  <c r="C173" i="2"/>
  <c r="P172" i="2"/>
  <c r="O172" i="2"/>
  <c r="N172" i="2"/>
  <c r="M172" i="2"/>
  <c r="E172" i="2"/>
  <c r="C172" i="2"/>
  <c r="P171" i="2"/>
  <c r="O171" i="2"/>
  <c r="N171" i="2"/>
  <c r="M171" i="2"/>
  <c r="E171" i="2"/>
  <c r="C171" i="2"/>
  <c r="P170" i="2"/>
  <c r="O170" i="2"/>
  <c r="N170" i="2"/>
  <c r="M170" i="2"/>
  <c r="E170" i="2"/>
  <c r="C170" i="2"/>
  <c r="P169" i="2"/>
  <c r="O169" i="2"/>
  <c r="N169" i="2"/>
  <c r="M169" i="2"/>
  <c r="E169" i="2"/>
  <c r="C169" i="2"/>
  <c r="P168" i="2"/>
  <c r="O168" i="2"/>
  <c r="N168" i="2"/>
  <c r="M168" i="2"/>
  <c r="E168" i="2"/>
  <c r="C168" i="2"/>
  <c r="P167" i="2"/>
  <c r="O167" i="2"/>
  <c r="N167" i="2"/>
  <c r="M167" i="2"/>
  <c r="E167" i="2"/>
  <c r="C167" i="2"/>
  <c r="P166" i="2"/>
  <c r="O166" i="2"/>
  <c r="N166" i="2"/>
  <c r="M166" i="2"/>
  <c r="E166" i="2"/>
  <c r="C166" i="2"/>
  <c r="P165" i="2"/>
  <c r="O165" i="2"/>
  <c r="N165" i="2"/>
  <c r="M165" i="2"/>
  <c r="E165" i="2"/>
  <c r="C165" i="2"/>
  <c r="P164" i="2"/>
  <c r="O164" i="2"/>
  <c r="N164" i="2"/>
  <c r="M164" i="2"/>
  <c r="E164" i="2"/>
  <c r="C164" i="2"/>
  <c r="P163" i="2"/>
  <c r="O163" i="2"/>
  <c r="N163" i="2"/>
  <c r="M163" i="2"/>
  <c r="E163" i="2"/>
  <c r="C163" i="2"/>
  <c r="P162" i="2"/>
  <c r="O162" i="2"/>
  <c r="N162" i="2"/>
  <c r="E162" i="2"/>
  <c r="C162" i="2"/>
  <c r="P161" i="2"/>
  <c r="O161" i="2"/>
  <c r="N161" i="2"/>
  <c r="M161" i="2"/>
  <c r="E161" i="2"/>
  <c r="C161" i="2"/>
  <c r="W150" i="2"/>
  <c r="W149" i="2"/>
  <c r="W148" i="2"/>
  <c r="W147" i="2"/>
  <c r="W146" i="2"/>
  <c r="W145" i="2"/>
  <c r="W142" i="2"/>
  <c r="W141" i="2"/>
  <c r="Y159" i="2"/>
  <c r="Y158" i="2"/>
  <c r="X159" i="2"/>
  <c r="X158" i="2"/>
  <c r="Y150" i="2"/>
  <c r="X150" i="2"/>
  <c r="Y149" i="2"/>
  <c r="X149" i="2"/>
  <c r="Y148" i="2"/>
  <c r="X148" i="2"/>
  <c r="Y147" i="2"/>
  <c r="X147" i="2"/>
  <c r="Y146" i="2"/>
  <c r="X146" i="2"/>
  <c r="Y145" i="2"/>
  <c r="X145" i="2"/>
  <c r="Y144" i="2"/>
  <c r="X144" i="2"/>
  <c r="Y143" i="2"/>
  <c r="X143" i="2"/>
  <c r="Y142" i="2"/>
  <c r="X142" i="2"/>
  <c r="Y141" i="2"/>
  <c r="X141" i="2"/>
  <c r="Y140" i="2"/>
  <c r="X140" i="2"/>
  <c r="Y139" i="2"/>
  <c r="X139" i="2"/>
  <c r="Y138" i="2"/>
  <c r="X138" i="2"/>
  <c r="Y137" i="2"/>
  <c r="X137" i="2"/>
  <c r="O160" i="2"/>
  <c r="N160" i="2"/>
  <c r="P136" i="2"/>
  <c r="O136" i="2"/>
  <c r="N136" i="2"/>
  <c r="P131" i="2"/>
  <c r="O131" i="2"/>
  <c r="N131" i="2"/>
  <c r="P125" i="2"/>
  <c r="O125" i="2"/>
  <c r="N125" i="2"/>
  <c r="M160" i="2"/>
  <c r="M159" i="2"/>
  <c r="M158" i="2"/>
  <c r="M157" i="2"/>
  <c r="M156" i="2"/>
  <c r="M155" i="2"/>
  <c r="M154" i="2"/>
  <c r="M153" i="2"/>
  <c r="M152" i="2"/>
  <c r="M151" i="2"/>
  <c r="M150" i="2"/>
  <c r="M149" i="2"/>
  <c r="M148" i="2"/>
  <c r="M147" i="2"/>
  <c r="M146" i="2"/>
  <c r="M145" i="2"/>
  <c r="M144" i="2"/>
  <c r="M143" i="2"/>
  <c r="M136" i="2"/>
  <c r="M135" i="2"/>
  <c r="M134" i="2"/>
  <c r="M133" i="2"/>
  <c r="M132" i="2"/>
  <c r="M131" i="2"/>
  <c r="M130" i="2"/>
  <c r="M129" i="2"/>
  <c r="M128" i="2"/>
  <c r="M127" i="2"/>
  <c r="M126" i="2"/>
  <c r="M125" i="2"/>
  <c r="M124" i="2"/>
  <c r="M123" i="2"/>
  <c r="M122" i="2"/>
  <c r="M120" i="2"/>
  <c r="AB111" i="29" l="1"/>
  <c r="AD110" i="29"/>
  <c r="C110" i="29" s="1"/>
  <c r="AC110" i="29"/>
  <c r="D110" i="29" s="1"/>
  <c r="AK112" i="28"/>
  <c r="AF112" i="28"/>
  <c r="AJ113" i="28"/>
  <c r="AI114" i="28"/>
  <c r="AB112" i="29" l="1"/>
  <c r="AD111" i="29"/>
  <c r="C111" i="29" s="1"/>
  <c r="AC111" i="29"/>
  <c r="D111" i="29" s="1"/>
  <c r="AK113" i="28"/>
  <c r="AF113" i="28"/>
  <c r="AJ114" i="28"/>
  <c r="AI115" i="28"/>
  <c r="AD112" i="29" l="1"/>
  <c r="C112" i="29" s="1"/>
  <c r="AB113" i="29"/>
  <c r="AC112" i="29"/>
  <c r="D112" i="29" s="1"/>
  <c r="AK114" i="28"/>
  <c r="AF114" i="28"/>
  <c r="AI116" i="28"/>
  <c r="AJ115" i="28"/>
  <c r="AD113" i="29" l="1"/>
  <c r="C113" i="29" s="1"/>
  <c r="AC113" i="29"/>
  <c r="D113" i="29" s="1"/>
  <c r="AB114" i="29"/>
  <c r="AK115" i="28"/>
  <c r="AF115" i="28"/>
  <c r="AI117" i="28"/>
  <c r="AJ116" i="28"/>
  <c r="N126" i="2"/>
  <c r="O126" i="2"/>
  <c r="P126" i="2"/>
  <c r="N127" i="2"/>
  <c r="O127" i="2"/>
  <c r="P127" i="2"/>
  <c r="N128" i="2"/>
  <c r="O128" i="2"/>
  <c r="P128" i="2"/>
  <c r="N129" i="2"/>
  <c r="O129" i="2"/>
  <c r="P129" i="2"/>
  <c r="N130" i="2"/>
  <c r="O130" i="2"/>
  <c r="P130" i="2"/>
  <c r="N132" i="2"/>
  <c r="O132" i="2"/>
  <c r="P132" i="2"/>
  <c r="N133" i="2"/>
  <c r="O133" i="2"/>
  <c r="P133" i="2"/>
  <c r="N134" i="2"/>
  <c r="O134" i="2"/>
  <c r="P134" i="2"/>
  <c r="N135" i="2"/>
  <c r="O135" i="2"/>
  <c r="P135" i="2"/>
  <c r="N137" i="2"/>
  <c r="O137" i="2"/>
  <c r="P137" i="2"/>
  <c r="AB115" i="29" l="1"/>
  <c r="AD114" i="29"/>
  <c r="C114" i="29" s="1"/>
  <c r="AC114" i="29"/>
  <c r="D114" i="29" s="1"/>
  <c r="AK116" i="28"/>
  <c r="AF116" i="28"/>
  <c r="AJ117" i="28"/>
  <c r="AI118" i="28"/>
  <c r="AB116" i="29" l="1"/>
  <c r="AD115" i="29"/>
  <c r="C115" i="29" s="1"/>
  <c r="AC115" i="29"/>
  <c r="D115" i="29" s="1"/>
  <c r="AK117" i="28"/>
  <c r="AF117" i="28"/>
  <c r="AJ118" i="28"/>
  <c r="AI119" i="28"/>
  <c r="AC116" i="29" l="1"/>
  <c r="D116" i="29" s="1"/>
  <c r="AB117" i="29"/>
  <c r="AD116" i="29"/>
  <c r="C116" i="29" s="1"/>
  <c r="AK118" i="28"/>
  <c r="AF118" i="28"/>
  <c r="AI120" i="28"/>
  <c r="AJ119" i="28"/>
  <c r="P88" i="2"/>
  <c r="O88" i="2"/>
  <c r="N88" i="2"/>
  <c r="AD117" i="29" l="1"/>
  <c r="C117" i="29" s="1"/>
  <c r="AB118" i="29"/>
  <c r="AC117" i="29"/>
  <c r="D117" i="29" s="1"/>
  <c r="AK119" i="28"/>
  <c r="AF119" i="28"/>
  <c r="AI121" i="28"/>
  <c r="AJ120" i="28"/>
  <c r="AB119" i="29" l="1"/>
  <c r="AD118" i="29"/>
  <c r="C118" i="29" s="1"/>
  <c r="AC118" i="29"/>
  <c r="D118" i="29" s="1"/>
  <c r="AK120" i="28"/>
  <c r="AF120" i="28"/>
  <c r="AJ121" i="28"/>
  <c r="AI122" i="28"/>
  <c r="C4" i="4"/>
  <c r="D4" i="4"/>
  <c r="AB120" i="29" l="1"/>
  <c r="AC119" i="29"/>
  <c r="D119" i="29" s="1"/>
  <c r="AD119" i="29"/>
  <c r="C119" i="29" s="1"/>
  <c r="AK121" i="28"/>
  <c r="AF121" i="28"/>
  <c r="AJ122" i="28"/>
  <c r="AI123" i="28"/>
  <c r="AC120" i="29" l="1"/>
  <c r="D120" i="29" s="1"/>
  <c r="AB121" i="29"/>
  <c r="AD120" i="29"/>
  <c r="C120" i="29" s="1"/>
  <c r="AK122" i="28"/>
  <c r="AF122" i="28"/>
  <c r="AI124" i="28"/>
  <c r="AJ123" i="28"/>
  <c r="AD121" i="29" l="1"/>
  <c r="C121" i="29" s="1"/>
  <c r="AC121" i="29"/>
  <c r="D121" i="29" s="1"/>
  <c r="AB122" i="29"/>
  <c r="AK123" i="28"/>
  <c r="AF123" i="28"/>
  <c r="AI125" i="28"/>
  <c r="AJ124" i="28"/>
  <c r="AB123" i="29" l="1"/>
  <c r="AD122" i="29"/>
  <c r="C122" i="29" s="1"/>
  <c r="AC122" i="29"/>
  <c r="D122" i="29" s="1"/>
  <c r="AK124" i="28"/>
  <c r="AF124" i="28"/>
  <c r="AI126" i="28"/>
  <c r="AJ125" i="28"/>
  <c r="AB124" i="29" l="1"/>
  <c r="AC123" i="29"/>
  <c r="D123" i="29" s="1"/>
  <c r="AD123" i="29"/>
  <c r="C123" i="29" s="1"/>
  <c r="AK125" i="28"/>
  <c r="AF125" i="28"/>
  <c r="AI127" i="28"/>
  <c r="AJ126" i="28"/>
  <c r="AC124" i="29" l="1"/>
  <c r="D124" i="29" s="1"/>
  <c r="AD124" i="29"/>
  <c r="C124" i="29" s="1"/>
  <c r="AB125" i="29"/>
  <c r="AK126" i="28"/>
  <c r="AF126" i="28"/>
  <c r="AJ127" i="28"/>
  <c r="AI128" i="28"/>
  <c r="AD125" i="29" l="1"/>
  <c r="C125" i="29" s="1"/>
  <c r="AC125" i="29"/>
  <c r="D125" i="29" s="1"/>
  <c r="AB126" i="29"/>
  <c r="AK127" i="28"/>
  <c r="AF127" i="28"/>
  <c r="AI129" i="28"/>
  <c r="AJ128" i="28"/>
  <c r="V111" i="2"/>
  <c r="W110" i="2"/>
  <c r="X110" i="2"/>
  <c r="Y110" i="2"/>
  <c r="U111" i="2"/>
  <c r="X111" i="2" s="1"/>
  <c r="T111" i="2"/>
  <c r="W111" i="2" s="1"/>
  <c r="S71" i="2"/>
  <c r="R71" i="2"/>
  <c r="Q71" i="2"/>
  <c r="G105" i="2"/>
  <c r="G104" i="2"/>
  <c r="AB127" i="29" l="1"/>
  <c r="AD126" i="29"/>
  <c r="C126" i="29" s="1"/>
  <c r="AC126" i="29"/>
  <c r="D126" i="29" s="1"/>
  <c r="AK128" i="28"/>
  <c r="AF128" i="28"/>
  <c r="AI130" i="28"/>
  <c r="AJ129" i="28"/>
  <c r="Y111" i="2"/>
  <c r="P68" i="31"/>
  <c r="O68" i="31"/>
  <c r="N68" i="31"/>
  <c r="M68" i="31"/>
  <c r="E68" i="31"/>
  <c r="C68" i="31"/>
  <c r="P67" i="31"/>
  <c r="O67" i="31"/>
  <c r="N67" i="31"/>
  <c r="M67" i="31"/>
  <c r="E67" i="31"/>
  <c r="C67" i="31"/>
  <c r="P66" i="31"/>
  <c r="O66" i="31"/>
  <c r="N66" i="31"/>
  <c r="M66" i="31"/>
  <c r="E66" i="31"/>
  <c r="C66" i="31"/>
  <c r="P65" i="31"/>
  <c r="O65" i="31"/>
  <c r="N65" i="31"/>
  <c r="M65" i="31"/>
  <c r="E65" i="31"/>
  <c r="C65" i="31"/>
  <c r="P64" i="31"/>
  <c r="O64" i="31"/>
  <c r="N64" i="31"/>
  <c r="M64" i="31"/>
  <c r="E64" i="31"/>
  <c r="C64" i="31"/>
  <c r="P63" i="31"/>
  <c r="O63" i="31"/>
  <c r="N63" i="31"/>
  <c r="M63" i="31"/>
  <c r="E63" i="31"/>
  <c r="C63" i="31"/>
  <c r="P62" i="31"/>
  <c r="O62" i="31"/>
  <c r="N62" i="31"/>
  <c r="M62" i="31"/>
  <c r="E62" i="31"/>
  <c r="C62" i="31"/>
  <c r="P61" i="31"/>
  <c r="O61" i="31"/>
  <c r="N61" i="31"/>
  <c r="M61" i="31"/>
  <c r="E61" i="31"/>
  <c r="C61" i="31"/>
  <c r="P60" i="31"/>
  <c r="O60" i="31"/>
  <c r="N60" i="31"/>
  <c r="M60" i="31"/>
  <c r="E60" i="31"/>
  <c r="C60" i="31"/>
  <c r="P59" i="31"/>
  <c r="O59" i="31"/>
  <c r="N59" i="31"/>
  <c r="M59" i="31"/>
  <c r="E59" i="31"/>
  <c r="C59" i="31"/>
  <c r="P58" i="31"/>
  <c r="O58" i="31"/>
  <c r="N58" i="31"/>
  <c r="M58" i="31"/>
  <c r="E58" i="31"/>
  <c r="C58" i="31"/>
  <c r="P57" i="31"/>
  <c r="O57" i="31"/>
  <c r="N57" i="31"/>
  <c r="M57" i="31"/>
  <c r="E57" i="31"/>
  <c r="C57" i="31"/>
  <c r="E1032" i="30"/>
  <c r="C1032" i="30"/>
  <c r="E1031" i="30"/>
  <c r="C1031" i="30"/>
  <c r="E1030" i="30"/>
  <c r="C1030" i="30"/>
  <c r="E1029" i="30"/>
  <c r="C1029" i="30"/>
  <c r="E1028" i="30"/>
  <c r="C1028" i="30"/>
  <c r="E1027" i="30"/>
  <c r="C1027" i="30"/>
  <c r="E1026" i="30"/>
  <c r="C1026" i="30"/>
  <c r="E1025" i="30"/>
  <c r="C1025" i="30"/>
  <c r="E1024" i="30"/>
  <c r="C1024" i="30"/>
  <c r="E1023" i="30"/>
  <c r="C1023" i="30"/>
  <c r="E1022" i="30"/>
  <c r="C1022" i="30"/>
  <c r="E1021" i="30"/>
  <c r="C1021" i="30"/>
  <c r="E1020" i="30"/>
  <c r="C1020" i="30"/>
  <c r="E1019" i="30"/>
  <c r="C1019" i="30"/>
  <c r="E1018" i="30"/>
  <c r="C1018" i="30"/>
  <c r="E1017" i="30"/>
  <c r="C1017" i="30"/>
  <c r="E1016" i="30"/>
  <c r="C1016" i="30"/>
  <c r="E1015" i="30"/>
  <c r="C1015" i="30"/>
  <c r="E1014" i="30"/>
  <c r="C1014" i="30"/>
  <c r="E1013" i="30"/>
  <c r="C1013" i="30"/>
  <c r="E1012" i="30"/>
  <c r="C1012" i="30"/>
  <c r="E1011" i="30"/>
  <c r="C1011" i="30"/>
  <c r="E1010" i="30"/>
  <c r="C1010" i="30"/>
  <c r="E1009" i="30"/>
  <c r="C1009" i="30"/>
  <c r="E1008" i="30"/>
  <c r="C1008" i="30"/>
  <c r="E1007" i="30"/>
  <c r="C1007" i="30"/>
  <c r="E1006" i="30"/>
  <c r="C1006" i="30"/>
  <c r="E1005" i="30"/>
  <c r="C1005" i="30"/>
  <c r="E1004" i="30"/>
  <c r="C1004" i="30"/>
  <c r="E1003" i="30"/>
  <c r="C1003" i="30"/>
  <c r="E1002" i="30"/>
  <c r="C1002" i="30"/>
  <c r="E1001" i="30"/>
  <c r="C1001" i="30"/>
  <c r="E1000" i="30"/>
  <c r="C1000" i="30"/>
  <c r="E999" i="30"/>
  <c r="C999" i="30"/>
  <c r="E998" i="30"/>
  <c r="C998" i="30"/>
  <c r="E997" i="30"/>
  <c r="C997" i="30"/>
  <c r="E996" i="30"/>
  <c r="C996" i="30"/>
  <c r="E995" i="30"/>
  <c r="C995" i="30"/>
  <c r="E994" i="30"/>
  <c r="C994" i="30"/>
  <c r="E993" i="30"/>
  <c r="C993" i="30"/>
  <c r="E992" i="30"/>
  <c r="C992" i="30"/>
  <c r="E991" i="30"/>
  <c r="C991" i="30"/>
  <c r="E990" i="30"/>
  <c r="C990" i="30"/>
  <c r="E989" i="30"/>
  <c r="C989" i="30"/>
  <c r="E988" i="30"/>
  <c r="C988" i="30"/>
  <c r="E987" i="30"/>
  <c r="C987" i="30"/>
  <c r="E986" i="30"/>
  <c r="C986" i="30"/>
  <c r="E985" i="30"/>
  <c r="C985" i="30"/>
  <c r="E984" i="30"/>
  <c r="C984" i="30"/>
  <c r="E983" i="30"/>
  <c r="C983" i="30"/>
  <c r="E982" i="30"/>
  <c r="C982" i="30"/>
  <c r="E981" i="30"/>
  <c r="C981" i="30"/>
  <c r="E980" i="30"/>
  <c r="C980" i="30"/>
  <c r="E979" i="30"/>
  <c r="C979" i="30"/>
  <c r="E978" i="30"/>
  <c r="C978" i="30"/>
  <c r="E977" i="30"/>
  <c r="C977" i="30"/>
  <c r="E976" i="30"/>
  <c r="C976" i="30"/>
  <c r="E975" i="30"/>
  <c r="C975" i="30"/>
  <c r="E974" i="30"/>
  <c r="C974" i="30"/>
  <c r="E973" i="30"/>
  <c r="C973" i="30"/>
  <c r="E972" i="30"/>
  <c r="C972" i="30"/>
  <c r="E971" i="30"/>
  <c r="C971" i="30"/>
  <c r="E970" i="30"/>
  <c r="C970" i="30"/>
  <c r="E969" i="30"/>
  <c r="C969" i="30"/>
  <c r="E968" i="30"/>
  <c r="C968" i="30"/>
  <c r="E967" i="30"/>
  <c r="C967" i="30"/>
  <c r="E966" i="30"/>
  <c r="C966" i="30"/>
  <c r="E965" i="30"/>
  <c r="C965" i="30"/>
  <c r="E964" i="30"/>
  <c r="C964" i="30"/>
  <c r="E963" i="30"/>
  <c r="C963" i="30"/>
  <c r="E962" i="30"/>
  <c r="C962" i="30"/>
  <c r="E961" i="30"/>
  <c r="C961" i="30"/>
  <c r="E960" i="30"/>
  <c r="C960" i="30"/>
  <c r="E959" i="30"/>
  <c r="C959" i="30"/>
  <c r="E958" i="30"/>
  <c r="C958" i="30"/>
  <c r="E957" i="30"/>
  <c r="C957" i="30"/>
  <c r="E956" i="30"/>
  <c r="C956" i="30"/>
  <c r="E955" i="30"/>
  <c r="C955" i="30"/>
  <c r="E954" i="30"/>
  <c r="C954" i="30"/>
  <c r="E953" i="30"/>
  <c r="C953" i="30"/>
  <c r="E952" i="30"/>
  <c r="C952" i="30"/>
  <c r="E951" i="30"/>
  <c r="C951" i="30"/>
  <c r="E950" i="30"/>
  <c r="C950" i="30"/>
  <c r="E949" i="30"/>
  <c r="C949" i="30"/>
  <c r="E948" i="30"/>
  <c r="C948" i="30"/>
  <c r="E947" i="30"/>
  <c r="C947" i="30"/>
  <c r="E946" i="30"/>
  <c r="C946" i="30"/>
  <c r="E945" i="30"/>
  <c r="C945" i="30"/>
  <c r="E944" i="30"/>
  <c r="C944" i="30"/>
  <c r="E943" i="30"/>
  <c r="C943" i="30"/>
  <c r="E942" i="30"/>
  <c r="C942" i="30"/>
  <c r="E941" i="30"/>
  <c r="C941" i="30"/>
  <c r="E940" i="30"/>
  <c r="C940" i="30"/>
  <c r="E939" i="30"/>
  <c r="C939" i="30"/>
  <c r="E938" i="30"/>
  <c r="C938" i="30"/>
  <c r="E937" i="30"/>
  <c r="C937" i="30"/>
  <c r="E936" i="30"/>
  <c r="C936" i="30"/>
  <c r="E935" i="30"/>
  <c r="C935" i="30"/>
  <c r="E934" i="30"/>
  <c r="C934" i="30"/>
  <c r="E933" i="30"/>
  <c r="C933" i="30"/>
  <c r="E932" i="30"/>
  <c r="C932" i="30"/>
  <c r="E931" i="30"/>
  <c r="C931" i="30"/>
  <c r="E930" i="30"/>
  <c r="C930" i="30"/>
  <c r="E929" i="30"/>
  <c r="C929" i="30"/>
  <c r="E928" i="30"/>
  <c r="C928" i="30"/>
  <c r="E927" i="30"/>
  <c r="C927" i="30"/>
  <c r="E926" i="30"/>
  <c r="C926" i="30"/>
  <c r="E925" i="30"/>
  <c r="C925" i="30"/>
  <c r="E924" i="30"/>
  <c r="C924" i="30"/>
  <c r="E923" i="30"/>
  <c r="C923" i="30"/>
  <c r="E922" i="30"/>
  <c r="C922" i="30"/>
  <c r="E921" i="30"/>
  <c r="C921" i="30"/>
  <c r="E920" i="30"/>
  <c r="C920" i="30"/>
  <c r="E919" i="30"/>
  <c r="C919" i="30"/>
  <c r="E918" i="30"/>
  <c r="C918" i="30"/>
  <c r="E917" i="30"/>
  <c r="C917" i="30"/>
  <c r="E916" i="30"/>
  <c r="C916" i="30"/>
  <c r="E915" i="30"/>
  <c r="C915" i="30"/>
  <c r="E914" i="30"/>
  <c r="C914" i="30"/>
  <c r="E913" i="30"/>
  <c r="C913" i="30"/>
  <c r="E912" i="30"/>
  <c r="C912" i="30"/>
  <c r="E911" i="30"/>
  <c r="C911" i="30"/>
  <c r="E910" i="30"/>
  <c r="C910" i="30"/>
  <c r="E909" i="30"/>
  <c r="C909" i="30"/>
  <c r="E908" i="30"/>
  <c r="C908" i="30"/>
  <c r="E907" i="30"/>
  <c r="C907" i="30"/>
  <c r="E906" i="30"/>
  <c r="C906" i="30"/>
  <c r="E905" i="30"/>
  <c r="C905" i="30"/>
  <c r="E904" i="30"/>
  <c r="C904" i="30"/>
  <c r="E903" i="30"/>
  <c r="C903" i="30"/>
  <c r="E902" i="30"/>
  <c r="C902" i="30"/>
  <c r="E901" i="30"/>
  <c r="C901" i="30"/>
  <c r="E900" i="30"/>
  <c r="C900" i="30"/>
  <c r="E899" i="30"/>
  <c r="C899" i="30"/>
  <c r="E898" i="30"/>
  <c r="C898" i="30"/>
  <c r="E897" i="30"/>
  <c r="C897" i="30"/>
  <c r="E896" i="30"/>
  <c r="C896" i="30"/>
  <c r="E895" i="30"/>
  <c r="C895" i="30"/>
  <c r="E894" i="30"/>
  <c r="C894" i="30"/>
  <c r="E893" i="30"/>
  <c r="C893" i="30"/>
  <c r="E892" i="30"/>
  <c r="C892" i="30"/>
  <c r="E891" i="30"/>
  <c r="C891" i="30"/>
  <c r="E890" i="30"/>
  <c r="C890" i="30"/>
  <c r="E889" i="30"/>
  <c r="C889" i="30"/>
  <c r="E888" i="30"/>
  <c r="C888" i="30"/>
  <c r="E887" i="30"/>
  <c r="C887" i="30"/>
  <c r="E886" i="30"/>
  <c r="C886" i="30"/>
  <c r="E885" i="30"/>
  <c r="C885" i="30"/>
  <c r="E884" i="30"/>
  <c r="C884" i="30"/>
  <c r="E883" i="30"/>
  <c r="C883" i="30"/>
  <c r="E882" i="30"/>
  <c r="C882" i="30"/>
  <c r="E881" i="30"/>
  <c r="C881" i="30"/>
  <c r="E880" i="30"/>
  <c r="C880" i="30"/>
  <c r="E879" i="30"/>
  <c r="C879" i="30"/>
  <c r="E878" i="30"/>
  <c r="C878" i="30"/>
  <c r="E877" i="30"/>
  <c r="C877" i="30"/>
  <c r="E876" i="30"/>
  <c r="C876" i="30"/>
  <c r="E875" i="30"/>
  <c r="C875" i="30"/>
  <c r="E874" i="30"/>
  <c r="C874" i="30"/>
  <c r="E873" i="30"/>
  <c r="C873" i="30"/>
  <c r="E872" i="30"/>
  <c r="C872" i="30"/>
  <c r="E871" i="30"/>
  <c r="C871" i="30"/>
  <c r="E870" i="30"/>
  <c r="C870" i="30"/>
  <c r="E869" i="30"/>
  <c r="C869" i="30"/>
  <c r="E868" i="30"/>
  <c r="C868" i="30"/>
  <c r="E867" i="30"/>
  <c r="C867" i="30"/>
  <c r="E866" i="30"/>
  <c r="C866" i="30"/>
  <c r="E865" i="30"/>
  <c r="C865" i="30"/>
  <c r="E864" i="30"/>
  <c r="C864" i="30"/>
  <c r="E863" i="30"/>
  <c r="C863" i="30"/>
  <c r="E862" i="30"/>
  <c r="C862" i="30"/>
  <c r="E861" i="30"/>
  <c r="C861" i="30"/>
  <c r="E860" i="30"/>
  <c r="C860" i="30"/>
  <c r="E859" i="30"/>
  <c r="C859" i="30"/>
  <c r="E858" i="30"/>
  <c r="C858" i="30"/>
  <c r="E857" i="30"/>
  <c r="C857" i="30"/>
  <c r="E856" i="30"/>
  <c r="C856" i="30"/>
  <c r="E855" i="30"/>
  <c r="C855" i="30"/>
  <c r="E854" i="30"/>
  <c r="C854" i="30"/>
  <c r="E853" i="30"/>
  <c r="C853" i="30"/>
  <c r="E852" i="30"/>
  <c r="C852" i="30"/>
  <c r="E851" i="30"/>
  <c r="C851" i="30"/>
  <c r="E850" i="30"/>
  <c r="C850" i="30"/>
  <c r="E849" i="30"/>
  <c r="C849" i="30"/>
  <c r="E848" i="30"/>
  <c r="C848" i="30"/>
  <c r="E847" i="30"/>
  <c r="C847" i="30"/>
  <c r="E846" i="30"/>
  <c r="C846" i="30"/>
  <c r="E845" i="30"/>
  <c r="C845" i="30"/>
  <c r="E844" i="30"/>
  <c r="C844" i="30"/>
  <c r="E843" i="30"/>
  <c r="C843" i="30"/>
  <c r="E842" i="30"/>
  <c r="C842" i="30"/>
  <c r="E841" i="30"/>
  <c r="C841" i="30"/>
  <c r="E840" i="30"/>
  <c r="C840" i="30"/>
  <c r="E839" i="30"/>
  <c r="C839" i="30"/>
  <c r="E838" i="30"/>
  <c r="C838" i="30"/>
  <c r="E837" i="30"/>
  <c r="C837" i="30"/>
  <c r="E836" i="30"/>
  <c r="C836" i="30"/>
  <c r="E835" i="30"/>
  <c r="C835" i="30"/>
  <c r="E834" i="30"/>
  <c r="C834" i="30"/>
  <c r="E833" i="30"/>
  <c r="C833" i="30"/>
  <c r="E832" i="30"/>
  <c r="C832" i="30"/>
  <c r="E831" i="30"/>
  <c r="C831" i="30"/>
  <c r="E830" i="30"/>
  <c r="C830" i="30"/>
  <c r="E829" i="30"/>
  <c r="C829" i="30"/>
  <c r="E828" i="30"/>
  <c r="C828" i="30"/>
  <c r="E827" i="30"/>
  <c r="C827" i="30"/>
  <c r="E826" i="30"/>
  <c r="C826" i="30"/>
  <c r="E825" i="30"/>
  <c r="C825" i="30"/>
  <c r="E824" i="30"/>
  <c r="C824" i="30"/>
  <c r="E823" i="30"/>
  <c r="C823" i="30"/>
  <c r="E822" i="30"/>
  <c r="C822" i="30"/>
  <c r="E821" i="30"/>
  <c r="C821" i="30"/>
  <c r="E820" i="30"/>
  <c r="C820" i="30"/>
  <c r="E819" i="30"/>
  <c r="C819" i="30"/>
  <c r="E818" i="30"/>
  <c r="C818" i="30"/>
  <c r="E817" i="30"/>
  <c r="C817" i="30"/>
  <c r="E816" i="30"/>
  <c r="C816" i="30"/>
  <c r="E815" i="30"/>
  <c r="C815" i="30"/>
  <c r="E814" i="30"/>
  <c r="C814" i="30"/>
  <c r="E813" i="30"/>
  <c r="C813" i="30"/>
  <c r="E812" i="30"/>
  <c r="C812" i="30"/>
  <c r="E811" i="30"/>
  <c r="C811" i="30"/>
  <c r="E810" i="30"/>
  <c r="C810" i="30"/>
  <c r="E809" i="30"/>
  <c r="C809" i="30"/>
  <c r="E808" i="30"/>
  <c r="C808" i="30"/>
  <c r="E807" i="30"/>
  <c r="C807" i="30"/>
  <c r="E806" i="30"/>
  <c r="C806" i="30"/>
  <c r="E805" i="30"/>
  <c r="C805" i="30"/>
  <c r="E804" i="30"/>
  <c r="C804" i="30"/>
  <c r="E803" i="30"/>
  <c r="C803" i="30"/>
  <c r="E802" i="30"/>
  <c r="C802" i="30"/>
  <c r="E801" i="30"/>
  <c r="C801" i="30"/>
  <c r="E800" i="30"/>
  <c r="C800" i="30"/>
  <c r="E799" i="30"/>
  <c r="C799" i="30"/>
  <c r="E798" i="30"/>
  <c r="C798" i="30"/>
  <c r="E797" i="30"/>
  <c r="C797" i="30"/>
  <c r="E796" i="30"/>
  <c r="C796" i="30"/>
  <c r="E795" i="30"/>
  <c r="C795" i="30"/>
  <c r="E794" i="30"/>
  <c r="C794" i="30"/>
  <c r="E793" i="30"/>
  <c r="C793" i="30"/>
  <c r="E792" i="30"/>
  <c r="C792" i="30"/>
  <c r="E791" i="30"/>
  <c r="C791" i="30"/>
  <c r="E790" i="30"/>
  <c r="C790" i="30"/>
  <c r="E789" i="30"/>
  <c r="C789" i="30"/>
  <c r="E788" i="30"/>
  <c r="C788" i="30"/>
  <c r="E787" i="30"/>
  <c r="C787" i="30"/>
  <c r="E786" i="30"/>
  <c r="C786" i="30"/>
  <c r="E785" i="30"/>
  <c r="C785" i="30"/>
  <c r="E784" i="30"/>
  <c r="C784" i="30"/>
  <c r="E783" i="30"/>
  <c r="C783" i="30"/>
  <c r="E782" i="30"/>
  <c r="C782" i="30"/>
  <c r="E781" i="30"/>
  <c r="C781" i="30"/>
  <c r="E780" i="30"/>
  <c r="C780" i="30"/>
  <c r="E779" i="30"/>
  <c r="C779" i="30"/>
  <c r="E778" i="30"/>
  <c r="C778" i="30"/>
  <c r="E777" i="30"/>
  <c r="C777" i="30"/>
  <c r="E776" i="30"/>
  <c r="C776" i="30"/>
  <c r="E775" i="30"/>
  <c r="C775" i="30"/>
  <c r="E774" i="30"/>
  <c r="C774" i="30"/>
  <c r="E773" i="30"/>
  <c r="C773" i="30"/>
  <c r="E160" i="2"/>
  <c r="C160" i="2"/>
  <c r="E159" i="2"/>
  <c r="C159" i="2"/>
  <c r="E158" i="2"/>
  <c r="C158" i="2"/>
  <c r="P157" i="2"/>
  <c r="O157" i="2"/>
  <c r="N157" i="2"/>
  <c r="E157" i="2"/>
  <c r="C157" i="2"/>
  <c r="P156" i="2"/>
  <c r="O156" i="2"/>
  <c r="N156" i="2"/>
  <c r="E156" i="2"/>
  <c r="C156" i="2"/>
  <c r="P155" i="2"/>
  <c r="O155" i="2"/>
  <c r="N155" i="2"/>
  <c r="E155" i="2"/>
  <c r="C155" i="2"/>
  <c r="P154" i="2"/>
  <c r="O154" i="2"/>
  <c r="N154" i="2"/>
  <c r="E154" i="2"/>
  <c r="C154" i="2"/>
  <c r="P153" i="2"/>
  <c r="O153" i="2"/>
  <c r="N153" i="2"/>
  <c r="E153" i="2"/>
  <c r="C153" i="2"/>
  <c r="P152" i="2"/>
  <c r="O152" i="2"/>
  <c r="N152" i="2"/>
  <c r="E152" i="2"/>
  <c r="C152" i="2"/>
  <c r="P151" i="2"/>
  <c r="O151" i="2"/>
  <c r="N151" i="2"/>
  <c r="E151" i="2"/>
  <c r="C151" i="2"/>
  <c r="P150" i="2"/>
  <c r="O150" i="2"/>
  <c r="N150" i="2"/>
  <c r="E150" i="2"/>
  <c r="C150" i="2"/>
  <c r="P149" i="2"/>
  <c r="O149" i="2"/>
  <c r="N149" i="2"/>
  <c r="E149" i="2"/>
  <c r="C149" i="2"/>
  <c r="P148" i="2"/>
  <c r="O148" i="2"/>
  <c r="N148" i="2"/>
  <c r="E148" i="2"/>
  <c r="C148" i="2"/>
  <c r="P147" i="2"/>
  <c r="O147" i="2"/>
  <c r="N147" i="2"/>
  <c r="F147" i="2"/>
  <c r="E147" i="2"/>
  <c r="C147" i="2"/>
  <c r="P146" i="2"/>
  <c r="O146" i="2"/>
  <c r="N146" i="2"/>
  <c r="F146" i="2"/>
  <c r="E146" i="2"/>
  <c r="C146" i="2"/>
  <c r="P145" i="2"/>
  <c r="O145" i="2"/>
  <c r="N145" i="2"/>
  <c r="E145" i="2"/>
  <c r="C145" i="2"/>
  <c r="P144" i="2"/>
  <c r="O144" i="2"/>
  <c r="N144" i="2"/>
  <c r="E144" i="2"/>
  <c r="C144" i="2"/>
  <c r="P143" i="2"/>
  <c r="O143" i="2"/>
  <c r="N143" i="2"/>
  <c r="E143" i="2"/>
  <c r="C143" i="2"/>
  <c r="P142" i="2"/>
  <c r="O142" i="2"/>
  <c r="N142" i="2"/>
  <c r="F142" i="2"/>
  <c r="E142" i="2"/>
  <c r="C142" i="2"/>
  <c r="P141" i="2"/>
  <c r="O141" i="2"/>
  <c r="N141" i="2"/>
  <c r="E141" i="2"/>
  <c r="C141" i="2"/>
  <c r="P140" i="2"/>
  <c r="O140" i="2"/>
  <c r="N140" i="2"/>
  <c r="E140" i="2"/>
  <c r="C140" i="2"/>
  <c r="P139" i="2"/>
  <c r="O139" i="2"/>
  <c r="N139" i="2"/>
  <c r="E139" i="2"/>
  <c r="C139" i="2"/>
  <c r="P138" i="2"/>
  <c r="O138" i="2"/>
  <c r="N138" i="2"/>
  <c r="E138" i="2"/>
  <c r="C138" i="2"/>
  <c r="E137" i="2"/>
  <c r="C137" i="2"/>
  <c r="E136" i="2"/>
  <c r="C136" i="2"/>
  <c r="E135" i="2"/>
  <c r="C135" i="2"/>
  <c r="E134" i="2"/>
  <c r="C134" i="2"/>
  <c r="E133" i="2"/>
  <c r="C133" i="2"/>
  <c r="E132" i="2"/>
  <c r="C132" i="2"/>
  <c r="E131" i="2"/>
  <c r="C131" i="2"/>
  <c r="E130" i="2"/>
  <c r="C130" i="2"/>
  <c r="E129" i="2"/>
  <c r="C129" i="2"/>
  <c r="E128" i="2"/>
  <c r="C128" i="2"/>
  <c r="E127" i="2"/>
  <c r="C127" i="2"/>
  <c r="E126" i="2"/>
  <c r="C126" i="2"/>
  <c r="E125" i="2"/>
  <c r="C125" i="2"/>
  <c r="P124" i="2"/>
  <c r="O124" i="2"/>
  <c r="N124" i="2"/>
  <c r="E124" i="2"/>
  <c r="C124" i="2"/>
  <c r="P123" i="2"/>
  <c r="O123" i="2"/>
  <c r="N123" i="2"/>
  <c r="E123" i="2"/>
  <c r="C123" i="2"/>
  <c r="P122" i="2"/>
  <c r="O122" i="2"/>
  <c r="N122" i="2"/>
  <c r="E122" i="2"/>
  <c r="C122" i="2"/>
  <c r="P121" i="2"/>
  <c r="O121" i="2"/>
  <c r="N121" i="2"/>
  <c r="E121" i="2"/>
  <c r="C121" i="2"/>
  <c r="P120" i="2"/>
  <c r="O120" i="2"/>
  <c r="N120" i="2"/>
  <c r="E120" i="2"/>
  <c r="C120" i="2"/>
  <c r="AB128" i="29" l="1"/>
  <c r="AD127" i="29"/>
  <c r="C127" i="29" s="1"/>
  <c r="AC127" i="29"/>
  <c r="D127" i="29" s="1"/>
  <c r="AK129" i="28"/>
  <c r="AF129" i="28"/>
  <c r="AI131" i="28"/>
  <c r="AJ130" i="28"/>
  <c r="AC128" i="29" l="1"/>
  <c r="D128" i="29" s="1"/>
  <c r="AB129" i="29"/>
  <c r="AD128" i="29"/>
  <c r="C128" i="29" s="1"/>
  <c r="AK130" i="28"/>
  <c r="AF130" i="28"/>
  <c r="AJ131" i="28"/>
  <c r="AI132" i="28"/>
  <c r="AD129" i="29" l="1"/>
  <c r="C129" i="29" s="1"/>
  <c r="AC129" i="29"/>
  <c r="D129" i="29" s="1"/>
  <c r="AB130" i="29"/>
  <c r="AK131" i="28"/>
  <c r="AF131" i="28"/>
  <c r="AI133" i="28"/>
  <c r="AJ132" i="28"/>
  <c r="AB131" i="29" l="1"/>
  <c r="AD130" i="29"/>
  <c r="C130" i="29" s="1"/>
  <c r="AC130" i="29"/>
  <c r="D130" i="29" s="1"/>
  <c r="AK132" i="28"/>
  <c r="AF132" i="28"/>
  <c r="AI134" i="28"/>
  <c r="AJ133" i="28"/>
  <c r="E16" i="3"/>
  <c r="E15" i="3"/>
  <c r="E14" i="3"/>
  <c r="E13" i="3"/>
  <c r="E12" i="3"/>
  <c r="E11" i="3"/>
  <c r="E10" i="3"/>
  <c r="E9" i="3"/>
  <c r="E8" i="3"/>
  <c r="E7" i="3"/>
  <c r="E6" i="3"/>
  <c r="E5" i="3"/>
  <c r="AB132" i="29" l="1"/>
  <c r="AD131" i="29"/>
  <c r="C131" i="29" s="1"/>
  <c r="AC131" i="29"/>
  <c r="D131" i="29" s="1"/>
  <c r="AK133" i="28"/>
  <c r="AF133" i="28"/>
  <c r="AJ134" i="28"/>
  <c r="AI135" i="28"/>
  <c r="Z6" i="3"/>
  <c r="Z7" i="3" s="1"/>
  <c r="Z8" i="3" s="1"/>
  <c r="Z9" i="3" s="1"/>
  <c r="Z10" i="3" s="1"/>
  <c r="Z11" i="3" s="1"/>
  <c r="Z12" i="3" s="1"/>
  <c r="Z13" i="3" s="1"/>
  <c r="Z14" i="3" s="1"/>
  <c r="Z15" i="3" s="1"/>
  <c r="Z16" i="3" s="1"/>
  <c r="Z17" i="3" s="1"/>
  <c r="Z18" i="3" s="1"/>
  <c r="Z19" i="3" s="1"/>
  <c r="Z20" i="3" s="1"/>
  <c r="Z21" i="3" s="1"/>
  <c r="Z22" i="3" s="1"/>
  <c r="Z23" i="3" s="1"/>
  <c r="Z24" i="3" s="1"/>
  <c r="Z25" i="3" s="1"/>
  <c r="Z26" i="3" s="1"/>
  <c r="Z27" i="3" s="1"/>
  <c r="Z28" i="3" s="1"/>
  <c r="Z29" i="3" s="1"/>
  <c r="Z30" i="3" s="1"/>
  <c r="Z31" i="3" s="1"/>
  <c r="Z32" i="3" s="1"/>
  <c r="Z33" i="3" s="1"/>
  <c r="Z34" i="3" s="1"/>
  <c r="Z35" i="3" s="1"/>
  <c r="Z36" i="3" s="1"/>
  <c r="Z37" i="3" s="1"/>
  <c r="Z38" i="3" s="1"/>
  <c r="Z39" i="3" s="1"/>
  <c r="Z40" i="3" s="1"/>
  <c r="Z41" i="3" s="1"/>
  <c r="Z42" i="3" s="1"/>
  <c r="AB133" i="29" l="1"/>
  <c r="AB134" i="29" s="1"/>
  <c r="AD132" i="29"/>
  <c r="C132" i="29" s="1"/>
  <c r="AC132" i="29"/>
  <c r="D132" i="29" s="1"/>
  <c r="AK134" i="28"/>
  <c r="AF134" i="28"/>
  <c r="BI5" i="4"/>
  <c r="BI6" i="4" s="1"/>
  <c r="BI7" i="4" s="1"/>
  <c r="BI8" i="4" s="1"/>
  <c r="BI9" i="4" s="1"/>
  <c r="BI10" i="4" s="1"/>
  <c r="BI11" i="4" s="1"/>
  <c r="BI12" i="4" s="1"/>
  <c r="BI13" i="4" s="1"/>
  <c r="BI14" i="4" s="1"/>
  <c r="BI15" i="4" s="1"/>
  <c r="BI16" i="4" s="1"/>
  <c r="BI17" i="4" s="1"/>
  <c r="BI18" i="4" s="1"/>
  <c r="BI19" i="4" s="1"/>
  <c r="BI20" i="4" s="1"/>
  <c r="BI21" i="4" s="1"/>
  <c r="BI22" i="4" s="1"/>
  <c r="BI23" i="4" s="1"/>
  <c r="BI24" i="4" s="1"/>
  <c r="BI25" i="4" s="1"/>
  <c r="BI26" i="4" s="1"/>
  <c r="BI27" i="4" s="1"/>
  <c r="BI28" i="4" s="1"/>
  <c r="BI29" i="4" s="1"/>
  <c r="BI30" i="4" s="1"/>
  <c r="BI31" i="4" s="1"/>
  <c r="BI32" i="4" s="1"/>
  <c r="BI33" i="4" s="1"/>
  <c r="BI34" i="4" s="1"/>
  <c r="BI35" i="4" s="1"/>
  <c r="BI36" i="4" s="1"/>
  <c r="BI37" i="4" s="1"/>
  <c r="BI38" i="4" s="1"/>
  <c r="BI39" i="4" s="1"/>
  <c r="BI40" i="4" s="1"/>
  <c r="BI41" i="4" s="1"/>
  <c r="BI42" i="4" s="1"/>
  <c r="BI43" i="4" s="1"/>
  <c r="BI44" i="4" s="1"/>
  <c r="BI45" i="4" s="1"/>
  <c r="BI46" i="4" s="1"/>
  <c r="BI47" i="4" s="1"/>
  <c r="BI48" i="4" s="1"/>
  <c r="BI49" i="4" s="1"/>
  <c r="BI50" i="4" s="1"/>
  <c r="BI51" i="4" s="1"/>
  <c r="BI52" i="4" s="1"/>
  <c r="BI53" i="4" s="1"/>
  <c r="BI54" i="4" s="1"/>
  <c r="BI55" i="4" s="1"/>
  <c r="BI56" i="4" s="1"/>
  <c r="BI57" i="4" s="1"/>
  <c r="BI58" i="4" s="1"/>
  <c r="BI59" i="4" s="1"/>
  <c r="BI60" i="4" s="1"/>
  <c r="BI61" i="4" s="1"/>
  <c r="BI62" i="4" s="1"/>
  <c r="BI63" i="4" s="1"/>
  <c r="BI64" i="4" s="1"/>
  <c r="BI65" i="4" s="1"/>
  <c r="BI66" i="4" s="1"/>
  <c r="BI67" i="4" s="1"/>
  <c r="BI68" i="4" s="1"/>
  <c r="BI69" i="4" s="1"/>
  <c r="BI70" i="4" s="1"/>
  <c r="BI71" i="4" s="1"/>
  <c r="BI72" i="4" s="1"/>
  <c r="BI73" i="4" s="1"/>
  <c r="BI74" i="4" s="1"/>
  <c r="BI75" i="4" s="1"/>
  <c r="BI76" i="4" s="1"/>
  <c r="BI77" i="4" s="1"/>
  <c r="BI78" i="4" s="1"/>
  <c r="BI79" i="4" s="1"/>
  <c r="BI80" i="4" s="1"/>
  <c r="BI81" i="4" s="1"/>
  <c r="BI82" i="4" s="1"/>
  <c r="BI83" i="4" s="1"/>
  <c r="BI84" i="4" s="1"/>
  <c r="BI85" i="4" s="1"/>
  <c r="BI86" i="4" s="1"/>
  <c r="BI87" i="4" s="1"/>
  <c r="BI88" i="4" s="1"/>
  <c r="BI89" i="4" s="1"/>
  <c r="BI90" i="4" s="1"/>
  <c r="BI91" i="4" s="1"/>
  <c r="BI92" i="4" s="1"/>
  <c r="BI93" i="4" s="1"/>
  <c r="BI94" i="4" s="1"/>
  <c r="BI95" i="4" s="1"/>
  <c r="BI96" i="4" s="1"/>
  <c r="BI97" i="4" s="1"/>
  <c r="BI98" i="4" s="1"/>
  <c r="BI99" i="4" s="1"/>
  <c r="BI100" i="4" s="1"/>
  <c r="BI101" i="4" s="1"/>
  <c r="BI102" i="4" s="1"/>
  <c r="BI103" i="4" s="1"/>
  <c r="BI104" i="4" s="1"/>
  <c r="BI105" i="4" s="1"/>
  <c r="BI106" i="4" s="1"/>
  <c r="BI107" i="4" s="1"/>
  <c r="BI108" i="4" s="1"/>
  <c r="BI109" i="4" s="1"/>
  <c r="BI110" i="4" s="1"/>
  <c r="BI111" i="4" s="1"/>
  <c r="BI112" i="4" s="1"/>
  <c r="BI113" i="4" s="1"/>
  <c r="BI114" i="4" s="1"/>
  <c r="BI115" i="4" s="1"/>
  <c r="BI116" i="4" s="1"/>
  <c r="BI117" i="4" s="1"/>
  <c r="BI118" i="4" s="1"/>
  <c r="BI119" i="4" s="1"/>
  <c r="BI120" i="4" s="1"/>
  <c r="BI121" i="4" s="1"/>
  <c r="BI122" i="4" s="1"/>
  <c r="BI123" i="4" s="1"/>
  <c r="BI124" i="4" s="1"/>
  <c r="BI125" i="4" s="1"/>
  <c r="BI126" i="4" s="1"/>
  <c r="BI127" i="4" s="1"/>
  <c r="BI128" i="4" s="1"/>
  <c r="BI129" i="4" s="1"/>
  <c r="BI130" i="4" s="1"/>
  <c r="BI131" i="4" s="1"/>
  <c r="BI132" i="4" s="1"/>
  <c r="BI133" i="4" s="1"/>
  <c r="BI134" i="4" s="1"/>
  <c r="BI135" i="4" s="1"/>
  <c r="BI136" i="4" s="1"/>
  <c r="BI137" i="4" s="1"/>
  <c r="BI138" i="4" s="1"/>
  <c r="BI139" i="4" s="1"/>
  <c r="BI140" i="4" s="1"/>
  <c r="BI141" i="4" s="1"/>
  <c r="BI142" i="4" s="1"/>
  <c r="BI143" i="4" s="1"/>
  <c r="BI144" i="4" s="1"/>
  <c r="BI145" i="4" s="1"/>
  <c r="BI146" i="4" s="1"/>
  <c r="BI147" i="4" s="1"/>
  <c r="BI148" i="4" s="1"/>
  <c r="BI149" i="4" s="1"/>
  <c r="BI150" i="4" s="1"/>
  <c r="BI151" i="4" s="1"/>
  <c r="BI152" i="4" s="1"/>
  <c r="BI153" i="4" s="1"/>
  <c r="BI154" i="4" s="1"/>
  <c r="BI155" i="4" s="1"/>
  <c r="BI156" i="4" s="1"/>
  <c r="BI157" i="4" s="1"/>
  <c r="BI158" i="4" s="1"/>
  <c r="BI159" i="4" s="1"/>
  <c r="BI160" i="4" s="1"/>
  <c r="BI161" i="4" s="1"/>
  <c r="BI162" i="4" s="1"/>
  <c r="BI163" i="4" s="1"/>
  <c r="BI164" i="4" s="1"/>
  <c r="BI165" i="4" s="1"/>
  <c r="BI166" i="4" s="1"/>
  <c r="BI167" i="4" s="1"/>
  <c r="BI168" i="4" s="1"/>
  <c r="BI169" i="4" s="1"/>
  <c r="BI170" i="4" s="1"/>
  <c r="BI171" i="4" s="1"/>
  <c r="BI172" i="4" s="1"/>
  <c r="BI173" i="4" s="1"/>
  <c r="BI174" i="4" s="1"/>
  <c r="BI175" i="4" s="1"/>
  <c r="BI176" i="4" s="1"/>
  <c r="BI177" i="4" s="1"/>
  <c r="BI178" i="4" s="1"/>
  <c r="BI179" i="4" s="1"/>
  <c r="BI180" i="4" s="1"/>
  <c r="BI181" i="4" s="1"/>
  <c r="BI182" i="4" s="1"/>
  <c r="BI183" i="4" s="1"/>
  <c r="BI184" i="4" s="1"/>
  <c r="BI185" i="4" s="1"/>
  <c r="BI186" i="4" s="1"/>
  <c r="BI187" i="4" s="1"/>
  <c r="BI188" i="4" s="1"/>
  <c r="BI189" i="4" s="1"/>
  <c r="BI190" i="4" s="1"/>
  <c r="BI191" i="4" s="1"/>
  <c r="BI192" i="4" s="1"/>
  <c r="BI193" i="4" s="1"/>
  <c r="BI194" i="4" s="1"/>
  <c r="BI195" i="4" s="1"/>
  <c r="BI196" i="4" s="1"/>
  <c r="BI197" i="4" s="1"/>
  <c r="BI198" i="4" s="1"/>
  <c r="BI199" i="4" s="1"/>
  <c r="BI200" i="4" s="1"/>
  <c r="BI201" i="4" s="1"/>
  <c r="BI202" i="4" s="1"/>
  <c r="BI203" i="4" s="1"/>
  <c r="BI204" i="4" s="1"/>
  <c r="BI205" i="4" s="1"/>
  <c r="BI206" i="4" s="1"/>
  <c r="BI207" i="4" s="1"/>
  <c r="BI208" i="4" s="1"/>
  <c r="BI209" i="4" s="1"/>
  <c r="BI210" i="4" s="1"/>
  <c r="BI211" i="4" s="1"/>
  <c r="BI212" i="4" s="1"/>
  <c r="BI213" i="4" s="1"/>
  <c r="BI214" i="4" s="1"/>
  <c r="BI215" i="4" s="1"/>
  <c r="BI216" i="4" s="1"/>
  <c r="BI217" i="4" s="1"/>
  <c r="BI218" i="4" s="1"/>
  <c r="BI219" i="4" s="1"/>
  <c r="BI220" i="4" s="1"/>
  <c r="BI221" i="4" s="1"/>
  <c r="BI222" i="4" s="1"/>
  <c r="BI223" i="4" s="1"/>
  <c r="BI224" i="4" s="1"/>
  <c r="BI225" i="4" s="1"/>
  <c r="BI226" i="4" s="1"/>
  <c r="BI227" i="4" s="1"/>
  <c r="BI228" i="4" s="1"/>
  <c r="BI229" i="4" s="1"/>
  <c r="BI230" i="4" s="1"/>
  <c r="BI231" i="4" s="1"/>
  <c r="BI232" i="4" s="1"/>
  <c r="BI233" i="4" s="1"/>
  <c r="BI234" i="4" s="1"/>
  <c r="BI235" i="4" s="1"/>
  <c r="BI236" i="4" s="1"/>
  <c r="BI237" i="4" s="1"/>
  <c r="BI238" i="4" s="1"/>
  <c r="BI239" i="4" s="1"/>
  <c r="BI240" i="4" s="1"/>
  <c r="BI241" i="4" s="1"/>
  <c r="BI242" i="4" s="1"/>
  <c r="BI243" i="4" s="1"/>
  <c r="BI244" i="4" s="1"/>
  <c r="BI245" i="4" s="1"/>
  <c r="BI246" i="4" s="1"/>
  <c r="BI247" i="4" s="1"/>
  <c r="BI248" i="4" s="1"/>
  <c r="BI249" i="4" s="1"/>
  <c r="BI250" i="4" s="1"/>
  <c r="BI251" i="4" s="1"/>
  <c r="BI252" i="4" s="1"/>
  <c r="BI253" i="4" s="1"/>
  <c r="BI254" i="4" s="1"/>
  <c r="BI255" i="4" s="1"/>
  <c r="BI256" i="4" s="1"/>
  <c r="BI257" i="4" s="1"/>
  <c r="BI258" i="4" s="1"/>
  <c r="BI259" i="4" s="1"/>
  <c r="BI260" i="4" s="1"/>
  <c r="BI261" i="4" s="1"/>
  <c r="BI262" i="4" s="1"/>
  <c r="BI263" i="4" s="1"/>
  <c r="BI264" i="4" s="1"/>
  <c r="BI265" i="4" s="1"/>
  <c r="BI266" i="4" s="1"/>
  <c r="BI267" i="4" s="1"/>
  <c r="BI268" i="4" s="1"/>
  <c r="BI269" i="4" s="1"/>
  <c r="BI270" i="4" s="1"/>
  <c r="BI271" i="4" s="1"/>
  <c r="BI272" i="4" s="1"/>
  <c r="BI273" i="4" s="1"/>
  <c r="BI274" i="4" s="1"/>
  <c r="BI275" i="4" s="1"/>
  <c r="BI276" i="4" s="1"/>
  <c r="BI277" i="4" s="1"/>
  <c r="BI278" i="4" s="1"/>
  <c r="BI279" i="4" s="1"/>
  <c r="BI280" i="4" s="1"/>
  <c r="BI281" i="4" s="1"/>
  <c r="BI282" i="4" s="1"/>
  <c r="BI283" i="4" s="1"/>
  <c r="BI284" i="4" s="1"/>
  <c r="BI285" i="4" s="1"/>
  <c r="BI286" i="4" s="1"/>
  <c r="BI287" i="4" s="1"/>
  <c r="BI288" i="4" s="1"/>
  <c r="BI289" i="4" s="1"/>
  <c r="BI290" i="4" s="1"/>
  <c r="BI291" i="4" s="1"/>
  <c r="BI292" i="4" s="1"/>
  <c r="BI293" i="4" s="1"/>
  <c r="BI294" i="4" s="1"/>
  <c r="BI295" i="4" s="1"/>
  <c r="BI296" i="4" s="1"/>
  <c r="BI297" i="4" s="1"/>
  <c r="BI298" i="4" s="1"/>
  <c r="BI299" i="4" s="1"/>
  <c r="BI300" i="4" s="1"/>
  <c r="BI301" i="4" s="1"/>
  <c r="BI302" i="4" s="1"/>
  <c r="BI303" i="4" s="1"/>
  <c r="BI304" i="4" s="1"/>
  <c r="BI305" i="4" s="1"/>
  <c r="BI306" i="4" s="1"/>
  <c r="BI307" i="4" s="1"/>
  <c r="BI308" i="4" s="1"/>
  <c r="BI309" i="4" s="1"/>
  <c r="BI310" i="4" s="1"/>
  <c r="BI311" i="4" s="1"/>
  <c r="BI312" i="4" s="1"/>
  <c r="BI313" i="4" s="1"/>
  <c r="BI314" i="4" s="1"/>
  <c r="BI315" i="4" s="1"/>
  <c r="BI316" i="4" s="1"/>
  <c r="BI317" i="4" s="1"/>
  <c r="BI318" i="4" s="1"/>
  <c r="BI319" i="4" s="1"/>
  <c r="BI320" i="4" s="1"/>
  <c r="BI321" i="4" s="1"/>
  <c r="BI322" i="4" s="1"/>
  <c r="BI323" i="4" s="1"/>
  <c r="BI324" i="4" s="1"/>
  <c r="BI325" i="4" s="1"/>
  <c r="BI326" i="4" s="1"/>
  <c r="BI327" i="4" s="1"/>
  <c r="BI328" i="4" s="1"/>
  <c r="BI329" i="4" s="1"/>
  <c r="BI330" i="4" s="1"/>
  <c r="BI331" i="4" s="1"/>
  <c r="BI332" i="4" s="1"/>
  <c r="BI333" i="4" s="1"/>
  <c r="BI334" i="4" s="1"/>
  <c r="BI335" i="4" s="1"/>
  <c r="BI336" i="4" s="1"/>
  <c r="BI337" i="4" s="1"/>
  <c r="BI338" i="4" s="1"/>
  <c r="BI339" i="4" s="1"/>
  <c r="BI340" i="4" s="1"/>
  <c r="BI341" i="4" s="1"/>
  <c r="BI342" i="4" s="1"/>
  <c r="BI343" i="4" s="1"/>
  <c r="BI344" i="4" s="1"/>
  <c r="BI345" i="4" s="1"/>
  <c r="BI346" i="4" s="1"/>
  <c r="BI347" i="4" s="1"/>
  <c r="BI348" i="4" s="1"/>
  <c r="BI349" i="4" s="1"/>
  <c r="BI350" i="4" s="1"/>
  <c r="BI351" i="4" s="1"/>
  <c r="BI352" i="4" s="1"/>
  <c r="BI353" i="4" s="1"/>
  <c r="BI354" i="4" s="1"/>
  <c r="BI355" i="4" s="1"/>
  <c r="BI356" i="4" s="1"/>
  <c r="BI357" i="4" s="1"/>
  <c r="BI358" i="4" s="1"/>
  <c r="BI359" i="4" s="1"/>
  <c r="BI360" i="4" s="1"/>
  <c r="BI361" i="4" s="1"/>
  <c r="BI362" i="4" s="1"/>
  <c r="BI363" i="4" s="1"/>
  <c r="BI364" i="4" s="1"/>
  <c r="BI365" i="4" s="1"/>
  <c r="BI366" i="4" s="1"/>
  <c r="BI367" i="4" s="1"/>
  <c r="BI368" i="4" s="1"/>
  <c r="BI369" i="4" s="1"/>
  <c r="BI370" i="4" s="1"/>
  <c r="BI371" i="4" s="1"/>
  <c r="BI372" i="4" s="1"/>
  <c r="BI373" i="4" s="1"/>
  <c r="BI374" i="4" s="1"/>
  <c r="BI375" i="4" s="1"/>
  <c r="BI376" i="4" s="1"/>
  <c r="BI377" i="4" s="1"/>
  <c r="BI378" i="4" s="1"/>
  <c r="BI379" i="4" s="1"/>
  <c r="BI380" i="4" s="1"/>
  <c r="BI381" i="4" s="1"/>
  <c r="BI382" i="4" s="1"/>
  <c r="BI383" i="4" s="1"/>
  <c r="BI384" i="4" s="1"/>
  <c r="BI385" i="4" s="1"/>
  <c r="BI386" i="4" s="1"/>
  <c r="BI387" i="4" s="1"/>
  <c r="BI388" i="4" s="1"/>
  <c r="BI389" i="4" s="1"/>
  <c r="BI390" i="4" s="1"/>
  <c r="BI391" i="4" s="1"/>
  <c r="BI392" i="4" s="1"/>
  <c r="BI393" i="4" s="1"/>
  <c r="BI394" i="4" s="1"/>
  <c r="BI395" i="4" s="1"/>
  <c r="BI396" i="4" s="1"/>
  <c r="BI397" i="4" s="1"/>
  <c r="BI398" i="4" s="1"/>
  <c r="BI399" i="4" s="1"/>
  <c r="BI400" i="4" s="1"/>
  <c r="BI401" i="4" s="1"/>
  <c r="BI402" i="4" s="1"/>
  <c r="BI403" i="4" s="1"/>
  <c r="BI404" i="4" s="1"/>
  <c r="BI405" i="4" s="1"/>
  <c r="BI406" i="4" s="1"/>
  <c r="BI407" i="4" s="1"/>
  <c r="BI408" i="4" s="1"/>
  <c r="BI409" i="4" s="1"/>
  <c r="BI410" i="4" s="1"/>
  <c r="BI411" i="4" s="1"/>
  <c r="BI412" i="4" s="1"/>
  <c r="BI413" i="4" s="1"/>
  <c r="BI414" i="4" s="1"/>
  <c r="BI415" i="4" s="1"/>
  <c r="BI416" i="4" s="1"/>
  <c r="BI417" i="4" s="1"/>
  <c r="BI418" i="4" s="1"/>
  <c r="BI419" i="4" s="1"/>
  <c r="BI420" i="4" s="1"/>
  <c r="BI421" i="4" s="1"/>
  <c r="BI422" i="4" s="1"/>
  <c r="BI423" i="4" s="1"/>
  <c r="BI424" i="4" s="1"/>
  <c r="BI425" i="4" s="1"/>
  <c r="BI426" i="4" s="1"/>
  <c r="BI427" i="4" s="1"/>
  <c r="BI428" i="4" s="1"/>
  <c r="BI429" i="4" s="1"/>
  <c r="BI430" i="4" s="1"/>
  <c r="BI431" i="4" s="1"/>
  <c r="BI432" i="4" s="1"/>
  <c r="BI433" i="4" s="1"/>
  <c r="BI434" i="4" s="1"/>
  <c r="BI435" i="4" s="1"/>
  <c r="BI436" i="4" s="1"/>
  <c r="BI437" i="4" s="1"/>
  <c r="BI438" i="4" s="1"/>
  <c r="BI439" i="4" s="1"/>
  <c r="BI440" i="4" s="1"/>
  <c r="BI441" i="4" s="1"/>
  <c r="BI442" i="4" s="1"/>
  <c r="BI443" i="4" s="1"/>
  <c r="BI444" i="4" s="1"/>
  <c r="BI445" i="4" s="1"/>
  <c r="BI446" i="4" s="1"/>
  <c r="BI447" i="4" s="1"/>
  <c r="AJ135" i="28"/>
  <c r="AI136" i="28"/>
  <c r="AB135" i="29" l="1"/>
  <c r="AC134" i="29"/>
  <c r="D134" i="29" s="1"/>
  <c r="AD134" i="29"/>
  <c r="C134" i="29" s="1"/>
  <c r="BI448" i="4"/>
  <c r="BK447" i="4"/>
  <c r="C447" i="4" s="1"/>
  <c r="BJ447" i="4"/>
  <c r="D447" i="4" s="1"/>
  <c r="AD133" i="29"/>
  <c r="C133" i="29" s="1"/>
  <c r="AC133" i="29"/>
  <c r="D133" i="29" s="1"/>
  <c r="AK135" i="28"/>
  <c r="AF135" i="28"/>
  <c r="AJ136" i="28"/>
  <c r="AI137" i="28"/>
  <c r="BK5" i="4"/>
  <c r="C5" i="4" s="1"/>
  <c r="BJ5" i="4"/>
  <c r="D5" i="4" s="1"/>
  <c r="AB136" i="29" l="1"/>
  <c r="AD135" i="29"/>
  <c r="C135" i="29" s="1"/>
  <c r="AC135" i="29"/>
  <c r="D135" i="29" s="1"/>
  <c r="BK448" i="4"/>
  <c r="C448" i="4" s="1"/>
  <c r="BJ448" i="4"/>
  <c r="D448" i="4" s="1"/>
  <c r="BI449" i="4"/>
  <c r="AK136" i="28"/>
  <c r="AF136" i="28"/>
  <c r="AI138" i="28"/>
  <c r="AJ137" i="28"/>
  <c r="BJ6" i="4"/>
  <c r="D6" i="4" s="1"/>
  <c r="BK6" i="4"/>
  <c r="AB137" i="29" l="1"/>
  <c r="AC136" i="29"/>
  <c r="D136" i="29" s="1"/>
  <c r="AD136" i="29"/>
  <c r="C136" i="29" s="1"/>
  <c r="BI450" i="4"/>
  <c r="BK449" i="4"/>
  <c r="C449" i="4" s="1"/>
  <c r="BJ449" i="4"/>
  <c r="D449" i="4" s="1"/>
  <c r="AK137" i="28"/>
  <c r="AF137" i="28"/>
  <c r="AJ138" i="28"/>
  <c r="AI139" i="28"/>
  <c r="BJ7" i="4"/>
  <c r="D7" i="4" s="1"/>
  <c r="BK7" i="4"/>
  <c r="AB138" i="29" l="1"/>
  <c r="AD137" i="29"/>
  <c r="C137" i="29" s="1"/>
  <c r="AC137" i="29"/>
  <c r="D137" i="29" s="1"/>
  <c r="BI451" i="4"/>
  <c r="BK450" i="4"/>
  <c r="C450" i="4" s="1"/>
  <c r="BJ450" i="4"/>
  <c r="D450" i="4" s="1"/>
  <c r="AK138" i="28"/>
  <c r="AF138" i="28"/>
  <c r="AJ139" i="28"/>
  <c r="AI140" i="28"/>
  <c r="BK8" i="4"/>
  <c r="BJ8" i="4"/>
  <c r="D8" i="4" s="1"/>
  <c r="AB139" i="29" l="1"/>
  <c r="AD138" i="29"/>
  <c r="C138" i="29" s="1"/>
  <c r="AC138" i="29"/>
  <c r="D138" i="29" s="1"/>
  <c r="BK451" i="4"/>
  <c r="C451" i="4" s="1"/>
  <c r="BI452" i="4"/>
  <c r="BJ451" i="4"/>
  <c r="D451" i="4" s="1"/>
  <c r="AK139" i="28"/>
  <c r="AF139" i="28"/>
  <c r="AI141" i="28"/>
  <c r="AJ140" i="28"/>
  <c r="BK9" i="4"/>
  <c r="BJ9" i="4"/>
  <c r="D9" i="4" s="1"/>
  <c r="AB140" i="29" l="1"/>
  <c r="AC139" i="29"/>
  <c r="D139" i="29" s="1"/>
  <c r="AD139" i="29"/>
  <c r="C139" i="29" s="1"/>
  <c r="BK452" i="4"/>
  <c r="C452" i="4" s="1"/>
  <c r="BJ452" i="4"/>
  <c r="D452" i="4" s="1"/>
  <c r="BI453" i="4"/>
  <c r="AK140" i="28"/>
  <c r="AF140" i="28"/>
  <c r="AI142" i="28"/>
  <c r="AJ141" i="28"/>
  <c r="BJ10" i="4"/>
  <c r="D10" i="4" s="1"/>
  <c r="BK10" i="4"/>
  <c r="AB141" i="29" l="1"/>
  <c r="AC140" i="29"/>
  <c r="D140" i="29" s="1"/>
  <c r="AD140" i="29"/>
  <c r="C140" i="29" s="1"/>
  <c r="BI454" i="4"/>
  <c r="BJ453" i="4"/>
  <c r="D453" i="4" s="1"/>
  <c r="BK453" i="4"/>
  <c r="C453" i="4" s="1"/>
  <c r="AK141" i="28"/>
  <c r="AF141" i="28"/>
  <c r="AI143" i="28"/>
  <c r="AJ142" i="28"/>
  <c r="BK11" i="4"/>
  <c r="BJ11" i="4"/>
  <c r="D11" i="4" s="1"/>
  <c r="AB142" i="29" l="1"/>
  <c r="AD141" i="29"/>
  <c r="C141" i="29" s="1"/>
  <c r="AC141" i="29"/>
  <c r="D141" i="29" s="1"/>
  <c r="BI455" i="4"/>
  <c r="BK454" i="4"/>
  <c r="C454" i="4" s="1"/>
  <c r="BJ454" i="4"/>
  <c r="D454" i="4" s="1"/>
  <c r="AK142" i="28"/>
  <c r="AF142" i="28"/>
  <c r="AJ143" i="28"/>
  <c r="AI144" i="28"/>
  <c r="BJ12" i="4"/>
  <c r="D12" i="4" s="1"/>
  <c r="BK12" i="4"/>
  <c r="C12" i="4" s="1"/>
  <c r="AB143" i="29" l="1"/>
  <c r="AC142" i="29"/>
  <c r="D142" i="29" s="1"/>
  <c r="AD142" i="29"/>
  <c r="C142" i="29" s="1"/>
  <c r="BI456" i="4"/>
  <c r="BJ455" i="4"/>
  <c r="D455" i="4" s="1"/>
  <c r="BK455" i="4"/>
  <c r="C455" i="4" s="1"/>
  <c r="AK143" i="28"/>
  <c r="AF143" i="28"/>
  <c r="AJ144" i="28"/>
  <c r="AI145" i="28"/>
  <c r="BK13" i="4"/>
  <c r="C13" i="4" s="1"/>
  <c r="BJ13" i="4"/>
  <c r="D13" i="4" s="1"/>
  <c r="AB144" i="29" l="1"/>
  <c r="AC143" i="29"/>
  <c r="D143" i="29" s="1"/>
  <c r="AD143" i="29"/>
  <c r="C143" i="29" s="1"/>
  <c r="BI457" i="4"/>
  <c r="BK456" i="4"/>
  <c r="C456" i="4" s="1"/>
  <c r="BJ456" i="4"/>
  <c r="D456" i="4" s="1"/>
  <c r="AK144" i="28"/>
  <c r="AF144" i="28"/>
  <c r="AI146" i="28"/>
  <c r="AJ145" i="28"/>
  <c r="BK14" i="4"/>
  <c r="C14" i="4" s="1"/>
  <c r="BJ14" i="4"/>
  <c r="D14" i="4" s="1"/>
  <c r="AB145" i="29" l="1"/>
  <c r="AD144" i="29"/>
  <c r="C144" i="29" s="1"/>
  <c r="AC144" i="29"/>
  <c r="D144" i="29" s="1"/>
  <c r="BI458" i="4"/>
  <c r="BJ457" i="4"/>
  <c r="D457" i="4" s="1"/>
  <c r="BK457" i="4"/>
  <c r="AK145" i="28"/>
  <c r="AF145" i="28"/>
  <c r="AI147" i="28"/>
  <c r="AJ146" i="28"/>
  <c r="BK15" i="4"/>
  <c r="C15" i="4" s="1"/>
  <c r="BJ15" i="4"/>
  <c r="D15" i="4" s="1"/>
  <c r="AB146" i="29" l="1"/>
  <c r="AD145" i="29"/>
  <c r="C145" i="29" s="1"/>
  <c r="AC145" i="29"/>
  <c r="D145" i="29" s="1"/>
  <c r="BI459" i="4"/>
  <c r="BJ458" i="4"/>
  <c r="D458" i="4" s="1"/>
  <c r="BK458" i="4"/>
  <c r="C458" i="4" s="1"/>
  <c r="AK146" i="28"/>
  <c r="AF146" i="28"/>
  <c r="AJ147" i="28"/>
  <c r="AI148" i="28"/>
  <c r="BK16" i="4"/>
  <c r="C16" i="4" s="1"/>
  <c r="BJ16" i="4"/>
  <c r="D16" i="4" s="1"/>
  <c r="AB147" i="29" l="1"/>
  <c r="AC146" i="29"/>
  <c r="D146" i="29" s="1"/>
  <c r="AD146" i="29"/>
  <c r="C146" i="29" s="1"/>
  <c r="AK147" i="28"/>
  <c r="AF147" i="28"/>
  <c r="AI149" i="28"/>
  <c r="AJ148" i="28"/>
  <c r="BJ17" i="4"/>
  <c r="D17" i="4" s="1"/>
  <c r="BK17" i="4"/>
  <c r="C17" i="4" s="1"/>
  <c r="AB148" i="29" l="1"/>
  <c r="AC147" i="29"/>
  <c r="D147" i="29" s="1"/>
  <c r="AD147" i="29"/>
  <c r="C147" i="29" s="1"/>
  <c r="AK148" i="28"/>
  <c r="AF148" i="28"/>
  <c r="AI150" i="28"/>
  <c r="AJ149" i="28"/>
  <c r="BJ18" i="4"/>
  <c r="D18" i="4" s="1"/>
  <c r="BK18" i="4"/>
  <c r="C18" i="4" s="1"/>
  <c r="AB149" i="29" l="1"/>
  <c r="AC148" i="29"/>
  <c r="D148" i="29" s="1"/>
  <c r="AD148" i="29"/>
  <c r="C148" i="29" s="1"/>
  <c r="AK149" i="28"/>
  <c r="AF149" i="28"/>
  <c r="AJ150" i="28"/>
  <c r="AI151" i="28"/>
  <c r="BJ19" i="4"/>
  <c r="D19" i="4" s="1"/>
  <c r="BK19" i="4"/>
  <c r="C19" i="4" s="1"/>
  <c r="AB150" i="29" l="1"/>
  <c r="AD149" i="29"/>
  <c r="C149" i="29" s="1"/>
  <c r="AC149" i="29"/>
  <c r="D149" i="29" s="1"/>
  <c r="AK150" i="28"/>
  <c r="AF150" i="28"/>
  <c r="AJ151" i="28"/>
  <c r="AI152" i="28"/>
  <c r="BJ20" i="4"/>
  <c r="D20" i="4" s="1"/>
  <c r="BK20" i="4"/>
  <c r="C20" i="4" s="1"/>
  <c r="AB151" i="29" l="1"/>
  <c r="AC150" i="29"/>
  <c r="D150" i="29" s="1"/>
  <c r="AD150" i="29"/>
  <c r="C150" i="29" s="1"/>
  <c r="AK151" i="28"/>
  <c r="AF151" i="28"/>
  <c r="AJ152" i="28"/>
  <c r="AI153" i="28"/>
  <c r="BK21" i="4"/>
  <c r="C21" i="4" s="1"/>
  <c r="BJ21" i="4"/>
  <c r="D21" i="4" s="1"/>
  <c r="AB152" i="29" l="1"/>
  <c r="AC151" i="29"/>
  <c r="D151" i="29" s="1"/>
  <c r="AD151" i="29"/>
  <c r="C151" i="29" s="1"/>
  <c r="AK152" i="28"/>
  <c r="AF152" i="28"/>
  <c r="AI154" i="28"/>
  <c r="AJ153" i="28"/>
  <c r="BK22" i="4"/>
  <c r="C22" i="4" s="1"/>
  <c r="BJ22" i="4"/>
  <c r="D22" i="4" s="1"/>
  <c r="AB153" i="29" l="1"/>
  <c r="AD152" i="29"/>
  <c r="C152" i="29" s="1"/>
  <c r="AC152" i="29"/>
  <c r="D152" i="29" s="1"/>
  <c r="AK153" i="28"/>
  <c r="AF153" i="28"/>
  <c r="AJ154" i="28"/>
  <c r="AI155" i="28"/>
  <c r="BJ23" i="4"/>
  <c r="D23" i="4" s="1"/>
  <c r="BK23" i="4"/>
  <c r="C23" i="4" s="1"/>
  <c r="AB154" i="29" l="1"/>
  <c r="AD153" i="29"/>
  <c r="C153" i="29" s="1"/>
  <c r="AC153" i="29"/>
  <c r="D153" i="29" s="1"/>
  <c r="AK154" i="28"/>
  <c r="AF154" i="28"/>
  <c r="AJ155" i="28"/>
  <c r="AI156" i="28"/>
  <c r="BJ24" i="4"/>
  <c r="D24" i="4" s="1"/>
  <c r="BK24" i="4"/>
  <c r="C24" i="4" s="1"/>
  <c r="AB155" i="29" l="1"/>
  <c r="AD154" i="29"/>
  <c r="C154" i="29" s="1"/>
  <c r="AC154" i="29"/>
  <c r="D154" i="29" s="1"/>
  <c r="AK155" i="28"/>
  <c r="AF155" i="28"/>
  <c r="AI157" i="28"/>
  <c r="AJ156" i="28"/>
  <c r="BK25" i="4"/>
  <c r="C25" i="4" s="1"/>
  <c r="BJ25" i="4"/>
  <c r="D25" i="4" s="1"/>
  <c r="AB156" i="29" l="1"/>
  <c r="AC155" i="29"/>
  <c r="D155" i="29" s="1"/>
  <c r="AD155" i="29"/>
  <c r="C155" i="29" s="1"/>
  <c r="AK156" i="28"/>
  <c r="AF156" i="28"/>
  <c r="AI158" i="28"/>
  <c r="AJ157" i="28"/>
  <c r="BK26" i="4"/>
  <c r="C26" i="4" s="1"/>
  <c r="BJ26" i="4"/>
  <c r="D26" i="4" s="1"/>
  <c r="AB157" i="29" l="1"/>
  <c r="AD156" i="29"/>
  <c r="C156" i="29" s="1"/>
  <c r="AC156" i="29"/>
  <c r="D156" i="29" s="1"/>
  <c r="AK157" i="28"/>
  <c r="AF157" i="28"/>
  <c r="AI159" i="28"/>
  <c r="AJ158" i="28"/>
  <c r="BK27" i="4"/>
  <c r="C27" i="4" s="1"/>
  <c r="BJ27" i="4"/>
  <c r="D27" i="4" s="1"/>
  <c r="AB158" i="29" l="1"/>
  <c r="AD157" i="29"/>
  <c r="C157" i="29" s="1"/>
  <c r="AC157" i="29"/>
  <c r="D157" i="29" s="1"/>
  <c r="AK158" i="28"/>
  <c r="AF158" i="28"/>
  <c r="AJ159" i="28"/>
  <c r="AI160" i="28"/>
  <c r="BJ28" i="4"/>
  <c r="D28" i="4" s="1"/>
  <c r="BK28" i="4"/>
  <c r="C28" i="4" s="1"/>
  <c r="AB159" i="29" l="1"/>
  <c r="AD158" i="29"/>
  <c r="C158" i="29" s="1"/>
  <c r="AC158" i="29"/>
  <c r="D158" i="29" s="1"/>
  <c r="AK159" i="28"/>
  <c r="AF159" i="28"/>
  <c r="AJ160" i="28"/>
  <c r="AI161" i="28"/>
  <c r="BK29" i="4"/>
  <c r="C29" i="4" s="1"/>
  <c r="BJ29" i="4"/>
  <c r="D29" i="4" s="1"/>
  <c r="AB160" i="29" l="1"/>
  <c r="AD159" i="29"/>
  <c r="C159" i="29" s="1"/>
  <c r="AC159" i="29"/>
  <c r="D159" i="29" s="1"/>
  <c r="AK160" i="28"/>
  <c r="AF160" i="28"/>
  <c r="AI162" i="28"/>
  <c r="AJ161" i="28"/>
  <c r="BJ30" i="4"/>
  <c r="D30" i="4" s="1"/>
  <c r="BK30" i="4"/>
  <c r="C30" i="4" s="1"/>
  <c r="AB161" i="29" l="1"/>
  <c r="AD160" i="29"/>
  <c r="C160" i="29" s="1"/>
  <c r="AC160" i="29"/>
  <c r="D160" i="29" s="1"/>
  <c r="AK161" i="28"/>
  <c r="AF161" i="28"/>
  <c r="AI163" i="28"/>
  <c r="AJ162" i="28"/>
  <c r="BJ31" i="4"/>
  <c r="D31" i="4" s="1"/>
  <c r="BK31" i="4"/>
  <c r="C31" i="4" s="1"/>
  <c r="AB162" i="29" l="1"/>
  <c r="AD161" i="29"/>
  <c r="C161" i="29" s="1"/>
  <c r="AC161" i="29"/>
  <c r="D161" i="29" s="1"/>
  <c r="AK162" i="28"/>
  <c r="AF162" i="28"/>
  <c r="AJ163" i="28"/>
  <c r="AI164" i="28"/>
  <c r="BK32" i="4"/>
  <c r="C32" i="4" s="1"/>
  <c r="BJ32" i="4"/>
  <c r="D32" i="4" s="1"/>
  <c r="AB163" i="29" l="1"/>
  <c r="AC162" i="29"/>
  <c r="D162" i="29" s="1"/>
  <c r="AD162" i="29"/>
  <c r="C162" i="29" s="1"/>
  <c r="AK163" i="28"/>
  <c r="AF163" i="28"/>
  <c r="AI165" i="28"/>
  <c r="AJ164" i="28"/>
  <c r="BJ33" i="4"/>
  <c r="D33" i="4" s="1"/>
  <c r="BK33" i="4"/>
  <c r="C33" i="4" s="1"/>
  <c r="AB164" i="29" l="1"/>
  <c r="AC163" i="29"/>
  <c r="D163" i="29" s="1"/>
  <c r="AD163" i="29"/>
  <c r="C163" i="29" s="1"/>
  <c r="AK164" i="28"/>
  <c r="AF164" i="28"/>
  <c r="AI166" i="28"/>
  <c r="AJ165" i="28"/>
  <c r="BJ34" i="4"/>
  <c r="D34" i="4" s="1"/>
  <c r="BK34" i="4"/>
  <c r="C34" i="4" s="1"/>
  <c r="AB165" i="29" l="1"/>
  <c r="AC164" i="29"/>
  <c r="D164" i="29" s="1"/>
  <c r="AD164" i="29"/>
  <c r="C164" i="29" s="1"/>
  <c r="AK165" i="28"/>
  <c r="AF165" i="28"/>
  <c r="AJ166" i="28"/>
  <c r="AI167" i="28"/>
  <c r="BJ35" i="4"/>
  <c r="D35" i="4" s="1"/>
  <c r="BK35" i="4"/>
  <c r="C35" i="4" s="1"/>
  <c r="AB166" i="29" l="1"/>
  <c r="AC165" i="29"/>
  <c r="D165" i="29" s="1"/>
  <c r="AD165" i="29"/>
  <c r="C165" i="29" s="1"/>
  <c r="AK166" i="28"/>
  <c r="AF166" i="28"/>
  <c r="AJ167" i="28"/>
  <c r="AI168" i="28"/>
  <c r="BK36" i="4"/>
  <c r="C36" i="4" s="1"/>
  <c r="BJ36" i="4"/>
  <c r="D36" i="4" s="1"/>
  <c r="AB167" i="29" l="1"/>
  <c r="AD166" i="29"/>
  <c r="C166" i="29" s="1"/>
  <c r="AC166" i="29"/>
  <c r="D166" i="29" s="1"/>
  <c r="AK167" i="28"/>
  <c r="AF167" i="28"/>
  <c r="AJ168" i="28"/>
  <c r="AI169" i="28"/>
  <c r="BK37" i="4"/>
  <c r="C37" i="4" s="1"/>
  <c r="BJ37" i="4"/>
  <c r="D37" i="4" s="1"/>
  <c r="AB168" i="29" l="1"/>
  <c r="AC167" i="29"/>
  <c r="D167" i="29" s="1"/>
  <c r="AD167" i="29"/>
  <c r="C167" i="29" s="1"/>
  <c r="AK168" i="28"/>
  <c r="AF168" i="28"/>
  <c r="AI170" i="28"/>
  <c r="AJ169" i="28"/>
  <c r="BK38" i="4"/>
  <c r="C38" i="4" s="1"/>
  <c r="BJ38" i="4"/>
  <c r="D38" i="4" s="1"/>
  <c r="AB169" i="29" l="1"/>
  <c r="AD168" i="29"/>
  <c r="C168" i="29" s="1"/>
  <c r="AC168" i="29"/>
  <c r="D168" i="29" s="1"/>
  <c r="AK169" i="28"/>
  <c r="AF169" i="28"/>
  <c r="AJ170" i="28"/>
  <c r="AI171" i="28"/>
  <c r="BK39" i="4"/>
  <c r="BJ39" i="4"/>
  <c r="D39" i="4" s="1"/>
  <c r="AB170" i="29" l="1"/>
  <c r="AD169" i="29"/>
  <c r="C169" i="29" s="1"/>
  <c r="AC169" i="29"/>
  <c r="D169" i="29" s="1"/>
  <c r="AK170" i="28"/>
  <c r="AF170" i="28"/>
  <c r="AJ171" i="28"/>
  <c r="AI172" i="28"/>
  <c r="BJ40" i="4"/>
  <c r="D40" i="4" s="1"/>
  <c r="BK40" i="4"/>
  <c r="C40" i="4" s="1"/>
  <c r="AB171" i="29" l="1"/>
  <c r="AD170" i="29"/>
  <c r="C170" i="29" s="1"/>
  <c r="AC170" i="29"/>
  <c r="D170" i="29" s="1"/>
  <c r="AK171" i="28"/>
  <c r="AF171" i="28"/>
  <c r="AI173" i="28"/>
  <c r="AJ172" i="28"/>
  <c r="BK41" i="4"/>
  <c r="C41" i="4" s="1"/>
  <c r="BJ41" i="4"/>
  <c r="D41" i="4" s="1"/>
  <c r="AB172" i="29" l="1"/>
  <c r="AD171" i="29"/>
  <c r="C171" i="29" s="1"/>
  <c r="AC171" i="29"/>
  <c r="D171" i="29" s="1"/>
  <c r="AK172" i="28"/>
  <c r="AF172" i="28"/>
  <c r="AI174" i="28"/>
  <c r="AJ173" i="28"/>
  <c r="BJ42" i="4"/>
  <c r="D42" i="4" s="1"/>
  <c r="BK42" i="4"/>
  <c r="C42" i="4" s="1"/>
  <c r="AB173" i="29" l="1"/>
  <c r="AD172" i="29"/>
  <c r="C172" i="29" s="1"/>
  <c r="AC172" i="29"/>
  <c r="D172" i="29" s="1"/>
  <c r="AK173" i="28"/>
  <c r="AF173" i="28"/>
  <c r="AI175" i="28"/>
  <c r="AJ174" i="28"/>
  <c r="BK43" i="4"/>
  <c r="C43" i="4" s="1"/>
  <c r="BJ43" i="4"/>
  <c r="D43" i="4" s="1"/>
  <c r="AB174" i="29" l="1"/>
  <c r="AD173" i="29"/>
  <c r="C173" i="29" s="1"/>
  <c r="AC173" i="29"/>
  <c r="D173" i="29" s="1"/>
  <c r="AK174" i="28"/>
  <c r="AF174" i="28"/>
  <c r="AJ175" i="28"/>
  <c r="AI176" i="28"/>
  <c r="BK44" i="4"/>
  <c r="BJ44" i="4"/>
  <c r="D44" i="4" s="1"/>
  <c r="AB175" i="29" l="1"/>
  <c r="AD174" i="29"/>
  <c r="C174" i="29" s="1"/>
  <c r="AC174" i="29"/>
  <c r="D174" i="29" s="1"/>
  <c r="AK175" i="28"/>
  <c r="AF175" i="28"/>
  <c r="AI177" i="28"/>
  <c r="AJ176" i="28"/>
  <c r="BK45" i="4"/>
  <c r="BJ45" i="4"/>
  <c r="D45" i="4" s="1"/>
  <c r="AB176" i="29" l="1"/>
  <c r="AC175" i="29"/>
  <c r="D175" i="29" s="1"/>
  <c r="AD175" i="29"/>
  <c r="C175" i="29" s="1"/>
  <c r="AK176" i="28"/>
  <c r="AF176" i="28"/>
  <c r="AI178" i="28"/>
  <c r="AJ177" i="28"/>
  <c r="BJ46" i="4"/>
  <c r="D46" i="4" s="1"/>
  <c r="BK46" i="4"/>
  <c r="AB177" i="29" l="1"/>
  <c r="AD176" i="29"/>
  <c r="C176" i="29" s="1"/>
  <c r="AC176" i="29"/>
  <c r="D176" i="29" s="1"/>
  <c r="AK177" i="28"/>
  <c r="AF177" i="28"/>
  <c r="AI179" i="28"/>
  <c r="AJ178" i="28"/>
  <c r="BJ47" i="4"/>
  <c r="D47" i="4" s="1"/>
  <c r="BK47" i="4"/>
  <c r="AB178" i="29" l="1"/>
  <c r="AD177" i="29"/>
  <c r="C177" i="29" s="1"/>
  <c r="AC177" i="29"/>
  <c r="D177" i="29" s="1"/>
  <c r="AK178" i="28"/>
  <c r="AF178" i="28"/>
  <c r="AJ179" i="28"/>
  <c r="AI180" i="28"/>
  <c r="BK48" i="4"/>
  <c r="BJ48" i="4"/>
  <c r="D48" i="4" s="1"/>
  <c r="AB179" i="29" l="1"/>
  <c r="AC178" i="29"/>
  <c r="D178" i="29" s="1"/>
  <c r="AD178" i="29"/>
  <c r="C178" i="29" s="1"/>
  <c r="AK179" i="28"/>
  <c r="AF179" i="28"/>
  <c r="AI181" i="28"/>
  <c r="AJ180" i="28"/>
  <c r="BK49" i="4"/>
  <c r="BJ49" i="4"/>
  <c r="D49" i="4" s="1"/>
  <c r="AB180" i="29" l="1"/>
  <c r="AD179" i="29"/>
  <c r="C179" i="29" s="1"/>
  <c r="AC179" i="29"/>
  <c r="D179" i="29" s="1"/>
  <c r="AK180" i="28"/>
  <c r="AF180" i="28"/>
  <c r="AI182" i="28"/>
  <c r="AJ181" i="28"/>
  <c r="BK50" i="4"/>
  <c r="C50" i="4" s="1"/>
  <c r="BJ50" i="4"/>
  <c r="D50" i="4" s="1"/>
  <c r="AB181" i="29" l="1"/>
  <c r="AD180" i="29"/>
  <c r="C180" i="29" s="1"/>
  <c r="AC180" i="29"/>
  <c r="D180" i="29" s="1"/>
  <c r="AK181" i="28"/>
  <c r="AF181" i="28"/>
  <c r="AJ182" i="28"/>
  <c r="AI183" i="28"/>
  <c r="BJ51" i="4"/>
  <c r="D51" i="4" s="1"/>
  <c r="BK51" i="4"/>
  <c r="C51" i="4" s="1"/>
  <c r="AB182" i="29" l="1"/>
  <c r="AD181" i="29"/>
  <c r="C181" i="29" s="1"/>
  <c r="AC181" i="29"/>
  <c r="D181" i="29" s="1"/>
  <c r="AK182" i="28"/>
  <c r="AF182" i="28"/>
  <c r="AJ183" i="28"/>
  <c r="AI184" i="28"/>
  <c r="BJ52" i="4"/>
  <c r="D52" i="4" s="1"/>
  <c r="BK52" i="4"/>
  <c r="C52" i="4" s="1"/>
  <c r="AB183" i="29" l="1"/>
  <c r="AD182" i="29"/>
  <c r="C182" i="29" s="1"/>
  <c r="AC182" i="29"/>
  <c r="D182" i="29" s="1"/>
  <c r="AK183" i="28"/>
  <c r="AF183" i="28"/>
  <c r="AJ184" i="28"/>
  <c r="AI185" i="28"/>
  <c r="BK53" i="4"/>
  <c r="C53" i="4" s="1"/>
  <c r="BJ53" i="4"/>
  <c r="D53" i="4" s="1"/>
  <c r="AB184" i="29" l="1"/>
  <c r="AD183" i="29"/>
  <c r="C183" i="29" s="1"/>
  <c r="AC183" i="29"/>
  <c r="D183" i="29" s="1"/>
  <c r="AK184" i="28"/>
  <c r="AF184" i="28"/>
  <c r="AI186" i="28"/>
  <c r="AJ185" i="28"/>
  <c r="BJ54" i="4"/>
  <c r="D54" i="4" s="1"/>
  <c r="BK54" i="4"/>
  <c r="C54" i="4" s="1"/>
  <c r="AB185" i="29" l="1"/>
  <c r="AD184" i="29"/>
  <c r="C184" i="29" s="1"/>
  <c r="AC184" i="29"/>
  <c r="D184" i="29" s="1"/>
  <c r="AK185" i="28"/>
  <c r="AF185" i="28"/>
  <c r="AJ186" i="28"/>
  <c r="AI187" i="28"/>
  <c r="BK55" i="4"/>
  <c r="C55" i="4" s="1"/>
  <c r="BJ55" i="4"/>
  <c r="D55" i="4" s="1"/>
  <c r="AB186" i="29" l="1"/>
  <c r="AD185" i="29"/>
  <c r="C185" i="29" s="1"/>
  <c r="AC185" i="29"/>
  <c r="D185" i="29" s="1"/>
  <c r="AK186" i="28"/>
  <c r="AF186" i="28"/>
  <c r="AJ187" i="28"/>
  <c r="AI188" i="28"/>
  <c r="BK56" i="4"/>
  <c r="C56" i="4" s="1"/>
  <c r="BJ56" i="4"/>
  <c r="D56" i="4" s="1"/>
  <c r="AB187" i="29" l="1"/>
  <c r="AD186" i="29"/>
  <c r="C186" i="29" s="1"/>
  <c r="AC186" i="29"/>
  <c r="D186" i="29" s="1"/>
  <c r="AK187" i="28"/>
  <c r="AF187" i="28"/>
  <c r="AI189" i="28"/>
  <c r="AJ188" i="28"/>
  <c r="BJ57" i="4"/>
  <c r="D57" i="4" s="1"/>
  <c r="BK57" i="4"/>
  <c r="C57" i="4" s="1"/>
  <c r="AB188" i="29" l="1"/>
  <c r="AD187" i="29"/>
  <c r="C187" i="29" s="1"/>
  <c r="AC187" i="29"/>
  <c r="D187" i="29" s="1"/>
  <c r="AK188" i="28"/>
  <c r="AF188" i="28"/>
  <c r="AI190" i="28"/>
  <c r="AJ189" i="28"/>
  <c r="BJ58" i="4"/>
  <c r="D58" i="4" s="1"/>
  <c r="BK58" i="4"/>
  <c r="C58" i="4" s="1"/>
  <c r="AB189" i="29" l="1"/>
  <c r="AC188" i="29"/>
  <c r="D188" i="29" s="1"/>
  <c r="AD188" i="29"/>
  <c r="C188" i="29" s="1"/>
  <c r="AK189" i="28"/>
  <c r="AF189" i="28"/>
  <c r="AI191" i="28"/>
  <c r="AJ190" i="28"/>
  <c r="BJ59" i="4"/>
  <c r="D59" i="4" s="1"/>
  <c r="BK59" i="4"/>
  <c r="C59" i="4" s="1"/>
  <c r="AB190" i="29" l="1"/>
  <c r="AC189" i="29"/>
  <c r="D189" i="29" s="1"/>
  <c r="AD189" i="29"/>
  <c r="C189" i="29" s="1"/>
  <c r="AK190" i="28"/>
  <c r="AF190" i="28"/>
  <c r="AJ191" i="28"/>
  <c r="AI192" i="28"/>
  <c r="BK60" i="4"/>
  <c r="C60" i="4" s="1"/>
  <c r="BJ60" i="4"/>
  <c r="D60" i="4" s="1"/>
  <c r="AB191" i="29" l="1"/>
  <c r="AC190" i="29"/>
  <c r="D190" i="29" s="1"/>
  <c r="AD190" i="29"/>
  <c r="C190" i="29" s="1"/>
  <c r="AK191" i="28"/>
  <c r="AF191" i="28"/>
  <c r="AI193" i="28"/>
  <c r="AJ192" i="28"/>
  <c r="BK61" i="4"/>
  <c r="C61" i="4" s="1"/>
  <c r="BJ61" i="4"/>
  <c r="D61" i="4" s="1"/>
  <c r="AB192" i="29" l="1"/>
  <c r="AD191" i="29"/>
  <c r="C191" i="29" s="1"/>
  <c r="AC191" i="29"/>
  <c r="D191" i="29" s="1"/>
  <c r="AK192" i="28"/>
  <c r="AF192" i="28"/>
  <c r="AI194" i="28"/>
  <c r="AJ193" i="28"/>
  <c r="BJ62" i="4"/>
  <c r="D62" i="4" s="1"/>
  <c r="BK62" i="4"/>
  <c r="C62" i="4" s="1"/>
  <c r="AB193" i="29" l="1"/>
  <c r="AC192" i="29"/>
  <c r="D192" i="29" s="1"/>
  <c r="AD192" i="29"/>
  <c r="C192" i="29" s="1"/>
  <c r="AK193" i="28"/>
  <c r="AF193" i="28"/>
  <c r="AI195" i="28"/>
  <c r="AJ194" i="28"/>
  <c r="BJ63" i="4"/>
  <c r="D63" i="4" s="1"/>
  <c r="BK63" i="4"/>
  <c r="C63" i="4" s="1"/>
  <c r="AB194" i="29" l="1"/>
  <c r="AC193" i="29"/>
  <c r="D193" i="29" s="1"/>
  <c r="AD193" i="29"/>
  <c r="C193" i="29" s="1"/>
  <c r="AK194" i="28"/>
  <c r="AF194" i="28"/>
  <c r="AJ195" i="28"/>
  <c r="AI196" i="28"/>
  <c r="BK64" i="4"/>
  <c r="C64" i="4" s="1"/>
  <c r="BJ64" i="4"/>
  <c r="D64" i="4" s="1"/>
  <c r="AB195" i="29" l="1"/>
  <c r="AD194" i="29"/>
  <c r="C194" i="29" s="1"/>
  <c r="AC194" i="29"/>
  <c r="D194" i="29" s="1"/>
  <c r="AK195" i="28"/>
  <c r="AF195" i="28"/>
  <c r="AI197" i="28"/>
  <c r="AJ196" i="28"/>
  <c r="BK65" i="4"/>
  <c r="C65" i="4" s="1"/>
  <c r="BJ65" i="4"/>
  <c r="D65" i="4" s="1"/>
  <c r="AB196" i="29" l="1"/>
  <c r="AD195" i="29"/>
  <c r="C195" i="29" s="1"/>
  <c r="AC195" i="29"/>
  <c r="D195" i="29" s="1"/>
  <c r="AK196" i="28"/>
  <c r="AF196" i="28"/>
  <c r="AI198" i="28"/>
  <c r="AJ197" i="28"/>
  <c r="BK66" i="4"/>
  <c r="C66" i="4" s="1"/>
  <c r="BJ66" i="4"/>
  <c r="D66" i="4" s="1"/>
  <c r="AB197" i="29" l="1"/>
  <c r="AD196" i="29"/>
  <c r="C196" i="29" s="1"/>
  <c r="AC196" i="29"/>
  <c r="D196" i="29" s="1"/>
  <c r="AK197" i="28"/>
  <c r="AF197" i="28"/>
  <c r="AJ198" i="28"/>
  <c r="AI199" i="28"/>
  <c r="BJ67" i="4"/>
  <c r="D67" i="4" s="1"/>
  <c r="BK67" i="4"/>
  <c r="C67" i="4" s="1"/>
  <c r="AB198" i="29" l="1"/>
  <c r="AD197" i="29"/>
  <c r="C197" i="29" s="1"/>
  <c r="AC197" i="29"/>
  <c r="D197" i="29" s="1"/>
  <c r="AK198" i="28"/>
  <c r="AF198" i="28"/>
  <c r="AJ199" i="28"/>
  <c r="AI200" i="28"/>
  <c r="BK68" i="4"/>
  <c r="C68" i="4" s="1"/>
  <c r="BJ68" i="4"/>
  <c r="D68" i="4" s="1"/>
  <c r="AB199" i="29" l="1"/>
  <c r="AC198" i="29"/>
  <c r="D198" i="29" s="1"/>
  <c r="AD198" i="29"/>
  <c r="C198" i="29" s="1"/>
  <c r="AK199" i="28"/>
  <c r="AF199" i="28"/>
  <c r="AJ200" i="28"/>
  <c r="AI201" i="28"/>
  <c r="BK69" i="4"/>
  <c r="C69" i="4" s="1"/>
  <c r="BJ69" i="4"/>
  <c r="D69" i="4" s="1"/>
  <c r="AB200" i="29" l="1"/>
  <c r="AC199" i="29"/>
  <c r="D199" i="29" s="1"/>
  <c r="AD199" i="29"/>
  <c r="C199" i="29" s="1"/>
  <c r="AK200" i="28"/>
  <c r="AF200" i="28"/>
  <c r="AI202" i="28"/>
  <c r="AJ201" i="28"/>
  <c r="BJ70" i="4"/>
  <c r="D70" i="4" s="1"/>
  <c r="BK70" i="4"/>
  <c r="C70" i="4" s="1"/>
  <c r="AB201" i="29" l="1"/>
  <c r="AC200" i="29"/>
  <c r="D200" i="29" s="1"/>
  <c r="AD200" i="29"/>
  <c r="C200" i="29" s="1"/>
  <c r="AK201" i="28"/>
  <c r="AF201" i="28"/>
  <c r="AJ202" i="28"/>
  <c r="AI203" i="28"/>
  <c r="BJ71" i="4"/>
  <c r="D71" i="4" s="1"/>
  <c r="BK71" i="4"/>
  <c r="C71" i="4" s="1"/>
  <c r="AB202" i="29" l="1"/>
  <c r="AC201" i="29"/>
  <c r="D201" i="29" s="1"/>
  <c r="AD201" i="29"/>
  <c r="C201" i="29" s="1"/>
  <c r="AK202" i="28"/>
  <c r="AF202" i="28"/>
  <c r="AJ203" i="28"/>
  <c r="AI204" i="28"/>
  <c r="BJ72" i="4"/>
  <c r="D72" i="4" s="1"/>
  <c r="BK72" i="4"/>
  <c r="C72" i="4" s="1"/>
  <c r="AB203" i="29" l="1"/>
  <c r="AD202" i="29"/>
  <c r="C202" i="29" s="1"/>
  <c r="AC202" i="29"/>
  <c r="D202" i="29" s="1"/>
  <c r="AK203" i="28"/>
  <c r="AF203" i="28"/>
  <c r="AI205" i="28"/>
  <c r="AJ204" i="28"/>
  <c r="BK73" i="4"/>
  <c r="C73" i="4" s="1"/>
  <c r="BJ73" i="4"/>
  <c r="D73" i="4" s="1"/>
  <c r="AB204" i="29" l="1"/>
  <c r="AD203" i="29"/>
  <c r="C203" i="29" s="1"/>
  <c r="AC203" i="29"/>
  <c r="D203" i="29" s="1"/>
  <c r="AK204" i="28"/>
  <c r="AF204" i="28"/>
  <c r="AI206" i="28"/>
  <c r="AJ205" i="28"/>
  <c r="BK74" i="4"/>
  <c r="C74" i="4" s="1"/>
  <c r="BJ74" i="4"/>
  <c r="D74" i="4" s="1"/>
  <c r="AB205" i="29" l="1"/>
  <c r="AC204" i="29"/>
  <c r="D204" i="29" s="1"/>
  <c r="AD204" i="29"/>
  <c r="C204" i="29" s="1"/>
  <c r="AK205" i="28"/>
  <c r="AF205" i="28"/>
  <c r="AI207" i="28"/>
  <c r="AJ206" i="28"/>
  <c r="BK75" i="4"/>
  <c r="C75" i="4" s="1"/>
  <c r="BJ75" i="4"/>
  <c r="D75" i="4" s="1"/>
  <c r="AB206" i="29" l="1"/>
  <c r="AD205" i="29"/>
  <c r="C205" i="29" s="1"/>
  <c r="AC205" i="29"/>
  <c r="D205" i="29" s="1"/>
  <c r="AK206" i="28"/>
  <c r="AF206" i="28"/>
  <c r="AJ207" i="28"/>
  <c r="AI208" i="28"/>
  <c r="BK76" i="4"/>
  <c r="C76" i="4" s="1"/>
  <c r="BJ76" i="4"/>
  <c r="D76" i="4" s="1"/>
  <c r="AB207" i="29" l="1"/>
  <c r="AC206" i="29"/>
  <c r="D206" i="29" s="1"/>
  <c r="AD206" i="29"/>
  <c r="C206" i="29" s="1"/>
  <c r="AK207" i="28"/>
  <c r="AF207" i="28"/>
  <c r="AI209" i="28"/>
  <c r="AJ208" i="28"/>
  <c r="BK77" i="4"/>
  <c r="BJ77" i="4"/>
  <c r="D77" i="4" s="1"/>
  <c r="AB208" i="29" l="1"/>
  <c r="AC207" i="29"/>
  <c r="D207" i="29" s="1"/>
  <c r="AD207" i="29"/>
  <c r="C207" i="29" s="1"/>
  <c r="AK208" i="28"/>
  <c r="AF208" i="28"/>
  <c r="AI210" i="28"/>
  <c r="AJ209" i="28"/>
  <c r="BJ78" i="4"/>
  <c r="D78" i="4" s="1"/>
  <c r="BK78" i="4"/>
  <c r="C78" i="4" s="1"/>
  <c r="AB209" i="29" l="1"/>
  <c r="AD208" i="29"/>
  <c r="C208" i="29" s="1"/>
  <c r="AC208" i="29"/>
  <c r="D208" i="29" s="1"/>
  <c r="AK209" i="28"/>
  <c r="AF209" i="28"/>
  <c r="AI211" i="28"/>
  <c r="AJ210" i="28"/>
  <c r="BK79" i="4"/>
  <c r="C79" i="4" s="1"/>
  <c r="BJ79" i="4"/>
  <c r="D79" i="4" s="1"/>
  <c r="AB210" i="29" l="1"/>
  <c r="AC209" i="29"/>
  <c r="D209" i="29" s="1"/>
  <c r="AD209" i="29"/>
  <c r="C209" i="29" s="1"/>
  <c r="AK210" i="28"/>
  <c r="AF210" i="28"/>
  <c r="AJ211" i="28"/>
  <c r="AI212" i="28"/>
  <c r="BJ80" i="4"/>
  <c r="D80" i="4" s="1"/>
  <c r="BK80" i="4"/>
  <c r="C80" i="4" s="1"/>
  <c r="AB211" i="29" l="1"/>
  <c r="AC210" i="29"/>
  <c r="D210" i="29" s="1"/>
  <c r="AD210" i="29"/>
  <c r="C210" i="29" s="1"/>
  <c r="AK211" i="28"/>
  <c r="AF211" i="28"/>
  <c r="AI213" i="28"/>
  <c r="AJ212" i="28"/>
  <c r="BK81" i="4"/>
  <c r="C81" i="4" s="1"/>
  <c r="BJ81" i="4"/>
  <c r="D81" i="4" s="1"/>
  <c r="AB212" i="29" l="1"/>
  <c r="AC211" i="29"/>
  <c r="D211" i="29" s="1"/>
  <c r="AD211" i="29"/>
  <c r="C211" i="29" s="1"/>
  <c r="AK212" i="28"/>
  <c r="AF212" i="28"/>
  <c r="AI214" i="28"/>
  <c r="AJ213" i="28"/>
  <c r="BK82" i="4"/>
  <c r="BJ82" i="4"/>
  <c r="D82" i="4" s="1"/>
  <c r="AB213" i="29" l="1"/>
  <c r="AD212" i="29"/>
  <c r="C212" i="29" s="1"/>
  <c r="AC212" i="29"/>
  <c r="D212" i="29" s="1"/>
  <c r="AK213" i="28"/>
  <c r="AF213" i="28"/>
  <c r="AJ214" i="28"/>
  <c r="AI215" i="28"/>
  <c r="BK83" i="4"/>
  <c r="BJ83" i="4"/>
  <c r="D83" i="4" s="1"/>
  <c r="AB214" i="29" l="1"/>
  <c r="AC213" i="29"/>
  <c r="D213" i="29" s="1"/>
  <c r="AD213" i="29"/>
  <c r="C213" i="29" s="1"/>
  <c r="AK214" i="28"/>
  <c r="AF214" i="28"/>
  <c r="AJ215" i="28"/>
  <c r="AI216" i="28"/>
  <c r="BK84" i="4"/>
  <c r="BJ84" i="4"/>
  <c r="D84" i="4" s="1"/>
  <c r="AB215" i="29" l="1"/>
  <c r="AC214" i="29"/>
  <c r="D214" i="29" s="1"/>
  <c r="AD214" i="29"/>
  <c r="C214" i="29" s="1"/>
  <c r="AK215" i="28"/>
  <c r="AF215" i="28"/>
  <c r="AJ216" i="28"/>
  <c r="AI217" i="28"/>
  <c r="BK85" i="4"/>
  <c r="BJ85" i="4"/>
  <c r="D85" i="4" s="1"/>
  <c r="AB216" i="29" l="1"/>
  <c r="AD215" i="29"/>
  <c r="C215" i="29" s="1"/>
  <c r="AC215" i="29"/>
  <c r="D215" i="29" s="1"/>
  <c r="AK216" i="28"/>
  <c r="AF216" i="28"/>
  <c r="AI218" i="28"/>
  <c r="AJ217" i="28"/>
  <c r="BJ86" i="4"/>
  <c r="D86" i="4" s="1"/>
  <c r="BK86" i="4"/>
  <c r="AB217" i="29" l="1"/>
  <c r="AC216" i="29"/>
  <c r="D216" i="29" s="1"/>
  <c r="AD216" i="29"/>
  <c r="C216" i="29" s="1"/>
  <c r="AK217" i="28"/>
  <c r="AF217" i="28"/>
  <c r="AJ218" i="28"/>
  <c r="AI219" i="28"/>
  <c r="BJ87" i="4"/>
  <c r="D87" i="4" s="1"/>
  <c r="BK87" i="4"/>
  <c r="AB218" i="29" l="1"/>
  <c r="AD217" i="29"/>
  <c r="C217" i="29" s="1"/>
  <c r="AC217" i="29"/>
  <c r="D217" i="29" s="1"/>
  <c r="AK218" i="28"/>
  <c r="AF218" i="28"/>
  <c r="AJ219" i="28"/>
  <c r="AI220" i="28"/>
  <c r="BJ88" i="4"/>
  <c r="D88" i="4" s="1"/>
  <c r="BK88" i="4"/>
  <c r="C88" i="4" s="1"/>
  <c r="AB219" i="29" l="1"/>
  <c r="AD218" i="29"/>
  <c r="C218" i="29" s="1"/>
  <c r="AC218" i="29"/>
  <c r="D218" i="29" s="1"/>
  <c r="AK219" i="28"/>
  <c r="AF219" i="28"/>
  <c r="AI221" i="28"/>
  <c r="AJ220" i="28"/>
  <c r="BK89" i="4"/>
  <c r="C89" i="4" s="1"/>
  <c r="BJ89" i="4"/>
  <c r="D89" i="4" s="1"/>
  <c r="AB220" i="29" l="1"/>
  <c r="AD219" i="29"/>
  <c r="C219" i="29" s="1"/>
  <c r="AC219" i="29"/>
  <c r="D219" i="29" s="1"/>
  <c r="AK220" i="28"/>
  <c r="AF220" i="28"/>
  <c r="AI222" i="28"/>
  <c r="AJ221" i="28"/>
  <c r="BK90" i="4"/>
  <c r="C90" i="4" s="1"/>
  <c r="BJ90" i="4"/>
  <c r="D90" i="4" s="1"/>
  <c r="AB221" i="29" l="1"/>
  <c r="AD220" i="29"/>
  <c r="C220" i="29" s="1"/>
  <c r="AC220" i="29"/>
  <c r="D220" i="29" s="1"/>
  <c r="AK221" i="28"/>
  <c r="AF221" i="28"/>
  <c r="AI223" i="28"/>
  <c r="AJ222" i="28"/>
  <c r="BK91" i="4"/>
  <c r="C91" i="4" s="1"/>
  <c r="BJ91" i="4"/>
  <c r="D91" i="4" s="1"/>
  <c r="AB222" i="29" l="1"/>
  <c r="AD221" i="29"/>
  <c r="C221" i="29" s="1"/>
  <c r="AC221" i="29"/>
  <c r="D221" i="29" s="1"/>
  <c r="AK222" i="28"/>
  <c r="AF222" i="28"/>
  <c r="AJ223" i="28"/>
  <c r="AI224" i="28"/>
  <c r="BK92" i="4"/>
  <c r="C92" i="4" s="1"/>
  <c r="BJ92" i="4"/>
  <c r="D92" i="4" s="1"/>
  <c r="AB223" i="29" l="1"/>
  <c r="AD222" i="29"/>
  <c r="C222" i="29" s="1"/>
  <c r="AC222" i="29"/>
  <c r="D222" i="29" s="1"/>
  <c r="AK223" i="28"/>
  <c r="AF223" i="28"/>
  <c r="AI225" i="28"/>
  <c r="AJ224" i="28"/>
  <c r="BJ93" i="4"/>
  <c r="D93" i="4" s="1"/>
  <c r="BK93" i="4"/>
  <c r="C93" i="4" s="1"/>
  <c r="AB224" i="29" l="1"/>
  <c r="AC223" i="29"/>
  <c r="D223" i="29" s="1"/>
  <c r="AD223" i="29"/>
  <c r="C223" i="29" s="1"/>
  <c r="AK224" i="28"/>
  <c r="AF224" i="28"/>
  <c r="AI226" i="28"/>
  <c r="AJ225" i="28"/>
  <c r="BJ94" i="4"/>
  <c r="D94" i="4" s="1"/>
  <c r="BK94" i="4"/>
  <c r="C94" i="4" s="1"/>
  <c r="AB225" i="29" l="1"/>
  <c r="AC224" i="29"/>
  <c r="D224" i="29" s="1"/>
  <c r="AD224" i="29"/>
  <c r="C224" i="29" s="1"/>
  <c r="AK225" i="28"/>
  <c r="AF225" i="28"/>
  <c r="AI227" i="28"/>
  <c r="AJ226" i="28"/>
  <c r="BJ95" i="4"/>
  <c r="D95" i="4" s="1"/>
  <c r="BK95" i="4"/>
  <c r="C95" i="4" s="1"/>
  <c r="AB226" i="29" l="1"/>
  <c r="AC225" i="29"/>
  <c r="D225" i="29" s="1"/>
  <c r="AD225" i="29"/>
  <c r="C225" i="29" s="1"/>
  <c r="AK226" i="28"/>
  <c r="AF226" i="28"/>
  <c r="AJ227" i="28"/>
  <c r="AI228" i="28"/>
  <c r="BK96" i="4"/>
  <c r="C96" i="4" s="1"/>
  <c r="BJ96" i="4"/>
  <c r="D96" i="4" s="1"/>
  <c r="AB227" i="29" l="1"/>
  <c r="AC226" i="29"/>
  <c r="D226" i="29" s="1"/>
  <c r="AD226" i="29"/>
  <c r="C226" i="29" s="1"/>
  <c r="AK227" i="28"/>
  <c r="AF227" i="28"/>
  <c r="AI229" i="28"/>
  <c r="AJ228" i="28"/>
  <c r="BK97" i="4"/>
  <c r="C97" i="4" s="1"/>
  <c r="BJ97" i="4"/>
  <c r="D97" i="4" s="1"/>
  <c r="AB228" i="29" l="1"/>
  <c r="AC227" i="29"/>
  <c r="D227" i="29" s="1"/>
  <c r="AD227" i="29"/>
  <c r="C227" i="29" s="1"/>
  <c r="AK228" i="28"/>
  <c r="AF228" i="28"/>
  <c r="AI230" i="28"/>
  <c r="AJ229" i="28"/>
  <c r="BJ98" i="4"/>
  <c r="D98" i="4" s="1"/>
  <c r="BK98" i="4"/>
  <c r="C98" i="4" s="1"/>
  <c r="AB229" i="29" l="1"/>
  <c r="AC228" i="29"/>
  <c r="D228" i="29" s="1"/>
  <c r="AD228" i="29"/>
  <c r="C228" i="29" s="1"/>
  <c r="AK229" i="28"/>
  <c r="AF229" i="28"/>
  <c r="AJ230" i="28"/>
  <c r="AI231" i="28"/>
  <c r="BK99" i="4"/>
  <c r="C99" i="4" s="1"/>
  <c r="BJ99" i="4"/>
  <c r="D99" i="4" s="1"/>
  <c r="AB230" i="29" l="1"/>
  <c r="AD229" i="29"/>
  <c r="C229" i="29" s="1"/>
  <c r="AC229" i="29"/>
  <c r="D229" i="29" s="1"/>
  <c r="AK230" i="28"/>
  <c r="AF230" i="28"/>
  <c r="AJ231" i="28"/>
  <c r="AI232" i="28"/>
  <c r="BK100" i="4"/>
  <c r="C100" i="4" s="1"/>
  <c r="BJ100" i="4"/>
  <c r="D100" i="4" s="1"/>
  <c r="AB231" i="29" l="1"/>
  <c r="AC230" i="29"/>
  <c r="D230" i="29" s="1"/>
  <c r="AD230" i="29"/>
  <c r="C230" i="29" s="1"/>
  <c r="AK231" i="28"/>
  <c r="AF231" i="28"/>
  <c r="AJ232" i="28"/>
  <c r="AI233" i="28"/>
  <c r="BK101" i="4"/>
  <c r="C101" i="4" s="1"/>
  <c r="BJ101" i="4"/>
  <c r="D101" i="4" s="1"/>
  <c r="AB232" i="29" l="1"/>
  <c r="AD231" i="29"/>
  <c r="C231" i="29" s="1"/>
  <c r="AC231" i="29"/>
  <c r="D231" i="29" s="1"/>
  <c r="AK232" i="28"/>
  <c r="AF232" i="28"/>
  <c r="AI234" i="28"/>
  <c r="AJ233" i="28"/>
  <c r="BJ102" i="4"/>
  <c r="D102" i="4" s="1"/>
  <c r="BK102" i="4"/>
  <c r="C102" i="4" s="1"/>
  <c r="AB233" i="29" l="1"/>
  <c r="AC232" i="29"/>
  <c r="D232" i="29" s="1"/>
  <c r="AD232" i="29"/>
  <c r="C232" i="29" s="1"/>
  <c r="AK233" i="28"/>
  <c r="AF233" i="28"/>
  <c r="AJ234" i="28"/>
  <c r="AI235" i="28"/>
  <c r="BJ103" i="4"/>
  <c r="D103" i="4" s="1"/>
  <c r="BK103" i="4"/>
  <c r="C103" i="4" s="1"/>
  <c r="AB234" i="29" l="1"/>
  <c r="AC233" i="29"/>
  <c r="D233" i="29" s="1"/>
  <c r="AD233" i="29"/>
  <c r="C233" i="29" s="1"/>
  <c r="AK234" i="28"/>
  <c r="AF234" i="28"/>
  <c r="AJ235" i="28"/>
  <c r="AI236" i="28"/>
  <c r="BK104" i="4"/>
  <c r="C104" i="4" s="1"/>
  <c r="BJ104" i="4"/>
  <c r="D104" i="4" s="1"/>
  <c r="AB235" i="29" l="1"/>
  <c r="AD234" i="29"/>
  <c r="C234" i="29" s="1"/>
  <c r="AC234" i="29"/>
  <c r="D234" i="29" s="1"/>
  <c r="AK235" i="28"/>
  <c r="AF235" i="28"/>
  <c r="AI237" i="28"/>
  <c r="AJ236" i="28"/>
  <c r="BK105" i="4"/>
  <c r="C105" i="4" s="1"/>
  <c r="BJ105" i="4"/>
  <c r="D105" i="4" s="1"/>
  <c r="AB236" i="29" l="1"/>
  <c r="AC235" i="29"/>
  <c r="D235" i="29" s="1"/>
  <c r="AD235" i="29"/>
  <c r="C235" i="29" s="1"/>
  <c r="AK236" i="28"/>
  <c r="AF236" i="28"/>
  <c r="AI238" i="28"/>
  <c r="AJ237" i="28"/>
  <c r="BK106" i="4"/>
  <c r="C106" i="4" s="1"/>
  <c r="BJ106" i="4"/>
  <c r="D106" i="4" s="1"/>
  <c r="AB237" i="29" l="1"/>
  <c r="AC236" i="29"/>
  <c r="D236" i="29" s="1"/>
  <c r="AD236" i="29"/>
  <c r="C236" i="29" s="1"/>
  <c r="AK237" i="28"/>
  <c r="AF237" i="28"/>
  <c r="AI239" i="28"/>
  <c r="AJ238" i="28"/>
  <c r="BK107" i="4"/>
  <c r="C107" i="4" s="1"/>
  <c r="BJ107" i="4"/>
  <c r="D107" i="4" s="1"/>
  <c r="AB238" i="29" l="1"/>
  <c r="AD237" i="29"/>
  <c r="C237" i="29" s="1"/>
  <c r="AC237" i="29"/>
  <c r="D237" i="29" s="1"/>
  <c r="AK238" i="28"/>
  <c r="AF238" i="28"/>
  <c r="AJ239" i="28"/>
  <c r="AI240" i="28"/>
  <c r="BK108" i="4"/>
  <c r="C108" i="4" s="1"/>
  <c r="BJ108" i="4"/>
  <c r="D108" i="4" s="1"/>
  <c r="AB239" i="29" l="1"/>
  <c r="AC238" i="29"/>
  <c r="D238" i="29" s="1"/>
  <c r="AD238" i="29"/>
  <c r="C238" i="29" s="1"/>
  <c r="AK239" i="28"/>
  <c r="AF239" i="28"/>
  <c r="AJ240" i="28"/>
  <c r="AI241" i="28"/>
  <c r="BK109" i="4"/>
  <c r="C109" i="4" s="1"/>
  <c r="BJ109" i="4"/>
  <c r="D109" i="4" s="1"/>
  <c r="AB240" i="29" l="1"/>
  <c r="AC239" i="29"/>
  <c r="D239" i="29" s="1"/>
  <c r="AD239" i="29"/>
  <c r="C239" i="29" s="1"/>
  <c r="AK240" i="28"/>
  <c r="AF240" i="28"/>
  <c r="AI242" i="28"/>
  <c r="AJ241" i="28"/>
  <c r="BJ110" i="4"/>
  <c r="D110" i="4" s="1"/>
  <c r="BK110" i="4"/>
  <c r="C110" i="4" s="1"/>
  <c r="AB241" i="29" l="1"/>
  <c r="AD240" i="29"/>
  <c r="C240" i="29" s="1"/>
  <c r="AC240" i="29"/>
  <c r="D240" i="29" s="1"/>
  <c r="AK241" i="28"/>
  <c r="AF241" i="28"/>
  <c r="AI243" i="28"/>
  <c r="AJ242" i="28"/>
  <c r="BJ111" i="4"/>
  <c r="D111" i="4" s="1"/>
  <c r="BK111" i="4"/>
  <c r="C111" i="4" s="1"/>
  <c r="AB242" i="29" l="1"/>
  <c r="AC241" i="29"/>
  <c r="D241" i="29" s="1"/>
  <c r="AD241" i="29"/>
  <c r="C241" i="29" s="1"/>
  <c r="AK242" i="28"/>
  <c r="AF242" i="28"/>
  <c r="AJ243" i="28"/>
  <c r="AI244" i="28"/>
  <c r="BK112" i="4"/>
  <c r="C112" i="4" s="1"/>
  <c r="BJ112" i="4"/>
  <c r="D112" i="4" s="1"/>
  <c r="AB243" i="29" l="1"/>
  <c r="AC242" i="29"/>
  <c r="AD242" i="29"/>
  <c r="AK243" i="28"/>
  <c r="AF243" i="28"/>
  <c r="AI245" i="28"/>
  <c r="AJ244" i="28"/>
  <c r="BK113" i="4"/>
  <c r="C113" i="4" s="1"/>
  <c r="BJ113" i="4"/>
  <c r="D113" i="4" s="1"/>
  <c r="C242" i="29" l="1"/>
  <c r="X242" i="29"/>
  <c r="W242" i="29"/>
  <c r="G242" i="29" s="1"/>
  <c r="D242" i="29"/>
  <c r="AB244" i="29"/>
  <c r="AD243" i="29"/>
  <c r="AC243" i="29"/>
  <c r="AK244" i="28"/>
  <c r="AF244" i="28"/>
  <c r="AI246" i="28"/>
  <c r="AJ245" i="28"/>
  <c r="BK114" i="4"/>
  <c r="C114" i="4" s="1"/>
  <c r="BJ114" i="4"/>
  <c r="D114" i="4" s="1"/>
  <c r="W243" i="29" l="1"/>
  <c r="G243" i="29" s="1"/>
  <c r="D243" i="29"/>
  <c r="X243" i="29"/>
  <c r="C243" i="29"/>
  <c r="AB245" i="29"/>
  <c r="AC244" i="29"/>
  <c r="AD244" i="29"/>
  <c r="AK245" i="28"/>
  <c r="AF245" i="28"/>
  <c r="AJ246" i="28"/>
  <c r="AI247" i="28"/>
  <c r="BJ115" i="4"/>
  <c r="D115" i="4" s="1"/>
  <c r="BK115" i="4"/>
  <c r="AB246" i="29" l="1"/>
  <c r="AC245" i="29"/>
  <c r="AD245" i="29"/>
  <c r="C244" i="29"/>
  <c r="X244" i="29"/>
  <c r="W244" i="29"/>
  <c r="G244" i="29" s="1"/>
  <c r="D244" i="29"/>
  <c r="AK246" i="28"/>
  <c r="AF246" i="28"/>
  <c r="AJ247" i="28"/>
  <c r="AI248" i="28"/>
  <c r="BK116" i="4"/>
  <c r="C116" i="4" s="1"/>
  <c r="BJ116" i="4"/>
  <c r="D116" i="4" s="1"/>
  <c r="X245" i="29" l="1"/>
  <c r="C245" i="29"/>
  <c r="W245" i="29"/>
  <c r="G245" i="29" s="1"/>
  <c r="D245" i="29"/>
  <c r="AB247" i="29"/>
  <c r="AC246" i="29"/>
  <c r="AD246" i="29"/>
  <c r="AK247" i="28"/>
  <c r="AF247" i="28"/>
  <c r="AJ248" i="28"/>
  <c r="AI249" i="28"/>
  <c r="BJ117" i="4"/>
  <c r="D117" i="4" s="1"/>
  <c r="BK117" i="4"/>
  <c r="C117" i="4" s="1"/>
  <c r="W246" i="29" l="1"/>
  <c r="G246" i="29" s="1"/>
  <c r="D246" i="29"/>
  <c r="C246" i="29"/>
  <c r="X246" i="29"/>
  <c r="AB248" i="29"/>
  <c r="AD247" i="29"/>
  <c r="AC247" i="29"/>
  <c r="AK248" i="28"/>
  <c r="AF248" i="28"/>
  <c r="AI250" i="28"/>
  <c r="AJ249" i="28"/>
  <c r="BK118" i="4"/>
  <c r="C118" i="4" s="1"/>
  <c r="BJ118" i="4"/>
  <c r="D118" i="4" s="1"/>
  <c r="AB249" i="29" l="1"/>
  <c r="AD248" i="29"/>
  <c r="AC248" i="29"/>
  <c r="W247" i="29"/>
  <c r="G247" i="29" s="1"/>
  <c r="D247" i="29"/>
  <c r="X247" i="29"/>
  <c r="C247" i="29"/>
  <c r="AK249" i="28"/>
  <c r="AF249" i="28"/>
  <c r="AJ250" i="28"/>
  <c r="AI251" i="28"/>
  <c r="BJ119" i="4"/>
  <c r="D119" i="4" s="1"/>
  <c r="BK119" i="4"/>
  <c r="C119" i="4" s="1"/>
  <c r="X248" i="29" l="1"/>
  <c r="C248" i="29"/>
  <c r="W248" i="29"/>
  <c r="G248" i="29" s="1"/>
  <c r="D248" i="29"/>
  <c r="AB250" i="29"/>
  <c r="AD249" i="29"/>
  <c r="AC249" i="29"/>
  <c r="AK250" i="28"/>
  <c r="AF250" i="28"/>
  <c r="AJ251" i="28"/>
  <c r="AI252" i="28"/>
  <c r="BK120" i="4"/>
  <c r="BJ120" i="4"/>
  <c r="D120" i="4" s="1"/>
  <c r="C249" i="29" l="1"/>
  <c r="X249" i="29"/>
  <c r="W249" i="29"/>
  <c r="G249" i="29" s="1"/>
  <c r="D249" i="29"/>
  <c r="AB251" i="29"/>
  <c r="AC250" i="29"/>
  <c r="AD250" i="29"/>
  <c r="AK251" i="28"/>
  <c r="AF251" i="28"/>
  <c r="AI253" i="28"/>
  <c r="AJ252" i="28"/>
  <c r="BK121" i="4"/>
  <c r="BJ121" i="4"/>
  <c r="D121" i="4" s="1"/>
  <c r="W250" i="29" l="1"/>
  <c r="G250" i="29" s="1"/>
  <c r="D250" i="29"/>
  <c r="X250" i="29"/>
  <c r="C250" i="29"/>
  <c r="AB252" i="29"/>
  <c r="AD251" i="29"/>
  <c r="AC251" i="29"/>
  <c r="AK252" i="28"/>
  <c r="AF252" i="28"/>
  <c r="AI254" i="28"/>
  <c r="AJ253" i="28"/>
  <c r="BJ122" i="4"/>
  <c r="D122" i="4" s="1"/>
  <c r="BK122" i="4"/>
  <c r="AB253" i="29" l="1"/>
  <c r="AC252" i="29"/>
  <c r="AD252" i="29"/>
  <c r="D251" i="29"/>
  <c r="W251" i="29"/>
  <c r="G251" i="29" s="1"/>
  <c r="X251" i="29"/>
  <c r="C251" i="29"/>
  <c r="AK253" i="28"/>
  <c r="AF253" i="28"/>
  <c r="AI255" i="28"/>
  <c r="AJ254" i="28"/>
  <c r="BJ123" i="4"/>
  <c r="D123" i="4" s="1"/>
  <c r="BK123" i="4"/>
  <c r="C252" i="29" l="1"/>
  <c r="X252" i="29"/>
  <c r="W252" i="29"/>
  <c r="G252" i="29" s="1"/>
  <c r="D252" i="29"/>
  <c r="AB254" i="29"/>
  <c r="AD253" i="29"/>
  <c r="AC253" i="29"/>
  <c r="AK254" i="28"/>
  <c r="AF254" i="28"/>
  <c r="AJ255" i="28"/>
  <c r="AI256" i="28"/>
  <c r="BJ124" i="4"/>
  <c r="D124" i="4" s="1"/>
  <c r="BK124" i="4"/>
  <c r="C253" i="29" l="1"/>
  <c r="X253" i="29"/>
  <c r="W253" i="29"/>
  <c r="G253" i="29" s="1"/>
  <c r="D253" i="29"/>
  <c r="AB255" i="29"/>
  <c r="AC254" i="29"/>
  <c r="AD254" i="29"/>
  <c r="AK255" i="28"/>
  <c r="AF255" i="28"/>
  <c r="AI257" i="28"/>
  <c r="AJ256" i="28"/>
  <c r="BK125" i="4"/>
  <c r="BJ125" i="4"/>
  <c r="D125" i="4" s="1"/>
  <c r="D254" i="29" l="1"/>
  <c r="W254" i="29"/>
  <c r="G254" i="29" s="1"/>
  <c r="C254" i="29"/>
  <c r="X254" i="29"/>
  <c r="AB256" i="29"/>
  <c r="AD255" i="29"/>
  <c r="AC255" i="29"/>
  <c r="AK256" i="28"/>
  <c r="AF256" i="28"/>
  <c r="AI258" i="28"/>
  <c r="AJ257" i="28"/>
  <c r="BJ126" i="4"/>
  <c r="D126" i="4" s="1"/>
  <c r="BK126" i="4"/>
  <c r="C126" i="4" s="1"/>
  <c r="C255" i="29" l="1"/>
  <c r="X255" i="29"/>
  <c r="W255" i="29"/>
  <c r="G255" i="29" s="1"/>
  <c r="D255" i="29"/>
  <c r="AB257" i="29"/>
  <c r="AC256" i="29"/>
  <c r="AD256" i="29"/>
  <c r="AK257" i="28"/>
  <c r="AF257" i="28"/>
  <c r="AI259" i="28"/>
  <c r="AJ258" i="28"/>
  <c r="BJ127" i="4"/>
  <c r="D127" i="4" s="1"/>
  <c r="BK127" i="4"/>
  <c r="C127" i="4" s="1"/>
  <c r="D256" i="29" l="1"/>
  <c r="W256" i="29"/>
  <c r="G256" i="29" s="1"/>
  <c r="X256" i="29"/>
  <c r="C256" i="29"/>
  <c r="AB258" i="29"/>
  <c r="AC257" i="29"/>
  <c r="AD257" i="29"/>
  <c r="AK258" i="28"/>
  <c r="AF258" i="28"/>
  <c r="AJ259" i="28"/>
  <c r="AI260" i="28"/>
  <c r="BJ128" i="4"/>
  <c r="D128" i="4" s="1"/>
  <c r="BK128" i="4"/>
  <c r="C128" i="4" s="1"/>
  <c r="X257" i="29" l="1"/>
  <c r="C257" i="29"/>
  <c r="W257" i="29"/>
  <c r="G257" i="29" s="1"/>
  <c r="D257" i="29"/>
  <c r="AD258" i="29"/>
  <c r="AB259" i="29"/>
  <c r="AC258" i="29"/>
  <c r="AK259" i="28"/>
  <c r="AF259" i="28"/>
  <c r="AI261" i="28"/>
  <c r="AJ260" i="28"/>
  <c r="BK129" i="4"/>
  <c r="C129" i="4" s="1"/>
  <c r="BJ129" i="4"/>
  <c r="D129" i="4" s="1"/>
  <c r="D258" i="29" l="1"/>
  <c r="W258" i="29"/>
  <c r="G258" i="29" s="1"/>
  <c r="AD259" i="29"/>
  <c r="AB260" i="29"/>
  <c r="AC259" i="29"/>
  <c r="X258" i="29"/>
  <c r="C258" i="29"/>
  <c r="AK260" i="28"/>
  <c r="AF260" i="28"/>
  <c r="AI262" i="28"/>
  <c r="AJ261" i="28"/>
  <c r="BK130" i="4"/>
  <c r="C130" i="4" s="1"/>
  <c r="BJ130" i="4"/>
  <c r="D130" i="4" s="1"/>
  <c r="AB261" i="29" l="1"/>
  <c r="AD260" i="29"/>
  <c r="AC260" i="29"/>
  <c r="X259" i="29"/>
  <c r="C259" i="29"/>
  <c r="D259" i="29"/>
  <c r="W259" i="29"/>
  <c r="G259" i="29" s="1"/>
  <c r="AK261" i="28"/>
  <c r="AF261" i="28"/>
  <c r="AJ262" i="28"/>
  <c r="AI263" i="28"/>
  <c r="BJ131" i="4"/>
  <c r="D131" i="4" s="1"/>
  <c r="BK131" i="4"/>
  <c r="C131" i="4" s="1"/>
  <c r="D260" i="29" l="1"/>
  <c r="W260" i="29"/>
  <c r="G260" i="29" s="1"/>
  <c r="X260" i="29"/>
  <c r="C260" i="29"/>
  <c r="AD261" i="29"/>
  <c r="AC261" i="29"/>
  <c r="AB262" i="29"/>
  <c r="AK262" i="28"/>
  <c r="AF262" i="28"/>
  <c r="AJ263" i="28"/>
  <c r="AI264" i="28"/>
  <c r="BK132" i="4"/>
  <c r="C132" i="4" s="1"/>
  <c r="BJ132" i="4"/>
  <c r="D132" i="4" s="1"/>
  <c r="D261" i="29" l="1"/>
  <c r="W261" i="29"/>
  <c r="G261" i="29" s="1"/>
  <c r="AB263" i="29"/>
  <c r="AD262" i="29"/>
  <c r="AC262" i="29"/>
  <c r="X261" i="29"/>
  <c r="C261" i="29"/>
  <c r="AK263" i="28"/>
  <c r="AF263" i="28"/>
  <c r="AJ264" i="28"/>
  <c r="AI265" i="28"/>
  <c r="BJ133" i="4"/>
  <c r="D133" i="4" s="1"/>
  <c r="BK133" i="4"/>
  <c r="C133" i="4" s="1"/>
  <c r="AD263" i="29" l="1"/>
  <c r="AB264" i="29"/>
  <c r="AC263" i="29"/>
  <c r="X262" i="29"/>
  <c r="C262" i="29"/>
  <c r="D262" i="29"/>
  <c r="W262" i="29"/>
  <c r="G262" i="29" s="1"/>
  <c r="AK264" i="28"/>
  <c r="AF264" i="28"/>
  <c r="AI266" i="28"/>
  <c r="AJ265" i="28"/>
  <c r="BK134" i="4"/>
  <c r="C134" i="4" s="1"/>
  <c r="BJ134" i="4"/>
  <c r="D134" i="4" s="1"/>
  <c r="D263" i="29" l="1"/>
  <c r="W263" i="29"/>
  <c r="G263" i="29" s="1"/>
  <c r="AB265" i="29"/>
  <c r="AD264" i="29"/>
  <c r="AC264" i="29"/>
  <c r="X263" i="29"/>
  <c r="C263" i="29"/>
  <c r="AK265" i="28"/>
  <c r="AF265" i="28"/>
  <c r="AJ266" i="28"/>
  <c r="AI267" i="28"/>
  <c r="BJ135" i="4"/>
  <c r="D135" i="4" s="1"/>
  <c r="BK135" i="4"/>
  <c r="C135" i="4" s="1"/>
  <c r="D264" i="29" l="1"/>
  <c r="W264" i="29"/>
  <c r="G264" i="29" s="1"/>
  <c r="AD265" i="29"/>
  <c r="AB266" i="29"/>
  <c r="AC265" i="29"/>
  <c r="C264" i="29"/>
  <c r="X264" i="29"/>
  <c r="AK266" i="28"/>
  <c r="AF266" i="28"/>
  <c r="AJ267" i="28"/>
  <c r="AI268" i="28"/>
  <c r="BJ136" i="4"/>
  <c r="D136" i="4" s="1"/>
  <c r="BK136" i="4"/>
  <c r="C136" i="4" s="1"/>
  <c r="AB267" i="29" l="1"/>
  <c r="AC266" i="29"/>
  <c r="AD266" i="29"/>
  <c r="C265" i="29"/>
  <c r="X265" i="29"/>
  <c r="D265" i="29"/>
  <c r="W265" i="29"/>
  <c r="G265" i="29" s="1"/>
  <c r="AK267" i="28"/>
  <c r="AF267" i="28"/>
  <c r="AI269" i="28"/>
  <c r="AJ268" i="28"/>
  <c r="BK137" i="4"/>
  <c r="C137" i="4" s="1"/>
  <c r="BJ137" i="4"/>
  <c r="D137" i="4" s="1"/>
  <c r="C266" i="29" l="1"/>
  <c r="X266" i="29"/>
  <c r="D266" i="29"/>
  <c r="W266" i="29"/>
  <c r="AB268" i="29"/>
  <c r="AD267" i="29"/>
  <c r="AC267" i="29"/>
  <c r="AK268" i="28"/>
  <c r="AF268" i="28"/>
  <c r="AI270" i="28"/>
  <c r="AJ269" i="28"/>
  <c r="BK138" i="4"/>
  <c r="C138" i="4" s="1"/>
  <c r="BJ138" i="4"/>
  <c r="D138" i="4" s="1"/>
  <c r="D267" i="29" l="1"/>
  <c r="W267" i="29"/>
  <c r="C267" i="29"/>
  <c r="X267" i="29"/>
  <c r="AB269" i="29"/>
  <c r="AC268" i="29"/>
  <c r="AD268" i="29"/>
  <c r="AK269" i="28"/>
  <c r="AF269" i="28"/>
  <c r="AI271" i="28"/>
  <c r="AJ270" i="28"/>
  <c r="BK139" i="4"/>
  <c r="C139" i="4" s="1"/>
  <c r="BJ139" i="4"/>
  <c r="D139" i="4" s="1"/>
  <c r="X268" i="29" l="1"/>
  <c r="C268" i="29"/>
  <c r="D268" i="29"/>
  <c r="W268" i="29"/>
  <c r="AB270" i="29"/>
  <c r="AC269" i="29"/>
  <c r="AD269" i="29"/>
  <c r="AK270" i="28"/>
  <c r="AF270" i="28"/>
  <c r="AJ271" i="28"/>
  <c r="AI272" i="28"/>
  <c r="BK140" i="4"/>
  <c r="C140" i="4" s="1"/>
  <c r="BJ140" i="4"/>
  <c r="D140" i="4" s="1"/>
  <c r="X269" i="29" l="1"/>
  <c r="C269" i="29"/>
  <c r="D269" i="29"/>
  <c r="W269" i="29"/>
  <c r="AB271" i="29"/>
  <c r="AC270" i="29"/>
  <c r="AD270" i="29"/>
  <c r="AK271" i="28"/>
  <c r="AF271" i="28"/>
  <c r="AJ272" i="28"/>
  <c r="AI273" i="28"/>
  <c r="BK141" i="4"/>
  <c r="C141" i="4" s="1"/>
  <c r="BJ141" i="4"/>
  <c r="D141" i="4" s="1"/>
  <c r="C270" i="29" l="1"/>
  <c r="X270" i="29"/>
  <c r="D270" i="29"/>
  <c r="W270" i="29"/>
  <c r="AB272" i="29"/>
  <c r="AD271" i="29"/>
  <c r="AC271" i="29"/>
  <c r="AK272" i="28"/>
  <c r="AF272" i="28"/>
  <c r="AI274" i="28"/>
  <c r="AJ273" i="28"/>
  <c r="BJ142" i="4"/>
  <c r="D142" i="4" s="1"/>
  <c r="BK142" i="4"/>
  <c r="C142" i="4" s="1"/>
  <c r="W271" i="29" l="1"/>
  <c r="D271" i="29"/>
  <c r="C271" i="29"/>
  <c r="X271" i="29"/>
  <c r="AB273" i="29"/>
  <c r="AD272" i="29"/>
  <c r="AC272" i="29"/>
  <c r="AK273" i="28"/>
  <c r="AF273" i="28"/>
  <c r="AI275" i="28"/>
  <c r="AJ274" i="28"/>
  <c r="BJ143" i="4"/>
  <c r="D143" i="4" s="1"/>
  <c r="BK143" i="4"/>
  <c r="C143" i="4" s="1"/>
  <c r="D272" i="29" l="1"/>
  <c r="W272" i="29"/>
  <c r="X272" i="29"/>
  <c r="C272" i="29"/>
  <c r="AB274" i="29"/>
  <c r="AC273" i="29"/>
  <c r="AD273" i="29"/>
  <c r="AK274" i="28"/>
  <c r="AF274" i="28"/>
  <c r="AJ275" i="28"/>
  <c r="AI276" i="28"/>
  <c r="BK144" i="4"/>
  <c r="C144" i="4" s="1"/>
  <c r="BJ144" i="4"/>
  <c r="D144" i="4" s="1"/>
  <c r="C273" i="29" l="1"/>
  <c r="X273" i="29"/>
  <c r="W273" i="29"/>
  <c r="D273" i="29"/>
  <c r="AB275" i="29"/>
  <c r="AC274" i="29"/>
  <c r="AD274" i="29"/>
  <c r="AK275" i="28"/>
  <c r="AF275" i="28"/>
  <c r="AI277" i="28"/>
  <c r="AJ276" i="28"/>
  <c r="BJ145" i="4"/>
  <c r="D145" i="4" s="1"/>
  <c r="BK145" i="4"/>
  <c r="C145" i="4" s="1"/>
  <c r="X274" i="29" l="1"/>
  <c r="C274" i="29"/>
  <c r="D274" i="29"/>
  <c r="W274" i="29"/>
  <c r="AB276" i="29"/>
  <c r="AD275" i="29"/>
  <c r="AC275" i="29"/>
  <c r="AK276" i="28"/>
  <c r="AF276" i="28"/>
  <c r="AI278" i="28"/>
  <c r="AJ277" i="28"/>
  <c r="BK146" i="4"/>
  <c r="C146" i="4" s="1"/>
  <c r="BJ146" i="4"/>
  <c r="D146" i="4" s="1"/>
  <c r="D275" i="29" l="1"/>
  <c r="W275" i="29"/>
  <c r="C275" i="29"/>
  <c r="X275" i="29"/>
  <c r="AB277" i="29"/>
  <c r="AC276" i="29"/>
  <c r="W276" i="29" s="1"/>
  <c r="AD276" i="29"/>
  <c r="X276" i="29" s="1"/>
  <c r="AK277" i="28"/>
  <c r="AF277" i="28"/>
  <c r="AJ278" i="28"/>
  <c r="AI279" i="28"/>
  <c r="BK147" i="4"/>
  <c r="C147" i="4" s="1"/>
  <c r="BJ147" i="4"/>
  <c r="D147" i="4" s="1"/>
  <c r="AB278" i="29" l="1"/>
  <c r="AC277" i="29"/>
  <c r="W277" i="29" s="1"/>
  <c r="AD277" i="29"/>
  <c r="X277" i="29" s="1"/>
  <c r="AK278" i="28"/>
  <c r="AF278" i="28"/>
  <c r="AJ279" i="28"/>
  <c r="AI280" i="28"/>
  <c r="BK148" i="4"/>
  <c r="C148" i="4" s="1"/>
  <c r="BJ148" i="4"/>
  <c r="D148" i="4" s="1"/>
  <c r="AB279" i="29" l="1"/>
  <c r="AC278" i="29"/>
  <c r="W278" i="29" s="1"/>
  <c r="AD278" i="29"/>
  <c r="X278" i="29" s="1"/>
  <c r="AK279" i="28"/>
  <c r="AF279" i="28"/>
  <c r="AJ280" i="28"/>
  <c r="AI281" i="28"/>
  <c r="BK149" i="4"/>
  <c r="C149" i="4" s="1"/>
  <c r="BJ149" i="4"/>
  <c r="D149" i="4" s="1"/>
  <c r="AB280" i="29" l="1"/>
  <c r="AD279" i="29"/>
  <c r="X279" i="29" s="1"/>
  <c r="AC279" i="29"/>
  <c r="W279" i="29" s="1"/>
  <c r="AK280" i="28"/>
  <c r="AF280" i="28"/>
  <c r="AI282" i="28"/>
  <c r="AJ281" i="28"/>
  <c r="BK150" i="4"/>
  <c r="C150" i="4" s="1"/>
  <c r="BJ150" i="4"/>
  <c r="D150" i="4" s="1"/>
  <c r="AB281" i="29" l="1"/>
  <c r="AD280" i="29"/>
  <c r="X280" i="29" s="1"/>
  <c r="AC280" i="29"/>
  <c r="W280" i="29" s="1"/>
  <c r="AK281" i="28"/>
  <c r="AF281" i="28"/>
  <c r="AJ282" i="28"/>
  <c r="AI283" i="28"/>
  <c r="BJ151" i="4"/>
  <c r="D151" i="4" s="1"/>
  <c r="BK151" i="4"/>
  <c r="C151" i="4" s="1"/>
  <c r="AB282" i="29" l="1"/>
  <c r="AC281" i="29"/>
  <c r="W281" i="29" s="1"/>
  <c r="AD281" i="29"/>
  <c r="X281" i="29" s="1"/>
  <c r="AK282" i="28"/>
  <c r="AF282" i="28"/>
  <c r="AJ283" i="28"/>
  <c r="AI284" i="28"/>
  <c r="BK152" i="4"/>
  <c r="C152" i="4" s="1"/>
  <c r="BJ152" i="4"/>
  <c r="D152" i="4" s="1"/>
  <c r="AB283" i="29" l="1"/>
  <c r="AC282" i="29"/>
  <c r="W282" i="29" s="1"/>
  <c r="AD282" i="29"/>
  <c r="X282" i="29" s="1"/>
  <c r="AK283" i="28"/>
  <c r="AF283" i="28"/>
  <c r="AI285" i="28"/>
  <c r="AJ284" i="28"/>
  <c r="BK153" i="4"/>
  <c r="BJ153" i="4"/>
  <c r="D153" i="4" s="1"/>
  <c r="AB284" i="29" l="1"/>
  <c r="AD283" i="29"/>
  <c r="X283" i="29" s="1"/>
  <c r="AC283" i="29"/>
  <c r="W283" i="29" s="1"/>
  <c r="AK284" i="28"/>
  <c r="AF284" i="28"/>
  <c r="AI286" i="28"/>
  <c r="AJ285" i="28"/>
  <c r="BK154" i="4"/>
  <c r="C154" i="4" s="1"/>
  <c r="BJ154" i="4"/>
  <c r="D154" i="4" s="1"/>
  <c r="AB285" i="29" l="1"/>
  <c r="AD284" i="29"/>
  <c r="X284" i="29" s="1"/>
  <c r="AC284" i="29"/>
  <c r="W284" i="29" s="1"/>
  <c r="AK285" i="28"/>
  <c r="AF285" i="28"/>
  <c r="AI287" i="28"/>
  <c r="AJ286" i="28"/>
  <c r="BK155" i="4"/>
  <c r="C155" i="4" s="1"/>
  <c r="BJ155" i="4"/>
  <c r="D155" i="4" s="1"/>
  <c r="AB286" i="29" l="1"/>
  <c r="AC285" i="29"/>
  <c r="W285" i="29" s="1"/>
  <c r="AD285" i="29"/>
  <c r="X285" i="29" s="1"/>
  <c r="AK286" i="28"/>
  <c r="AF286" i="28"/>
  <c r="AJ287" i="28"/>
  <c r="AI288" i="28"/>
  <c r="BJ156" i="4"/>
  <c r="D156" i="4" s="1"/>
  <c r="BK156" i="4"/>
  <c r="C156" i="4" s="1"/>
  <c r="AB287" i="29" l="1"/>
  <c r="AC286" i="29"/>
  <c r="W286" i="29" s="1"/>
  <c r="AD286" i="29"/>
  <c r="X286" i="29" s="1"/>
  <c r="AK287" i="28"/>
  <c r="AF287" i="28"/>
  <c r="AJ288" i="28"/>
  <c r="AI289" i="28"/>
  <c r="BJ157" i="4"/>
  <c r="D157" i="4" s="1"/>
  <c r="BK157" i="4"/>
  <c r="C157" i="4" s="1"/>
  <c r="AB288" i="29" l="1"/>
  <c r="AC287" i="29"/>
  <c r="W287" i="29" s="1"/>
  <c r="AD287" i="29"/>
  <c r="X287" i="29" s="1"/>
  <c r="AK288" i="28"/>
  <c r="AF288" i="28"/>
  <c r="AI290" i="28"/>
  <c r="AJ289" i="28"/>
  <c r="BK158" i="4"/>
  <c r="BJ158" i="4"/>
  <c r="D158" i="4" s="1"/>
  <c r="AB289" i="29" l="1"/>
  <c r="AD288" i="29"/>
  <c r="X288" i="29" s="1"/>
  <c r="AC288" i="29"/>
  <c r="W288" i="29" s="1"/>
  <c r="AK289" i="28"/>
  <c r="AF289" i="28"/>
  <c r="AI291" i="28"/>
  <c r="AJ290" i="28"/>
  <c r="BJ159" i="4"/>
  <c r="D159" i="4" s="1"/>
  <c r="BK159" i="4"/>
  <c r="AC289" i="29" l="1"/>
  <c r="W289" i="29" s="1"/>
  <c r="AD289" i="29"/>
  <c r="X289" i="29" s="1"/>
  <c r="AK290" i="28"/>
  <c r="AF290" i="28"/>
  <c r="AJ291" i="28"/>
  <c r="AI292" i="28"/>
  <c r="BK160" i="4"/>
  <c r="BJ160" i="4"/>
  <c r="D160" i="4" s="1"/>
  <c r="AK291" i="28" l="1"/>
  <c r="AF291" i="28"/>
  <c r="AI293" i="28"/>
  <c r="AJ292" i="28"/>
  <c r="BK161" i="4"/>
  <c r="BJ161" i="4"/>
  <c r="D161" i="4" s="1"/>
  <c r="AK292" i="28" l="1"/>
  <c r="AF292" i="28"/>
  <c r="AI294" i="28"/>
  <c r="AJ293" i="28"/>
  <c r="BK162" i="4"/>
  <c r="BJ162" i="4"/>
  <c r="D162" i="4" s="1"/>
  <c r="AK293" i="28" l="1"/>
  <c r="AF293" i="28"/>
  <c r="AJ294" i="28"/>
  <c r="AI295" i="28"/>
  <c r="BK163" i="4"/>
  <c r="BJ163" i="4"/>
  <c r="D163" i="4" s="1"/>
  <c r="AK294" i="28" l="1"/>
  <c r="AF294" i="28"/>
  <c r="AJ295" i="28"/>
  <c r="AI296" i="28"/>
  <c r="BK164" i="4"/>
  <c r="C164" i="4" s="1"/>
  <c r="BJ164" i="4"/>
  <c r="D164" i="4" s="1"/>
  <c r="AK295" i="28" l="1"/>
  <c r="AF295" i="28"/>
  <c r="AJ296" i="28"/>
  <c r="AI297" i="28"/>
  <c r="BK165" i="4"/>
  <c r="C165" i="4" s="1"/>
  <c r="BJ165" i="4"/>
  <c r="D165" i="4" s="1"/>
  <c r="AK296" i="28" l="1"/>
  <c r="AF296" i="28"/>
  <c r="AI298" i="28"/>
  <c r="AJ297" i="28"/>
  <c r="BJ166" i="4"/>
  <c r="D166" i="4" s="1"/>
  <c r="BK166" i="4"/>
  <c r="C166" i="4" s="1"/>
  <c r="AK297" i="28" l="1"/>
  <c r="AF297" i="28"/>
  <c r="AJ298" i="28"/>
  <c r="AI299" i="28"/>
  <c r="BJ167" i="4"/>
  <c r="D167" i="4" s="1"/>
  <c r="BK167" i="4"/>
  <c r="C167" i="4" s="1"/>
  <c r="AK298" i="28" l="1"/>
  <c r="AF298" i="28"/>
  <c r="AJ299" i="28"/>
  <c r="AI300" i="28"/>
  <c r="BK168" i="4"/>
  <c r="C168" i="4" s="1"/>
  <c r="BJ168" i="4"/>
  <c r="D168" i="4" s="1"/>
  <c r="AK299" i="28" l="1"/>
  <c r="AF299" i="28"/>
  <c r="AI301" i="28"/>
  <c r="AJ300" i="28"/>
  <c r="BK169" i="4"/>
  <c r="C169" i="4" s="1"/>
  <c r="BJ169" i="4"/>
  <c r="D169" i="4" s="1"/>
  <c r="AK300" i="28" l="1"/>
  <c r="AF300" i="28"/>
  <c r="AI302" i="28"/>
  <c r="AJ301" i="28"/>
  <c r="BJ170" i="4"/>
  <c r="D170" i="4" s="1"/>
  <c r="BK170" i="4"/>
  <c r="C170" i="4" s="1"/>
  <c r="AK301" i="28" l="1"/>
  <c r="AF301" i="28"/>
  <c r="AI303" i="28"/>
  <c r="AJ302" i="28"/>
  <c r="BJ171" i="4"/>
  <c r="D171" i="4" s="1"/>
  <c r="BK171" i="4"/>
  <c r="C171" i="4" s="1"/>
  <c r="AK302" i="28" l="1"/>
  <c r="AF302" i="28"/>
  <c r="AJ303" i="28"/>
  <c r="AI304" i="28"/>
  <c r="BJ172" i="4"/>
  <c r="D172" i="4" s="1"/>
  <c r="BK172" i="4"/>
  <c r="C172" i="4" s="1"/>
  <c r="AK303" i="28" l="1"/>
  <c r="AF303" i="28"/>
  <c r="AI305" i="28"/>
  <c r="AJ304" i="28"/>
  <c r="BJ173" i="4"/>
  <c r="D173" i="4" s="1"/>
  <c r="BK173" i="4"/>
  <c r="C173" i="4" s="1"/>
  <c r="AK304" i="28" l="1"/>
  <c r="AF304" i="28"/>
  <c r="AI306" i="28"/>
  <c r="AJ305" i="28"/>
  <c r="BJ174" i="4"/>
  <c r="D174" i="4" s="1"/>
  <c r="BK174" i="4"/>
  <c r="C174" i="4" s="1"/>
  <c r="AK305" i="28" l="1"/>
  <c r="AF305" i="28"/>
  <c r="AI307" i="28"/>
  <c r="AJ306" i="28"/>
  <c r="BK175" i="4"/>
  <c r="C175" i="4" s="1"/>
  <c r="BJ175" i="4"/>
  <c r="D175" i="4" s="1"/>
  <c r="AK306" i="28" l="1"/>
  <c r="AF306" i="28"/>
  <c r="AJ307" i="28"/>
  <c r="AI308" i="28"/>
  <c r="BK176" i="4"/>
  <c r="C176" i="4" s="1"/>
  <c r="BJ176" i="4"/>
  <c r="D176" i="4" s="1"/>
  <c r="AK307" i="28" l="1"/>
  <c r="AF307" i="28"/>
  <c r="AI309" i="28"/>
  <c r="AJ308" i="28"/>
  <c r="BK177" i="4"/>
  <c r="C177" i="4" s="1"/>
  <c r="BJ177" i="4"/>
  <c r="D177" i="4" s="1"/>
  <c r="AK308" i="28" l="1"/>
  <c r="AF308" i="28"/>
  <c r="AI310" i="28"/>
  <c r="AJ309" i="28"/>
  <c r="BJ178" i="4"/>
  <c r="D178" i="4" s="1"/>
  <c r="BK178" i="4"/>
  <c r="C178" i="4" s="1"/>
  <c r="AK309" i="28" l="1"/>
  <c r="AF309" i="28"/>
  <c r="AJ310" i="28"/>
  <c r="AI311" i="28"/>
  <c r="BK179" i="4"/>
  <c r="C179" i="4" s="1"/>
  <c r="BJ179" i="4"/>
  <c r="D179" i="4" s="1"/>
  <c r="AK310" i="28" l="1"/>
  <c r="AF310" i="28"/>
  <c r="AJ311" i="28"/>
  <c r="AI312" i="28"/>
  <c r="BK180" i="4"/>
  <c r="C180" i="4" s="1"/>
  <c r="BJ180" i="4"/>
  <c r="D180" i="4" s="1"/>
  <c r="AK311" i="28" l="1"/>
  <c r="AF311" i="28"/>
  <c r="AJ312" i="28"/>
  <c r="AI313" i="28"/>
  <c r="BK181" i="4"/>
  <c r="C181" i="4" s="1"/>
  <c r="BJ181" i="4"/>
  <c r="D181" i="4" s="1"/>
  <c r="AK312" i="28" l="1"/>
  <c r="AF312" i="28"/>
  <c r="AI314" i="28"/>
  <c r="AJ313" i="28"/>
  <c r="BK182" i="4"/>
  <c r="C182" i="4" s="1"/>
  <c r="BJ182" i="4"/>
  <c r="D182" i="4" s="1"/>
  <c r="AK313" i="28" l="1"/>
  <c r="AF313" i="28"/>
  <c r="AJ314" i="28"/>
  <c r="AI315" i="28"/>
  <c r="BJ183" i="4"/>
  <c r="D183" i="4" s="1"/>
  <c r="BK183" i="4"/>
  <c r="C183" i="4" s="1"/>
  <c r="AK314" i="28" l="1"/>
  <c r="AF314" i="28"/>
  <c r="AJ315" i="28"/>
  <c r="AI316" i="28"/>
  <c r="BK184" i="4"/>
  <c r="C184" i="4" s="1"/>
  <c r="BJ184" i="4"/>
  <c r="D184" i="4" s="1"/>
  <c r="AK315" i="28" l="1"/>
  <c r="AF315" i="28"/>
  <c r="AI317" i="28"/>
  <c r="AJ316" i="28"/>
  <c r="BK185" i="4"/>
  <c r="C185" i="4" s="1"/>
  <c r="BJ185" i="4"/>
  <c r="D185" i="4" s="1"/>
  <c r="AK316" i="28" l="1"/>
  <c r="AF316" i="28"/>
  <c r="AI318" i="28"/>
  <c r="AJ317" i="28"/>
  <c r="BK186" i="4"/>
  <c r="C186" i="4" s="1"/>
  <c r="BJ186" i="4"/>
  <c r="D186" i="4" s="1"/>
  <c r="AK317" i="28" l="1"/>
  <c r="AF317" i="28"/>
  <c r="AI319" i="28"/>
  <c r="AJ318" i="28"/>
  <c r="BK187" i="4"/>
  <c r="C187" i="4" s="1"/>
  <c r="BJ187" i="4"/>
  <c r="D187" i="4" s="1"/>
  <c r="AK318" i="28" l="1"/>
  <c r="AF318" i="28"/>
  <c r="AJ319" i="28"/>
  <c r="AI320" i="28"/>
  <c r="BK188" i="4"/>
  <c r="C188" i="4" s="1"/>
  <c r="BJ188" i="4"/>
  <c r="D188" i="4" s="1"/>
  <c r="AK319" i="28" l="1"/>
  <c r="AF319" i="28"/>
  <c r="AJ320" i="28"/>
  <c r="AI321" i="28"/>
  <c r="BJ189" i="4"/>
  <c r="D189" i="4" s="1"/>
  <c r="BK189" i="4"/>
  <c r="C189" i="4" s="1"/>
  <c r="AK320" i="28" l="1"/>
  <c r="AF320" i="28"/>
  <c r="AI322" i="28"/>
  <c r="AJ321" i="28"/>
  <c r="BJ190" i="4"/>
  <c r="D190" i="4" s="1"/>
  <c r="BK190" i="4"/>
  <c r="C190" i="4" s="1"/>
  <c r="AK321" i="28" l="1"/>
  <c r="AF321" i="28"/>
  <c r="AI323" i="28"/>
  <c r="AJ322" i="28"/>
  <c r="BJ191" i="4"/>
  <c r="D191" i="4" s="1"/>
  <c r="BK191" i="4"/>
  <c r="AK322" i="28" l="1"/>
  <c r="AF322" i="28"/>
  <c r="AJ323" i="28"/>
  <c r="AI324" i="28"/>
  <c r="BK192" i="4"/>
  <c r="C192" i="4" s="1"/>
  <c r="BJ192" i="4"/>
  <c r="D192" i="4" s="1"/>
  <c r="AK323" i="28" l="1"/>
  <c r="AF323" i="28"/>
  <c r="AI325" i="28"/>
  <c r="AJ324" i="28"/>
  <c r="BK193" i="4"/>
  <c r="C193" i="4" s="1"/>
  <c r="BJ193" i="4"/>
  <c r="D193" i="4" s="1"/>
  <c r="AK324" i="28" l="1"/>
  <c r="AF324" i="28"/>
  <c r="AI326" i="28"/>
  <c r="AJ325" i="28"/>
  <c r="BK194" i="4"/>
  <c r="C194" i="4" s="1"/>
  <c r="BJ194" i="4"/>
  <c r="D194" i="4" s="1"/>
  <c r="AK325" i="28" l="1"/>
  <c r="AF325" i="28"/>
  <c r="AJ326" i="28"/>
  <c r="AI327" i="28"/>
  <c r="BK195" i="4"/>
  <c r="C195" i="4" s="1"/>
  <c r="BJ195" i="4"/>
  <c r="D195" i="4" s="1"/>
  <c r="AK326" i="28" l="1"/>
  <c r="AF326" i="28"/>
  <c r="AJ327" i="28"/>
  <c r="AI328" i="28"/>
  <c r="BK196" i="4"/>
  <c r="BJ196" i="4"/>
  <c r="D196" i="4" s="1"/>
  <c r="AK327" i="28" l="1"/>
  <c r="AF327" i="28"/>
  <c r="AJ328" i="28"/>
  <c r="AI329" i="28"/>
  <c r="BK197" i="4"/>
  <c r="BJ197" i="4"/>
  <c r="D197" i="4" s="1"/>
  <c r="AK328" i="28" l="1"/>
  <c r="AF328" i="28"/>
  <c r="AI330" i="28"/>
  <c r="AJ329" i="28"/>
  <c r="BJ198" i="4"/>
  <c r="D198" i="4" s="1"/>
  <c r="BK198" i="4"/>
  <c r="AK329" i="28" l="1"/>
  <c r="AF329" i="28"/>
  <c r="AJ330" i="28"/>
  <c r="AI331" i="28"/>
  <c r="BJ199" i="4"/>
  <c r="D199" i="4" s="1"/>
  <c r="BK199" i="4"/>
  <c r="AK330" i="28" l="1"/>
  <c r="AF330" i="28"/>
  <c r="AJ331" i="28"/>
  <c r="AI332" i="28"/>
  <c r="BK200" i="4"/>
  <c r="BJ200" i="4"/>
  <c r="D200" i="4" s="1"/>
  <c r="AK331" i="28" l="1"/>
  <c r="AF331" i="28"/>
  <c r="AI333" i="28"/>
  <c r="AJ332" i="28"/>
  <c r="BK201" i="4"/>
  <c r="BJ201" i="4"/>
  <c r="D201" i="4" s="1"/>
  <c r="AK332" i="28" l="1"/>
  <c r="AF332" i="28"/>
  <c r="AI334" i="28"/>
  <c r="AJ333" i="28"/>
  <c r="BK202" i="4"/>
  <c r="C202" i="4" s="1"/>
  <c r="BJ202" i="4"/>
  <c r="D202" i="4" s="1"/>
  <c r="AK333" i="28" l="1"/>
  <c r="AF333" i="28"/>
  <c r="AI335" i="28"/>
  <c r="AJ334" i="28"/>
  <c r="BJ203" i="4"/>
  <c r="D203" i="4" s="1"/>
  <c r="BK203" i="4"/>
  <c r="C203" i="4" s="1"/>
  <c r="AK334" i="28" l="1"/>
  <c r="AF334" i="28"/>
  <c r="AJ335" i="28"/>
  <c r="AI336" i="28"/>
  <c r="BK204" i="4"/>
  <c r="C204" i="4" s="1"/>
  <c r="BJ204" i="4"/>
  <c r="D204" i="4" s="1"/>
  <c r="AK335" i="28" l="1"/>
  <c r="AF335" i="28"/>
  <c r="AI337" i="28"/>
  <c r="AJ336" i="28"/>
  <c r="BK205" i="4"/>
  <c r="C205" i="4" s="1"/>
  <c r="BJ205" i="4"/>
  <c r="D205" i="4" s="1"/>
  <c r="AK336" i="28" l="1"/>
  <c r="AF336" i="28"/>
  <c r="AI338" i="28"/>
  <c r="AJ337" i="28"/>
  <c r="BK206" i="4"/>
  <c r="C206" i="4" s="1"/>
  <c r="BJ206" i="4"/>
  <c r="D206" i="4" s="1"/>
  <c r="AK337" i="28" l="1"/>
  <c r="AF337" i="28"/>
  <c r="AI339" i="28"/>
  <c r="AJ338" i="28"/>
  <c r="BK207" i="4"/>
  <c r="C207" i="4" s="1"/>
  <c r="BJ207" i="4"/>
  <c r="D207" i="4" s="1"/>
  <c r="AK338" i="28" l="1"/>
  <c r="AF338" i="28"/>
  <c r="AJ339" i="28"/>
  <c r="AI340" i="28"/>
  <c r="BK208" i="4"/>
  <c r="C208" i="4" s="1"/>
  <c r="BJ208" i="4"/>
  <c r="D208" i="4" s="1"/>
  <c r="AK339" i="28" l="1"/>
  <c r="AF339" i="28"/>
  <c r="AI341" i="28"/>
  <c r="AJ340" i="28"/>
  <c r="BJ209" i="4"/>
  <c r="D209" i="4" s="1"/>
  <c r="BK209" i="4"/>
  <c r="C209" i="4" s="1"/>
  <c r="AK340" i="28" l="1"/>
  <c r="AF340" i="28"/>
  <c r="AI342" i="28"/>
  <c r="AJ341" i="28"/>
  <c r="BK210" i="4"/>
  <c r="C210" i="4" s="1"/>
  <c r="BJ210" i="4"/>
  <c r="D210" i="4" s="1"/>
  <c r="AK341" i="28" l="1"/>
  <c r="AF341" i="28"/>
  <c r="AJ342" i="28"/>
  <c r="AI343" i="28"/>
  <c r="BJ211" i="4"/>
  <c r="D211" i="4" s="1"/>
  <c r="BK211" i="4"/>
  <c r="C211" i="4" s="1"/>
  <c r="AK342" i="28" l="1"/>
  <c r="AF342" i="28"/>
  <c r="AJ343" i="28"/>
  <c r="AI344" i="28"/>
  <c r="BJ212" i="4"/>
  <c r="D212" i="4" s="1"/>
  <c r="BK212" i="4"/>
  <c r="C212" i="4" s="1"/>
  <c r="AK343" i="28" l="1"/>
  <c r="AF343" i="28"/>
  <c r="AJ344" i="28"/>
  <c r="AI345" i="28"/>
  <c r="BJ213" i="4"/>
  <c r="D213" i="4" s="1"/>
  <c r="BK213" i="4"/>
  <c r="C213" i="4" s="1"/>
  <c r="AK344" i="28" l="1"/>
  <c r="AF344" i="28"/>
  <c r="AI346" i="28"/>
  <c r="AJ345" i="28"/>
  <c r="BK214" i="4"/>
  <c r="C214" i="4" s="1"/>
  <c r="BJ214" i="4"/>
  <c r="D214" i="4" s="1"/>
  <c r="AK345" i="28" l="1"/>
  <c r="AF345" i="28"/>
  <c r="AJ346" i="28"/>
  <c r="AI347" i="28"/>
  <c r="BJ215" i="4"/>
  <c r="D215" i="4" s="1"/>
  <c r="BK215" i="4"/>
  <c r="C215" i="4" s="1"/>
  <c r="AK346" i="28" l="1"/>
  <c r="AF346" i="28"/>
  <c r="AJ347" i="28"/>
  <c r="AI348" i="28"/>
  <c r="BK216" i="4"/>
  <c r="C216" i="4" s="1"/>
  <c r="BJ216" i="4"/>
  <c r="D216" i="4" s="1"/>
  <c r="AK347" i="28" l="1"/>
  <c r="AF347" i="28"/>
  <c r="AI349" i="28"/>
  <c r="AJ348" i="28"/>
  <c r="BK217" i="4"/>
  <c r="C217" i="4" s="1"/>
  <c r="BJ217" i="4"/>
  <c r="D217" i="4" s="1"/>
  <c r="AK348" i="28" l="1"/>
  <c r="AF348" i="28"/>
  <c r="AI350" i="28"/>
  <c r="AJ349" i="28"/>
  <c r="BK218" i="4"/>
  <c r="C218" i="4" s="1"/>
  <c r="BJ218" i="4"/>
  <c r="D218" i="4" s="1"/>
  <c r="AK349" i="28" l="1"/>
  <c r="AF349" i="28"/>
  <c r="AI351" i="28"/>
  <c r="AJ350" i="28"/>
  <c r="BJ219" i="4"/>
  <c r="D219" i="4" s="1"/>
  <c r="BK219" i="4"/>
  <c r="C219" i="4" s="1"/>
  <c r="AK350" i="28" l="1"/>
  <c r="AF350" i="28"/>
  <c r="AJ351" i="28"/>
  <c r="AI352" i="28"/>
  <c r="BK220" i="4"/>
  <c r="C220" i="4" s="1"/>
  <c r="BJ220" i="4"/>
  <c r="D220" i="4" s="1"/>
  <c r="AK351" i="28" l="1"/>
  <c r="AF351" i="28"/>
  <c r="AI353" i="28"/>
  <c r="AJ352" i="28"/>
  <c r="BK221" i="4"/>
  <c r="C221" i="4" s="1"/>
  <c r="BJ221" i="4"/>
  <c r="D221" i="4" s="1"/>
  <c r="AK352" i="28" l="1"/>
  <c r="AF352" i="28"/>
  <c r="AI354" i="28"/>
  <c r="AJ353" i="28"/>
  <c r="BJ222" i="4"/>
  <c r="D222" i="4" s="1"/>
  <c r="BK222" i="4"/>
  <c r="C222" i="4" s="1"/>
  <c r="AK353" i="28" l="1"/>
  <c r="AF353" i="28"/>
  <c r="AI355" i="28"/>
  <c r="AJ354" i="28"/>
  <c r="BK223" i="4"/>
  <c r="C223" i="4" s="1"/>
  <c r="BJ223" i="4"/>
  <c r="D223" i="4" s="1"/>
  <c r="AK354" i="28" l="1"/>
  <c r="AF354" i="28"/>
  <c r="AJ355" i="28"/>
  <c r="AI356" i="28"/>
  <c r="BJ224" i="4"/>
  <c r="D224" i="4" s="1"/>
  <c r="BK224" i="4"/>
  <c r="C224" i="4" s="1"/>
  <c r="AK355" i="28" l="1"/>
  <c r="AF355" i="28"/>
  <c r="AI357" i="28"/>
  <c r="AJ356" i="28"/>
  <c r="BK225" i="4"/>
  <c r="C225" i="4" s="1"/>
  <c r="BJ225" i="4"/>
  <c r="D225" i="4" s="1"/>
  <c r="AK356" i="28" l="1"/>
  <c r="AF356" i="28"/>
  <c r="AI358" i="28"/>
  <c r="AJ357" i="28"/>
  <c r="BJ226" i="4"/>
  <c r="D226" i="4" s="1"/>
  <c r="BK226" i="4"/>
  <c r="C226" i="4" s="1"/>
  <c r="AK357" i="28" l="1"/>
  <c r="AF357" i="28"/>
  <c r="AJ358" i="28"/>
  <c r="AI359" i="28"/>
  <c r="BK227" i="4"/>
  <c r="C227" i="4" s="1"/>
  <c r="BJ227" i="4"/>
  <c r="D227" i="4" s="1"/>
  <c r="AK358" i="28" l="1"/>
  <c r="AF358" i="28"/>
  <c r="AJ359" i="28"/>
  <c r="AI360" i="28"/>
  <c r="BJ228" i="4"/>
  <c r="D228" i="4" s="1"/>
  <c r="BK228" i="4"/>
  <c r="C228" i="4" s="1"/>
  <c r="AK359" i="28" l="1"/>
  <c r="AF359" i="28"/>
  <c r="AJ360" i="28"/>
  <c r="AI361" i="28"/>
  <c r="BK229" i="4"/>
  <c r="BJ229" i="4"/>
  <c r="D229" i="4" s="1"/>
  <c r="AK360" i="28" l="1"/>
  <c r="AF360" i="28"/>
  <c r="AI362" i="28"/>
  <c r="AJ361" i="28"/>
  <c r="BJ230" i="4"/>
  <c r="D230" i="4" s="1"/>
  <c r="BK230" i="4"/>
  <c r="C230" i="4" s="1"/>
  <c r="AK361" i="28" l="1"/>
  <c r="AF361" i="28"/>
  <c r="AJ362" i="28"/>
  <c r="AI363" i="28"/>
  <c r="BJ231" i="4"/>
  <c r="D231" i="4" s="1"/>
  <c r="BK231" i="4"/>
  <c r="C231" i="4" s="1"/>
  <c r="AK362" i="28" l="1"/>
  <c r="AF362" i="28"/>
  <c r="AJ363" i="28"/>
  <c r="AI364" i="28"/>
  <c r="BK232" i="4"/>
  <c r="C232" i="4" s="1"/>
  <c r="BJ232" i="4"/>
  <c r="D232" i="4" s="1"/>
  <c r="AK363" i="28" l="1"/>
  <c r="AF363" i="28"/>
  <c r="AI365" i="28"/>
  <c r="AJ364" i="28"/>
  <c r="BK233" i="4"/>
  <c r="C233" i="4" s="1"/>
  <c r="BJ233" i="4"/>
  <c r="D233" i="4" s="1"/>
  <c r="AK364" i="28" l="1"/>
  <c r="AF364" i="28"/>
  <c r="AI366" i="28"/>
  <c r="AJ365" i="28"/>
  <c r="BK234" i="4"/>
  <c r="BJ234" i="4"/>
  <c r="D234" i="4" s="1"/>
  <c r="AK365" i="28" l="1"/>
  <c r="AF365" i="28"/>
  <c r="AI367" i="28"/>
  <c r="AJ366" i="28"/>
  <c r="BK235" i="4"/>
  <c r="BJ235" i="4"/>
  <c r="D235" i="4" s="1"/>
  <c r="AK366" i="28" l="1"/>
  <c r="AF366" i="28"/>
  <c r="AJ367" i="28"/>
  <c r="AI368" i="28"/>
  <c r="BK236" i="4"/>
  <c r="BJ236" i="4"/>
  <c r="D236" i="4" s="1"/>
  <c r="AK367" i="28" l="1"/>
  <c r="AF367" i="28"/>
  <c r="AI369" i="28"/>
  <c r="AJ368" i="28"/>
  <c r="BK237" i="4"/>
  <c r="BJ237" i="4"/>
  <c r="D237" i="4" s="1"/>
  <c r="AK368" i="28" l="1"/>
  <c r="AF368" i="28"/>
  <c r="AI370" i="28"/>
  <c r="AJ369" i="28"/>
  <c r="BJ238" i="4"/>
  <c r="D238" i="4" s="1"/>
  <c r="BK238" i="4"/>
  <c r="AK369" i="28" l="1"/>
  <c r="AF369" i="28"/>
  <c r="AI371" i="28"/>
  <c r="AJ370" i="28"/>
  <c r="BJ239" i="4"/>
  <c r="D239" i="4" s="1"/>
  <c r="BK239" i="4"/>
  <c r="AK370" i="28" l="1"/>
  <c r="AF370" i="28"/>
  <c r="AJ371" i="28"/>
  <c r="AI372" i="28"/>
  <c r="BJ240" i="4"/>
  <c r="D240" i="4" s="1"/>
  <c r="BK240" i="4"/>
  <c r="C240" i="4" s="1"/>
  <c r="AK371" i="28" l="1"/>
  <c r="AF371" i="28"/>
  <c r="AI373" i="28"/>
  <c r="AJ372" i="28"/>
  <c r="AK372" i="28" s="1"/>
  <c r="BK241" i="4"/>
  <c r="C241" i="4" s="1"/>
  <c r="BJ241" i="4"/>
  <c r="D241" i="4" s="1"/>
  <c r="AF372" i="28" l="1"/>
  <c r="AI374" i="28"/>
  <c r="AJ373" i="28"/>
  <c r="BK242" i="4"/>
  <c r="C242" i="4" s="1"/>
  <c r="BJ242" i="4"/>
  <c r="D242" i="4" s="1"/>
  <c r="AK373" i="28" l="1"/>
  <c r="AF373" i="28"/>
  <c r="AJ374" i="28"/>
  <c r="AI375" i="28"/>
  <c r="BK243" i="4"/>
  <c r="C243" i="4" s="1"/>
  <c r="BJ243" i="4"/>
  <c r="D243" i="4" s="1"/>
  <c r="AK374" i="28" l="1"/>
  <c r="AF374" i="28"/>
  <c r="AJ375" i="28"/>
  <c r="AI376" i="28"/>
  <c r="BJ244" i="4"/>
  <c r="D244" i="4" s="1"/>
  <c r="BK244" i="4"/>
  <c r="C244" i="4" s="1"/>
  <c r="AK375" i="28" l="1"/>
  <c r="AF375" i="28"/>
  <c r="AJ376" i="28"/>
  <c r="AI377" i="28"/>
  <c r="BK245" i="4"/>
  <c r="C245" i="4" s="1"/>
  <c r="BJ245" i="4"/>
  <c r="D245" i="4" s="1"/>
  <c r="AK376" i="28" l="1"/>
  <c r="AF376" i="28"/>
  <c r="AI378" i="28"/>
  <c r="AJ377" i="28"/>
  <c r="BJ246" i="4"/>
  <c r="D246" i="4" s="1"/>
  <c r="BK246" i="4"/>
  <c r="C246" i="4" s="1"/>
  <c r="AK377" i="28" l="1"/>
  <c r="AF377" i="28"/>
  <c r="AJ378" i="28"/>
  <c r="AI379" i="28"/>
  <c r="BJ247" i="4"/>
  <c r="D247" i="4" s="1"/>
  <c r="BK247" i="4"/>
  <c r="C247" i="4" s="1"/>
  <c r="AK378" i="28" l="1"/>
  <c r="AF378" i="28"/>
  <c r="AJ379" i="28"/>
  <c r="AI380" i="28"/>
  <c r="BJ248" i="4"/>
  <c r="D248" i="4" s="1"/>
  <c r="BK248" i="4"/>
  <c r="C248" i="4" s="1"/>
  <c r="AK379" i="28" l="1"/>
  <c r="AF379" i="28"/>
  <c r="AI381" i="28"/>
  <c r="AJ380" i="28"/>
  <c r="BJ249" i="4"/>
  <c r="D249" i="4" s="1"/>
  <c r="BK249" i="4"/>
  <c r="C249" i="4" s="1"/>
  <c r="AK380" i="28" l="1"/>
  <c r="AF380" i="28"/>
  <c r="AI382" i="28"/>
  <c r="AJ381" i="28"/>
  <c r="BK250" i="4"/>
  <c r="C250" i="4" s="1"/>
  <c r="BJ250" i="4"/>
  <c r="D250" i="4" s="1"/>
  <c r="AK381" i="28" l="1"/>
  <c r="AF381" i="28"/>
  <c r="AI383" i="28"/>
  <c r="AJ382" i="28"/>
  <c r="BK251" i="4"/>
  <c r="C251" i="4" s="1"/>
  <c r="BJ251" i="4"/>
  <c r="D251" i="4" s="1"/>
  <c r="AK382" i="28" l="1"/>
  <c r="AF382" i="28"/>
  <c r="AJ383" i="28"/>
  <c r="AI384" i="28"/>
  <c r="BK252" i="4"/>
  <c r="C252" i="4" s="1"/>
  <c r="BJ252" i="4"/>
  <c r="D252" i="4" s="1"/>
  <c r="AK383" i="28" l="1"/>
  <c r="AF383" i="28"/>
  <c r="AI385" i="28"/>
  <c r="AJ384" i="28"/>
  <c r="BK253" i="4"/>
  <c r="C253" i="4" s="1"/>
  <c r="BJ253" i="4"/>
  <c r="D253" i="4" s="1"/>
  <c r="AK384" i="28" l="1"/>
  <c r="AF384" i="28"/>
  <c r="AI386" i="28"/>
  <c r="AJ385" i="28"/>
  <c r="BK254" i="4"/>
  <c r="C254" i="4" s="1"/>
  <c r="BJ254" i="4"/>
  <c r="D254" i="4" s="1"/>
  <c r="AK385" i="28" l="1"/>
  <c r="AF385" i="28"/>
  <c r="AI387" i="28"/>
  <c r="AJ386" i="28"/>
  <c r="BJ255" i="4"/>
  <c r="D255" i="4" s="1"/>
  <c r="BK255" i="4"/>
  <c r="C255" i="4" s="1"/>
  <c r="AK386" i="28" l="1"/>
  <c r="AF386" i="28"/>
  <c r="AJ387" i="28"/>
  <c r="AI388" i="28"/>
  <c r="BJ256" i="4"/>
  <c r="D256" i="4" s="1"/>
  <c r="BK256" i="4"/>
  <c r="C256" i="4" s="1"/>
  <c r="AK387" i="28" l="1"/>
  <c r="AF387" i="28"/>
  <c r="AI389" i="28"/>
  <c r="AJ388" i="28"/>
  <c r="BK257" i="4"/>
  <c r="C257" i="4" s="1"/>
  <c r="BJ257" i="4"/>
  <c r="D257" i="4" s="1"/>
  <c r="AK388" i="28" l="1"/>
  <c r="AF388" i="28"/>
  <c r="AI390" i="28"/>
  <c r="AJ389" i="28"/>
  <c r="BK258" i="4"/>
  <c r="C258" i="4" s="1"/>
  <c r="BJ258" i="4"/>
  <c r="D258" i="4" s="1"/>
  <c r="AK389" i="28" l="1"/>
  <c r="AF389" i="28"/>
  <c r="AJ390" i="28"/>
  <c r="AI391" i="28"/>
  <c r="BK259" i="4"/>
  <c r="C259" i="4" s="1"/>
  <c r="BJ259" i="4"/>
  <c r="D259" i="4" s="1"/>
  <c r="AK390" i="28" l="1"/>
  <c r="AF390" i="28"/>
  <c r="AJ391" i="28"/>
  <c r="AI392" i="28"/>
  <c r="BK260" i="4"/>
  <c r="C260" i="4" s="1"/>
  <c r="BJ260" i="4"/>
  <c r="D260" i="4" s="1"/>
  <c r="AK391" i="28" l="1"/>
  <c r="AF391" i="28"/>
  <c r="AJ392" i="28"/>
  <c r="AI393" i="28"/>
  <c r="BJ261" i="4"/>
  <c r="D261" i="4" s="1"/>
  <c r="BK261" i="4"/>
  <c r="C261" i="4" s="1"/>
  <c r="AK392" i="28" l="1"/>
  <c r="AF392" i="28"/>
  <c r="AI394" i="28"/>
  <c r="AJ393" i="28"/>
  <c r="BJ262" i="4"/>
  <c r="D262" i="4" s="1"/>
  <c r="BK262" i="4"/>
  <c r="C262" i="4" s="1"/>
  <c r="AK393" i="28" l="1"/>
  <c r="AF393" i="28"/>
  <c r="AJ394" i="28"/>
  <c r="AI395" i="28"/>
  <c r="BJ263" i="4"/>
  <c r="D263" i="4" s="1"/>
  <c r="BK263" i="4"/>
  <c r="C263" i="4" s="1"/>
  <c r="AK394" i="28" l="1"/>
  <c r="AF394" i="28"/>
  <c r="AJ395" i="28"/>
  <c r="AI396" i="28"/>
  <c r="BK264" i="4"/>
  <c r="C264" i="4" s="1"/>
  <c r="BJ264" i="4"/>
  <c r="D264" i="4" s="1"/>
  <c r="AK395" i="28" l="1"/>
  <c r="AF395" i="28"/>
  <c r="AI397" i="28"/>
  <c r="AJ396" i="28"/>
  <c r="BK265" i="4"/>
  <c r="C265" i="4" s="1"/>
  <c r="BJ265" i="4"/>
  <c r="D265" i="4" s="1"/>
  <c r="AK396" i="28" l="1"/>
  <c r="AF396" i="28"/>
  <c r="AI398" i="28"/>
  <c r="AJ397" i="28"/>
  <c r="BJ266" i="4"/>
  <c r="D266" i="4" s="1"/>
  <c r="BK266" i="4"/>
  <c r="C266" i="4" s="1"/>
  <c r="AK397" i="28" l="1"/>
  <c r="AF397" i="28"/>
  <c r="AI399" i="28"/>
  <c r="AJ398" i="28"/>
  <c r="BK267" i="4"/>
  <c r="BJ267" i="4"/>
  <c r="D267" i="4" s="1"/>
  <c r="AK398" i="28" l="1"/>
  <c r="AF398" i="28"/>
  <c r="AJ399" i="28"/>
  <c r="AI400" i="28"/>
  <c r="BK268" i="4"/>
  <c r="C268" i="4" s="1"/>
  <c r="BJ268" i="4"/>
  <c r="D268" i="4" s="1"/>
  <c r="AK399" i="28" l="1"/>
  <c r="AF399" i="28"/>
  <c r="AJ400" i="28"/>
  <c r="AI401" i="28"/>
  <c r="BK269" i="4"/>
  <c r="C269" i="4" s="1"/>
  <c r="BJ269" i="4"/>
  <c r="D269" i="4" s="1"/>
  <c r="AK400" i="28" l="1"/>
  <c r="AF400" i="28"/>
  <c r="AI402" i="28"/>
  <c r="AJ401" i="28"/>
  <c r="BK270" i="4"/>
  <c r="C270" i="4" s="1"/>
  <c r="BJ270" i="4"/>
  <c r="D270" i="4" s="1"/>
  <c r="AK401" i="28" l="1"/>
  <c r="AF401" i="28"/>
  <c r="AI403" i="28"/>
  <c r="AJ402" i="28"/>
  <c r="BJ271" i="4"/>
  <c r="D271" i="4" s="1"/>
  <c r="BK271" i="4"/>
  <c r="C271" i="4" s="1"/>
  <c r="AK402" i="28" l="1"/>
  <c r="AF402" i="28"/>
  <c r="AJ403" i="28"/>
  <c r="AI404" i="28"/>
  <c r="BJ272" i="4"/>
  <c r="D272" i="4" s="1"/>
  <c r="BK272" i="4"/>
  <c r="AK403" i="28" l="1"/>
  <c r="AF403" i="28"/>
  <c r="AI405" i="28"/>
  <c r="AJ404" i="28"/>
  <c r="BK273" i="4"/>
  <c r="BJ273" i="4"/>
  <c r="D273" i="4" s="1"/>
  <c r="AK404" i="28" l="1"/>
  <c r="AF404" i="28"/>
  <c r="AI406" i="28"/>
  <c r="AJ405" i="28"/>
  <c r="BK274" i="4"/>
  <c r="BJ274" i="4"/>
  <c r="D274" i="4" s="1"/>
  <c r="AK405" i="28" l="1"/>
  <c r="AF405" i="28"/>
  <c r="AJ406" i="28"/>
  <c r="AI407" i="28"/>
  <c r="BK275" i="4"/>
  <c r="BJ275" i="4"/>
  <c r="D275" i="4" s="1"/>
  <c r="AK406" i="28" l="1"/>
  <c r="AF406" i="28"/>
  <c r="AJ407" i="28"/>
  <c r="AI408" i="28"/>
  <c r="BK276" i="4"/>
  <c r="BJ276" i="4"/>
  <c r="D276" i="4" s="1"/>
  <c r="AK407" i="28" l="1"/>
  <c r="AF407" i="28"/>
  <c r="AJ408" i="28"/>
  <c r="AI409" i="28"/>
  <c r="BK277" i="4"/>
  <c r="BJ277" i="4"/>
  <c r="D277" i="4" s="1"/>
  <c r="AK408" i="28" l="1"/>
  <c r="AF408" i="28"/>
  <c r="AI410" i="28"/>
  <c r="AJ409" i="28"/>
  <c r="BK278" i="4"/>
  <c r="C278" i="4" s="1"/>
  <c r="BJ278" i="4"/>
  <c r="D278" i="4" s="1"/>
  <c r="AK409" i="28" l="1"/>
  <c r="AF409" i="28"/>
  <c r="AJ410" i="28"/>
  <c r="AI411" i="28"/>
  <c r="BJ279" i="4"/>
  <c r="D279" i="4" s="1"/>
  <c r="BK279" i="4"/>
  <c r="C279" i="4" s="1"/>
  <c r="AK410" i="28" l="1"/>
  <c r="AF410" i="28"/>
  <c r="AJ411" i="28"/>
  <c r="AI412" i="28"/>
  <c r="BK280" i="4"/>
  <c r="C280" i="4" s="1"/>
  <c r="BJ280" i="4"/>
  <c r="D280" i="4" s="1"/>
  <c r="AK411" i="28" l="1"/>
  <c r="AF411" i="28"/>
  <c r="AI413" i="28"/>
  <c r="AJ412" i="28"/>
  <c r="BK281" i="4"/>
  <c r="C281" i="4" s="1"/>
  <c r="BJ281" i="4"/>
  <c r="D281" i="4" s="1"/>
  <c r="AK412" i="28" l="1"/>
  <c r="AF412" i="28"/>
  <c r="AI414" i="28"/>
  <c r="AJ413" i="28"/>
  <c r="BK282" i="4"/>
  <c r="C282" i="4" s="1"/>
  <c r="BJ282" i="4"/>
  <c r="D282" i="4" s="1"/>
  <c r="AK413" i="28" l="1"/>
  <c r="AF413" i="28"/>
  <c r="AI415" i="28"/>
  <c r="AJ414" i="28"/>
  <c r="BK283" i="4"/>
  <c r="C283" i="4" s="1"/>
  <c r="BJ283" i="4"/>
  <c r="D283" i="4" s="1"/>
  <c r="AK414" i="28" l="1"/>
  <c r="AF414" i="28"/>
  <c r="AJ415" i="28"/>
  <c r="AI416" i="28"/>
  <c r="BJ284" i="4"/>
  <c r="D284" i="4" s="1"/>
  <c r="BK284" i="4"/>
  <c r="C284" i="4" s="1"/>
  <c r="AK415" i="28" l="1"/>
  <c r="AF415" i="28"/>
  <c r="AI417" i="28"/>
  <c r="AJ416" i="28"/>
  <c r="BK285" i="4"/>
  <c r="C285" i="4" s="1"/>
  <c r="BJ285" i="4"/>
  <c r="D285" i="4" s="1"/>
  <c r="AK416" i="28" l="1"/>
  <c r="AF416" i="28"/>
  <c r="AI418" i="28"/>
  <c r="AJ417" i="28"/>
  <c r="BJ286" i="4"/>
  <c r="D286" i="4" s="1"/>
  <c r="BK286" i="4"/>
  <c r="C286" i="4" s="1"/>
  <c r="AK417" i="28" l="1"/>
  <c r="AF417" i="28"/>
  <c r="AI419" i="28"/>
  <c r="AJ418" i="28"/>
  <c r="BJ287" i="4"/>
  <c r="D287" i="4" s="1"/>
  <c r="BK287" i="4"/>
  <c r="C287" i="4" s="1"/>
  <c r="AK418" i="28" l="1"/>
  <c r="AF418" i="28"/>
  <c r="AJ419" i="28"/>
  <c r="AI420" i="28"/>
  <c r="BK288" i="4"/>
  <c r="C288" i="4" s="1"/>
  <c r="BJ288" i="4"/>
  <c r="D288" i="4" s="1"/>
  <c r="AK419" i="28" l="1"/>
  <c r="AF419" i="28"/>
  <c r="AI421" i="28"/>
  <c r="AJ420" i="28"/>
  <c r="BK289" i="4"/>
  <c r="C289" i="4" s="1"/>
  <c r="BJ289" i="4"/>
  <c r="D289" i="4" s="1"/>
  <c r="AK420" i="28" l="1"/>
  <c r="AF420" i="28"/>
  <c r="AI422" i="28"/>
  <c r="AJ421" i="28"/>
  <c r="BK290" i="4"/>
  <c r="C290" i="4" s="1"/>
  <c r="BJ290" i="4"/>
  <c r="D290" i="4" s="1"/>
  <c r="AK421" i="28" l="1"/>
  <c r="AF421" i="28"/>
  <c r="AJ422" i="28"/>
  <c r="AI423" i="28"/>
  <c r="BK291" i="4"/>
  <c r="C291" i="4" s="1"/>
  <c r="BJ291" i="4"/>
  <c r="D291" i="4" s="1"/>
  <c r="AK422" i="28" l="1"/>
  <c r="AF422" i="28"/>
  <c r="AJ423" i="28"/>
  <c r="AI424" i="28"/>
  <c r="BK292" i="4"/>
  <c r="C292" i="4" s="1"/>
  <c r="BJ292" i="4"/>
  <c r="D292" i="4" s="1"/>
  <c r="AK423" i="28" l="1"/>
  <c r="AF423" i="28"/>
  <c r="AJ424" i="28"/>
  <c r="AI425" i="28"/>
  <c r="BK293" i="4"/>
  <c r="C293" i="4" s="1"/>
  <c r="BJ293" i="4"/>
  <c r="D293" i="4" s="1"/>
  <c r="AK424" i="28" l="1"/>
  <c r="AF424" i="28"/>
  <c r="AI426" i="28"/>
  <c r="AJ425" i="28"/>
  <c r="BJ294" i="4"/>
  <c r="D294" i="4" s="1"/>
  <c r="BK294" i="4"/>
  <c r="C294" i="4" s="1"/>
  <c r="AK425" i="28" l="1"/>
  <c r="AF425" i="28"/>
  <c r="AJ426" i="28"/>
  <c r="AI427" i="28"/>
  <c r="BJ295" i="4"/>
  <c r="D295" i="4" s="1"/>
  <c r="BK295" i="4"/>
  <c r="C295" i="4" s="1"/>
  <c r="AK426" i="28" l="1"/>
  <c r="AF426" i="28"/>
  <c r="AJ427" i="28"/>
  <c r="AI428" i="28"/>
  <c r="BK296" i="4"/>
  <c r="C296" i="4" s="1"/>
  <c r="BJ296" i="4"/>
  <c r="D296" i="4" s="1"/>
  <c r="AK427" i="28" l="1"/>
  <c r="AF427" i="28"/>
  <c r="AI429" i="28"/>
  <c r="AJ428" i="28"/>
  <c r="BK297" i="4"/>
  <c r="C297" i="4" s="1"/>
  <c r="BJ297" i="4"/>
  <c r="D297" i="4" s="1"/>
  <c r="AK428" i="28" l="1"/>
  <c r="AF428" i="28"/>
  <c r="AI430" i="28"/>
  <c r="AJ429" i="28"/>
  <c r="BK298" i="4"/>
  <c r="C298" i="4" s="1"/>
  <c r="BJ298" i="4"/>
  <c r="D298" i="4" s="1"/>
  <c r="AK429" i="28" l="1"/>
  <c r="AF429" i="28"/>
  <c r="AI431" i="28"/>
  <c r="AJ430" i="28"/>
  <c r="BK299" i="4"/>
  <c r="C299" i="4" s="1"/>
  <c r="BJ299" i="4"/>
  <c r="D299" i="4" s="1"/>
  <c r="AK430" i="28" l="1"/>
  <c r="AF430" i="28"/>
  <c r="AJ431" i="28"/>
  <c r="AI432" i="28"/>
  <c r="BJ300" i="4"/>
  <c r="D300" i="4" s="1"/>
  <c r="BK300" i="4"/>
  <c r="C300" i="4" s="1"/>
  <c r="AK431" i="28" l="1"/>
  <c r="AF431" i="28"/>
  <c r="AI433" i="28"/>
  <c r="AJ432" i="28"/>
  <c r="BK301" i="4"/>
  <c r="C301" i="4" s="1"/>
  <c r="BJ301" i="4"/>
  <c r="D301" i="4" s="1"/>
  <c r="AK432" i="28" l="1"/>
  <c r="AF432" i="28"/>
  <c r="AI434" i="28"/>
  <c r="AJ433" i="28"/>
  <c r="BJ302" i="4"/>
  <c r="D302" i="4" s="1"/>
  <c r="BK302" i="4"/>
  <c r="C302" i="4" s="1"/>
  <c r="AK433" i="28" l="1"/>
  <c r="AF433" i="28"/>
  <c r="AI435" i="28"/>
  <c r="AJ434" i="28"/>
  <c r="BK303" i="4"/>
  <c r="C303" i="4" s="1"/>
  <c r="BJ303" i="4"/>
  <c r="D303" i="4" s="1"/>
  <c r="AK434" i="28" l="1"/>
  <c r="AF434" i="28"/>
  <c r="AJ435" i="28"/>
  <c r="AI436" i="28"/>
  <c r="BJ304" i="4"/>
  <c r="D304" i="4" s="1"/>
  <c r="BK304" i="4"/>
  <c r="C304" i="4" s="1"/>
  <c r="AK435" i="28" l="1"/>
  <c r="AF435" i="28"/>
  <c r="AI437" i="28"/>
  <c r="AJ436" i="28"/>
  <c r="BK305" i="4"/>
  <c r="BJ305" i="4"/>
  <c r="D305" i="4" s="1"/>
  <c r="AK436" i="28" l="1"/>
  <c r="AF436" i="28"/>
  <c r="AI438" i="28"/>
  <c r="AJ437" i="28"/>
  <c r="BK306" i="4"/>
  <c r="C306" i="4" s="1"/>
  <c r="BJ306" i="4"/>
  <c r="D306" i="4" s="1"/>
  <c r="AK437" i="28" l="1"/>
  <c r="AF437" i="28"/>
  <c r="AJ438" i="28"/>
  <c r="AI439" i="28"/>
  <c r="BK307" i="4"/>
  <c r="C307" i="4" s="1"/>
  <c r="BJ307" i="4"/>
  <c r="D307" i="4" s="1"/>
  <c r="AK438" i="28" l="1"/>
  <c r="AF438" i="28"/>
  <c r="AJ439" i="28"/>
  <c r="AI440" i="28"/>
  <c r="BK308" i="4"/>
  <c r="C308" i="4" s="1"/>
  <c r="BJ308" i="4"/>
  <c r="D308" i="4" s="1"/>
  <c r="AK439" i="28" l="1"/>
  <c r="AF439" i="28"/>
  <c r="AJ440" i="28"/>
  <c r="AI441" i="28"/>
  <c r="BK309" i="4"/>
  <c r="C309" i="4" s="1"/>
  <c r="BJ309" i="4"/>
  <c r="D309" i="4" s="1"/>
  <c r="AK440" i="28" l="1"/>
  <c r="AF440" i="28"/>
  <c r="AI442" i="28"/>
  <c r="AJ441" i="28"/>
  <c r="BJ310" i="4"/>
  <c r="D310" i="4" s="1"/>
  <c r="BK310" i="4"/>
  <c r="AK441" i="28" l="1"/>
  <c r="AF441" i="28"/>
  <c r="AJ442" i="28"/>
  <c r="AI443" i="28"/>
  <c r="BK311" i="4"/>
  <c r="BJ311" i="4"/>
  <c r="D311" i="4" s="1"/>
  <c r="AK442" i="28" l="1"/>
  <c r="AF442" i="28"/>
  <c r="AJ443" i="28"/>
  <c r="AI444" i="28"/>
  <c r="BK312" i="4"/>
  <c r="BJ312" i="4"/>
  <c r="D312" i="4" s="1"/>
  <c r="AK443" i="28" l="1"/>
  <c r="AF443" i="28"/>
  <c r="AI445" i="28"/>
  <c r="AJ444" i="28"/>
  <c r="BJ313" i="4"/>
  <c r="D313" i="4" s="1"/>
  <c r="BK313" i="4"/>
  <c r="AK444" i="28" l="1"/>
  <c r="AF444" i="28"/>
  <c r="AI446" i="28"/>
  <c r="AJ445" i="28"/>
  <c r="BJ314" i="4"/>
  <c r="D314" i="4" s="1"/>
  <c r="BK314" i="4"/>
  <c r="AK445" i="28" l="1"/>
  <c r="AF445" i="28"/>
  <c r="AI447" i="28"/>
  <c r="AJ446" i="28"/>
  <c r="BK315" i="4"/>
  <c r="BJ315" i="4"/>
  <c r="D315" i="4" s="1"/>
  <c r="AK446" i="28" l="1"/>
  <c r="AF446" i="28"/>
  <c r="AJ447" i="28"/>
  <c r="AI448" i="28"/>
  <c r="BK316" i="4"/>
  <c r="C316" i="4" s="1"/>
  <c r="BJ316" i="4"/>
  <c r="D316" i="4" s="1"/>
  <c r="AK447" i="28" l="1"/>
  <c r="AF447" i="28"/>
  <c r="AI449" i="28"/>
  <c r="AJ448" i="28"/>
  <c r="BK317" i="4"/>
  <c r="C317" i="4" s="1"/>
  <c r="BJ317" i="4"/>
  <c r="D317" i="4" s="1"/>
  <c r="AK448" i="28" l="1"/>
  <c r="AF448" i="28"/>
  <c r="AI450" i="28"/>
  <c r="AJ449" i="28"/>
  <c r="BJ318" i="4"/>
  <c r="D318" i="4" s="1"/>
  <c r="BK318" i="4"/>
  <c r="C318" i="4" s="1"/>
  <c r="AK449" i="28" l="1"/>
  <c r="AF449" i="28"/>
  <c r="AI451" i="28"/>
  <c r="AJ450" i="28"/>
  <c r="BJ319" i="4"/>
  <c r="D319" i="4" s="1"/>
  <c r="BK319" i="4"/>
  <c r="C319" i="4" s="1"/>
  <c r="AK450" i="28" l="1"/>
  <c r="AF450" i="28"/>
  <c r="AJ451" i="28"/>
  <c r="AI452" i="28"/>
  <c r="BJ320" i="4"/>
  <c r="D320" i="4" s="1"/>
  <c r="BK320" i="4"/>
  <c r="C320" i="4" s="1"/>
  <c r="AK451" i="28" l="1"/>
  <c r="AF451" i="28"/>
  <c r="AI453" i="28"/>
  <c r="AJ452" i="28"/>
  <c r="BK321" i="4"/>
  <c r="C321" i="4" s="1"/>
  <c r="BJ321" i="4"/>
  <c r="D321" i="4" s="1"/>
  <c r="AK452" i="28" l="1"/>
  <c r="AF452" i="28"/>
  <c r="AI454" i="28"/>
  <c r="AJ453" i="28"/>
  <c r="BK322" i="4"/>
  <c r="C322" i="4" s="1"/>
  <c r="BJ322" i="4"/>
  <c r="D322" i="4" s="1"/>
  <c r="AK453" i="28" l="1"/>
  <c r="AF453" i="28"/>
  <c r="AJ454" i="28"/>
  <c r="AI455" i="28"/>
  <c r="BJ323" i="4"/>
  <c r="D323" i="4" s="1"/>
  <c r="BK323" i="4"/>
  <c r="C323" i="4" s="1"/>
  <c r="AK454" i="28" l="1"/>
  <c r="AF454" i="28"/>
  <c r="AJ455" i="28"/>
  <c r="AI456" i="28"/>
  <c r="BJ324" i="4"/>
  <c r="D324" i="4" s="1"/>
  <c r="BK324" i="4"/>
  <c r="C324" i="4" s="1"/>
  <c r="AK455" i="28" l="1"/>
  <c r="AF455" i="28"/>
  <c r="AJ456" i="28"/>
  <c r="AI457" i="28"/>
  <c r="BJ325" i="4"/>
  <c r="D325" i="4" s="1"/>
  <c r="BK325" i="4"/>
  <c r="C325" i="4" s="1"/>
  <c r="AK456" i="28" l="1"/>
  <c r="AF456" i="28"/>
  <c r="AI458" i="28"/>
  <c r="AJ457" i="28"/>
  <c r="BK326" i="4"/>
  <c r="C326" i="4" s="1"/>
  <c r="BJ326" i="4"/>
  <c r="D326" i="4" s="1"/>
  <c r="AK457" i="28" l="1"/>
  <c r="AF457" i="28"/>
  <c r="AJ458" i="28"/>
  <c r="AI459" i="28"/>
  <c r="BK327" i="4"/>
  <c r="C327" i="4" s="1"/>
  <c r="BJ327" i="4"/>
  <c r="D327" i="4" s="1"/>
  <c r="AK458" i="28" l="1"/>
  <c r="AF458" i="28"/>
  <c r="AJ459" i="28"/>
  <c r="AI460" i="28"/>
  <c r="BJ328" i="4"/>
  <c r="D328" i="4" s="1"/>
  <c r="BK328" i="4"/>
  <c r="C328" i="4" s="1"/>
  <c r="AK459" i="28" l="1"/>
  <c r="AF459" i="28"/>
  <c r="AI461" i="28"/>
  <c r="AJ460" i="28"/>
  <c r="BJ329" i="4"/>
  <c r="D329" i="4" s="1"/>
  <c r="BK329" i="4"/>
  <c r="C329" i="4" s="1"/>
  <c r="AK460" i="28" l="1"/>
  <c r="AF460" i="28"/>
  <c r="AI462" i="28"/>
  <c r="AJ461" i="28"/>
  <c r="BJ330" i="4"/>
  <c r="D330" i="4" s="1"/>
  <c r="BK330" i="4"/>
  <c r="C330" i="4" s="1"/>
  <c r="AK461" i="28" l="1"/>
  <c r="AF461" i="28"/>
  <c r="AI463" i="28"/>
  <c r="AJ462" i="28"/>
  <c r="BJ331" i="4"/>
  <c r="D331" i="4" s="1"/>
  <c r="BK331" i="4"/>
  <c r="C331" i="4" s="1"/>
  <c r="AK462" i="28" l="1"/>
  <c r="AF462" i="28"/>
  <c r="AJ463" i="28"/>
  <c r="AI464" i="28"/>
  <c r="BK332" i="4"/>
  <c r="C332" i="4" s="1"/>
  <c r="BJ332" i="4"/>
  <c r="D332" i="4" s="1"/>
  <c r="AK463" i="28" l="1"/>
  <c r="AF463" i="28"/>
  <c r="AJ464" i="28"/>
  <c r="AI465" i="28"/>
  <c r="BJ333" i="4"/>
  <c r="D333" i="4" s="1"/>
  <c r="BK333" i="4"/>
  <c r="C333" i="4" s="1"/>
  <c r="AK464" i="28" l="1"/>
  <c r="AF464" i="28"/>
  <c r="AI466" i="28"/>
  <c r="AJ465" i="28"/>
  <c r="BK334" i="4"/>
  <c r="C334" i="4" s="1"/>
  <c r="BJ334" i="4"/>
  <c r="D334" i="4" s="1"/>
  <c r="AK465" i="28" l="1"/>
  <c r="AF465" i="28"/>
  <c r="AI467" i="28"/>
  <c r="AJ466" i="28"/>
  <c r="BK335" i="4"/>
  <c r="C335" i="4" s="1"/>
  <c r="BJ335" i="4"/>
  <c r="D335" i="4" s="1"/>
  <c r="AK466" i="28" l="1"/>
  <c r="AF466" i="28"/>
  <c r="AJ467" i="28"/>
  <c r="AI468" i="28"/>
  <c r="BK336" i="4"/>
  <c r="C336" i="4" s="1"/>
  <c r="BJ336" i="4"/>
  <c r="D336" i="4" s="1"/>
  <c r="AK467" i="28" l="1"/>
  <c r="AF467" i="28"/>
  <c r="AI469" i="28"/>
  <c r="AJ468" i="28"/>
  <c r="BJ337" i="4"/>
  <c r="D337" i="4" s="1"/>
  <c r="BK337" i="4"/>
  <c r="C337" i="4" s="1"/>
  <c r="AK468" i="28" l="1"/>
  <c r="AF468" i="28"/>
  <c r="AI470" i="28"/>
  <c r="AJ469" i="28"/>
  <c r="BJ338" i="4"/>
  <c r="D338" i="4" s="1"/>
  <c r="BK338" i="4"/>
  <c r="C338" i="4" s="1"/>
  <c r="AK469" i="28" l="1"/>
  <c r="AF469" i="28"/>
  <c r="AJ470" i="28"/>
  <c r="AI471" i="28"/>
  <c r="BJ339" i="4"/>
  <c r="D339" i="4" s="1"/>
  <c r="BK339" i="4"/>
  <c r="C339" i="4" s="1"/>
  <c r="AK470" i="28" l="1"/>
  <c r="AF470" i="28"/>
  <c r="AJ471" i="28"/>
  <c r="AI472" i="28"/>
  <c r="BJ340" i="4"/>
  <c r="D340" i="4" s="1"/>
  <c r="BK340" i="4"/>
  <c r="C340" i="4" s="1"/>
  <c r="AK471" i="28" l="1"/>
  <c r="AF471" i="28"/>
  <c r="AJ472" i="28"/>
  <c r="AI473" i="28"/>
  <c r="BK341" i="4"/>
  <c r="C341" i="4" s="1"/>
  <c r="BJ341" i="4"/>
  <c r="D341" i="4" s="1"/>
  <c r="AK472" i="28" l="1"/>
  <c r="AF472" i="28"/>
  <c r="AI474" i="28"/>
  <c r="AJ473" i="28"/>
  <c r="BK342" i="4"/>
  <c r="C342" i="4" s="1"/>
  <c r="BJ342" i="4"/>
  <c r="D342" i="4" s="1"/>
  <c r="AK473" i="28" l="1"/>
  <c r="AF473" i="28"/>
  <c r="AJ474" i="28"/>
  <c r="AI475" i="28"/>
  <c r="BK343" i="4"/>
  <c r="BJ343" i="4"/>
  <c r="D343" i="4" s="1"/>
  <c r="AK474" i="28" l="1"/>
  <c r="AF474" i="28"/>
  <c r="AJ475" i="28"/>
  <c r="AI476" i="28"/>
  <c r="BJ344" i="4"/>
  <c r="D344" i="4" s="1"/>
  <c r="BK344" i="4"/>
  <c r="C344" i="4" s="1"/>
  <c r="AK475" i="28" l="1"/>
  <c r="AF475" i="28"/>
  <c r="AI477" i="28"/>
  <c r="AJ476" i="28"/>
  <c r="BJ345" i="4"/>
  <c r="D345" i="4" s="1"/>
  <c r="BK345" i="4"/>
  <c r="C345" i="4" s="1"/>
  <c r="AK476" i="28" l="1"/>
  <c r="AF476" i="28"/>
  <c r="AI478" i="28"/>
  <c r="AJ477" i="28"/>
  <c r="BJ346" i="4"/>
  <c r="D346" i="4" s="1"/>
  <c r="BK346" i="4"/>
  <c r="C346" i="4" s="1"/>
  <c r="AK477" i="28" l="1"/>
  <c r="AF477" i="28"/>
  <c r="AI479" i="28"/>
  <c r="AJ478" i="28"/>
  <c r="BJ347" i="4"/>
  <c r="D347" i="4" s="1"/>
  <c r="BK347" i="4"/>
  <c r="C347" i="4" s="1"/>
  <c r="AK478" i="28" l="1"/>
  <c r="AF478" i="28"/>
  <c r="AJ479" i="28"/>
  <c r="AI480" i="28"/>
  <c r="BJ348" i="4"/>
  <c r="D348" i="4" s="1"/>
  <c r="BK348" i="4"/>
  <c r="AK479" i="28" l="1"/>
  <c r="AF479" i="28"/>
  <c r="AJ480" i="28"/>
  <c r="AI481" i="28"/>
  <c r="BJ349" i="4"/>
  <c r="D349" i="4" s="1"/>
  <c r="BK349" i="4"/>
  <c r="AK480" i="28" l="1"/>
  <c r="AF480" i="28"/>
  <c r="AI482" i="28"/>
  <c r="AJ481" i="28"/>
  <c r="BK350" i="4"/>
  <c r="BJ350" i="4"/>
  <c r="D350" i="4" s="1"/>
  <c r="AK481" i="28" l="1"/>
  <c r="AF481" i="28"/>
  <c r="AI483" i="28"/>
  <c r="AJ482" i="28"/>
  <c r="BJ351" i="4"/>
  <c r="D351" i="4" s="1"/>
  <c r="BK351" i="4"/>
  <c r="AK482" i="28" l="1"/>
  <c r="AF482" i="28"/>
  <c r="AJ483" i="28"/>
  <c r="AI484" i="28"/>
  <c r="BJ352" i="4"/>
  <c r="D352" i="4" s="1"/>
  <c r="BK352" i="4"/>
  <c r="AK483" i="28" l="1"/>
  <c r="AF483" i="28"/>
  <c r="AI485" i="28"/>
  <c r="AJ484" i="28"/>
  <c r="BJ353" i="4"/>
  <c r="D353" i="4" s="1"/>
  <c r="BK353" i="4"/>
  <c r="AK484" i="28" l="1"/>
  <c r="AF484" i="28"/>
  <c r="AI486" i="28"/>
  <c r="AJ485" i="28"/>
  <c r="BJ354" i="4"/>
  <c r="D354" i="4" s="1"/>
  <c r="BK354" i="4"/>
  <c r="C354" i="4" s="1"/>
  <c r="AK485" i="28" l="1"/>
  <c r="AF485" i="28"/>
  <c r="AJ486" i="28"/>
  <c r="AI487" i="28"/>
  <c r="BJ355" i="4"/>
  <c r="D355" i="4" s="1"/>
  <c r="BK355" i="4"/>
  <c r="C355" i="4" s="1"/>
  <c r="AK486" i="28" l="1"/>
  <c r="AF486" i="28"/>
  <c r="AJ487" i="28"/>
  <c r="AI488" i="28"/>
  <c r="BJ356" i="4"/>
  <c r="D356" i="4" s="1"/>
  <c r="BK356" i="4"/>
  <c r="C356" i="4" s="1"/>
  <c r="AK487" i="28" l="1"/>
  <c r="AF487" i="28"/>
  <c r="AJ488" i="28"/>
  <c r="AI489" i="28"/>
  <c r="BJ357" i="4"/>
  <c r="D357" i="4" s="1"/>
  <c r="BK357" i="4"/>
  <c r="C357" i="4" s="1"/>
  <c r="AK488" i="28" l="1"/>
  <c r="AF488" i="28"/>
  <c r="AI490" i="28"/>
  <c r="AJ489" i="28"/>
  <c r="BK358" i="4"/>
  <c r="C358" i="4" s="1"/>
  <c r="BJ358" i="4"/>
  <c r="D358" i="4" s="1"/>
  <c r="AK489" i="28" l="1"/>
  <c r="AF489" i="28"/>
  <c r="AJ490" i="28"/>
  <c r="AI491" i="28"/>
  <c r="BK359" i="4"/>
  <c r="C359" i="4" s="1"/>
  <c r="BJ359" i="4"/>
  <c r="D359" i="4" s="1"/>
  <c r="AK490" i="28" l="1"/>
  <c r="AF490" i="28"/>
  <c r="AJ491" i="28"/>
  <c r="AI492" i="28"/>
  <c r="BK360" i="4"/>
  <c r="C360" i="4" s="1"/>
  <c r="BJ360" i="4"/>
  <c r="D360" i="4" s="1"/>
  <c r="AK491" i="28" l="1"/>
  <c r="AF491" i="28"/>
  <c r="AI493" i="28"/>
  <c r="AJ492" i="28"/>
  <c r="BJ361" i="4"/>
  <c r="D361" i="4" s="1"/>
  <c r="BK361" i="4"/>
  <c r="C361" i="4" s="1"/>
  <c r="AK492" i="28" l="1"/>
  <c r="AF492" i="28"/>
  <c r="AI494" i="28"/>
  <c r="AJ493" i="28"/>
  <c r="BK362" i="4"/>
  <c r="C362" i="4" s="1"/>
  <c r="BJ362" i="4"/>
  <c r="D362" i="4" s="1"/>
  <c r="AK493" i="28" l="1"/>
  <c r="AF493" i="28"/>
  <c r="AI495" i="28"/>
  <c r="AJ494" i="28"/>
  <c r="BJ363" i="4"/>
  <c r="D363" i="4" s="1"/>
  <c r="BK363" i="4"/>
  <c r="C363" i="4" s="1"/>
  <c r="AK494" i="28" l="1"/>
  <c r="AF494" i="28"/>
  <c r="AJ495" i="28"/>
  <c r="AI496" i="28"/>
  <c r="BJ364" i="4"/>
  <c r="D364" i="4" s="1"/>
  <c r="BK364" i="4"/>
  <c r="C364" i="4" s="1"/>
  <c r="AK495" i="28" l="1"/>
  <c r="AF495" i="28"/>
  <c r="AJ496" i="28"/>
  <c r="AI497" i="28"/>
  <c r="BJ365" i="4"/>
  <c r="D365" i="4" s="1"/>
  <c r="BK365" i="4"/>
  <c r="C365" i="4" s="1"/>
  <c r="AK496" i="28" l="1"/>
  <c r="AF496" i="28"/>
  <c r="AI498" i="28"/>
  <c r="AJ497" i="28"/>
  <c r="BK366" i="4"/>
  <c r="C366" i="4" s="1"/>
  <c r="BJ366" i="4"/>
  <c r="D366" i="4" s="1"/>
  <c r="AK497" i="28" l="1"/>
  <c r="AF497" i="28"/>
  <c r="AI499" i="28"/>
  <c r="AJ498" i="28"/>
  <c r="BK367" i="4"/>
  <c r="C367" i="4" s="1"/>
  <c r="BJ367" i="4"/>
  <c r="D367" i="4" s="1"/>
  <c r="AK498" i="28" l="1"/>
  <c r="AF498" i="28"/>
  <c r="AJ499" i="28"/>
  <c r="AI500" i="28"/>
  <c r="BJ368" i="4"/>
  <c r="D368" i="4" s="1"/>
  <c r="BK368" i="4"/>
  <c r="C368" i="4" s="1"/>
  <c r="AK499" i="28" l="1"/>
  <c r="AF499" i="28"/>
  <c r="AI501" i="28"/>
  <c r="AJ500" i="28"/>
  <c r="BK369" i="4"/>
  <c r="C369" i="4" s="1"/>
  <c r="BJ369" i="4"/>
  <c r="D369" i="4" s="1"/>
  <c r="AK500" i="28" l="1"/>
  <c r="AF500" i="28"/>
  <c r="AI502" i="28"/>
  <c r="AJ501" i="28"/>
  <c r="BJ370" i="4"/>
  <c r="D370" i="4" s="1"/>
  <c r="BK370" i="4"/>
  <c r="C370" i="4" s="1"/>
  <c r="AK501" i="28" l="1"/>
  <c r="AF501" i="28"/>
  <c r="AJ502" i="28"/>
  <c r="AI503" i="28"/>
  <c r="BJ371" i="4"/>
  <c r="D371" i="4" s="1"/>
  <c r="BK371" i="4"/>
  <c r="C371" i="4" s="1"/>
  <c r="AK502" i="28" l="1"/>
  <c r="AF502" i="28"/>
  <c r="AJ503" i="28"/>
  <c r="AI504" i="28"/>
  <c r="BK372" i="4"/>
  <c r="C372" i="4" s="1"/>
  <c r="BJ372" i="4"/>
  <c r="D372" i="4" s="1"/>
  <c r="AK503" i="28" l="1"/>
  <c r="AF503" i="28"/>
  <c r="AJ504" i="28"/>
  <c r="AI505" i="28"/>
  <c r="BJ373" i="4"/>
  <c r="D373" i="4" s="1"/>
  <c r="BK373" i="4"/>
  <c r="C373" i="4" s="1"/>
  <c r="AK504" i="28" l="1"/>
  <c r="AF504" i="28"/>
  <c r="AI506" i="28"/>
  <c r="AJ505" i="28"/>
  <c r="BK374" i="4"/>
  <c r="C374" i="4" s="1"/>
  <c r="BJ374" i="4"/>
  <c r="D374" i="4" s="1"/>
  <c r="AK505" i="28" l="1"/>
  <c r="AF505" i="28"/>
  <c r="AJ506" i="28"/>
  <c r="AI507" i="28"/>
  <c r="BJ375" i="4"/>
  <c r="D375" i="4" s="1"/>
  <c r="BK375" i="4"/>
  <c r="C375" i="4" s="1"/>
  <c r="AK506" i="28" l="1"/>
  <c r="AF506" i="28"/>
  <c r="AJ507" i="28"/>
  <c r="AI508" i="28"/>
  <c r="BJ376" i="4"/>
  <c r="D376" i="4" s="1"/>
  <c r="BK376" i="4"/>
  <c r="C376" i="4" s="1"/>
  <c r="AK507" i="28" l="1"/>
  <c r="AF507" i="28"/>
  <c r="AI509" i="28"/>
  <c r="AJ508" i="28"/>
  <c r="BJ377" i="4"/>
  <c r="D377" i="4" s="1"/>
  <c r="BK377" i="4"/>
  <c r="C377" i="4" s="1"/>
  <c r="AK508" i="28" l="1"/>
  <c r="AF508" i="28"/>
  <c r="AI510" i="28"/>
  <c r="AJ509" i="28"/>
  <c r="BK378" i="4"/>
  <c r="C378" i="4" s="1"/>
  <c r="BJ378" i="4"/>
  <c r="D378" i="4" s="1"/>
  <c r="AK509" i="28" l="1"/>
  <c r="AF509" i="28"/>
  <c r="AI511" i="28"/>
  <c r="AJ510" i="28"/>
  <c r="BK379" i="4"/>
  <c r="C379" i="4" s="1"/>
  <c r="BJ379" i="4"/>
  <c r="D379" i="4" s="1"/>
  <c r="AK510" i="28" l="1"/>
  <c r="AF510" i="28"/>
  <c r="AJ511" i="28"/>
  <c r="AI512" i="28"/>
  <c r="BJ380" i="4"/>
  <c r="D380" i="4" s="1"/>
  <c r="BK380" i="4"/>
  <c r="C380" i="4" s="1"/>
  <c r="AK511" i="28" l="1"/>
  <c r="AF511" i="28"/>
  <c r="AI513" i="28"/>
  <c r="AJ512" i="28"/>
  <c r="BJ381" i="4"/>
  <c r="D381" i="4" s="1"/>
  <c r="BK381" i="4"/>
  <c r="AK512" i="28" l="1"/>
  <c r="AF512" i="28"/>
  <c r="AI514" i="28"/>
  <c r="AJ513" i="28"/>
  <c r="BK382" i="4"/>
  <c r="C382" i="4" s="1"/>
  <c r="BJ382" i="4"/>
  <c r="D382" i="4" s="1"/>
  <c r="AK513" i="28" l="1"/>
  <c r="AF513" i="28"/>
  <c r="AI515" i="28"/>
  <c r="AJ514" i="28"/>
  <c r="BK383" i="4"/>
  <c r="C383" i="4" s="1"/>
  <c r="BJ383" i="4"/>
  <c r="D383" i="4" s="1"/>
  <c r="AK514" i="28" l="1"/>
  <c r="AF514" i="28"/>
  <c r="AJ515" i="28"/>
  <c r="AI516" i="28"/>
  <c r="BJ384" i="4"/>
  <c r="D384" i="4" s="1"/>
  <c r="BK384" i="4"/>
  <c r="C384" i="4" s="1"/>
  <c r="AK515" i="28" l="1"/>
  <c r="AF515" i="28"/>
  <c r="AI517" i="28"/>
  <c r="AJ516" i="28"/>
  <c r="BJ385" i="4"/>
  <c r="D385" i="4" s="1"/>
  <c r="BK385" i="4"/>
  <c r="C385" i="4" s="1"/>
  <c r="AK516" i="28" l="1"/>
  <c r="AF516" i="28"/>
  <c r="AI518" i="28"/>
  <c r="AJ517" i="28"/>
  <c r="BJ386" i="4"/>
  <c r="D386" i="4" s="1"/>
  <c r="BK386" i="4"/>
  <c r="AK517" i="28" l="1"/>
  <c r="AF517" i="28"/>
  <c r="AJ518" i="28"/>
  <c r="AI519" i="28"/>
  <c r="BJ387" i="4"/>
  <c r="D387" i="4" s="1"/>
  <c r="BK387" i="4"/>
  <c r="AK518" i="28" l="1"/>
  <c r="AF518" i="28"/>
  <c r="AJ519" i="28"/>
  <c r="AI520" i="28"/>
  <c r="BK388" i="4"/>
  <c r="BJ388" i="4"/>
  <c r="D388" i="4" s="1"/>
  <c r="AK519" i="28" l="1"/>
  <c r="AF519" i="28"/>
  <c r="AJ520" i="28"/>
  <c r="AI521" i="28"/>
  <c r="BJ389" i="4"/>
  <c r="D389" i="4" s="1"/>
  <c r="BK389" i="4"/>
  <c r="AK520" i="28" l="1"/>
  <c r="AF520" i="28"/>
  <c r="AI522" i="28"/>
  <c r="AJ521" i="28"/>
  <c r="BJ390" i="4"/>
  <c r="D390" i="4" s="1"/>
  <c r="BK390" i="4"/>
  <c r="AK521" i="28" l="1"/>
  <c r="AF521" i="28"/>
  <c r="AJ522" i="28"/>
  <c r="AI523" i="28"/>
  <c r="BK391" i="4"/>
  <c r="BJ391" i="4"/>
  <c r="D391" i="4" s="1"/>
  <c r="AK522" i="28" l="1"/>
  <c r="AF522" i="28"/>
  <c r="AJ523" i="28"/>
  <c r="AI524" i="28"/>
  <c r="BK392" i="4"/>
  <c r="C392" i="4" s="1"/>
  <c r="BJ392" i="4"/>
  <c r="D392" i="4" s="1"/>
  <c r="AK523" i="28" l="1"/>
  <c r="AF523" i="28"/>
  <c r="AI525" i="28"/>
  <c r="AJ524" i="28"/>
  <c r="BJ393" i="4"/>
  <c r="D393" i="4" s="1"/>
  <c r="BK393" i="4"/>
  <c r="C393" i="4" s="1"/>
  <c r="AK524" i="28" l="1"/>
  <c r="AF524" i="28"/>
  <c r="AI526" i="28"/>
  <c r="AJ525" i="28"/>
  <c r="BJ394" i="4"/>
  <c r="D394" i="4" s="1"/>
  <c r="BK394" i="4"/>
  <c r="C394" i="4" s="1"/>
  <c r="AK525" i="28" l="1"/>
  <c r="AF525" i="28"/>
  <c r="AI527" i="28"/>
  <c r="AJ526" i="28"/>
  <c r="BK395" i="4"/>
  <c r="C395" i="4" s="1"/>
  <c r="BJ395" i="4"/>
  <c r="D395" i="4" s="1"/>
  <c r="AK526" i="28" l="1"/>
  <c r="AF526" i="28"/>
  <c r="AJ527" i="28"/>
  <c r="AI528" i="28"/>
  <c r="BJ396" i="4"/>
  <c r="D396" i="4" s="1"/>
  <c r="BK396" i="4"/>
  <c r="C396" i="4" s="1"/>
  <c r="AK527" i="28" l="1"/>
  <c r="AF527" i="28"/>
  <c r="AJ528" i="28"/>
  <c r="AI529" i="28"/>
  <c r="BJ397" i="4"/>
  <c r="D397" i="4" s="1"/>
  <c r="BK397" i="4"/>
  <c r="C397" i="4" s="1"/>
  <c r="AK528" i="28" l="1"/>
  <c r="AF528" i="28"/>
  <c r="AI530" i="28"/>
  <c r="AJ529" i="28"/>
  <c r="BJ398" i="4"/>
  <c r="D398" i="4" s="1"/>
  <c r="BK398" i="4"/>
  <c r="C398" i="4" s="1"/>
  <c r="AK529" i="28" l="1"/>
  <c r="AF529" i="28"/>
  <c r="AI531" i="28"/>
  <c r="AJ530" i="28"/>
  <c r="BK399" i="4"/>
  <c r="C399" i="4" s="1"/>
  <c r="BJ399" i="4"/>
  <c r="D399" i="4" s="1"/>
  <c r="AK530" i="28" l="1"/>
  <c r="AF530" i="28"/>
  <c r="AJ531" i="28"/>
  <c r="AI532" i="28"/>
  <c r="BJ400" i="4"/>
  <c r="D400" i="4" s="1"/>
  <c r="BK400" i="4"/>
  <c r="C400" i="4" s="1"/>
  <c r="AK531" i="28" l="1"/>
  <c r="AF531" i="28"/>
  <c r="AI533" i="28"/>
  <c r="AJ532" i="28"/>
  <c r="BK401" i="4"/>
  <c r="C401" i="4" s="1"/>
  <c r="BJ401" i="4"/>
  <c r="D401" i="4" s="1"/>
  <c r="AK532" i="28" l="1"/>
  <c r="AF532" i="28"/>
  <c r="AI534" i="28"/>
  <c r="AJ533" i="28"/>
  <c r="BK402" i="4"/>
  <c r="C402" i="4" s="1"/>
  <c r="BJ402" i="4"/>
  <c r="D402" i="4" s="1"/>
  <c r="AK533" i="28" l="1"/>
  <c r="AF533" i="28"/>
  <c r="AJ534" i="28"/>
  <c r="AI535" i="28"/>
  <c r="BJ403" i="4"/>
  <c r="D403" i="4" s="1"/>
  <c r="BK403" i="4"/>
  <c r="C403" i="4" s="1"/>
  <c r="AK534" i="28" l="1"/>
  <c r="AF534" i="28"/>
  <c r="AJ535" i="28"/>
  <c r="AI536" i="28"/>
  <c r="BJ404" i="4"/>
  <c r="D404" i="4" s="1"/>
  <c r="BK404" i="4"/>
  <c r="C404" i="4" s="1"/>
  <c r="AK535" i="28" l="1"/>
  <c r="AF535" i="28"/>
  <c r="AJ536" i="28"/>
  <c r="AI537" i="28"/>
  <c r="BJ405" i="4"/>
  <c r="D405" i="4" s="1"/>
  <c r="BK405" i="4"/>
  <c r="C405" i="4" s="1"/>
  <c r="AK536" i="28" l="1"/>
  <c r="AF536" i="28"/>
  <c r="AI538" i="28"/>
  <c r="AJ537" i="28"/>
  <c r="BK406" i="4"/>
  <c r="C406" i="4" s="1"/>
  <c r="BJ406" i="4"/>
  <c r="D406" i="4" s="1"/>
  <c r="AK537" i="28" l="1"/>
  <c r="AF537" i="28"/>
  <c r="AJ538" i="28"/>
  <c r="AI539" i="28"/>
  <c r="BK407" i="4"/>
  <c r="C407" i="4" s="1"/>
  <c r="BJ407" i="4"/>
  <c r="D407" i="4" s="1"/>
  <c r="AK538" i="28" l="1"/>
  <c r="AF538" i="28"/>
  <c r="AJ539" i="28"/>
  <c r="AI540" i="28"/>
  <c r="BJ408" i="4"/>
  <c r="D408" i="4" s="1"/>
  <c r="BK408" i="4"/>
  <c r="C408" i="4" s="1"/>
  <c r="AK539" i="28" l="1"/>
  <c r="AF539" i="28"/>
  <c r="AI541" i="28"/>
  <c r="AJ540" i="28"/>
  <c r="BJ409" i="4"/>
  <c r="D409" i="4" s="1"/>
  <c r="BK409" i="4"/>
  <c r="C409" i="4" s="1"/>
  <c r="AK540" i="28" l="1"/>
  <c r="AF540" i="28"/>
  <c r="AI542" i="28"/>
  <c r="AJ541" i="28"/>
  <c r="BJ410" i="4"/>
  <c r="D410" i="4" s="1"/>
  <c r="BK410" i="4"/>
  <c r="C410" i="4" s="1"/>
  <c r="AK541" i="28" l="1"/>
  <c r="AF541" i="28"/>
  <c r="AI543" i="28"/>
  <c r="AJ542" i="28"/>
  <c r="BJ411" i="4"/>
  <c r="D411" i="4" s="1"/>
  <c r="BK411" i="4"/>
  <c r="C411" i="4" s="1"/>
  <c r="AK542" i="28" l="1"/>
  <c r="AF542" i="28"/>
  <c r="AJ543" i="28"/>
  <c r="AI544" i="28"/>
  <c r="BK412" i="4"/>
  <c r="C412" i="4" s="1"/>
  <c r="BJ412" i="4"/>
  <c r="D412" i="4" s="1"/>
  <c r="AK543" i="28" l="1"/>
  <c r="AF543" i="28"/>
  <c r="AI545" i="28"/>
  <c r="AJ544" i="28"/>
  <c r="BJ413" i="4"/>
  <c r="D413" i="4" s="1"/>
  <c r="BK413" i="4"/>
  <c r="C413" i="4" s="1"/>
  <c r="AK544" i="28" l="1"/>
  <c r="AF544" i="28"/>
  <c r="AI546" i="28"/>
  <c r="AJ545" i="28"/>
  <c r="BK414" i="4"/>
  <c r="C414" i="4" s="1"/>
  <c r="BJ414" i="4"/>
  <c r="D414" i="4" s="1"/>
  <c r="AK545" i="28" l="1"/>
  <c r="AF545" i="28"/>
  <c r="AI547" i="28"/>
  <c r="AJ546" i="28"/>
  <c r="BK415" i="4"/>
  <c r="C415" i="4" s="1"/>
  <c r="BJ415" i="4"/>
  <c r="D415" i="4" s="1"/>
  <c r="AK546" i="28" l="1"/>
  <c r="AF546" i="28"/>
  <c r="AJ547" i="28"/>
  <c r="AI548" i="28"/>
  <c r="BK416" i="4"/>
  <c r="C416" i="4" s="1"/>
  <c r="BJ416" i="4"/>
  <c r="D416" i="4" s="1"/>
  <c r="AK547" i="28" l="1"/>
  <c r="AF547" i="28"/>
  <c r="AI549" i="28"/>
  <c r="AJ548" i="28"/>
  <c r="BJ417" i="4"/>
  <c r="D417" i="4" s="1"/>
  <c r="BK417" i="4"/>
  <c r="C417" i="4" s="1"/>
  <c r="AK548" i="28" l="1"/>
  <c r="AF548" i="28"/>
  <c r="AI550" i="28"/>
  <c r="AJ549" i="28"/>
  <c r="BJ418" i="4"/>
  <c r="D418" i="4" s="1"/>
  <c r="BK418" i="4"/>
  <c r="C418" i="4" s="1"/>
  <c r="AK549" i="28" l="1"/>
  <c r="AF549" i="28"/>
  <c r="AJ550" i="28"/>
  <c r="AI551" i="28"/>
  <c r="BK419" i="4"/>
  <c r="BJ419" i="4"/>
  <c r="D419" i="4" s="1"/>
  <c r="AK550" i="28" l="1"/>
  <c r="AF550" i="28"/>
  <c r="AJ551" i="28"/>
  <c r="AI552" i="28"/>
  <c r="BJ420" i="4"/>
  <c r="D420" i="4" s="1"/>
  <c r="BK420" i="4"/>
  <c r="C420" i="4" s="1"/>
  <c r="AK551" i="28" l="1"/>
  <c r="AF551" i="28"/>
  <c r="AJ552" i="28"/>
  <c r="AI553" i="28"/>
  <c r="BJ421" i="4"/>
  <c r="D421" i="4" s="1"/>
  <c r="BK421" i="4"/>
  <c r="C421" i="4" s="1"/>
  <c r="AK552" i="28" l="1"/>
  <c r="AF552" i="28"/>
  <c r="AI554" i="28"/>
  <c r="AJ553" i="28"/>
  <c r="BK422" i="4"/>
  <c r="C422" i="4" s="1"/>
  <c r="BJ422" i="4"/>
  <c r="D422" i="4" s="1"/>
  <c r="AK553" i="28" l="1"/>
  <c r="AF553" i="28"/>
  <c r="AJ554" i="28"/>
  <c r="AI555" i="28"/>
  <c r="BJ423" i="4"/>
  <c r="D423" i="4" s="1"/>
  <c r="BK423" i="4"/>
  <c r="C423" i="4" s="1"/>
  <c r="AK554" i="28" l="1"/>
  <c r="AF554" i="28"/>
  <c r="AJ555" i="28"/>
  <c r="AI556" i="28"/>
  <c r="BK424" i="4"/>
  <c r="BJ424" i="4"/>
  <c r="D424" i="4" s="1"/>
  <c r="AK555" i="28" l="1"/>
  <c r="AF555" i="28"/>
  <c r="AI557" i="28"/>
  <c r="AJ556" i="28"/>
  <c r="BJ425" i="4"/>
  <c r="D425" i="4" s="1"/>
  <c r="BK425" i="4"/>
  <c r="AK556" i="28" l="1"/>
  <c r="AF556" i="28"/>
  <c r="AI558" i="28"/>
  <c r="AJ557" i="28"/>
  <c r="BJ426" i="4"/>
  <c r="D426" i="4" s="1"/>
  <c r="BK426" i="4"/>
  <c r="AK557" i="28" l="1"/>
  <c r="AF557" i="28"/>
  <c r="AI559" i="28"/>
  <c r="AJ558" i="28"/>
  <c r="BJ427" i="4"/>
  <c r="D427" i="4" s="1"/>
  <c r="BK427" i="4"/>
  <c r="AK558" i="28" l="1"/>
  <c r="AF558" i="28"/>
  <c r="AJ559" i="28"/>
  <c r="AI560" i="28"/>
  <c r="BJ428" i="4"/>
  <c r="D428" i="4" s="1"/>
  <c r="BK428" i="4"/>
  <c r="AK559" i="28" l="1"/>
  <c r="AF559" i="28"/>
  <c r="AJ560" i="28"/>
  <c r="AI561" i="28"/>
  <c r="BJ429" i="4"/>
  <c r="D429" i="4" s="1"/>
  <c r="BK429" i="4"/>
  <c r="AK560" i="28" l="1"/>
  <c r="AF560" i="28"/>
  <c r="AI562" i="28"/>
  <c r="AJ561" i="28"/>
  <c r="BK430" i="4"/>
  <c r="C430" i="4" s="1"/>
  <c r="BJ430" i="4"/>
  <c r="D430" i="4" s="1"/>
  <c r="AK561" i="28" l="1"/>
  <c r="AF561" i="28"/>
  <c r="AI563" i="28"/>
  <c r="AJ562" i="28"/>
  <c r="BK431" i="4"/>
  <c r="C431" i="4" s="1"/>
  <c r="BJ431" i="4"/>
  <c r="D431" i="4" s="1"/>
  <c r="AK562" i="28" l="1"/>
  <c r="AF562" i="28"/>
  <c r="AJ563" i="28"/>
  <c r="AI564" i="28"/>
  <c r="BJ432" i="4"/>
  <c r="D432" i="4" s="1"/>
  <c r="BK432" i="4"/>
  <c r="C432" i="4" s="1"/>
  <c r="AK563" i="28" l="1"/>
  <c r="AF563" i="28"/>
  <c r="AI565" i="28"/>
  <c r="AJ564" i="28"/>
  <c r="BK433" i="4"/>
  <c r="C433" i="4" s="1"/>
  <c r="BJ433" i="4"/>
  <c r="D433" i="4" s="1"/>
  <c r="AK564" i="28" l="1"/>
  <c r="AF564" i="28"/>
  <c r="AI566" i="28"/>
  <c r="AJ565" i="28"/>
  <c r="BJ434" i="4"/>
  <c r="D434" i="4" s="1"/>
  <c r="BK434" i="4"/>
  <c r="C434" i="4" s="1"/>
  <c r="AK565" i="28" l="1"/>
  <c r="AF565" i="28"/>
  <c r="AJ566" i="28"/>
  <c r="AI567" i="28"/>
  <c r="BJ435" i="4"/>
  <c r="D435" i="4" s="1"/>
  <c r="BK435" i="4"/>
  <c r="C435" i="4" s="1"/>
  <c r="AK566" i="28" l="1"/>
  <c r="AF566" i="28"/>
  <c r="AJ567" i="28"/>
  <c r="AI568" i="28"/>
  <c r="BJ436" i="4"/>
  <c r="D436" i="4" s="1"/>
  <c r="BK436" i="4"/>
  <c r="C436" i="4" s="1"/>
  <c r="AK567" i="28" l="1"/>
  <c r="AF567" i="28"/>
  <c r="AJ568" i="28"/>
  <c r="AI569" i="28"/>
  <c r="BK437" i="4"/>
  <c r="C437" i="4" s="1"/>
  <c r="BJ437" i="4"/>
  <c r="D437" i="4" s="1"/>
  <c r="AK568" i="28" l="1"/>
  <c r="AF568" i="28"/>
  <c r="AI570" i="28"/>
  <c r="AJ569" i="28"/>
  <c r="BK438" i="4"/>
  <c r="C438" i="4" s="1"/>
  <c r="BJ438" i="4"/>
  <c r="D438" i="4" s="1"/>
  <c r="AK569" i="28" l="1"/>
  <c r="AF569" i="28"/>
  <c r="AJ570" i="28"/>
  <c r="AI571" i="28"/>
  <c r="BK439" i="4"/>
  <c r="C439" i="4" s="1"/>
  <c r="BJ439" i="4"/>
  <c r="D439" i="4" s="1"/>
  <c r="AK570" i="28" l="1"/>
  <c r="AF570" i="28"/>
  <c r="AJ571" i="28"/>
  <c r="AI572" i="28"/>
  <c r="BJ440" i="4"/>
  <c r="D440" i="4" s="1"/>
  <c r="BK440" i="4"/>
  <c r="C440" i="4" s="1"/>
  <c r="AK571" i="28" l="1"/>
  <c r="AF571" i="28"/>
  <c r="AI573" i="28"/>
  <c r="AJ572" i="28"/>
  <c r="BK441" i="4"/>
  <c r="C441" i="4" s="1"/>
  <c r="BJ441" i="4"/>
  <c r="D441" i="4" s="1"/>
  <c r="AK572" i="28" l="1"/>
  <c r="AF572" i="28"/>
  <c r="AI574" i="28"/>
  <c r="AJ573" i="28"/>
  <c r="BJ442" i="4"/>
  <c r="D442" i="4" s="1"/>
  <c r="BK442" i="4"/>
  <c r="C442" i="4" s="1"/>
  <c r="AK573" i="28" l="1"/>
  <c r="AF573" i="28"/>
  <c r="AI575" i="28"/>
  <c r="AJ574" i="28"/>
  <c r="BJ443" i="4"/>
  <c r="D443" i="4" s="1"/>
  <c r="BK443" i="4"/>
  <c r="C443" i="4" s="1"/>
  <c r="AK574" i="28" l="1"/>
  <c r="AF574" i="28"/>
  <c r="AJ575" i="28"/>
  <c r="AI576" i="28"/>
  <c r="BJ444" i="4"/>
  <c r="D444" i="4" s="1"/>
  <c r="BK444" i="4"/>
  <c r="C444" i="4" s="1"/>
  <c r="AK575" i="28" l="1"/>
  <c r="AF575" i="28"/>
  <c r="AI577" i="28"/>
  <c r="AJ576" i="28"/>
  <c r="BK445" i="4"/>
  <c r="C445" i="4" s="1"/>
  <c r="BJ445" i="4"/>
  <c r="D445" i="4" s="1"/>
  <c r="AK576" i="28" l="1"/>
  <c r="AF576" i="28"/>
  <c r="AI578" i="28"/>
  <c r="AJ577" i="28"/>
  <c r="BK446" i="4"/>
  <c r="C446" i="4" s="1"/>
  <c r="BJ446" i="4"/>
  <c r="D446" i="4" s="1"/>
  <c r="AK577" i="28" l="1"/>
  <c r="AF577" i="28"/>
  <c r="AI579" i="28"/>
  <c r="AJ578" i="28"/>
  <c r="BK459" i="4"/>
  <c r="C459" i="4" s="1"/>
  <c r="BJ459" i="4"/>
  <c r="D459" i="4" s="1"/>
  <c r="H90" i="19" l="1"/>
  <c r="H10" i="19"/>
  <c r="H200" i="19"/>
  <c r="H55" i="19"/>
  <c r="H57" i="19"/>
  <c r="H400" i="19"/>
  <c r="H398" i="19"/>
  <c r="D339" i="19"/>
  <c r="D341" i="19"/>
  <c r="H334" i="19"/>
  <c r="H369" i="19"/>
  <c r="H371" i="19"/>
  <c r="H342" i="19"/>
  <c r="H336" i="19"/>
  <c r="H301" i="19"/>
  <c r="D306" i="19"/>
  <c r="H307" i="19"/>
  <c r="D304" i="19"/>
  <c r="H299" i="19"/>
  <c r="D268" i="19"/>
  <c r="H229" i="19"/>
  <c r="H227" i="19"/>
  <c r="D270" i="19"/>
  <c r="D232" i="19"/>
  <c r="H265" i="19"/>
  <c r="H237" i="19"/>
  <c r="D272" i="19"/>
  <c r="D236" i="19"/>
  <c r="H263" i="19"/>
  <c r="H273" i="19"/>
  <c r="D234" i="19"/>
  <c r="D197" i="19"/>
  <c r="H192" i="19"/>
  <c r="D156" i="19"/>
  <c r="H190" i="19"/>
  <c r="D199" i="19"/>
  <c r="D160" i="19"/>
  <c r="D195" i="19"/>
  <c r="H153" i="19"/>
  <c r="H151" i="19"/>
  <c r="D123" i="19"/>
  <c r="H118" i="19"/>
  <c r="D158" i="19"/>
  <c r="D121" i="19"/>
  <c r="H161" i="19"/>
  <c r="H116" i="19"/>
  <c r="H163" i="19"/>
  <c r="D163" i="19" s="1"/>
  <c r="H124" i="19"/>
  <c r="D89" i="19"/>
  <c r="D87" i="19"/>
  <c r="H82" i="19"/>
  <c r="H84" i="19"/>
  <c r="H50" i="19"/>
  <c r="H52" i="19"/>
  <c r="H12" i="19"/>
  <c r="H22" i="19"/>
  <c r="H18" i="19"/>
  <c r="AK578" i="28"/>
  <c r="AF578" i="28"/>
  <c r="AJ579" i="28"/>
  <c r="AI580" i="28"/>
  <c r="H89" i="19" l="1"/>
  <c r="H123" i="19"/>
  <c r="H156" i="19"/>
  <c r="H304" i="19"/>
  <c r="H158" i="19"/>
  <c r="H197" i="19"/>
  <c r="H236" i="19"/>
  <c r="H232" i="19"/>
  <c r="H268" i="19"/>
  <c r="H306" i="19"/>
  <c r="H160" i="19"/>
  <c r="H339" i="19"/>
  <c r="H121" i="19"/>
  <c r="H199" i="19"/>
  <c r="H341" i="19"/>
  <c r="H87" i="19"/>
  <c r="H195" i="19"/>
  <c r="H234" i="19"/>
  <c r="H272" i="19"/>
  <c r="H270" i="19"/>
  <c r="AK579" i="28"/>
  <c r="AF579" i="28"/>
  <c r="AI581" i="28"/>
  <c r="AJ580" i="28"/>
  <c r="AK580" i="28" l="1"/>
  <c r="AF580" i="28"/>
  <c r="AI582" i="28"/>
  <c r="AJ581" i="28"/>
  <c r="AK581" i="28" l="1"/>
  <c r="AF581" i="28"/>
  <c r="AJ582" i="28"/>
  <c r="AI583" i="28"/>
  <c r="AK582" i="28" l="1"/>
  <c r="AF582" i="28"/>
  <c r="AJ583" i="28"/>
  <c r="AI584" i="28"/>
  <c r="AK583" i="28" l="1"/>
  <c r="AF583" i="28"/>
  <c r="AJ584" i="28"/>
  <c r="AI585" i="28"/>
  <c r="AK584" i="28" l="1"/>
  <c r="AF584" i="28"/>
  <c r="AI586" i="28"/>
  <c r="AJ585" i="28"/>
  <c r="AK585" i="28" l="1"/>
  <c r="AF585" i="28"/>
  <c r="AJ586" i="28"/>
  <c r="AI587" i="28"/>
  <c r="AK586" i="28" l="1"/>
  <c r="AF586" i="28"/>
  <c r="AJ587" i="28"/>
  <c r="AI588" i="28"/>
  <c r="AK587" i="28" l="1"/>
  <c r="AF587" i="28"/>
  <c r="AI589" i="28"/>
  <c r="AJ588" i="28"/>
  <c r="AK588" i="28" l="1"/>
  <c r="AF588" i="28"/>
  <c r="AI590" i="28"/>
  <c r="AJ589" i="28"/>
  <c r="AK589" i="28" l="1"/>
  <c r="AF589" i="28"/>
  <c r="AI591" i="28"/>
  <c r="AJ590" i="28"/>
  <c r="AK590" i="28" l="1"/>
  <c r="AF590" i="28"/>
  <c r="AJ591" i="28"/>
  <c r="AI592" i="28"/>
  <c r="AK591" i="28" l="1"/>
  <c r="AF591" i="28"/>
  <c r="AJ592" i="28"/>
  <c r="AI593" i="28"/>
  <c r="AK592" i="28" l="1"/>
  <c r="AF592" i="28"/>
  <c r="AI594" i="28"/>
  <c r="AJ593" i="28"/>
  <c r="AK593" i="28" l="1"/>
  <c r="AF593" i="28"/>
  <c r="AI595" i="28"/>
  <c r="AJ594" i="28"/>
  <c r="AK594" i="28" l="1"/>
  <c r="AF594" i="28"/>
  <c r="AJ595" i="28"/>
  <c r="AI596" i="28"/>
  <c r="AK595" i="28" l="1"/>
  <c r="AF595" i="28"/>
  <c r="AI597" i="28"/>
  <c r="AJ596" i="28"/>
  <c r="AK596" i="28" l="1"/>
  <c r="AF596" i="28"/>
  <c r="AI598" i="28"/>
  <c r="AJ597" i="28"/>
  <c r="AK597" i="28" l="1"/>
  <c r="AF597" i="28"/>
  <c r="AJ598" i="28"/>
  <c r="AI599" i="28"/>
  <c r="AK598" i="28" l="1"/>
  <c r="AF598" i="28"/>
  <c r="AJ599" i="28"/>
  <c r="AI600" i="28"/>
  <c r="AK599" i="28" l="1"/>
  <c r="AF599" i="28"/>
  <c r="AJ600" i="28"/>
  <c r="AI601" i="28"/>
  <c r="AK600" i="28" l="1"/>
  <c r="AF600" i="28"/>
  <c r="AI602" i="28"/>
  <c r="AJ601" i="28"/>
  <c r="AK601" i="28" l="1"/>
  <c r="AF601" i="28"/>
  <c r="AJ602" i="28"/>
  <c r="AI603" i="28"/>
  <c r="AK602" i="28" l="1"/>
  <c r="AF602" i="28"/>
  <c r="AJ603" i="28"/>
  <c r="AI604" i="28"/>
  <c r="AK603" i="28" l="1"/>
  <c r="AF603" i="28"/>
  <c r="AI605" i="28"/>
  <c r="AJ604" i="28"/>
  <c r="AK604" i="28" l="1"/>
  <c r="AF604" i="28"/>
  <c r="AI606" i="28"/>
  <c r="AJ605" i="28"/>
  <c r="AK605" i="28" l="1"/>
  <c r="AF605" i="28"/>
  <c r="AI607" i="28"/>
  <c r="AJ606" i="28"/>
  <c r="AK606" i="28" l="1"/>
  <c r="AF606" i="28"/>
  <c r="AJ607" i="28"/>
  <c r="AI608" i="28"/>
  <c r="AK607" i="28" l="1"/>
  <c r="AF607" i="28"/>
  <c r="AI609" i="28"/>
  <c r="AJ608" i="28"/>
  <c r="AK608" i="28" l="1"/>
  <c r="AF608" i="28"/>
  <c r="AI610" i="28"/>
  <c r="AJ609" i="28"/>
  <c r="AK609" i="28" l="1"/>
  <c r="AF609" i="28"/>
  <c r="AI611" i="28"/>
  <c r="AJ610" i="28"/>
  <c r="AK610" i="28" l="1"/>
  <c r="AF610" i="28"/>
  <c r="AJ611" i="28"/>
  <c r="AI612" i="28"/>
  <c r="AK611" i="28" l="1"/>
  <c r="AF611" i="28"/>
  <c r="AI613" i="28"/>
  <c r="AJ612" i="28"/>
  <c r="AK612" i="28" l="1"/>
  <c r="AF612" i="28"/>
  <c r="AI614" i="28"/>
  <c r="AJ613" i="28"/>
  <c r="AK613" i="28" l="1"/>
  <c r="AF613" i="28"/>
  <c r="AJ614" i="28"/>
  <c r="AI615" i="28"/>
  <c r="AK614" i="28" l="1"/>
  <c r="AF614" i="28"/>
  <c r="AJ615" i="28"/>
  <c r="AI616" i="28"/>
  <c r="AK615" i="28" l="1"/>
  <c r="AF615" i="28"/>
  <c r="AJ616" i="28"/>
  <c r="AI617" i="28"/>
  <c r="AK616" i="28" l="1"/>
  <c r="AF616" i="28"/>
  <c r="AI618" i="28"/>
  <c r="AJ617" i="28"/>
  <c r="AK617" i="28" l="1"/>
  <c r="AF617" i="28"/>
  <c r="AJ618" i="28"/>
  <c r="AI619" i="28"/>
  <c r="AK618" i="28" l="1"/>
  <c r="AF618" i="28"/>
  <c r="AJ619" i="28"/>
  <c r="AI620" i="28"/>
  <c r="AK619" i="28" l="1"/>
  <c r="AF619" i="28"/>
  <c r="AI621" i="28"/>
  <c r="AJ620" i="28"/>
  <c r="AK620" i="28" l="1"/>
  <c r="AF620" i="28"/>
  <c r="AI622" i="28"/>
  <c r="AJ621" i="28"/>
  <c r="AK621" i="28" l="1"/>
  <c r="AF621" i="28"/>
  <c r="AI623" i="28"/>
  <c r="AJ622" i="28"/>
  <c r="AK622" i="28" l="1"/>
  <c r="AF622" i="28"/>
  <c r="AJ623" i="28"/>
  <c r="AI624" i="28"/>
  <c r="AK623" i="28" l="1"/>
  <c r="AF623" i="28"/>
  <c r="AI625" i="28"/>
  <c r="AJ624" i="28"/>
  <c r="AK624" i="28" l="1"/>
  <c r="AF624" i="28"/>
  <c r="AI626" i="28"/>
  <c r="AJ625" i="28"/>
  <c r="AK625" i="28" l="1"/>
  <c r="AF625" i="28"/>
  <c r="AI627" i="28"/>
  <c r="AJ626" i="28"/>
  <c r="AK626" i="28" l="1"/>
  <c r="AF626" i="28"/>
  <c r="AJ627" i="28"/>
  <c r="AI628" i="28"/>
  <c r="AK627" i="28" l="1"/>
  <c r="AF627" i="28"/>
  <c r="AI629" i="28"/>
  <c r="AJ628" i="28"/>
  <c r="AK628" i="28" l="1"/>
  <c r="AF628" i="28"/>
  <c r="AI630" i="28"/>
  <c r="AJ629" i="28"/>
  <c r="AK629" i="28" l="1"/>
  <c r="AF629" i="28"/>
  <c r="AJ630" i="28"/>
  <c r="AI631" i="28"/>
  <c r="AK630" i="28" l="1"/>
  <c r="AF630" i="28"/>
  <c r="AJ631" i="28"/>
  <c r="AI632" i="28"/>
  <c r="AK631" i="28" l="1"/>
  <c r="AF631" i="28"/>
  <c r="AJ632" i="28"/>
  <c r="AI633" i="28"/>
  <c r="AK632" i="28" l="1"/>
  <c r="AF632" i="28"/>
  <c r="AI634" i="28"/>
  <c r="AJ633" i="28"/>
  <c r="AK633" i="28" l="1"/>
  <c r="AF633" i="28"/>
  <c r="AJ634" i="28"/>
  <c r="AI635" i="28"/>
  <c r="AK634" i="28" l="1"/>
  <c r="AF634" i="28"/>
  <c r="AJ635" i="28"/>
  <c r="AI636" i="28"/>
  <c r="AK635" i="28" l="1"/>
  <c r="AF635" i="28"/>
  <c r="AI637" i="28"/>
  <c r="AJ636" i="28"/>
  <c r="AK636" i="28" l="1"/>
  <c r="AF636" i="28"/>
  <c r="AI638" i="28"/>
  <c r="AJ637" i="28"/>
  <c r="AK637" i="28" l="1"/>
  <c r="AF637" i="28"/>
  <c r="AI639" i="28"/>
  <c r="AJ638" i="28"/>
  <c r="AK638" i="28" l="1"/>
  <c r="AF638" i="28"/>
  <c r="AJ639" i="28"/>
  <c r="AI640" i="28"/>
  <c r="AK639" i="28" l="1"/>
  <c r="AF639" i="28"/>
  <c r="AJ640" i="28"/>
  <c r="AI641" i="28"/>
  <c r="AK640" i="28" l="1"/>
  <c r="AF640" i="28"/>
  <c r="AI642" i="28"/>
  <c r="AJ641" i="28"/>
  <c r="AK641" i="28" l="1"/>
  <c r="AF641" i="28"/>
  <c r="AI643" i="28"/>
  <c r="AJ642" i="28"/>
  <c r="AK642" i="28" l="1"/>
  <c r="AF642" i="28"/>
  <c r="AJ643" i="28"/>
  <c r="AI644" i="28"/>
  <c r="AK643" i="28" l="1"/>
  <c r="AF643" i="28"/>
  <c r="AI645" i="28"/>
  <c r="AJ644" i="28"/>
  <c r="AK644" i="28" l="1"/>
  <c r="AF644" i="28"/>
  <c r="AI646" i="28"/>
  <c r="AJ645" i="28"/>
  <c r="AK645" i="28" l="1"/>
  <c r="AF645" i="28"/>
  <c r="AI647" i="28"/>
  <c r="AJ646" i="28"/>
  <c r="AK646" i="28" l="1"/>
  <c r="AF646" i="28"/>
  <c r="AJ647" i="28"/>
  <c r="AI648" i="28"/>
  <c r="AK647" i="28" l="1"/>
  <c r="AF647" i="28"/>
  <c r="AJ648" i="28"/>
  <c r="AI649" i="28"/>
  <c r="AK648" i="28" l="1"/>
  <c r="AF648" i="28"/>
  <c r="AI650" i="28"/>
  <c r="AJ649" i="28"/>
  <c r="AK649" i="28" l="1"/>
  <c r="AF649" i="28"/>
  <c r="AJ650" i="28"/>
  <c r="AI651" i="28"/>
  <c r="AK650" i="28" l="1"/>
  <c r="AF650" i="28"/>
  <c r="AJ651" i="28"/>
  <c r="AI652" i="28"/>
  <c r="AK651" i="28" l="1"/>
  <c r="AF651" i="28"/>
  <c r="AI653" i="28"/>
  <c r="AJ652" i="28"/>
  <c r="AK652" i="28" l="1"/>
  <c r="AF652" i="28"/>
  <c r="AI654" i="28"/>
  <c r="AJ653" i="28"/>
  <c r="AK653" i="28" l="1"/>
  <c r="AF653" i="28"/>
  <c r="AJ654" i="28"/>
  <c r="AI655" i="28"/>
  <c r="AK654" i="28" l="1"/>
  <c r="AF654" i="28"/>
  <c r="AJ655" i="28"/>
  <c r="AI656" i="28"/>
  <c r="AK655" i="28" l="1"/>
  <c r="AF655" i="28"/>
  <c r="AJ656" i="28"/>
  <c r="AI657" i="28"/>
  <c r="AK656" i="28" l="1"/>
  <c r="AF656" i="28"/>
  <c r="AI658" i="28"/>
  <c r="AJ657" i="28"/>
  <c r="AK657" i="28" l="1"/>
  <c r="AF657" i="28"/>
  <c r="AI659" i="28"/>
  <c r="AJ658" i="28"/>
  <c r="AK658" i="28" l="1"/>
  <c r="AF658" i="28"/>
  <c r="AJ659" i="28"/>
  <c r="AI660" i="28"/>
  <c r="AK659" i="28" l="1"/>
  <c r="AF659" i="28"/>
  <c r="AI661" i="28"/>
  <c r="AJ660" i="28"/>
  <c r="AK660" i="28" l="1"/>
  <c r="AF660" i="28"/>
  <c r="AI662" i="28"/>
  <c r="AJ661" i="28"/>
  <c r="AK661" i="28" l="1"/>
  <c r="AF661" i="28"/>
  <c r="AJ662" i="28"/>
  <c r="AI663" i="28"/>
  <c r="AK662" i="28" l="1"/>
  <c r="AF662" i="28"/>
  <c r="AJ663" i="28"/>
  <c r="AI664" i="28"/>
  <c r="AK663" i="28" l="1"/>
  <c r="AF663" i="28"/>
  <c r="AJ664" i="28"/>
  <c r="AI665" i="28"/>
  <c r="AK664" i="28" l="1"/>
  <c r="AF664" i="28"/>
  <c r="AI666" i="28"/>
  <c r="AJ665" i="28"/>
  <c r="AK665" i="28" l="1"/>
  <c r="AF665" i="28"/>
  <c r="AJ666" i="28"/>
  <c r="AI667" i="28"/>
  <c r="AK666" i="28" l="1"/>
  <c r="AF666" i="28"/>
  <c r="AJ667" i="28"/>
  <c r="AI668" i="28"/>
  <c r="AK667" i="28" l="1"/>
  <c r="AF667" i="28"/>
  <c r="AJ668" i="28"/>
  <c r="AI669" i="28"/>
  <c r="AK668" i="28" l="1"/>
  <c r="AF668" i="28"/>
  <c r="AI670" i="28"/>
  <c r="AJ669" i="28"/>
  <c r="AK669" i="28" l="1"/>
  <c r="AF669" i="28"/>
  <c r="AI671" i="28"/>
  <c r="AJ670" i="28"/>
  <c r="AK670" i="28" l="1"/>
  <c r="AF670" i="28"/>
  <c r="AJ671" i="28"/>
  <c r="AI672" i="28"/>
  <c r="AK671" i="28" l="1"/>
  <c r="AF671" i="28"/>
  <c r="AI673" i="28"/>
  <c r="AJ672" i="28"/>
  <c r="AK672" i="28" l="1"/>
  <c r="AF672" i="28"/>
  <c r="AI674" i="28"/>
  <c r="AJ673" i="28"/>
  <c r="AK673" i="28" l="1"/>
  <c r="AF673" i="28"/>
  <c r="AI675" i="28"/>
  <c r="AJ674" i="28"/>
  <c r="AK674" i="28" l="1"/>
  <c r="AF674" i="28"/>
  <c r="AJ675" i="28"/>
  <c r="AI676" i="28"/>
  <c r="AK675" i="28" l="1"/>
  <c r="AF675" i="28"/>
  <c r="AI677" i="28"/>
  <c r="AJ676" i="28"/>
  <c r="AK676" i="28" l="1"/>
  <c r="AF676" i="28"/>
  <c r="AI678" i="28"/>
  <c r="AJ677" i="28"/>
  <c r="AK677" i="28" l="1"/>
  <c r="AF677" i="28"/>
  <c r="AI679" i="28"/>
  <c r="AJ678" i="28"/>
  <c r="AK678" i="28" l="1"/>
  <c r="AF678" i="28"/>
  <c r="AJ679" i="28"/>
  <c r="AI680" i="28"/>
  <c r="AK679" i="28" l="1"/>
  <c r="AF679" i="28"/>
  <c r="AJ680" i="28"/>
  <c r="AI681" i="28"/>
  <c r="AK680" i="28" l="1"/>
  <c r="AF680" i="28"/>
  <c r="AI682" i="28"/>
  <c r="AJ681" i="28"/>
  <c r="AK681" i="28" l="1"/>
  <c r="AF681" i="28"/>
  <c r="AJ682" i="28"/>
  <c r="AI683" i="28"/>
  <c r="AK682" i="28" l="1"/>
  <c r="AF682" i="28"/>
  <c r="AJ683" i="28"/>
  <c r="AI684" i="28"/>
  <c r="AK683" i="28" l="1"/>
  <c r="AF683" i="28"/>
  <c r="AI685" i="28"/>
  <c r="AJ684" i="28"/>
  <c r="AK684" i="28" l="1"/>
  <c r="AF684" i="28"/>
  <c r="AI686" i="28"/>
  <c r="AJ685" i="28"/>
  <c r="AK685" i="28" l="1"/>
  <c r="AF685" i="28"/>
  <c r="AJ686" i="28"/>
  <c r="AI687" i="28"/>
  <c r="AK686" i="28" l="1"/>
  <c r="AF686" i="28"/>
  <c r="AJ687" i="28"/>
  <c r="AI688" i="28"/>
  <c r="AK687" i="28" l="1"/>
  <c r="AF687" i="28"/>
  <c r="AJ688" i="28"/>
  <c r="AI689" i="28"/>
  <c r="AK688" i="28" l="1"/>
  <c r="AF688" i="28"/>
  <c r="AI690" i="28"/>
  <c r="AJ689" i="28"/>
  <c r="AK689" i="28" l="1"/>
  <c r="AF689" i="28"/>
  <c r="AI691" i="28"/>
  <c r="AJ690" i="28"/>
  <c r="AK690" i="28" l="1"/>
  <c r="AF690" i="28"/>
  <c r="AJ691" i="28"/>
  <c r="AI692" i="28"/>
  <c r="AK691" i="28" l="1"/>
  <c r="AF691" i="28"/>
  <c r="AI693" i="28"/>
  <c r="AJ692" i="28"/>
  <c r="AK692" i="28" l="1"/>
  <c r="AF692" i="28"/>
  <c r="AI694" i="28"/>
  <c r="AJ693" i="28"/>
  <c r="AK693" i="28" l="1"/>
  <c r="AF693" i="28"/>
  <c r="AJ694" i="28"/>
  <c r="AI695" i="28"/>
  <c r="AK694" i="28" l="1"/>
  <c r="AF694" i="28"/>
  <c r="AJ695" i="28"/>
  <c r="AI696" i="28"/>
  <c r="AK695" i="28" l="1"/>
  <c r="AF695" i="28"/>
  <c r="AJ696" i="28"/>
  <c r="AI697" i="28"/>
  <c r="AK696" i="28" l="1"/>
  <c r="AF696" i="28"/>
  <c r="AI698" i="28"/>
  <c r="AJ697" i="28"/>
  <c r="AK697" i="28" l="1"/>
  <c r="AF697" i="28"/>
  <c r="AJ698" i="28"/>
  <c r="AI699" i="28"/>
  <c r="AK698" i="28" l="1"/>
  <c r="AF698" i="28"/>
  <c r="AJ699" i="28"/>
  <c r="AI700" i="28"/>
  <c r="AK699" i="28" l="1"/>
  <c r="AF699" i="28"/>
  <c r="AI701" i="28"/>
  <c r="AJ700" i="28"/>
  <c r="AK700" i="28" l="1"/>
  <c r="AF700" i="28"/>
  <c r="AI702" i="28"/>
  <c r="AJ701" i="28"/>
  <c r="AK701" i="28" l="1"/>
  <c r="AF701" i="28"/>
  <c r="AJ702" i="28"/>
  <c r="AI703" i="28"/>
  <c r="AK702" i="28" l="1"/>
  <c r="AF702" i="28"/>
  <c r="AJ703" i="28"/>
  <c r="AI704" i="28"/>
  <c r="AK703" i="28" l="1"/>
  <c r="AF703" i="28"/>
  <c r="AI705" i="28"/>
  <c r="AJ704" i="28"/>
  <c r="AK704" i="28" l="1"/>
  <c r="AF704" i="28"/>
  <c r="AI706" i="28"/>
  <c r="AJ705" i="28"/>
  <c r="AK705" i="28" l="1"/>
  <c r="AF705" i="28"/>
  <c r="AI707" i="28"/>
  <c r="AJ706" i="28"/>
  <c r="AK706" i="28" l="1"/>
  <c r="AF706" i="28"/>
  <c r="AJ707" i="28"/>
  <c r="AI708" i="28"/>
  <c r="AK707" i="28" l="1"/>
  <c r="AF707" i="28"/>
  <c r="AI709" i="28"/>
  <c r="AJ708" i="28"/>
  <c r="AK708" i="28" l="1"/>
  <c r="AF708" i="28"/>
  <c r="AI710" i="28"/>
  <c r="AJ709" i="28"/>
  <c r="AK709" i="28" l="1"/>
  <c r="AF709" i="28"/>
  <c r="AJ710" i="28"/>
  <c r="AI711" i="28"/>
  <c r="AK710" i="28" l="1"/>
  <c r="AF710" i="28"/>
  <c r="AJ711" i="28"/>
  <c r="AI712" i="28"/>
  <c r="AK711" i="28" l="1"/>
  <c r="AF711" i="28"/>
  <c r="AJ712" i="28"/>
  <c r="AI713" i="28"/>
  <c r="AK712" i="28" l="1"/>
  <c r="AF712" i="28"/>
  <c r="AI714" i="28"/>
  <c r="AJ713" i="28"/>
  <c r="AK713" i="28" l="1"/>
  <c r="AF713" i="28"/>
  <c r="AJ714" i="28"/>
  <c r="AI715" i="28"/>
  <c r="AK714" i="28" l="1"/>
  <c r="AF714" i="28"/>
  <c r="AJ715" i="28"/>
  <c r="AI716" i="28"/>
  <c r="AK715" i="28" l="1"/>
  <c r="AF715" i="28"/>
  <c r="AI717" i="28"/>
  <c r="AJ716" i="28"/>
  <c r="AK716" i="28" l="1"/>
  <c r="AF716" i="28"/>
  <c r="AI718" i="28"/>
  <c r="AJ717" i="28"/>
  <c r="AK717" i="28" l="1"/>
  <c r="AF717" i="28"/>
  <c r="AI719" i="28"/>
  <c r="AJ718" i="28"/>
  <c r="AK718" i="28" l="1"/>
  <c r="AF718" i="28"/>
  <c r="AJ719" i="28"/>
  <c r="AI720" i="28"/>
  <c r="AK719" i="28" l="1"/>
  <c r="AF719" i="28"/>
  <c r="AJ720" i="28"/>
  <c r="AI721" i="28"/>
  <c r="AK720" i="28" l="1"/>
  <c r="AF720" i="28"/>
  <c r="AI722" i="28"/>
  <c r="AJ721" i="28"/>
  <c r="AK721" i="28" l="1"/>
  <c r="AF721" i="28"/>
  <c r="AI723" i="28"/>
  <c r="AJ722" i="28"/>
  <c r="AK722" i="28" l="1"/>
  <c r="AF722" i="28"/>
  <c r="AJ723" i="28"/>
  <c r="AI724" i="28"/>
  <c r="AK723" i="28" l="1"/>
  <c r="AF723" i="28"/>
  <c r="AI725" i="28"/>
  <c r="AJ724" i="28"/>
  <c r="AK724" i="28" l="1"/>
  <c r="AF724" i="28"/>
  <c r="AI726" i="28"/>
  <c r="AJ725" i="28"/>
  <c r="AK725" i="28" l="1"/>
  <c r="AF725" i="28"/>
  <c r="AI727" i="28"/>
  <c r="AJ726" i="28"/>
  <c r="AK726" i="28" l="1"/>
  <c r="AF726" i="28"/>
  <c r="AJ727" i="28"/>
  <c r="AI728" i="28"/>
  <c r="AK727" i="28" l="1"/>
  <c r="AF727" i="28"/>
  <c r="AJ728" i="28"/>
  <c r="AI729" i="28"/>
  <c r="AK728" i="28" l="1"/>
  <c r="AF728" i="28"/>
  <c r="AI730" i="28"/>
  <c r="AJ729" i="28"/>
  <c r="AK729" i="28" l="1"/>
  <c r="AF729" i="28"/>
  <c r="AJ730" i="28"/>
  <c r="AI731" i="28"/>
  <c r="AK730" i="28" l="1"/>
  <c r="AF730" i="28"/>
  <c r="AJ731" i="28"/>
  <c r="AI732" i="28"/>
  <c r="AK731" i="28" l="1"/>
  <c r="AF731" i="28"/>
  <c r="AJ732" i="28"/>
  <c r="AI733" i="28"/>
  <c r="AK732" i="28" l="1"/>
  <c r="AF732" i="28"/>
  <c r="AI734" i="28"/>
  <c r="AJ733" i="28"/>
  <c r="AK733" i="28" l="1"/>
  <c r="AF733" i="28"/>
  <c r="AJ734" i="28"/>
  <c r="AI735" i="28"/>
  <c r="AK734" i="28" l="1"/>
  <c r="AF734" i="28"/>
  <c r="AJ735" i="28"/>
  <c r="AI736" i="28"/>
  <c r="AK735" i="28" l="1"/>
  <c r="AF735" i="28"/>
  <c r="AI737" i="28"/>
  <c r="AJ736" i="28"/>
  <c r="AK736" i="28" l="1"/>
  <c r="AF736" i="28"/>
  <c r="AI738" i="28"/>
  <c r="AJ737" i="28"/>
  <c r="AK737" i="28" l="1"/>
  <c r="AF737" i="28"/>
  <c r="AI739" i="28"/>
  <c r="AJ738" i="28"/>
  <c r="AK738" i="28" l="1"/>
  <c r="AF738" i="28"/>
  <c r="AJ739" i="28"/>
  <c r="AI740" i="28"/>
  <c r="AK739" i="28" l="1"/>
  <c r="AF739" i="28"/>
  <c r="AI741" i="28"/>
  <c r="AJ740" i="28"/>
  <c r="AK740" i="28" l="1"/>
  <c r="AF740" i="28"/>
  <c r="AI742" i="28"/>
  <c r="AJ741" i="28"/>
  <c r="AK741" i="28" l="1"/>
  <c r="AF741" i="28"/>
  <c r="AI743" i="28"/>
  <c r="AJ742" i="28"/>
  <c r="AK742" i="28" l="1"/>
  <c r="AF742" i="28"/>
  <c r="AJ743" i="28"/>
  <c r="AI744" i="28"/>
  <c r="AK743" i="28" l="1"/>
  <c r="AF743" i="28"/>
  <c r="AI745" i="28"/>
  <c r="AJ744" i="28"/>
  <c r="AK744" i="28" l="1"/>
  <c r="AF744" i="28"/>
  <c r="AI746" i="28"/>
  <c r="AJ745" i="28"/>
  <c r="AK745" i="28" l="1"/>
  <c r="AF745" i="28"/>
  <c r="AJ746" i="28"/>
  <c r="AI747" i="28"/>
  <c r="AK746" i="28" l="1"/>
  <c r="AF746" i="28"/>
  <c r="AJ747" i="28"/>
  <c r="AI748" i="28"/>
  <c r="AK747" i="28" l="1"/>
  <c r="AF747" i="28"/>
  <c r="AJ748" i="28"/>
  <c r="AI749" i="28"/>
  <c r="AK748" i="28" l="1"/>
  <c r="AF748" i="28"/>
  <c r="AI750" i="28"/>
  <c r="AJ749" i="28"/>
  <c r="AK749" i="28" l="1"/>
  <c r="AF749" i="28"/>
  <c r="AJ750" i="28"/>
  <c r="AI751" i="28"/>
  <c r="AK750" i="28" l="1"/>
  <c r="AF750" i="28"/>
  <c r="AJ751" i="28"/>
  <c r="AI752" i="28"/>
  <c r="AK751" i="28" l="1"/>
  <c r="AF751" i="28"/>
  <c r="AI753" i="28"/>
  <c r="AJ752" i="28"/>
  <c r="AK752" i="28" l="1"/>
  <c r="AF752" i="28"/>
  <c r="AI754" i="28"/>
  <c r="AJ753" i="28"/>
  <c r="AK753" i="28" l="1"/>
  <c r="AF753" i="28"/>
  <c r="AI755" i="28"/>
  <c r="AJ754" i="28"/>
  <c r="AK754" i="28" l="1"/>
  <c r="AF754" i="28"/>
  <c r="AJ755" i="28"/>
  <c r="AI756" i="28"/>
  <c r="AK755" i="28" l="1"/>
  <c r="AF755" i="28"/>
  <c r="AI757" i="28"/>
  <c r="AJ756" i="28"/>
  <c r="AK756" i="28" l="1"/>
  <c r="AF756" i="28"/>
  <c r="AI758" i="28"/>
  <c r="AJ757" i="28"/>
  <c r="AK757" i="28" l="1"/>
  <c r="AF757" i="28"/>
  <c r="AI759" i="28"/>
  <c r="AJ758" i="28"/>
  <c r="AK758" i="28" l="1"/>
  <c r="AF758" i="28"/>
  <c r="AJ759" i="28"/>
  <c r="AI760" i="28"/>
  <c r="AK759" i="28" l="1"/>
  <c r="AF759" i="28"/>
  <c r="AI761" i="28"/>
  <c r="AJ760" i="28"/>
  <c r="AK760" i="28" l="1"/>
  <c r="AF760" i="28"/>
  <c r="AI762" i="28"/>
  <c r="AJ761" i="28"/>
  <c r="AK761" i="28" l="1"/>
  <c r="AF761" i="28"/>
  <c r="AJ762" i="28"/>
  <c r="AI763" i="28"/>
  <c r="AK762" i="28" l="1"/>
  <c r="AF762" i="28"/>
  <c r="AJ763" i="28"/>
  <c r="AI764" i="28"/>
  <c r="AK763" i="28" l="1"/>
  <c r="AF763" i="28"/>
  <c r="AJ764" i="28"/>
  <c r="AI765" i="28"/>
  <c r="AK764" i="28" l="1"/>
  <c r="AF764" i="28"/>
  <c r="AI766" i="28"/>
  <c r="AJ765" i="28"/>
  <c r="AK765" i="28" l="1"/>
  <c r="AF765" i="28"/>
  <c r="AJ766" i="28"/>
  <c r="AI767" i="28"/>
  <c r="AK766" i="28" l="1"/>
  <c r="AF766" i="28"/>
  <c r="AJ767" i="28"/>
  <c r="AI768" i="28"/>
  <c r="AK767" i="28" l="1"/>
  <c r="AF767" i="28"/>
  <c r="AI769" i="28"/>
  <c r="AJ768" i="28"/>
  <c r="AK768" i="28" l="1"/>
  <c r="AF768" i="28"/>
  <c r="AI770" i="28"/>
  <c r="AJ769" i="28"/>
  <c r="AK769" i="28" l="1"/>
  <c r="AF769" i="28"/>
  <c r="AI771" i="28"/>
  <c r="AJ770" i="28"/>
  <c r="AK770" i="28" l="1"/>
  <c r="AF770" i="28"/>
  <c r="AJ771" i="28"/>
  <c r="AI772" i="28"/>
  <c r="AK771" i="28" l="1"/>
  <c r="AF771" i="28"/>
  <c r="AI773" i="28"/>
  <c r="AJ772" i="28"/>
  <c r="AK772" i="28" l="1"/>
  <c r="AF772" i="28"/>
  <c r="AI774" i="28"/>
  <c r="AJ773" i="28"/>
  <c r="AK773" i="28" l="1"/>
  <c r="AF773" i="28"/>
  <c r="AI775" i="28"/>
  <c r="AJ774" i="28"/>
  <c r="AK774" i="28" l="1"/>
  <c r="AF774" i="28"/>
  <c r="AJ775" i="28"/>
  <c r="AI776" i="28"/>
  <c r="AK775" i="28" l="1"/>
  <c r="AF775" i="28"/>
  <c r="AI777" i="28"/>
  <c r="AJ776" i="28"/>
  <c r="AK776" i="28" l="1"/>
  <c r="AF776" i="28"/>
  <c r="AI778" i="28"/>
  <c r="AJ777" i="28"/>
  <c r="AK777" i="28" l="1"/>
  <c r="AF777" i="28"/>
  <c r="AJ778" i="28"/>
  <c r="AI779" i="28"/>
  <c r="AK778" i="28" l="1"/>
  <c r="AF778" i="28"/>
  <c r="AJ779" i="28"/>
  <c r="AI780" i="28"/>
  <c r="AK779" i="28" l="1"/>
  <c r="AF779" i="28"/>
  <c r="AJ780" i="28"/>
  <c r="AI781" i="28"/>
  <c r="AK780" i="28" l="1"/>
  <c r="AF780" i="28"/>
  <c r="AI782" i="28"/>
  <c r="AJ781" i="28"/>
  <c r="AK781" i="28" l="1"/>
  <c r="AF781" i="28"/>
  <c r="AJ782" i="28"/>
  <c r="AI783" i="28"/>
  <c r="AK782" i="28" l="1"/>
  <c r="AF782" i="28"/>
  <c r="AJ783" i="28"/>
  <c r="AI784" i="28"/>
  <c r="AK783" i="28" l="1"/>
  <c r="AF783" i="28"/>
  <c r="AI785" i="28"/>
  <c r="AJ784" i="28"/>
  <c r="AK784" i="28" l="1"/>
  <c r="AF784" i="28"/>
  <c r="AI786" i="28"/>
  <c r="AJ785" i="28"/>
  <c r="AK785" i="28" l="1"/>
  <c r="AF785" i="28"/>
  <c r="AI787" i="28"/>
  <c r="AJ786" i="28"/>
  <c r="AK786" i="28" l="1"/>
  <c r="AF786" i="28"/>
  <c r="AJ787" i="28"/>
  <c r="AI788" i="28"/>
  <c r="AK787" i="28" l="1"/>
  <c r="AF787" i="28"/>
  <c r="AI789" i="28"/>
  <c r="AJ788" i="28"/>
  <c r="AK788" i="28" l="1"/>
  <c r="AF788" i="28"/>
  <c r="AI790" i="28"/>
  <c r="AJ789" i="28"/>
  <c r="AK789" i="28" l="1"/>
  <c r="AF789" i="28"/>
  <c r="AI791" i="28"/>
  <c r="AJ790" i="28"/>
  <c r="AK790" i="28" l="1"/>
  <c r="AF790" i="28"/>
  <c r="AJ791" i="28"/>
  <c r="AI792" i="28"/>
  <c r="AK791" i="28" l="1"/>
  <c r="AF791" i="28"/>
  <c r="AI793" i="28"/>
  <c r="AJ792" i="28"/>
  <c r="AK792" i="28" l="1"/>
  <c r="AF792" i="28"/>
  <c r="AI794" i="28"/>
  <c r="AI795" i="28" s="1"/>
  <c r="AJ793" i="28"/>
  <c r="AI796" i="28" l="1"/>
  <c r="AJ795" i="28"/>
  <c r="AK793" i="28"/>
  <c r="AF793" i="28"/>
  <c r="AJ794" i="28"/>
  <c r="AJ796" i="28" l="1"/>
  <c r="AI797" i="28"/>
  <c r="AF795" i="28"/>
  <c r="AK795" i="28"/>
  <c r="AD795" i="28"/>
  <c r="D795" i="28"/>
  <c r="AK794" i="28"/>
  <c r="AF794" i="28"/>
  <c r="J795" i="28" l="1"/>
  <c r="I795" i="28"/>
  <c r="AI798" i="28"/>
  <c r="AJ797" i="28"/>
  <c r="C795" i="28"/>
  <c r="AE795" i="28"/>
  <c r="AK796" i="28"/>
  <c r="AF796" i="28"/>
  <c r="D796" i="28"/>
  <c r="AD796" i="28"/>
  <c r="C796" i="28" l="1"/>
  <c r="AE796" i="28"/>
  <c r="D797" i="28"/>
  <c r="AK797" i="28"/>
  <c r="AF797" i="28"/>
  <c r="AD797" i="28"/>
  <c r="I796" i="28"/>
  <c r="J796" i="28"/>
  <c r="AI799" i="28"/>
  <c r="AJ798" i="28"/>
  <c r="AJ799" i="28" l="1"/>
  <c r="AI800" i="28"/>
  <c r="C797" i="28"/>
  <c r="AE797" i="28"/>
  <c r="I797" i="28"/>
  <c r="J797" i="28"/>
  <c r="AD798" i="28"/>
  <c r="D798" i="28"/>
  <c r="AF798" i="28"/>
  <c r="AK798" i="28"/>
  <c r="I798" i="28" l="1"/>
  <c r="J798" i="28"/>
  <c r="C798" i="28"/>
  <c r="AE798" i="28"/>
  <c r="AI801" i="28"/>
  <c r="AJ800" i="28"/>
  <c r="D799" i="28"/>
  <c r="AF799" i="28"/>
  <c r="AK799" i="28"/>
  <c r="AD799" i="28"/>
  <c r="C799" i="28" l="1"/>
  <c r="AE799" i="28"/>
  <c r="AK800" i="28"/>
  <c r="AD800" i="28"/>
  <c r="D800" i="28"/>
  <c r="AF800" i="28"/>
  <c r="AI802" i="28"/>
  <c r="AJ801" i="28"/>
  <c r="I799" i="28"/>
  <c r="J799" i="28"/>
  <c r="C800" i="28" l="1"/>
  <c r="AE800" i="28"/>
  <c r="I800" i="28"/>
  <c r="J800" i="28"/>
  <c r="AF801" i="28"/>
  <c r="D801" i="28"/>
  <c r="AK801" i="28"/>
  <c r="AD801" i="28"/>
  <c r="AJ802" i="28"/>
  <c r="AI803" i="28"/>
  <c r="J801" i="28" l="1"/>
  <c r="I801" i="28"/>
  <c r="AK802" i="28"/>
  <c r="D802" i="28"/>
  <c r="AD802" i="28"/>
  <c r="AF802" i="28"/>
  <c r="AJ803" i="28"/>
  <c r="AI804" i="28"/>
  <c r="C801" i="28"/>
  <c r="AE801" i="28"/>
  <c r="C802" i="28" l="1"/>
  <c r="AE802" i="28"/>
  <c r="AI805" i="28"/>
  <c r="AJ804" i="28"/>
  <c r="D803" i="28"/>
  <c r="AF803" i="28"/>
  <c r="AK803" i="28"/>
  <c r="AD803" i="28"/>
  <c r="I802" i="28"/>
  <c r="J802" i="28"/>
  <c r="J803" i="28" l="1"/>
  <c r="I803" i="28"/>
  <c r="AK804" i="28"/>
  <c r="AD804" i="28"/>
  <c r="D804" i="28"/>
  <c r="AF804" i="28"/>
  <c r="C803" i="28"/>
  <c r="AE803" i="28"/>
  <c r="AI806" i="28"/>
  <c r="AJ805" i="28"/>
  <c r="AF805" i="28" l="1"/>
  <c r="D805" i="28"/>
  <c r="AK805" i="28"/>
  <c r="AD805" i="28"/>
  <c r="I804" i="28"/>
  <c r="J804" i="28"/>
  <c r="AI807" i="28"/>
  <c r="AJ806" i="28"/>
  <c r="C804" i="28"/>
  <c r="AE804" i="28"/>
  <c r="AI808" i="28" l="1"/>
  <c r="AJ807" i="28"/>
  <c r="J805" i="28"/>
  <c r="I805" i="28"/>
  <c r="C805" i="28"/>
  <c r="AE805" i="28"/>
  <c r="AK806" i="28"/>
  <c r="D806" i="28"/>
  <c r="AF806" i="28"/>
  <c r="AD806" i="28"/>
  <c r="I806" i="28" l="1"/>
  <c r="J806" i="28"/>
  <c r="AK807" i="28"/>
  <c r="AF807" i="28"/>
  <c r="C806" i="28"/>
  <c r="AE806" i="28"/>
  <c r="AI809" i="28"/>
  <c r="AJ808" i="28"/>
  <c r="AI810" i="28" l="1"/>
  <c r="AJ809" i="28"/>
  <c r="AF808" i="28"/>
  <c r="AK808" i="28"/>
  <c r="AK809" i="28" l="1"/>
  <c r="AF809" i="28"/>
  <c r="AI811" i="28"/>
  <c r="AJ810" i="28"/>
  <c r="AK810" i="28" l="1"/>
  <c r="AF810" i="28"/>
  <c r="AI812" i="28"/>
  <c r="AJ811" i="28"/>
  <c r="AK811" i="28" l="1"/>
  <c r="AF811" i="28"/>
  <c r="AI813" i="28"/>
  <c r="AJ812" i="28"/>
  <c r="AF812" i="28" l="1"/>
  <c r="AK812" i="28"/>
  <c r="AI814" i="28"/>
  <c r="AJ813" i="28"/>
  <c r="AK813" i="28" l="1"/>
  <c r="AF813" i="28"/>
  <c r="AI815" i="28"/>
  <c r="AJ814" i="28"/>
  <c r="AK814" i="28" l="1"/>
  <c r="AF814" i="28"/>
  <c r="AI816" i="28"/>
  <c r="AJ815" i="28"/>
  <c r="AI817" i="28" l="1"/>
  <c r="AJ816" i="28"/>
  <c r="AF815" i="28"/>
  <c r="AK815" i="28"/>
  <c r="AI818" i="28" l="1"/>
  <c r="AJ817" i="28"/>
  <c r="AK816" i="28"/>
  <c r="AF816" i="28"/>
  <c r="AI819" i="28" l="1"/>
  <c r="AJ818" i="28"/>
  <c r="AK817" i="28"/>
  <c r="AF817" i="28"/>
  <c r="AK818" i="28" l="1"/>
  <c r="AF818" i="28"/>
  <c r="AI820" i="28"/>
  <c r="AJ819" i="28"/>
  <c r="AK819" i="28" l="1"/>
  <c r="AF819" i="28"/>
  <c r="AI821" i="28"/>
  <c r="AJ820" i="28"/>
  <c r="AK820" i="28" l="1"/>
  <c r="AF820" i="28"/>
  <c r="AI822" i="28"/>
  <c r="AJ821" i="28"/>
  <c r="AI823" i="28" l="1"/>
  <c r="AJ822" i="28"/>
  <c r="AK821" i="28"/>
  <c r="AF821" i="28"/>
  <c r="AK822" i="28" l="1"/>
  <c r="AF822" i="28"/>
  <c r="AI824" i="28"/>
  <c r="AJ823" i="28"/>
  <c r="AI825" i="28" l="1"/>
  <c r="AJ824" i="28"/>
  <c r="AF823" i="28"/>
  <c r="AK823" i="28"/>
  <c r="AI826" i="28" l="1"/>
  <c r="AJ825" i="28"/>
  <c r="AK824" i="28"/>
  <c r="AF824" i="28"/>
  <c r="AK825" i="28" l="1"/>
  <c r="AF825" i="28"/>
  <c r="AI827" i="28"/>
  <c r="AJ826" i="28"/>
  <c r="AK826" i="28" l="1"/>
  <c r="AF826" i="28"/>
  <c r="AI828" i="28"/>
  <c r="AJ827" i="28"/>
  <c r="AK827" i="28" l="1"/>
  <c r="AF827" i="28"/>
  <c r="AI829" i="28"/>
  <c r="AJ828" i="28"/>
  <c r="AK828" i="28" l="1"/>
  <c r="AF828" i="28"/>
  <c r="AI830" i="28"/>
  <c r="AJ829" i="28"/>
  <c r="AF829" i="28" l="1"/>
  <c r="AK829" i="28"/>
  <c r="AI831" i="28"/>
  <c r="AJ830" i="28"/>
  <c r="AK830" i="28" l="1"/>
  <c r="AF830" i="28"/>
  <c r="AI832" i="28"/>
  <c r="AJ831" i="28"/>
  <c r="AK831" i="28" l="1"/>
  <c r="AF831" i="28"/>
  <c r="AI833" i="28"/>
  <c r="AJ832" i="28"/>
  <c r="AK832" i="28" l="1"/>
  <c r="AF832" i="28"/>
  <c r="AI834" i="28"/>
  <c r="AJ833" i="28"/>
  <c r="AK833" i="28" l="1"/>
  <c r="AF833" i="28"/>
  <c r="AI835" i="28"/>
  <c r="AJ834" i="28"/>
  <c r="AK834" i="28" l="1"/>
  <c r="AF834" i="28"/>
  <c r="AI836" i="28"/>
  <c r="AJ835" i="28"/>
  <c r="AK835" i="28" l="1"/>
  <c r="AF835" i="28"/>
  <c r="AI837" i="28"/>
  <c r="AJ836" i="28"/>
  <c r="AI838" i="28" l="1"/>
  <c r="AJ837" i="28"/>
  <c r="AK836" i="28"/>
  <c r="AF836" i="28"/>
  <c r="AF837" i="28" l="1"/>
  <c r="AK837" i="28"/>
  <c r="AI839" i="28"/>
  <c r="AJ838" i="28"/>
  <c r="AK838" i="28" l="1"/>
  <c r="AF838" i="28"/>
  <c r="AI840" i="28"/>
  <c r="AJ839" i="28"/>
  <c r="AK839" i="28" l="1"/>
  <c r="AF839" i="28"/>
  <c r="AI841" i="28"/>
  <c r="AJ840" i="28"/>
  <c r="AF840" i="28" l="1"/>
  <c r="AK840" i="28"/>
  <c r="AI842" i="28"/>
  <c r="AJ841" i="28"/>
  <c r="AF841" i="28" l="1"/>
  <c r="AK841" i="28"/>
  <c r="AI843" i="28"/>
  <c r="AJ842" i="28"/>
  <c r="AF842" i="28" l="1"/>
  <c r="AK842" i="28"/>
  <c r="AI844" i="28"/>
  <c r="AJ843" i="28"/>
  <c r="AK843" i="28" l="1"/>
  <c r="AF843" i="28"/>
  <c r="AI845" i="28"/>
  <c r="AJ844" i="28"/>
  <c r="AF844" i="28" l="1"/>
  <c r="AK844" i="28"/>
  <c r="AI846" i="28"/>
  <c r="AJ845" i="28"/>
  <c r="AK845" i="28" l="1"/>
  <c r="AF845" i="28"/>
  <c r="AI847" i="28"/>
  <c r="AJ846" i="28"/>
  <c r="AK846" i="28" l="1"/>
  <c r="AF846" i="28"/>
  <c r="AI848" i="28"/>
  <c r="AJ847" i="28"/>
  <c r="AI849" i="28" l="1"/>
  <c r="AJ848" i="28"/>
  <c r="AF847" i="28"/>
  <c r="AK847" i="28"/>
  <c r="AK848" i="28" l="1"/>
  <c r="AF848" i="28"/>
  <c r="AI850" i="28"/>
  <c r="AJ849" i="28"/>
  <c r="AK849" i="28" l="1"/>
  <c r="AF849" i="28"/>
  <c r="AI851" i="28"/>
  <c r="AJ850" i="28"/>
  <c r="AI852" i="28" l="1"/>
  <c r="AJ851" i="28"/>
  <c r="AF850" i="28"/>
  <c r="AK850" i="28"/>
  <c r="AK851" i="28" l="1"/>
  <c r="AF851" i="28"/>
  <c r="AI853" i="28"/>
  <c r="AJ852" i="28"/>
  <c r="AK852" i="28" l="1"/>
  <c r="AF852" i="28"/>
  <c r="AI854" i="28"/>
  <c r="AJ853" i="28"/>
  <c r="AK853" i="28" l="1"/>
  <c r="AF853" i="28"/>
  <c r="AI855" i="28"/>
  <c r="AJ854" i="28"/>
  <c r="AI856" i="28" l="1"/>
  <c r="AJ855" i="28"/>
  <c r="AF854" i="28"/>
  <c r="AK854" i="28"/>
  <c r="AF855" i="28" l="1"/>
  <c r="AK855" i="28"/>
  <c r="AI857" i="28"/>
  <c r="AJ856" i="28"/>
  <c r="AK856" i="28" l="1"/>
  <c r="AF856" i="28"/>
  <c r="AI858" i="28"/>
  <c r="AJ857" i="28"/>
  <c r="AF857" i="28" l="1"/>
  <c r="AK857" i="28"/>
  <c r="AI859" i="28"/>
  <c r="AJ858" i="28"/>
  <c r="AK858" i="28" l="1"/>
  <c r="AF858" i="28"/>
  <c r="AI860" i="28"/>
  <c r="AJ859" i="28"/>
  <c r="AK859" i="28" l="1"/>
  <c r="AF859" i="28"/>
  <c r="AI861" i="28"/>
  <c r="AJ860" i="28"/>
  <c r="AI862" i="28" l="1"/>
  <c r="AJ861" i="28"/>
  <c r="AK860" i="28"/>
  <c r="AF860" i="28"/>
  <c r="AK861" i="28" l="1"/>
  <c r="AF861" i="28"/>
  <c r="AI863" i="28"/>
  <c r="AJ862" i="28"/>
  <c r="AK862" i="28" l="1"/>
  <c r="AF862" i="28"/>
  <c r="AI864" i="28"/>
  <c r="AJ863" i="28"/>
  <c r="AI865" i="28" l="1"/>
  <c r="AJ864" i="28"/>
  <c r="AK863" i="28"/>
  <c r="AF863" i="28"/>
  <c r="AK864" i="28" l="1"/>
  <c r="AF864" i="28"/>
  <c r="AI866" i="28"/>
  <c r="AJ865" i="28"/>
  <c r="AK865" i="28" l="1"/>
  <c r="AF865" i="28"/>
  <c r="AI867" i="28"/>
  <c r="AJ866" i="28"/>
  <c r="AI868" i="28" l="1"/>
  <c r="AJ867" i="28"/>
  <c r="AK866" i="28"/>
  <c r="AF866" i="28"/>
  <c r="AK867" i="28" l="1"/>
  <c r="AF867" i="28"/>
  <c r="AI869" i="28"/>
  <c r="AJ868" i="28"/>
  <c r="AF868" i="28" l="1"/>
  <c r="AK868" i="28"/>
  <c r="AI870" i="28"/>
  <c r="AJ869" i="28"/>
  <c r="AK869" i="28" l="1"/>
  <c r="AF869" i="28"/>
  <c r="AI871" i="28"/>
  <c r="AJ870" i="28"/>
  <c r="AK870" i="28" l="1"/>
  <c r="AF870" i="28"/>
  <c r="AI872" i="28"/>
  <c r="AJ871" i="28"/>
  <c r="AK871" i="28" l="1"/>
  <c r="AF871" i="28"/>
  <c r="AI873" i="28"/>
  <c r="AJ872" i="28"/>
  <c r="AK872" i="28" l="1"/>
  <c r="AF872" i="28"/>
  <c r="AI874" i="28"/>
  <c r="AJ873" i="28"/>
  <c r="AI875" i="28" l="1"/>
  <c r="AJ874" i="28"/>
  <c r="AK873" i="28"/>
  <c r="AF873" i="28"/>
  <c r="AK874" i="28" l="1"/>
  <c r="AF874" i="28"/>
  <c r="AI876" i="28"/>
  <c r="AJ875" i="28"/>
  <c r="AK875" i="28" l="1"/>
  <c r="AF875" i="28"/>
  <c r="AI877" i="28"/>
  <c r="AJ876" i="28"/>
  <c r="AK876" i="28" l="1"/>
  <c r="AF876" i="28"/>
  <c r="AI878" i="28"/>
  <c r="AJ877" i="28"/>
  <c r="AK877" i="28" l="1"/>
  <c r="AF877" i="28"/>
  <c r="AI879" i="28"/>
  <c r="AJ879" i="28" s="1"/>
  <c r="AJ878" i="28"/>
  <c r="AK878" i="28" l="1"/>
  <c r="AF878" i="28"/>
  <c r="AK879" i="28"/>
  <c r="AF879" i="28"/>
  <c r="D102" i="61" l="1"/>
  <c r="D98" i="61"/>
  <c r="C102" i="61"/>
  <c r="C98" i="61"/>
  <c r="P890" i="28" l="1"/>
  <c r="X890" i="28" l="1"/>
  <c r="B25" i="3" l="1"/>
  <c r="A23" i="3" l="1"/>
  <c r="P56" i="31" l="1"/>
  <c r="O56" i="31"/>
  <c r="N56" i="31"/>
  <c r="M56" i="31"/>
  <c r="P55" i="31" l="1"/>
  <c r="O55" i="31"/>
  <c r="N55" i="31"/>
  <c r="M55" i="31"/>
  <c r="P54" i="31"/>
  <c r="O54" i="31"/>
  <c r="N54" i="31"/>
  <c r="M54" i="31"/>
  <c r="P53" i="31"/>
  <c r="O53" i="31"/>
  <c r="N53" i="31"/>
  <c r="M53" i="31"/>
  <c r="P52" i="31"/>
  <c r="O52" i="31"/>
  <c r="N52" i="31"/>
  <c r="M52" i="31"/>
  <c r="P51" i="31" l="1"/>
  <c r="O51" i="31"/>
  <c r="N51" i="31"/>
  <c r="M51" i="31"/>
  <c r="P50" i="31"/>
  <c r="O50" i="31"/>
  <c r="N50" i="31"/>
  <c r="M50" i="31"/>
  <c r="P49" i="31" l="1"/>
  <c r="O49" i="31"/>
  <c r="N49" i="31"/>
  <c r="M49" i="31"/>
  <c r="P48" i="31"/>
  <c r="O48" i="31"/>
  <c r="N48" i="31"/>
  <c r="M48" i="31"/>
  <c r="P47" i="31" l="1"/>
  <c r="O47" i="31"/>
  <c r="N47" i="31"/>
  <c r="M47" i="31"/>
  <c r="P46" i="31" l="1"/>
  <c r="O46" i="31"/>
  <c r="N46" i="31"/>
  <c r="M46" i="31"/>
  <c r="P45" i="31" l="1"/>
  <c r="O45" i="31"/>
  <c r="N45" i="31"/>
  <c r="M45" i="31"/>
  <c r="P44" i="31"/>
  <c r="O44" i="31"/>
  <c r="N44" i="31"/>
  <c r="M44" i="31"/>
  <c r="P43" i="31" l="1"/>
  <c r="O43" i="31"/>
  <c r="N43" i="31"/>
  <c r="M43" i="31"/>
  <c r="P42" i="31" l="1"/>
  <c r="O42" i="31"/>
  <c r="N42" i="31"/>
  <c r="M42" i="31"/>
  <c r="P41" i="31" l="1"/>
  <c r="O41" i="31"/>
  <c r="N41" i="31"/>
  <c r="M41" i="31"/>
  <c r="P40" i="31"/>
  <c r="O40" i="31"/>
  <c r="N40" i="31"/>
  <c r="M40" i="31"/>
  <c r="P39" i="31" l="1"/>
  <c r="O39" i="31"/>
  <c r="N39" i="31"/>
  <c r="M39" i="31"/>
  <c r="A39" i="31"/>
  <c r="C39" i="31" s="1"/>
  <c r="P38" i="31"/>
  <c r="O38" i="31"/>
  <c r="N38" i="31"/>
  <c r="M38" i="31"/>
  <c r="E38" i="31"/>
  <c r="C38" i="31"/>
  <c r="P37" i="31"/>
  <c r="O37" i="31"/>
  <c r="N37" i="31"/>
  <c r="E37" i="31"/>
  <c r="C37" i="31"/>
  <c r="P36" i="31"/>
  <c r="O36" i="31"/>
  <c r="N36" i="31"/>
  <c r="E36" i="31"/>
  <c r="C36" i="31"/>
  <c r="P35" i="31"/>
  <c r="O35" i="31"/>
  <c r="N35" i="31"/>
  <c r="E35" i="31"/>
  <c r="C35" i="31"/>
  <c r="P34" i="31"/>
  <c r="O34" i="31"/>
  <c r="N34" i="31"/>
  <c r="E34" i="31"/>
  <c r="C34" i="31"/>
  <c r="P33" i="31"/>
  <c r="O33" i="31"/>
  <c r="N33" i="31"/>
  <c r="E33" i="31"/>
  <c r="C33" i="31"/>
  <c r="P32" i="31"/>
  <c r="O32" i="31"/>
  <c r="N32" i="31"/>
  <c r="E32" i="31"/>
  <c r="C32" i="31"/>
  <c r="P31" i="31"/>
  <c r="O31" i="31"/>
  <c r="N31" i="31"/>
  <c r="E31" i="31"/>
  <c r="C31" i="31"/>
  <c r="P30" i="31"/>
  <c r="O30" i="31"/>
  <c r="N30" i="31"/>
  <c r="E30" i="31"/>
  <c r="C30" i="31"/>
  <c r="P29" i="31"/>
  <c r="O29" i="31"/>
  <c r="N29" i="31"/>
  <c r="E29" i="31"/>
  <c r="C29" i="31"/>
  <c r="P28" i="31"/>
  <c r="O28" i="31"/>
  <c r="N28" i="31"/>
  <c r="E28" i="31"/>
  <c r="C28" i="31"/>
  <c r="P27" i="31"/>
  <c r="O27" i="31"/>
  <c r="N27" i="31"/>
  <c r="E27" i="31"/>
  <c r="C27" i="31"/>
  <c r="P26" i="31"/>
  <c r="O26" i="31"/>
  <c r="N26" i="31"/>
  <c r="E26" i="31"/>
  <c r="C26" i="31"/>
  <c r="P25" i="31"/>
  <c r="O25" i="31"/>
  <c r="N25" i="31"/>
  <c r="E25" i="31"/>
  <c r="C25" i="31"/>
  <c r="P24" i="31"/>
  <c r="O24" i="31"/>
  <c r="N24" i="31"/>
  <c r="E24" i="31"/>
  <c r="C24" i="31"/>
  <c r="P23" i="31"/>
  <c r="O23" i="31"/>
  <c r="N23" i="31"/>
  <c r="E23" i="31"/>
  <c r="C23" i="31"/>
  <c r="P22" i="31"/>
  <c r="O22" i="31"/>
  <c r="N22" i="31"/>
  <c r="E22" i="31"/>
  <c r="C22" i="31"/>
  <c r="P21" i="31"/>
  <c r="O21" i="31"/>
  <c r="N21" i="31"/>
  <c r="E21" i="31"/>
  <c r="C21" i="31"/>
  <c r="P20" i="31"/>
  <c r="O20" i="31"/>
  <c r="N20" i="31"/>
  <c r="E20" i="31"/>
  <c r="C20" i="31"/>
  <c r="P19" i="31"/>
  <c r="O19" i="31"/>
  <c r="N19" i="31"/>
  <c r="E19" i="31"/>
  <c r="C19" i="31"/>
  <c r="P18" i="31"/>
  <c r="O18" i="31"/>
  <c r="N18" i="31"/>
  <c r="E18" i="31"/>
  <c r="C18" i="31"/>
  <c r="P17" i="31"/>
  <c r="O17" i="31"/>
  <c r="N17" i="31"/>
  <c r="E17" i="31"/>
  <c r="C17" i="31"/>
  <c r="P16" i="31"/>
  <c r="O16" i="31"/>
  <c r="N16" i="31"/>
  <c r="E16" i="31"/>
  <c r="C16" i="31"/>
  <c r="P15" i="31"/>
  <c r="O15" i="31"/>
  <c r="N15" i="31"/>
  <c r="E15" i="31"/>
  <c r="C15" i="31"/>
  <c r="P14" i="31"/>
  <c r="O14" i="31"/>
  <c r="N14" i="31"/>
  <c r="E14" i="31"/>
  <c r="C14" i="31"/>
  <c r="P13" i="31"/>
  <c r="O13" i="31"/>
  <c r="N13" i="31"/>
  <c r="E13" i="31"/>
  <c r="C13" i="31"/>
  <c r="P12" i="31"/>
  <c r="O12" i="31"/>
  <c r="N12" i="31"/>
  <c r="E12" i="31"/>
  <c r="C12" i="31"/>
  <c r="P11" i="31"/>
  <c r="O11" i="31"/>
  <c r="N11" i="31"/>
  <c r="E11" i="31"/>
  <c r="C11" i="31"/>
  <c r="P10" i="31"/>
  <c r="O10" i="31"/>
  <c r="N10" i="31"/>
  <c r="E10" i="31"/>
  <c r="C10" i="31"/>
  <c r="P9" i="31"/>
  <c r="O9" i="31"/>
  <c r="N9" i="31"/>
  <c r="E9" i="31"/>
  <c r="C9" i="31"/>
  <c r="P8" i="31"/>
  <c r="O8" i="31"/>
  <c r="N8" i="31"/>
  <c r="E8" i="31"/>
  <c r="C8" i="31"/>
  <c r="P7" i="31"/>
  <c r="O7" i="31"/>
  <c r="N7" i="31"/>
  <c r="E7" i="31"/>
  <c r="C7" i="31"/>
  <c r="P6" i="31"/>
  <c r="O6" i="31"/>
  <c r="N6" i="31"/>
  <c r="E6" i="31"/>
  <c r="C6" i="31"/>
  <c r="P5" i="31"/>
  <c r="O5" i="31"/>
  <c r="N5" i="31"/>
  <c r="E5" i="31"/>
  <c r="C5" i="31"/>
  <c r="P4" i="31"/>
  <c r="O4" i="31"/>
  <c r="N4" i="31"/>
  <c r="E4" i="31"/>
  <c r="C4" i="31"/>
  <c r="B3" i="31"/>
  <c r="A516" i="30"/>
  <c r="E516" i="30" s="1"/>
  <c r="E515" i="30"/>
  <c r="C515" i="30"/>
  <c r="E514" i="30"/>
  <c r="C514" i="30"/>
  <c r="E513" i="30"/>
  <c r="C513" i="30"/>
  <c r="E512" i="30"/>
  <c r="C512" i="30"/>
  <c r="E511" i="30"/>
  <c r="C511" i="30"/>
  <c r="E510" i="30"/>
  <c r="C510" i="30"/>
  <c r="E509" i="30"/>
  <c r="C509" i="30"/>
  <c r="E508" i="30"/>
  <c r="C508" i="30"/>
  <c r="E507" i="30"/>
  <c r="C507" i="30"/>
  <c r="E506" i="30"/>
  <c r="C506" i="30"/>
  <c r="E505" i="30"/>
  <c r="C505" i="30"/>
  <c r="E504" i="30"/>
  <c r="C504" i="30"/>
  <c r="E503" i="30"/>
  <c r="C503" i="30"/>
  <c r="E502" i="30"/>
  <c r="C502" i="30"/>
  <c r="E501" i="30"/>
  <c r="C501" i="30"/>
  <c r="E500" i="30"/>
  <c r="C500" i="30"/>
  <c r="E499" i="30"/>
  <c r="C499" i="30"/>
  <c r="E498" i="30"/>
  <c r="C498" i="30"/>
  <c r="E497" i="30"/>
  <c r="C497" i="30"/>
  <c r="E496" i="30"/>
  <c r="C496" i="30"/>
  <c r="E495" i="30"/>
  <c r="C495" i="30"/>
  <c r="E494" i="30"/>
  <c r="C494" i="30"/>
  <c r="E493" i="30"/>
  <c r="C493" i="30"/>
  <c r="E492" i="30"/>
  <c r="C492" i="30"/>
  <c r="E491" i="30"/>
  <c r="C491" i="30"/>
  <c r="E490" i="30"/>
  <c r="C490" i="30"/>
  <c r="E489" i="30"/>
  <c r="C489" i="30"/>
  <c r="E488" i="30"/>
  <c r="C488" i="30"/>
  <c r="E487" i="30"/>
  <c r="C487" i="30"/>
  <c r="E486" i="30"/>
  <c r="C486" i="30"/>
  <c r="E485" i="30"/>
  <c r="C485" i="30"/>
  <c r="E484" i="30"/>
  <c r="C484" i="30"/>
  <c r="E483" i="30"/>
  <c r="C483" i="30"/>
  <c r="E482" i="30"/>
  <c r="C482" i="30"/>
  <c r="E481" i="30"/>
  <c r="C481" i="30"/>
  <c r="E480" i="30"/>
  <c r="C480" i="30"/>
  <c r="E479" i="30"/>
  <c r="C479" i="30"/>
  <c r="E478" i="30"/>
  <c r="C478" i="30"/>
  <c r="E477" i="30"/>
  <c r="C477" i="30"/>
  <c r="E476" i="30"/>
  <c r="C476" i="30"/>
  <c r="E475" i="30"/>
  <c r="C475" i="30"/>
  <c r="E474" i="30"/>
  <c r="C474" i="30"/>
  <c r="E473" i="30"/>
  <c r="C473" i="30"/>
  <c r="E472" i="30"/>
  <c r="C472" i="30"/>
  <c r="E471" i="30"/>
  <c r="C471" i="30"/>
  <c r="E470" i="30"/>
  <c r="C470" i="30"/>
  <c r="E469" i="30"/>
  <c r="C469" i="30"/>
  <c r="E468" i="30"/>
  <c r="C468" i="30"/>
  <c r="E467" i="30"/>
  <c r="C467" i="30"/>
  <c r="E466" i="30"/>
  <c r="C466" i="30"/>
  <c r="E465" i="30"/>
  <c r="C465" i="30"/>
  <c r="E464" i="30"/>
  <c r="C464" i="30"/>
  <c r="E463" i="30"/>
  <c r="C463" i="30"/>
  <c r="E462" i="30"/>
  <c r="C462" i="30"/>
  <c r="E461" i="30"/>
  <c r="C461" i="30"/>
  <c r="E460" i="30"/>
  <c r="C460" i="30"/>
  <c r="E459" i="30"/>
  <c r="C459" i="30"/>
  <c r="E458" i="30"/>
  <c r="C458" i="30"/>
  <c r="E457" i="30"/>
  <c r="C457" i="30"/>
  <c r="E456" i="30"/>
  <c r="C456" i="30"/>
  <c r="E455" i="30"/>
  <c r="C455" i="30"/>
  <c r="E454" i="30"/>
  <c r="C454" i="30"/>
  <c r="E453" i="30"/>
  <c r="C453" i="30"/>
  <c r="E452" i="30"/>
  <c r="C452" i="30"/>
  <c r="E451" i="30"/>
  <c r="C451" i="30"/>
  <c r="E450" i="30"/>
  <c r="C450" i="30"/>
  <c r="E449" i="30"/>
  <c r="C449" i="30"/>
  <c r="E448" i="30"/>
  <c r="C448" i="30"/>
  <c r="E447" i="30"/>
  <c r="C447" i="30"/>
  <c r="E446" i="30"/>
  <c r="C446" i="30"/>
  <c r="E445" i="30"/>
  <c r="C445" i="30"/>
  <c r="E444" i="30"/>
  <c r="C444" i="30"/>
  <c r="E443" i="30"/>
  <c r="C443" i="30"/>
  <c r="E442" i="30"/>
  <c r="C442" i="30"/>
  <c r="E441" i="30"/>
  <c r="C441" i="30"/>
  <c r="E440" i="30"/>
  <c r="C440" i="30"/>
  <c r="E439" i="30"/>
  <c r="C439" i="30"/>
  <c r="E438" i="30"/>
  <c r="C438" i="30"/>
  <c r="E437" i="30"/>
  <c r="C437" i="30"/>
  <c r="E436" i="30"/>
  <c r="C436" i="30"/>
  <c r="E435" i="30"/>
  <c r="C435" i="30"/>
  <c r="E434" i="30"/>
  <c r="C434" i="30"/>
  <c r="E433" i="30"/>
  <c r="C433" i="30"/>
  <c r="E432" i="30"/>
  <c r="C432" i="30"/>
  <c r="E431" i="30"/>
  <c r="C431" i="30"/>
  <c r="E430" i="30"/>
  <c r="C430" i="30"/>
  <c r="E429" i="30"/>
  <c r="C429" i="30"/>
  <c r="E428" i="30"/>
  <c r="C428" i="30"/>
  <c r="E427" i="30"/>
  <c r="C427" i="30"/>
  <c r="E426" i="30"/>
  <c r="C426" i="30"/>
  <c r="E425" i="30"/>
  <c r="C425" i="30"/>
  <c r="E424" i="30"/>
  <c r="C424" i="30"/>
  <c r="E423" i="30"/>
  <c r="C423" i="30"/>
  <c r="E422" i="30"/>
  <c r="C422" i="30"/>
  <c r="E421" i="30"/>
  <c r="C421" i="30"/>
  <c r="E420" i="30"/>
  <c r="C420" i="30"/>
  <c r="E419" i="30"/>
  <c r="C419" i="30"/>
  <c r="E418" i="30"/>
  <c r="C418" i="30"/>
  <c r="E417" i="30"/>
  <c r="C417" i="30"/>
  <c r="E416" i="30"/>
  <c r="C416" i="30"/>
  <c r="E415" i="30"/>
  <c r="C415" i="30"/>
  <c r="E414" i="30"/>
  <c r="C414" i="30"/>
  <c r="E413" i="30"/>
  <c r="C413" i="30"/>
  <c r="E412" i="30"/>
  <c r="C412" i="30"/>
  <c r="E411" i="30"/>
  <c r="C411" i="30"/>
  <c r="E410" i="30"/>
  <c r="C410" i="30"/>
  <c r="E409" i="30"/>
  <c r="C409" i="30"/>
  <c r="E408" i="30"/>
  <c r="C408" i="30"/>
  <c r="E407" i="30"/>
  <c r="C407" i="30"/>
  <c r="E406" i="30"/>
  <c r="C406" i="30"/>
  <c r="E405" i="30"/>
  <c r="C405" i="30"/>
  <c r="E404" i="30"/>
  <c r="C404" i="30"/>
  <c r="E403" i="30"/>
  <c r="C403" i="30"/>
  <c r="E402" i="30"/>
  <c r="C402" i="30"/>
  <c r="E401" i="30"/>
  <c r="C401" i="30"/>
  <c r="E400" i="30"/>
  <c r="C400" i="30"/>
  <c r="E399" i="30"/>
  <c r="C399" i="30"/>
  <c r="E398" i="30"/>
  <c r="C398" i="30"/>
  <c r="E397" i="30"/>
  <c r="C397" i="30"/>
  <c r="E396" i="30"/>
  <c r="C396" i="30"/>
  <c r="E395" i="30"/>
  <c r="C395" i="30"/>
  <c r="E394" i="30"/>
  <c r="C394" i="30"/>
  <c r="E393" i="30"/>
  <c r="C393" i="30"/>
  <c r="E392" i="30"/>
  <c r="C392" i="30"/>
  <c r="E391" i="30"/>
  <c r="C391" i="30"/>
  <c r="E390" i="30"/>
  <c r="C390" i="30"/>
  <c r="E389" i="30"/>
  <c r="C389" i="30"/>
  <c r="E388" i="30"/>
  <c r="C388" i="30"/>
  <c r="E387" i="30"/>
  <c r="C387" i="30"/>
  <c r="E386" i="30"/>
  <c r="C386" i="30"/>
  <c r="E385" i="30"/>
  <c r="C385" i="30"/>
  <c r="E384" i="30"/>
  <c r="C384" i="30"/>
  <c r="E383" i="30"/>
  <c r="C383" i="30"/>
  <c r="E382" i="30"/>
  <c r="C382" i="30"/>
  <c r="E381" i="30"/>
  <c r="C381" i="30"/>
  <c r="E380" i="30"/>
  <c r="C380" i="30"/>
  <c r="E379" i="30"/>
  <c r="C379" i="30"/>
  <c r="E378" i="30"/>
  <c r="C378" i="30"/>
  <c r="E377" i="30"/>
  <c r="C377" i="30"/>
  <c r="E376" i="30"/>
  <c r="C376" i="30"/>
  <c r="E375" i="30"/>
  <c r="C375" i="30"/>
  <c r="E374" i="30"/>
  <c r="C374" i="30"/>
  <c r="E373" i="30"/>
  <c r="C373" i="30"/>
  <c r="E372" i="30"/>
  <c r="C372" i="30"/>
  <c r="E371" i="30"/>
  <c r="C371" i="30"/>
  <c r="E370" i="30"/>
  <c r="C370" i="30"/>
  <c r="E369" i="30"/>
  <c r="C369" i="30"/>
  <c r="E368" i="30"/>
  <c r="C368" i="30"/>
  <c r="E367" i="30"/>
  <c r="C367" i="30"/>
  <c r="E366" i="30"/>
  <c r="C366" i="30"/>
  <c r="E365" i="30"/>
  <c r="C365" i="30"/>
  <c r="E364" i="30"/>
  <c r="C364" i="30"/>
  <c r="E363" i="30"/>
  <c r="C363" i="30"/>
  <c r="E362" i="30"/>
  <c r="C362" i="30"/>
  <c r="E361" i="30"/>
  <c r="C361" i="30"/>
  <c r="E360" i="30"/>
  <c r="C360" i="30"/>
  <c r="E359" i="30"/>
  <c r="C359" i="30"/>
  <c r="E358" i="30"/>
  <c r="C358" i="30"/>
  <c r="E357" i="30"/>
  <c r="C357" i="30"/>
  <c r="E356" i="30"/>
  <c r="C356" i="30"/>
  <c r="E355" i="30"/>
  <c r="C355" i="30"/>
  <c r="E354" i="30"/>
  <c r="C354" i="30"/>
  <c r="E353" i="30"/>
  <c r="C353" i="30"/>
  <c r="E352" i="30"/>
  <c r="C352" i="30"/>
  <c r="E351" i="30"/>
  <c r="C351" i="30"/>
  <c r="E350" i="30"/>
  <c r="C350" i="30"/>
  <c r="E349" i="30"/>
  <c r="C349" i="30"/>
  <c r="E348" i="30"/>
  <c r="C348" i="30"/>
  <c r="E347" i="30"/>
  <c r="C347" i="30"/>
  <c r="E346" i="30"/>
  <c r="C346" i="30"/>
  <c r="E345" i="30"/>
  <c r="C345" i="30"/>
  <c r="E344" i="30"/>
  <c r="C344" i="30"/>
  <c r="E343" i="30"/>
  <c r="C343" i="30"/>
  <c r="E342" i="30"/>
  <c r="C342" i="30"/>
  <c r="E341" i="30"/>
  <c r="C341" i="30"/>
  <c r="E340" i="30"/>
  <c r="C340" i="30"/>
  <c r="E339" i="30"/>
  <c r="C339" i="30"/>
  <c r="E338" i="30"/>
  <c r="C338" i="30"/>
  <c r="E337" i="30"/>
  <c r="C337" i="30"/>
  <c r="E336" i="30"/>
  <c r="C336" i="30"/>
  <c r="E335" i="30"/>
  <c r="C335" i="30"/>
  <c r="E334" i="30"/>
  <c r="C334" i="30"/>
  <c r="E333" i="30"/>
  <c r="C333" i="30"/>
  <c r="E332" i="30"/>
  <c r="C332" i="30"/>
  <c r="E331" i="30"/>
  <c r="C331" i="30"/>
  <c r="E330" i="30"/>
  <c r="C330" i="30"/>
  <c r="E329" i="30"/>
  <c r="C329" i="30"/>
  <c r="E328" i="30"/>
  <c r="C328" i="30"/>
  <c r="E327" i="30"/>
  <c r="C327" i="30"/>
  <c r="E326" i="30"/>
  <c r="C326" i="30"/>
  <c r="E325" i="30"/>
  <c r="C325" i="30"/>
  <c r="E324" i="30"/>
  <c r="C324" i="30"/>
  <c r="E323" i="30"/>
  <c r="C323" i="30"/>
  <c r="E322" i="30"/>
  <c r="C322" i="30"/>
  <c r="E321" i="30"/>
  <c r="C321" i="30"/>
  <c r="E320" i="30"/>
  <c r="C320" i="30"/>
  <c r="E319" i="30"/>
  <c r="C319" i="30"/>
  <c r="E318" i="30"/>
  <c r="C318" i="30"/>
  <c r="E317" i="30"/>
  <c r="C317" i="30"/>
  <c r="E316" i="30"/>
  <c r="C316" i="30"/>
  <c r="E315" i="30"/>
  <c r="C315" i="30"/>
  <c r="E314" i="30"/>
  <c r="C314" i="30"/>
  <c r="E313" i="30"/>
  <c r="C313" i="30"/>
  <c r="E312" i="30"/>
  <c r="C312" i="30"/>
  <c r="E311" i="30"/>
  <c r="C311" i="30"/>
  <c r="E310" i="30"/>
  <c r="C310" i="30"/>
  <c r="E309" i="30"/>
  <c r="C309" i="30"/>
  <c r="E308" i="30"/>
  <c r="C308" i="30"/>
  <c r="E307" i="30"/>
  <c r="C307" i="30"/>
  <c r="E306" i="30"/>
  <c r="C306" i="30"/>
  <c r="E305" i="30"/>
  <c r="C305" i="30"/>
  <c r="E304" i="30"/>
  <c r="C304" i="30"/>
  <c r="E303" i="30"/>
  <c r="C303" i="30"/>
  <c r="E302" i="30"/>
  <c r="C302" i="30"/>
  <c r="E301" i="30"/>
  <c r="C301" i="30"/>
  <c r="E300" i="30"/>
  <c r="C300" i="30"/>
  <c r="E299" i="30"/>
  <c r="C299" i="30"/>
  <c r="E298" i="30"/>
  <c r="C298" i="30"/>
  <c r="E297" i="30"/>
  <c r="C297" i="30"/>
  <c r="E296" i="30"/>
  <c r="C296" i="30"/>
  <c r="E295" i="30"/>
  <c r="C295" i="30"/>
  <c r="E294" i="30"/>
  <c r="C294" i="30"/>
  <c r="E293" i="30"/>
  <c r="C293" i="30"/>
  <c r="E292" i="30"/>
  <c r="C292" i="30"/>
  <c r="E291" i="30"/>
  <c r="C291" i="30"/>
  <c r="E290" i="30"/>
  <c r="C290" i="30"/>
  <c r="E289" i="30"/>
  <c r="C289" i="30"/>
  <c r="E288" i="30"/>
  <c r="C288" i="30"/>
  <c r="E287" i="30"/>
  <c r="C287" i="30"/>
  <c r="E286" i="30"/>
  <c r="C286" i="30"/>
  <c r="E285" i="30"/>
  <c r="C285" i="30"/>
  <c r="E284" i="30"/>
  <c r="C284" i="30"/>
  <c r="E283" i="30"/>
  <c r="C283" i="30"/>
  <c r="E282" i="30"/>
  <c r="C282" i="30"/>
  <c r="E281" i="30"/>
  <c r="C281" i="30"/>
  <c r="E280" i="30"/>
  <c r="C280" i="30"/>
  <c r="E279" i="30"/>
  <c r="C279" i="30"/>
  <c r="E278" i="30"/>
  <c r="C278" i="30"/>
  <c r="E277" i="30"/>
  <c r="C277" i="30"/>
  <c r="E276" i="30"/>
  <c r="C276" i="30"/>
  <c r="E275" i="30"/>
  <c r="C275" i="30"/>
  <c r="E274" i="30"/>
  <c r="C274" i="30"/>
  <c r="E273" i="30"/>
  <c r="C273" i="30"/>
  <c r="E272" i="30"/>
  <c r="C272" i="30"/>
  <c r="E271" i="30"/>
  <c r="C271" i="30"/>
  <c r="E270" i="30"/>
  <c r="C270" i="30"/>
  <c r="E269" i="30"/>
  <c r="C269" i="30"/>
  <c r="E268" i="30"/>
  <c r="C268" i="30"/>
  <c r="E267" i="30"/>
  <c r="C267" i="30"/>
  <c r="E266" i="30"/>
  <c r="C266" i="30"/>
  <c r="E265" i="30"/>
  <c r="C265" i="30"/>
  <c r="E264" i="30"/>
  <c r="C264" i="30"/>
  <c r="E263" i="30"/>
  <c r="C263" i="30"/>
  <c r="E262" i="30"/>
  <c r="C262" i="30"/>
  <c r="E261" i="30"/>
  <c r="C261" i="30"/>
  <c r="E260" i="30"/>
  <c r="C260" i="30"/>
  <c r="E259" i="30"/>
  <c r="C259" i="30"/>
  <c r="E258" i="30"/>
  <c r="C258" i="30"/>
  <c r="E257" i="30"/>
  <c r="C257" i="30"/>
  <c r="E256" i="30"/>
  <c r="C256" i="30"/>
  <c r="E255" i="30"/>
  <c r="C255" i="30"/>
  <c r="E254" i="30"/>
  <c r="C254" i="30"/>
  <c r="E253" i="30"/>
  <c r="C253" i="30"/>
  <c r="E252" i="30"/>
  <c r="C252" i="30"/>
  <c r="E251" i="30"/>
  <c r="C251" i="30"/>
  <c r="E250" i="30"/>
  <c r="C250" i="30"/>
  <c r="E249" i="30"/>
  <c r="C249" i="30"/>
  <c r="E248" i="30"/>
  <c r="C248" i="30"/>
  <c r="E247" i="30"/>
  <c r="C247" i="30"/>
  <c r="E246" i="30"/>
  <c r="C246" i="30"/>
  <c r="E245" i="30"/>
  <c r="C245" i="30"/>
  <c r="E244" i="30"/>
  <c r="C244" i="30"/>
  <c r="E243" i="30"/>
  <c r="C243" i="30"/>
  <c r="E242" i="30"/>
  <c r="C242" i="30"/>
  <c r="E241" i="30"/>
  <c r="C241" i="30"/>
  <c r="E240" i="30"/>
  <c r="C240" i="30"/>
  <c r="E239" i="30"/>
  <c r="C239" i="30"/>
  <c r="E238" i="30"/>
  <c r="C238" i="30"/>
  <c r="E237" i="30"/>
  <c r="C237" i="30"/>
  <c r="E236" i="30"/>
  <c r="C236" i="30"/>
  <c r="E235" i="30"/>
  <c r="C235" i="30"/>
  <c r="E234" i="30"/>
  <c r="C234" i="30"/>
  <c r="E233" i="30"/>
  <c r="C233" i="30"/>
  <c r="E232" i="30"/>
  <c r="C232" i="30"/>
  <c r="E231" i="30"/>
  <c r="C231" i="30"/>
  <c r="E230" i="30"/>
  <c r="C230" i="30"/>
  <c r="E229" i="30"/>
  <c r="C229" i="30"/>
  <c r="E228" i="30"/>
  <c r="C228" i="30"/>
  <c r="E227" i="30"/>
  <c r="C227" i="30"/>
  <c r="E226" i="30"/>
  <c r="C226" i="30"/>
  <c r="E225" i="30"/>
  <c r="C225" i="30"/>
  <c r="E224" i="30"/>
  <c r="C224" i="30"/>
  <c r="E223" i="30"/>
  <c r="C223" i="30"/>
  <c r="E222" i="30"/>
  <c r="C222" i="30"/>
  <c r="E221" i="30"/>
  <c r="C221" i="30"/>
  <c r="E220" i="30"/>
  <c r="C220" i="30"/>
  <c r="E219" i="30"/>
  <c r="C219" i="30"/>
  <c r="E218" i="30"/>
  <c r="C218" i="30"/>
  <c r="E217" i="30"/>
  <c r="C217" i="30"/>
  <c r="E216" i="30"/>
  <c r="C216" i="30"/>
  <c r="E215" i="30"/>
  <c r="C215" i="30"/>
  <c r="E214" i="30"/>
  <c r="C214" i="30"/>
  <c r="E213" i="30"/>
  <c r="C213" i="30"/>
  <c r="E212" i="30"/>
  <c r="C212" i="30"/>
  <c r="E211" i="30"/>
  <c r="C211" i="30"/>
  <c r="E210" i="30"/>
  <c r="C210" i="30"/>
  <c r="E209" i="30"/>
  <c r="C209" i="30"/>
  <c r="E208" i="30"/>
  <c r="C208" i="30"/>
  <c r="E207" i="30"/>
  <c r="C207" i="30"/>
  <c r="E206" i="30"/>
  <c r="C206" i="30"/>
  <c r="E205" i="30"/>
  <c r="C205" i="30"/>
  <c r="E204" i="30"/>
  <c r="C204" i="30"/>
  <c r="E203" i="30"/>
  <c r="C203" i="30"/>
  <c r="E202" i="30"/>
  <c r="C202" i="30"/>
  <c r="E201" i="30"/>
  <c r="C201" i="30"/>
  <c r="E200" i="30"/>
  <c r="C200" i="30"/>
  <c r="E199" i="30"/>
  <c r="C199" i="30"/>
  <c r="E198" i="30"/>
  <c r="C198" i="30"/>
  <c r="E197" i="30"/>
  <c r="C197" i="30"/>
  <c r="E196" i="30"/>
  <c r="C196" i="30"/>
  <c r="E195" i="30"/>
  <c r="C195" i="30"/>
  <c r="E194" i="30"/>
  <c r="C194" i="30"/>
  <c r="E193" i="30"/>
  <c r="C193" i="30"/>
  <c r="E192" i="30"/>
  <c r="C192" i="30"/>
  <c r="E191" i="30"/>
  <c r="C191" i="30"/>
  <c r="E190" i="30"/>
  <c r="C190" i="30"/>
  <c r="E189" i="30"/>
  <c r="C189" i="30"/>
  <c r="E188" i="30"/>
  <c r="C188" i="30"/>
  <c r="E187" i="30"/>
  <c r="C187" i="30"/>
  <c r="E186" i="30"/>
  <c r="C186" i="30"/>
  <c r="E185" i="30"/>
  <c r="C185" i="30"/>
  <c r="E184" i="30"/>
  <c r="C184" i="30"/>
  <c r="E183" i="30"/>
  <c r="C183" i="30"/>
  <c r="E182" i="30"/>
  <c r="C182" i="30"/>
  <c r="E181" i="30"/>
  <c r="C181" i="30"/>
  <c r="E180" i="30"/>
  <c r="C180" i="30"/>
  <c r="E179" i="30"/>
  <c r="C179" i="30"/>
  <c r="E178" i="30"/>
  <c r="C178" i="30"/>
  <c r="E177" i="30"/>
  <c r="C177" i="30"/>
  <c r="E176" i="30"/>
  <c r="C176" i="30"/>
  <c r="E175" i="30"/>
  <c r="C175" i="30"/>
  <c r="E174" i="30"/>
  <c r="C174" i="30"/>
  <c r="E173" i="30"/>
  <c r="C173" i="30"/>
  <c r="E172" i="30"/>
  <c r="C172" i="30"/>
  <c r="E171" i="30"/>
  <c r="C171" i="30"/>
  <c r="E170" i="30"/>
  <c r="C170" i="30"/>
  <c r="E169" i="30"/>
  <c r="C169" i="30"/>
  <c r="E168" i="30"/>
  <c r="C168" i="30"/>
  <c r="E167" i="30"/>
  <c r="C167" i="30"/>
  <c r="E166" i="30"/>
  <c r="C166" i="30"/>
  <c r="E165" i="30"/>
  <c r="C165" i="30"/>
  <c r="E164" i="30"/>
  <c r="C164" i="30"/>
  <c r="E163" i="30"/>
  <c r="C163" i="30"/>
  <c r="E162" i="30"/>
  <c r="C162" i="30"/>
  <c r="E161" i="30"/>
  <c r="C161" i="30"/>
  <c r="E160" i="30"/>
  <c r="C160" i="30"/>
  <c r="E159" i="30"/>
  <c r="C159" i="30"/>
  <c r="E158" i="30"/>
  <c r="C158" i="30"/>
  <c r="E157" i="30"/>
  <c r="C157" i="30"/>
  <c r="E156" i="30"/>
  <c r="C156" i="30"/>
  <c r="E155" i="30"/>
  <c r="C155" i="30"/>
  <c r="E154" i="30"/>
  <c r="C154" i="30"/>
  <c r="E153" i="30"/>
  <c r="C153" i="30"/>
  <c r="E152" i="30"/>
  <c r="C152" i="30"/>
  <c r="E151" i="30"/>
  <c r="C151" i="30"/>
  <c r="E150" i="30"/>
  <c r="C150" i="30"/>
  <c r="E149" i="30"/>
  <c r="C149" i="30"/>
  <c r="E148" i="30"/>
  <c r="C148" i="30"/>
  <c r="E147" i="30"/>
  <c r="C147" i="30"/>
  <c r="E146" i="30"/>
  <c r="C146" i="30"/>
  <c r="E145" i="30"/>
  <c r="C145" i="30"/>
  <c r="E144" i="30"/>
  <c r="C144" i="30"/>
  <c r="E143" i="30"/>
  <c r="C143" i="30"/>
  <c r="E142" i="30"/>
  <c r="C142" i="30"/>
  <c r="E141" i="30"/>
  <c r="C141" i="30"/>
  <c r="E140" i="30"/>
  <c r="C140" i="30"/>
  <c r="E139" i="30"/>
  <c r="C139" i="30"/>
  <c r="E138" i="30"/>
  <c r="C138" i="30"/>
  <c r="E137" i="30"/>
  <c r="C137" i="30"/>
  <c r="E136" i="30"/>
  <c r="C136" i="30"/>
  <c r="E135" i="30"/>
  <c r="C135" i="30"/>
  <c r="E134" i="30"/>
  <c r="C134" i="30"/>
  <c r="E133" i="30"/>
  <c r="C133" i="30"/>
  <c r="E132" i="30"/>
  <c r="C132" i="30"/>
  <c r="E131" i="30"/>
  <c r="C131" i="30"/>
  <c r="E130" i="30"/>
  <c r="C130" i="30"/>
  <c r="E129" i="30"/>
  <c r="C129" i="30"/>
  <c r="E128" i="30"/>
  <c r="C128" i="30"/>
  <c r="E127" i="30"/>
  <c r="C127" i="30"/>
  <c r="E126" i="30"/>
  <c r="C126" i="30"/>
  <c r="E125" i="30"/>
  <c r="C125" i="30"/>
  <c r="E124" i="30"/>
  <c r="C124" i="30"/>
  <c r="E123" i="30"/>
  <c r="C123" i="30"/>
  <c r="E122" i="30"/>
  <c r="C122" i="30"/>
  <c r="E121" i="30"/>
  <c r="C121" i="30"/>
  <c r="E120" i="30"/>
  <c r="C120" i="30"/>
  <c r="E119" i="30"/>
  <c r="C119" i="30"/>
  <c r="E118" i="30"/>
  <c r="C118" i="30"/>
  <c r="E117" i="30"/>
  <c r="C117" i="30"/>
  <c r="E116" i="30"/>
  <c r="C116" i="30"/>
  <c r="E115" i="30"/>
  <c r="C115" i="30"/>
  <c r="E114" i="30"/>
  <c r="C114" i="30"/>
  <c r="E113" i="30"/>
  <c r="C113" i="30"/>
  <c r="E112" i="30"/>
  <c r="C112" i="30"/>
  <c r="E111" i="30"/>
  <c r="C111" i="30"/>
  <c r="E110" i="30"/>
  <c r="C110" i="30"/>
  <c r="E109" i="30"/>
  <c r="C109" i="30"/>
  <c r="E108" i="30"/>
  <c r="C108" i="30"/>
  <c r="E107" i="30"/>
  <c r="C107" i="30"/>
  <c r="E106" i="30"/>
  <c r="C106" i="30"/>
  <c r="E105" i="30"/>
  <c r="C105" i="30"/>
  <c r="E104" i="30"/>
  <c r="C104" i="30"/>
  <c r="E103" i="30"/>
  <c r="C103" i="30"/>
  <c r="E102" i="30"/>
  <c r="C102" i="30"/>
  <c r="E101" i="30"/>
  <c r="C101" i="30"/>
  <c r="E100" i="30"/>
  <c r="C100" i="30"/>
  <c r="E99" i="30"/>
  <c r="C99" i="30"/>
  <c r="E98" i="30"/>
  <c r="C98" i="30"/>
  <c r="E97" i="30"/>
  <c r="C97" i="30"/>
  <c r="E96" i="30"/>
  <c r="C96" i="30"/>
  <c r="E95" i="30"/>
  <c r="C95" i="30"/>
  <c r="E94" i="30"/>
  <c r="C94" i="30"/>
  <c r="E93" i="30"/>
  <c r="C93" i="30"/>
  <c r="E92" i="30"/>
  <c r="C92" i="30"/>
  <c r="E91" i="30"/>
  <c r="C91" i="30"/>
  <c r="E90" i="30"/>
  <c r="C90" i="30"/>
  <c r="E89" i="30"/>
  <c r="C89" i="30"/>
  <c r="E88" i="30"/>
  <c r="C88" i="30"/>
  <c r="E87" i="30"/>
  <c r="C87" i="30"/>
  <c r="E86" i="30"/>
  <c r="C86" i="30"/>
  <c r="E85" i="30"/>
  <c r="C85" i="30"/>
  <c r="E84" i="30"/>
  <c r="C84" i="30"/>
  <c r="E83" i="30"/>
  <c r="C83" i="30"/>
  <c r="E82" i="30"/>
  <c r="C82" i="30"/>
  <c r="E81" i="30"/>
  <c r="C81" i="30"/>
  <c r="E80" i="30"/>
  <c r="C80" i="30"/>
  <c r="E79" i="30"/>
  <c r="C79" i="30"/>
  <c r="E78" i="30"/>
  <c r="C78" i="30"/>
  <c r="E77" i="30"/>
  <c r="C77" i="30"/>
  <c r="E76" i="30"/>
  <c r="C76" i="30"/>
  <c r="E75" i="30"/>
  <c r="C75" i="30"/>
  <c r="E74" i="30"/>
  <c r="C74" i="30"/>
  <c r="E73" i="30"/>
  <c r="C73" i="30"/>
  <c r="E72" i="30"/>
  <c r="C72" i="30"/>
  <c r="E71" i="30"/>
  <c r="C71" i="30"/>
  <c r="E70" i="30"/>
  <c r="C70" i="30"/>
  <c r="E69" i="30"/>
  <c r="C69" i="30"/>
  <c r="E68" i="30"/>
  <c r="C68" i="30"/>
  <c r="E67" i="30"/>
  <c r="C67" i="30"/>
  <c r="E66" i="30"/>
  <c r="C66" i="30"/>
  <c r="E65" i="30"/>
  <c r="C65" i="30"/>
  <c r="E64" i="30"/>
  <c r="C64" i="30"/>
  <c r="E63" i="30"/>
  <c r="C63" i="30"/>
  <c r="E62" i="30"/>
  <c r="C62" i="30"/>
  <c r="E61" i="30"/>
  <c r="C61" i="30"/>
  <c r="E60" i="30"/>
  <c r="C60" i="30"/>
  <c r="E59" i="30"/>
  <c r="C59" i="30"/>
  <c r="E58" i="30"/>
  <c r="C58" i="30"/>
  <c r="E57" i="30"/>
  <c r="C57" i="30"/>
  <c r="E56" i="30"/>
  <c r="C56" i="30"/>
  <c r="E55" i="30"/>
  <c r="C55" i="30"/>
  <c r="E54" i="30"/>
  <c r="C54" i="30"/>
  <c r="E53" i="30"/>
  <c r="C53" i="30"/>
  <c r="E52" i="30"/>
  <c r="C52" i="30"/>
  <c r="E51" i="30"/>
  <c r="C51" i="30"/>
  <c r="E50" i="30"/>
  <c r="C50" i="30"/>
  <c r="E49" i="30"/>
  <c r="C49" i="30"/>
  <c r="E48" i="30"/>
  <c r="C48" i="30"/>
  <c r="E47" i="30"/>
  <c r="C47" i="30"/>
  <c r="E46" i="30"/>
  <c r="C46" i="30"/>
  <c r="E45" i="30"/>
  <c r="C45" i="30"/>
  <c r="E44" i="30"/>
  <c r="C44" i="30"/>
  <c r="E43" i="30"/>
  <c r="C43" i="30"/>
  <c r="E42" i="30"/>
  <c r="C42" i="30"/>
  <c r="E41" i="30"/>
  <c r="C41" i="30"/>
  <c r="E40" i="30"/>
  <c r="C40" i="30"/>
  <c r="E39" i="30"/>
  <c r="C39" i="30"/>
  <c r="E38" i="30"/>
  <c r="C38" i="30"/>
  <c r="E37" i="30"/>
  <c r="C37" i="30"/>
  <c r="E36" i="30"/>
  <c r="C36" i="30"/>
  <c r="E35" i="30"/>
  <c r="C35" i="30"/>
  <c r="E34" i="30"/>
  <c r="C34" i="30"/>
  <c r="E33" i="30"/>
  <c r="C33" i="30"/>
  <c r="E32" i="30"/>
  <c r="C32" i="30"/>
  <c r="E31" i="30"/>
  <c r="C31" i="30"/>
  <c r="E30" i="30"/>
  <c r="C30" i="30"/>
  <c r="E29" i="30"/>
  <c r="C29" i="30"/>
  <c r="E28" i="30"/>
  <c r="C28" i="30"/>
  <c r="E27" i="30"/>
  <c r="C27" i="30"/>
  <c r="E26" i="30"/>
  <c r="C26" i="30"/>
  <c r="E25" i="30"/>
  <c r="C25" i="30"/>
  <c r="E24" i="30"/>
  <c r="C24" i="30"/>
  <c r="E23" i="30"/>
  <c r="C23" i="30"/>
  <c r="E22" i="30"/>
  <c r="C22" i="30"/>
  <c r="E21" i="30"/>
  <c r="C21" i="30"/>
  <c r="E20" i="30"/>
  <c r="C20" i="30"/>
  <c r="E19" i="30"/>
  <c r="C19" i="30"/>
  <c r="E18" i="30"/>
  <c r="C18" i="30"/>
  <c r="E17" i="30"/>
  <c r="C17" i="30"/>
  <c r="E16" i="30"/>
  <c r="C16" i="30"/>
  <c r="E15" i="30"/>
  <c r="C15" i="30"/>
  <c r="E14" i="30"/>
  <c r="C14" i="30"/>
  <c r="E13" i="30"/>
  <c r="C13" i="30"/>
  <c r="E12" i="30"/>
  <c r="C12" i="30"/>
  <c r="E11" i="30"/>
  <c r="C11" i="30"/>
  <c r="E10" i="30"/>
  <c r="C10" i="30"/>
  <c r="E9" i="30"/>
  <c r="C9" i="30"/>
  <c r="E8" i="30"/>
  <c r="C8" i="30"/>
  <c r="E7" i="30"/>
  <c r="C7" i="30"/>
  <c r="E6" i="30"/>
  <c r="C6" i="30"/>
  <c r="E5" i="30"/>
  <c r="C5" i="30"/>
  <c r="E4" i="30"/>
  <c r="C4" i="30"/>
  <c r="B3" i="30"/>
  <c r="P119" i="2"/>
  <c r="P118" i="2"/>
  <c r="O118" i="2"/>
  <c r="N118" i="2"/>
  <c r="P117" i="2"/>
  <c r="O117" i="2"/>
  <c r="N117" i="2"/>
  <c r="P116" i="2"/>
  <c r="O116" i="2"/>
  <c r="N116" i="2"/>
  <c r="F116" i="2"/>
  <c r="P115" i="2"/>
  <c r="O115" i="2"/>
  <c r="N115" i="2"/>
  <c r="P114" i="2"/>
  <c r="O114" i="2"/>
  <c r="N114" i="2"/>
  <c r="P113" i="2"/>
  <c r="O113" i="2"/>
  <c r="N113" i="2"/>
  <c r="P112" i="2"/>
  <c r="O112" i="2"/>
  <c r="N112" i="2"/>
  <c r="P111" i="2"/>
  <c r="O111" i="2"/>
  <c r="N111" i="2"/>
  <c r="L111" i="2"/>
  <c r="P110" i="2"/>
  <c r="O110" i="2"/>
  <c r="N110" i="2"/>
  <c r="L110" i="2"/>
  <c r="P109" i="2"/>
  <c r="O109" i="2"/>
  <c r="N109" i="2"/>
  <c r="L109" i="2"/>
  <c r="G109" i="2"/>
  <c r="P108" i="2"/>
  <c r="O108" i="2"/>
  <c r="N108" i="2"/>
  <c r="F108" i="2"/>
  <c r="U107" i="2"/>
  <c r="U108" i="2" s="1"/>
  <c r="P107" i="2"/>
  <c r="O107" i="2"/>
  <c r="N107" i="2"/>
  <c r="F107" i="2"/>
  <c r="P106" i="2"/>
  <c r="O106" i="2"/>
  <c r="N106" i="2"/>
  <c r="P105" i="2"/>
  <c r="O105" i="2"/>
  <c r="N105" i="2"/>
  <c r="P104" i="2"/>
  <c r="O104" i="2"/>
  <c r="N104" i="2"/>
  <c r="U103" i="2"/>
  <c r="P103" i="2"/>
  <c r="O103" i="2"/>
  <c r="N103" i="2"/>
  <c r="L103" i="2"/>
  <c r="M103" i="2" s="1"/>
  <c r="F103" i="2"/>
  <c r="P102" i="2"/>
  <c r="O102" i="2"/>
  <c r="N102" i="2"/>
  <c r="L102" i="2"/>
  <c r="U101" i="2"/>
  <c r="S101" i="2"/>
  <c r="R101" i="2"/>
  <c r="P101" i="2"/>
  <c r="O101" i="2"/>
  <c r="N101" i="2"/>
  <c r="L101" i="2"/>
  <c r="M101" i="2" s="1"/>
  <c r="U100" i="2"/>
  <c r="P100" i="2"/>
  <c r="O100" i="2"/>
  <c r="N100" i="2"/>
  <c r="L100" i="2"/>
  <c r="M100" i="2" s="1"/>
  <c r="P99" i="2"/>
  <c r="O99" i="2"/>
  <c r="N99" i="2"/>
  <c r="L99" i="2"/>
  <c r="P97" i="2"/>
  <c r="O97" i="2"/>
  <c r="N97" i="2"/>
  <c r="G97" i="2"/>
  <c r="P96" i="2"/>
  <c r="O96" i="2"/>
  <c r="N96" i="2"/>
  <c r="P95" i="2"/>
  <c r="O95" i="2"/>
  <c r="N95" i="2"/>
  <c r="G95" i="2"/>
  <c r="F95" i="2"/>
  <c r="P94" i="2"/>
  <c r="O94" i="2"/>
  <c r="N94" i="2"/>
  <c r="G94" i="2"/>
  <c r="P92" i="2"/>
  <c r="O92" i="2"/>
  <c r="N92" i="2"/>
  <c r="P91" i="2"/>
  <c r="O91" i="2"/>
  <c r="N91" i="2"/>
  <c r="P90" i="2"/>
  <c r="O90" i="2"/>
  <c r="N90" i="2"/>
  <c r="P89" i="2"/>
  <c r="O89" i="2"/>
  <c r="N89" i="2"/>
  <c r="P86" i="2"/>
  <c r="O86" i="2"/>
  <c r="N86" i="2"/>
  <c r="P85" i="2"/>
  <c r="O85" i="2"/>
  <c r="N85" i="2"/>
  <c r="A85" i="2"/>
  <c r="C85" i="2" s="1"/>
  <c r="P84" i="2"/>
  <c r="O84" i="2"/>
  <c r="N84" i="2"/>
  <c r="E84" i="2"/>
  <c r="C84" i="2"/>
  <c r="P83" i="2"/>
  <c r="O83" i="2"/>
  <c r="N83" i="2"/>
  <c r="L83" i="2"/>
  <c r="E83" i="2"/>
  <c r="C83" i="2"/>
  <c r="P82" i="2"/>
  <c r="O82" i="2"/>
  <c r="N82" i="2"/>
  <c r="E82" i="2"/>
  <c r="C82" i="2"/>
  <c r="P81" i="2"/>
  <c r="E81" i="2"/>
  <c r="C81" i="2"/>
  <c r="P80" i="2"/>
  <c r="O80" i="2"/>
  <c r="N80" i="2"/>
  <c r="E80" i="2"/>
  <c r="C80" i="2"/>
  <c r="P79" i="2"/>
  <c r="O79" i="2"/>
  <c r="N79" i="2"/>
  <c r="E79" i="2"/>
  <c r="C79" i="2"/>
  <c r="P78" i="2"/>
  <c r="O78" i="2"/>
  <c r="N78" i="2"/>
  <c r="E78" i="2"/>
  <c r="C78" i="2"/>
  <c r="P77" i="2"/>
  <c r="O77" i="2"/>
  <c r="N77" i="2"/>
  <c r="E77" i="2"/>
  <c r="C77" i="2"/>
  <c r="P76" i="2"/>
  <c r="O76" i="2"/>
  <c r="N76" i="2"/>
  <c r="E76" i="2"/>
  <c r="C76" i="2"/>
  <c r="P75" i="2"/>
  <c r="O75" i="2"/>
  <c r="N75" i="2"/>
  <c r="E75" i="2"/>
  <c r="C75" i="2"/>
  <c r="P74" i="2"/>
  <c r="O74" i="2"/>
  <c r="N74" i="2"/>
  <c r="E74" i="2"/>
  <c r="C74" i="2"/>
  <c r="P73" i="2"/>
  <c r="O73" i="2"/>
  <c r="N73" i="2"/>
  <c r="E73" i="2"/>
  <c r="C73" i="2"/>
  <c r="P72" i="2"/>
  <c r="O72" i="2"/>
  <c r="N72" i="2"/>
  <c r="E72" i="2"/>
  <c r="C72" i="2"/>
  <c r="P71" i="2"/>
  <c r="O71" i="2"/>
  <c r="N71" i="2"/>
  <c r="E71" i="2"/>
  <c r="C71" i="2"/>
  <c r="P70" i="2"/>
  <c r="O70" i="2"/>
  <c r="N70" i="2"/>
  <c r="E70" i="2"/>
  <c r="C70" i="2"/>
  <c r="P69" i="2"/>
  <c r="O69" i="2"/>
  <c r="N69" i="2"/>
  <c r="E69" i="2"/>
  <c r="C69" i="2"/>
  <c r="P68" i="2"/>
  <c r="O68" i="2"/>
  <c r="N68" i="2"/>
  <c r="E68" i="2"/>
  <c r="C68" i="2"/>
  <c r="P67" i="2"/>
  <c r="O67" i="2"/>
  <c r="N67" i="2"/>
  <c r="E67" i="2"/>
  <c r="C67" i="2"/>
  <c r="P66" i="2"/>
  <c r="O66" i="2"/>
  <c r="N66" i="2"/>
  <c r="E66" i="2"/>
  <c r="C66" i="2"/>
  <c r="P65" i="2"/>
  <c r="O65" i="2"/>
  <c r="N65" i="2"/>
  <c r="E65" i="2"/>
  <c r="C65" i="2"/>
  <c r="P64" i="2"/>
  <c r="O64" i="2"/>
  <c r="N64" i="2"/>
  <c r="E64" i="2"/>
  <c r="C64" i="2"/>
  <c r="P63" i="2"/>
  <c r="O63" i="2"/>
  <c r="N63" i="2"/>
  <c r="E63" i="2"/>
  <c r="C63" i="2"/>
  <c r="P62" i="2"/>
  <c r="O62" i="2"/>
  <c r="N62" i="2"/>
  <c r="E62" i="2"/>
  <c r="C62" i="2"/>
  <c r="P61" i="2"/>
  <c r="O61" i="2"/>
  <c r="N61" i="2"/>
  <c r="E61" i="2"/>
  <c r="C61" i="2"/>
  <c r="P60" i="2"/>
  <c r="O60" i="2"/>
  <c r="N60" i="2"/>
  <c r="E60" i="2"/>
  <c r="C60" i="2"/>
  <c r="E59" i="2"/>
  <c r="C59" i="2"/>
  <c r="P58" i="2"/>
  <c r="O58" i="2"/>
  <c r="N58" i="2"/>
  <c r="E58" i="2"/>
  <c r="C58" i="2"/>
  <c r="P57" i="2"/>
  <c r="O57" i="2"/>
  <c r="N57" i="2"/>
  <c r="E57" i="2"/>
  <c r="C57" i="2"/>
  <c r="P56" i="2"/>
  <c r="O56" i="2"/>
  <c r="N56" i="2"/>
  <c r="E56" i="2"/>
  <c r="C56" i="2"/>
  <c r="P55" i="2"/>
  <c r="O55" i="2"/>
  <c r="N55" i="2"/>
  <c r="E55" i="2"/>
  <c r="C55" i="2"/>
  <c r="E54" i="2"/>
  <c r="C54" i="2"/>
  <c r="P53" i="2"/>
  <c r="O53" i="2"/>
  <c r="N53" i="2"/>
  <c r="E53" i="2"/>
  <c r="C53" i="2"/>
  <c r="P52" i="2"/>
  <c r="O52" i="2"/>
  <c r="N52" i="2"/>
  <c r="E52" i="2"/>
  <c r="C52" i="2"/>
  <c r="P51" i="2"/>
  <c r="O51" i="2"/>
  <c r="N51" i="2"/>
  <c r="E51" i="2"/>
  <c r="C51" i="2"/>
  <c r="P50" i="2"/>
  <c r="O50" i="2"/>
  <c r="N50" i="2"/>
  <c r="E50" i="2"/>
  <c r="C50" i="2"/>
  <c r="P49" i="2"/>
  <c r="O49" i="2"/>
  <c r="N49" i="2"/>
  <c r="E49" i="2"/>
  <c r="C49" i="2"/>
  <c r="E48" i="2"/>
  <c r="C48" i="2"/>
  <c r="P47" i="2"/>
  <c r="O47" i="2"/>
  <c r="N47" i="2"/>
  <c r="E47" i="2"/>
  <c r="C47" i="2"/>
  <c r="P46" i="2"/>
  <c r="O46" i="2"/>
  <c r="N46" i="2"/>
  <c r="E46" i="2"/>
  <c r="C46" i="2"/>
  <c r="P45" i="2"/>
  <c r="O45" i="2"/>
  <c r="N45" i="2"/>
  <c r="E45" i="2"/>
  <c r="C45" i="2"/>
  <c r="P44" i="2"/>
  <c r="O44" i="2"/>
  <c r="N44" i="2"/>
  <c r="E44" i="2"/>
  <c r="C44" i="2"/>
  <c r="P43" i="2"/>
  <c r="O43" i="2"/>
  <c r="N43" i="2"/>
  <c r="E43" i="2"/>
  <c r="C43" i="2"/>
  <c r="P42" i="2"/>
  <c r="O42" i="2"/>
  <c r="N42" i="2"/>
  <c r="E42" i="2"/>
  <c r="C42" i="2"/>
  <c r="P41" i="2"/>
  <c r="O41" i="2"/>
  <c r="N41" i="2"/>
  <c r="E41" i="2"/>
  <c r="C41" i="2"/>
  <c r="P40" i="2"/>
  <c r="O40" i="2"/>
  <c r="N40" i="2"/>
  <c r="E40" i="2"/>
  <c r="C40" i="2"/>
  <c r="P39" i="2"/>
  <c r="O39" i="2"/>
  <c r="N39" i="2"/>
  <c r="E39" i="2"/>
  <c r="C39" i="2"/>
  <c r="P38" i="2"/>
  <c r="O38" i="2"/>
  <c r="N38" i="2"/>
  <c r="E38" i="2"/>
  <c r="C38" i="2"/>
  <c r="P37" i="2"/>
  <c r="O37" i="2"/>
  <c r="N37" i="2"/>
  <c r="E37" i="2"/>
  <c r="C37" i="2"/>
  <c r="P36" i="2"/>
  <c r="O36" i="2"/>
  <c r="N36" i="2"/>
  <c r="E36" i="2"/>
  <c r="C36" i="2"/>
  <c r="P35" i="2"/>
  <c r="O35" i="2"/>
  <c r="N35" i="2"/>
  <c r="E35" i="2"/>
  <c r="C35" i="2"/>
  <c r="P34" i="2"/>
  <c r="O34" i="2"/>
  <c r="N34" i="2"/>
  <c r="E34" i="2"/>
  <c r="C34" i="2"/>
  <c r="P33" i="2"/>
  <c r="O33" i="2"/>
  <c r="N33" i="2"/>
  <c r="E33" i="2"/>
  <c r="C33" i="2"/>
  <c r="E32" i="2"/>
  <c r="C32" i="2"/>
  <c r="P31" i="2"/>
  <c r="O31" i="2"/>
  <c r="N31" i="2"/>
  <c r="E31" i="2"/>
  <c r="C31" i="2"/>
  <c r="P30" i="2"/>
  <c r="O30" i="2"/>
  <c r="N30" i="2"/>
  <c r="E30" i="2"/>
  <c r="C30" i="2"/>
  <c r="P29" i="2"/>
  <c r="O29" i="2"/>
  <c r="N29" i="2"/>
  <c r="E29" i="2"/>
  <c r="C29" i="2"/>
  <c r="P28" i="2"/>
  <c r="O28" i="2"/>
  <c r="N28" i="2"/>
  <c r="E28" i="2"/>
  <c r="C28" i="2"/>
  <c r="P27" i="2"/>
  <c r="O27" i="2"/>
  <c r="N27" i="2"/>
  <c r="E27" i="2"/>
  <c r="C27" i="2"/>
  <c r="P26" i="2"/>
  <c r="O26" i="2"/>
  <c r="N26" i="2"/>
  <c r="E26" i="2"/>
  <c r="C26" i="2"/>
  <c r="P25" i="2"/>
  <c r="O25" i="2"/>
  <c r="N25" i="2"/>
  <c r="E25" i="2"/>
  <c r="C25" i="2"/>
  <c r="P24" i="2"/>
  <c r="O24" i="2"/>
  <c r="N24" i="2"/>
  <c r="E24" i="2"/>
  <c r="C24" i="2"/>
  <c r="P23" i="2"/>
  <c r="O23" i="2"/>
  <c r="N23" i="2"/>
  <c r="E23" i="2"/>
  <c r="C23" i="2"/>
  <c r="P22" i="2"/>
  <c r="O22" i="2"/>
  <c r="N22" i="2"/>
  <c r="E22" i="2"/>
  <c r="C22" i="2"/>
  <c r="E21" i="2"/>
  <c r="C21" i="2"/>
  <c r="P20" i="2"/>
  <c r="O20" i="2"/>
  <c r="N20" i="2"/>
  <c r="E20" i="2"/>
  <c r="C20" i="2"/>
  <c r="P19" i="2"/>
  <c r="O19" i="2"/>
  <c r="N19" i="2"/>
  <c r="E19" i="2"/>
  <c r="C19" i="2"/>
  <c r="P18" i="2"/>
  <c r="O18" i="2"/>
  <c r="N18" i="2"/>
  <c r="E18" i="2"/>
  <c r="C18" i="2"/>
  <c r="P17" i="2"/>
  <c r="O17" i="2"/>
  <c r="N17" i="2"/>
  <c r="E17" i="2"/>
  <c r="C17" i="2"/>
  <c r="E16" i="2"/>
  <c r="C16" i="2"/>
  <c r="P15" i="2"/>
  <c r="O15" i="2"/>
  <c r="N15" i="2"/>
  <c r="E15" i="2"/>
  <c r="C15" i="2"/>
  <c r="P14" i="2"/>
  <c r="O14" i="2"/>
  <c r="N14" i="2"/>
  <c r="E14" i="2"/>
  <c r="C14" i="2"/>
  <c r="P13" i="2"/>
  <c r="O13" i="2"/>
  <c r="N13" i="2"/>
  <c r="E13" i="2"/>
  <c r="C13" i="2"/>
  <c r="P12" i="2"/>
  <c r="O12" i="2"/>
  <c r="N12" i="2"/>
  <c r="E12" i="2"/>
  <c r="C12" i="2"/>
  <c r="P11" i="2"/>
  <c r="O11" i="2"/>
  <c r="N11" i="2"/>
  <c r="E11" i="2"/>
  <c r="C11" i="2"/>
  <c r="E10" i="2"/>
  <c r="C10" i="2"/>
  <c r="P9" i="2"/>
  <c r="O9" i="2"/>
  <c r="N9" i="2"/>
  <c r="E9" i="2"/>
  <c r="C9" i="2"/>
  <c r="P8" i="2"/>
  <c r="O8" i="2"/>
  <c r="N8" i="2"/>
  <c r="E8" i="2"/>
  <c r="C8" i="2"/>
  <c r="P7" i="2"/>
  <c r="O7" i="2"/>
  <c r="N7" i="2"/>
  <c r="E7" i="2"/>
  <c r="C7" i="2"/>
  <c r="P6" i="2"/>
  <c r="O6" i="2"/>
  <c r="N6" i="2"/>
  <c r="E6" i="2"/>
  <c r="C6" i="2"/>
  <c r="P5" i="2"/>
  <c r="O5" i="2"/>
  <c r="N5" i="2"/>
  <c r="E5" i="2"/>
  <c r="C5" i="2"/>
  <c r="P4" i="2"/>
  <c r="O4" i="2"/>
  <c r="N4" i="2"/>
  <c r="M4" i="2"/>
  <c r="E4" i="2"/>
  <c r="C4" i="2"/>
  <c r="B3" i="2"/>
  <c r="E39" i="31" l="1"/>
  <c r="A40" i="31"/>
  <c r="A41" i="31" s="1"/>
  <c r="L179" i="2"/>
  <c r="M179" i="2" s="1"/>
  <c r="L178" i="2"/>
  <c r="M178" i="2" s="1"/>
  <c r="L181" i="2"/>
  <c r="M181" i="2" s="1"/>
  <c r="L182" i="2"/>
  <c r="M182" i="2" s="1"/>
  <c r="L162" i="2"/>
  <c r="M162" i="2" s="1"/>
  <c r="L183" i="2"/>
  <c r="M183" i="2" s="1"/>
  <c r="L180" i="2"/>
  <c r="M180" i="2" s="1"/>
  <c r="A517" i="30"/>
  <c r="E517" i="30" s="1"/>
  <c r="M99" i="2"/>
  <c r="M109" i="2"/>
  <c r="C516" i="30"/>
  <c r="M110" i="2"/>
  <c r="A86" i="2"/>
  <c r="M119" i="2"/>
  <c r="L141" i="2"/>
  <c r="M141" i="2" s="1"/>
  <c r="L138" i="2"/>
  <c r="M138" i="2" s="1"/>
  <c r="L137" i="2"/>
  <c r="M137" i="2" s="1"/>
  <c r="L139" i="2"/>
  <c r="M139" i="2" s="1"/>
  <c r="L140" i="2"/>
  <c r="M140" i="2" s="1"/>
  <c r="L121" i="2"/>
  <c r="M121" i="2" s="1"/>
  <c r="L142" i="2"/>
  <c r="M142" i="2" s="1"/>
  <c r="E85" i="2"/>
  <c r="M102" i="2"/>
  <c r="M111" i="2"/>
  <c r="E40" i="31" l="1"/>
  <c r="C40" i="31"/>
  <c r="C517" i="30"/>
  <c r="A518" i="30"/>
  <c r="C41" i="31"/>
  <c r="E41" i="31"/>
  <c r="A42" i="31"/>
  <c r="E86" i="2"/>
  <c r="C86" i="2"/>
  <c r="C518" i="30" l="1"/>
  <c r="A519" i="30"/>
  <c r="E518" i="30"/>
  <c r="E42" i="31"/>
  <c r="A43" i="31"/>
  <c r="C42" i="31"/>
  <c r="E519" i="30" l="1"/>
  <c r="A520" i="30"/>
  <c r="C519" i="30"/>
  <c r="A44" i="31"/>
  <c r="E43" i="31"/>
  <c r="C43" i="31"/>
  <c r="C520" i="30" l="1"/>
  <c r="A521" i="30"/>
  <c r="E520" i="30"/>
  <c r="A45" i="31"/>
  <c r="C44" i="31"/>
  <c r="E44" i="31"/>
  <c r="E521" i="30" l="1"/>
  <c r="A522" i="30"/>
  <c r="C521" i="30"/>
  <c r="C45" i="31"/>
  <c r="E45" i="31"/>
  <c r="A46" i="31"/>
  <c r="A523" i="30" l="1"/>
  <c r="C522" i="30"/>
  <c r="E522" i="30"/>
  <c r="C46" i="31"/>
  <c r="A47" i="31"/>
  <c r="E46" i="31"/>
  <c r="A524" i="30" l="1"/>
  <c r="C523" i="30"/>
  <c r="E523" i="30"/>
  <c r="E47" i="31"/>
  <c r="A48" i="31"/>
  <c r="C47" i="31"/>
  <c r="A525" i="30" l="1"/>
  <c r="C524" i="30"/>
  <c r="E524" i="30"/>
  <c r="A49" i="31"/>
  <c r="C48" i="31"/>
  <c r="E48" i="31"/>
  <c r="C525" i="30" l="1"/>
  <c r="E525" i="30"/>
  <c r="A526" i="30"/>
  <c r="A54" i="31"/>
  <c r="C49" i="31"/>
  <c r="E49" i="31"/>
  <c r="A50" i="31"/>
  <c r="A527" i="30" l="1"/>
  <c r="E526" i="30"/>
  <c r="C526" i="30"/>
  <c r="E54" i="31"/>
  <c r="C54" i="31"/>
  <c r="A53" i="31"/>
  <c r="E53" i="31" s="1"/>
  <c r="C53" i="31" s="1"/>
  <c r="A55" i="31"/>
  <c r="A51" i="31"/>
  <c r="C50" i="31"/>
  <c r="A52" i="31"/>
  <c r="E50" i="31"/>
  <c r="A528" i="30" l="1"/>
  <c r="E527" i="30"/>
  <c r="C527" i="30"/>
  <c r="C52" i="31"/>
  <c r="E52" i="31"/>
  <c r="C55" i="31"/>
  <c r="E55" i="31"/>
  <c r="A56" i="31"/>
  <c r="C51" i="31"/>
  <c r="E51" i="31"/>
  <c r="C528" i="30" l="1"/>
  <c r="A529" i="30"/>
  <c r="E528" i="30"/>
  <c r="C56" i="31"/>
  <c r="E56" i="31"/>
  <c r="A530" i="30" l="1"/>
  <c r="C529" i="30"/>
  <c r="E529" i="30"/>
  <c r="K52" i="6" l="1"/>
  <c r="K27" i="6"/>
  <c r="C530" i="30"/>
  <c r="A531" i="30"/>
  <c r="E530" i="30"/>
  <c r="A532" i="30" l="1"/>
  <c r="E531" i="30"/>
  <c r="C531" i="30"/>
  <c r="A533" i="30" l="1"/>
  <c r="E532" i="30"/>
  <c r="C532" i="30"/>
  <c r="E533" i="30" l="1"/>
  <c r="A534" i="30"/>
  <c r="C533" i="30"/>
  <c r="E534" i="30" l="1"/>
  <c r="C534" i="30"/>
  <c r="A535" i="30"/>
  <c r="E535" i="30" l="1"/>
  <c r="A536" i="30"/>
  <c r="C535" i="30"/>
  <c r="A537" i="30" l="1"/>
  <c r="E536" i="30"/>
  <c r="C536" i="30"/>
  <c r="E537" i="30" l="1"/>
  <c r="C537" i="30"/>
  <c r="A538" i="30"/>
  <c r="A539" i="30" l="1"/>
  <c r="E538" i="30"/>
  <c r="C538" i="30"/>
  <c r="A540" i="30" l="1"/>
  <c r="E539" i="30"/>
  <c r="C539" i="30"/>
  <c r="C540" i="30" l="1"/>
  <c r="A541" i="30"/>
  <c r="E540" i="30"/>
  <c r="E541" i="30" l="1"/>
  <c r="A542" i="30"/>
  <c r="C541" i="30"/>
  <c r="E542" i="30" l="1"/>
  <c r="C542" i="30"/>
  <c r="A543" i="30"/>
  <c r="A544" i="30" l="1"/>
  <c r="E543" i="30"/>
  <c r="C543" i="30"/>
  <c r="C544" i="30" l="1"/>
  <c r="A545" i="30"/>
  <c r="E544" i="30"/>
  <c r="C545" i="30" l="1"/>
  <c r="A546" i="30"/>
  <c r="E545" i="30"/>
  <c r="D289" i="29"/>
  <c r="C289" i="29"/>
  <c r="D288" i="29"/>
  <c r="C288" i="29"/>
  <c r="D287" i="29"/>
  <c r="C287" i="29"/>
  <c r="D286" i="29"/>
  <c r="C286" i="29"/>
  <c r="D285" i="29"/>
  <c r="C285" i="29"/>
  <c r="D284" i="29"/>
  <c r="C284" i="29"/>
  <c r="D283" i="29"/>
  <c r="C283" i="29"/>
  <c r="D282" i="29"/>
  <c r="C282" i="29"/>
  <c r="D281" i="29"/>
  <c r="C281" i="29"/>
  <c r="D280" i="29"/>
  <c r="C280" i="29"/>
  <c r="D279" i="29"/>
  <c r="C279" i="29"/>
  <c r="D278" i="29"/>
  <c r="C278" i="29"/>
  <c r="D277" i="29"/>
  <c r="C277" i="29"/>
  <c r="D276" i="29"/>
  <c r="C276" i="29"/>
  <c r="E546" i="30" l="1"/>
  <c r="C546" i="30"/>
  <c r="A547" i="30"/>
  <c r="D71" i="29"/>
  <c r="C71" i="29"/>
  <c r="D70" i="29"/>
  <c r="C70" i="29"/>
  <c r="D69" i="29"/>
  <c r="C69" i="29"/>
  <c r="E547" i="30" l="1"/>
  <c r="C547" i="30"/>
  <c r="A548" i="30"/>
  <c r="D68" i="29"/>
  <c r="C68" i="29"/>
  <c r="D67" i="29"/>
  <c r="C67" i="29"/>
  <c r="D66" i="29"/>
  <c r="C66" i="29"/>
  <c r="D65" i="29"/>
  <c r="C65" i="29"/>
  <c r="D64" i="29"/>
  <c r="C64" i="29"/>
  <c r="D63" i="29"/>
  <c r="C63" i="29"/>
  <c r="D62" i="29"/>
  <c r="C62" i="29"/>
  <c r="D61" i="29"/>
  <c r="C61" i="29"/>
  <c r="D60" i="29"/>
  <c r="C60" i="29"/>
  <c r="D59" i="29"/>
  <c r="C59" i="29"/>
  <c r="D58" i="29"/>
  <c r="C58" i="29"/>
  <c r="D57" i="29"/>
  <c r="C57" i="29"/>
  <c r="D56" i="29"/>
  <c r="C56" i="29"/>
  <c r="D55" i="29"/>
  <c r="C55" i="29"/>
  <c r="D54" i="29"/>
  <c r="C54" i="29"/>
  <c r="D53" i="29"/>
  <c r="C53" i="29"/>
  <c r="D52" i="29"/>
  <c r="C52" i="29"/>
  <c r="D51" i="29"/>
  <c r="C51" i="29"/>
  <c r="D50" i="29"/>
  <c r="C50" i="29"/>
  <c r="D49" i="29"/>
  <c r="C49" i="29"/>
  <c r="D48" i="29"/>
  <c r="C48" i="29"/>
  <c r="D47" i="29"/>
  <c r="C47" i="29"/>
  <c r="D46" i="29"/>
  <c r="C46" i="29"/>
  <c r="D45" i="29"/>
  <c r="C45" i="29"/>
  <c r="D44" i="29"/>
  <c r="C44" i="29"/>
  <c r="D43" i="29"/>
  <c r="C43" i="29"/>
  <c r="D42" i="29"/>
  <c r="C42" i="29"/>
  <c r="D41" i="29"/>
  <c r="C41" i="29"/>
  <c r="D40" i="29"/>
  <c r="C40" i="29"/>
  <c r="D39" i="29"/>
  <c r="C39" i="29"/>
  <c r="D38" i="29"/>
  <c r="C38" i="29"/>
  <c r="D37" i="29"/>
  <c r="C37" i="29"/>
  <c r="D36" i="29"/>
  <c r="C36" i="29"/>
  <c r="A549" i="30" l="1"/>
  <c r="E548" i="30"/>
  <c r="C548" i="30"/>
  <c r="D35" i="29"/>
  <c r="C35" i="29"/>
  <c r="D34" i="29"/>
  <c r="C34" i="29"/>
  <c r="D33" i="29"/>
  <c r="C33" i="29"/>
  <c r="D32" i="29"/>
  <c r="C32" i="29"/>
  <c r="D31" i="29"/>
  <c r="C31" i="29"/>
  <c r="D30" i="29"/>
  <c r="C30" i="29"/>
  <c r="D29" i="29"/>
  <c r="C29" i="29"/>
  <c r="D28" i="29"/>
  <c r="C28" i="29"/>
  <c r="D27" i="29"/>
  <c r="C27" i="29"/>
  <c r="D26" i="29"/>
  <c r="C26" i="29"/>
  <c r="D25" i="29"/>
  <c r="C25" i="29"/>
  <c r="D24" i="29"/>
  <c r="C24" i="29"/>
  <c r="D23" i="29"/>
  <c r="C23" i="29"/>
  <c r="D22" i="29"/>
  <c r="C22" i="29"/>
  <c r="D21" i="29"/>
  <c r="C21" i="29"/>
  <c r="D20" i="29"/>
  <c r="C20" i="29"/>
  <c r="D19" i="29"/>
  <c r="C19" i="29"/>
  <c r="D18" i="29"/>
  <c r="C18" i="29"/>
  <c r="D17" i="29"/>
  <c r="C17" i="29"/>
  <c r="D16" i="29"/>
  <c r="C16" i="29"/>
  <c r="D15" i="29"/>
  <c r="C15" i="29"/>
  <c r="D14" i="29"/>
  <c r="C14" i="29"/>
  <c r="D13" i="29"/>
  <c r="C13" i="29"/>
  <c r="D12" i="29"/>
  <c r="C12" i="29"/>
  <c r="D11" i="29"/>
  <c r="C11" i="29"/>
  <c r="D10" i="29"/>
  <c r="C10" i="29"/>
  <c r="D9" i="29"/>
  <c r="C9" i="29"/>
  <c r="C549" i="30" l="1"/>
  <c r="A550" i="30"/>
  <c r="E549" i="30"/>
  <c r="D8" i="29"/>
  <c r="C8" i="29"/>
  <c r="D7" i="29"/>
  <c r="C7" i="29"/>
  <c r="D6" i="29"/>
  <c r="C6" i="29"/>
  <c r="D5" i="29"/>
  <c r="C5" i="29"/>
  <c r="A551" i="30" l="1"/>
  <c r="E550" i="30"/>
  <c r="C550" i="30"/>
  <c r="A552" i="30" l="1"/>
  <c r="E551" i="30"/>
  <c r="C551" i="30"/>
  <c r="D4" i="29"/>
  <c r="C4" i="29"/>
  <c r="D3" i="29"/>
  <c r="C3" i="29"/>
  <c r="A3" i="29"/>
  <c r="A4" i="29" s="1"/>
  <c r="D2" i="29"/>
  <c r="C2" i="29"/>
  <c r="E552" i="30" l="1"/>
  <c r="C552" i="30"/>
  <c r="A553" i="30"/>
  <c r="A5" i="29"/>
  <c r="A6" i="29" s="1"/>
  <c r="A7" i="29" s="1"/>
  <c r="A8" i="29" s="1"/>
  <c r="A9" i="29" s="1"/>
  <c r="A10" i="29" s="1"/>
  <c r="A11" i="29" s="1"/>
  <c r="A12" i="29" s="1"/>
  <c r="A13" i="29" s="1"/>
  <c r="A14" i="29" s="1"/>
  <c r="A15" i="29" l="1"/>
  <c r="A16" i="29" s="1"/>
  <c r="A17" i="29" s="1"/>
  <c r="A18" i="29" s="1"/>
  <c r="A19" i="29" s="1"/>
  <c r="A20" i="29" s="1"/>
  <c r="A21" i="29" s="1"/>
  <c r="A22" i="29" s="1"/>
  <c r="A23" i="29" s="1"/>
  <c r="A24" i="29" s="1"/>
  <c r="A25" i="29" s="1"/>
  <c r="A26" i="29" s="1"/>
  <c r="A27" i="29" s="1"/>
  <c r="A28" i="29" s="1"/>
  <c r="C553" i="30"/>
  <c r="A554" i="30"/>
  <c r="E553" i="30"/>
  <c r="A29" i="29" l="1"/>
  <c r="A30" i="29" s="1"/>
  <c r="A31" i="29" s="1"/>
  <c r="A32" i="29" s="1"/>
  <c r="A33" i="29" s="1"/>
  <c r="A34" i="29" s="1"/>
  <c r="A35" i="29" s="1"/>
  <c r="A36" i="29" s="1"/>
  <c r="A37" i="29" s="1"/>
  <c r="A38" i="29" s="1"/>
  <c r="A39" i="29" s="1"/>
  <c r="A40" i="29" s="1"/>
  <c r="A41" i="29" s="1"/>
  <c r="A42" i="29" s="1"/>
  <c r="A555" i="30"/>
  <c r="E554" i="30"/>
  <c r="C554" i="30"/>
  <c r="A43" i="29" l="1"/>
  <c r="A44" i="29" s="1"/>
  <c r="A45" i="29" s="1"/>
  <c r="A46" i="29" s="1"/>
  <c r="A47" i="29" s="1"/>
  <c r="A48" i="29" s="1"/>
  <c r="A49" i="29" s="1"/>
  <c r="A50" i="29" s="1"/>
  <c r="A51" i="29" s="1"/>
  <c r="A52" i="29" s="1"/>
  <c r="A53" i="29" s="1"/>
  <c r="A54" i="29" s="1"/>
  <c r="A55" i="29" s="1"/>
  <c r="A56" i="29" s="1"/>
  <c r="E555" i="30"/>
  <c r="C555" i="30"/>
  <c r="A556" i="30"/>
  <c r="A57" i="29" l="1"/>
  <c r="A58" i="29" s="1"/>
  <c r="A59" i="29" s="1"/>
  <c r="A60" i="29" s="1"/>
  <c r="A61" i="29" s="1"/>
  <c r="A62" i="29" s="1"/>
  <c r="A63" i="29" s="1"/>
  <c r="A64" i="29" s="1"/>
  <c r="A65" i="29" s="1"/>
  <c r="A66" i="29" s="1"/>
  <c r="A156" i="29" s="1"/>
  <c r="A158" i="29" s="1"/>
  <c r="A160" i="29" s="1"/>
  <c r="C556" i="30"/>
  <c r="A557" i="30"/>
  <c r="E556" i="30"/>
  <c r="A170" i="29" l="1"/>
  <c r="A172" i="29" s="1"/>
  <c r="A174" i="29" s="1"/>
  <c r="A176" i="29" s="1"/>
  <c r="A162" i="29"/>
  <c r="A164" i="29" s="1"/>
  <c r="A166" i="29" s="1"/>
  <c r="A168" i="29" s="1"/>
  <c r="A68" i="29"/>
  <c r="A67" i="29"/>
  <c r="A157" i="29" s="1"/>
  <c r="A159" i="29" s="1"/>
  <c r="A161" i="29" s="1"/>
  <c r="A69" i="29"/>
  <c r="A71" i="29" s="1"/>
  <c r="A73" i="29" s="1"/>
  <c r="A75" i="29" s="1"/>
  <c r="A77" i="29" s="1"/>
  <c r="A79" i="29" s="1"/>
  <c r="A81" i="29" s="1"/>
  <c r="A83" i="29" s="1"/>
  <c r="A85" i="29" s="1"/>
  <c r="A87" i="29" s="1"/>
  <c r="A89" i="29" s="1"/>
  <c r="C557" i="30"/>
  <c r="E557" i="30"/>
  <c r="A558" i="30"/>
  <c r="A163" i="29" l="1"/>
  <c r="A165" i="29" s="1"/>
  <c r="A167" i="29" s="1"/>
  <c r="A169" i="29" s="1"/>
  <c r="A171" i="29"/>
  <c r="A173" i="29" s="1"/>
  <c r="A175" i="29" s="1"/>
  <c r="A177" i="29" s="1"/>
  <c r="A70" i="29"/>
  <c r="A72" i="29" s="1"/>
  <c r="A74" i="29" s="1"/>
  <c r="A76" i="29" s="1"/>
  <c r="A78" i="29" s="1"/>
  <c r="A80" i="29" s="1"/>
  <c r="A82" i="29" s="1"/>
  <c r="A84" i="29" s="1"/>
  <c r="A86" i="29" s="1"/>
  <c r="A88" i="29" s="1"/>
  <c r="A91" i="29"/>
  <c r="A93" i="29" s="1"/>
  <c r="A95" i="29" s="1"/>
  <c r="A97" i="29" s="1"/>
  <c r="A99" i="29" s="1"/>
  <c r="A101" i="29" s="1"/>
  <c r="A103" i="29" s="1"/>
  <c r="A105" i="29" s="1"/>
  <c r="A107" i="29" s="1"/>
  <c r="A109" i="29" s="1"/>
  <c r="A111" i="29" s="1"/>
  <c r="A201" i="29" s="1"/>
  <c r="A203" i="29" s="1"/>
  <c r="A205" i="29" s="1"/>
  <c r="A179" i="29"/>
  <c r="A181" i="29" s="1"/>
  <c r="A183" i="29" s="1"/>
  <c r="A559" i="30"/>
  <c r="E558" i="30"/>
  <c r="C558" i="30"/>
  <c r="A135" i="29" l="1"/>
  <c r="A137" i="29" s="1"/>
  <c r="A139" i="29" s="1"/>
  <c r="A141" i="29" s="1"/>
  <c r="A143" i="29" s="1"/>
  <c r="A145" i="29" s="1"/>
  <c r="A147" i="29" s="1"/>
  <c r="A149" i="29" s="1"/>
  <c r="A151" i="29" s="1"/>
  <c r="A153" i="29" s="1"/>
  <c r="A155" i="29" s="1"/>
  <c r="A113" i="29"/>
  <c r="A115" i="29" s="1"/>
  <c r="A117" i="29" s="1"/>
  <c r="A119" i="29" s="1"/>
  <c r="A121" i="29" s="1"/>
  <c r="A123" i="29" s="1"/>
  <c r="A125" i="29" s="1"/>
  <c r="A127" i="29" s="1"/>
  <c r="A129" i="29" s="1"/>
  <c r="A131" i="29" s="1"/>
  <c r="A133" i="29" s="1"/>
  <c r="A223" i="29" s="1"/>
  <c r="A225" i="29" s="1"/>
  <c r="A207" i="29"/>
  <c r="A209" i="29" s="1"/>
  <c r="A211" i="29" s="1"/>
  <c r="A213" i="29" s="1"/>
  <c r="A215" i="29"/>
  <c r="A217" i="29" s="1"/>
  <c r="A219" i="29" s="1"/>
  <c r="A193" i="29"/>
  <c r="A195" i="29" s="1"/>
  <c r="A197" i="29" s="1"/>
  <c r="A199" i="29" s="1"/>
  <c r="A185" i="29"/>
  <c r="A187" i="29" s="1"/>
  <c r="A189" i="29" s="1"/>
  <c r="A191" i="29" s="1"/>
  <c r="A90" i="29"/>
  <c r="A92" i="29" s="1"/>
  <c r="A94" i="29" s="1"/>
  <c r="A96" i="29" s="1"/>
  <c r="A98" i="29" s="1"/>
  <c r="A100" i="29" s="1"/>
  <c r="A102" i="29" s="1"/>
  <c r="A104" i="29" s="1"/>
  <c r="A106" i="29" s="1"/>
  <c r="A108" i="29" s="1"/>
  <c r="A110" i="29" s="1"/>
  <c r="A178" i="29"/>
  <c r="A180" i="29" s="1"/>
  <c r="A182" i="29" s="1"/>
  <c r="A560" i="30"/>
  <c r="E559" i="30"/>
  <c r="C559" i="30"/>
  <c r="A227" i="29" l="1"/>
  <c r="A243" i="29"/>
  <c r="A221" i="29"/>
  <c r="A245" i="29"/>
  <c r="A247" i="29" s="1"/>
  <c r="A249" i="29" s="1"/>
  <c r="A251" i="29" s="1"/>
  <c r="A253" i="29" s="1"/>
  <c r="A255" i="29" s="1"/>
  <c r="A257" i="29" s="1"/>
  <c r="A237" i="29"/>
  <c r="A239" i="29" s="1"/>
  <c r="A241" i="29" s="1"/>
  <c r="A267" i="29" s="1"/>
  <c r="A200" i="29"/>
  <c r="A202" i="29" s="1"/>
  <c r="A204" i="29" s="1"/>
  <c r="A112" i="29"/>
  <c r="A114" i="29" s="1"/>
  <c r="A116" i="29" s="1"/>
  <c r="A118" i="29" s="1"/>
  <c r="A120" i="29" s="1"/>
  <c r="A122" i="29" s="1"/>
  <c r="A124" i="29" s="1"/>
  <c r="A126" i="29" s="1"/>
  <c r="A128" i="29" s="1"/>
  <c r="A130" i="29" s="1"/>
  <c r="A132" i="29" s="1"/>
  <c r="A222" i="29" s="1"/>
  <c r="A224" i="29" s="1"/>
  <c r="A134" i="29"/>
  <c r="A136" i="29" s="1"/>
  <c r="A138" i="29" s="1"/>
  <c r="A140" i="29" s="1"/>
  <c r="A142" i="29" s="1"/>
  <c r="A144" i="29" s="1"/>
  <c r="A146" i="29" s="1"/>
  <c r="A148" i="29" s="1"/>
  <c r="A150" i="29" s="1"/>
  <c r="A152" i="29" s="1"/>
  <c r="A154" i="29" s="1"/>
  <c r="A192" i="29"/>
  <c r="A194" i="29" s="1"/>
  <c r="A196" i="29" s="1"/>
  <c r="A198" i="29" s="1"/>
  <c r="A184" i="29"/>
  <c r="A186" i="29" s="1"/>
  <c r="A188" i="29" s="1"/>
  <c r="A190" i="29" s="1"/>
  <c r="C560" i="30"/>
  <c r="A561" i="30"/>
  <c r="E560" i="30"/>
  <c r="A229" i="29" l="1"/>
  <c r="A231" i="29" s="1"/>
  <c r="A233" i="29" s="1"/>
  <c r="A261" i="29"/>
  <c r="A263" i="29" s="1"/>
  <c r="A265" i="29" s="1"/>
  <c r="A226" i="29"/>
  <c r="A260" i="29" s="1"/>
  <c r="A262" i="29" s="1"/>
  <c r="A264" i="29" s="1"/>
  <c r="A242" i="29"/>
  <c r="A214" i="29"/>
  <c r="A216" i="29" s="1"/>
  <c r="A218" i="29" s="1"/>
  <c r="A206" i="29"/>
  <c r="A208" i="29" s="1"/>
  <c r="A210" i="29" s="1"/>
  <c r="A212" i="29" s="1"/>
  <c r="C561" i="30"/>
  <c r="A562" i="30"/>
  <c r="E561" i="30"/>
  <c r="A236" i="29" l="1"/>
  <c r="A238" i="29" s="1"/>
  <c r="A240" i="29" s="1"/>
  <c r="A266" i="29" s="1"/>
  <c r="A228" i="29"/>
  <c r="A230" i="29" s="1"/>
  <c r="A232" i="29" s="1"/>
  <c r="A235" i="29"/>
  <c r="A269" i="29" s="1"/>
  <c r="A271" i="29" s="1"/>
  <c r="A273" i="29" s="1"/>
  <c r="A275" i="29" s="1"/>
  <c r="A277" i="29" s="1"/>
  <c r="A279" i="29" s="1"/>
  <c r="A281" i="29" s="1"/>
  <c r="A283" i="29" s="1"/>
  <c r="A285" i="29" s="1"/>
  <c r="A287" i="29" s="1"/>
  <c r="A289" i="29" s="1"/>
  <c r="A259" i="29"/>
  <c r="A220" i="29"/>
  <c r="A244" i="29"/>
  <c r="A246" i="29" s="1"/>
  <c r="A248" i="29" s="1"/>
  <c r="A250" i="29" s="1"/>
  <c r="A252" i="29" s="1"/>
  <c r="A254" i="29" s="1"/>
  <c r="A256" i="29" s="1"/>
  <c r="E562" i="30"/>
  <c r="C562" i="30"/>
  <c r="A563" i="30"/>
  <c r="A234" i="29" l="1"/>
  <c r="A268" i="29" s="1"/>
  <c r="A270" i="29" s="1"/>
  <c r="A272" i="29" s="1"/>
  <c r="A274" i="29" s="1"/>
  <c r="A276" i="29" s="1"/>
  <c r="A278" i="29" s="1"/>
  <c r="A280" i="29" s="1"/>
  <c r="A282" i="29" s="1"/>
  <c r="A284" i="29" s="1"/>
  <c r="A286" i="29" s="1"/>
  <c r="A288" i="29" s="1"/>
  <c r="A258" i="29"/>
  <c r="E563" i="30"/>
  <c r="C563" i="30"/>
  <c r="A564" i="30"/>
  <c r="C564" i="30" l="1"/>
  <c r="A565" i="30"/>
  <c r="E564" i="30"/>
  <c r="C565" i="30" l="1"/>
  <c r="A566" i="30"/>
  <c r="E565" i="30"/>
  <c r="E566" i="30" l="1"/>
  <c r="C566" i="30"/>
  <c r="A567" i="30"/>
  <c r="C567" i="30" l="1"/>
  <c r="A568" i="30"/>
  <c r="E567" i="30"/>
  <c r="C568" i="30" l="1"/>
  <c r="E568" i="30"/>
  <c r="A569" i="30"/>
  <c r="C569" i="30" l="1"/>
  <c r="E569" i="30"/>
  <c r="A570" i="30"/>
  <c r="A571" i="30" l="1"/>
  <c r="E570" i="30"/>
  <c r="C570" i="30"/>
  <c r="A572" i="30" l="1"/>
  <c r="E571" i="30"/>
  <c r="C571" i="30"/>
  <c r="A573" i="30" l="1"/>
  <c r="E572" i="30"/>
  <c r="C572" i="30"/>
  <c r="A574" i="30" l="1"/>
  <c r="C573" i="30"/>
  <c r="E573" i="30"/>
  <c r="C574" i="30" l="1"/>
  <c r="A575" i="30"/>
  <c r="E574" i="30"/>
  <c r="E575" i="30" l="1"/>
  <c r="C575" i="30"/>
  <c r="A576" i="30"/>
  <c r="C576" i="30" l="1"/>
  <c r="A577" i="30"/>
  <c r="E576" i="30"/>
  <c r="E577" i="30" l="1"/>
  <c r="C577" i="30"/>
  <c r="A578" i="30"/>
  <c r="C578" i="30" l="1"/>
  <c r="A579" i="30"/>
  <c r="E578" i="30"/>
  <c r="C579" i="30" l="1"/>
  <c r="A580" i="30"/>
  <c r="E579" i="30"/>
  <c r="A581" i="30" l="1"/>
  <c r="E580" i="30"/>
  <c r="C580" i="30"/>
  <c r="E581" i="30" l="1"/>
  <c r="C581" i="30"/>
  <c r="A582" i="30"/>
  <c r="E582" i="30" l="1"/>
  <c r="C582" i="30"/>
  <c r="A583" i="30"/>
  <c r="E583" i="30" l="1"/>
  <c r="C583" i="30"/>
  <c r="A584" i="30"/>
  <c r="C584" i="30" l="1"/>
  <c r="A585" i="30"/>
  <c r="E584" i="30"/>
  <c r="A586" i="30" l="1"/>
  <c r="C585" i="30"/>
  <c r="E585" i="30"/>
  <c r="A587" i="30" l="1"/>
  <c r="E586" i="30"/>
  <c r="C586" i="30"/>
  <c r="A588" i="30" l="1"/>
  <c r="E587" i="30"/>
  <c r="C587" i="30"/>
  <c r="E588" i="30" l="1"/>
  <c r="C588" i="30"/>
  <c r="A589" i="30"/>
  <c r="C589" i="30" l="1"/>
  <c r="E589" i="30"/>
  <c r="A590" i="30"/>
  <c r="E590" i="30" l="1"/>
  <c r="C590" i="30"/>
  <c r="A591" i="30"/>
  <c r="C591" i="30" l="1"/>
  <c r="A592" i="30"/>
  <c r="E591" i="30"/>
  <c r="C592" i="30" l="1"/>
  <c r="E592" i="30"/>
  <c r="A593" i="30"/>
  <c r="E593" i="30" l="1"/>
  <c r="C593" i="30"/>
  <c r="A594" i="30"/>
  <c r="E594" i="30" l="1"/>
  <c r="C594" i="30"/>
  <c r="A595" i="30"/>
  <c r="E595" i="30" l="1"/>
  <c r="C595" i="30"/>
  <c r="A596" i="30"/>
  <c r="C596" i="30" l="1"/>
  <c r="A597" i="30"/>
  <c r="E596" i="30"/>
  <c r="E597" i="30" l="1"/>
  <c r="C597" i="30"/>
  <c r="A598" i="30"/>
  <c r="E598" i="30" l="1"/>
  <c r="C598" i="30"/>
  <c r="A599" i="30"/>
  <c r="E599" i="30" l="1"/>
  <c r="C599" i="30"/>
  <c r="A600" i="30"/>
  <c r="A601" i="30" l="1"/>
  <c r="C600" i="30"/>
  <c r="E600" i="30"/>
  <c r="E601" i="30" l="1"/>
  <c r="C601" i="30"/>
  <c r="A602" i="30"/>
  <c r="A603" i="30" l="1"/>
  <c r="E602" i="30"/>
  <c r="C602" i="30"/>
  <c r="C603" i="30" l="1"/>
  <c r="A604" i="30"/>
  <c r="E603" i="30"/>
  <c r="C604" i="30" l="1"/>
  <c r="A605" i="30"/>
  <c r="E604" i="30"/>
  <c r="C605" i="30" l="1"/>
  <c r="A606" i="30"/>
  <c r="E605" i="30"/>
  <c r="E606" i="30" l="1"/>
  <c r="C606" i="30"/>
  <c r="A607" i="30"/>
  <c r="C607" i="30" l="1"/>
  <c r="A608" i="30"/>
  <c r="E607" i="30"/>
  <c r="E608" i="30" l="1"/>
  <c r="C608" i="30"/>
  <c r="A609" i="30"/>
  <c r="E609" i="30" l="1"/>
  <c r="C609" i="30"/>
  <c r="A610" i="30"/>
  <c r="A611" i="30" l="1"/>
  <c r="E610" i="30"/>
  <c r="C610" i="30"/>
  <c r="C611" i="30" l="1"/>
  <c r="A612" i="30"/>
  <c r="E611" i="30"/>
  <c r="C612" i="30" l="1"/>
  <c r="E612" i="30"/>
  <c r="A613" i="30"/>
  <c r="E613" i="30" l="1"/>
  <c r="A614" i="30"/>
  <c r="C613" i="30"/>
  <c r="C614" i="30" l="1"/>
  <c r="A615" i="30"/>
  <c r="E614" i="30"/>
  <c r="E615" i="30" l="1"/>
  <c r="C615" i="30"/>
  <c r="A616" i="30"/>
  <c r="A617" i="30" l="1"/>
  <c r="E616" i="30"/>
  <c r="C616" i="30"/>
  <c r="E617" i="30" l="1"/>
  <c r="C617" i="30"/>
  <c r="A618" i="30"/>
  <c r="A619" i="30" l="1"/>
  <c r="E618" i="30"/>
  <c r="C618" i="30"/>
  <c r="C619" i="30" l="1"/>
  <c r="E619" i="30"/>
  <c r="A620" i="30"/>
  <c r="C620" i="30" l="1"/>
  <c r="A621" i="30"/>
  <c r="E620" i="30"/>
  <c r="C621" i="30" l="1"/>
  <c r="E621" i="30"/>
  <c r="A622" i="30"/>
  <c r="C622" i="30" l="1"/>
  <c r="E622" i="30"/>
  <c r="A623" i="30"/>
  <c r="A624" i="30" l="1"/>
  <c r="C623" i="30"/>
  <c r="E623" i="30"/>
  <c r="C624" i="30" l="1"/>
  <c r="A625" i="30"/>
  <c r="E624" i="30"/>
  <c r="E625" i="30" l="1"/>
  <c r="C625" i="30"/>
  <c r="A626" i="30"/>
  <c r="A627" i="30" l="1"/>
  <c r="E626" i="30"/>
  <c r="C626" i="30"/>
  <c r="C627" i="30" l="1"/>
  <c r="A628" i="30"/>
  <c r="E627" i="30"/>
  <c r="E628" i="30" l="1"/>
  <c r="C628" i="30"/>
  <c r="A629" i="30"/>
  <c r="C629" i="30" l="1"/>
  <c r="A630" i="30"/>
  <c r="E629" i="30"/>
  <c r="A631" i="30" l="1"/>
  <c r="E630" i="30"/>
  <c r="C630" i="30"/>
  <c r="A632" i="30" l="1"/>
  <c r="E631" i="30"/>
  <c r="C631" i="30"/>
  <c r="E632" i="30" l="1"/>
  <c r="C632" i="30"/>
  <c r="A633" i="30"/>
  <c r="E633" i="30" l="1"/>
  <c r="C633" i="30"/>
  <c r="A634" i="30"/>
  <c r="A635" i="30" l="1"/>
  <c r="C634" i="30"/>
  <c r="E634" i="30"/>
  <c r="C635" i="30" l="1"/>
  <c r="A636" i="30"/>
  <c r="E635" i="30"/>
  <c r="C636" i="30" l="1"/>
  <c r="A637" i="30"/>
  <c r="E636" i="30"/>
  <c r="A638" i="30" l="1"/>
  <c r="E637" i="30"/>
  <c r="C637" i="30"/>
  <c r="E638" i="30" l="1"/>
  <c r="C638" i="30"/>
  <c r="A639" i="30"/>
  <c r="C639" i="30" l="1"/>
  <c r="A640" i="30"/>
  <c r="E639" i="30"/>
  <c r="C640" i="30" l="1"/>
  <c r="A641" i="30"/>
  <c r="E640" i="30"/>
  <c r="C641" i="30" l="1"/>
  <c r="A642" i="30"/>
  <c r="E641" i="30"/>
  <c r="E642" i="30" l="1"/>
  <c r="A643" i="30"/>
  <c r="C642" i="30"/>
  <c r="C643" i="30" l="1"/>
  <c r="A644" i="30"/>
  <c r="E643" i="30"/>
  <c r="C644" i="30" l="1"/>
  <c r="A645" i="30"/>
  <c r="E644" i="30"/>
  <c r="E645" i="30" l="1"/>
  <c r="C645" i="30"/>
  <c r="A646" i="30"/>
  <c r="C646" i="30" l="1"/>
  <c r="A647" i="30"/>
  <c r="E646" i="30"/>
  <c r="E647" i="30" l="1"/>
  <c r="C647" i="30"/>
  <c r="A648" i="30"/>
  <c r="E648" i="30" l="1"/>
  <c r="C648" i="30"/>
  <c r="A649" i="30"/>
  <c r="A650" i="30" l="1"/>
  <c r="E649" i="30"/>
  <c r="C649" i="30"/>
  <c r="E650" i="30" l="1"/>
  <c r="C650" i="30"/>
  <c r="A651" i="30"/>
  <c r="E651" i="30" l="1"/>
  <c r="A652" i="30"/>
  <c r="C651" i="30"/>
  <c r="E652" i="30" l="1"/>
  <c r="C652" i="30"/>
  <c r="A653" i="30"/>
  <c r="C653" i="30" l="1"/>
  <c r="A654" i="30"/>
  <c r="E653" i="30"/>
  <c r="C654" i="30" l="1"/>
  <c r="A655" i="30"/>
  <c r="E654" i="30"/>
  <c r="E655" i="30" l="1"/>
  <c r="A656" i="30"/>
  <c r="C655" i="30"/>
  <c r="E656" i="30" l="1"/>
  <c r="C656" i="30"/>
  <c r="A657" i="30"/>
  <c r="E657" i="30" l="1"/>
  <c r="C657" i="30"/>
  <c r="A658" i="30"/>
  <c r="A659" i="30" l="1"/>
  <c r="E658" i="30"/>
  <c r="C658" i="30"/>
  <c r="A660" i="30" l="1"/>
  <c r="E659" i="30"/>
  <c r="C659" i="30"/>
  <c r="C660" i="30" l="1"/>
  <c r="A661" i="30"/>
  <c r="E660" i="30"/>
  <c r="A662" i="30" l="1"/>
  <c r="E661" i="30"/>
  <c r="C661" i="30"/>
  <c r="A663" i="30" l="1"/>
  <c r="E662" i="30"/>
  <c r="C662" i="30"/>
  <c r="A664" i="30" l="1"/>
  <c r="E663" i="30"/>
  <c r="C663" i="30"/>
  <c r="C664" i="30" l="1"/>
  <c r="A665" i="30"/>
  <c r="E664" i="30"/>
  <c r="E665" i="30" l="1"/>
  <c r="A666" i="30"/>
  <c r="C665" i="30"/>
  <c r="C666" i="30" l="1"/>
  <c r="A667" i="30"/>
  <c r="E666" i="30"/>
  <c r="C667" i="30" l="1"/>
  <c r="A668" i="30"/>
  <c r="E667" i="30"/>
  <c r="C668" i="30" l="1"/>
  <c r="E668" i="30"/>
  <c r="A669" i="30"/>
  <c r="E669" i="30" l="1"/>
  <c r="A670" i="30"/>
  <c r="C669" i="30"/>
  <c r="A671" i="30" l="1"/>
  <c r="E670" i="30"/>
  <c r="C670" i="30"/>
  <c r="E671" i="30" l="1"/>
  <c r="C671" i="30"/>
  <c r="A672" i="30"/>
  <c r="A673" i="30" l="1"/>
  <c r="E672" i="30"/>
  <c r="C672" i="30"/>
  <c r="A674" i="30" l="1"/>
  <c r="E673" i="30"/>
  <c r="C673" i="30"/>
  <c r="A675" i="30" l="1"/>
  <c r="C674" i="30"/>
  <c r="E674" i="30"/>
  <c r="A676" i="30" l="1"/>
  <c r="E675" i="30"/>
  <c r="C675" i="30"/>
  <c r="C676" i="30" l="1"/>
  <c r="A677" i="30"/>
  <c r="E676" i="30"/>
  <c r="A678" i="30" l="1"/>
  <c r="E677" i="30"/>
  <c r="C677" i="30"/>
  <c r="C678" i="30" l="1"/>
  <c r="E678" i="30"/>
  <c r="A679" i="30"/>
  <c r="A680" i="30" l="1"/>
  <c r="E679" i="30"/>
  <c r="C679" i="30"/>
  <c r="A681" i="30" l="1"/>
  <c r="E680" i="30"/>
  <c r="C680" i="30"/>
  <c r="A682" i="30" l="1"/>
  <c r="E681" i="30"/>
  <c r="C681" i="30"/>
  <c r="C682" i="30" l="1"/>
  <c r="A683" i="30"/>
  <c r="E682" i="30"/>
  <c r="A684" i="30" l="1"/>
  <c r="E683" i="30"/>
  <c r="C683" i="30"/>
  <c r="A685" i="30" l="1"/>
  <c r="E684" i="30"/>
  <c r="C684" i="30"/>
  <c r="C685" i="30" l="1"/>
  <c r="E685" i="30"/>
  <c r="A686" i="30"/>
  <c r="C686" i="30" l="1"/>
  <c r="A687" i="30"/>
  <c r="E686" i="30"/>
  <c r="A688" i="30" l="1"/>
  <c r="E687" i="30"/>
  <c r="C687" i="30"/>
  <c r="A689" i="30" l="1"/>
  <c r="E688" i="30"/>
  <c r="C688" i="30"/>
  <c r="A690" i="30" l="1"/>
  <c r="E689" i="30"/>
  <c r="C689" i="30"/>
  <c r="E690" i="30" l="1"/>
  <c r="C690" i="30"/>
  <c r="A691" i="30"/>
  <c r="A692" i="30" l="1"/>
  <c r="E691" i="30"/>
  <c r="C691" i="30"/>
  <c r="C692" i="30" l="1"/>
  <c r="A693" i="30"/>
  <c r="E692" i="30"/>
  <c r="E693" i="30" l="1"/>
  <c r="C693" i="30"/>
  <c r="A694" i="30"/>
  <c r="E694" i="30" l="1"/>
  <c r="C694" i="30"/>
  <c r="A695" i="30"/>
  <c r="E695" i="30" l="1"/>
  <c r="C695" i="30"/>
  <c r="A696" i="30"/>
  <c r="E696" i="30" l="1"/>
  <c r="C696" i="30"/>
  <c r="A697" i="30"/>
  <c r="E697" i="30" l="1"/>
  <c r="C697" i="30"/>
  <c r="A698" i="30"/>
  <c r="E698" i="30" l="1"/>
  <c r="C698" i="30"/>
  <c r="A699" i="30"/>
  <c r="C699" i="30" l="1"/>
  <c r="E699" i="30"/>
  <c r="A700" i="30"/>
  <c r="A701" i="30" l="1"/>
  <c r="E700" i="30"/>
  <c r="C700" i="30"/>
  <c r="A702" i="30" l="1"/>
  <c r="E701" i="30"/>
  <c r="C701" i="30"/>
  <c r="C702" i="30" l="1"/>
  <c r="A703" i="30"/>
  <c r="E702" i="30"/>
  <c r="E703" i="30" l="1"/>
  <c r="C703" i="30"/>
  <c r="A704" i="30"/>
  <c r="C704" i="30" l="1"/>
  <c r="A705" i="30"/>
  <c r="E704" i="30"/>
  <c r="E705" i="30" l="1"/>
  <c r="C705" i="30"/>
  <c r="A706" i="30"/>
  <c r="C706" i="30" l="1"/>
  <c r="A707" i="30"/>
  <c r="E706" i="30"/>
  <c r="A708" i="30" l="1"/>
  <c r="E707" i="30"/>
  <c r="C707" i="30"/>
  <c r="C708" i="30" l="1"/>
  <c r="A709" i="30"/>
  <c r="E708" i="30"/>
  <c r="C709" i="30" l="1"/>
  <c r="A710" i="30"/>
  <c r="E709" i="30"/>
  <c r="E710" i="30" l="1"/>
  <c r="C710" i="30"/>
  <c r="A711" i="30"/>
  <c r="A712" i="30" l="1"/>
  <c r="E711" i="30"/>
  <c r="C711" i="30"/>
  <c r="E712" i="30" l="1"/>
  <c r="C712" i="30"/>
  <c r="A713" i="30"/>
  <c r="E713" i="30" l="1"/>
  <c r="A714" i="30"/>
  <c r="C713" i="30"/>
  <c r="A715" i="30" l="1"/>
  <c r="E714" i="30"/>
  <c r="C714" i="30"/>
  <c r="A717" i="30"/>
  <c r="E717" i="30" l="1"/>
  <c r="C717" i="30"/>
  <c r="A718" i="30"/>
  <c r="E715" i="30"/>
  <c r="C715" i="30"/>
  <c r="A716" i="30"/>
  <c r="A719" i="30" l="1"/>
  <c r="E718" i="30"/>
  <c r="C718" i="30"/>
  <c r="C716" i="30"/>
  <c r="E716" i="30"/>
  <c r="E719" i="30" l="1"/>
  <c r="A720" i="30"/>
  <c r="C719" i="30"/>
  <c r="E720" i="30" l="1"/>
  <c r="C720" i="30"/>
  <c r="A721" i="30"/>
  <c r="E721" i="30" l="1"/>
  <c r="C721" i="30"/>
  <c r="A722" i="30"/>
  <c r="E722" i="30" l="1"/>
  <c r="C722" i="30"/>
  <c r="A723" i="30"/>
  <c r="A724" i="30" l="1"/>
  <c r="E723" i="30"/>
  <c r="C723" i="30"/>
  <c r="E724" i="30" l="1"/>
  <c r="C724" i="30"/>
  <c r="A725" i="30"/>
  <c r="E725" i="30" l="1"/>
  <c r="C725" i="30"/>
  <c r="A726" i="30"/>
  <c r="E726" i="30" l="1"/>
  <c r="A727" i="30"/>
  <c r="C726" i="30"/>
  <c r="C727" i="30" l="1"/>
  <c r="A728" i="30"/>
  <c r="E727" i="30"/>
  <c r="E728" i="30" l="1"/>
  <c r="C728" i="30"/>
  <c r="A729" i="30"/>
  <c r="C729" i="30" l="1"/>
  <c r="A730" i="30"/>
  <c r="E729" i="30"/>
  <c r="A731" i="30" l="1"/>
  <c r="E730" i="30"/>
  <c r="C730" i="30"/>
  <c r="E731" i="30" l="1"/>
  <c r="C731" i="30"/>
  <c r="A732" i="30"/>
  <c r="C732" i="30" l="1"/>
  <c r="A733" i="30"/>
  <c r="E732" i="30"/>
  <c r="E733" i="30" l="1"/>
  <c r="C733" i="30"/>
  <c r="A734" i="30"/>
  <c r="A735" i="30" l="1"/>
  <c r="C734" i="30"/>
  <c r="E734" i="30"/>
  <c r="A736" i="30" l="1"/>
  <c r="C735" i="30"/>
  <c r="E735" i="30"/>
  <c r="A737" i="30" l="1"/>
  <c r="C736" i="30"/>
  <c r="E736" i="30"/>
  <c r="A738" i="30" l="1"/>
  <c r="E737" i="30"/>
  <c r="C737" i="30"/>
  <c r="E738" i="30" l="1"/>
  <c r="C738" i="30"/>
  <c r="A739" i="30"/>
  <c r="A740" i="30" l="1"/>
  <c r="E739" i="30"/>
  <c r="C739" i="30"/>
  <c r="A741" i="30" l="1"/>
  <c r="E740" i="30"/>
  <c r="C740" i="30"/>
  <c r="A742" i="30" l="1"/>
  <c r="C741" i="30"/>
  <c r="E741" i="30"/>
  <c r="E742" i="30" l="1"/>
  <c r="C742" i="30"/>
  <c r="A743" i="30"/>
  <c r="A744" i="30" l="1"/>
  <c r="E743" i="30"/>
  <c r="C743" i="30"/>
  <c r="A745" i="30" l="1"/>
  <c r="E744" i="30"/>
  <c r="C744" i="30"/>
  <c r="E745" i="30" l="1"/>
  <c r="C745" i="30"/>
  <c r="A746" i="30"/>
  <c r="E746" i="30" l="1"/>
  <c r="C746" i="30"/>
  <c r="A747" i="30"/>
  <c r="C747" i="30" l="1"/>
  <c r="A748" i="30"/>
  <c r="E747" i="30"/>
  <c r="E748" i="30" l="1"/>
  <c r="C748" i="30"/>
  <c r="A749" i="30"/>
  <c r="C749" i="30" l="1"/>
  <c r="E749" i="30"/>
  <c r="A750" i="30"/>
  <c r="A751" i="30" l="1"/>
  <c r="E750" i="30"/>
  <c r="C750" i="30"/>
  <c r="A752" i="30" l="1"/>
  <c r="E751" i="30"/>
  <c r="C751" i="30"/>
  <c r="E752" i="30" l="1"/>
  <c r="C752" i="30"/>
  <c r="A753" i="30"/>
  <c r="E753" i="30" l="1"/>
  <c r="A754" i="30"/>
  <c r="C753" i="30"/>
  <c r="C754" i="30" l="1"/>
  <c r="A755" i="30"/>
  <c r="E754" i="30"/>
  <c r="C755" i="30" l="1"/>
  <c r="A756" i="30"/>
  <c r="E755" i="30"/>
  <c r="A757" i="30" l="1"/>
  <c r="E756" i="30"/>
  <c r="C756" i="30"/>
  <c r="C757" i="30" l="1"/>
  <c r="E757" i="30"/>
  <c r="A758" i="30"/>
  <c r="C758" i="30" l="1"/>
  <c r="A759" i="30"/>
  <c r="E758" i="30"/>
  <c r="A760" i="30" l="1"/>
  <c r="C759" i="30"/>
  <c r="E759" i="30"/>
  <c r="C760" i="30" l="1"/>
  <c r="E760" i="30"/>
  <c r="A761" i="30"/>
  <c r="E761" i="30" l="1"/>
  <c r="A762" i="30"/>
  <c r="C761" i="30"/>
  <c r="E762" i="30" l="1"/>
  <c r="C762" i="30"/>
  <c r="A763" i="30"/>
  <c r="C763" i="30" l="1"/>
  <c r="E763" i="30"/>
  <c r="A764" i="30"/>
  <c r="E764" i="30" l="1"/>
  <c r="A765" i="30"/>
  <c r="C764" i="30"/>
  <c r="C765" i="30" l="1"/>
  <c r="A766" i="30"/>
  <c r="E765" i="30"/>
  <c r="E766" i="30" l="1"/>
  <c r="C766" i="30"/>
  <c r="A767" i="30"/>
  <c r="A768" i="30" l="1"/>
  <c r="C767" i="30"/>
  <c r="E767" i="30"/>
  <c r="E768" i="30" l="1"/>
  <c r="A769" i="30"/>
  <c r="C768" i="30"/>
  <c r="E769" i="30" l="1"/>
  <c r="C769" i="30"/>
  <c r="A770" i="30"/>
  <c r="C770" i="30" l="1"/>
  <c r="A771" i="30"/>
  <c r="E770" i="30"/>
  <c r="E771" i="30" l="1"/>
  <c r="C771" i="30"/>
  <c r="A772" i="30"/>
  <c r="C772" i="30" l="1"/>
  <c r="E772" i="30"/>
  <c r="D879" i="28" l="1"/>
  <c r="C879" i="28"/>
  <c r="D878" i="28" l="1"/>
  <c r="C878" i="28"/>
  <c r="D877" i="28"/>
  <c r="C877" i="28"/>
  <c r="D876" i="28" l="1"/>
  <c r="C876" i="28"/>
  <c r="D875" i="28" l="1"/>
  <c r="C875" i="28"/>
  <c r="D874" i="28" l="1"/>
  <c r="C874" i="28"/>
  <c r="D873" i="28" l="1"/>
  <c r="C873" i="28"/>
  <c r="D872" i="28" l="1"/>
  <c r="C872" i="28"/>
  <c r="D871" i="28" l="1"/>
  <c r="C871" i="28"/>
  <c r="D870" i="28" l="1"/>
  <c r="C870" i="28"/>
  <c r="D869" i="28" l="1"/>
  <c r="C869" i="28"/>
  <c r="D868" i="28" l="1"/>
  <c r="C868" i="28"/>
  <c r="D867" i="28" l="1"/>
  <c r="C867" i="28"/>
  <c r="D866" i="28" l="1"/>
  <c r="C866" i="28"/>
  <c r="D865" i="28" l="1"/>
  <c r="C865" i="28"/>
  <c r="D864" i="28" l="1"/>
  <c r="C864" i="28"/>
  <c r="D863" i="28" l="1"/>
  <c r="C863" i="28"/>
  <c r="D862" i="28" l="1"/>
  <c r="C862" i="28"/>
  <c r="D861" i="28" l="1"/>
  <c r="C861" i="28"/>
  <c r="D860" i="28"/>
  <c r="C860" i="28"/>
  <c r="D859" i="28" l="1"/>
  <c r="C859" i="28"/>
  <c r="D858" i="28" l="1"/>
  <c r="C858" i="28"/>
  <c r="D857" i="28" l="1"/>
  <c r="C857" i="28"/>
  <c r="D856" i="28"/>
  <c r="C856" i="28"/>
  <c r="D855" i="28" l="1"/>
  <c r="C855" i="28"/>
  <c r="D854" i="28" l="1"/>
  <c r="C854" i="28"/>
  <c r="D853" i="28" l="1"/>
  <c r="C853" i="28"/>
  <c r="D852" i="28" l="1"/>
  <c r="C852" i="28"/>
  <c r="D851" i="28" l="1"/>
  <c r="C851" i="28"/>
  <c r="D850" i="28" l="1"/>
  <c r="C850" i="28"/>
  <c r="D849" i="28" l="1"/>
  <c r="C849" i="28"/>
  <c r="D848" i="28"/>
  <c r="C848" i="28"/>
  <c r="D847" i="28" l="1"/>
  <c r="C847" i="28"/>
  <c r="D846" i="28"/>
  <c r="C846" i="28"/>
  <c r="D845" i="28" l="1"/>
  <c r="C845" i="28"/>
  <c r="D844" i="28" l="1"/>
  <c r="C844" i="28"/>
  <c r="D843" i="28" l="1"/>
  <c r="C843" i="28"/>
  <c r="D842" i="28" l="1"/>
  <c r="C842" i="28"/>
  <c r="D841" i="28" l="1"/>
  <c r="C841" i="28"/>
  <c r="D840" i="28" l="1"/>
  <c r="C840" i="28"/>
  <c r="D839" i="28" l="1"/>
  <c r="C839" i="28"/>
  <c r="D838" i="28" l="1"/>
  <c r="C838" i="28"/>
  <c r="D837" i="28"/>
  <c r="C837" i="28"/>
  <c r="D836" i="28" l="1"/>
  <c r="C836" i="28"/>
  <c r="D835" i="28"/>
  <c r="C835" i="28"/>
  <c r="D834" i="28" l="1"/>
  <c r="C834" i="28"/>
  <c r="D833" i="28" l="1"/>
  <c r="C833" i="28"/>
  <c r="D832" i="28"/>
  <c r="C832" i="28"/>
  <c r="D831" i="28" l="1"/>
  <c r="C831" i="28"/>
  <c r="D830" i="28" l="1"/>
  <c r="C830" i="28"/>
  <c r="D829" i="28" l="1"/>
  <c r="C829" i="28"/>
  <c r="D828" i="28" l="1"/>
  <c r="C828" i="28"/>
  <c r="D827" i="28"/>
  <c r="C827" i="28"/>
  <c r="D826" i="28" l="1"/>
  <c r="C826" i="28"/>
  <c r="D825" i="28" l="1"/>
  <c r="C825" i="28"/>
  <c r="D824" i="28" l="1"/>
  <c r="C824" i="28"/>
  <c r="D823" i="28"/>
  <c r="C823" i="28"/>
  <c r="D822" i="28" l="1"/>
  <c r="C822" i="28"/>
  <c r="D821" i="28" l="1"/>
  <c r="C821" i="28"/>
  <c r="D820" i="28" l="1"/>
  <c r="C820" i="28"/>
  <c r="D819" i="28"/>
  <c r="C819" i="28"/>
  <c r="D818" i="28" l="1"/>
  <c r="C818" i="28"/>
  <c r="D817" i="28" l="1"/>
  <c r="C817" i="28"/>
  <c r="D816" i="28"/>
  <c r="C816" i="28"/>
  <c r="D815" i="28" l="1"/>
  <c r="C815" i="28"/>
  <c r="D814" i="28"/>
  <c r="C814" i="28"/>
  <c r="D813" i="28" l="1"/>
  <c r="C813" i="28"/>
  <c r="D812" i="28" l="1"/>
  <c r="C812" i="28"/>
  <c r="D811" i="28"/>
  <c r="C811" i="28"/>
  <c r="D810" i="28" l="1"/>
  <c r="C810" i="28"/>
  <c r="D809" i="28" l="1"/>
  <c r="C809" i="28"/>
  <c r="D808" i="28"/>
  <c r="C808" i="28"/>
  <c r="D807" i="28" l="1"/>
  <c r="C807" i="28"/>
  <c r="D794" i="28" l="1"/>
  <c r="C794" i="28"/>
  <c r="D793" i="28" l="1"/>
  <c r="C793" i="28"/>
  <c r="D792" i="28" l="1"/>
  <c r="C792" i="28"/>
  <c r="D791" i="28" l="1"/>
  <c r="C791" i="28"/>
  <c r="D790" i="28" l="1"/>
  <c r="C790" i="28"/>
  <c r="D789" i="28" l="1"/>
  <c r="C789" i="28"/>
  <c r="D788" i="28" l="1"/>
  <c r="C788" i="28"/>
  <c r="D787" i="28"/>
  <c r="C787" i="28"/>
  <c r="D786" i="28"/>
  <c r="C786" i="28"/>
  <c r="D785" i="28" l="1"/>
  <c r="C785" i="28"/>
  <c r="D784" i="28"/>
  <c r="C784" i="28"/>
  <c r="D783" i="28" l="1"/>
  <c r="C783" i="28"/>
  <c r="D782" i="28" l="1"/>
  <c r="C782" i="28"/>
  <c r="D781" i="28" l="1"/>
  <c r="C781" i="28"/>
  <c r="D780" i="28"/>
  <c r="C780" i="28"/>
  <c r="D779" i="28" l="1"/>
  <c r="C779" i="28"/>
  <c r="D778" i="28" l="1"/>
  <c r="C778" i="28"/>
  <c r="D777" i="28"/>
  <c r="C777" i="28"/>
  <c r="D776" i="28" l="1"/>
  <c r="C776" i="28"/>
  <c r="D775" i="28" l="1"/>
  <c r="C775" i="28"/>
  <c r="D774" i="28" l="1"/>
  <c r="C774" i="28"/>
  <c r="D773" i="28" l="1"/>
  <c r="C773" i="28"/>
  <c r="D772" i="28" l="1"/>
  <c r="C772" i="28"/>
  <c r="D771" i="28" l="1"/>
  <c r="C771" i="28"/>
  <c r="D770" i="28" l="1"/>
  <c r="C770" i="28"/>
  <c r="D769" i="28" l="1"/>
  <c r="C769" i="28"/>
  <c r="D768" i="28" l="1"/>
  <c r="C768" i="28"/>
  <c r="D767" i="28" l="1"/>
  <c r="C767" i="28"/>
  <c r="D766" i="28" l="1"/>
  <c r="C766" i="28"/>
  <c r="D765" i="28" l="1"/>
  <c r="C765" i="28"/>
  <c r="D764" i="28" l="1"/>
  <c r="C764" i="28"/>
  <c r="D763" i="28" l="1"/>
  <c r="C763" i="28"/>
  <c r="D762" i="28" l="1"/>
  <c r="C762" i="28"/>
  <c r="D761" i="28" l="1"/>
  <c r="C761" i="28"/>
  <c r="D760" i="28" l="1"/>
  <c r="C760" i="28"/>
  <c r="D759" i="28" l="1"/>
  <c r="C759" i="28"/>
  <c r="D758" i="28" l="1"/>
  <c r="C758" i="28"/>
  <c r="D757" i="28" l="1"/>
  <c r="C757" i="28"/>
  <c r="D756" i="28" l="1"/>
  <c r="C756" i="28"/>
  <c r="D755" i="28" l="1"/>
  <c r="C755" i="28"/>
  <c r="D754" i="28" l="1"/>
  <c r="C754" i="28"/>
  <c r="D753" i="28" l="1"/>
  <c r="C753" i="28"/>
  <c r="D752" i="28" l="1"/>
  <c r="C752" i="28"/>
  <c r="D751" i="28" l="1"/>
  <c r="C751" i="28"/>
  <c r="D750" i="28" l="1"/>
  <c r="C750" i="28"/>
  <c r="D749" i="28" l="1"/>
  <c r="C749" i="28"/>
  <c r="D748" i="28" l="1"/>
  <c r="C748" i="28"/>
  <c r="D747" i="28" l="1"/>
  <c r="C747" i="28"/>
  <c r="D746" i="28" l="1"/>
  <c r="C746" i="28"/>
  <c r="D745" i="28" l="1"/>
  <c r="C745" i="28"/>
  <c r="D744" i="28" l="1"/>
  <c r="C744" i="28"/>
  <c r="D743" i="28" l="1"/>
  <c r="C743" i="28"/>
  <c r="D742" i="28" l="1"/>
  <c r="C742" i="28"/>
  <c r="D741" i="28" l="1"/>
  <c r="C741" i="28"/>
  <c r="D740" i="28" l="1"/>
  <c r="C740" i="28"/>
  <c r="D739" i="28" l="1"/>
  <c r="C739" i="28"/>
  <c r="D738" i="28" l="1"/>
  <c r="C738" i="28"/>
  <c r="D737" i="28" l="1"/>
  <c r="C737" i="28"/>
  <c r="D736" i="28" l="1"/>
  <c r="C736" i="28"/>
  <c r="D735" i="28" l="1"/>
  <c r="C735" i="28"/>
  <c r="D734" i="28" l="1"/>
  <c r="C734" i="28"/>
  <c r="D733" i="28" l="1"/>
  <c r="C733" i="28"/>
  <c r="D732" i="28" l="1"/>
  <c r="C732" i="28"/>
  <c r="D731" i="28" l="1"/>
  <c r="C731" i="28"/>
  <c r="D730" i="28" l="1"/>
  <c r="C730" i="28"/>
  <c r="D729" i="28" l="1"/>
  <c r="C729" i="28"/>
  <c r="D728" i="28" l="1"/>
  <c r="C728" i="28"/>
  <c r="D727" i="28" l="1"/>
  <c r="C727" i="28"/>
  <c r="D726" i="28" l="1"/>
  <c r="C726" i="28"/>
  <c r="D725" i="28" l="1"/>
  <c r="C725" i="28"/>
  <c r="D724" i="28" l="1"/>
  <c r="C724" i="28"/>
  <c r="D723" i="28" l="1"/>
  <c r="C723" i="28"/>
  <c r="D722" i="28" l="1"/>
  <c r="C722" i="28"/>
  <c r="D721" i="28" l="1"/>
  <c r="C721" i="28"/>
  <c r="D720" i="28" l="1"/>
  <c r="C720" i="28"/>
  <c r="D719" i="28" l="1"/>
  <c r="C719" i="28"/>
  <c r="D718" i="28" l="1"/>
  <c r="C718" i="28"/>
  <c r="D717" i="28" l="1"/>
  <c r="C717" i="28"/>
  <c r="D716" i="28" l="1"/>
  <c r="C716" i="28"/>
  <c r="D715" i="28" l="1"/>
  <c r="C715" i="28"/>
  <c r="D714" i="28" l="1"/>
  <c r="C714" i="28"/>
  <c r="D713" i="28"/>
  <c r="C713" i="28"/>
  <c r="D712" i="28"/>
  <c r="C712" i="28"/>
  <c r="D711" i="28" l="1"/>
  <c r="C711" i="28"/>
  <c r="D710" i="28" l="1"/>
  <c r="C710" i="28"/>
  <c r="D709" i="28" l="1"/>
  <c r="C709" i="28"/>
  <c r="D708" i="28"/>
  <c r="C708" i="28"/>
  <c r="D707" i="28"/>
  <c r="C707" i="28"/>
  <c r="D706" i="28"/>
  <c r="C706" i="28"/>
  <c r="D705" i="28" l="1"/>
  <c r="C705" i="28"/>
  <c r="D704" i="28"/>
  <c r="C704" i="28"/>
  <c r="D703" i="28" l="1"/>
  <c r="C703" i="28"/>
  <c r="D702" i="28"/>
  <c r="C702" i="28"/>
  <c r="D701" i="28"/>
  <c r="C701" i="28"/>
  <c r="D700" i="28" l="1"/>
  <c r="C700" i="28"/>
  <c r="D699" i="28" l="1"/>
  <c r="C699" i="28"/>
  <c r="D698" i="28" l="1"/>
  <c r="C698" i="28"/>
  <c r="D697" i="28"/>
  <c r="C697" i="28"/>
  <c r="D696" i="28" l="1"/>
  <c r="C696" i="28"/>
  <c r="D695" i="28"/>
  <c r="C695" i="28"/>
  <c r="D694" i="28"/>
  <c r="C694" i="28"/>
  <c r="D693" i="28" l="1"/>
  <c r="C693" i="28"/>
  <c r="D692" i="28"/>
  <c r="C692" i="28"/>
  <c r="D691" i="28" l="1"/>
  <c r="C691" i="28"/>
  <c r="D690" i="28"/>
  <c r="C690" i="28"/>
  <c r="D689" i="28"/>
  <c r="C689" i="28"/>
  <c r="D688" i="28" l="1"/>
  <c r="C688" i="28"/>
  <c r="D687" i="28"/>
  <c r="C687" i="28"/>
  <c r="D686" i="28" l="1"/>
  <c r="C686" i="28"/>
  <c r="D685" i="28"/>
  <c r="C685" i="28"/>
  <c r="D684" i="28"/>
  <c r="C684" i="28"/>
  <c r="D683" i="28" l="1"/>
  <c r="C683" i="28"/>
  <c r="D682" i="28"/>
  <c r="C682" i="28"/>
  <c r="D681" i="28"/>
  <c r="C681" i="28"/>
  <c r="D680" i="28"/>
  <c r="C680" i="28"/>
  <c r="D679" i="28"/>
  <c r="C679" i="28"/>
  <c r="D678" i="28"/>
  <c r="C678" i="28"/>
  <c r="D677" i="28"/>
  <c r="C677" i="28"/>
  <c r="D676" i="28"/>
  <c r="C676" i="28"/>
  <c r="D675" i="28"/>
  <c r="C675" i="28"/>
  <c r="D674" i="28" l="1"/>
  <c r="C674" i="28"/>
  <c r="D673" i="28" l="1"/>
  <c r="C673" i="28"/>
  <c r="D672" i="28" l="1"/>
  <c r="C672" i="28"/>
  <c r="D671" i="28" l="1"/>
  <c r="C671" i="28"/>
  <c r="D670" i="28" l="1"/>
  <c r="C670" i="28"/>
  <c r="D669" i="28" l="1"/>
  <c r="C669" i="28"/>
  <c r="D668" i="28" l="1"/>
  <c r="C668" i="28"/>
  <c r="D667" i="28" l="1"/>
  <c r="C667" i="28"/>
  <c r="D666" i="28" l="1"/>
  <c r="C666" i="28"/>
  <c r="D665" i="28" l="1"/>
  <c r="C665" i="28"/>
  <c r="D664" i="28" l="1"/>
  <c r="C664" i="28"/>
  <c r="D663" i="28" l="1"/>
  <c r="C663" i="28"/>
  <c r="D662" i="28" l="1"/>
  <c r="C662" i="28"/>
  <c r="D661" i="28" l="1"/>
  <c r="C661" i="28"/>
  <c r="D660" i="28" l="1"/>
  <c r="C660" i="28"/>
  <c r="D659" i="28" l="1"/>
  <c r="C659" i="28"/>
  <c r="D658" i="28" l="1"/>
  <c r="C658" i="28"/>
  <c r="D657" i="28" l="1"/>
  <c r="C657" i="28"/>
  <c r="D656" i="28"/>
  <c r="C656" i="28"/>
  <c r="D655" i="28" l="1"/>
  <c r="C655" i="28"/>
  <c r="D654" i="28" l="1"/>
  <c r="C654" i="28"/>
  <c r="D653" i="28" l="1"/>
  <c r="C653" i="28"/>
  <c r="D652" i="28" l="1"/>
  <c r="C652" i="28"/>
  <c r="D651" i="28" l="1"/>
  <c r="C651" i="28"/>
  <c r="D650" i="28"/>
  <c r="C650" i="28"/>
  <c r="D649" i="28" l="1"/>
  <c r="C649" i="28"/>
  <c r="D648" i="28" l="1"/>
  <c r="C648" i="28"/>
  <c r="D647" i="28" l="1"/>
  <c r="C647" i="28"/>
  <c r="D646" i="28" l="1"/>
  <c r="C646" i="28"/>
  <c r="D645" i="28" l="1"/>
  <c r="C645" i="28"/>
  <c r="D644" i="28" l="1"/>
  <c r="C644" i="28"/>
  <c r="D643" i="28" l="1"/>
  <c r="C643" i="28"/>
  <c r="D642" i="28" l="1"/>
  <c r="C642" i="28"/>
  <c r="D641" i="28" l="1"/>
  <c r="C641" i="28"/>
  <c r="D640" i="28" l="1"/>
  <c r="C640" i="28"/>
  <c r="D639" i="28" l="1"/>
  <c r="C639" i="28"/>
  <c r="D638" i="28"/>
  <c r="C638" i="28"/>
  <c r="D637" i="28" l="1"/>
  <c r="C637" i="28"/>
  <c r="D636" i="28" l="1"/>
  <c r="C636" i="28"/>
  <c r="D635" i="28" l="1"/>
  <c r="C635" i="28"/>
  <c r="D634" i="28" l="1"/>
  <c r="C634" i="28"/>
  <c r="D633" i="28"/>
  <c r="C633" i="28"/>
  <c r="D632" i="28" l="1"/>
  <c r="C632" i="28"/>
  <c r="D631" i="28" l="1"/>
  <c r="C631" i="28"/>
  <c r="D630" i="28" l="1"/>
  <c r="C630" i="28"/>
  <c r="D629" i="28" l="1"/>
  <c r="C629" i="28"/>
  <c r="D628" i="28" l="1"/>
  <c r="C628" i="28"/>
  <c r="D627" i="28" l="1"/>
  <c r="C627" i="28"/>
  <c r="D626" i="28" l="1"/>
  <c r="C626" i="28"/>
  <c r="D625" i="28" l="1"/>
  <c r="C625" i="28"/>
  <c r="D624" i="28" l="1"/>
  <c r="C624" i="28"/>
  <c r="D623" i="28"/>
  <c r="C623" i="28"/>
  <c r="D622" i="28" l="1"/>
  <c r="C622" i="28"/>
  <c r="D621" i="28" l="1"/>
  <c r="C621" i="28"/>
  <c r="D620" i="28"/>
  <c r="C620" i="28"/>
  <c r="D619" i="28" l="1"/>
  <c r="C619" i="28"/>
  <c r="D618" i="28" l="1"/>
  <c r="C618" i="28"/>
  <c r="D617" i="28"/>
  <c r="C617" i="28"/>
  <c r="D616" i="28" l="1"/>
  <c r="C616" i="28"/>
  <c r="D615" i="28" l="1"/>
  <c r="C615" i="28"/>
  <c r="D614" i="28" l="1"/>
  <c r="C614" i="28"/>
  <c r="D613" i="28" l="1"/>
  <c r="C613" i="28"/>
  <c r="D612" i="28" l="1"/>
  <c r="C612" i="28"/>
  <c r="D611" i="28"/>
  <c r="C611" i="28"/>
  <c r="D610" i="28" l="1"/>
  <c r="C610" i="28"/>
  <c r="D609" i="28" l="1"/>
  <c r="C609" i="28"/>
  <c r="D608" i="28"/>
  <c r="C608" i="28"/>
  <c r="D607" i="28" l="1"/>
  <c r="C607" i="28"/>
  <c r="D606" i="28" l="1"/>
  <c r="C606" i="28"/>
  <c r="D605" i="28" l="1"/>
  <c r="C605" i="28"/>
  <c r="D604" i="28" l="1"/>
  <c r="C604" i="28"/>
  <c r="D603" i="28" l="1"/>
  <c r="C603" i="28"/>
  <c r="D602" i="28" l="1"/>
  <c r="C602" i="28"/>
  <c r="D601" i="28" l="1"/>
  <c r="C601" i="28"/>
  <c r="D600" i="28" l="1"/>
  <c r="C600" i="28"/>
  <c r="D599" i="28" l="1"/>
  <c r="C599" i="28"/>
  <c r="D598" i="28" l="1"/>
  <c r="C598" i="28"/>
  <c r="D597" i="28" l="1"/>
  <c r="C597" i="28"/>
  <c r="D596" i="28"/>
  <c r="C596" i="28"/>
  <c r="D595" i="28" l="1"/>
  <c r="C595" i="28"/>
  <c r="D594" i="28" l="1"/>
  <c r="C594" i="28"/>
  <c r="D593" i="28" l="1"/>
  <c r="C593" i="28"/>
  <c r="D592" i="28" l="1"/>
  <c r="C592" i="28"/>
  <c r="D591" i="28" l="1"/>
  <c r="C591" i="28"/>
  <c r="D590" i="28" l="1"/>
  <c r="C590" i="28"/>
  <c r="D589" i="28" l="1"/>
  <c r="C589" i="28"/>
  <c r="D588" i="28" l="1"/>
  <c r="C588" i="28"/>
  <c r="D587" i="28"/>
  <c r="C587" i="28"/>
  <c r="D586" i="28" l="1"/>
  <c r="C586" i="28"/>
  <c r="D585" i="28" l="1"/>
  <c r="C585" i="28"/>
  <c r="D584" i="28" l="1"/>
  <c r="C584" i="28"/>
  <c r="D583" i="28" l="1"/>
  <c r="C583" i="28"/>
  <c r="D582" i="28" l="1"/>
  <c r="C582" i="28"/>
  <c r="D581" i="28" l="1"/>
  <c r="C581" i="28"/>
  <c r="D580" i="28"/>
  <c r="C580" i="28"/>
  <c r="D579" i="28"/>
  <c r="C579" i="28"/>
  <c r="D578" i="28" l="1"/>
  <c r="C578" i="28"/>
  <c r="D577" i="28" l="1"/>
  <c r="C577" i="28"/>
  <c r="D576" i="28"/>
  <c r="C576" i="28"/>
  <c r="D575" i="28" l="1"/>
  <c r="C575" i="28"/>
  <c r="D574" i="28"/>
  <c r="C574" i="28"/>
  <c r="D573" i="28" l="1"/>
  <c r="C573" i="28"/>
  <c r="D572" i="28" l="1"/>
  <c r="C572" i="28"/>
  <c r="D571" i="28" l="1"/>
  <c r="C571" i="28"/>
  <c r="D570" i="28" l="1"/>
  <c r="C570" i="28"/>
  <c r="D569" i="28" l="1"/>
  <c r="C569" i="28"/>
  <c r="D568" i="28" l="1"/>
  <c r="C568" i="28"/>
  <c r="D567" i="28" l="1"/>
  <c r="C567" i="28"/>
  <c r="D566" i="28" l="1"/>
  <c r="C566" i="28"/>
  <c r="D565" i="28" l="1"/>
  <c r="C565" i="28"/>
  <c r="D564" i="28" l="1"/>
  <c r="C564" i="28"/>
  <c r="D563" i="28" l="1"/>
  <c r="C563" i="28"/>
  <c r="D562" i="28"/>
  <c r="C562" i="28"/>
  <c r="D561" i="28" l="1"/>
  <c r="C561" i="28"/>
  <c r="D560" i="28" l="1"/>
  <c r="C560" i="28"/>
  <c r="D559" i="28" l="1"/>
  <c r="C559" i="28"/>
  <c r="D558" i="28"/>
  <c r="C558" i="28"/>
  <c r="D557" i="28" l="1"/>
  <c r="C557" i="28"/>
  <c r="D556" i="28" l="1"/>
  <c r="C556" i="28"/>
  <c r="D555" i="28"/>
  <c r="C555" i="28"/>
  <c r="D554" i="28" l="1"/>
  <c r="C554" i="28"/>
  <c r="D553" i="28"/>
  <c r="C553" i="28"/>
  <c r="D552" i="28" l="1"/>
  <c r="C552" i="28"/>
  <c r="D551" i="28" l="1"/>
  <c r="C551" i="28"/>
  <c r="D550" i="28" l="1"/>
  <c r="C550" i="28"/>
  <c r="D549" i="28"/>
  <c r="C549" i="28"/>
  <c r="D548" i="28" l="1"/>
  <c r="C548" i="28"/>
  <c r="D547" i="28" l="1"/>
  <c r="C547" i="28"/>
  <c r="D546" i="28"/>
  <c r="C546" i="28"/>
  <c r="D545" i="28" l="1"/>
  <c r="C545" i="28"/>
  <c r="D544" i="28" l="1"/>
  <c r="C544" i="28"/>
  <c r="D543" i="28"/>
  <c r="C543" i="28"/>
  <c r="D542" i="28" l="1"/>
  <c r="C542" i="28"/>
  <c r="D541" i="28"/>
  <c r="C541" i="28"/>
  <c r="D540" i="28" l="1"/>
  <c r="C540" i="28"/>
  <c r="D539" i="28" l="1"/>
  <c r="C539" i="28"/>
  <c r="D538" i="28" l="1"/>
  <c r="C538" i="28"/>
  <c r="D537" i="28" l="1"/>
  <c r="C537" i="28"/>
  <c r="D536" i="28" l="1"/>
  <c r="C536" i="28"/>
  <c r="D535" i="28"/>
  <c r="C535" i="28"/>
  <c r="D534" i="28" l="1"/>
  <c r="C534" i="28"/>
  <c r="D533" i="28" l="1"/>
  <c r="C533" i="28"/>
  <c r="D532" i="28"/>
  <c r="C532" i="28"/>
  <c r="D531" i="28" l="1"/>
  <c r="C531" i="28"/>
  <c r="D530" i="28" l="1"/>
  <c r="C530" i="28"/>
  <c r="D529" i="28" l="1"/>
  <c r="C529" i="28"/>
  <c r="D528" i="28"/>
  <c r="C528" i="28"/>
  <c r="D527" i="28" l="1"/>
  <c r="C527" i="28"/>
  <c r="D526" i="28" l="1"/>
  <c r="C526" i="28"/>
  <c r="D525" i="28" l="1"/>
  <c r="C525" i="28"/>
  <c r="D524" i="28" l="1"/>
  <c r="C524" i="28"/>
  <c r="D523" i="28" l="1"/>
  <c r="C523" i="28"/>
  <c r="D522" i="28" l="1"/>
  <c r="C522" i="28"/>
  <c r="D521" i="28" l="1"/>
  <c r="C521" i="28"/>
  <c r="D520" i="28"/>
  <c r="C520" i="28"/>
  <c r="D519" i="28"/>
  <c r="C519" i="28"/>
  <c r="D518" i="28" l="1"/>
  <c r="C518" i="28"/>
  <c r="D517" i="28" l="1"/>
  <c r="C517" i="28"/>
  <c r="D516" i="28" l="1"/>
  <c r="C516" i="28"/>
  <c r="D515" i="28" l="1"/>
  <c r="C515" i="28"/>
  <c r="D514" i="28" l="1"/>
  <c r="C514" i="28"/>
  <c r="D513" i="28" l="1"/>
  <c r="C513" i="28"/>
  <c r="D512" i="28" l="1"/>
  <c r="C512" i="28"/>
  <c r="D511" i="28" l="1"/>
  <c r="C511" i="28"/>
  <c r="D510" i="28" l="1"/>
  <c r="C510" i="28"/>
  <c r="D509" i="28" l="1"/>
  <c r="C509" i="28"/>
  <c r="D508" i="28" l="1"/>
  <c r="C508" i="28"/>
  <c r="D507" i="28" l="1"/>
  <c r="C507" i="28"/>
  <c r="D506" i="28" l="1"/>
  <c r="C506" i="28"/>
  <c r="D505" i="28" l="1"/>
  <c r="C505" i="28"/>
  <c r="D504" i="28" l="1"/>
  <c r="C504" i="28"/>
  <c r="D503" i="28" l="1"/>
  <c r="C503" i="28"/>
  <c r="D502" i="28" l="1"/>
  <c r="C502" i="28"/>
  <c r="D501" i="28" l="1"/>
  <c r="C501" i="28"/>
  <c r="D500" i="28" l="1"/>
  <c r="C500" i="28"/>
  <c r="D499" i="28" l="1"/>
  <c r="C499" i="28"/>
  <c r="D498" i="28" l="1"/>
  <c r="C498" i="28"/>
  <c r="D497" i="28" l="1"/>
  <c r="C497" i="28"/>
  <c r="D496" i="28" l="1"/>
  <c r="C496" i="28"/>
  <c r="D495" i="28" l="1"/>
  <c r="C495" i="28"/>
  <c r="D494" i="28" l="1"/>
  <c r="C494" i="28"/>
  <c r="D493" i="28" l="1"/>
  <c r="C493" i="28"/>
  <c r="D492" i="28" l="1"/>
  <c r="C492" i="28"/>
  <c r="D491" i="28" l="1"/>
  <c r="C491" i="28"/>
  <c r="D490" i="28" l="1"/>
  <c r="C490" i="28"/>
  <c r="D489" i="28" l="1"/>
  <c r="C489" i="28"/>
  <c r="D488" i="28" l="1"/>
  <c r="C488" i="28"/>
  <c r="D487" i="28" l="1"/>
  <c r="C487" i="28"/>
  <c r="D486" i="28" l="1"/>
  <c r="C486" i="28"/>
  <c r="D485" i="28" l="1"/>
  <c r="C485" i="28"/>
  <c r="D484" i="28" l="1"/>
  <c r="C484" i="28"/>
  <c r="D483" i="28" l="1"/>
  <c r="C483" i="28"/>
  <c r="D482" i="28" l="1"/>
  <c r="C482" i="28"/>
  <c r="D481" i="28" l="1"/>
  <c r="C481" i="28"/>
  <c r="D480" i="28" l="1"/>
  <c r="C480" i="28"/>
  <c r="D479" i="28" l="1"/>
  <c r="C479" i="28"/>
  <c r="D478" i="28" l="1"/>
  <c r="C478" i="28"/>
  <c r="D477" i="28" l="1"/>
  <c r="C477" i="28"/>
  <c r="D476" i="28" l="1"/>
  <c r="C476" i="28"/>
  <c r="D475" i="28" l="1"/>
  <c r="C475" i="28"/>
  <c r="D474" i="28" l="1"/>
  <c r="C474" i="28"/>
  <c r="D473" i="28" l="1"/>
  <c r="C473" i="28"/>
  <c r="D472" i="28" l="1"/>
  <c r="C472" i="28"/>
  <c r="D471" i="28" l="1"/>
  <c r="C471" i="28"/>
  <c r="D470" i="28" l="1"/>
  <c r="C470" i="28"/>
  <c r="D469" i="28" l="1"/>
  <c r="C469" i="28"/>
  <c r="D468" i="28" l="1"/>
  <c r="C468" i="28"/>
  <c r="D467" i="28" l="1"/>
  <c r="C467" i="28"/>
  <c r="D466" i="28" l="1"/>
  <c r="C466" i="28"/>
  <c r="D465" i="28" l="1"/>
  <c r="C465" i="28"/>
  <c r="D464" i="28" l="1"/>
  <c r="C464" i="28"/>
  <c r="D463" i="28" l="1"/>
  <c r="C463" i="28"/>
  <c r="D462" i="28" l="1"/>
  <c r="C462" i="28"/>
  <c r="D461" i="28" l="1"/>
  <c r="C461" i="28"/>
  <c r="D460" i="28" l="1"/>
  <c r="C460" i="28"/>
  <c r="D459" i="28" l="1"/>
  <c r="C459" i="28"/>
  <c r="D458" i="28" l="1"/>
  <c r="C458" i="28"/>
  <c r="D457" i="28" l="1"/>
  <c r="C457" i="28"/>
  <c r="D456" i="28" l="1"/>
  <c r="C456" i="28"/>
  <c r="D455" i="28" l="1"/>
  <c r="C455" i="28"/>
  <c r="D454" i="28" l="1"/>
  <c r="C454" i="28"/>
  <c r="D453" i="28" l="1"/>
  <c r="C453" i="28"/>
  <c r="D452" i="28" l="1"/>
  <c r="C452" i="28"/>
  <c r="D451" i="28" l="1"/>
  <c r="C451" i="28"/>
  <c r="D450" i="28" l="1"/>
  <c r="C450" i="28"/>
  <c r="D449" i="28" l="1"/>
  <c r="C449" i="28"/>
  <c r="D448" i="28" l="1"/>
  <c r="C448" i="28"/>
  <c r="D447" i="28" l="1"/>
  <c r="C447" i="28"/>
  <c r="D446" i="28" l="1"/>
  <c r="C446" i="28"/>
  <c r="D445" i="28" l="1"/>
  <c r="C445" i="28"/>
  <c r="D444" i="28" l="1"/>
  <c r="C444" i="28"/>
  <c r="D443" i="28" l="1"/>
  <c r="C443" i="28"/>
  <c r="D442" i="28" l="1"/>
  <c r="C442" i="28"/>
  <c r="D441" i="28" l="1"/>
  <c r="C441" i="28"/>
  <c r="D440" i="28" l="1"/>
  <c r="C440" i="28"/>
  <c r="D439" i="28" l="1"/>
  <c r="C439" i="28"/>
  <c r="D438" i="28" l="1"/>
  <c r="C438" i="28"/>
  <c r="D437" i="28" l="1"/>
  <c r="C437" i="28"/>
  <c r="D436" i="28" l="1"/>
  <c r="C436" i="28"/>
  <c r="D435" i="28" l="1"/>
  <c r="C435" i="28"/>
  <c r="D434" i="28" l="1"/>
  <c r="C434" i="28"/>
  <c r="D433" i="28" l="1"/>
  <c r="C433" i="28"/>
  <c r="D432" i="28" l="1"/>
  <c r="C432" i="28"/>
  <c r="D431" i="28" l="1"/>
  <c r="C431" i="28"/>
  <c r="D430" i="28" l="1"/>
  <c r="C430" i="28"/>
  <c r="D429" i="28" l="1"/>
  <c r="C429" i="28"/>
  <c r="D428" i="28" l="1"/>
  <c r="C428" i="28"/>
  <c r="D427" i="28" l="1"/>
  <c r="C427" i="28"/>
  <c r="D426" i="28" l="1"/>
  <c r="C426" i="28"/>
  <c r="D425" i="28" l="1"/>
  <c r="C425" i="28"/>
  <c r="D424" i="28" l="1"/>
  <c r="C424" i="28"/>
  <c r="D423" i="28" l="1"/>
  <c r="C423" i="28"/>
  <c r="D422" i="28" l="1"/>
  <c r="C422" i="28"/>
  <c r="D421" i="28" l="1"/>
  <c r="C421" i="28"/>
  <c r="D420" i="28" l="1"/>
  <c r="C420" i="28"/>
  <c r="D419" i="28" l="1"/>
  <c r="C419" i="28"/>
  <c r="D418" i="28" l="1"/>
  <c r="C418" i="28"/>
  <c r="D417" i="28" l="1"/>
  <c r="C417" i="28"/>
  <c r="D416" i="28" l="1"/>
  <c r="C416" i="28"/>
  <c r="D415" i="28" l="1"/>
  <c r="C415" i="28"/>
  <c r="D414" i="28" l="1"/>
  <c r="C414" i="28"/>
  <c r="D413" i="28" l="1"/>
  <c r="C413" i="28"/>
  <c r="D412" i="28" l="1"/>
  <c r="C412" i="28"/>
  <c r="D411" i="28" l="1"/>
  <c r="C411" i="28"/>
  <c r="D410" i="28" l="1"/>
  <c r="C410" i="28"/>
  <c r="D409" i="28" l="1"/>
  <c r="C409" i="28"/>
  <c r="D408" i="28" l="1"/>
  <c r="C408" i="28"/>
  <c r="D407" i="28" l="1"/>
  <c r="C407" i="28"/>
  <c r="D406" i="28" l="1"/>
  <c r="C406" i="28"/>
  <c r="D405" i="28"/>
  <c r="C405" i="28"/>
  <c r="D404" i="28" l="1"/>
  <c r="C404" i="28"/>
  <c r="D403" i="28" l="1"/>
  <c r="C403" i="28"/>
  <c r="D402" i="28" l="1"/>
  <c r="C402" i="28"/>
  <c r="D401" i="28" l="1"/>
  <c r="C401" i="28"/>
  <c r="D400" i="28" l="1"/>
  <c r="C400" i="28"/>
  <c r="D399" i="28" l="1"/>
  <c r="C399" i="28"/>
  <c r="D398" i="28" l="1"/>
  <c r="C398" i="28"/>
  <c r="D397" i="28" l="1"/>
  <c r="C397" i="28"/>
  <c r="D396" i="28" l="1"/>
  <c r="C396" i="28"/>
  <c r="D395" i="28"/>
  <c r="C395" i="28"/>
  <c r="D394" i="28"/>
  <c r="C394" i="28"/>
  <c r="D393" i="28" l="1"/>
  <c r="C393" i="28"/>
  <c r="D392" i="28" l="1"/>
  <c r="C392" i="28"/>
  <c r="D391" i="28" l="1"/>
  <c r="C391" i="28"/>
  <c r="D390" i="28" l="1"/>
  <c r="C390" i="28"/>
  <c r="D389" i="28" l="1"/>
  <c r="C389" i="28"/>
  <c r="D388" i="28" l="1"/>
  <c r="C388" i="28"/>
  <c r="D387" i="28" l="1"/>
  <c r="C387" i="28"/>
  <c r="D386" i="28" l="1"/>
  <c r="C386" i="28"/>
  <c r="D385" i="28" l="1"/>
  <c r="C385" i="28"/>
  <c r="D384" i="28" l="1"/>
  <c r="C384" i="28"/>
  <c r="D383" i="28"/>
  <c r="C383" i="28"/>
  <c r="D382" i="28" l="1"/>
  <c r="C382" i="28"/>
  <c r="D381" i="28" l="1"/>
  <c r="C381" i="28"/>
  <c r="D380" i="28"/>
  <c r="C380" i="28"/>
  <c r="D379" i="28"/>
  <c r="C379" i="28"/>
  <c r="D378" i="28" l="1"/>
  <c r="C378" i="28"/>
  <c r="D377" i="28" l="1"/>
  <c r="C377" i="28"/>
  <c r="D376" i="28" l="1"/>
  <c r="C376" i="28"/>
  <c r="D375" i="28" l="1"/>
  <c r="C375" i="28"/>
  <c r="D374" i="28" l="1"/>
  <c r="C374" i="28"/>
  <c r="D373" i="28" l="1"/>
  <c r="C373" i="28"/>
  <c r="D372" i="28" l="1"/>
  <c r="C372" i="28"/>
  <c r="D371" i="28"/>
  <c r="C371" i="28"/>
  <c r="D370" i="28" l="1"/>
  <c r="C370" i="28"/>
  <c r="D369" i="28" l="1"/>
  <c r="C369" i="28"/>
  <c r="D368" i="28"/>
  <c r="C368" i="28"/>
  <c r="D367" i="28"/>
  <c r="C367" i="28"/>
  <c r="D366" i="28" l="1"/>
  <c r="C366" i="28"/>
  <c r="D365" i="28"/>
  <c r="C365" i="28"/>
  <c r="D364" i="28"/>
  <c r="C364" i="28"/>
  <c r="D363" i="28"/>
  <c r="C363" i="28"/>
  <c r="D362" i="28" l="1"/>
  <c r="C362" i="28"/>
  <c r="D361" i="28" l="1"/>
  <c r="C361" i="28"/>
  <c r="D360" i="28" l="1"/>
  <c r="C360" i="28"/>
  <c r="D359" i="28" l="1"/>
  <c r="C359" i="28"/>
  <c r="D358" i="28" l="1"/>
  <c r="C358" i="28"/>
  <c r="D357" i="28" l="1"/>
  <c r="C357" i="28"/>
  <c r="D356" i="28" l="1"/>
  <c r="C356" i="28"/>
  <c r="D355" i="28" l="1"/>
  <c r="C355" i="28"/>
  <c r="D354" i="28" l="1"/>
  <c r="C354" i="28"/>
  <c r="D353" i="28" l="1"/>
  <c r="C353" i="28"/>
  <c r="D352" i="28" l="1"/>
  <c r="C352" i="28"/>
  <c r="D351" i="28" l="1"/>
  <c r="C351" i="28"/>
  <c r="D350" i="28" l="1"/>
  <c r="C350" i="28"/>
  <c r="D349" i="28" l="1"/>
  <c r="C349" i="28"/>
  <c r="D348" i="28" l="1"/>
  <c r="C348" i="28"/>
  <c r="D347" i="28" l="1"/>
  <c r="C347" i="28"/>
  <c r="D346" i="28" l="1"/>
  <c r="C346" i="28"/>
  <c r="D345" i="28" l="1"/>
  <c r="C345" i="28"/>
  <c r="D344" i="28" l="1"/>
  <c r="C344" i="28"/>
  <c r="D343" i="28" l="1"/>
  <c r="C343" i="28"/>
  <c r="D342" i="28" l="1"/>
  <c r="C342" i="28"/>
  <c r="D341" i="28"/>
  <c r="C341" i="28"/>
  <c r="D340" i="28" l="1"/>
  <c r="C340" i="28"/>
  <c r="D339" i="28" l="1"/>
  <c r="C339" i="28"/>
  <c r="D338" i="28" l="1"/>
  <c r="C338" i="28"/>
  <c r="D337" i="28" l="1"/>
  <c r="C337" i="28"/>
  <c r="D336" i="28" l="1"/>
  <c r="C336" i="28"/>
  <c r="D335" i="28"/>
  <c r="C335" i="28"/>
  <c r="D334" i="28" l="1"/>
  <c r="C334" i="28"/>
  <c r="D333" i="28" l="1"/>
  <c r="C333" i="28"/>
  <c r="D332" i="28" l="1"/>
  <c r="C332" i="28"/>
  <c r="D331" i="28" l="1"/>
  <c r="C331" i="28"/>
  <c r="D330" i="28" l="1"/>
  <c r="C330" i="28"/>
  <c r="D329" i="28" l="1"/>
  <c r="C329" i="28"/>
  <c r="D328" i="28"/>
  <c r="C328" i="28"/>
  <c r="D327" i="28" l="1"/>
  <c r="C327" i="28"/>
  <c r="D326" i="28" l="1"/>
  <c r="C326" i="28"/>
  <c r="D325" i="28" l="1"/>
  <c r="C325" i="28"/>
  <c r="D324" i="28" l="1"/>
  <c r="C324" i="28"/>
  <c r="D323" i="28" l="1"/>
  <c r="C323" i="28"/>
  <c r="D322" i="28" l="1"/>
  <c r="C322" i="28"/>
  <c r="D321" i="28" l="1"/>
  <c r="C321" i="28"/>
  <c r="D320" i="28" l="1"/>
  <c r="C320" i="28"/>
  <c r="D319" i="28" l="1"/>
  <c r="C319" i="28"/>
  <c r="D318" i="28"/>
  <c r="C318" i="28"/>
  <c r="D317" i="28" l="1"/>
  <c r="C317" i="28"/>
  <c r="D316" i="28" l="1"/>
  <c r="C316" i="28"/>
  <c r="D315" i="28" l="1"/>
  <c r="C315" i="28"/>
  <c r="D314" i="28" l="1"/>
  <c r="C314" i="28"/>
  <c r="D313" i="28"/>
  <c r="C313" i="28"/>
  <c r="D312" i="28"/>
  <c r="C312" i="28"/>
  <c r="D311" i="28" l="1"/>
  <c r="C311" i="28"/>
  <c r="D310" i="28"/>
  <c r="C310" i="28"/>
  <c r="D309" i="28" l="1"/>
  <c r="C309" i="28"/>
  <c r="D308" i="28" l="1"/>
  <c r="C308" i="28"/>
  <c r="D307" i="28"/>
  <c r="C307" i="28"/>
  <c r="D306" i="28" l="1"/>
  <c r="C306" i="28"/>
  <c r="D305" i="28" l="1"/>
  <c r="C305" i="28"/>
  <c r="D304" i="28"/>
  <c r="C304" i="28"/>
  <c r="D303" i="28" l="1"/>
  <c r="C303" i="28"/>
  <c r="D302" i="28" l="1"/>
  <c r="C302" i="28"/>
  <c r="D301" i="28"/>
  <c r="C301" i="28"/>
  <c r="D300" i="28" l="1"/>
  <c r="C300" i="28"/>
  <c r="D299" i="28" l="1"/>
  <c r="C299" i="28"/>
  <c r="D298" i="28" l="1"/>
  <c r="C298" i="28"/>
  <c r="D297" i="28" l="1"/>
  <c r="C297" i="28"/>
  <c r="D296" i="28" l="1"/>
  <c r="C296" i="28"/>
  <c r="D295" i="28" l="1"/>
  <c r="C295" i="28"/>
  <c r="D294" i="28" l="1"/>
  <c r="C294" i="28"/>
  <c r="D293" i="28" l="1"/>
  <c r="C293" i="28"/>
  <c r="D292" i="28" l="1"/>
  <c r="C292" i="28"/>
  <c r="D291" i="28"/>
  <c r="C291" i="28"/>
  <c r="D290" i="28" l="1"/>
  <c r="C290" i="28"/>
  <c r="D289" i="28" l="1"/>
  <c r="C289" i="28"/>
  <c r="D288" i="28"/>
  <c r="C288" i="28"/>
  <c r="D287" i="28" l="1"/>
  <c r="C287" i="28"/>
  <c r="D286" i="28"/>
  <c r="C286" i="28"/>
  <c r="D285" i="28" l="1"/>
  <c r="C285" i="28"/>
  <c r="D284" i="28" l="1"/>
  <c r="C284" i="28"/>
  <c r="D283" i="28" l="1"/>
  <c r="C283" i="28"/>
  <c r="D282" i="28" l="1"/>
  <c r="C282" i="28"/>
  <c r="D281" i="28" l="1"/>
  <c r="C281" i="28"/>
  <c r="D280" i="28" l="1"/>
  <c r="C280" i="28"/>
  <c r="D279" i="28"/>
  <c r="C279" i="28"/>
  <c r="D278" i="28" l="1"/>
  <c r="C278" i="28"/>
  <c r="D277" i="28"/>
  <c r="C277" i="28"/>
  <c r="D276" i="28" l="1"/>
  <c r="C276" i="28"/>
  <c r="D275" i="28" l="1"/>
  <c r="C275" i="28"/>
  <c r="D274" i="28" l="1"/>
  <c r="C274" i="28"/>
  <c r="D273" i="28"/>
  <c r="C273" i="28"/>
  <c r="D272" i="28" l="1"/>
  <c r="C272" i="28"/>
  <c r="D271" i="28" l="1"/>
  <c r="C271" i="28"/>
  <c r="D270" i="28" l="1"/>
  <c r="C270" i="28"/>
  <c r="D269" i="28" l="1"/>
  <c r="C269" i="28"/>
  <c r="D268" i="28" l="1"/>
  <c r="C268" i="28"/>
  <c r="D267" i="28"/>
  <c r="C267" i="28"/>
  <c r="D266" i="28" l="1"/>
  <c r="C266" i="28"/>
  <c r="D265" i="28"/>
  <c r="C265" i="28"/>
  <c r="D264" i="28" l="1"/>
  <c r="C264" i="28"/>
  <c r="D263" i="28"/>
  <c r="C263" i="28"/>
  <c r="D262" i="28"/>
  <c r="C262" i="28"/>
  <c r="D261" i="28"/>
  <c r="C261" i="28"/>
  <c r="D260" i="28"/>
  <c r="C260" i="28"/>
  <c r="D259" i="28"/>
  <c r="C259" i="28"/>
  <c r="D258" i="28" l="1"/>
  <c r="C258" i="28"/>
  <c r="D257" i="28" l="1"/>
  <c r="C257" i="28"/>
  <c r="D256" i="28" l="1"/>
  <c r="C256" i="28"/>
  <c r="D255" i="28"/>
  <c r="C255" i="28"/>
  <c r="D254" i="28" l="1"/>
  <c r="C254" i="28"/>
  <c r="D253" i="28"/>
  <c r="C253" i="28"/>
  <c r="D252" i="28" l="1"/>
  <c r="C252" i="28"/>
  <c r="D251" i="28" l="1"/>
  <c r="C251" i="28"/>
  <c r="D250" i="28"/>
  <c r="C250" i="28"/>
  <c r="D249" i="28" l="1"/>
  <c r="C249" i="28"/>
  <c r="D248" i="28" l="1"/>
  <c r="C248" i="28"/>
  <c r="D247" i="28" l="1"/>
  <c r="C247" i="28"/>
  <c r="D246" i="28" l="1"/>
  <c r="C246" i="28"/>
  <c r="D245" i="28" l="1"/>
  <c r="C245" i="28"/>
  <c r="D244" i="28"/>
  <c r="C244" i="28"/>
  <c r="D243" i="28" l="1"/>
  <c r="C243" i="28"/>
  <c r="D242" i="28" l="1"/>
  <c r="C242" i="28"/>
  <c r="D241" i="28"/>
  <c r="C241" i="28"/>
  <c r="D240" i="28" l="1"/>
  <c r="C240" i="28"/>
  <c r="D239" i="28" l="1"/>
  <c r="C239" i="28"/>
  <c r="D238" i="28"/>
  <c r="C238" i="28"/>
  <c r="D237" i="28" l="1"/>
  <c r="C237" i="28"/>
  <c r="D236" i="28" l="1"/>
  <c r="C236" i="28"/>
  <c r="D235" i="28" l="1"/>
  <c r="C235" i="28"/>
  <c r="D234" i="28" l="1"/>
  <c r="C234" i="28"/>
  <c r="D233" i="28" l="1"/>
  <c r="C233" i="28"/>
  <c r="D232" i="28" l="1"/>
  <c r="C232" i="28"/>
  <c r="D231" i="28" l="1"/>
  <c r="C231" i="28"/>
  <c r="D230" i="28" l="1"/>
  <c r="C230" i="28"/>
  <c r="D229" i="28"/>
  <c r="C229" i="28"/>
  <c r="D228" i="28" l="1"/>
  <c r="C228" i="28"/>
  <c r="D227" i="28" l="1"/>
  <c r="C227" i="28"/>
  <c r="D226" i="28" l="1"/>
  <c r="C226" i="28"/>
  <c r="D225" i="28" l="1"/>
  <c r="C225" i="28"/>
  <c r="D224" i="28"/>
  <c r="C224" i="28"/>
  <c r="D223" i="28" l="1"/>
  <c r="C223" i="28"/>
  <c r="D222" i="28" l="1"/>
  <c r="C222" i="28"/>
  <c r="D221" i="28" l="1"/>
  <c r="C221" i="28"/>
  <c r="D220" i="28" l="1"/>
  <c r="C220" i="28"/>
  <c r="D219" i="28" l="1"/>
  <c r="C219" i="28"/>
  <c r="D218" i="28" l="1"/>
  <c r="C218" i="28"/>
  <c r="D217" i="28"/>
  <c r="C217" i="28"/>
  <c r="D216" i="28" l="1"/>
  <c r="C216" i="28"/>
  <c r="D215" i="28" l="1"/>
  <c r="C215" i="28"/>
  <c r="D214" i="28" l="1"/>
  <c r="C214" i="28"/>
  <c r="D213" i="28" l="1"/>
  <c r="C213" i="28"/>
  <c r="D212" i="28"/>
  <c r="C212" i="28"/>
  <c r="D211" i="28" l="1"/>
  <c r="C211" i="28"/>
  <c r="D210" i="28" l="1"/>
  <c r="C210" i="28"/>
  <c r="D209" i="28" l="1"/>
  <c r="C209" i="28"/>
  <c r="D208" i="28" l="1"/>
  <c r="C208" i="28"/>
  <c r="D207" i="28" l="1"/>
  <c r="C207" i="28"/>
  <c r="D206" i="28"/>
  <c r="C206" i="28"/>
  <c r="D205" i="28" l="1"/>
  <c r="C205" i="28"/>
  <c r="D204" i="28" l="1"/>
  <c r="C204" i="28"/>
  <c r="D203" i="28"/>
  <c r="C203" i="28"/>
  <c r="D202" i="28" l="1"/>
  <c r="C202" i="28"/>
  <c r="D201" i="28" l="1"/>
  <c r="C201" i="28"/>
  <c r="D200" i="28" l="1"/>
  <c r="C200" i="28"/>
  <c r="D199" i="28" l="1"/>
  <c r="C199" i="28"/>
  <c r="D198" i="28" l="1"/>
  <c r="C198" i="28"/>
  <c r="D197" i="28" l="1"/>
  <c r="C197" i="28"/>
  <c r="D196" i="28"/>
  <c r="C196" i="28"/>
  <c r="D195" i="28" l="1"/>
  <c r="C195" i="28"/>
  <c r="D194" i="28" l="1"/>
  <c r="C194" i="28"/>
  <c r="D193" i="28"/>
  <c r="C193" i="28"/>
  <c r="D192" i="28" l="1"/>
  <c r="C192" i="28"/>
  <c r="D191" i="28" l="1"/>
  <c r="C191" i="28"/>
  <c r="D190" i="28" l="1"/>
  <c r="C190" i="28"/>
  <c r="D189" i="28" l="1"/>
  <c r="C189" i="28"/>
  <c r="D188" i="28" l="1"/>
  <c r="C188" i="28"/>
  <c r="D187" i="28" l="1"/>
  <c r="C187" i="28"/>
  <c r="D186" i="28"/>
  <c r="C186" i="28"/>
  <c r="D185" i="28" l="1"/>
  <c r="C185" i="28"/>
  <c r="D184" i="28" l="1"/>
  <c r="C184" i="28"/>
  <c r="D183" i="28"/>
  <c r="C183" i="28"/>
  <c r="D182" i="28" l="1"/>
  <c r="C182" i="28"/>
  <c r="D181" i="28" l="1"/>
  <c r="C181" i="28"/>
  <c r="D180" i="28" l="1"/>
  <c r="C180" i="28"/>
  <c r="D179" i="28" l="1"/>
  <c r="C179" i="28"/>
  <c r="D178" i="28" l="1"/>
  <c r="C178" i="28"/>
  <c r="D177" i="28" l="1"/>
  <c r="C177" i="28"/>
  <c r="D176" i="28" l="1"/>
  <c r="C176" i="28"/>
  <c r="D175" i="28" l="1"/>
  <c r="C175" i="28"/>
  <c r="D174" i="28" l="1"/>
  <c r="C174" i="28"/>
  <c r="D173" i="28" l="1"/>
  <c r="C173" i="28"/>
  <c r="D172" i="28" l="1"/>
  <c r="C172" i="28"/>
  <c r="D171" i="28" l="1"/>
  <c r="C171" i="28"/>
  <c r="D170" i="28" l="1"/>
  <c r="C170" i="28"/>
  <c r="D169" i="28" l="1"/>
  <c r="C169" i="28"/>
  <c r="D168" i="28" l="1"/>
  <c r="C168" i="28"/>
  <c r="D167" i="28"/>
  <c r="C167" i="28"/>
  <c r="D166" i="28" l="1"/>
  <c r="C166" i="28"/>
  <c r="D165" i="28" l="1"/>
  <c r="C165" i="28"/>
  <c r="D164" i="28" l="1"/>
  <c r="C164" i="28"/>
  <c r="D163" i="28" l="1"/>
  <c r="C163" i="28"/>
  <c r="D162" i="28" l="1"/>
  <c r="C162" i="28"/>
  <c r="D161" i="28" l="1"/>
  <c r="C161" i="28"/>
  <c r="D160" i="28" l="1"/>
  <c r="C160" i="28"/>
  <c r="D159" i="28" l="1"/>
  <c r="C159" i="28"/>
  <c r="D158" i="28" l="1"/>
  <c r="C158" i="28"/>
  <c r="D157" i="28" l="1"/>
  <c r="C157" i="28"/>
  <c r="D156" i="28" l="1"/>
  <c r="C156" i="28"/>
  <c r="D155" i="28"/>
  <c r="C155" i="28"/>
  <c r="D154" i="28" l="1"/>
  <c r="C154" i="28"/>
  <c r="D153" i="28" l="1"/>
  <c r="C153" i="28"/>
  <c r="D152" i="28" l="1"/>
  <c r="C152" i="28"/>
  <c r="D151" i="28"/>
  <c r="C151" i="28"/>
  <c r="D150" i="28" l="1"/>
  <c r="C150" i="28"/>
  <c r="D149" i="28" l="1"/>
  <c r="C149" i="28"/>
  <c r="D148" i="28" l="1"/>
  <c r="C148" i="28"/>
  <c r="D147" i="28" l="1"/>
  <c r="C147" i="28"/>
  <c r="D146" i="28"/>
  <c r="C146" i="28"/>
  <c r="D145" i="28" l="1"/>
  <c r="C145" i="28"/>
  <c r="D144" i="28" l="1"/>
  <c r="C144" i="28"/>
  <c r="D143" i="28" l="1"/>
  <c r="C143" i="28"/>
  <c r="D142" i="28" l="1"/>
  <c r="C142" i="28"/>
  <c r="D141" i="28" l="1"/>
  <c r="C141" i="28"/>
  <c r="D140" i="28" l="1"/>
  <c r="C140" i="28"/>
  <c r="D139" i="28" l="1"/>
  <c r="C139" i="28"/>
  <c r="D138" i="28" l="1"/>
  <c r="C138" i="28"/>
  <c r="D137" i="28" l="1"/>
  <c r="C137" i="28"/>
  <c r="D136" i="28" l="1"/>
  <c r="C136" i="28"/>
  <c r="D135" i="28" l="1"/>
  <c r="C135" i="28"/>
  <c r="D134" i="28"/>
  <c r="C134" i="28"/>
  <c r="D133" i="28" l="1"/>
  <c r="C133" i="28"/>
  <c r="D132" i="28" l="1"/>
  <c r="C132" i="28"/>
  <c r="D131" i="28" l="1"/>
  <c r="C131" i="28"/>
  <c r="D130" i="28" l="1"/>
  <c r="C130" i="28"/>
  <c r="D129" i="28" l="1"/>
  <c r="C129" i="28"/>
  <c r="D128" i="28" l="1"/>
  <c r="C128" i="28"/>
  <c r="D127" i="28" l="1"/>
  <c r="C127" i="28"/>
  <c r="D126" i="28"/>
  <c r="C126" i="28"/>
  <c r="D125" i="28" l="1"/>
  <c r="C125" i="28"/>
  <c r="D124" i="28" l="1"/>
  <c r="C124" i="28"/>
  <c r="D123" i="28" l="1"/>
  <c r="C123" i="28"/>
  <c r="D122" i="28"/>
  <c r="C122" i="28"/>
  <c r="D121" i="28" l="1"/>
  <c r="C121" i="28"/>
  <c r="D120" i="28" l="1"/>
  <c r="C120" i="28"/>
  <c r="D119" i="28" l="1"/>
  <c r="C119" i="28"/>
  <c r="D118" i="28" l="1"/>
  <c r="C118" i="28"/>
  <c r="D117" i="28" l="1"/>
  <c r="C117" i="28"/>
  <c r="D116" i="28" l="1"/>
  <c r="C116" i="28"/>
  <c r="D115" i="28" l="1"/>
  <c r="C115" i="28"/>
  <c r="D114" i="28" l="1"/>
  <c r="C114" i="28"/>
  <c r="D113" i="28" l="1"/>
  <c r="C113" i="28"/>
  <c r="D112" i="28" l="1"/>
  <c r="C112" i="28"/>
  <c r="D111" i="28"/>
  <c r="C111" i="28"/>
  <c r="D110" i="28" l="1"/>
  <c r="C110" i="28"/>
  <c r="D109" i="28" l="1"/>
  <c r="C109" i="28"/>
  <c r="D108" i="28" l="1"/>
  <c r="C108" i="28"/>
  <c r="D107" i="28" l="1"/>
  <c r="C107" i="28"/>
  <c r="D106" i="28" l="1"/>
  <c r="C106" i="28"/>
  <c r="D105" i="28"/>
  <c r="C105" i="28"/>
  <c r="D104" i="28" l="1"/>
  <c r="C104" i="28"/>
  <c r="D103" i="28" l="1"/>
  <c r="C103" i="28"/>
  <c r="D102" i="28" l="1"/>
  <c r="C102" i="28"/>
  <c r="D101" i="28" l="1"/>
  <c r="C101" i="28"/>
  <c r="D100" i="28" l="1"/>
  <c r="C100" i="28"/>
  <c r="D99" i="28" l="1"/>
  <c r="C99" i="28"/>
  <c r="D98" i="28" l="1"/>
  <c r="C98" i="28"/>
  <c r="D97" i="28" l="1"/>
  <c r="C97" i="28"/>
  <c r="D96" i="28" l="1"/>
  <c r="C96" i="28"/>
  <c r="D95" i="28" l="1"/>
  <c r="C95" i="28"/>
  <c r="D94" i="28"/>
  <c r="C94" i="28"/>
  <c r="D93" i="28" l="1"/>
  <c r="C93" i="28"/>
  <c r="D92" i="28" l="1"/>
  <c r="C92" i="28"/>
  <c r="D91" i="28" l="1"/>
  <c r="C91" i="28"/>
  <c r="D90" i="28" l="1"/>
  <c r="C90" i="28"/>
  <c r="D89" i="28" l="1"/>
  <c r="C89" i="28"/>
  <c r="D88" i="28" l="1"/>
  <c r="C88" i="28"/>
  <c r="D87" i="28" l="1"/>
  <c r="C87" i="28"/>
  <c r="D86" i="28"/>
  <c r="C86" i="28"/>
  <c r="D85" i="28" l="1"/>
  <c r="C85" i="28"/>
  <c r="D84" i="28" l="1"/>
  <c r="C84" i="28"/>
  <c r="D83" i="28" l="1"/>
  <c r="C83" i="28"/>
  <c r="D82" i="28" l="1"/>
  <c r="C82" i="28"/>
  <c r="D81" i="28"/>
  <c r="C81" i="28"/>
  <c r="D80" i="28" l="1"/>
  <c r="C80" i="28"/>
  <c r="D79" i="28" l="1"/>
  <c r="C79" i="28"/>
  <c r="D78" i="28" l="1"/>
  <c r="C78" i="28"/>
  <c r="D77" i="28" l="1"/>
  <c r="C77" i="28"/>
  <c r="D76" i="28" l="1"/>
  <c r="C76" i="28"/>
  <c r="D75" i="28" l="1"/>
  <c r="C75" i="28"/>
  <c r="D74" i="28"/>
  <c r="C74" i="28"/>
  <c r="D73" i="28" l="1"/>
  <c r="C73" i="28"/>
  <c r="D72" i="28" l="1"/>
  <c r="C72" i="28"/>
  <c r="D71" i="28" l="1"/>
  <c r="C71" i="28"/>
  <c r="D70" i="28"/>
  <c r="C70" i="28"/>
  <c r="D69" i="28" l="1"/>
  <c r="C69" i="28"/>
  <c r="D68" i="28" l="1"/>
  <c r="C68" i="28"/>
  <c r="D67" i="28" l="1"/>
  <c r="C67" i="28"/>
  <c r="D66" i="28" l="1"/>
  <c r="C66" i="28"/>
  <c r="D65" i="28" l="1"/>
  <c r="C65" i="28"/>
  <c r="D64" i="28"/>
  <c r="C64" i="28"/>
  <c r="D63" i="28"/>
  <c r="C63" i="28"/>
  <c r="D62" i="28" l="1"/>
  <c r="C62" i="28"/>
  <c r="D61" i="28" l="1"/>
  <c r="C61" i="28"/>
  <c r="D60" i="28" l="1"/>
  <c r="C60" i="28"/>
  <c r="D59" i="28" l="1"/>
  <c r="C59" i="28"/>
  <c r="D58" i="28" l="1"/>
  <c r="C58" i="28"/>
  <c r="D57" i="28" l="1"/>
  <c r="C57" i="28"/>
  <c r="D56" i="28" l="1"/>
  <c r="C56" i="28"/>
  <c r="D55" i="28" l="1"/>
  <c r="C55" i="28"/>
  <c r="D54" i="28" l="1"/>
  <c r="C54" i="28"/>
  <c r="D53" i="28" l="1"/>
  <c r="C53" i="28"/>
  <c r="D52" i="28"/>
  <c r="C52" i="28"/>
  <c r="D51" i="28"/>
  <c r="C51" i="28"/>
  <c r="D50" i="28" l="1"/>
  <c r="C50" i="28"/>
  <c r="D49" i="28" l="1"/>
  <c r="C49" i="28"/>
  <c r="D48" i="28" l="1"/>
  <c r="C48" i="28"/>
  <c r="D47" i="28" l="1"/>
  <c r="C47" i="28"/>
  <c r="D46" i="28"/>
  <c r="C46" i="28"/>
  <c r="D45" i="28" l="1"/>
  <c r="C45" i="28"/>
  <c r="D44" i="28" l="1"/>
  <c r="C44" i="28"/>
  <c r="D43" i="28"/>
  <c r="C43" i="28"/>
  <c r="D42" i="28" l="1"/>
  <c r="C42" i="28"/>
  <c r="D41" i="28" l="1"/>
  <c r="C41" i="28"/>
  <c r="D40" i="28" l="1"/>
  <c r="C40" i="28"/>
  <c r="D39" i="28"/>
  <c r="C39" i="28"/>
  <c r="D38" i="28" l="1"/>
  <c r="C38" i="28"/>
  <c r="D37" i="28"/>
  <c r="C37" i="28"/>
  <c r="D36" i="28" l="1"/>
  <c r="C36" i="28"/>
  <c r="D35" i="28" l="1"/>
  <c r="C35" i="28"/>
  <c r="D34" i="28" l="1"/>
  <c r="C34" i="28"/>
  <c r="D33" i="28" l="1"/>
  <c r="C33" i="28"/>
  <c r="D32" i="28" l="1"/>
  <c r="C32" i="28"/>
  <c r="D31" i="28"/>
  <c r="C31" i="28"/>
  <c r="D30" i="28" l="1"/>
  <c r="C30" i="28"/>
  <c r="D29" i="28"/>
  <c r="C29" i="28"/>
  <c r="D28" i="28" l="1"/>
  <c r="C28" i="28"/>
  <c r="D27" i="28" l="1"/>
  <c r="C27" i="28"/>
  <c r="D26" i="28" l="1"/>
  <c r="C26" i="28"/>
  <c r="D25" i="28"/>
  <c r="C25" i="28"/>
  <c r="D24" i="28" l="1"/>
  <c r="C24" i="28"/>
  <c r="D23" i="28" l="1"/>
  <c r="C23" i="28"/>
  <c r="D22" i="28" l="1"/>
  <c r="C22" i="28"/>
  <c r="D21" i="28" l="1"/>
  <c r="C21" i="28"/>
  <c r="D20" i="28" l="1"/>
  <c r="C20" i="28"/>
  <c r="D19" i="28" l="1"/>
  <c r="C19" i="28"/>
  <c r="D18" i="28" l="1"/>
  <c r="C18" i="28"/>
  <c r="D17" i="28" l="1"/>
  <c r="C17" i="28"/>
  <c r="D16" i="28" l="1"/>
  <c r="C16" i="28"/>
  <c r="D15" i="28" l="1"/>
  <c r="C15" i="28"/>
  <c r="D14" i="28" l="1"/>
  <c r="C14" i="28"/>
  <c r="D13" i="28" l="1"/>
  <c r="C13" i="28"/>
  <c r="D12" i="28"/>
  <c r="C12" i="28"/>
  <c r="D11" i="28" l="1"/>
  <c r="C11" i="28"/>
  <c r="D10" i="28"/>
  <c r="C10" i="28"/>
  <c r="D9" i="28"/>
  <c r="C9" i="28"/>
  <c r="D8" i="28" l="1"/>
  <c r="C8" i="28"/>
  <c r="D7" i="28"/>
  <c r="C7" i="28"/>
  <c r="D6" i="28"/>
  <c r="C6" i="28"/>
  <c r="D5" i="28" l="1"/>
  <c r="C5" i="28"/>
  <c r="A5" i="28"/>
  <c r="D4" i="28"/>
  <c r="C4" i="28"/>
  <c r="A6" i="28" l="1"/>
  <c r="A7" i="28" l="1"/>
  <c r="A8" i="28" l="1"/>
  <c r="A9" i="28" l="1"/>
  <c r="A10" i="28" l="1"/>
  <c r="A11" i="28" l="1"/>
  <c r="A12" i="28" l="1"/>
  <c r="A13" i="28" l="1"/>
  <c r="A14" i="28" l="1"/>
  <c r="A15" i="28" l="1"/>
  <c r="A16" i="28" l="1"/>
  <c r="A17" i="28" l="1"/>
  <c r="A18" i="28" l="1"/>
  <c r="A19" i="28" l="1"/>
  <c r="A20" i="28" l="1"/>
  <c r="A21" i="28" l="1"/>
  <c r="A22" i="28" l="1"/>
  <c r="A23" i="28" l="1"/>
  <c r="A24" i="28" l="1"/>
  <c r="A25" i="28" l="1"/>
  <c r="A26" i="28" l="1"/>
  <c r="A27" i="28" l="1"/>
  <c r="A28" i="28" l="1"/>
  <c r="A29" i="28" l="1"/>
  <c r="A30" i="28" l="1"/>
  <c r="A31" i="28" l="1"/>
  <c r="A32" i="28" l="1"/>
  <c r="A33" i="28" l="1"/>
  <c r="A34" i="28" l="1"/>
  <c r="A35" i="28" l="1"/>
  <c r="A36" i="28" l="1"/>
  <c r="A37" i="28" l="1"/>
  <c r="A38" i="28" l="1"/>
  <c r="A39" i="28" l="1"/>
  <c r="A40" i="28" l="1"/>
  <c r="A41" i="28" l="1"/>
  <c r="A42" i="28" l="1"/>
  <c r="A43" i="28" l="1"/>
  <c r="A44" i="28" l="1"/>
  <c r="A45" i="28" l="1"/>
  <c r="A46" i="28" l="1"/>
  <c r="A47" i="28" l="1"/>
  <c r="A48" i="28" l="1"/>
  <c r="A49" i="28" l="1"/>
  <c r="A50" i="28" l="1"/>
  <c r="A51" i="28" l="1"/>
  <c r="A52" i="28" l="1"/>
  <c r="A53" i="28" l="1"/>
  <c r="A54" i="28" l="1"/>
  <c r="A55" i="28" l="1"/>
  <c r="A56" i="28" l="1"/>
  <c r="A57" i="28" l="1"/>
  <c r="A58" i="28" l="1"/>
  <c r="A59" i="28" l="1"/>
  <c r="A60" i="28" l="1"/>
  <c r="A61" i="28" l="1"/>
  <c r="A62" i="28" l="1"/>
  <c r="A63" i="28" l="1"/>
  <c r="A64" i="28" l="1"/>
  <c r="A65" i="28" l="1"/>
  <c r="A66" i="28" l="1"/>
  <c r="A67" i="28" l="1"/>
  <c r="A68" i="28" l="1"/>
  <c r="A69" i="28" l="1"/>
  <c r="A70" i="28" l="1"/>
  <c r="A71" i="28" l="1"/>
  <c r="A72" i="28" l="1"/>
  <c r="A73" i="28" l="1"/>
  <c r="A74" i="28" l="1"/>
  <c r="A75" i="28" l="1"/>
  <c r="A76" i="28" l="1"/>
  <c r="A77" i="28" l="1"/>
  <c r="A78" i="28" l="1"/>
  <c r="A79" i="28" l="1"/>
  <c r="A80" i="28" l="1"/>
  <c r="A81" i="28" l="1"/>
  <c r="A82" i="28" l="1"/>
  <c r="A83" i="28" l="1"/>
  <c r="A84" i="28" l="1"/>
  <c r="A85" i="28" l="1"/>
  <c r="A86" i="28" l="1"/>
  <c r="A87" i="28" l="1"/>
  <c r="A88" i="28" l="1"/>
  <c r="A89" i="28" l="1"/>
  <c r="A90" i="28" l="1"/>
  <c r="A91" i="28" l="1"/>
  <c r="A92" i="28" l="1"/>
  <c r="A93" i="28" l="1"/>
  <c r="A94" i="28" l="1"/>
  <c r="A95" i="28" l="1"/>
  <c r="A96" i="28" l="1"/>
  <c r="A97" i="28" l="1"/>
  <c r="A98" i="28" l="1"/>
  <c r="A99" i="28" l="1"/>
  <c r="A100" i="28" l="1"/>
  <c r="A101" i="28" l="1"/>
  <c r="A102" i="28" l="1"/>
  <c r="A103" i="28" l="1"/>
  <c r="A104" i="28" l="1"/>
  <c r="A105" i="28" l="1"/>
  <c r="A106" i="28" l="1"/>
  <c r="A107" i="28" l="1"/>
  <c r="A108" i="28" l="1"/>
  <c r="A109" i="28" l="1"/>
  <c r="A110" i="28" l="1"/>
  <c r="A111" i="28" l="1"/>
  <c r="A112" i="28" l="1"/>
  <c r="A113" i="28" l="1"/>
  <c r="A114" i="28" l="1"/>
  <c r="A115" i="28" l="1"/>
  <c r="A116" i="28" l="1"/>
  <c r="A117" i="28" l="1"/>
  <c r="A118" i="28" l="1"/>
  <c r="A119" i="28" l="1"/>
  <c r="A120" i="28" l="1"/>
  <c r="A121" i="28" l="1"/>
  <c r="A122" i="28" l="1"/>
  <c r="A123" i="28" l="1"/>
  <c r="A124" i="28" l="1"/>
  <c r="A125" i="28" l="1"/>
  <c r="A126" i="28" l="1"/>
  <c r="A127" i="28" l="1"/>
  <c r="A128" i="28" l="1"/>
  <c r="A129" i="28" l="1"/>
  <c r="A130" i="28" l="1"/>
  <c r="A131" i="28" l="1"/>
  <c r="A132" i="28" l="1"/>
  <c r="A133" i="28" l="1"/>
  <c r="A134" i="28" l="1"/>
  <c r="A135" i="28" l="1"/>
  <c r="A136" i="28" l="1"/>
  <c r="A137" i="28" l="1"/>
  <c r="A138" i="28" l="1"/>
  <c r="A139" i="28" l="1"/>
  <c r="A140" i="28" l="1"/>
  <c r="A141" i="28" l="1"/>
  <c r="A142" i="28" l="1"/>
  <c r="A143" i="28" l="1"/>
  <c r="A144" i="28" l="1"/>
  <c r="A145" i="28" l="1"/>
  <c r="A146" i="28" l="1"/>
  <c r="A147" i="28" l="1"/>
  <c r="A148" i="28" l="1"/>
  <c r="A149" i="28" l="1"/>
  <c r="A150" i="28" l="1"/>
  <c r="A151" i="28" l="1"/>
  <c r="A152" i="28" l="1"/>
  <c r="A153" i="28" l="1"/>
  <c r="A154" i="28" l="1"/>
  <c r="A155" i="28" l="1"/>
  <c r="A156" i="28" l="1"/>
  <c r="A157" i="28" l="1"/>
  <c r="A158" i="28" l="1"/>
  <c r="A159" i="28" l="1"/>
  <c r="A160" i="28" l="1"/>
  <c r="A161" i="28" l="1"/>
  <c r="A162" i="28" l="1"/>
  <c r="A163" i="28" l="1"/>
  <c r="A164" i="28" l="1"/>
  <c r="A165" i="28" l="1"/>
  <c r="A166" i="28" l="1"/>
  <c r="A167" i="28" l="1"/>
  <c r="A168" i="28" l="1"/>
  <c r="A169" i="28" l="1"/>
  <c r="A170" i="28" l="1"/>
  <c r="A171" i="28" l="1"/>
  <c r="A172" i="28" l="1"/>
  <c r="A173" i="28" l="1"/>
  <c r="A174" i="28" l="1"/>
  <c r="A175" i="28" l="1"/>
  <c r="A176" i="28" l="1"/>
  <c r="A177" i="28" l="1"/>
  <c r="A178" i="28" l="1"/>
  <c r="A179" i="28" l="1"/>
  <c r="A180" i="28" l="1"/>
  <c r="A181" i="28" l="1"/>
  <c r="A182" i="28" l="1"/>
  <c r="A183" i="28" l="1"/>
  <c r="A184" i="28" l="1"/>
  <c r="A185" i="28" l="1"/>
  <c r="A186" i="28" l="1"/>
  <c r="A187" i="28" l="1"/>
  <c r="A188" i="28" l="1"/>
  <c r="A189" i="28" l="1"/>
  <c r="A190" i="28" l="1"/>
  <c r="A191" i="28" l="1"/>
  <c r="A192" i="28" l="1"/>
  <c r="A193" i="28" l="1"/>
  <c r="A194" i="28" l="1"/>
  <c r="A195" i="28" l="1"/>
  <c r="A196" i="28" l="1"/>
  <c r="A197" i="28" l="1"/>
  <c r="A198" i="28" l="1"/>
  <c r="A199" i="28" l="1"/>
  <c r="A200" i="28" l="1"/>
  <c r="A201" i="28" l="1"/>
  <c r="A202" i="28" l="1"/>
  <c r="A203" i="28" l="1"/>
  <c r="A204" i="28" l="1"/>
  <c r="A205" i="28" l="1"/>
  <c r="A206" i="28" l="1"/>
  <c r="A207" i="28" l="1"/>
  <c r="A208" i="28" l="1"/>
  <c r="A209" i="28" l="1"/>
  <c r="A210" i="28" l="1"/>
  <c r="A211" i="28" l="1"/>
  <c r="A212" i="28" l="1"/>
  <c r="A213" i="28" l="1"/>
  <c r="A214" i="28" l="1"/>
  <c r="A215" i="28" l="1"/>
  <c r="A216" i="28" l="1"/>
  <c r="A217" i="28" l="1"/>
  <c r="A218" i="28" l="1"/>
  <c r="A219" i="28" l="1"/>
  <c r="A220" i="28" l="1"/>
  <c r="A221" i="28" l="1"/>
  <c r="A222" i="28" l="1"/>
  <c r="A223" i="28" l="1"/>
  <c r="A224" i="28" l="1"/>
  <c r="A225" i="28" l="1"/>
  <c r="A226" i="28" l="1"/>
  <c r="A227" i="28" l="1"/>
  <c r="A228" i="28" l="1"/>
  <c r="A229" i="28" l="1"/>
  <c r="A230" i="28" l="1"/>
  <c r="A231" i="28" l="1"/>
  <c r="A232" i="28" l="1"/>
  <c r="A233" i="28" l="1"/>
  <c r="A234" i="28" l="1"/>
  <c r="A235" i="28" l="1"/>
  <c r="A236" i="28" l="1"/>
  <c r="A237" i="28" l="1"/>
  <c r="A238" i="28" l="1"/>
  <c r="A239" i="28" l="1"/>
  <c r="A240" i="28" l="1"/>
  <c r="A241" i="28" l="1"/>
  <c r="A242" i="28" l="1"/>
  <c r="A243" i="28" l="1"/>
  <c r="A244" i="28" l="1"/>
  <c r="A245" i="28" l="1"/>
  <c r="A246" i="28" l="1"/>
  <c r="A247" i="28" l="1"/>
  <c r="A248" i="28" l="1"/>
  <c r="A249" i="28" l="1"/>
  <c r="A250" i="28" l="1"/>
  <c r="A251" i="28" l="1"/>
  <c r="A252" i="28" l="1"/>
  <c r="A253" i="28" l="1"/>
  <c r="A254" i="28" l="1"/>
  <c r="A255" i="28" l="1"/>
  <c r="A256" i="28" l="1"/>
  <c r="A257" i="28" l="1"/>
  <c r="A258" i="28" l="1"/>
  <c r="A259" i="28" l="1"/>
  <c r="A260" i="28" l="1"/>
  <c r="A261" i="28" l="1"/>
  <c r="A262" i="28" l="1"/>
  <c r="A263" i="28" l="1"/>
  <c r="A264" i="28" l="1"/>
  <c r="A265" i="28" l="1"/>
  <c r="A266" i="28" l="1"/>
  <c r="A267" i="28" l="1"/>
  <c r="A268" i="28" l="1"/>
  <c r="A269" i="28" l="1"/>
  <c r="A270" i="28" l="1"/>
  <c r="A271" i="28" l="1"/>
  <c r="A272" i="28" l="1"/>
  <c r="A273" i="28" l="1"/>
  <c r="A274" i="28" l="1"/>
  <c r="A275" i="28" l="1"/>
  <c r="A276" i="28" l="1"/>
  <c r="A277" i="28" l="1"/>
  <c r="A278" i="28" l="1"/>
  <c r="A279" i="28" l="1"/>
  <c r="A280" i="28" l="1"/>
  <c r="A281" i="28" l="1"/>
  <c r="A282" i="28" l="1"/>
  <c r="A283" i="28" l="1"/>
  <c r="A284" i="28" l="1"/>
  <c r="A285" i="28" l="1"/>
  <c r="A286" i="28" l="1"/>
  <c r="A287" i="28" l="1"/>
  <c r="A288" i="28" l="1"/>
  <c r="A289" i="28" l="1"/>
  <c r="A290" i="28" l="1"/>
  <c r="A291" i="28" l="1"/>
  <c r="A292" i="28" l="1"/>
  <c r="A293" i="28" l="1"/>
  <c r="A294" i="28" l="1"/>
  <c r="A295" i="28" l="1"/>
  <c r="A296" i="28" l="1"/>
  <c r="A297" i="28" l="1"/>
  <c r="A298" i="28" l="1"/>
  <c r="A299" i="28" l="1"/>
  <c r="A300" i="28" l="1"/>
  <c r="A301" i="28" l="1"/>
  <c r="A302" i="28" l="1"/>
  <c r="A303" i="28" l="1"/>
  <c r="A304" i="28" l="1"/>
  <c r="A305" i="28" l="1"/>
  <c r="A306" i="28" l="1"/>
  <c r="A307" i="28" l="1"/>
  <c r="A308" i="28" l="1"/>
  <c r="A309" i="28" l="1"/>
  <c r="A310" i="28" l="1"/>
  <c r="A311" i="28" l="1"/>
  <c r="A312" i="28" l="1"/>
  <c r="A313" i="28" l="1"/>
  <c r="A314" i="28" l="1"/>
  <c r="A315" i="28" l="1"/>
  <c r="A316" i="28" l="1"/>
  <c r="A317" i="28" l="1"/>
  <c r="A318" i="28" l="1"/>
  <c r="A319" i="28" l="1"/>
  <c r="A320" i="28" l="1"/>
  <c r="A321" i="28" l="1"/>
  <c r="A322" i="28" l="1"/>
  <c r="A323" i="28" l="1"/>
  <c r="A324" i="28" l="1"/>
  <c r="A325" i="28" l="1"/>
  <c r="A326" i="28" l="1"/>
  <c r="A327" i="28" l="1"/>
  <c r="A328" i="28" l="1"/>
  <c r="A329" i="28" l="1"/>
  <c r="A330" i="28" l="1"/>
  <c r="A331" i="28" l="1"/>
  <c r="A332" i="28" l="1"/>
  <c r="A333" i="28" l="1"/>
  <c r="A334" i="28" l="1"/>
  <c r="A335" i="28" l="1"/>
  <c r="A336" i="28" l="1"/>
  <c r="A337" i="28" l="1"/>
  <c r="A338" i="28" l="1"/>
  <c r="A339" i="28" l="1"/>
  <c r="A340" i="28" l="1"/>
  <c r="A341" i="28" l="1"/>
  <c r="A342" i="28" l="1"/>
  <c r="A343" i="28" l="1"/>
  <c r="A344" i="28" l="1"/>
  <c r="A345" i="28" l="1"/>
  <c r="A346" i="28" l="1"/>
  <c r="A347" i="28" l="1"/>
  <c r="A348" i="28" l="1"/>
  <c r="A349" i="28" l="1"/>
  <c r="A350" i="28" l="1"/>
  <c r="A351" i="28" l="1"/>
  <c r="A352" i="28" l="1"/>
  <c r="A353" i="28" l="1"/>
  <c r="A354" i="28" l="1"/>
  <c r="A355" i="28" l="1"/>
  <c r="A356" i="28" l="1"/>
  <c r="A357" i="28" l="1"/>
  <c r="A358" i="28" l="1"/>
  <c r="A359" i="28" l="1"/>
  <c r="A360" i="28" l="1"/>
  <c r="A361" i="28" l="1"/>
  <c r="A362" i="28" l="1"/>
  <c r="A363" i="28" l="1"/>
  <c r="A364" i="28" l="1"/>
  <c r="A365" i="28" l="1"/>
  <c r="A366" i="28" l="1"/>
  <c r="A367" i="28" l="1"/>
  <c r="A368" i="28" l="1"/>
  <c r="A369" i="28" l="1"/>
  <c r="A370" i="28" l="1"/>
  <c r="A371" i="28" l="1"/>
  <c r="A372" i="28" l="1"/>
  <c r="A373" i="28" l="1"/>
  <c r="A374" i="28" l="1"/>
  <c r="A375" i="28" l="1"/>
  <c r="A376" i="28" l="1"/>
  <c r="A377" i="28" l="1"/>
  <c r="A378" i="28" l="1"/>
  <c r="A379" i="28" l="1"/>
  <c r="A380" i="28" l="1"/>
  <c r="A381" i="28" l="1"/>
  <c r="A382" i="28" l="1"/>
  <c r="A383" i="28" l="1"/>
  <c r="A384" i="28" l="1"/>
  <c r="A385" i="28" l="1"/>
  <c r="A386" i="28" l="1"/>
  <c r="A387" i="28" l="1"/>
  <c r="A388" i="28" l="1"/>
  <c r="A389" i="28" l="1"/>
  <c r="A390" i="28" l="1"/>
  <c r="A391" i="28" l="1"/>
  <c r="A392" i="28" l="1"/>
  <c r="A393" i="28" l="1"/>
  <c r="A394" i="28" l="1"/>
  <c r="A395" i="28" l="1"/>
  <c r="A396" i="28" l="1"/>
  <c r="A397" i="28" l="1"/>
  <c r="A398" i="28" l="1"/>
  <c r="A399" i="28" l="1"/>
  <c r="A400" i="28" l="1"/>
  <c r="A401" i="28" l="1"/>
  <c r="A402" i="28" l="1"/>
  <c r="A403" i="28" l="1"/>
  <c r="A404" i="28" l="1"/>
  <c r="A405" i="28" l="1"/>
  <c r="A406" i="28" l="1"/>
  <c r="A407" i="28" l="1"/>
  <c r="A408" i="28" l="1"/>
  <c r="A409" i="28" l="1"/>
  <c r="A410" i="28" l="1"/>
  <c r="A411" i="28" l="1"/>
  <c r="A412" i="28" l="1"/>
  <c r="A413" i="28" l="1"/>
  <c r="A414" i="28" l="1"/>
  <c r="A415" i="28" l="1"/>
  <c r="A416" i="28" l="1"/>
  <c r="A417" i="28" l="1"/>
  <c r="A418" i="28" l="1"/>
  <c r="A419" i="28" l="1"/>
  <c r="A420" i="28" l="1"/>
  <c r="A421" i="28" l="1"/>
  <c r="A422" i="28" l="1"/>
  <c r="A423" i="28" l="1"/>
  <c r="A424" i="28" l="1"/>
  <c r="A425" i="28" l="1"/>
  <c r="A426" i="28" l="1"/>
  <c r="A427" i="28" l="1"/>
  <c r="A428" i="28" l="1"/>
  <c r="A429" i="28" l="1"/>
  <c r="A430" i="28" l="1"/>
  <c r="A431" i="28" l="1"/>
  <c r="A432" i="28" l="1"/>
  <c r="A433" i="28" l="1"/>
  <c r="A434" i="28" l="1"/>
  <c r="A435" i="28" l="1"/>
  <c r="A436" i="28" l="1"/>
  <c r="A437" i="28" l="1"/>
  <c r="A438" i="28" l="1"/>
  <c r="G98" i="61"/>
  <c r="A439" i="28" l="1"/>
  <c r="A440" i="28" l="1"/>
  <c r="A441" i="28" l="1"/>
  <c r="A442" i="28" l="1"/>
  <c r="G102" i="61"/>
  <c r="A443" i="28" l="1"/>
  <c r="A444" i="28" l="1"/>
  <c r="A445" i="28" l="1"/>
  <c r="A446" i="28" l="1"/>
  <c r="A447" i="28" l="1"/>
  <c r="A448" i="28" l="1"/>
  <c r="W889" i="28"/>
  <c r="S889" i="28"/>
  <c r="R889" i="28"/>
  <c r="Q889" i="28"/>
  <c r="E889" i="28"/>
  <c r="G889" i="28"/>
  <c r="T889" i="28"/>
  <c r="A449" i="28" l="1"/>
  <c r="O889" i="28"/>
  <c r="A450" i="28" l="1"/>
  <c r="K889" i="28"/>
  <c r="A451" i="28" l="1"/>
  <c r="A452" i="28" l="1"/>
  <c r="A453" i="28" l="1"/>
  <c r="A454" i="28" l="1"/>
  <c r="A455" i="28" l="1"/>
  <c r="A456" i="28" l="1"/>
  <c r="A457" i="28" l="1"/>
  <c r="A458" i="28" l="1"/>
  <c r="A459" i="28" l="1"/>
  <c r="A460" i="28" l="1"/>
  <c r="A461" i="28" l="1"/>
  <c r="A462" i="28" l="1"/>
  <c r="A463" i="28" l="1"/>
  <c r="A464" i="28" l="1"/>
  <c r="A465" i="28" l="1"/>
  <c r="A466" i="28" l="1"/>
  <c r="A467" i="28" l="1"/>
  <c r="A468" i="28" l="1"/>
  <c r="A469" i="28" l="1"/>
  <c r="A470" i="28" l="1"/>
  <c r="A471" i="28" l="1"/>
  <c r="A472" i="28" l="1"/>
  <c r="A473" i="28" l="1"/>
  <c r="A474" i="28" l="1"/>
  <c r="A475" i="28" l="1"/>
  <c r="A476" i="28" l="1"/>
  <c r="A477" i="28" l="1"/>
  <c r="A478" i="28" l="1"/>
  <c r="A479" i="28" l="1"/>
  <c r="A480" i="28" l="1"/>
  <c r="A481" i="28" l="1"/>
  <c r="A482" i="28" l="1"/>
  <c r="A483" i="28" l="1"/>
  <c r="A484" i="28" l="1"/>
  <c r="A485" i="28" l="1"/>
  <c r="A486" i="28" l="1"/>
  <c r="A487" i="28" l="1"/>
  <c r="A488" i="28" l="1"/>
  <c r="A489" i="28" l="1"/>
  <c r="A490" i="28" l="1"/>
  <c r="A491" i="28" l="1"/>
  <c r="A492" i="28" l="1"/>
  <c r="A493" i="28" l="1"/>
  <c r="A494" i="28" l="1"/>
  <c r="A495" i="28" l="1"/>
  <c r="A496" i="28" l="1"/>
  <c r="A497" i="28" l="1"/>
  <c r="A498" i="28" l="1"/>
  <c r="A499" i="28" l="1"/>
  <c r="A500" i="28" l="1"/>
  <c r="A501" i="28" l="1"/>
  <c r="A87" i="2"/>
  <c r="E87" i="2" s="1"/>
  <c r="D3" i="2"/>
  <c r="E3" i="2" s="1"/>
  <c r="F3" i="2" s="1"/>
  <c r="G3" i="2" s="1"/>
  <c r="H3" i="2" s="1"/>
  <c r="I3" i="2" s="1"/>
  <c r="J3" i="2" s="1"/>
  <c r="K3" i="2" s="1"/>
  <c r="L3" i="2" s="1"/>
  <c r="M3" i="2" s="1"/>
  <c r="N3" i="2" s="1"/>
  <c r="O3" i="2" s="1"/>
  <c r="P3" i="2" s="1"/>
  <c r="Q3" i="2" s="1"/>
  <c r="R3" i="2" s="1"/>
  <c r="S3" i="2" s="1"/>
  <c r="A502" i="28" l="1"/>
  <c r="T3" i="2"/>
  <c r="U3" i="2" s="1"/>
  <c r="V3" i="2" s="1"/>
  <c r="W3" i="2" s="1"/>
  <c r="X3" i="2" s="1"/>
  <c r="Y3" i="2" s="1"/>
  <c r="C87" i="2"/>
  <c r="A88" i="2"/>
  <c r="A503" i="28" l="1"/>
  <c r="A89" i="2"/>
  <c r="E88" i="2"/>
  <c r="C88" i="2"/>
  <c r="A504" i="28" l="1"/>
  <c r="E89" i="2"/>
  <c r="A90" i="2"/>
  <c r="C89" i="2"/>
  <c r="A505" i="28" l="1"/>
  <c r="A91" i="2"/>
  <c r="E90" i="2"/>
  <c r="C90" i="2"/>
  <c r="A506" i="28" l="1"/>
  <c r="E91" i="2"/>
  <c r="A92" i="2"/>
  <c r="C91" i="2"/>
  <c r="A507" i="28" l="1"/>
  <c r="A93" i="2"/>
  <c r="E92" i="2"/>
  <c r="C92" i="2"/>
  <c r="A508" i="28" l="1"/>
  <c r="E93" i="2"/>
  <c r="A94" i="2"/>
  <c r="C93" i="2"/>
  <c r="A509" i="28" l="1"/>
  <c r="A95" i="2"/>
  <c r="E94" i="2"/>
  <c r="C94" i="2"/>
  <c r="A510" i="28" l="1"/>
  <c r="E95" i="2"/>
  <c r="A96" i="2"/>
  <c r="C95" i="2"/>
  <c r="A511" i="28" l="1"/>
  <c r="A97" i="2"/>
  <c r="E96" i="2"/>
  <c r="C96" i="2"/>
  <c r="A512" i="28" l="1"/>
  <c r="E97" i="2"/>
  <c r="A98" i="2"/>
  <c r="C97" i="2"/>
  <c r="A513" i="28" l="1"/>
  <c r="A99" i="2"/>
  <c r="E98" i="2"/>
  <c r="C98" i="2"/>
  <c r="A514" i="28" l="1"/>
  <c r="E99" i="2"/>
  <c r="A100" i="2"/>
  <c r="C99" i="2"/>
  <c r="A515" i="28" l="1"/>
  <c r="A101" i="2"/>
  <c r="E100" i="2"/>
  <c r="C100" i="2"/>
  <c r="A516" i="28" l="1"/>
  <c r="E101" i="2"/>
  <c r="A102" i="2"/>
  <c r="C101" i="2"/>
  <c r="A517" i="28" l="1"/>
  <c r="A103" i="2"/>
  <c r="E102" i="2"/>
  <c r="C102" i="2"/>
  <c r="A518" i="28" l="1"/>
  <c r="E103" i="2"/>
  <c r="A104" i="2"/>
  <c r="C103" i="2"/>
  <c r="A519" i="28" l="1"/>
  <c r="A105" i="2"/>
  <c r="E104" i="2"/>
  <c r="C104" i="2"/>
  <c r="A520" i="28" l="1"/>
  <c r="E105" i="2"/>
  <c r="A106" i="2"/>
  <c r="C105" i="2"/>
  <c r="A521" i="28" l="1"/>
  <c r="A107" i="2"/>
  <c r="E106" i="2"/>
  <c r="C106" i="2"/>
  <c r="A522" i="28" l="1"/>
  <c r="E107" i="2"/>
  <c r="A108" i="2"/>
  <c r="C107" i="2"/>
  <c r="A523" i="28" l="1"/>
  <c r="A109" i="2"/>
  <c r="E108" i="2"/>
  <c r="C108" i="2"/>
  <c r="A524" i="28" l="1"/>
  <c r="E109" i="2"/>
  <c r="A110" i="2"/>
  <c r="C109" i="2"/>
  <c r="A525" i="28" l="1"/>
  <c r="A111" i="2"/>
  <c r="E110" i="2"/>
  <c r="C110" i="2"/>
  <c r="A526" i="28" l="1"/>
  <c r="E111" i="2"/>
  <c r="A112" i="2"/>
  <c r="C111" i="2"/>
  <c r="A527" i="28" l="1"/>
  <c r="A113" i="2"/>
  <c r="E112" i="2"/>
  <c r="C112" i="2"/>
  <c r="A528" i="28" l="1"/>
  <c r="E113" i="2"/>
  <c r="A114" i="2"/>
  <c r="C113" i="2"/>
  <c r="A529" i="28" l="1"/>
  <c r="A115" i="2"/>
  <c r="E114" i="2"/>
  <c r="C114" i="2"/>
  <c r="A530" i="28" l="1"/>
  <c r="E115" i="2"/>
  <c r="A116" i="2"/>
  <c r="C115" i="2"/>
  <c r="A531" i="28" l="1"/>
  <c r="A117" i="2"/>
  <c r="E116" i="2"/>
  <c r="C116" i="2"/>
  <c r="A532" i="28" l="1"/>
  <c r="E117" i="2"/>
  <c r="A118" i="2"/>
  <c r="C117" i="2"/>
  <c r="A533" i="28" l="1"/>
  <c r="A119" i="2"/>
  <c r="E118" i="2"/>
  <c r="C118" i="2"/>
  <c r="A534" i="28" l="1"/>
  <c r="E119" i="2"/>
  <c r="C119" i="2"/>
  <c r="A535" i="28" l="1"/>
  <c r="A536" i="28" l="1"/>
  <c r="A537" i="28" l="1"/>
  <c r="A538" i="28" l="1"/>
  <c r="A539" i="28" l="1"/>
  <c r="A540" i="28" l="1"/>
  <c r="A541" i="28" l="1"/>
  <c r="A542" i="28" l="1"/>
  <c r="A543" i="28" l="1"/>
  <c r="A544" i="28" l="1"/>
  <c r="A545" i="28" l="1"/>
  <c r="A546" i="28" l="1"/>
  <c r="A547" i="28" l="1"/>
  <c r="D3" i="31"/>
  <c r="E3" i="31" s="1"/>
  <c r="F3" i="31" s="1"/>
  <c r="G3" i="31" s="1"/>
  <c r="H3" i="31" s="1"/>
  <c r="I3" i="31" s="1"/>
  <c r="J3" i="31" s="1"/>
  <c r="K3" i="31" s="1"/>
  <c r="L3" i="31" s="1"/>
  <c r="M3" i="31" s="1"/>
  <c r="N3" i="31" s="1"/>
  <c r="O3" i="31" s="1"/>
  <c r="P3" i="31" s="1"/>
  <c r="Q3" i="31" s="1"/>
  <c r="R3" i="31" s="1"/>
  <c r="S3" i="31" s="1"/>
  <c r="T3" i="31" s="1"/>
  <c r="U3" i="31" s="1"/>
  <c r="V3" i="31" s="1"/>
  <c r="W3" i="31" s="1"/>
  <c r="X3" i="31" s="1"/>
  <c r="Y3" i="31" s="1"/>
  <c r="Z3" i="31" s="1"/>
  <c r="AA3" i="31" s="1"/>
  <c r="AB3" i="31" s="1"/>
  <c r="AC3" i="31" s="1"/>
  <c r="AD3" i="31" s="1"/>
  <c r="AE3" i="31" s="1"/>
  <c r="AF3" i="31" s="1"/>
  <c r="AG3" i="31" s="1"/>
  <c r="AH3" i="31" s="1"/>
  <c r="D3" i="30"/>
  <c r="E3" i="30" s="1"/>
  <c r="F3" i="30" s="1"/>
  <c r="G3" i="30" s="1"/>
  <c r="H3" i="30" s="1"/>
  <c r="I3" i="30" s="1"/>
  <c r="J3" i="30" s="1"/>
  <c r="A548" i="28" l="1"/>
  <c r="A549" i="28" l="1"/>
  <c r="A550" i="28" l="1"/>
  <c r="A551" i="28" l="1"/>
  <c r="A552" i="28" l="1"/>
  <c r="A553" i="28" l="1"/>
  <c r="A554" i="28" l="1"/>
  <c r="A555" i="28" l="1"/>
  <c r="A556" i="28" l="1"/>
  <c r="A557" i="28" l="1"/>
  <c r="A558" i="28" l="1"/>
  <c r="A559" i="28" l="1"/>
  <c r="A560" i="28" l="1"/>
  <c r="A561" i="28" l="1"/>
  <c r="A562" i="28" l="1"/>
  <c r="A563" i="28" l="1"/>
  <c r="A564" i="28" l="1"/>
  <c r="A565" i="28" l="1"/>
  <c r="A566" i="28" l="1"/>
  <c r="A567" i="28" l="1"/>
  <c r="O462" i="4"/>
  <c r="P462" i="4"/>
  <c r="Q462" i="4"/>
  <c r="A568" i="28" l="1"/>
  <c r="A569" i="28" l="1"/>
  <c r="A570" i="28" l="1"/>
  <c r="A571" i="28" l="1"/>
  <c r="AJ462" i="4"/>
  <c r="A572" i="28" l="1"/>
  <c r="A573" i="28" l="1"/>
  <c r="A574" i="28" l="1"/>
  <c r="A575" i="28" l="1"/>
  <c r="A576" i="28" l="1"/>
  <c r="A577" i="28" l="1"/>
  <c r="AI462" i="4"/>
  <c r="A578" i="28" l="1"/>
  <c r="A579" i="28" l="1"/>
  <c r="L889" i="28"/>
  <c r="A580" i="28" l="1"/>
  <c r="N889" i="28"/>
  <c r="A581" i="28" l="1"/>
  <c r="U889" i="28"/>
  <c r="V889" i="28"/>
  <c r="A582" i="28" l="1"/>
  <c r="X889" i="28"/>
  <c r="A583" i="28" l="1"/>
  <c r="AE462" i="4"/>
  <c r="A584" i="28" l="1"/>
  <c r="A585" i="28" l="1"/>
  <c r="A586" i="28" l="1"/>
  <c r="A587" i="28" l="1"/>
  <c r="A588" i="28" l="1"/>
  <c r="A589" i="28" l="1"/>
  <c r="A590" i="28" l="1"/>
  <c r="A6" i="3" l="1"/>
  <c r="A591" i="28"/>
  <c r="A7" i="3" l="1"/>
  <c r="A8" i="3" s="1"/>
  <c r="A9" i="3"/>
  <c r="B9" i="3" s="1"/>
  <c r="B8" i="3"/>
  <c r="A5" i="3"/>
  <c r="B6" i="3"/>
  <c r="A592" i="28"/>
  <c r="B7" i="3" l="1"/>
  <c r="BC4" i="4"/>
  <c r="AC4" i="28"/>
  <c r="B5" i="3"/>
  <c r="V2" i="29"/>
  <c r="A593" i="28"/>
  <c r="B2" i="29" l="1"/>
  <c r="V3" i="29"/>
  <c r="AC5" i="28"/>
  <c r="B4" i="28"/>
  <c r="B4" i="4"/>
  <c r="BB4" i="4"/>
  <c r="BC5" i="4"/>
  <c r="A594" i="28"/>
  <c r="M2" i="29" l="1"/>
  <c r="K2" i="29"/>
  <c r="E2" i="29"/>
  <c r="E4" i="28"/>
  <c r="W4" i="28"/>
  <c r="T4" i="28"/>
  <c r="E4" i="4"/>
  <c r="G4" i="4"/>
  <c r="J4" i="4"/>
  <c r="N4" i="4"/>
  <c r="AR4" i="4"/>
  <c r="AQ4" i="4"/>
  <c r="AT4" i="4"/>
  <c r="M4" i="4"/>
  <c r="AO4" i="4"/>
  <c r="AF4" i="4"/>
  <c r="L4" i="4"/>
  <c r="AP4" i="4"/>
  <c r="I4" i="4"/>
  <c r="AS4" i="4"/>
  <c r="H4" i="4"/>
  <c r="B5" i="4"/>
  <c r="BC6" i="4"/>
  <c r="BE4" i="4"/>
  <c r="BD4" i="4"/>
  <c r="B5" i="28"/>
  <c r="AC6" i="28"/>
  <c r="W2" i="29"/>
  <c r="G2" i="29" s="1"/>
  <c r="X2" i="29"/>
  <c r="R4" i="28"/>
  <c r="S4" i="28"/>
  <c r="Q4" i="28"/>
  <c r="AD4" i="28"/>
  <c r="AE4" i="28"/>
  <c r="B3" i="29"/>
  <c r="V4" i="29"/>
  <c r="A595" i="28"/>
  <c r="O4" i="28" l="1"/>
  <c r="E3" i="29"/>
  <c r="M3" i="29"/>
  <c r="K3" i="29"/>
  <c r="E5" i="28"/>
  <c r="W5" i="28"/>
  <c r="T5" i="28"/>
  <c r="H2" i="29"/>
  <c r="J2" i="29" s="1"/>
  <c r="V5" i="29"/>
  <c r="B4" i="29"/>
  <c r="B6" i="28"/>
  <c r="AC7" i="28"/>
  <c r="AD5" i="28"/>
  <c r="AE5" i="28"/>
  <c r="S4" i="4"/>
  <c r="AA4" i="4" s="1"/>
  <c r="U4" i="4"/>
  <c r="X4" i="4"/>
  <c r="AC4" i="4" s="1"/>
  <c r="T4" i="4"/>
  <c r="W4" i="4"/>
  <c r="AB4" i="4" s="1"/>
  <c r="R4" i="4"/>
  <c r="Z4" i="4" s="1"/>
  <c r="Y4" i="4"/>
  <c r="AD4" i="4" s="1"/>
  <c r="V4" i="4"/>
  <c r="AW4" i="4" s="1"/>
  <c r="BE5" i="4"/>
  <c r="BD5" i="4"/>
  <c r="W3" i="29"/>
  <c r="G3" i="29" s="1"/>
  <c r="X3" i="29"/>
  <c r="J4" i="28"/>
  <c r="Y4" i="28" s="1"/>
  <c r="I4" i="28"/>
  <c r="K4" i="28" s="1"/>
  <c r="R5" i="28"/>
  <c r="Q5" i="28"/>
  <c r="S5" i="28"/>
  <c r="BC7" i="4"/>
  <c r="B6" i="4"/>
  <c r="AT5" i="4"/>
  <c r="AQ5" i="4"/>
  <c r="AR5" i="4"/>
  <c r="E5" i="4"/>
  <c r="AP5" i="4"/>
  <c r="L5" i="4"/>
  <c r="AO5" i="4"/>
  <c r="AS5" i="4"/>
  <c r="J5" i="4"/>
  <c r="G5" i="4"/>
  <c r="N5" i="4"/>
  <c r="M5" i="4"/>
  <c r="H5" i="4"/>
  <c r="AF5" i="4"/>
  <c r="I5" i="4"/>
  <c r="AM4" i="4"/>
  <c r="A596" i="28"/>
  <c r="N4" i="28" l="1"/>
  <c r="P4" i="28" s="1"/>
  <c r="K4" i="29"/>
  <c r="E4" i="29"/>
  <c r="M4" i="29"/>
  <c r="E6" i="28"/>
  <c r="W6" i="28"/>
  <c r="T6" i="28"/>
  <c r="O5" i="28"/>
  <c r="AG4" i="4"/>
  <c r="N2" i="29"/>
  <c r="O2" i="29" s="1"/>
  <c r="L2" i="29"/>
  <c r="AX4" i="4"/>
  <c r="BC8" i="4"/>
  <c r="B7" i="4"/>
  <c r="V5" i="4"/>
  <c r="AW5" i="4" s="1"/>
  <c r="S5" i="4"/>
  <c r="AA5" i="4" s="1"/>
  <c r="W5" i="4"/>
  <c r="AB5" i="4" s="1"/>
  <c r="T5" i="4"/>
  <c r="R5" i="4"/>
  <c r="Z5" i="4" s="1"/>
  <c r="X5" i="4"/>
  <c r="AC5" i="4" s="1"/>
  <c r="Y5" i="4"/>
  <c r="AD5" i="4" s="1"/>
  <c r="U5" i="4"/>
  <c r="AC8" i="28"/>
  <c r="B7" i="28"/>
  <c r="Q6" i="28"/>
  <c r="S6" i="28"/>
  <c r="R6" i="28"/>
  <c r="X4" i="29"/>
  <c r="W4" i="29"/>
  <c r="G4" i="29" s="1"/>
  <c r="AM5" i="4"/>
  <c r="BD6" i="4"/>
  <c r="BE6" i="4"/>
  <c r="G6" i="4"/>
  <c r="AT6" i="4"/>
  <c r="L6" i="4"/>
  <c r="I6" i="4"/>
  <c r="AO6" i="4"/>
  <c r="H6" i="4"/>
  <c r="N6" i="4"/>
  <c r="AP6" i="4"/>
  <c r="E6" i="4"/>
  <c r="AR6" i="4"/>
  <c r="J6" i="4"/>
  <c r="M6" i="4"/>
  <c r="AS6" i="4"/>
  <c r="AQ6" i="4"/>
  <c r="AF6" i="4"/>
  <c r="U4" i="28"/>
  <c r="V4" i="28" s="1"/>
  <c r="X4" i="28" s="1"/>
  <c r="J5" i="28"/>
  <c r="Y5" i="28" s="1"/>
  <c r="I5" i="28"/>
  <c r="K5" i="28" s="1"/>
  <c r="AD6" i="28"/>
  <c r="AE6" i="28"/>
  <c r="Z4" i="28"/>
  <c r="H3" i="29"/>
  <c r="J3" i="29" s="1"/>
  <c r="V6" i="29"/>
  <c r="B5" i="29"/>
  <c r="A597" i="28"/>
  <c r="N5" i="28" l="1"/>
  <c r="P5" i="28" s="1"/>
  <c r="F6" i="4"/>
  <c r="M5" i="29"/>
  <c r="K5" i="29"/>
  <c r="E5" i="29"/>
  <c r="E7" i="28"/>
  <c r="W7" i="28"/>
  <c r="T7" i="28"/>
  <c r="Z5" i="28"/>
  <c r="O6" i="28"/>
  <c r="AH4" i="4"/>
  <c r="AL4" i="4"/>
  <c r="H4" i="29"/>
  <c r="J4" i="29" s="1"/>
  <c r="N3" i="29"/>
  <c r="O3" i="29" s="1"/>
  <c r="L3" i="29"/>
  <c r="U5" i="28"/>
  <c r="V5" i="28" s="1"/>
  <c r="X5" i="28" s="1"/>
  <c r="AM6" i="4"/>
  <c r="AE7" i="28"/>
  <c r="AD7" i="28"/>
  <c r="AG5" i="4"/>
  <c r="N7" i="4"/>
  <c r="AF7" i="4"/>
  <c r="AQ7" i="4"/>
  <c r="I7" i="4"/>
  <c r="AO7" i="4"/>
  <c r="AP7" i="4"/>
  <c r="G7" i="4"/>
  <c r="AT7" i="4"/>
  <c r="M7" i="4"/>
  <c r="L7" i="4"/>
  <c r="J7" i="4"/>
  <c r="E7" i="4"/>
  <c r="AR7" i="4"/>
  <c r="H7" i="4"/>
  <c r="AS7" i="4"/>
  <c r="X5" i="29"/>
  <c r="W5" i="29"/>
  <c r="G5" i="29" s="1"/>
  <c r="V7" i="29"/>
  <c r="B6" i="29"/>
  <c r="J6" i="28"/>
  <c r="Y6" i="28" s="1"/>
  <c r="I6" i="28"/>
  <c r="K6" i="28" s="1"/>
  <c r="T6" i="4"/>
  <c r="V6" i="4"/>
  <c r="AW6" i="4" s="1"/>
  <c r="S6" i="4"/>
  <c r="AA6" i="4" s="1"/>
  <c r="U6" i="4"/>
  <c r="Y6" i="4"/>
  <c r="AD6" i="4" s="1"/>
  <c r="X6" i="4"/>
  <c r="AC6" i="4" s="1"/>
  <c r="R6" i="4"/>
  <c r="W6" i="4"/>
  <c r="AB6" i="4" s="1"/>
  <c r="R7" i="28"/>
  <c r="Q7" i="28"/>
  <c r="S7" i="28"/>
  <c r="B8" i="28"/>
  <c r="AC9" i="28"/>
  <c r="AX5" i="4"/>
  <c r="BE7" i="4"/>
  <c r="BD7" i="4"/>
  <c r="BC9" i="4"/>
  <c r="B8" i="4"/>
  <c r="A598" i="28"/>
  <c r="N6" i="28" l="1"/>
  <c r="P6" i="28" s="1"/>
  <c r="Z6" i="4"/>
  <c r="M6" i="29"/>
  <c r="K6" i="29"/>
  <c r="E6" i="29"/>
  <c r="E8" i="28"/>
  <c r="W8" i="28"/>
  <c r="T8" i="28"/>
  <c r="Z6" i="28"/>
  <c r="AU4" i="4"/>
  <c r="AV4" i="4" s="1"/>
  <c r="O7" i="28"/>
  <c r="AN4" i="4"/>
  <c r="AG6" i="4"/>
  <c r="AX6" i="4"/>
  <c r="AH5" i="4"/>
  <c r="AM7" i="4"/>
  <c r="I7" i="28"/>
  <c r="K7" i="28" s="1"/>
  <c r="J7" i="28"/>
  <c r="Y7" i="28" s="1"/>
  <c r="E8" i="4"/>
  <c r="AF8" i="4"/>
  <c r="H8" i="4"/>
  <c r="AP8" i="4"/>
  <c r="M8" i="4"/>
  <c r="AO8" i="4"/>
  <c r="I8" i="4"/>
  <c r="L8" i="4"/>
  <c r="N8" i="4"/>
  <c r="AS8" i="4"/>
  <c r="J8" i="4"/>
  <c r="AT8" i="4"/>
  <c r="G8" i="4"/>
  <c r="AQ8" i="4"/>
  <c r="AR8" i="4"/>
  <c r="B9" i="4"/>
  <c r="BC10" i="4"/>
  <c r="R7" i="4"/>
  <c r="Z7" i="4" s="1"/>
  <c r="S7" i="4"/>
  <c r="AA7" i="4" s="1"/>
  <c r="X7" i="4"/>
  <c r="AC7" i="4" s="1"/>
  <c r="W7" i="4"/>
  <c r="AB7" i="4" s="1"/>
  <c r="U7" i="4"/>
  <c r="Y7" i="4"/>
  <c r="AD7" i="4" s="1"/>
  <c r="T7" i="4"/>
  <c r="V7" i="4"/>
  <c r="AW7" i="4" s="1"/>
  <c r="S8" i="28"/>
  <c r="Q8" i="28"/>
  <c r="R8" i="28"/>
  <c r="BD8" i="4"/>
  <c r="BE8" i="4"/>
  <c r="B9" i="28"/>
  <c r="AC10" i="28"/>
  <c r="AD8" i="28"/>
  <c r="AE8" i="28"/>
  <c r="W6" i="29"/>
  <c r="G6" i="29" s="1"/>
  <c r="X6" i="29"/>
  <c r="V8" i="29"/>
  <c r="B7" i="29"/>
  <c r="AL5" i="4"/>
  <c r="N4" i="29"/>
  <c r="O4" i="29" s="1"/>
  <c r="L4" i="29"/>
  <c r="H5" i="29"/>
  <c r="J5" i="29" s="1"/>
  <c r="A599" i="28"/>
  <c r="U6" i="28" l="1"/>
  <c r="V6" i="28" s="1"/>
  <c r="X6" i="28" s="1"/>
  <c r="N7" i="28"/>
  <c r="P7" i="28" s="1"/>
  <c r="E7" i="29"/>
  <c r="M7" i="29"/>
  <c r="K7" i="29"/>
  <c r="E9" i="28"/>
  <c r="W9" i="28"/>
  <c r="T9" i="28"/>
  <c r="Z7" i="28"/>
  <c r="O8" i="28"/>
  <c r="AL6" i="4"/>
  <c r="L5" i="29"/>
  <c r="N5" i="29"/>
  <c r="O5" i="29" s="1"/>
  <c r="V9" i="29"/>
  <c r="B8" i="29"/>
  <c r="AH6" i="4"/>
  <c r="B10" i="28"/>
  <c r="AC11" i="28"/>
  <c r="AD9" i="28"/>
  <c r="AE9" i="28"/>
  <c r="AG7" i="4"/>
  <c r="AH7" i="4" s="1"/>
  <c r="AX7" i="4"/>
  <c r="B10" i="4"/>
  <c r="BC11" i="4"/>
  <c r="BD9" i="4"/>
  <c r="BE9" i="4"/>
  <c r="AM8" i="4"/>
  <c r="H6" i="29"/>
  <c r="J6" i="29" s="1"/>
  <c r="AN5" i="4"/>
  <c r="AU5" i="4"/>
  <c r="AV5" i="4" s="1"/>
  <c r="W7" i="29"/>
  <c r="G7" i="29" s="1"/>
  <c r="X7" i="29"/>
  <c r="I8" i="28"/>
  <c r="K8" i="28" s="1"/>
  <c r="J8" i="28"/>
  <c r="Y8" i="28" s="1"/>
  <c r="Q9" i="28"/>
  <c r="S9" i="28"/>
  <c r="R9" i="28"/>
  <c r="V8" i="4"/>
  <c r="AW8" i="4" s="1"/>
  <c r="T8" i="4"/>
  <c r="S8" i="4"/>
  <c r="AA8" i="4" s="1"/>
  <c r="W8" i="4"/>
  <c r="AB8" i="4" s="1"/>
  <c r="X8" i="4"/>
  <c r="AC8" i="4" s="1"/>
  <c r="U8" i="4"/>
  <c r="R8" i="4"/>
  <c r="Z8" i="4" s="1"/>
  <c r="Y8" i="4"/>
  <c r="AD8" i="4" s="1"/>
  <c r="AQ9" i="4"/>
  <c r="H9" i="4"/>
  <c r="G9" i="4"/>
  <c r="E9" i="4"/>
  <c r="AF9" i="4"/>
  <c r="J9" i="4"/>
  <c r="AT9" i="4"/>
  <c r="M9" i="4"/>
  <c r="AR9" i="4"/>
  <c r="AS9" i="4"/>
  <c r="L9" i="4"/>
  <c r="N9" i="4"/>
  <c r="I9" i="4"/>
  <c r="AO9" i="4"/>
  <c r="AP9" i="4"/>
  <c r="U7" i="28"/>
  <c r="V7" i="28" s="1"/>
  <c r="X7" i="28" s="1"/>
  <c r="A600" i="28"/>
  <c r="N8" i="28" l="1"/>
  <c r="U8" i="28" s="1"/>
  <c r="V8" i="28" s="1"/>
  <c r="X8" i="28" s="1"/>
  <c r="AL7" i="4"/>
  <c r="K8" i="29"/>
  <c r="E8" i="29"/>
  <c r="M8" i="29"/>
  <c r="Z8" i="28"/>
  <c r="E10" i="28"/>
  <c r="W10" i="28"/>
  <c r="T10" i="28"/>
  <c r="AU6" i="4"/>
  <c r="AV6" i="4" s="1"/>
  <c r="AN6" i="4"/>
  <c r="AX8" i="4"/>
  <c r="AG8" i="4"/>
  <c r="H7" i="29"/>
  <c r="J7" i="29" s="1"/>
  <c r="V9" i="4"/>
  <c r="AW9" i="4" s="1"/>
  <c r="X9" i="4"/>
  <c r="AC9" i="4" s="1"/>
  <c r="R9" i="4"/>
  <c r="Z9" i="4" s="1"/>
  <c r="U9" i="4"/>
  <c r="T9" i="4"/>
  <c r="S9" i="4"/>
  <c r="AA9" i="4" s="1"/>
  <c r="Y9" i="4"/>
  <c r="AD9" i="4" s="1"/>
  <c r="W9" i="4"/>
  <c r="AB9" i="4" s="1"/>
  <c r="BE10" i="4"/>
  <c r="BD10" i="4"/>
  <c r="B11" i="28"/>
  <c r="AC12" i="28"/>
  <c r="Q10" i="28"/>
  <c r="S10" i="28"/>
  <c r="R10" i="28"/>
  <c r="W8" i="29"/>
  <c r="G8" i="29" s="1"/>
  <c r="X8" i="29"/>
  <c r="AM9" i="4"/>
  <c r="O9" i="28"/>
  <c r="N6" i="29"/>
  <c r="O6" i="29" s="1"/>
  <c r="L6" i="29"/>
  <c r="B11" i="4"/>
  <c r="BC12" i="4"/>
  <c r="AP10" i="4"/>
  <c r="N10" i="4"/>
  <c r="AF10" i="4"/>
  <c r="AS10" i="4"/>
  <c r="G10" i="4"/>
  <c r="AT10" i="4"/>
  <c r="AO10" i="4"/>
  <c r="E10" i="4"/>
  <c r="F10" i="4" s="1"/>
  <c r="I10" i="4"/>
  <c r="L10" i="4"/>
  <c r="M10" i="4"/>
  <c r="AQ10" i="4"/>
  <c r="H10" i="4"/>
  <c r="J10" i="4"/>
  <c r="AR10" i="4"/>
  <c r="I9" i="28"/>
  <c r="K9" i="28" s="1"/>
  <c r="J9" i="28"/>
  <c r="Y9" i="28" s="1"/>
  <c r="AE10" i="28"/>
  <c r="AD10" i="28"/>
  <c r="V10" i="29"/>
  <c r="B9" i="29"/>
  <c r="A601" i="28"/>
  <c r="P8" i="28" l="1"/>
  <c r="N9" i="28"/>
  <c r="P9" i="28" s="1"/>
  <c r="AU7" i="4"/>
  <c r="AV7" i="4" s="1"/>
  <c r="AN7" i="4"/>
  <c r="M9" i="29"/>
  <c r="K9" i="29"/>
  <c r="E9" i="29"/>
  <c r="E11" i="28"/>
  <c r="W11" i="28"/>
  <c r="T11" i="28"/>
  <c r="AL8" i="4"/>
  <c r="AX9" i="4"/>
  <c r="AH8" i="4"/>
  <c r="X9" i="29"/>
  <c r="W9" i="29"/>
  <c r="G9" i="29" s="1"/>
  <c r="I10" i="28"/>
  <c r="K10" i="28" s="1"/>
  <c r="J10" i="28"/>
  <c r="Y10" i="28" s="1"/>
  <c r="AM10" i="4"/>
  <c r="BC13" i="4"/>
  <c r="B12" i="4"/>
  <c r="G11" i="4"/>
  <c r="AR11" i="4"/>
  <c r="AP11" i="4"/>
  <c r="AS11" i="4"/>
  <c r="AO11" i="4"/>
  <c r="H11" i="4"/>
  <c r="L11" i="4"/>
  <c r="AF11" i="4"/>
  <c r="M11" i="4"/>
  <c r="AT11" i="4"/>
  <c r="J11" i="4"/>
  <c r="E11" i="4"/>
  <c r="I11" i="4"/>
  <c r="AQ11" i="4"/>
  <c r="N11" i="4"/>
  <c r="Z9" i="28"/>
  <c r="R11" i="28"/>
  <c r="Q11" i="28"/>
  <c r="S11" i="28"/>
  <c r="Y10" i="4"/>
  <c r="AD10" i="4" s="1"/>
  <c r="W10" i="4"/>
  <c r="AB10" i="4" s="1"/>
  <c r="V10" i="4"/>
  <c r="AW10" i="4" s="1"/>
  <c r="X10" i="4"/>
  <c r="AC10" i="4" s="1"/>
  <c r="S10" i="4"/>
  <c r="AA10" i="4" s="1"/>
  <c r="U10" i="4"/>
  <c r="T10" i="4"/>
  <c r="R10" i="4"/>
  <c r="Z10" i="4" s="1"/>
  <c r="N7" i="29"/>
  <c r="O7" i="29" s="1"/>
  <c r="L7" i="29"/>
  <c r="B10" i="29"/>
  <c r="V11" i="29"/>
  <c r="BD11" i="4"/>
  <c r="BE11" i="4"/>
  <c r="H8" i="29"/>
  <c r="J8" i="29" s="1"/>
  <c r="O10" i="28"/>
  <c r="AC13" i="28"/>
  <c r="B12" i="28"/>
  <c r="AE11" i="28"/>
  <c r="AD11" i="28"/>
  <c r="AG9" i="4"/>
  <c r="A602" i="28"/>
  <c r="U9" i="28" l="1"/>
  <c r="V9" i="28" s="1"/>
  <c r="X9" i="28" s="1"/>
  <c r="N10" i="28"/>
  <c r="P10" i="28" s="1"/>
  <c r="M10" i="29"/>
  <c r="K10" i="29"/>
  <c r="E10" i="29"/>
  <c r="E12" i="28"/>
  <c r="W12" i="28"/>
  <c r="T12" i="28"/>
  <c r="AU8" i="4"/>
  <c r="AV8" i="4" s="1"/>
  <c r="O11" i="28"/>
  <c r="AN8" i="4"/>
  <c r="AX10" i="4"/>
  <c r="H9" i="29"/>
  <c r="J9" i="29" s="1"/>
  <c r="L9" i="29" s="1"/>
  <c r="AL9" i="4"/>
  <c r="AU9" i="4" s="1"/>
  <c r="AV9" i="4" s="1"/>
  <c r="AG10" i="4"/>
  <c r="B13" i="28"/>
  <c r="AC14" i="28"/>
  <c r="AM11" i="4"/>
  <c r="BD12" i="4"/>
  <c r="BE12" i="4"/>
  <c r="B13" i="4"/>
  <c r="BC14" i="4"/>
  <c r="AH10" i="4"/>
  <c r="Z10" i="28"/>
  <c r="L8" i="29"/>
  <c r="N8" i="29"/>
  <c r="O8" i="29" s="1"/>
  <c r="W10" i="29"/>
  <c r="G10" i="29" s="1"/>
  <c r="X10" i="29"/>
  <c r="AH9" i="4"/>
  <c r="J11" i="28"/>
  <c r="Y11" i="28" s="1"/>
  <c r="I11" i="28"/>
  <c r="K11" i="28" s="1"/>
  <c r="Q12" i="28"/>
  <c r="R12" i="28"/>
  <c r="S12" i="28"/>
  <c r="AD12" i="28"/>
  <c r="AE12" i="28"/>
  <c r="V11" i="4"/>
  <c r="AW11" i="4" s="1"/>
  <c r="Y11" i="4"/>
  <c r="AD11" i="4" s="1"/>
  <c r="T11" i="4"/>
  <c r="U11" i="4"/>
  <c r="X11" i="4"/>
  <c r="AC11" i="4" s="1"/>
  <c r="W11" i="4"/>
  <c r="AB11" i="4" s="1"/>
  <c r="S11" i="4"/>
  <c r="AA11" i="4" s="1"/>
  <c r="R11" i="4"/>
  <c r="Z11" i="4" s="1"/>
  <c r="B11" i="29"/>
  <c r="V12" i="29"/>
  <c r="AR12" i="4"/>
  <c r="N12" i="4"/>
  <c r="M12" i="4"/>
  <c r="AS12" i="4"/>
  <c r="J12" i="4"/>
  <c r="G12" i="4"/>
  <c r="E12" i="4"/>
  <c r="AT12" i="4"/>
  <c r="L12" i="4"/>
  <c r="AO12" i="4"/>
  <c r="AF12" i="4"/>
  <c r="AP12" i="4"/>
  <c r="AQ12" i="4"/>
  <c r="H12" i="4"/>
  <c r="I12" i="4"/>
  <c r="A603" i="28"/>
  <c r="U10" i="28" l="1"/>
  <c r="V10" i="28" s="1"/>
  <c r="X10" i="28" s="1"/>
  <c r="N11" i="28"/>
  <c r="P11" i="28" s="1"/>
  <c r="E11" i="29"/>
  <c r="M11" i="29"/>
  <c r="K11" i="29"/>
  <c r="E13" i="28"/>
  <c r="W13" i="28"/>
  <c r="T13" i="28"/>
  <c r="Z11" i="28"/>
  <c r="AL10" i="4"/>
  <c r="AN9" i="4"/>
  <c r="AX11" i="4"/>
  <c r="O12" i="28"/>
  <c r="N9" i="29"/>
  <c r="O9" i="29" s="1"/>
  <c r="B12" i="29"/>
  <c r="V13" i="29"/>
  <c r="AG11" i="4"/>
  <c r="BC15" i="4"/>
  <c r="B14" i="4"/>
  <c r="BE13" i="4"/>
  <c r="BD13" i="4"/>
  <c r="U12" i="4"/>
  <c r="W12" i="4"/>
  <c r="AB12" i="4" s="1"/>
  <c r="V12" i="4"/>
  <c r="AW12" i="4" s="1"/>
  <c r="Y12" i="4"/>
  <c r="AD12" i="4" s="1"/>
  <c r="X12" i="4"/>
  <c r="AC12" i="4" s="1"/>
  <c r="T12" i="4"/>
  <c r="R12" i="4"/>
  <c r="Z12" i="4" s="1"/>
  <c r="S12" i="4"/>
  <c r="AA12" i="4" s="1"/>
  <c r="B14" i="28"/>
  <c r="AC15" i="28"/>
  <c r="R13" i="28"/>
  <c r="S13" i="28"/>
  <c r="Q13" i="28"/>
  <c r="AM12" i="4"/>
  <c r="W11" i="29"/>
  <c r="G11" i="29" s="1"/>
  <c r="X11" i="29"/>
  <c r="I12" i="28"/>
  <c r="K12" i="28" s="1"/>
  <c r="J12" i="28"/>
  <c r="Y12" i="28" s="1"/>
  <c r="H10" i="29"/>
  <c r="J10" i="29" s="1"/>
  <c r="AS13" i="4"/>
  <c r="AF13" i="4"/>
  <c r="AQ13" i="4"/>
  <c r="J13" i="4"/>
  <c r="H13" i="4"/>
  <c r="AT13" i="4"/>
  <c r="L13" i="4"/>
  <c r="AR13" i="4"/>
  <c r="G13" i="4"/>
  <c r="I13" i="4"/>
  <c r="AP13" i="4"/>
  <c r="AO13" i="4"/>
  <c r="M13" i="4"/>
  <c r="N13" i="4"/>
  <c r="E13" i="4"/>
  <c r="AD13" i="28"/>
  <c r="AE13" i="28"/>
  <c r="A604" i="28"/>
  <c r="U11" i="28" l="1"/>
  <c r="V11" i="28" s="1"/>
  <c r="X11" i="28" s="1"/>
  <c r="N12" i="28"/>
  <c r="U12" i="28" s="1"/>
  <c r="V12" i="28" s="1"/>
  <c r="X12" i="28" s="1"/>
  <c r="K12" i="29"/>
  <c r="E12" i="29"/>
  <c r="M12" i="29"/>
  <c r="E14" i="28"/>
  <c r="W14" i="28"/>
  <c r="T14" i="28"/>
  <c r="Z12" i="28"/>
  <c r="AU10" i="4"/>
  <c r="AV10" i="4" s="1"/>
  <c r="AN10" i="4"/>
  <c r="AH11" i="4"/>
  <c r="AM13" i="4"/>
  <c r="H11" i="29"/>
  <c r="J11" i="29" s="1"/>
  <c r="O13" i="28"/>
  <c r="B15" i="28"/>
  <c r="AC16" i="28"/>
  <c r="S14" i="28"/>
  <c r="Q14" i="28"/>
  <c r="R14" i="28"/>
  <c r="BE14" i="4"/>
  <c r="BD14" i="4"/>
  <c r="B15" i="4"/>
  <c r="BC16" i="4"/>
  <c r="AL11" i="4"/>
  <c r="J13" i="28"/>
  <c r="Y13" i="28" s="1"/>
  <c r="I13" i="28"/>
  <c r="K13" i="28" s="1"/>
  <c r="N10" i="29"/>
  <c r="O10" i="29" s="1"/>
  <c r="L10" i="29"/>
  <c r="AE14" i="28"/>
  <c r="AD14" i="28"/>
  <c r="AX12" i="4"/>
  <c r="AG12" i="4"/>
  <c r="S13" i="4"/>
  <c r="AA13" i="4" s="1"/>
  <c r="W13" i="4"/>
  <c r="AB13" i="4" s="1"/>
  <c r="X13" i="4"/>
  <c r="AC13" i="4" s="1"/>
  <c r="U13" i="4"/>
  <c r="Y13" i="4"/>
  <c r="AD13" i="4" s="1"/>
  <c r="R13" i="4"/>
  <c r="Z13" i="4" s="1"/>
  <c r="T13" i="4"/>
  <c r="V13" i="4"/>
  <c r="AW13" i="4" s="1"/>
  <c r="H14" i="4"/>
  <c r="E14" i="4"/>
  <c r="AF14" i="4"/>
  <c r="G14" i="4"/>
  <c r="AR14" i="4"/>
  <c r="I14" i="4"/>
  <c r="M14" i="4"/>
  <c r="AS14" i="4"/>
  <c r="AQ14" i="4"/>
  <c r="L14" i="4"/>
  <c r="N14" i="4"/>
  <c r="AO14" i="4"/>
  <c r="J14" i="4"/>
  <c r="AP14" i="4"/>
  <c r="AT14" i="4"/>
  <c r="B13" i="29"/>
  <c r="V14" i="29"/>
  <c r="W12" i="29"/>
  <c r="G12" i="29" s="1"/>
  <c r="X12" i="29"/>
  <c r="A605" i="28"/>
  <c r="P12" i="28" l="1"/>
  <c r="N13" i="28"/>
  <c r="U13" i="28" s="1"/>
  <c r="V13" i="28" s="1"/>
  <c r="X13" i="28" s="1"/>
  <c r="M13" i="29"/>
  <c r="K13" i="29"/>
  <c r="E13" i="29"/>
  <c r="E15" i="28"/>
  <c r="W15" i="28"/>
  <c r="T15" i="28"/>
  <c r="AX13" i="4"/>
  <c r="AL12" i="4"/>
  <c r="W13" i="29"/>
  <c r="G13" i="29" s="1"/>
  <c r="X13" i="29"/>
  <c r="AM14" i="4"/>
  <c r="AH12" i="4"/>
  <c r="BC17" i="4"/>
  <c r="B16" i="4"/>
  <c r="AC17" i="28"/>
  <c r="B16" i="28"/>
  <c r="AE15" i="28"/>
  <c r="AD15" i="28"/>
  <c r="B14" i="29"/>
  <c r="V15" i="29"/>
  <c r="AG13" i="4"/>
  <c r="J14" i="28"/>
  <c r="Y14" i="28" s="1"/>
  <c r="I14" i="28"/>
  <c r="K14" i="28" s="1"/>
  <c r="H12" i="29"/>
  <c r="J12" i="29" s="1"/>
  <c r="AU11" i="4"/>
  <c r="AV11" i="4" s="1"/>
  <c r="AN11" i="4"/>
  <c r="E15" i="4"/>
  <c r="AO15" i="4"/>
  <c r="AT15" i="4"/>
  <c r="AQ15" i="4"/>
  <c r="I15" i="4"/>
  <c r="N15" i="4"/>
  <c r="AR15" i="4"/>
  <c r="AF15" i="4"/>
  <c r="AP15" i="4"/>
  <c r="H15" i="4"/>
  <c r="J15" i="4"/>
  <c r="G15" i="4"/>
  <c r="AS15" i="4"/>
  <c r="L15" i="4"/>
  <c r="M15" i="4"/>
  <c r="BE15" i="4"/>
  <c r="BD15" i="4"/>
  <c r="U14" i="4"/>
  <c r="W14" i="4"/>
  <c r="AB14" i="4" s="1"/>
  <c r="Y14" i="4"/>
  <c r="AD14" i="4" s="1"/>
  <c r="S14" i="4"/>
  <c r="AA14" i="4" s="1"/>
  <c r="X14" i="4"/>
  <c r="AC14" i="4" s="1"/>
  <c r="R14" i="4"/>
  <c r="Z14" i="4" s="1"/>
  <c r="V14" i="4"/>
  <c r="AW14" i="4" s="1"/>
  <c r="T14" i="4"/>
  <c r="O14" i="28"/>
  <c r="S15" i="28"/>
  <c r="Q15" i="28"/>
  <c r="R15" i="28"/>
  <c r="Z13" i="28"/>
  <c r="L11" i="29"/>
  <c r="N11" i="29"/>
  <c r="O11" i="29" s="1"/>
  <c r="A606" i="28"/>
  <c r="P13" i="28" l="1"/>
  <c r="N14" i="28"/>
  <c r="P14" i="28" s="1"/>
  <c r="M14" i="29"/>
  <c r="K14" i="29"/>
  <c r="E14" i="29"/>
  <c r="E16" i="28"/>
  <c r="W16" i="28"/>
  <c r="T16" i="28"/>
  <c r="O15" i="28"/>
  <c r="AH13" i="4"/>
  <c r="AX14" i="4"/>
  <c r="AU12" i="4"/>
  <c r="AV12" i="4" s="1"/>
  <c r="AN12" i="4"/>
  <c r="AL13" i="4"/>
  <c r="W15" i="4"/>
  <c r="AB15" i="4" s="1"/>
  <c r="T15" i="4"/>
  <c r="S15" i="4"/>
  <c r="AA15" i="4" s="1"/>
  <c r="Y15" i="4"/>
  <c r="AD15" i="4" s="1"/>
  <c r="X15" i="4"/>
  <c r="AC15" i="4" s="1"/>
  <c r="R15" i="4"/>
  <c r="Z15" i="4" s="1"/>
  <c r="U15" i="4"/>
  <c r="V15" i="4"/>
  <c r="AW15" i="4" s="1"/>
  <c r="V16" i="29"/>
  <c r="B15" i="29"/>
  <c r="X14" i="29"/>
  <c r="W14" i="29"/>
  <c r="G14" i="29" s="1"/>
  <c r="B17" i="28"/>
  <c r="AC18" i="28"/>
  <c r="BC18" i="4"/>
  <c r="B17" i="4"/>
  <c r="H13" i="29"/>
  <c r="J13" i="29" s="1"/>
  <c r="Z14" i="28"/>
  <c r="AG14" i="4"/>
  <c r="AM15" i="4"/>
  <c r="N12" i="29"/>
  <c r="O12" i="29" s="1"/>
  <c r="L12" i="29"/>
  <c r="I15" i="28"/>
  <c r="K15" i="28" s="1"/>
  <c r="J15" i="28"/>
  <c r="Y15" i="28" s="1"/>
  <c r="R16" i="28"/>
  <c r="S16" i="28"/>
  <c r="Q16" i="28"/>
  <c r="AD16" i="28"/>
  <c r="AE16" i="28"/>
  <c r="L16" i="4"/>
  <c r="I16" i="4"/>
  <c r="AT16" i="4"/>
  <c r="E16" i="4"/>
  <c r="M16" i="4"/>
  <c r="G16" i="4"/>
  <c r="AO16" i="4"/>
  <c r="AQ16" i="4"/>
  <c r="AS16" i="4"/>
  <c r="AF16" i="4"/>
  <c r="H16" i="4"/>
  <c r="N16" i="4"/>
  <c r="AP16" i="4"/>
  <c r="J16" i="4"/>
  <c r="AR16" i="4"/>
  <c r="BE16" i="4"/>
  <c r="BD16" i="4"/>
  <c r="A607" i="28"/>
  <c r="U14" i="28" l="1"/>
  <c r="V14" i="28" s="1"/>
  <c r="X14" i="28" s="1"/>
  <c r="N15" i="28"/>
  <c r="U15" i="28" s="1"/>
  <c r="V15" i="28" s="1"/>
  <c r="X15" i="28" s="1"/>
  <c r="E15" i="29"/>
  <c r="M15" i="29"/>
  <c r="K15" i="29"/>
  <c r="E17" i="28"/>
  <c r="W17" i="28"/>
  <c r="T17" i="28"/>
  <c r="AU13" i="4"/>
  <c r="AV13" i="4" s="1"/>
  <c r="Z15" i="28"/>
  <c r="AN13" i="4"/>
  <c r="H14" i="29"/>
  <c r="J14" i="29" s="1"/>
  <c r="AL14" i="4"/>
  <c r="R16" i="4"/>
  <c r="Z16" i="4" s="1"/>
  <c r="Y16" i="4"/>
  <c r="AD16" i="4" s="1"/>
  <c r="W16" i="4"/>
  <c r="AB16" i="4" s="1"/>
  <c r="S16" i="4"/>
  <c r="AA16" i="4" s="1"/>
  <c r="X16" i="4"/>
  <c r="AC16" i="4" s="1"/>
  <c r="T16" i="4"/>
  <c r="U16" i="4"/>
  <c r="V16" i="4"/>
  <c r="AW16" i="4" s="1"/>
  <c r="I16" i="28"/>
  <c r="K16" i="28" s="1"/>
  <c r="J16" i="28"/>
  <c r="Y16" i="28" s="1"/>
  <c r="BD17" i="4"/>
  <c r="BE17" i="4"/>
  <c r="B18" i="4"/>
  <c r="BC19" i="4"/>
  <c r="AC19" i="28"/>
  <c r="B18" i="28"/>
  <c r="Q17" i="28"/>
  <c r="S17" i="28"/>
  <c r="R17" i="28"/>
  <c r="B16" i="29"/>
  <c r="V17" i="29"/>
  <c r="AG15" i="4"/>
  <c r="AM16" i="4"/>
  <c r="O16" i="28"/>
  <c r="AH14" i="4"/>
  <c r="N13" i="29"/>
  <c r="O13" i="29" s="1"/>
  <c r="L13" i="29"/>
  <c r="AS17" i="4"/>
  <c r="J17" i="4"/>
  <c r="N17" i="4"/>
  <c r="L17" i="4"/>
  <c r="AP17" i="4"/>
  <c r="AT17" i="4"/>
  <c r="AQ17" i="4"/>
  <c r="AR17" i="4"/>
  <c r="G17" i="4"/>
  <c r="AO17" i="4"/>
  <c r="AF17" i="4"/>
  <c r="H17" i="4"/>
  <c r="M17" i="4"/>
  <c r="E17" i="4"/>
  <c r="I17" i="4"/>
  <c r="AD17" i="28"/>
  <c r="AE17" i="28"/>
  <c r="W15" i="29"/>
  <c r="G15" i="29" s="1"/>
  <c r="X15" i="29"/>
  <c r="AX15" i="4"/>
  <c r="A608" i="28"/>
  <c r="P15" i="28" l="1"/>
  <c r="N16" i="28"/>
  <c r="P16" i="28" s="1"/>
  <c r="K16" i="29"/>
  <c r="E16" i="29"/>
  <c r="M16" i="29"/>
  <c r="E18" i="28"/>
  <c r="W18" i="28"/>
  <c r="T18" i="28"/>
  <c r="O17" i="28"/>
  <c r="AN14" i="4"/>
  <c r="AH15" i="4"/>
  <c r="AU14" i="4"/>
  <c r="AV14" i="4" s="1"/>
  <c r="H15" i="29"/>
  <c r="J15" i="29" s="1"/>
  <c r="N15" i="29" s="1"/>
  <c r="O15" i="29" s="1"/>
  <c r="AG16" i="4"/>
  <c r="AL16" i="4" s="1"/>
  <c r="I17" i="28"/>
  <c r="K17" i="28" s="1"/>
  <c r="J17" i="28"/>
  <c r="Y17" i="28" s="1"/>
  <c r="AM17" i="4"/>
  <c r="B17" i="29"/>
  <c r="V18" i="29"/>
  <c r="AC20" i="28"/>
  <c r="B19" i="28"/>
  <c r="B19" i="4"/>
  <c r="BC20" i="4"/>
  <c r="L14" i="29"/>
  <c r="N14" i="29"/>
  <c r="O14" i="29" s="1"/>
  <c r="U16" i="28"/>
  <c r="V16" i="28" s="1"/>
  <c r="X16" i="28" s="1"/>
  <c r="AX16" i="4"/>
  <c r="Z16" i="28"/>
  <c r="AL15" i="4"/>
  <c r="X16" i="29"/>
  <c r="W16" i="29"/>
  <c r="G16" i="29" s="1"/>
  <c r="Q18" i="28"/>
  <c r="S18" i="28"/>
  <c r="R18" i="28"/>
  <c r="AE18" i="28"/>
  <c r="AD18" i="28"/>
  <c r="BE18" i="4"/>
  <c r="BD18" i="4"/>
  <c r="N18" i="4"/>
  <c r="L18" i="4"/>
  <c r="AT18" i="4"/>
  <c r="H18" i="4"/>
  <c r="G18" i="4"/>
  <c r="AR18" i="4"/>
  <c r="E18" i="4"/>
  <c r="M18" i="4"/>
  <c r="AF18" i="4"/>
  <c r="AS18" i="4"/>
  <c r="AQ18" i="4"/>
  <c r="AO18" i="4"/>
  <c r="J18" i="4"/>
  <c r="I18" i="4"/>
  <c r="AP18" i="4"/>
  <c r="W17" i="4"/>
  <c r="AB17" i="4" s="1"/>
  <c r="V17" i="4"/>
  <c r="AW17" i="4" s="1"/>
  <c r="X17" i="4"/>
  <c r="AC17" i="4" s="1"/>
  <c r="Y17" i="4"/>
  <c r="AD17" i="4" s="1"/>
  <c r="T17" i="4"/>
  <c r="R17" i="4"/>
  <c r="Z17" i="4" s="1"/>
  <c r="U17" i="4"/>
  <c r="S17" i="4"/>
  <c r="AA17" i="4" s="1"/>
  <c r="AH16" i="4"/>
  <c r="A609" i="28"/>
  <c r="N17" i="28" l="1"/>
  <c r="P17" i="28" s="1"/>
  <c r="M17" i="29"/>
  <c r="K17" i="29"/>
  <c r="E17" i="29"/>
  <c r="E19" i="28"/>
  <c r="W19" i="28"/>
  <c r="T19" i="28"/>
  <c r="Z17" i="28"/>
  <c r="AX17" i="4"/>
  <c r="L15" i="29"/>
  <c r="AN16" i="4"/>
  <c r="AU16" i="4"/>
  <c r="AV16" i="4" s="1"/>
  <c r="AG17" i="4"/>
  <c r="AM18" i="4"/>
  <c r="O18" i="28"/>
  <c r="AU15" i="4"/>
  <c r="AV15" i="4" s="1"/>
  <c r="AN15" i="4"/>
  <c r="B20" i="4"/>
  <c r="BC21" i="4"/>
  <c r="N19" i="4"/>
  <c r="AF19" i="4"/>
  <c r="AQ19" i="4"/>
  <c r="I19" i="4"/>
  <c r="J19" i="4"/>
  <c r="H19" i="4"/>
  <c r="AP19" i="4"/>
  <c r="G19" i="4"/>
  <c r="M19" i="4"/>
  <c r="L19" i="4"/>
  <c r="AS19" i="4"/>
  <c r="AT19" i="4"/>
  <c r="AR19" i="4"/>
  <c r="E19" i="4"/>
  <c r="F19" i="4" s="1"/>
  <c r="AO19" i="4"/>
  <c r="AC21" i="28"/>
  <c r="B20" i="28"/>
  <c r="H16" i="29"/>
  <c r="J16" i="29" s="1"/>
  <c r="W17" i="29"/>
  <c r="G17" i="29" s="1"/>
  <c r="X17" i="29"/>
  <c r="R18" i="4"/>
  <c r="Z18" i="4" s="1"/>
  <c r="X18" i="4"/>
  <c r="AC18" i="4" s="1"/>
  <c r="U18" i="4"/>
  <c r="V18" i="4"/>
  <c r="AW18" i="4" s="1"/>
  <c r="T18" i="4"/>
  <c r="Y18" i="4"/>
  <c r="AD18" i="4" s="1"/>
  <c r="S18" i="4"/>
  <c r="AA18" i="4" s="1"/>
  <c r="W18" i="4"/>
  <c r="AB18" i="4" s="1"/>
  <c r="I18" i="28"/>
  <c r="K18" i="28" s="1"/>
  <c r="J18" i="28"/>
  <c r="Y18" i="28" s="1"/>
  <c r="BD19" i="4"/>
  <c r="BE19" i="4"/>
  <c r="Q19" i="28"/>
  <c r="R19" i="28"/>
  <c r="S19" i="28"/>
  <c r="AD19" i="28"/>
  <c r="AE19" i="28"/>
  <c r="B18" i="29"/>
  <c r="V19" i="29"/>
  <c r="A610" i="28"/>
  <c r="U17" i="28" l="1"/>
  <c r="V17" i="28" s="1"/>
  <c r="X17" i="28" s="1"/>
  <c r="N18" i="28"/>
  <c r="P18" i="28" s="1"/>
  <c r="M18" i="29"/>
  <c r="K18" i="29"/>
  <c r="E18" i="29"/>
  <c r="E20" i="28"/>
  <c r="W20" i="28"/>
  <c r="T20" i="28"/>
  <c r="AH17" i="4"/>
  <c r="AX18" i="4"/>
  <c r="AL17" i="4"/>
  <c r="H17" i="29"/>
  <c r="J17" i="29" s="1"/>
  <c r="V20" i="29"/>
  <c r="B19" i="29"/>
  <c r="X18" i="29"/>
  <c r="W18" i="29"/>
  <c r="G18" i="29" s="1"/>
  <c r="I19" i="28"/>
  <c r="K19" i="28" s="1"/>
  <c r="J19" i="28"/>
  <c r="Y19" i="28" s="1"/>
  <c r="O19" i="28"/>
  <c r="T19" i="4"/>
  <c r="W19" i="4"/>
  <c r="AB19" i="4" s="1"/>
  <c r="X19" i="4"/>
  <c r="AC19" i="4" s="1"/>
  <c r="Y19" i="4"/>
  <c r="AD19" i="4" s="1"/>
  <c r="U19" i="4"/>
  <c r="R19" i="4"/>
  <c r="Z19" i="4" s="1"/>
  <c r="V19" i="4"/>
  <c r="AW19" i="4" s="1"/>
  <c r="S19" i="4"/>
  <c r="AA19" i="4" s="1"/>
  <c r="AG18" i="4"/>
  <c r="B21" i="28"/>
  <c r="AC22" i="28"/>
  <c r="AM19" i="4"/>
  <c r="AT20" i="4"/>
  <c r="I20" i="4"/>
  <c r="G20" i="4"/>
  <c r="N20" i="4"/>
  <c r="H20" i="4"/>
  <c r="AO20" i="4"/>
  <c r="AF20" i="4"/>
  <c r="E20" i="4"/>
  <c r="AS20" i="4"/>
  <c r="AR20" i="4"/>
  <c r="AP20" i="4"/>
  <c r="L20" i="4"/>
  <c r="M20" i="4"/>
  <c r="AQ20" i="4"/>
  <c r="J20" i="4"/>
  <c r="Z18" i="28"/>
  <c r="L16" i="29"/>
  <c r="N16" i="29"/>
  <c r="O16" i="29" s="1"/>
  <c r="Q20" i="28"/>
  <c r="R20" i="28"/>
  <c r="S20" i="28"/>
  <c r="AE20" i="28"/>
  <c r="AD20" i="28"/>
  <c r="BC22" i="4"/>
  <c r="B21" i="4"/>
  <c r="BD20" i="4"/>
  <c r="BE20" i="4"/>
  <c r="AH18" i="4"/>
  <c r="A611" i="28"/>
  <c r="U18" i="28" l="1"/>
  <c r="V18" i="28" s="1"/>
  <c r="X18" i="28" s="1"/>
  <c r="N19" i="28"/>
  <c r="P19" i="28" s="1"/>
  <c r="E19" i="29"/>
  <c r="M19" i="29"/>
  <c r="K19" i="29"/>
  <c r="E21" i="28"/>
  <c r="W21" i="28"/>
  <c r="T21" i="28"/>
  <c r="AU17" i="4"/>
  <c r="AV17" i="4" s="1"/>
  <c r="AN17" i="4"/>
  <c r="H18" i="29"/>
  <c r="J18" i="29" s="1"/>
  <c r="AX19" i="4"/>
  <c r="AG19" i="4"/>
  <c r="AL19" i="4" s="1"/>
  <c r="T20" i="4"/>
  <c r="X20" i="4"/>
  <c r="AC20" i="4" s="1"/>
  <c r="V20" i="4"/>
  <c r="AW20" i="4" s="1"/>
  <c r="S20" i="4"/>
  <c r="AA20" i="4" s="1"/>
  <c r="U20" i="4"/>
  <c r="W20" i="4"/>
  <c r="AB20" i="4" s="1"/>
  <c r="Y20" i="4"/>
  <c r="AD20" i="4" s="1"/>
  <c r="R20" i="4"/>
  <c r="Z20" i="4" s="1"/>
  <c r="B22" i="4"/>
  <c r="BC23" i="4"/>
  <c r="I20" i="28"/>
  <c r="K20" i="28" s="1"/>
  <c r="J20" i="28"/>
  <c r="Y20" i="28" s="1"/>
  <c r="N21" i="4"/>
  <c r="L21" i="4"/>
  <c r="J21" i="4"/>
  <c r="G21" i="4"/>
  <c r="AP21" i="4"/>
  <c r="AR21" i="4"/>
  <c r="I21" i="4"/>
  <c r="AF21" i="4"/>
  <c r="E21" i="4"/>
  <c r="AO21" i="4"/>
  <c r="M21" i="4"/>
  <c r="AT21" i="4"/>
  <c r="AS21" i="4"/>
  <c r="AQ21" i="4"/>
  <c r="H21" i="4"/>
  <c r="BD21" i="4"/>
  <c r="BE21" i="4"/>
  <c r="AL18" i="4"/>
  <c r="Q21" i="28"/>
  <c r="R21" i="28"/>
  <c r="S21" i="28"/>
  <c r="B20" i="29"/>
  <c r="V21" i="29"/>
  <c r="O20" i="28"/>
  <c r="AM20" i="4"/>
  <c r="B22" i="28"/>
  <c r="AC23" i="28"/>
  <c r="AD21" i="28"/>
  <c r="AE21" i="28"/>
  <c r="Z19" i="28"/>
  <c r="X19" i="29"/>
  <c r="W19" i="29"/>
  <c r="G19" i="29" s="1"/>
  <c r="N17" i="29"/>
  <c r="O17" i="29" s="1"/>
  <c r="L17" i="29"/>
  <c r="A612" i="28"/>
  <c r="U19" i="28" l="1"/>
  <c r="V19" i="28" s="1"/>
  <c r="X19" i="28" s="1"/>
  <c r="N20" i="28"/>
  <c r="U20" i="28" s="1"/>
  <c r="V20" i="28" s="1"/>
  <c r="X20" i="28" s="1"/>
  <c r="AH19" i="4"/>
  <c r="K20" i="29"/>
  <c r="E20" i="29"/>
  <c r="M20" i="29"/>
  <c r="E22" i="28"/>
  <c r="W22" i="28"/>
  <c r="T22" i="28"/>
  <c r="J22" i="4"/>
  <c r="AT22" i="4"/>
  <c r="AX20" i="4"/>
  <c r="J21" i="28"/>
  <c r="Y21" i="28" s="1"/>
  <c r="I21" i="28"/>
  <c r="K21" i="28" s="1"/>
  <c r="AE22" i="28"/>
  <c r="AD22" i="28"/>
  <c r="N18" i="29"/>
  <c r="O18" i="29" s="1"/>
  <c r="L18" i="29"/>
  <c r="Z20" i="28"/>
  <c r="W20" i="29"/>
  <c r="G20" i="29" s="1"/>
  <c r="X20" i="29"/>
  <c r="X21" i="4"/>
  <c r="AC21" i="4" s="1"/>
  <c r="W21" i="4"/>
  <c r="AB21" i="4" s="1"/>
  <c r="T21" i="4"/>
  <c r="S21" i="4"/>
  <c r="AA21" i="4" s="1"/>
  <c r="Y21" i="4"/>
  <c r="AD21" i="4" s="1"/>
  <c r="V21" i="4"/>
  <c r="AW21" i="4" s="1"/>
  <c r="U21" i="4"/>
  <c r="R21" i="4"/>
  <c r="Z21" i="4" s="1"/>
  <c r="AM21" i="4"/>
  <c r="BC24" i="4"/>
  <c r="B23" i="4"/>
  <c r="AQ22" i="4"/>
  <c r="H22" i="4"/>
  <c r="L22" i="4"/>
  <c r="AR22" i="4"/>
  <c r="G22" i="4"/>
  <c r="AP22" i="4"/>
  <c r="M22" i="4"/>
  <c r="AF22" i="4"/>
  <c r="I22" i="4"/>
  <c r="AS22" i="4"/>
  <c r="AO22" i="4"/>
  <c r="N22" i="4"/>
  <c r="E22" i="4"/>
  <c r="AG20" i="4"/>
  <c r="B23" i="28"/>
  <c r="AC24" i="28"/>
  <c r="S22" i="28"/>
  <c r="R22" i="28"/>
  <c r="Q22" i="28"/>
  <c r="V22" i="29"/>
  <c r="B21" i="29"/>
  <c r="H19" i="29"/>
  <c r="J19" i="29" s="1"/>
  <c r="AN19" i="4"/>
  <c r="AU19" i="4"/>
  <c r="AV19" i="4" s="1"/>
  <c r="O21" i="28"/>
  <c r="AU18" i="4"/>
  <c r="AV18" i="4" s="1"/>
  <c r="AN18" i="4"/>
  <c r="BD22" i="4"/>
  <c r="BE22" i="4"/>
  <c r="A613" i="28"/>
  <c r="P20" i="28" l="1"/>
  <c r="N21" i="28"/>
  <c r="P21" i="28" s="1"/>
  <c r="M21" i="29"/>
  <c r="K21" i="29"/>
  <c r="E21" i="29"/>
  <c r="E23" i="28"/>
  <c r="W23" i="28"/>
  <c r="T23" i="28"/>
  <c r="AT23" i="4"/>
  <c r="J23" i="4"/>
  <c r="O22" i="28"/>
  <c r="AM22" i="4"/>
  <c r="AG21" i="4"/>
  <c r="H20" i="29"/>
  <c r="J20" i="29" s="1"/>
  <c r="AL20" i="4"/>
  <c r="AH20" i="4"/>
  <c r="N19" i="29"/>
  <c r="O19" i="29" s="1"/>
  <c r="L19" i="29"/>
  <c r="S23" i="28"/>
  <c r="R23" i="28"/>
  <c r="Q23" i="28"/>
  <c r="AF23" i="4"/>
  <c r="M23" i="4"/>
  <c r="I23" i="4"/>
  <c r="AS23" i="4"/>
  <c r="AR23" i="4"/>
  <c r="AP23" i="4"/>
  <c r="N23" i="4"/>
  <c r="L23" i="4"/>
  <c r="AQ23" i="4"/>
  <c r="AO23" i="4"/>
  <c r="G23" i="4"/>
  <c r="H23" i="4"/>
  <c r="E23" i="4"/>
  <c r="BE23" i="4"/>
  <c r="BD23" i="4"/>
  <c r="I22" i="28"/>
  <c r="K22" i="28" s="1"/>
  <c r="J22" i="28"/>
  <c r="Y22" i="28" s="1"/>
  <c r="R22" i="4"/>
  <c r="Z22" i="4" s="1"/>
  <c r="U22" i="4"/>
  <c r="X22" i="4"/>
  <c r="AC22" i="4" s="1"/>
  <c r="Y22" i="4"/>
  <c r="AD22" i="4" s="1"/>
  <c r="V22" i="4"/>
  <c r="AW22" i="4" s="1"/>
  <c r="W22" i="4"/>
  <c r="AB22" i="4" s="1"/>
  <c r="T22" i="4"/>
  <c r="S22" i="4"/>
  <c r="AA22" i="4" s="1"/>
  <c r="Z21" i="28"/>
  <c r="W21" i="29"/>
  <c r="G21" i="29" s="1"/>
  <c r="X21" i="29"/>
  <c r="B22" i="29"/>
  <c r="V23" i="29"/>
  <c r="B24" i="28"/>
  <c r="AC25" i="28"/>
  <c r="AD23" i="28"/>
  <c r="AE23" i="28"/>
  <c r="B24" i="4"/>
  <c r="BC25" i="4"/>
  <c r="AX21" i="4"/>
  <c r="A614" i="28"/>
  <c r="U21" i="28" l="1"/>
  <c r="V21" i="28" s="1"/>
  <c r="X21" i="28" s="1"/>
  <c r="N22" i="28"/>
  <c r="P22" i="28" s="1"/>
  <c r="AL21" i="4"/>
  <c r="M22" i="29"/>
  <c r="K22" i="29"/>
  <c r="E22" i="29"/>
  <c r="E24" i="28"/>
  <c r="W24" i="28"/>
  <c r="T24" i="28"/>
  <c r="Z22" i="28"/>
  <c r="O23" i="28"/>
  <c r="AH21" i="4"/>
  <c r="AM23" i="4"/>
  <c r="AN20" i="4"/>
  <c r="AU20" i="4"/>
  <c r="AV20" i="4" s="1"/>
  <c r="AX22" i="4"/>
  <c r="BD24" i="4"/>
  <c r="BE24" i="4"/>
  <c r="B25" i="28"/>
  <c r="AC26" i="28"/>
  <c r="S24" i="28"/>
  <c r="R24" i="28"/>
  <c r="Q24" i="28"/>
  <c r="X22" i="29"/>
  <c r="W22" i="29"/>
  <c r="G22" i="29" s="1"/>
  <c r="AG22" i="4"/>
  <c r="V23" i="4"/>
  <c r="AW23" i="4" s="1"/>
  <c r="T23" i="4"/>
  <c r="R23" i="4"/>
  <c r="Z23" i="4" s="1"/>
  <c r="X23" i="4"/>
  <c r="AC23" i="4" s="1"/>
  <c r="S23" i="4"/>
  <c r="AA23" i="4" s="1"/>
  <c r="AX23" i="4" s="1"/>
  <c r="Y23" i="4"/>
  <c r="AD23" i="4" s="1"/>
  <c r="W23" i="4"/>
  <c r="AB23" i="4" s="1"/>
  <c r="U23" i="4"/>
  <c r="AU21" i="4"/>
  <c r="AV21" i="4" s="1"/>
  <c r="AN21" i="4"/>
  <c r="BC26" i="4"/>
  <c r="B25" i="4"/>
  <c r="AF24" i="4"/>
  <c r="M24" i="4"/>
  <c r="AS24" i="4"/>
  <c r="AR24" i="4"/>
  <c r="AQ24" i="4"/>
  <c r="J24" i="4"/>
  <c r="I24" i="4"/>
  <c r="N24" i="4"/>
  <c r="L24" i="4"/>
  <c r="AP24" i="4"/>
  <c r="G24" i="4"/>
  <c r="H24" i="4"/>
  <c r="E24" i="4"/>
  <c r="AO24" i="4"/>
  <c r="AT24" i="4"/>
  <c r="I23" i="28"/>
  <c r="K23" i="28" s="1"/>
  <c r="J23" i="28"/>
  <c r="Y23" i="28" s="1"/>
  <c r="AE24" i="28"/>
  <c r="AD24" i="28"/>
  <c r="V24" i="29"/>
  <c r="B23" i="29"/>
  <c r="H21" i="29"/>
  <c r="J21" i="29" s="1"/>
  <c r="N20" i="29"/>
  <c r="O20" i="29" s="1"/>
  <c r="L20" i="29"/>
  <c r="A615" i="28"/>
  <c r="U22" i="28" l="1"/>
  <c r="V22" i="28" s="1"/>
  <c r="X22" i="28" s="1"/>
  <c r="N23" i="28"/>
  <c r="Z23" i="28"/>
  <c r="E23" i="29"/>
  <c r="M23" i="29"/>
  <c r="K23" i="29"/>
  <c r="E25" i="28"/>
  <c r="W25" i="28"/>
  <c r="T25" i="28"/>
  <c r="H22" i="29"/>
  <c r="J22" i="29" s="1"/>
  <c r="N22" i="29" s="1"/>
  <c r="O22" i="29" s="1"/>
  <c r="AM24" i="4"/>
  <c r="AH22" i="4"/>
  <c r="W23" i="29"/>
  <c r="G23" i="29" s="1"/>
  <c r="X23" i="29"/>
  <c r="V25" i="29"/>
  <c r="B24" i="29"/>
  <c r="U23" i="28"/>
  <c r="V23" i="28" s="1"/>
  <c r="X23" i="28" s="1"/>
  <c r="P23" i="28"/>
  <c r="BD25" i="4"/>
  <c r="BE25" i="4"/>
  <c r="AG23" i="4"/>
  <c r="B26" i="28"/>
  <c r="AC27" i="28"/>
  <c r="R25" i="28"/>
  <c r="S25" i="28"/>
  <c r="Q25" i="28"/>
  <c r="N21" i="29"/>
  <c r="O21" i="29" s="1"/>
  <c r="L21" i="29"/>
  <c r="J24" i="28"/>
  <c r="Y24" i="28" s="1"/>
  <c r="I24" i="28"/>
  <c r="K24" i="28" s="1"/>
  <c r="AS25" i="4"/>
  <c r="M25" i="4"/>
  <c r="AT25" i="4"/>
  <c r="J25" i="4"/>
  <c r="AQ25" i="4"/>
  <c r="E25" i="4"/>
  <c r="N25" i="4"/>
  <c r="G25" i="4"/>
  <c r="AF25" i="4"/>
  <c r="AP25" i="4"/>
  <c r="AO25" i="4"/>
  <c r="I25" i="4"/>
  <c r="H25" i="4"/>
  <c r="L25" i="4"/>
  <c r="AR25" i="4"/>
  <c r="B26" i="4"/>
  <c r="BC27" i="4"/>
  <c r="AL22" i="4"/>
  <c r="O24" i="28"/>
  <c r="AE25" i="28"/>
  <c r="AD25" i="28"/>
  <c r="U24" i="4"/>
  <c r="R24" i="4"/>
  <c r="Z24" i="4" s="1"/>
  <c r="W24" i="4"/>
  <c r="AB24" i="4" s="1"/>
  <c r="T24" i="4"/>
  <c r="S24" i="4"/>
  <c r="AA24" i="4" s="1"/>
  <c r="X24" i="4"/>
  <c r="AC24" i="4" s="1"/>
  <c r="Y24" i="4"/>
  <c r="AD24" i="4" s="1"/>
  <c r="V24" i="4"/>
  <c r="AW24" i="4" s="1"/>
  <c r="A616" i="28"/>
  <c r="N24" i="28" l="1"/>
  <c r="P24" i="28" s="1"/>
  <c r="K24" i="29"/>
  <c r="E24" i="29"/>
  <c r="M24" i="29"/>
  <c r="E26" i="28"/>
  <c r="W26" i="28"/>
  <c r="T26" i="28"/>
  <c r="AH23" i="4"/>
  <c r="O25" i="28"/>
  <c r="AL23" i="4"/>
  <c r="L22" i="29"/>
  <c r="AM25" i="4"/>
  <c r="AC28" i="28"/>
  <c r="B27" i="28"/>
  <c r="R26" i="28"/>
  <c r="S26" i="28"/>
  <c r="Q26" i="28"/>
  <c r="S25" i="4"/>
  <c r="AA25" i="4" s="1"/>
  <c r="W25" i="4"/>
  <c r="AB25" i="4" s="1"/>
  <c r="R25" i="4"/>
  <c r="Z25" i="4" s="1"/>
  <c r="V25" i="4"/>
  <c r="AW25" i="4" s="1"/>
  <c r="T25" i="4"/>
  <c r="Y25" i="4"/>
  <c r="AD25" i="4" s="1"/>
  <c r="U25" i="4"/>
  <c r="X25" i="4"/>
  <c r="AC25" i="4" s="1"/>
  <c r="BE26" i="4"/>
  <c r="BD26" i="4"/>
  <c r="AR26" i="4"/>
  <c r="AS26" i="4"/>
  <c r="AO26" i="4"/>
  <c r="AT26" i="4"/>
  <c r="I26" i="4"/>
  <c r="L26" i="4"/>
  <c r="AF26" i="4"/>
  <c r="J26" i="4"/>
  <c r="E26" i="4"/>
  <c r="H26" i="4"/>
  <c r="AQ26" i="4"/>
  <c r="AP26" i="4"/>
  <c r="G26" i="4"/>
  <c r="N26" i="4"/>
  <c r="M26" i="4"/>
  <c r="AG24" i="4"/>
  <c r="AL24" i="4" s="1"/>
  <c r="AX24" i="4"/>
  <c r="I25" i="28"/>
  <c r="K25" i="28" s="1"/>
  <c r="J25" i="28"/>
  <c r="Y25" i="28" s="1"/>
  <c r="Z24" i="28"/>
  <c r="AN22" i="4"/>
  <c r="AU22" i="4"/>
  <c r="AV22" i="4" s="1"/>
  <c r="B27" i="4"/>
  <c r="BC28" i="4"/>
  <c r="H23" i="29"/>
  <c r="J23" i="29" s="1"/>
  <c r="AE26" i="28"/>
  <c r="AD26" i="28"/>
  <c r="X24" i="29"/>
  <c r="W24" i="29"/>
  <c r="G24" i="29" s="1"/>
  <c r="V26" i="29"/>
  <c r="B25" i="29"/>
  <c r="A617" i="28"/>
  <c r="U24" i="28" l="1"/>
  <c r="V24" i="28" s="1"/>
  <c r="X24" i="28" s="1"/>
  <c r="N25" i="28"/>
  <c r="P25" i="28" s="1"/>
  <c r="AH24" i="4"/>
  <c r="Z25" i="28"/>
  <c r="M25" i="29"/>
  <c r="K25" i="29"/>
  <c r="E25" i="29"/>
  <c r="E27" i="28"/>
  <c r="W27" i="28"/>
  <c r="T27" i="28"/>
  <c r="AU23" i="4"/>
  <c r="AV23" i="4" s="1"/>
  <c r="AN23" i="4"/>
  <c r="X25" i="29"/>
  <c r="W25" i="29"/>
  <c r="G25" i="29" s="1"/>
  <c r="I26" i="28"/>
  <c r="K26" i="28" s="1"/>
  <c r="J26" i="28"/>
  <c r="Y26" i="28" s="1"/>
  <c r="N23" i="29"/>
  <c r="O23" i="29" s="1"/>
  <c r="L23" i="29"/>
  <c r="BC29" i="4"/>
  <c r="B28" i="4"/>
  <c r="M27" i="4"/>
  <c r="AT27" i="4"/>
  <c r="AR27" i="4"/>
  <c r="H27" i="4"/>
  <c r="AO27" i="4"/>
  <c r="AP27" i="4"/>
  <c r="N27" i="4"/>
  <c r="J27" i="4"/>
  <c r="I27" i="4"/>
  <c r="E27" i="4"/>
  <c r="AQ27" i="4"/>
  <c r="AS27" i="4"/>
  <c r="G27" i="4"/>
  <c r="L27" i="4"/>
  <c r="AF27" i="4"/>
  <c r="AN24" i="4"/>
  <c r="AU24" i="4"/>
  <c r="AV24" i="4" s="1"/>
  <c r="AM26" i="4"/>
  <c r="AX25" i="4"/>
  <c r="O26" i="28"/>
  <c r="AE27" i="28"/>
  <c r="AD27" i="28"/>
  <c r="B26" i="29"/>
  <c r="V27" i="29"/>
  <c r="BE27" i="4"/>
  <c r="BD27" i="4"/>
  <c r="U25" i="28"/>
  <c r="V25" i="28" s="1"/>
  <c r="X25" i="28" s="1"/>
  <c r="V26" i="4"/>
  <c r="AW26" i="4" s="1"/>
  <c r="X26" i="4"/>
  <c r="AC26" i="4" s="1"/>
  <c r="W26" i="4"/>
  <c r="AB26" i="4" s="1"/>
  <c r="Y26" i="4"/>
  <c r="AD26" i="4" s="1"/>
  <c r="R26" i="4"/>
  <c r="Z26" i="4" s="1"/>
  <c r="T26" i="4"/>
  <c r="U26" i="4"/>
  <c r="S26" i="4"/>
  <c r="AA26" i="4" s="1"/>
  <c r="H24" i="29"/>
  <c r="J24" i="29" s="1"/>
  <c r="AG25" i="4"/>
  <c r="S27" i="28"/>
  <c r="Q27" i="28"/>
  <c r="R27" i="28"/>
  <c r="AC29" i="28"/>
  <c r="B28" i="28"/>
  <c r="A618" i="28"/>
  <c r="N26" i="28" l="1"/>
  <c r="P26" i="28" s="1"/>
  <c r="M26" i="29"/>
  <c r="K26" i="29"/>
  <c r="E26" i="29"/>
  <c r="E28" i="28"/>
  <c r="W28" i="28"/>
  <c r="T28" i="28"/>
  <c r="O27" i="28"/>
  <c r="AL25" i="4"/>
  <c r="S28" i="28"/>
  <c r="Q28" i="28"/>
  <c r="R28" i="28"/>
  <c r="AD28" i="28"/>
  <c r="AE28" i="28"/>
  <c r="L24" i="29"/>
  <c r="N24" i="29"/>
  <c r="O24" i="29" s="1"/>
  <c r="Y27" i="4"/>
  <c r="AD27" i="4" s="1"/>
  <c r="R27" i="4"/>
  <c r="Z27" i="4" s="1"/>
  <c r="U27" i="4"/>
  <c r="V27" i="4"/>
  <c r="AW27" i="4" s="1"/>
  <c r="X27" i="4"/>
  <c r="AC27" i="4" s="1"/>
  <c r="T27" i="4"/>
  <c r="S27" i="4"/>
  <c r="AA27" i="4" s="1"/>
  <c r="W27" i="4"/>
  <c r="AB27" i="4" s="1"/>
  <c r="X26" i="29"/>
  <c r="W26" i="29"/>
  <c r="G26" i="29" s="1"/>
  <c r="J27" i="28"/>
  <c r="Y27" i="28" s="1"/>
  <c r="I27" i="28"/>
  <c r="K27" i="28" s="1"/>
  <c r="AM27" i="4"/>
  <c r="BE28" i="4"/>
  <c r="BD28" i="4"/>
  <c r="I28" i="4"/>
  <c r="AO28" i="4"/>
  <c r="AF28" i="4"/>
  <c r="AQ28" i="4"/>
  <c r="AS28" i="4"/>
  <c r="N28" i="4"/>
  <c r="AP28" i="4"/>
  <c r="H28" i="4"/>
  <c r="G28" i="4"/>
  <c r="AT28" i="4"/>
  <c r="J28" i="4"/>
  <c r="M28" i="4"/>
  <c r="L28" i="4"/>
  <c r="AR28" i="4"/>
  <c r="E28" i="4"/>
  <c r="AC30" i="28"/>
  <c r="B29" i="28"/>
  <c r="AH25" i="4"/>
  <c r="AX26" i="4"/>
  <c r="AG26" i="4"/>
  <c r="AH26" i="4" s="1"/>
  <c r="V28" i="29"/>
  <c r="B27" i="29"/>
  <c r="H25" i="29"/>
  <c r="J25" i="29" s="1"/>
  <c r="Z26" i="28"/>
  <c r="B29" i="4"/>
  <c r="BC30" i="4"/>
  <c r="A619" i="28"/>
  <c r="U26" i="28" l="1"/>
  <c r="V26" i="28" s="1"/>
  <c r="X26" i="28" s="1"/>
  <c r="N27" i="28"/>
  <c r="U27" i="28" s="1"/>
  <c r="V27" i="28" s="1"/>
  <c r="X27" i="28" s="1"/>
  <c r="E27" i="29"/>
  <c r="M27" i="29"/>
  <c r="K27" i="29"/>
  <c r="E29" i="28"/>
  <c r="W29" i="28"/>
  <c r="T29" i="28"/>
  <c r="Z27" i="28"/>
  <c r="AU25" i="4"/>
  <c r="AV25" i="4" s="1"/>
  <c r="AN25" i="4"/>
  <c r="AM28" i="4"/>
  <c r="BC31" i="4"/>
  <c r="B30" i="4"/>
  <c r="H29" i="4"/>
  <c r="I29" i="4"/>
  <c r="G29" i="4"/>
  <c r="M29" i="4"/>
  <c r="AF29" i="4"/>
  <c r="AO29" i="4"/>
  <c r="AP29" i="4"/>
  <c r="AS29" i="4"/>
  <c r="AQ29" i="4"/>
  <c r="L29" i="4"/>
  <c r="E29" i="4"/>
  <c r="J29" i="4"/>
  <c r="N29" i="4"/>
  <c r="AR29" i="4"/>
  <c r="AT29" i="4"/>
  <c r="N25" i="29"/>
  <c r="O25" i="29" s="1"/>
  <c r="L25" i="29"/>
  <c r="W27" i="29"/>
  <c r="G27" i="29" s="1"/>
  <c r="X27" i="29"/>
  <c r="AE29" i="28"/>
  <c r="AD29" i="28"/>
  <c r="T28" i="4"/>
  <c r="S28" i="4"/>
  <c r="AA28" i="4" s="1"/>
  <c r="W28" i="4"/>
  <c r="AB28" i="4" s="1"/>
  <c r="Y28" i="4"/>
  <c r="AD28" i="4" s="1"/>
  <c r="X28" i="4"/>
  <c r="AC28" i="4" s="1"/>
  <c r="V28" i="4"/>
  <c r="AW28" i="4" s="1"/>
  <c r="U28" i="4"/>
  <c r="R28" i="4"/>
  <c r="Z28" i="4" s="1"/>
  <c r="H26" i="29"/>
  <c r="J26" i="29" s="1"/>
  <c r="AL26" i="4"/>
  <c r="BE29" i="4"/>
  <c r="BD29" i="4"/>
  <c r="V29" i="29"/>
  <c r="B28" i="29"/>
  <c r="R29" i="28"/>
  <c r="S29" i="28"/>
  <c r="Q29" i="28"/>
  <c r="AC31" i="28"/>
  <c r="B30" i="28"/>
  <c r="AX27" i="4"/>
  <c r="AG27" i="4"/>
  <c r="I28" i="28"/>
  <c r="K28" i="28" s="1"/>
  <c r="N28" i="28" s="1"/>
  <c r="J28" i="28"/>
  <c r="Y28" i="28" s="1"/>
  <c r="O28" i="28"/>
  <c r="A620" i="28"/>
  <c r="P27" i="28" l="1"/>
  <c r="K28" i="29"/>
  <c r="E28" i="29"/>
  <c r="M28" i="29"/>
  <c r="E30" i="28"/>
  <c r="W30" i="28"/>
  <c r="T30" i="28"/>
  <c r="AM29" i="4"/>
  <c r="H27" i="29"/>
  <c r="J27" i="29" s="1"/>
  <c r="AH27" i="4"/>
  <c r="AL27" i="4"/>
  <c r="AG28" i="4"/>
  <c r="Z28" i="28"/>
  <c r="Q30" i="28"/>
  <c r="S30" i="28"/>
  <c r="R30" i="28"/>
  <c r="AD30" i="28"/>
  <c r="AE30" i="28"/>
  <c r="X28" i="29"/>
  <c r="W28" i="29"/>
  <c r="G28" i="29" s="1"/>
  <c r="V30" i="29"/>
  <c r="B29" i="29"/>
  <c r="U29" i="4"/>
  <c r="T29" i="4"/>
  <c r="S29" i="4"/>
  <c r="AA29" i="4" s="1"/>
  <c r="R29" i="4"/>
  <c r="Z29" i="4" s="1"/>
  <c r="Y29" i="4"/>
  <c r="AD29" i="4" s="1"/>
  <c r="V29" i="4"/>
  <c r="AW29" i="4" s="1"/>
  <c r="X29" i="4"/>
  <c r="AC29" i="4" s="1"/>
  <c r="W29" i="4"/>
  <c r="AB29" i="4" s="1"/>
  <c r="L26" i="29"/>
  <c r="N26" i="29"/>
  <c r="O26" i="29" s="1"/>
  <c r="BD30" i="4"/>
  <c r="BE30" i="4"/>
  <c r="BC32" i="4"/>
  <c r="B31" i="4"/>
  <c r="U28" i="28"/>
  <c r="V28" i="28" s="1"/>
  <c r="X28" i="28" s="1"/>
  <c r="P28" i="28"/>
  <c r="AC32" i="28"/>
  <c r="B31" i="28"/>
  <c r="O29" i="28"/>
  <c r="AN26" i="4"/>
  <c r="AU26" i="4"/>
  <c r="AV26" i="4" s="1"/>
  <c r="AX28" i="4"/>
  <c r="J29" i="28"/>
  <c r="Y29" i="28" s="1"/>
  <c r="I29" i="28"/>
  <c r="K29" i="28" s="1"/>
  <c r="AP30" i="4"/>
  <c r="AT30" i="4"/>
  <c r="J30" i="4"/>
  <c r="AR30" i="4"/>
  <c r="AF30" i="4"/>
  <c r="AO30" i="4"/>
  <c r="AQ30" i="4"/>
  <c r="L30" i="4"/>
  <c r="E30" i="4"/>
  <c r="AS30" i="4"/>
  <c r="G30" i="4"/>
  <c r="I30" i="4"/>
  <c r="N30" i="4"/>
  <c r="H30" i="4"/>
  <c r="M30" i="4"/>
  <c r="A621" i="28"/>
  <c r="N29" i="28" l="1"/>
  <c r="M29" i="29"/>
  <c r="K29" i="29"/>
  <c r="E29" i="29"/>
  <c r="E31" i="28"/>
  <c r="W31" i="28"/>
  <c r="T31" i="28"/>
  <c r="AU27" i="4"/>
  <c r="AV27" i="4" s="1"/>
  <c r="AL28" i="4"/>
  <c r="AN27" i="4"/>
  <c r="AX29" i="4"/>
  <c r="AM30" i="4"/>
  <c r="Q31" i="28"/>
  <c r="R31" i="28"/>
  <c r="S31" i="28"/>
  <c r="AD31" i="28"/>
  <c r="AE31" i="28"/>
  <c r="AT31" i="4"/>
  <c r="AF31" i="4"/>
  <c r="AP31" i="4"/>
  <c r="G31" i="4"/>
  <c r="AS31" i="4"/>
  <c r="J31" i="4"/>
  <c r="AO31" i="4"/>
  <c r="N31" i="4"/>
  <c r="M31" i="4"/>
  <c r="H31" i="4"/>
  <c r="AR31" i="4"/>
  <c r="AQ31" i="4"/>
  <c r="E31" i="4"/>
  <c r="L31" i="4"/>
  <c r="I31" i="4"/>
  <c r="S30" i="4"/>
  <c r="AA30" i="4" s="1"/>
  <c r="V30" i="4"/>
  <c r="AW30" i="4" s="1"/>
  <c r="U30" i="4"/>
  <c r="Y30" i="4"/>
  <c r="AD30" i="4" s="1"/>
  <c r="X30" i="4"/>
  <c r="AC30" i="4" s="1"/>
  <c r="R30" i="4"/>
  <c r="Z30" i="4" s="1"/>
  <c r="W30" i="4"/>
  <c r="AB30" i="4" s="1"/>
  <c r="T30" i="4"/>
  <c r="AH28" i="4"/>
  <c r="N27" i="29"/>
  <c r="O27" i="29" s="1"/>
  <c r="L27" i="29"/>
  <c r="I30" i="28"/>
  <c r="K30" i="28" s="1"/>
  <c r="J30" i="28"/>
  <c r="Y30" i="28" s="1"/>
  <c r="O30" i="28"/>
  <c r="U29" i="28"/>
  <c r="V29" i="28" s="1"/>
  <c r="X29" i="28" s="1"/>
  <c r="P29" i="28"/>
  <c r="H28" i="29"/>
  <c r="J28" i="29" s="1"/>
  <c r="Z29" i="28"/>
  <c r="B32" i="28"/>
  <c r="AC33" i="28"/>
  <c r="BD31" i="4"/>
  <c r="BE31" i="4"/>
  <c r="BC33" i="4"/>
  <c r="B32" i="4"/>
  <c r="AG29" i="4"/>
  <c r="X29" i="29"/>
  <c r="W29" i="29"/>
  <c r="G29" i="29" s="1"/>
  <c r="V31" i="29"/>
  <c r="B30" i="29"/>
  <c r="A622" i="28"/>
  <c r="N30" i="28" l="1"/>
  <c r="U30" i="28" s="1"/>
  <c r="V30" i="28" s="1"/>
  <c r="X30" i="28" s="1"/>
  <c r="AU28" i="4"/>
  <c r="AV28" i="4" s="1"/>
  <c r="M30" i="29"/>
  <c r="K30" i="29"/>
  <c r="E30" i="29"/>
  <c r="E32" i="28"/>
  <c r="W32" i="28"/>
  <c r="T32" i="28"/>
  <c r="AN28" i="4"/>
  <c r="AL29" i="4"/>
  <c r="AH29" i="4"/>
  <c r="AX30" i="4"/>
  <c r="W30" i="29"/>
  <c r="G30" i="29" s="1"/>
  <c r="X30" i="29"/>
  <c r="BC34" i="4"/>
  <c r="B33" i="4"/>
  <c r="AD32" i="28"/>
  <c r="AE32" i="28"/>
  <c r="B31" i="29"/>
  <c r="V32" i="29"/>
  <c r="AR32" i="4"/>
  <c r="AF32" i="4"/>
  <c r="L32" i="4"/>
  <c r="AP32" i="4"/>
  <c r="J32" i="4"/>
  <c r="AS32" i="4"/>
  <c r="E32" i="4"/>
  <c r="AO32" i="4"/>
  <c r="N32" i="4"/>
  <c r="M32" i="4"/>
  <c r="AQ32" i="4"/>
  <c r="G32" i="4"/>
  <c r="H32" i="4"/>
  <c r="AT32" i="4"/>
  <c r="I32" i="4"/>
  <c r="BE32" i="4"/>
  <c r="BD32" i="4"/>
  <c r="B33" i="28"/>
  <c r="AC34" i="28"/>
  <c r="R32" i="28"/>
  <c r="S32" i="28"/>
  <c r="Q32" i="28"/>
  <c r="AG30" i="4"/>
  <c r="AL30" i="4" s="1"/>
  <c r="O31" i="28"/>
  <c r="T31" i="4"/>
  <c r="U31" i="4"/>
  <c r="S31" i="4"/>
  <c r="AA31" i="4" s="1"/>
  <c r="R31" i="4"/>
  <c r="Z31" i="4" s="1"/>
  <c r="Y31" i="4"/>
  <c r="AD31" i="4" s="1"/>
  <c r="X31" i="4"/>
  <c r="AC31" i="4" s="1"/>
  <c r="V31" i="4"/>
  <c r="AW31" i="4" s="1"/>
  <c r="W31" i="4"/>
  <c r="AB31" i="4" s="1"/>
  <c r="N28" i="29"/>
  <c r="O28" i="29" s="1"/>
  <c r="L28" i="29"/>
  <c r="Z30" i="28"/>
  <c r="H29" i="29"/>
  <c r="J29" i="29" s="1"/>
  <c r="AM31" i="4"/>
  <c r="I31" i="28"/>
  <c r="K31" i="28" s="1"/>
  <c r="N31" i="28" s="1"/>
  <c r="J31" i="28"/>
  <c r="Y31" i="28" s="1"/>
  <c r="A623" i="28"/>
  <c r="P30" i="28" l="1"/>
  <c r="E31" i="29"/>
  <c r="M31" i="29"/>
  <c r="K31" i="29"/>
  <c r="E33" i="28"/>
  <c r="W33" i="28"/>
  <c r="T33" i="28"/>
  <c r="O32" i="28"/>
  <c r="AU29" i="4"/>
  <c r="AV29" i="4" s="1"/>
  <c r="AN29" i="4"/>
  <c r="AH30" i="4"/>
  <c r="AG31" i="4"/>
  <c r="AL31" i="4" s="1"/>
  <c r="U31" i="28"/>
  <c r="V31" i="28" s="1"/>
  <c r="X31" i="28" s="1"/>
  <c r="P31" i="28"/>
  <c r="N29" i="29"/>
  <c r="O29" i="29" s="1"/>
  <c r="L29" i="29"/>
  <c r="AX31" i="4"/>
  <c r="AD33" i="28"/>
  <c r="AE33" i="28"/>
  <c r="R32" i="4"/>
  <c r="Z32" i="4" s="1"/>
  <c r="W32" i="4"/>
  <c r="AB32" i="4" s="1"/>
  <c r="V32" i="4"/>
  <c r="AW32" i="4" s="1"/>
  <c r="S32" i="4"/>
  <c r="AA32" i="4" s="1"/>
  <c r="U32" i="4"/>
  <c r="Y32" i="4"/>
  <c r="AD32" i="4" s="1"/>
  <c r="X32" i="4"/>
  <c r="AC32" i="4" s="1"/>
  <c r="T32" i="4"/>
  <c r="V33" i="29"/>
  <c r="B32" i="29"/>
  <c r="J32" i="28"/>
  <c r="Y32" i="28" s="1"/>
  <c r="I32" i="28"/>
  <c r="K32" i="28" s="1"/>
  <c r="N32" i="28" s="1"/>
  <c r="B34" i="4"/>
  <c r="BC35" i="4"/>
  <c r="Z31" i="28"/>
  <c r="AU30" i="4"/>
  <c r="AV30" i="4" s="1"/>
  <c r="AN30" i="4"/>
  <c r="AC35" i="28"/>
  <c r="B34" i="28"/>
  <c r="Q33" i="28"/>
  <c r="S33" i="28"/>
  <c r="R33" i="28"/>
  <c r="AM32" i="4"/>
  <c r="W31" i="29"/>
  <c r="G31" i="29" s="1"/>
  <c r="X31" i="29"/>
  <c r="H30" i="29"/>
  <c r="J30" i="29" s="1"/>
  <c r="J33" i="4"/>
  <c r="AQ33" i="4"/>
  <c r="I33" i="4"/>
  <c r="M33" i="4"/>
  <c r="N33" i="4"/>
  <c r="AS33" i="4"/>
  <c r="AT33" i="4"/>
  <c r="E33" i="4"/>
  <c r="AR33" i="4"/>
  <c r="AF33" i="4"/>
  <c r="H33" i="4"/>
  <c r="AO33" i="4"/>
  <c r="L33" i="4"/>
  <c r="AP33" i="4"/>
  <c r="G33" i="4"/>
  <c r="BD33" i="4"/>
  <c r="BE33" i="4"/>
  <c r="A624" i="28"/>
  <c r="K32" i="29" l="1"/>
  <c r="E32" i="29"/>
  <c r="M32" i="29"/>
  <c r="E34" i="28"/>
  <c r="W34" i="28"/>
  <c r="T34" i="28"/>
  <c r="O33" i="28"/>
  <c r="Z32" i="28"/>
  <c r="AH31" i="4"/>
  <c r="H31" i="29"/>
  <c r="J31" i="29" s="1"/>
  <c r="AN31" i="4"/>
  <c r="AU31" i="4"/>
  <c r="AV31" i="4" s="1"/>
  <c r="AM33" i="4"/>
  <c r="N30" i="29"/>
  <c r="O30" i="29" s="1"/>
  <c r="L30" i="29"/>
  <c r="Q34" i="28"/>
  <c r="R34" i="28"/>
  <c r="S34" i="28"/>
  <c r="AE34" i="28"/>
  <c r="AD34" i="28"/>
  <c r="BD34" i="4"/>
  <c r="BE34" i="4"/>
  <c r="M34" i="4"/>
  <c r="J34" i="4"/>
  <c r="G34" i="4"/>
  <c r="H34" i="4"/>
  <c r="AO34" i="4"/>
  <c r="I34" i="4"/>
  <c r="AF34" i="4"/>
  <c r="AR34" i="4"/>
  <c r="L34" i="4"/>
  <c r="AS34" i="4"/>
  <c r="AQ34" i="4"/>
  <c r="AP34" i="4"/>
  <c r="AT34" i="4"/>
  <c r="N34" i="4"/>
  <c r="E34" i="4"/>
  <c r="V34" i="29"/>
  <c r="B33" i="29"/>
  <c r="AG32" i="4"/>
  <c r="AX32" i="4"/>
  <c r="T33" i="4"/>
  <c r="X33" i="4"/>
  <c r="AC33" i="4" s="1"/>
  <c r="S33" i="4"/>
  <c r="AA33" i="4" s="1"/>
  <c r="R33" i="4"/>
  <c r="Z33" i="4" s="1"/>
  <c r="Y33" i="4"/>
  <c r="AD33" i="4" s="1"/>
  <c r="W33" i="4"/>
  <c r="AB33" i="4" s="1"/>
  <c r="U33" i="4"/>
  <c r="V33" i="4"/>
  <c r="AW33" i="4" s="1"/>
  <c r="B35" i="28"/>
  <c r="AC36" i="28"/>
  <c r="B35" i="4"/>
  <c r="BC36" i="4"/>
  <c r="P32" i="28"/>
  <c r="U32" i="28"/>
  <c r="V32" i="28" s="1"/>
  <c r="X32" i="28" s="1"/>
  <c r="X32" i="29"/>
  <c r="W32" i="29"/>
  <c r="G32" i="29" s="1"/>
  <c r="J33" i="28"/>
  <c r="Y33" i="28" s="1"/>
  <c r="I33" i="28"/>
  <c r="K33" i="28" s="1"/>
  <c r="N33" i="28" s="1"/>
  <c r="A625" i="28"/>
  <c r="Z33" i="28" l="1"/>
  <c r="M33" i="29"/>
  <c r="K33" i="29"/>
  <c r="E33" i="29"/>
  <c r="E35" i="28"/>
  <c r="W35" i="28"/>
  <c r="T35" i="28"/>
  <c r="L31" i="29"/>
  <c r="N31" i="29"/>
  <c r="O31" i="29" s="1"/>
  <c r="AH32" i="4"/>
  <c r="H32" i="29"/>
  <c r="J32" i="29" s="1"/>
  <c r="N32" i="29" s="1"/>
  <c r="O32" i="29" s="1"/>
  <c r="AL32" i="4"/>
  <c r="Q14" i="7" s="1"/>
  <c r="U33" i="28"/>
  <c r="V33" i="28" s="1"/>
  <c r="X33" i="28" s="1"/>
  <c r="P33" i="28"/>
  <c r="J35" i="4"/>
  <c r="G35" i="4"/>
  <c r="AQ35" i="4"/>
  <c r="M35" i="4"/>
  <c r="H35" i="4"/>
  <c r="AP35" i="4"/>
  <c r="I35" i="4"/>
  <c r="AO35" i="4"/>
  <c r="E35" i="4"/>
  <c r="AF35" i="4"/>
  <c r="AT35" i="4"/>
  <c r="AR35" i="4"/>
  <c r="AS35" i="4"/>
  <c r="L35" i="4"/>
  <c r="N35" i="4"/>
  <c r="BE35" i="4"/>
  <c r="BD35" i="4"/>
  <c r="AE35" i="28"/>
  <c r="AD35" i="28"/>
  <c r="B34" i="29"/>
  <c r="V35" i="29"/>
  <c r="S34" i="4"/>
  <c r="AA34" i="4" s="1"/>
  <c r="U34" i="4"/>
  <c r="T34" i="4"/>
  <c r="V34" i="4"/>
  <c r="AW34" i="4" s="1"/>
  <c r="X34" i="4"/>
  <c r="AC34" i="4" s="1"/>
  <c r="W34" i="4"/>
  <c r="AB34" i="4" s="1"/>
  <c r="Y34" i="4"/>
  <c r="AD34" i="4" s="1"/>
  <c r="R34" i="4"/>
  <c r="Z34" i="4" s="1"/>
  <c r="J34" i="28"/>
  <c r="Y34" i="28" s="1"/>
  <c r="I34" i="28"/>
  <c r="K34" i="28" s="1"/>
  <c r="N34" i="28" s="1"/>
  <c r="O34" i="28"/>
  <c r="BC37" i="4"/>
  <c r="B36" i="4"/>
  <c r="B36" i="28"/>
  <c r="AC37" i="28"/>
  <c r="Q35" i="28"/>
  <c r="S35" i="28"/>
  <c r="R35" i="28"/>
  <c r="AG33" i="4"/>
  <c r="AX33" i="4"/>
  <c r="X33" i="29"/>
  <c r="W33" i="29"/>
  <c r="G33" i="29" s="1"/>
  <c r="AM34" i="4"/>
  <c r="A626" i="28"/>
  <c r="M34" i="29" l="1"/>
  <c r="K34" i="29"/>
  <c r="E34" i="29"/>
  <c r="E36" i="28"/>
  <c r="W36" i="28"/>
  <c r="T36" i="28"/>
  <c r="AN32" i="4"/>
  <c r="L32" i="29"/>
  <c r="AU32" i="4"/>
  <c r="AV32" i="4" s="1"/>
  <c r="AG34" i="4"/>
  <c r="AX34" i="4"/>
  <c r="AH33" i="4"/>
  <c r="O35" i="28"/>
  <c r="B37" i="28"/>
  <c r="AC38" i="28"/>
  <c r="R36" i="28"/>
  <c r="S36" i="28"/>
  <c r="Q36" i="28"/>
  <c r="G36" i="4"/>
  <c r="J36" i="4"/>
  <c r="AR36" i="4"/>
  <c r="AS36" i="4"/>
  <c r="AT36" i="4"/>
  <c r="E36" i="4"/>
  <c r="N36" i="4"/>
  <c r="AF36" i="4"/>
  <c r="AP36" i="4"/>
  <c r="AQ36" i="4"/>
  <c r="AO36" i="4"/>
  <c r="I36" i="4"/>
  <c r="H36" i="4"/>
  <c r="M36" i="4"/>
  <c r="L36" i="4"/>
  <c r="BE36" i="4"/>
  <c r="BD36" i="4"/>
  <c r="Z34" i="28"/>
  <c r="J35" i="28"/>
  <c r="Y35" i="28" s="1"/>
  <c r="I35" i="28"/>
  <c r="K35" i="28" s="1"/>
  <c r="N35" i="28" s="1"/>
  <c r="U35" i="4"/>
  <c r="V35" i="4"/>
  <c r="AW35" i="4" s="1"/>
  <c r="Y35" i="4"/>
  <c r="AD35" i="4" s="1"/>
  <c r="T35" i="4"/>
  <c r="R35" i="4"/>
  <c r="Z35" i="4" s="1"/>
  <c r="X35" i="4"/>
  <c r="AC35" i="4" s="1"/>
  <c r="W35" i="4"/>
  <c r="AB35" i="4" s="1"/>
  <c r="S35" i="4"/>
  <c r="AA35" i="4" s="1"/>
  <c r="AM35" i="4"/>
  <c r="H33" i="29"/>
  <c r="J33" i="29" s="1"/>
  <c r="AL33" i="4"/>
  <c r="AE36" i="28"/>
  <c r="AD36" i="28"/>
  <c r="BC38" i="4"/>
  <c r="B37" i="4"/>
  <c r="P34" i="28"/>
  <c r="U34" i="28"/>
  <c r="V34" i="28" s="1"/>
  <c r="X34" i="28" s="1"/>
  <c r="B35" i="29"/>
  <c r="V36" i="29"/>
  <c r="W34" i="29"/>
  <c r="G34" i="29" s="1"/>
  <c r="X34" i="29"/>
  <c r="A627" i="28"/>
  <c r="E35" i="29" l="1"/>
  <c r="M35" i="29"/>
  <c r="K35" i="29"/>
  <c r="E37" i="28"/>
  <c r="W37" i="28"/>
  <c r="T37" i="28"/>
  <c r="AH34" i="4"/>
  <c r="AX35" i="4"/>
  <c r="V37" i="29"/>
  <c r="B36" i="29"/>
  <c r="AL34" i="4"/>
  <c r="Q15" i="7" s="1"/>
  <c r="Q16" i="7" s="1"/>
  <c r="Q4" i="7" s="1"/>
  <c r="BD37" i="4"/>
  <c r="BE37" i="4"/>
  <c r="I36" i="28"/>
  <c r="K36" i="28" s="1"/>
  <c r="N36" i="28" s="1"/>
  <c r="J36" i="28"/>
  <c r="Y36" i="28" s="1"/>
  <c r="L33" i="29"/>
  <c r="N33" i="29"/>
  <c r="O33" i="29" s="1"/>
  <c r="P35" i="28"/>
  <c r="U35" i="28"/>
  <c r="V35" i="28" s="1"/>
  <c r="X35" i="28" s="1"/>
  <c r="H34" i="29"/>
  <c r="J34" i="29" s="1"/>
  <c r="AM36" i="4"/>
  <c r="O36" i="28"/>
  <c r="AE37" i="28"/>
  <c r="AD37" i="28"/>
  <c r="Z35" i="28"/>
  <c r="X35" i="29"/>
  <c r="W35" i="29"/>
  <c r="G35" i="29" s="1"/>
  <c r="AR37" i="4"/>
  <c r="E37" i="4"/>
  <c r="AF37" i="4"/>
  <c r="J37" i="4"/>
  <c r="H37" i="4"/>
  <c r="M37" i="4"/>
  <c r="AO37" i="4"/>
  <c r="I37" i="4"/>
  <c r="AQ37" i="4"/>
  <c r="N37" i="4"/>
  <c r="L37" i="4"/>
  <c r="AP37" i="4"/>
  <c r="AT37" i="4"/>
  <c r="G37" i="4"/>
  <c r="AS37" i="4"/>
  <c r="B38" i="4"/>
  <c r="BC39" i="4"/>
  <c r="AN33" i="4"/>
  <c r="AU33" i="4"/>
  <c r="AV33" i="4" s="1"/>
  <c r="AG35" i="4"/>
  <c r="W36" i="4"/>
  <c r="AB36" i="4" s="1"/>
  <c r="Y36" i="4"/>
  <c r="AD36" i="4" s="1"/>
  <c r="V36" i="4"/>
  <c r="AW36" i="4" s="1"/>
  <c r="X36" i="4"/>
  <c r="AC36" i="4" s="1"/>
  <c r="R36" i="4"/>
  <c r="Z36" i="4" s="1"/>
  <c r="T36" i="4"/>
  <c r="U36" i="4"/>
  <c r="S36" i="4"/>
  <c r="AA36" i="4" s="1"/>
  <c r="AC39" i="28"/>
  <c r="B38" i="28"/>
  <c r="Q37" i="28"/>
  <c r="R37" i="28"/>
  <c r="S37" i="28"/>
  <c r="A628" i="28"/>
  <c r="K36" i="29" l="1"/>
  <c r="E36" i="29"/>
  <c r="M36" i="29"/>
  <c r="E38" i="28"/>
  <c r="W38" i="28"/>
  <c r="T38" i="28"/>
  <c r="H35" i="29"/>
  <c r="J35" i="29" s="1"/>
  <c r="N35" i="29" s="1"/>
  <c r="O35" i="29" s="1"/>
  <c r="AH35" i="4"/>
  <c r="R38" i="28"/>
  <c r="S38" i="28"/>
  <c r="Q38" i="28"/>
  <c r="AC40" i="28"/>
  <c r="B39" i="28"/>
  <c r="BC40" i="4"/>
  <c r="B39" i="4"/>
  <c r="BE38" i="4"/>
  <c r="BD38" i="4"/>
  <c r="AM37" i="4"/>
  <c r="Z36" i="28"/>
  <c r="W37" i="4"/>
  <c r="AB37" i="4" s="1"/>
  <c r="U37" i="4"/>
  <c r="V37" i="4"/>
  <c r="AW37" i="4" s="1"/>
  <c r="T37" i="4"/>
  <c r="X37" i="4"/>
  <c r="AC37" i="4" s="1"/>
  <c r="S37" i="4"/>
  <c r="AA37" i="4" s="1"/>
  <c r="Y37" i="4"/>
  <c r="AD37" i="4" s="1"/>
  <c r="R37" i="4"/>
  <c r="Z37" i="4" s="1"/>
  <c r="X36" i="29"/>
  <c r="W36" i="29"/>
  <c r="G36" i="29" s="1"/>
  <c r="V38" i="29"/>
  <c r="B37" i="29"/>
  <c r="O37" i="28"/>
  <c r="AE38" i="28"/>
  <c r="AD38" i="28"/>
  <c r="AX36" i="4"/>
  <c r="AG36" i="4"/>
  <c r="AL35" i="4"/>
  <c r="M38" i="4"/>
  <c r="AS38" i="4"/>
  <c r="AT38" i="4"/>
  <c r="E38" i="4"/>
  <c r="N38" i="4"/>
  <c r="AO38" i="4"/>
  <c r="AR38" i="4"/>
  <c r="AQ38" i="4"/>
  <c r="H38" i="4"/>
  <c r="AP38" i="4"/>
  <c r="I38" i="4"/>
  <c r="L38" i="4"/>
  <c r="AF38" i="4"/>
  <c r="G38" i="4"/>
  <c r="J38" i="4"/>
  <c r="I37" i="28"/>
  <c r="K37" i="28" s="1"/>
  <c r="J37" i="28"/>
  <c r="Y37" i="28" s="1"/>
  <c r="L34" i="29"/>
  <c r="N34" i="29"/>
  <c r="O34" i="29" s="1"/>
  <c r="P36" i="28"/>
  <c r="U36" i="28"/>
  <c r="V36" i="28" s="1"/>
  <c r="X36" i="28" s="1"/>
  <c r="AN34" i="4"/>
  <c r="AU34" i="4"/>
  <c r="AV34" i="4" s="1"/>
  <c r="A629" i="28"/>
  <c r="N37" i="28" l="1"/>
  <c r="M37" i="29"/>
  <c r="K37" i="29"/>
  <c r="E37" i="29"/>
  <c r="E39" i="28"/>
  <c r="W39" i="28"/>
  <c r="T39" i="28"/>
  <c r="AG37" i="4"/>
  <c r="AL37" i="4" s="1"/>
  <c r="H36" i="29"/>
  <c r="J36" i="29" s="1"/>
  <c r="L35" i="29"/>
  <c r="AL36" i="4"/>
  <c r="X37" i="29"/>
  <c r="W37" i="29"/>
  <c r="G37" i="29" s="1"/>
  <c r="B38" i="29"/>
  <c r="V39" i="29"/>
  <c r="BD39" i="4"/>
  <c r="BE39" i="4"/>
  <c r="BC41" i="4"/>
  <c r="B40" i="4"/>
  <c r="AH36" i="4"/>
  <c r="Q39" i="28"/>
  <c r="R39" i="28"/>
  <c r="S39" i="28"/>
  <c r="AE39" i="28"/>
  <c r="AD39" i="28"/>
  <c r="O38" i="28"/>
  <c r="U37" i="28"/>
  <c r="V37" i="28" s="1"/>
  <c r="X37" i="28" s="1"/>
  <c r="P37" i="28"/>
  <c r="AM38" i="4"/>
  <c r="AN35" i="4"/>
  <c r="AU35" i="4"/>
  <c r="AV35" i="4" s="1"/>
  <c r="J38" i="28"/>
  <c r="Y38" i="28" s="1"/>
  <c r="I38" i="28"/>
  <c r="K38" i="28" s="1"/>
  <c r="Z37" i="28"/>
  <c r="AX37" i="4"/>
  <c r="U38" i="4"/>
  <c r="S38" i="4"/>
  <c r="AA38" i="4" s="1"/>
  <c r="X38" i="4"/>
  <c r="AC38" i="4" s="1"/>
  <c r="W38" i="4"/>
  <c r="AB38" i="4" s="1"/>
  <c r="R38" i="4"/>
  <c r="Z38" i="4" s="1"/>
  <c r="T38" i="4"/>
  <c r="Y38" i="4"/>
  <c r="AD38" i="4" s="1"/>
  <c r="V38" i="4"/>
  <c r="AW38" i="4" s="1"/>
  <c r="AF39" i="4"/>
  <c r="J39" i="4"/>
  <c r="AP39" i="4"/>
  <c r="M39" i="4"/>
  <c r="AO39" i="4"/>
  <c r="I39" i="4"/>
  <c r="H39" i="4"/>
  <c r="E39" i="4"/>
  <c r="L39" i="4"/>
  <c r="N39" i="4"/>
  <c r="AS39" i="4"/>
  <c r="AQ39" i="4"/>
  <c r="G39" i="4"/>
  <c r="AR39" i="4"/>
  <c r="AT39" i="4"/>
  <c r="B40" i="28"/>
  <c r="AC41" i="28"/>
  <c r="A630" i="28"/>
  <c r="N38" i="28" l="1"/>
  <c r="M38" i="29"/>
  <c r="K38" i="29"/>
  <c r="E38" i="29"/>
  <c r="AH37" i="4"/>
  <c r="E40" i="28"/>
  <c r="W40" i="28"/>
  <c r="T40" i="28"/>
  <c r="AN36" i="4"/>
  <c r="O39" i="28"/>
  <c r="AU36" i="4"/>
  <c r="AV36" i="4" s="1"/>
  <c r="H37" i="29"/>
  <c r="J37" i="29" s="1"/>
  <c r="L37" i="29" s="1"/>
  <c r="AG38" i="4"/>
  <c r="I39" i="28"/>
  <c r="K39" i="28" s="1"/>
  <c r="N39" i="28" s="1"/>
  <c r="J39" i="28"/>
  <c r="Y39" i="28" s="1"/>
  <c r="G40" i="4"/>
  <c r="M40" i="4"/>
  <c r="AR40" i="4"/>
  <c r="J40" i="4"/>
  <c r="L40" i="4"/>
  <c r="AT40" i="4"/>
  <c r="E40" i="4"/>
  <c r="AP40" i="4"/>
  <c r="AQ40" i="4"/>
  <c r="AS40" i="4"/>
  <c r="H40" i="4"/>
  <c r="N40" i="4"/>
  <c r="AF40" i="4"/>
  <c r="AO40" i="4"/>
  <c r="I40" i="4"/>
  <c r="BE40" i="4"/>
  <c r="BD40" i="4"/>
  <c r="W39" i="4"/>
  <c r="AB39" i="4" s="1"/>
  <c r="R39" i="4"/>
  <c r="Z39" i="4" s="1"/>
  <c r="Y39" i="4"/>
  <c r="AD39" i="4" s="1"/>
  <c r="S39" i="4"/>
  <c r="AA39" i="4" s="1"/>
  <c r="V39" i="4"/>
  <c r="AW39" i="4" s="1"/>
  <c r="T39" i="4"/>
  <c r="X39" i="4"/>
  <c r="AC39" i="4" s="1"/>
  <c r="U39" i="4"/>
  <c r="V40" i="29"/>
  <c r="B39" i="29"/>
  <c r="AE40" i="28"/>
  <c r="AD40" i="28"/>
  <c r="B41" i="28"/>
  <c r="AC42" i="28"/>
  <c r="R40" i="28"/>
  <c r="S40" i="28"/>
  <c r="Q40" i="28"/>
  <c r="AM39" i="4"/>
  <c r="AX38" i="4"/>
  <c r="AU37" i="4"/>
  <c r="AV37" i="4" s="1"/>
  <c r="AN37" i="4"/>
  <c r="P38" i="28"/>
  <c r="U38" i="28"/>
  <c r="V38" i="28" s="1"/>
  <c r="X38" i="28" s="1"/>
  <c r="Z38" i="28"/>
  <c r="B41" i="4"/>
  <c r="BC42" i="4"/>
  <c r="X38" i="29"/>
  <c r="W38" i="29"/>
  <c r="G38" i="29" s="1"/>
  <c r="N36" i="29"/>
  <c r="O36" i="29" s="1"/>
  <c r="L36" i="29"/>
  <c r="A631" i="28"/>
  <c r="E39" i="29" l="1"/>
  <c r="M39" i="29"/>
  <c r="K39" i="29"/>
  <c r="E41" i="28"/>
  <c r="W41" i="28"/>
  <c r="T41" i="28"/>
  <c r="Z39" i="28"/>
  <c r="N37" i="29"/>
  <c r="O37" i="29" s="1"/>
  <c r="AH38" i="4"/>
  <c r="O40" i="28"/>
  <c r="AC43" i="28"/>
  <c r="B42" i="28"/>
  <c r="S41" i="28"/>
  <c r="Q41" i="28"/>
  <c r="R41" i="28"/>
  <c r="V41" i="29"/>
  <c r="B40" i="29"/>
  <c r="AG39" i="4"/>
  <c r="AM40" i="4"/>
  <c r="BD41" i="4"/>
  <c r="BE41" i="4"/>
  <c r="BC43" i="4"/>
  <c r="B42" i="4"/>
  <c r="H38" i="29"/>
  <c r="J38" i="29" s="1"/>
  <c r="AS41" i="4"/>
  <c r="G41" i="4"/>
  <c r="H41" i="4"/>
  <c r="AR41" i="4"/>
  <c r="N41" i="4"/>
  <c r="L41" i="4"/>
  <c r="E41" i="4"/>
  <c r="AO41" i="4"/>
  <c r="M41" i="4"/>
  <c r="AT41" i="4"/>
  <c r="AP41" i="4"/>
  <c r="AQ41" i="4"/>
  <c r="AF41" i="4"/>
  <c r="I41" i="4"/>
  <c r="J41" i="4"/>
  <c r="AE41" i="28"/>
  <c r="AD41" i="28"/>
  <c r="J40" i="28"/>
  <c r="Y40" i="28" s="1"/>
  <c r="I40" i="28"/>
  <c r="K40" i="28" s="1"/>
  <c r="N40" i="28" s="1"/>
  <c r="W39" i="29"/>
  <c r="G39" i="29" s="1"/>
  <c r="X39" i="29"/>
  <c r="AX39" i="4"/>
  <c r="R40" i="4"/>
  <c r="Z40" i="4" s="1"/>
  <c r="T40" i="4"/>
  <c r="V40" i="4"/>
  <c r="AW40" i="4" s="1"/>
  <c r="Y40" i="4"/>
  <c r="AD40" i="4" s="1"/>
  <c r="W40" i="4"/>
  <c r="AB40" i="4" s="1"/>
  <c r="X40" i="4"/>
  <c r="AC40" i="4" s="1"/>
  <c r="U40" i="4"/>
  <c r="S40" i="4"/>
  <c r="AA40" i="4" s="1"/>
  <c r="P39" i="28"/>
  <c r="U39" i="28"/>
  <c r="V39" i="28" s="1"/>
  <c r="X39" i="28" s="1"/>
  <c r="AL38" i="4"/>
  <c r="A632" i="28"/>
  <c r="K40" i="29" l="1"/>
  <c r="E40" i="29"/>
  <c r="M40" i="29"/>
  <c r="E42" i="28"/>
  <c r="W42" i="28"/>
  <c r="T42" i="28"/>
  <c r="O41" i="28"/>
  <c r="AX40" i="4"/>
  <c r="AL39" i="4"/>
  <c r="AN38" i="4"/>
  <c r="AU38" i="4"/>
  <c r="AV38" i="4" s="1"/>
  <c r="P40" i="28"/>
  <c r="U40" i="28"/>
  <c r="V40" i="28" s="1"/>
  <c r="X40" i="28" s="1"/>
  <c r="I41" i="28"/>
  <c r="K41" i="28" s="1"/>
  <c r="N41" i="28" s="1"/>
  <c r="J41" i="28"/>
  <c r="Y41" i="28" s="1"/>
  <c r="AM41" i="4"/>
  <c r="BE42" i="4"/>
  <c r="BD42" i="4"/>
  <c r="B43" i="4"/>
  <c r="BC44" i="4"/>
  <c r="AH39" i="4"/>
  <c r="X40" i="29"/>
  <c r="W40" i="29"/>
  <c r="G40" i="29" s="1"/>
  <c r="V42" i="29"/>
  <c r="B41" i="29"/>
  <c r="B43" i="28"/>
  <c r="AC44" i="28"/>
  <c r="Z40" i="28"/>
  <c r="AG40" i="4"/>
  <c r="H39" i="29"/>
  <c r="J39" i="29" s="1"/>
  <c r="N38" i="29"/>
  <c r="O38" i="29" s="1"/>
  <c r="L38" i="29"/>
  <c r="N42" i="4"/>
  <c r="AP42" i="4"/>
  <c r="E42" i="4"/>
  <c r="M42" i="4"/>
  <c r="AQ42" i="4"/>
  <c r="H42" i="4"/>
  <c r="J42" i="4"/>
  <c r="AF42" i="4"/>
  <c r="G42" i="4"/>
  <c r="AO42" i="4"/>
  <c r="I42" i="4"/>
  <c r="AS42" i="4"/>
  <c r="L42" i="4"/>
  <c r="AT42" i="4"/>
  <c r="AR42" i="4"/>
  <c r="V41" i="4"/>
  <c r="AW41" i="4" s="1"/>
  <c r="T41" i="4"/>
  <c r="W41" i="4"/>
  <c r="AB41" i="4" s="1"/>
  <c r="R41" i="4"/>
  <c r="Z41" i="4" s="1"/>
  <c r="X41" i="4"/>
  <c r="AC41" i="4" s="1"/>
  <c r="U41" i="4"/>
  <c r="Y41" i="4"/>
  <c r="AD41" i="4" s="1"/>
  <c r="S41" i="4"/>
  <c r="AA41" i="4" s="1"/>
  <c r="R42" i="28"/>
  <c r="S42" i="28"/>
  <c r="Q42" i="28"/>
  <c r="AD42" i="28"/>
  <c r="AE42" i="28"/>
  <c r="A633" i="28"/>
  <c r="M41" i="29" l="1"/>
  <c r="K41" i="29"/>
  <c r="E41" i="29"/>
  <c r="E43" i="28"/>
  <c r="W43" i="28"/>
  <c r="T43" i="28"/>
  <c r="Z41" i="28"/>
  <c r="O42" i="28"/>
  <c r="AG41" i="4"/>
  <c r="AN39" i="4"/>
  <c r="AU39" i="4"/>
  <c r="AV39" i="4" s="1"/>
  <c r="AM42" i="4"/>
  <c r="AH40" i="4"/>
  <c r="J42" i="28"/>
  <c r="Y42" i="28" s="1"/>
  <c r="I42" i="28"/>
  <c r="K42" i="28" s="1"/>
  <c r="N42" i="28" s="1"/>
  <c r="H40" i="29"/>
  <c r="J40" i="29" s="1"/>
  <c r="AX41" i="4"/>
  <c r="S43" i="28"/>
  <c r="R43" i="28"/>
  <c r="Q43" i="28"/>
  <c r="W41" i="29"/>
  <c r="G41" i="29" s="1"/>
  <c r="X41" i="29"/>
  <c r="V43" i="29"/>
  <c r="B42" i="29"/>
  <c r="BD43" i="4"/>
  <c r="BE43" i="4"/>
  <c r="T42" i="4"/>
  <c r="V42" i="4"/>
  <c r="AW42" i="4" s="1"/>
  <c r="X42" i="4"/>
  <c r="AC42" i="4" s="1"/>
  <c r="U42" i="4"/>
  <c r="S42" i="4"/>
  <c r="AA42" i="4" s="1"/>
  <c r="W42" i="4"/>
  <c r="AB42" i="4" s="1"/>
  <c r="Y42" i="4"/>
  <c r="AD42" i="4" s="1"/>
  <c r="R42" i="4"/>
  <c r="Z42" i="4" s="1"/>
  <c r="AL40" i="4"/>
  <c r="N39" i="29"/>
  <c r="O39" i="29" s="1"/>
  <c r="L39" i="29"/>
  <c r="B44" i="28"/>
  <c r="AC45" i="28"/>
  <c r="AD43" i="28"/>
  <c r="AE43" i="28"/>
  <c r="B44" i="4"/>
  <c r="BC45" i="4"/>
  <c r="AQ43" i="4"/>
  <c r="I43" i="4"/>
  <c r="AP43" i="4"/>
  <c r="G43" i="4"/>
  <c r="N43" i="4"/>
  <c r="AF43" i="4"/>
  <c r="AS43" i="4"/>
  <c r="AT43" i="4"/>
  <c r="H43" i="4"/>
  <c r="AO43" i="4"/>
  <c r="E43" i="4"/>
  <c r="AR43" i="4"/>
  <c r="L43" i="4"/>
  <c r="M43" i="4"/>
  <c r="J43" i="4"/>
  <c r="U41" i="28"/>
  <c r="V41" i="28" s="1"/>
  <c r="X41" i="28" s="1"/>
  <c r="P41" i="28"/>
  <c r="A634" i="28"/>
  <c r="Z42" i="28" l="1"/>
  <c r="M42" i="29"/>
  <c r="K42" i="29"/>
  <c r="E42" i="29"/>
  <c r="AL41" i="4"/>
  <c r="AU41" i="4" s="1"/>
  <c r="AV41" i="4" s="1"/>
  <c r="E44" i="28"/>
  <c r="W44" i="28"/>
  <c r="T44" i="28"/>
  <c r="O43" i="28"/>
  <c r="AH41" i="4"/>
  <c r="AG42" i="4"/>
  <c r="AX42" i="4"/>
  <c r="AM43" i="4"/>
  <c r="BC46" i="4"/>
  <c r="B45" i="4"/>
  <c r="N44" i="4"/>
  <c r="L44" i="4"/>
  <c r="AS44" i="4"/>
  <c r="J44" i="4"/>
  <c r="AP44" i="4"/>
  <c r="AR44" i="4"/>
  <c r="AT44" i="4"/>
  <c r="H44" i="4"/>
  <c r="AF44" i="4"/>
  <c r="M44" i="4"/>
  <c r="AO44" i="4"/>
  <c r="G44" i="4"/>
  <c r="I44" i="4"/>
  <c r="AQ44" i="4"/>
  <c r="E44" i="4"/>
  <c r="F44" i="4" s="1"/>
  <c r="AC46" i="28"/>
  <c r="B45" i="28"/>
  <c r="Q44" i="28"/>
  <c r="S44" i="28"/>
  <c r="R44" i="28"/>
  <c r="AU40" i="4"/>
  <c r="AV40" i="4" s="1"/>
  <c r="AN40" i="4"/>
  <c r="V43" i="4"/>
  <c r="AW43" i="4" s="1"/>
  <c r="T43" i="4"/>
  <c r="S43" i="4"/>
  <c r="AA43" i="4" s="1"/>
  <c r="W43" i="4"/>
  <c r="AB43" i="4" s="1"/>
  <c r="R43" i="4"/>
  <c r="Z43" i="4" s="1"/>
  <c r="Y43" i="4"/>
  <c r="AD43" i="4" s="1"/>
  <c r="X43" i="4"/>
  <c r="AC43" i="4" s="1"/>
  <c r="U43" i="4"/>
  <c r="X42" i="29"/>
  <c r="W42" i="29"/>
  <c r="G42" i="29" s="1"/>
  <c r="V44" i="29"/>
  <c r="B43" i="29"/>
  <c r="P42" i="28"/>
  <c r="U42" i="28"/>
  <c r="V42" i="28" s="1"/>
  <c r="X42" i="28" s="1"/>
  <c r="BD44" i="4"/>
  <c r="BE44" i="4"/>
  <c r="H41" i="29"/>
  <c r="J41" i="29" s="1"/>
  <c r="I43" i="28"/>
  <c r="K43" i="28" s="1"/>
  <c r="N43" i="28" s="1"/>
  <c r="J43" i="28"/>
  <c r="Y43" i="28" s="1"/>
  <c r="AD44" i="28"/>
  <c r="AE44" i="28"/>
  <c r="AL42" i="4"/>
  <c r="N40" i="29"/>
  <c r="O40" i="29" s="1"/>
  <c r="L40" i="29"/>
  <c r="A635" i="28"/>
  <c r="AX43" i="4" l="1"/>
  <c r="AN41" i="4"/>
  <c r="Z43" i="28"/>
  <c r="E43" i="29"/>
  <c r="M43" i="29"/>
  <c r="K43" i="29"/>
  <c r="E45" i="28"/>
  <c r="W45" i="28"/>
  <c r="T45" i="28"/>
  <c r="H42" i="29"/>
  <c r="J42" i="29" s="1"/>
  <c r="AN42" i="4"/>
  <c r="AU42" i="4"/>
  <c r="AV42" i="4" s="1"/>
  <c r="I44" i="28"/>
  <c r="K44" i="28" s="1"/>
  <c r="N44" i="28" s="1"/>
  <c r="J44" i="28"/>
  <c r="Y44" i="28" s="1"/>
  <c r="U43" i="28"/>
  <c r="V43" i="28" s="1"/>
  <c r="X43" i="28" s="1"/>
  <c r="P43" i="28"/>
  <c r="V45" i="29"/>
  <c r="B44" i="29"/>
  <c r="O44" i="28"/>
  <c r="S45" i="28"/>
  <c r="Q45" i="28"/>
  <c r="R45" i="28"/>
  <c r="AD45" i="28"/>
  <c r="AE45" i="28"/>
  <c r="AM44" i="4"/>
  <c r="BD45" i="4"/>
  <c r="BE45" i="4"/>
  <c r="BC47" i="4"/>
  <c r="B46" i="4"/>
  <c r="AH42" i="4"/>
  <c r="L41" i="29"/>
  <c r="N41" i="29"/>
  <c r="O41" i="29" s="1"/>
  <c r="X44" i="4"/>
  <c r="AC44" i="4" s="1"/>
  <c r="R44" i="4"/>
  <c r="Z44" i="4" s="1"/>
  <c r="T44" i="4"/>
  <c r="W44" i="4"/>
  <c r="AB44" i="4" s="1"/>
  <c r="U44" i="4"/>
  <c r="V44" i="4"/>
  <c r="AW44" i="4" s="1"/>
  <c r="Y44" i="4"/>
  <c r="AD44" i="4" s="1"/>
  <c r="S44" i="4"/>
  <c r="AA44" i="4" s="1"/>
  <c r="X43" i="29"/>
  <c r="W43" i="29"/>
  <c r="G43" i="29" s="1"/>
  <c r="AG43" i="4"/>
  <c r="AC47" i="28"/>
  <c r="B46" i="28"/>
  <c r="AP45" i="4"/>
  <c r="AR45" i="4"/>
  <c r="E45" i="4"/>
  <c r="N45" i="4"/>
  <c r="L45" i="4"/>
  <c r="H45" i="4"/>
  <c r="I45" i="4"/>
  <c r="J45" i="4"/>
  <c r="AO45" i="4"/>
  <c r="AT45" i="4"/>
  <c r="G45" i="4"/>
  <c r="AF45" i="4"/>
  <c r="M45" i="4"/>
  <c r="AS45" i="4"/>
  <c r="AQ45" i="4"/>
  <c r="A636" i="28"/>
  <c r="K44" i="29" l="1"/>
  <c r="E44" i="29"/>
  <c r="M44" i="29"/>
  <c r="E46" i="28"/>
  <c r="W46" i="28"/>
  <c r="T46" i="28"/>
  <c r="AX44" i="4"/>
  <c r="AL43" i="4"/>
  <c r="AH43" i="4"/>
  <c r="AG44" i="4"/>
  <c r="B47" i="28"/>
  <c r="AC48" i="28"/>
  <c r="B47" i="4"/>
  <c r="BC48" i="4"/>
  <c r="Z44" i="28"/>
  <c r="W44" i="29"/>
  <c r="G44" i="29" s="1"/>
  <c r="X44" i="29"/>
  <c r="H43" i="29"/>
  <c r="J43" i="29" s="1"/>
  <c r="U44" i="28"/>
  <c r="V44" i="28" s="1"/>
  <c r="X44" i="28" s="1"/>
  <c r="P44" i="28"/>
  <c r="AM45" i="4"/>
  <c r="R46" i="28"/>
  <c r="S46" i="28"/>
  <c r="Q46" i="28"/>
  <c r="AE46" i="28"/>
  <c r="AD46" i="28"/>
  <c r="AF46" i="4"/>
  <c r="L46" i="4"/>
  <c r="AS46" i="4"/>
  <c r="AQ46" i="4"/>
  <c r="AP46" i="4"/>
  <c r="H46" i="4"/>
  <c r="AR46" i="4"/>
  <c r="N46" i="4"/>
  <c r="M46" i="4"/>
  <c r="AT46" i="4"/>
  <c r="G46" i="4"/>
  <c r="E46" i="4"/>
  <c r="I46" i="4"/>
  <c r="J46" i="4"/>
  <c r="AO46" i="4"/>
  <c r="BD46" i="4"/>
  <c r="BE46" i="4"/>
  <c r="S45" i="4"/>
  <c r="AA45" i="4" s="1"/>
  <c r="T45" i="4"/>
  <c r="U45" i="4"/>
  <c r="R45" i="4"/>
  <c r="Z45" i="4" s="1"/>
  <c r="W45" i="4"/>
  <c r="AB45" i="4" s="1"/>
  <c r="X45" i="4"/>
  <c r="AC45" i="4" s="1"/>
  <c r="Y45" i="4"/>
  <c r="AD45" i="4" s="1"/>
  <c r="V45" i="4"/>
  <c r="AW45" i="4" s="1"/>
  <c r="J45" i="28"/>
  <c r="Y45" i="28" s="1"/>
  <c r="I45" i="28"/>
  <c r="K45" i="28" s="1"/>
  <c r="O45" i="28"/>
  <c r="V46" i="29"/>
  <c r="B45" i="29"/>
  <c r="N42" i="29"/>
  <c r="O42" i="29" s="1"/>
  <c r="L42" i="29"/>
  <c r="A637" i="28"/>
  <c r="N45" i="28" l="1"/>
  <c r="M45" i="29"/>
  <c r="K45" i="29"/>
  <c r="E45" i="29"/>
  <c r="E47" i="28"/>
  <c r="W47" i="28"/>
  <c r="T47" i="28"/>
  <c r="AN43" i="4"/>
  <c r="AU43" i="4"/>
  <c r="AV43" i="4" s="1"/>
  <c r="AL44" i="4"/>
  <c r="AH44" i="4"/>
  <c r="X45" i="29"/>
  <c r="W45" i="29"/>
  <c r="G45" i="29" s="1"/>
  <c r="Z45" i="28"/>
  <c r="I46" i="28"/>
  <c r="K46" i="28" s="1"/>
  <c r="N46" i="28" s="1"/>
  <c r="J46" i="28"/>
  <c r="Y46" i="28" s="1"/>
  <c r="H44" i="29"/>
  <c r="J44" i="29" s="1"/>
  <c r="BC49" i="4"/>
  <c r="B48" i="4"/>
  <c r="B48" i="28"/>
  <c r="AC49" i="28"/>
  <c r="AD47" i="28"/>
  <c r="AE47" i="28"/>
  <c r="V47" i="29"/>
  <c r="B46" i="29"/>
  <c r="P45" i="28"/>
  <c r="U45" i="28"/>
  <c r="V45" i="28" s="1"/>
  <c r="X45" i="28" s="1"/>
  <c r="AG45" i="4"/>
  <c r="AX45" i="4"/>
  <c r="U46" i="4"/>
  <c r="V46" i="4"/>
  <c r="AW46" i="4" s="1"/>
  <c r="R46" i="4"/>
  <c r="Z46" i="4" s="1"/>
  <c r="X46" i="4"/>
  <c r="AC46" i="4" s="1"/>
  <c r="W46" i="4"/>
  <c r="AB46" i="4" s="1"/>
  <c r="Y46" i="4"/>
  <c r="AD46" i="4" s="1"/>
  <c r="S46" i="4"/>
  <c r="AA46" i="4" s="1"/>
  <c r="T46" i="4"/>
  <c r="AM46" i="4"/>
  <c r="O46" i="28"/>
  <c r="N43" i="29"/>
  <c r="O43" i="29" s="1"/>
  <c r="L43" i="29"/>
  <c r="AF47" i="4"/>
  <c r="AT47" i="4"/>
  <c r="AP47" i="4"/>
  <c r="L47" i="4"/>
  <c r="J47" i="4"/>
  <c r="AR47" i="4"/>
  <c r="G47" i="4"/>
  <c r="AO47" i="4"/>
  <c r="N47" i="4"/>
  <c r="M47" i="4"/>
  <c r="AQ47" i="4"/>
  <c r="AS47" i="4"/>
  <c r="I47" i="4"/>
  <c r="H47" i="4"/>
  <c r="E47" i="4"/>
  <c r="BE47" i="4"/>
  <c r="BD47" i="4"/>
  <c r="Q47" i="28"/>
  <c r="S47" i="28"/>
  <c r="R47" i="28"/>
  <c r="A638" i="28"/>
  <c r="M46" i="29" l="1"/>
  <c r="E46" i="29"/>
  <c r="K46" i="29"/>
  <c r="E48" i="28"/>
  <c r="W48" i="28"/>
  <c r="T48" i="28"/>
  <c r="AH45" i="4"/>
  <c r="AN44" i="4"/>
  <c r="AU44" i="4"/>
  <c r="AV44" i="4" s="1"/>
  <c r="H45" i="29"/>
  <c r="J45" i="29" s="1"/>
  <c r="AX46" i="4"/>
  <c r="V47" i="4"/>
  <c r="AW47" i="4" s="1"/>
  <c r="R47" i="4"/>
  <c r="Z47" i="4" s="1"/>
  <c r="X47" i="4"/>
  <c r="AC47" i="4" s="1"/>
  <c r="U47" i="4"/>
  <c r="T47" i="4"/>
  <c r="W47" i="4"/>
  <c r="AB47" i="4" s="1"/>
  <c r="S47" i="4"/>
  <c r="AA47" i="4" s="1"/>
  <c r="Y47" i="4"/>
  <c r="AD47" i="4" s="1"/>
  <c r="AM47" i="4"/>
  <c r="AG46" i="4"/>
  <c r="V48" i="29"/>
  <c r="B47" i="29"/>
  <c r="AC50" i="28"/>
  <c r="B49" i="28"/>
  <c r="AE48" i="28"/>
  <c r="AD48" i="28"/>
  <c r="BC50" i="4"/>
  <c r="B49" i="4"/>
  <c r="P46" i="28"/>
  <c r="U46" i="28"/>
  <c r="V46" i="28" s="1"/>
  <c r="X46" i="28" s="1"/>
  <c r="AL45" i="4"/>
  <c r="O47" i="28"/>
  <c r="Z46" i="28"/>
  <c r="X46" i="29"/>
  <c r="W46" i="29"/>
  <c r="G46" i="29" s="1"/>
  <c r="I47" i="28"/>
  <c r="K47" i="28" s="1"/>
  <c r="J47" i="28"/>
  <c r="Y47" i="28" s="1"/>
  <c r="Q48" i="28"/>
  <c r="R48" i="28"/>
  <c r="S48" i="28"/>
  <c r="BE48" i="4"/>
  <c r="BD48" i="4"/>
  <c r="G48" i="4"/>
  <c r="M48" i="4"/>
  <c r="L48" i="4"/>
  <c r="AT48" i="4"/>
  <c r="AS48" i="4"/>
  <c r="AR48" i="4"/>
  <c r="E48" i="4"/>
  <c r="F48" i="4" s="1"/>
  <c r="AF48" i="4"/>
  <c r="AO48" i="4"/>
  <c r="AP48" i="4"/>
  <c r="N48" i="4"/>
  <c r="AQ48" i="4"/>
  <c r="I48" i="4"/>
  <c r="J48" i="4"/>
  <c r="H48" i="4"/>
  <c r="L44" i="29"/>
  <c r="N44" i="29"/>
  <c r="O44" i="29" s="1"/>
  <c r="A639" i="28"/>
  <c r="N47" i="28" l="1"/>
  <c r="P47" i="28" s="1"/>
  <c r="E47" i="29"/>
  <c r="M47" i="29"/>
  <c r="K47" i="29"/>
  <c r="E49" i="28"/>
  <c r="W49" i="28"/>
  <c r="T49" i="28"/>
  <c r="AL46" i="4"/>
  <c r="AN46" i="4" s="1"/>
  <c r="AX47" i="4"/>
  <c r="AG47" i="4"/>
  <c r="L45" i="29"/>
  <c r="N45" i="29"/>
  <c r="O45" i="29" s="1"/>
  <c r="T48" i="4"/>
  <c r="U48" i="4"/>
  <c r="R48" i="4"/>
  <c r="Z48" i="4" s="1"/>
  <c r="S48" i="4"/>
  <c r="AA48" i="4" s="1"/>
  <c r="W48" i="4"/>
  <c r="AB48" i="4" s="1"/>
  <c r="X48" i="4"/>
  <c r="AC48" i="4" s="1"/>
  <c r="V48" i="4"/>
  <c r="AW48" i="4" s="1"/>
  <c r="Y48" i="4"/>
  <c r="AD48" i="4" s="1"/>
  <c r="O48" i="28"/>
  <c r="AR49" i="4"/>
  <c r="J49" i="4"/>
  <c r="E49" i="4"/>
  <c r="AO49" i="4"/>
  <c r="N49" i="4"/>
  <c r="AS49" i="4"/>
  <c r="I49" i="4"/>
  <c r="L49" i="4"/>
  <c r="AP49" i="4"/>
  <c r="AT49" i="4"/>
  <c r="G49" i="4"/>
  <c r="H49" i="4"/>
  <c r="AQ49" i="4"/>
  <c r="M49" i="4"/>
  <c r="AF49" i="4"/>
  <c r="BE49" i="4"/>
  <c r="BD49" i="4"/>
  <c r="I48" i="28"/>
  <c r="K48" i="28" s="1"/>
  <c r="N48" i="28" s="1"/>
  <c r="J48" i="28"/>
  <c r="Y48" i="28" s="1"/>
  <c r="R49" i="28"/>
  <c r="Q49" i="28"/>
  <c r="S49" i="28"/>
  <c r="AE49" i="28"/>
  <c r="AD49" i="28"/>
  <c r="X47" i="29"/>
  <c r="W47" i="29"/>
  <c r="G47" i="29" s="1"/>
  <c r="V49" i="29"/>
  <c r="B48" i="29"/>
  <c r="H46" i="29"/>
  <c r="J46" i="29" s="1"/>
  <c r="AM48" i="4"/>
  <c r="U47" i="28"/>
  <c r="V47" i="28" s="1"/>
  <c r="X47" i="28" s="1"/>
  <c r="Z47" i="28"/>
  <c r="AU45" i="4"/>
  <c r="AV45" i="4" s="1"/>
  <c r="AN45" i="4"/>
  <c r="B50" i="4"/>
  <c r="BC51" i="4"/>
  <c r="B50" i="28"/>
  <c r="AC51" i="28"/>
  <c r="AH46" i="4"/>
  <c r="A640" i="28"/>
  <c r="K48" i="29" l="1"/>
  <c r="E48" i="29"/>
  <c r="M48" i="29"/>
  <c r="AU46" i="4"/>
  <c r="AV46" i="4" s="1"/>
  <c r="E50" i="28"/>
  <c r="W50" i="28"/>
  <c r="T50" i="28"/>
  <c r="AH47" i="4"/>
  <c r="H47" i="29"/>
  <c r="J47" i="29" s="1"/>
  <c r="R50" i="28"/>
  <c r="S50" i="28"/>
  <c r="Q50" i="28"/>
  <c r="B51" i="4"/>
  <c r="BC52" i="4"/>
  <c r="BD50" i="4"/>
  <c r="BE50" i="4"/>
  <c r="AL47" i="4"/>
  <c r="W48" i="29"/>
  <c r="G48" i="29" s="1"/>
  <c r="X48" i="29"/>
  <c r="O49" i="28"/>
  <c r="U48" i="28"/>
  <c r="V48" i="28" s="1"/>
  <c r="X48" i="28" s="1"/>
  <c r="P48" i="28"/>
  <c r="B51" i="28"/>
  <c r="AC52" i="28"/>
  <c r="AE50" i="28"/>
  <c r="AD50" i="28"/>
  <c r="AT50" i="4"/>
  <c r="AF50" i="4"/>
  <c r="L50" i="4"/>
  <c r="AR50" i="4"/>
  <c r="J50" i="4"/>
  <c r="AS50" i="4"/>
  <c r="I50" i="4"/>
  <c r="H50" i="4"/>
  <c r="G50" i="4"/>
  <c r="N50" i="4"/>
  <c r="M50" i="4"/>
  <c r="AQ50" i="4"/>
  <c r="AO50" i="4"/>
  <c r="E50" i="4"/>
  <c r="AP50" i="4"/>
  <c r="L46" i="29"/>
  <c r="N46" i="29"/>
  <c r="O46" i="29" s="1"/>
  <c r="V50" i="29"/>
  <c r="B49" i="29"/>
  <c r="J49" i="28"/>
  <c r="Y49" i="28" s="1"/>
  <c r="I49" i="28"/>
  <c r="K49" i="28" s="1"/>
  <c r="T49" i="4"/>
  <c r="Y49" i="4"/>
  <c r="AD49" i="4" s="1"/>
  <c r="R49" i="4"/>
  <c r="Z49" i="4" s="1"/>
  <c r="S49" i="4"/>
  <c r="AA49" i="4" s="1"/>
  <c r="W49" i="4"/>
  <c r="AB49" i="4" s="1"/>
  <c r="V49" i="4"/>
  <c r="AW49" i="4" s="1"/>
  <c r="X49" i="4"/>
  <c r="AC49" i="4" s="1"/>
  <c r="U49" i="4"/>
  <c r="AM49" i="4"/>
  <c r="Z48" i="28"/>
  <c r="AG48" i="4"/>
  <c r="AX48" i="4"/>
  <c r="A641" i="28"/>
  <c r="N49" i="28" l="1"/>
  <c r="P49" i="28" s="1"/>
  <c r="M49" i="29"/>
  <c r="K49" i="29"/>
  <c r="E49" i="29"/>
  <c r="E51" i="28"/>
  <c r="W51" i="28"/>
  <c r="T51" i="28"/>
  <c r="O50" i="28"/>
  <c r="AL48" i="4"/>
  <c r="AN48" i="4" s="1"/>
  <c r="AG49" i="4"/>
  <c r="AH48" i="4"/>
  <c r="AX49" i="4"/>
  <c r="W49" i="29"/>
  <c r="G49" i="29" s="1"/>
  <c r="X49" i="29"/>
  <c r="V51" i="29"/>
  <c r="B50" i="29"/>
  <c r="AD51" i="28"/>
  <c r="AE51" i="28"/>
  <c r="Z49" i="28"/>
  <c r="BC53" i="4"/>
  <c r="B52" i="4"/>
  <c r="L47" i="29"/>
  <c r="N47" i="29"/>
  <c r="O47" i="29" s="1"/>
  <c r="AM50" i="4"/>
  <c r="J50" i="28"/>
  <c r="Y50" i="28" s="1"/>
  <c r="I50" i="28"/>
  <c r="K50" i="28" s="1"/>
  <c r="N50" i="28" s="1"/>
  <c r="B52" i="28"/>
  <c r="AC53" i="28"/>
  <c r="R51" i="28"/>
  <c r="Q51" i="28"/>
  <c r="S51" i="28"/>
  <c r="H48" i="29"/>
  <c r="J48" i="29" s="1"/>
  <c r="AN47" i="4"/>
  <c r="AU47" i="4"/>
  <c r="AV47" i="4" s="1"/>
  <c r="U50" i="4"/>
  <c r="T50" i="4"/>
  <c r="S50" i="4"/>
  <c r="AA50" i="4" s="1"/>
  <c r="R50" i="4"/>
  <c r="Z50" i="4" s="1"/>
  <c r="X50" i="4"/>
  <c r="AC50" i="4" s="1"/>
  <c r="Y50" i="4"/>
  <c r="AD50" i="4" s="1"/>
  <c r="V50" i="4"/>
  <c r="AW50" i="4" s="1"/>
  <c r="W50" i="4"/>
  <c r="AB50" i="4" s="1"/>
  <c r="BE51" i="4"/>
  <c r="BD51" i="4"/>
  <c r="I51" i="4"/>
  <c r="J51" i="4"/>
  <c r="AF51" i="4"/>
  <c r="AS51" i="4"/>
  <c r="AO51" i="4"/>
  <c r="M51" i="4"/>
  <c r="AQ51" i="4"/>
  <c r="AR51" i="4"/>
  <c r="E51" i="4"/>
  <c r="L51" i="4"/>
  <c r="N51" i="4"/>
  <c r="AT51" i="4"/>
  <c r="G51" i="4"/>
  <c r="H51" i="4"/>
  <c r="AP51" i="4"/>
  <c r="A642" i="28"/>
  <c r="U49" i="28" l="1"/>
  <c r="V49" i="28" s="1"/>
  <c r="X49" i="28" s="1"/>
  <c r="AL49" i="4"/>
  <c r="M50" i="29"/>
  <c r="K50" i="29"/>
  <c r="E50" i="29"/>
  <c r="E52" i="28"/>
  <c r="W52" i="28"/>
  <c r="T52" i="28"/>
  <c r="Z50" i="28"/>
  <c r="AU48" i="4"/>
  <c r="AV48" i="4" s="1"/>
  <c r="AM51" i="4"/>
  <c r="U51" i="4"/>
  <c r="S51" i="4"/>
  <c r="AA51" i="4" s="1"/>
  <c r="T51" i="4"/>
  <c r="R51" i="4"/>
  <c r="Z51" i="4" s="1"/>
  <c r="Y51" i="4"/>
  <c r="AD51" i="4" s="1"/>
  <c r="V51" i="4"/>
  <c r="AW51" i="4" s="1"/>
  <c r="W51" i="4"/>
  <c r="AB51" i="4" s="1"/>
  <c r="X51" i="4"/>
  <c r="AC51" i="4" s="1"/>
  <c r="AG50" i="4"/>
  <c r="AE52" i="28"/>
  <c r="AD52" i="28"/>
  <c r="P50" i="28"/>
  <c r="U50" i="28"/>
  <c r="V50" i="28" s="1"/>
  <c r="X50" i="28" s="1"/>
  <c r="H49" i="29"/>
  <c r="J49" i="29" s="1"/>
  <c r="AH49" i="4"/>
  <c r="L52" i="4"/>
  <c r="AT52" i="4"/>
  <c r="AS52" i="4"/>
  <c r="N52" i="4"/>
  <c r="I52" i="4"/>
  <c r="G52" i="4"/>
  <c r="E52" i="4"/>
  <c r="AR52" i="4"/>
  <c r="H52" i="4"/>
  <c r="M52" i="4"/>
  <c r="AF52" i="4"/>
  <c r="AO52" i="4"/>
  <c r="J52" i="4"/>
  <c r="AP52" i="4"/>
  <c r="AQ52" i="4"/>
  <c r="X50" i="29"/>
  <c r="W50" i="29"/>
  <c r="G50" i="29" s="1"/>
  <c r="V52" i="29"/>
  <c r="B51" i="29"/>
  <c r="AX50" i="4"/>
  <c r="L48" i="29"/>
  <c r="N48" i="29"/>
  <c r="O48" i="29" s="1"/>
  <c r="AN49" i="4"/>
  <c r="AU49" i="4"/>
  <c r="AV49" i="4" s="1"/>
  <c r="O51" i="28"/>
  <c r="AC54" i="28"/>
  <c r="B53" i="28"/>
  <c r="Q52" i="28"/>
  <c r="S52" i="28"/>
  <c r="R52" i="28"/>
  <c r="BD52" i="4"/>
  <c r="BE52" i="4"/>
  <c r="BC54" i="4"/>
  <c r="B53" i="4"/>
  <c r="I51" i="28"/>
  <c r="K51" i="28" s="1"/>
  <c r="J51" i="28"/>
  <c r="Y51" i="28" s="1"/>
  <c r="A643" i="28"/>
  <c r="N51" i="28" l="1"/>
  <c r="E51" i="29"/>
  <c r="K51" i="29"/>
  <c r="M51" i="29"/>
  <c r="E53" i="28"/>
  <c r="W53" i="28"/>
  <c r="T53" i="28"/>
  <c r="AL50" i="4"/>
  <c r="H50" i="29"/>
  <c r="J50" i="29" s="1"/>
  <c r="B54" i="4"/>
  <c r="BC55" i="4"/>
  <c r="BE53" i="4"/>
  <c r="BD53" i="4"/>
  <c r="O52" i="28"/>
  <c r="AE53" i="28"/>
  <c r="AD53" i="28"/>
  <c r="Z51" i="28"/>
  <c r="V53" i="29"/>
  <c r="B52" i="29"/>
  <c r="AM52" i="4"/>
  <c r="N49" i="29"/>
  <c r="O49" i="29" s="1"/>
  <c r="L49" i="29"/>
  <c r="AH50" i="4"/>
  <c r="AX51" i="4"/>
  <c r="P51" i="28"/>
  <c r="U51" i="28"/>
  <c r="V51" i="28" s="1"/>
  <c r="X51" i="28" s="1"/>
  <c r="N53" i="4"/>
  <c r="M53" i="4"/>
  <c r="AT53" i="4"/>
  <c r="AR53" i="4"/>
  <c r="I53" i="4"/>
  <c r="AS53" i="4"/>
  <c r="AF53" i="4"/>
  <c r="AP53" i="4"/>
  <c r="L53" i="4"/>
  <c r="AO53" i="4"/>
  <c r="G53" i="4"/>
  <c r="H53" i="4"/>
  <c r="AQ53" i="4"/>
  <c r="E53" i="4"/>
  <c r="J53" i="4"/>
  <c r="Y52" i="4"/>
  <c r="AD52" i="4" s="1"/>
  <c r="X52" i="4"/>
  <c r="AC52" i="4" s="1"/>
  <c r="U52" i="4"/>
  <c r="R52" i="4"/>
  <c r="Z52" i="4" s="1"/>
  <c r="W52" i="4"/>
  <c r="AB52" i="4" s="1"/>
  <c r="V52" i="4"/>
  <c r="AW52" i="4" s="1"/>
  <c r="S52" i="4"/>
  <c r="AA52" i="4" s="1"/>
  <c r="T52" i="4"/>
  <c r="Q53" i="28"/>
  <c r="S53" i="28"/>
  <c r="R53" i="28"/>
  <c r="AC55" i="28"/>
  <c r="B54" i="28"/>
  <c r="W51" i="29"/>
  <c r="G51" i="29" s="1"/>
  <c r="X51" i="29"/>
  <c r="J52" i="28"/>
  <c r="Y52" i="28" s="1"/>
  <c r="I52" i="28"/>
  <c r="K52" i="28" s="1"/>
  <c r="N52" i="28" s="1"/>
  <c r="AG51" i="4"/>
  <c r="A644" i="28"/>
  <c r="AN50" i="4" l="1"/>
  <c r="K52" i="29"/>
  <c r="E52" i="29"/>
  <c r="M52" i="29"/>
  <c r="E54" i="28"/>
  <c r="W54" i="28"/>
  <c r="T54" i="28"/>
  <c r="AU50" i="4"/>
  <c r="AV50" i="4" s="1"/>
  <c r="AL51" i="4"/>
  <c r="AN51" i="4" s="1"/>
  <c r="AC56" i="28"/>
  <c r="B55" i="28"/>
  <c r="O53" i="28"/>
  <c r="AX52" i="4"/>
  <c r="AG52" i="4"/>
  <c r="AM53" i="4"/>
  <c r="H51" i="29"/>
  <c r="J51" i="29" s="1"/>
  <c r="S53" i="4"/>
  <c r="AA53" i="4" s="1"/>
  <c r="U53" i="4"/>
  <c r="Y53" i="4"/>
  <c r="AD53" i="4" s="1"/>
  <c r="V53" i="4"/>
  <c r="AW53" i="4" s="1"/>
  <c r="T53" i="4"/>
  <c r="R53" i="4"/>
  <c r="Z53" i="4" s="1"/>
  <c r="W53" i="4"/>
  <c r="AB53" i="4" s="1"/>
  <c r="X53" i="4"/>
  <c r="AC53" i="4" s="1"/>
  <c r="B55" i="4"/>
  <c r="BC56" i="4"/>
  <c r="AH51" i="4"/>
  <c r="U52" i="28"/>
  <c r="V52" i="28" s="1"/>
  <c r="X52" i="28" s="1"/>
  <c r="P52" i="28"/>
  <c r="R54" i="28"/>
  <c r="S54" i="28"/>
  <c r="Q54" i="28"/>
  <c r="AE54" i="28"/>
  <c r="AD54" i="28"/>
  <c r="W52" i="29"/>
  <c r="G52" i="29" s="1"/>
  <c r="X52" i="29"/>
  <c r="V54" i="29"/>
  <c r="B53" i="29"/>
  <c r="I53" i="28"/>
  <c r="K53" i="28" s="1"/>
  <c r="N53" i="28" s="1"/>
  <c r="J53" i="28"/>
  <c r="Y53" i="28" s="1"/>
  <c r="Z52" i="28"/>
  <c r="BE54" i="4"/>
  <c r="BD54" i="4"/>
  <c r="AR54" i="4"/>
  <c r="I54" i="4"/>
  <c r="AS54" i="4"/>
  <c r="AO54" i="4"/>
  <c r="AT54" i="4"/>
  <c r="H54" i="4"/>
  <c r="L54" i="4"/>
  <c r="AF54" i="4"/>
  <c r="M54" i="4"/>
  <c r="AP54" i="4"/>
  <c r="E54" i="4"/>
  <c r="G54" i="4"/>
  <c r="J54" i="4"/>
  <c r="AQ54" i="4"/>
  <c r="N54" i="4"/>
  <c r="L50" i="29"/>
  <c r="N50" i="29"/>
  <c r="O50" i="29" s="1"/>
  <c r="A645" i="28"/>
  <c r="M53" i="29" l="1"/>
  <c r="K53" i="29"/>
  <c r="E53" i="29"/>
  <c r="E55" i="28"/>
  <c r="W55" i="28"/>
  <c r="T55" i="28"/>
  <c r="AU51" i="4"/>
  <c r="AV51" i="4" s="1"/>
  <c r="AL52" i="4"/>
  <c r="AN52" i="4" s="1"/>
  <c r="AM54" i="4"/>
  <c r="P53" i="28"/>
  <c r="U53" i="28"/>
  <c r="V53" i="28" s="1"/>
  <c r="X53" i="28" s="1"/>
  <c r="X53" i="29"/>
  <c r="W53" i="29"/>
  <c r="G53" i="29" s="1"/>
  <c r="O54" i="28"/>
  <c r="BC57" i="4"/>
  <c r="B56" i="4"/>
  <c r="L55" i="4"/>
  <c r="I55" i="4"/>
  <c r="AT55" i="4"/>
  <c r="G55" i="4"/>
  <c r="AQ55" i="4"/>
  <c r="AP55" i="4"/>
  <c r="M55" i="4"/>
  <c r="AF55" i="4"/>
  <c r="J55" i="4"/>
  <c r="E55" i="4"/>
  <c r="AS55" i="4"/>
  <c r="AR55" i="4"/>
  <c r="AO55" i="4"/>
  <c r="H55" i="4"/>
  <c r="N55" i="4"/>
  <c r="H52" i="29"/>
  <c r="J52" i="29" s="1"/>
  <c r="AH52" i="4"/>
  <c r="Z53" i="28"/>
  <c r="R55" i="28"/>
  <c r="S55" i="28"/>
  <c r="Q55" i="28"/>
  <c r="AE55" i="28"/>
  <c r="AD55" i="28"/>
  <c r="S54" i="4"/>
  <c r="AA54" i="4" s="1"/>
  <c r="W54" i="4"/>
  <c r="AB54" i="4" s="1"/>
  <c r="R54" i="4"/>
  <c r="Z54" i="4" s="1"/>
  <c r="Y54" i="4"/>
  <c r="AD54" i="4" s="1"/>
  <c r="U54" i="4"/>
  <c r="X54" i="4"/>
  <c r="AC54" i="4" s="1"/>
  <c r="T54" i="4"/>
  <c r="V54" i="4"/>
  <c r="AW54" i="4" s="1"/>
  <c r="V55" i="29"/>
  <c r="B54" i="29"/>
  <c r="I54" i="28"/>
  <c r="K54" i="28" s="1"/>
  <c r="N54" i="28" s="1"/>
  <c r="J54" i="28"/>
  <c r="Y54" i="28" s="1"/>
  <c r="BE55" i="4"/>
  <c r="BD55" i="4"/>
  <c r="AG53" i="4"/>
  <c r="AX53" i="4"/>
  <c r="L51" i="29"/>
  <c r="N51" i="29"/>
  <c r="O51" i="29" s="1"/>
  <c r="AH53" i="4"/>
  <c r="B56" i="28"/>
  <c r="AC57" i="28"/>
  <c r="A646" i="28"/>
  <c r="M54" i="29" l="1"/>
  <c r="K54" i="29"/>
  <c r="E54" i="29"/>
  <c r="E56" i="28"/>
  <c r="W56" i="28"/>
  <c r="T56" i="28"/>
  <c r="AU52" i="4"/>
  <c r="AV52" i="4" s="1"/>
  <c r="AX54" i="4"/>
  <c r="AC58" i="28"/>
  <c r="B57" i="28"/>
  <c r="AE56" i="28"/>
  <c r="AD56" i="28"/>
  <c r="X54" i="29"/>
  <c r="W54" i="29"/>
  <c r="G54" i="29" s="1"/>
  <c r="I55" i="28"/>
  <c r="K55" i="28" s="1"/>
  <c r="N55" i="28" s="1"/>
  <c r="J55" i="28"/>
  <c r="Y55" i="28" s="1"/>
  <c r="O55" i="28"/>
  <c r="AM55" i="4"/>
  <c r="BD56" i="4"/>
  <c r="BE56" i="4"/>
  <c r="BC58" i="4"/>
  <c r="B57" i="4"/>
  <c r="S56" i="28"/>
  <c r="Q56" i="28"/>
  <c r="R56" i="28"/>
  <c r="R55" i="4"/>
  <c r="Z55" i="4" s="1"/>
  <c r="W55" i="4"/>
  <c r="AB55" i="4" s="1"/>
  <c r="X55" i="4"/>
  <c r="AC55" i="4" s="1"/>
  <c r="T55" i="4"/>
  <c r="S55" i="4"/>
  <c r="AA55" i="4" s="1"/>
  <c r="V55" i="4"/>
  <c r="AW55" i="4" s="1"/>
  <c r="Y55" i="4"/>
  <c r="AD55" i="4" s="1"/>
  <c r="U55" i="4"/>
  <c r="U54" i="28"/>
  <c r="V54" i="28" s="1"/>
  <c r="X54" i="28" s="1"/>
  <c r="P54" i="28"/>
  <c r="V56" i="29"/>
  <c r="B55" i="29"/>
  <c r="H53" i="29"/>
  <c r="J53" i="29" s="1"/>
  <c r="AG54" i="4"/>
  <c r="L52" i="29"/>
  <c r="N52" i="29"/>
  <c r="O52" i="29" s="1"/>
  <c r="AL53" i="4"/>
  <c r="J56" i="4"/>
  <c r="E56" i="4"/>
  <c r="AF56" i="4"/>
  <c r="AT56" i="4"/>
  <c r="L56" i="4"/>
  <c r="M56" i="4"/>
  <c r="AR56" i="4"/>
  <c r="H56" i="4"/>
  <c r="AS56" i="4"/>
  <c r="AP56" i="4"/>
  <c r="G56" i="4"/>
  <c r="N56" i="4"/>
  <c r="AO56" i="4"/>
  <c r="AQ56" i="4"/>
  <c r="I56" i="4"/>
  <c r="Z54" i="28"/>
  <c r="A647" i="28"/>
  <c r="E55" i="29" l="1"/>
  <c r="M55" i="29"/>
  <c r="K55" i="29"/>
  <c r="E57" i="28"/>
  <c r="W57" i="28"/>
  <c r="T57" i="28"/>
  <c r="H54" i="29"/>
  <c r="J54" i="29" s="1"/>
  <c r="AX55" i="4"/>
  <c r="AL54" i="4"/>
  <c r="AM56" i="4"/>
  <c r="AH54" i="4"/>
  <c r="W55" i="29"/>
  <c r="G55" i="29" s="1"/>
  <c r="X55" i="29"/>
  <c r="L57" i="4"/>
  <c r="M57" i="4"/>
  <c r="AP57" i="4"/>
  <c r="AO57" i="4"/>
  <c r="I57" i="4"/>
  <c r="G57" i="4"/>
  <c r="AQ57" i="4"/>
  <c r="E57" i="4"/>
  <c r="F57" i="4" s="1"/>
  <c r="AF57" i="4"/>
  <c r="N57" i="4"/>
  <c r="J57" i="4"/>
  <c r="AR57" i="4"/>
  <c r="AT57" i="4"/>
  <c r="AS57" i="4"/>
  <c r="H57" i="4"/>
  <c r="Y56" i="4"/>
  <c r="AD56" i="4" s="1"/>
  <c r="V56" i="4"/>
  <c r="AW56" i="4" s="1"/>
  <c r="U56" i="4"/>
  <c r="R56" i="4"/>
  <c r="Z56" i="4" s="1"/>
  <c r="W56" i="4"/>
  <c r="AB56" i="4" s="1"/>
  <c r="X56" i="4"/>
  <c r="AC56" i="4" s="1"/>
  <c r="T56" i="4"/>
  <c r="S56" i="4"/>
  <c r="AA56" i="4" s="1"/>
  <c r="J56" i="28"/>
  <c r="Y56" i="28" s="1"/>
  <c r="I56" i="28"/>
  <c r="K56" i="28" s="1"/>
  <c r="N56" i="28" s="1"/>
  <c r="R57" i="28"/>
  <c r="S57" i="28"/>
  <c r="Q57" i="28"/>
  <c r="AE57" i="28"/>
  <c r="AD57" i="28"/>
  <c r="AU53" i="4"/>
  <c r="AV53" i="4" s="1"/>
  <c r="AN53" i="4"/>
  <c r="L53" i="29"/>
  <c r="N53" i="29"/>
  <c r="O53" i="29" s="1"/>
  <c r="B56" i="29"/>
  <c r="V57" i="29"/>
  <c r="AG55" i="4"/>
  <c r="O56" i="28"/>
  <c r="BE57" i="4"/>
  <c r="BD57" i="4"/>
  <c r="BC59" i="4"/>
  <c r="B58" i="4"/>
  <c r="Z55" i="28"/>
  <c r="U55" i="28"/>
  <c r="V55" i="28" s="1"/>
  <c r="X55" i="28" s="1"/>
  <c r="P55" i="28"/>
  <c r="AC59" i="28"/>
  <c r="B58" i="28"/>
  <c r="A648" i="28"/>
  <c r="K56" i="29" l="1"/>
  <c r="E56" i="29"/>
  <c r="M56" i="29"/>
  <c r="E58" i="28"/>
  <c r="W58" i="28"/>
  <c r="T58" i="28"/>
  <c r="AU54" i="4"/>
  <c r="AV54" i="4" s="1"/>
  <c r="N54" i="29"/>
  <c r="O54" i="29" s="1"/>
  <c r="L54" i="29"/>
  <c r="O57" i="28"/>
  <c r="AN54" i="4"/>
  <c r="AX56" i="4"/>
  <c r="AH55" i="4"/>
  <c r="AD58" i="28"/>
  <c r="AE58" i="28"/>
  <c r="B59" i="4"/>
  <c r="BC60" i="4"/>
  <c r="X56" i="29"/>
  <c r="W56" i="29"/>
  <c r="G56" i="29" s="1"/>
  <c r="J57" i="28"/>
  <c r="Y57" i="28" s="1"/>
  <c r="I57" i="28"/>
  <c r="K57" i="28" s="1"/>
  <c r="N57" i="28" s="1"/>
  <c r="P56" i="28"/>
  <c r="U56" i="28"/>
  <c r="V56" i="28" s="1"/>
  <c r="X56" i="28" s="1"/>
  <c r="AM57" i="4"/>
  <c r="H55" i="29"/>
  <c r="J55" i="29" s="1"/>
  <c r="Q58" i="28"/>
  <c r="S58" i="28"/>
  <c r="R58" i="28"/>
  <c r="B59" i="28"/>
  <c r="AC60" i="28"/>
  <c r="AF58" i="4"/>
  <c r="AO58" i="4"/>
  <c r="M58" i="4"/>
  <c r="G58" i="4"/>
  <c r="J58" i="4"/>
  <c r="E58" i="4"/>
  <c r="AR58" i="4"/>
  <c r="N58" i="4"/>
  <c r="L58" i="4"/>
  <c r="H58" i="4"/>
  <c r="AS58" i="4"/>
  <c r="AQ58" i="4"/>
  <c r="AT58" i="4"/>
  <c r="I58" i="4"/>
  <c r="AP58" i="4"/>
  <c r="BE58" i="4"/>
  <c r="BD58" i="4"/>
  <c r="W57" i="4"/>
  <c r="AB57" i="4" s="1"/>
  <c r="X57" i="4"/>
  <c r="AC57" i="4" s="1"/>
  <c r="S57" i="4"/>
  <c r="AA57" i="4" s="1"/>
  <c r="T57" i="4"/>
  <c r="R57" i="4"/>
  <c r="Z57" i="4" s="1"/>
  <c r="U57" i="4"/>
  <c r="V57" i="4"/>
  <c r="AW57" i="4" s="1"/>
  <c r="Y57" i="4"/>
  <c r="AD57" i="4" s="1"/>
  <c r="Z56" i="28"/>
  <c r="AL55" i="4"/>
  <c r="B57" i="29"/>
  <c r="V58" i="29"/>
  <c r="AG56" i="4"/>
  <c r="AL56" i="4" s="1"/>
  <c r="A649" i="28"/>
  <c r="M57" i="29" l="1"/>
  <c r="K57" i="29"/>
  <c r="E57" i="29"/>
  <c r="E59" i="28"/>
  <c r="W59" i="28"/>
  <c r="T59" i="28"/>
  <c r="O58" i="28"/>
  <c r="Z57" i="28"/>
  <c r="H56" i="29"/>
  <c r="J56" i="29" s="1"/>
  <c r="AN56" i="4"/>
  <c r="AU56" i="4"/>
  <c r="AV56" i="4" s="1"/>
  <c r="X57" i="29"/>
  <c r="W57" i="29"/>
  <c r="G57" i="29" s="1"/>
  <c r="AX57" i="4"/>
  <c r="Q59" i="28"/>
  <c r="S59" i="28"/>
  <c r="R59" i="28"/>
  <c r="BD59" i="4"/>
  <c r="BE59" i="4"/>
  <c r="J58" i="28"/>
  <c r="Y58" i="28" s="1"/>
  <c r="I58" i="28"/>
  <c r="K58" i="28" s="1"/>
  <c r="N58" i="28" s="1"/>
  <c r="AH56" i="4"/>
  <c r="V59" i="29"/>
  <c r="B58" i="29"/>
  <c r="AN55" i="4"/>
  <c r="AU55" i="4"/>
  <c r="AV55" i="4" s="1"/>
  <c r="AG57" i="4"/>
  <c r="AL57" i="4" s="1"/>
  <c r="T58" i="4"/>
  <c r="R58" i="4"/>
  <c r="Z58" i="4" s="1"/>
  <c r="U58" i="4"/>
  <c r="S58" i="4"/>
  <c r="AA58" i="4" s="1"/>
  <c r="Y58" i="4"/>
  <c r="AD58" i="4" s="1"/>
  <c r="V58" i="4"/>
  <c r="AW58" i="4" s="1"/>
  <c r="W58" i="4"/>
  <c r="AB58" i="4" s="1"/>
  <c r="X58" i="4"/>
  <c r="AC58" i="4" s="1"/>
  <c r="AM58" i="4"/>
  <c r="B60" i="28"/>
  <c r="AC61" i="28"/>
  <c r="AE59" i="28"/>
  <c r="AD59" i="28"/>
  <c r="L55" i="29"/>
  <c r="N55" i="29"/>
  <c r="O55" i="29" s="1"/>
  <c r="P57" i="28"/>
  <c r="U57" i="28"/>
  <c r="V57" i="28" s="1"/>
  <c r="X57" i="28" s="1"/>
  <c r="BC61" i="4"/>
  <c r="B60" i="4"/>
  <c r="E59" i="4"/>
  <c r="AF59" i="4"/>
  <c r="L59" i="4"/>
  <c r="J59" i="4"/>
  <c r="AR59" i="4"/>
  <c r="AT59" i="4"/>
  <c r="H59" i="4"/>
  <c r="I59" i="4"/>
  <c r="AO59" i="4"/>
  <c r="N59" i="4"/>
  <c r="M59" i="4"/>
  <c r="G59" i="4"/>
  <c r="AP59" i="4"/>
  <c r="AS59" i="4"/>
  <c r="AQ59" i="4"/>
  <c r="A650" i="28"/>
  <c r="M58" i="29" l="1"/>
  <c r="K58" i="29"/>
  <c r="E58" i="29"/>
  <c r="E60" i="28"/>
  <c r="W60" i="28"/>
  <c r="T60" i="28"/>
  <c r="Z58" i="28"/>
  <c r="J60" i="4"/>
  <c r="AT60" i="4"/>
  <c r="N56" i="29"/>
  <c r="O56" i="29" s="1"/>
  <c r="L56" i="29"/>
  <c r="AU57" i="4"/>
  <c r="AV57" i="4" s="1"/>
  <c r="AN57" i="4"/>
  <c r="AM59" i="4"/>
  <c r="BC62" i="4"/>
  <c r="B61" i="4"/>
  <c r="BD60" i="4"/>
  <c r="BE60" i="4"/>
  <c r="AE60" i="28"/>
  <c r="AD60" i="28"/>
  <c r="AG58" i="4"/>
  <c r="V60" i="29"/>
  <c r="B59" i="29"/>
  <c r="M60" i="4"/>
  <c r="AP60" i="4"/>
  <c r="AO60" i="4"/>
  <c r="G60" i="4"/>
  <c r="L60" i="4"/>
  <c r="AQ60" i="4"/>
  <c r="E60" i="4"/>
  <c r="H60" i="4"/>
  <c r="AR60" i="4"/>
  <c r="AS60" i="4"/>
  <c r="I60" i="4"/>
  <c r="N60" i="4"/>
  <c r="AF60" i="4"/>
  <c r="J59" i="28"/>
  <c r="Y59" i="28" s="1"/>
  <c r="I59" i="28"/>
  <c r="K59" i="28" s="1"/>
  <c r="N59" i="28" s="1"/>
  <c r="B61" i="28"/>
  <c r="AC62" i="28"/>
  <c r="Q60" i="28"/>
  <c r="S60" i="28"/>
  <c r="R60" i="28"/>
  <c r="AX58" i="4"/>
  <c r="W58" i="29"/>
  <c r="G58" i="29" s="1"/>
  <c r="X58" i="29"/>
  <c r="U58" i="28"/>
  <c r="V58" i="28" s="1"/>
  <c r="X58" i="28" s="1"/>
  <c r="P58" i="28"/>
  <c r="V59" i="4"/>
  <c r="AW59" i="4" s="1"/>
  <c r="X59" i="4"/>
  <c r="AC59" i="4" s="1"/>
  <c r="R59" i="4"/>
  <c r="Z59" i="4" s="1"/>
  <c r="S59" i="4"/>
  <c r="AA59" i="4" s="1"/>
  <c r="W59" i="4"/>
  <c r="AB59" i="4" s="1"/>
  <c r="Y59" i="4"/>
  <c r="AD59" i="4" s="1"/>
  <c r="T59" i="4"/>
  <c r="U59" i="4"/>
  <c r="O59" i="28"/>
  <c r="AH57" i="4"/>
  <c r="H57" i="29"/>
  <c r="J57" i="29" s="1"/>
  <c r="A651" i="28"/>
  <c r="E59" i="29" l="1"/>
  <c r="M59" i="29"/>
  <c r="K59" i="29"/>
  <c r="E61" i="28"/>
  <c r="W61" i="28"/>
  <c r="T61" i="28"/>
  <c r="AT61" i="4"/>
  <c r="J61" i="4"/>
  <c r="O60" i="28"/>
  <c r="H58" i="29"/>
  <c r="J58" i="29" s="1"/>
  <c r="N58" i="29" s="1"/>
  <c r="O58" i="29" s="1"/>
  <c r="AL58" i="4"/>
  <c r="AU58" i="4" s="1"/>
  <c r="AV58" i="4" s="1"/>
  <c r="N57" i="29"/>
  <c r="O57" i="29" s="1"/>
  <c r="L57" i="29"/>
  <c r="Z59" i="28"/>
  <c r="AE61" i="28"/>
  <c r="AD61" i="28"/>
  <c r="U59" i="28"/>
  <c r="V59" i="28" s="1"/>
  <c r="X59" i="28" s="1"/>
  <c r="P59" i="28"/>
  <c r="AM60" i="4"/>
  <c r="W59" i="29"/>
  <c r="G59" i="29" s="1"/>
  <c r="X59" i="29"/>
  <c r="T60" i="4"/>
  <c r="X60" i="4"/>
  <c r="AC60" i="4" s="1"/>
  <c r="R60" i="4"/>
  <c r="Z60" i="4" s="1"/>
  <c r="V60" i="4"/>
  <c r="AW60" i="4" s="1"/>
  <c r="S60" i="4"/>
  <c r="AA60" i="4" s="1"/>
  <c r="Y60" i="4"/>
  <c r="AD60" i="4" s="1"/>
  <c r="U60" i="4"/>
  <c r="W60" i="4"/>
  <c r="AB60" i="4" s="1"/>
  <c r="L61" i="4"/>
  <c r="AF61" i="4"/>
  <c r="AS61" i="4"/>
  <c r="E61" i="4"/>
  <c r="AQ61" i="4"/>
  <c r="AO61" i="4"/>
  <c r="N61" i="4"/>
  <c r="M61" i="4"/>
  <c r="H61" i="4"/>
  <c r="G61" i="4"/>
  <c r="I61" i="4"/>
  <c r="AP61" i="4"/>
  <c r="AR61" i="4"/>
  <c r="BC63" i="4"/>
  <c r="B62" i="4"/>
  <c r="AG59" i="4"/>
  <c r="AL59" i="4" s="1"/>
  <c r="AX59" i="4"/>
  <c r="B62" i="28"/>
  <c r="AC63" i="28"/>
  <c r="R61" i="28"/>
  <c r="Q61" i="28"/>
  <c r="S61" i="28"/>
  <c r="V61" i="29"/>
  <c r="B60" i="29"/>
  <c r="AH58" i="4"/>
  <c r="I60" i="28"/>
  <c r="K60" i="28" s="1"/>
  <c r="N60" i="28" s="1"/>
  <c r="J60" i="28"/>
  <c r="Y60" i="28" s="1"/>
  <c r="BD61" i="4"/>
  <c r="BE61" i="4"/>
  <c r="A652" i="28"/>
  <c r="K60" i="29" l="1"/>
  <c r="E60" i="29"/>
  <c r="M60" i="29"/>
  <c r="E62" i="28"/>
  <c r="W62" i="28"/>
  <c r="T62" i="28"/>
  <c r="Z60" i="28"/>
  <c r="AN58" i="4"/>
  <c r="L58" i="29"/>
  <c r="AU59" i="4"/>
  <c r="AV59" i="4" s="1"/>
  <c r="AN59" i="4"/>
  <c r="V61" i="4"/>
  <c r="AW61" i="4" s="1"/>
  <c r="R61" i="4"/>
  <c r="Z61" i="4" s="1"/>
  <c r="U61" i="4"/>
  <c r="X61" i="4"/>
  <c r="AC61" i="4" s="1"/>
  <c r="Y61" i="4"/>
  <c r="AD61" i="4" s="1"/>
  <c r="S61" i="4"/>
  <c r="AA61" i="4" s="1"/>
  <c r="T61" i="4"/>
  <c r="W61" i="4"/>
  <c r="AB61" i="4" s="1"/>
  <c r="P60" i="28"/>
  <c r="U60" i="28"/>
  <c r="V60" i="28" s="1"/>
  <c r="X60" i="28" s="1"/>
  <c r="AD62" i="28"/>
  <c r="AE62" i="28"/>
  <c r="BC64" i="4"/>
  <c r="B63" i="4"/>
  <c r="AX60" i="4"/>
  <c r="H59" i="29"/>
  <c r="J59" i="29" s="1"/>
  <c r="J61" i="28"/>
  <c r="Y61" i="28" s="1"/>
  <c r="I61" i="28"/>
  <c r="K61" i="28" s="1"/>
  <c r="N61" i="28" s="1"/>
  <c r="AH59" i="4"/>
  <c r="X60" i="29"/>
  <c r="W60" i="29"/>
  <c r="G60" i="29" s="1"/>
  <c r="V62" i="29"/>
  <c r="B61" i="29"/>
  <c r="O61" i="28"/>
  <c r="AC64" i="28"/>
  <c r="B63" i="28"/>
  <c r="Q62" i="28"/>
  <c r="R62" i="28"/>
  <c r="S62" i="28"/>
  <c r="BD62" i="4"/>
  <c r="BE62" i="4"/>
  <c r="AR62" i="4"/>
  <c r="E62" i="4"/>
  <c r="J62" i="4"/>
  <c r="AT62" i="4"/>
  <c r="L62" i="4"/>
  <c r="AQ62" i="4"/>
  <c r="H62" i="4"/>
  <c r="G62" i="4"/>
  <c r="M62" i="4"/>
  <c r="I62" i="4"/>
  <c r="AS62" i="4"/>
  <c r="AF62" i="4"/>
  <c r="N62" i="4"/>
  <c r="AO62" i="4"/>
  <c r="AP62" i="4"/>
  <c r="AM61" i="4"/>
  <c r="AG60" i="4"/>
  <c r="AH60" i="4" s="1"/>
  <c r="A653" i="28"/>
  <c r="AX61" i="4" l="1"/>
  <c r="M61" i="29"/>
  <c r="K61" i="29"/>
  <c r="E61" i="29"/>
  <c r="E63" i="28"/>
  <c r="W63" i="28"/>
  <c r="T63" i="28"/>
  <c r="Y62" i="4"/>
  <c r="AD62" i="4" s="1"/>
  <c r="U62" i="4"/>
  <c r="T62" i="4"/>
  <c r="R62" i="4"/>
  <c r="Z62" i="4" s="1"/>
  <c r="S62" i="4"/>
  <c r="AA62" i="4" s="1"/>
  <c r="W62" i="4"/>
  <c r="AB62" i="4" s="1"/>
  <c r="V62" i="4"/>
  <c r="AW62" i="4" s="1"/>
  <c r="X62" i="4"/>
  <c r="AC62" i="4" s="1"/>
  <c r="Q63" i="28"/>
  <c r="R63" i="28"/>
  <c r="S63" i="28"/>
  <c r="AE63" i="28"/>
  <c r="AD63" i="28"/>
  <c r="X61" i="29"/>
  <c r="W61" i="29"/>
  <c r="G61" i="29" s="1"/>
  <c r="B62" i="29"/>
  <c r="V63" i="29"/>
  <c r="P61" i="28"/>
  <c r="U61" i="28"/>
  <c r="V61" i="28" s="1"/>
  <c r="X61" i="28" s="1"/>
  <c r="L59" i="29"/>
  <c r="N59" i="29"/>
  <c r="O59" i="29" s="1"/>
  <c r="AL60" i="4"/>
  <c r="BD63" i="4"/>
  <c r="BE63" i="4"/>
  <c r="AG61" i="4"/>
  <c r="AH61" i="4" s="1"/>
  <c r="AM62" i="4"/>
  <c r="O62" i="28"/>
  <c r="B64" i="28"/>
  <c r="AC65" i="28"/>
  <c r="Z61" i="28"/>
  <c r="AT63" i="4"/>
  <c r="AR63" i="4"/>
  <c r="AQ63" i="4"/>
  <c r="AP63" i="4"/>
  <c r="AS63" i="4"/>
  <c r="G63" i="4"/>
  <c r="AF63" i="4"/>
  <c r="L63" i="4"/>
  <c r="AO63" i="4"/>
  <c r="H63" i="4"/>
  <c r="I63" i="4"/>
  <c r="E63" i="4"/>
  <c r="J63" i="4"/>
  <c r="M63" i="4"/>
  <c r="N63" i="4"/>
  <c r="B64" i="4"/>
  <c r="BC65" i="4"/>
  <c r="I62" i="28"/>
  <c r="K62" i="28" s="1"/>
  <c r="J62" i="28"/>
  <c r="Y62" i="28" s="1"/>
  <c r="H60" i="29"/>
  <c r="J60" i="29" s="1"/>
  <c r="A654" i="28"/>
  <c r="N62" i="28" l="1"/>
  <c r="U62" i="28" s="1"/>
  <c r="V62" i="28" s="1"/>
  <c r="X62" i="28" s="1"/>
  <c r="M62" i="29"/>
  <c r="E62" i="29"/>
  <c r="K62" i="29"/>
  <c r="E64" i="28"/>
  <c r="W64" i="28"/>
  <c r="T64" i="28"/>
  <c r="AL61" i="4"/>
  <c r="H61" i="29"/>
  <c r="J61" i="29" s="1"/>
  <c r="BE64" i="4"/>
  <c r="BD64" i="4"/>
  <c r="AR64" i="4"/>
  <c r="E64" i="4"/>
  <c r="N64" i="4"/>
  <c r="J64" i="4"/>
  <c r="G64" i="4"/>
  <c r="M64" i="4"/>
  <c r="AQ64" i="4"/>
  <c r="AO64" i="4"/>
  <c r="AP64" i="4"/>
  <c r="I64" i="4"/>
  <c r="AF64" i="4"/>
  <c r="AT64" i="4"/>
  <c r="H64" i="4"/>
  <c r="L64" i="4"/>
  <c r="AS64" i="4"/>
  <c r="L60" i="29"/>
  <c r="N60" i="29"/>
  <c r="O60" i="29" s="1"/>
  <c r="P62" i="28"/>
  <c r="B65" i="4"/>
  <c r="BC66" i="4"/>
  <c r="B65" i="28"/>
  <c r="AC66" i="28"/>
  <c r="AE64" i="28"/>
  <c r="AD64" i="28"/>
  <c r="T63" i="4"/>
  <c r="U63" i="4"/>
  <c r="S63" i="4"/>
  <c r="AA63" i="4" s="1"/>
  <c r="R63" i="4"/>
  <c r="Z63" i="4" s="1"/>
  <c r="X63" i="4"/>
  <c r="AC63" i="4" s="1"/>
  <c r="Y63" i="4"/>
  <c r="AD63" i="4" s="1"/>
  <c r="W63" i="4"/>
  <c r="AB63" i="4" s="1"/>
  <c r="V63" i="4"/>
  <c r="AW63" i="4" s="1"/>
  <c r="V64" i="29"/>
  <c r="B63" i="29"/>
  <c r="AM63" i="4"/>
  <c r="Q64" i="28"/>
  <c r="S64" i="28"/>
  <c r="R64" i="28"/>
  <c r="Z62" i="28"/>
  <c r="AU60" i="4"/>
  <c r="AV60" i="4" s="1"/>
  <c r="AN60" i="4"/>
  <c r="W62" i="29"/>
  <c r="G62" i="29" s="1"/>
  <c r="X62" i="29"/>
  <c r="I63" i="28"/>
  <c r="K63" i="28" s="1"/>
  <c r="N63" i="28" s="1"/>
  <c r="J63" i="28"/>
  <c r="Y63" i="28" s="1"/>
  <c r="O63" i="28"/>
  <c r="AX62" i="4"/>
  <c r="AG62" i="4"/>
  <c r="A655" i="28"/>
  <c r="AN61" i="4" l="1"/>
  <c r="E63" i="29"/>
  <c r="M63" i="29"/>
  <c r="K63" i="29"/>
  <c r="E65" i="28"/>
  <c r="W65" i="28"/>
  <c r="T65" i="28"/>
  <c r="AU61" i="4"/>
  <c r="AV61" i="4" s="1"/>
  <c r="AH62" i="4"/>
  <c r="AX63" i="4"/>
  <c r="Z63" i="28"/>
  <c r="H62" i="29"/>
  <c r="J62" i="29" s="1"/>
  <c r="AL62" i="4"/>
  <c r="V65" i="29"/>
  <c r="B64" i="29"/>
  <c r="AG63" i="4"/>
  <c r="AL63" i="4" s="1"/>
  <c r="J64" i="28"/>
  <c r="Y64" i="28" s="1"/>
  <c r="I64" i="28"/>
  <c r="K64" i="28" s="1"/>
  <c r="B66" i="28"/>
  <c r="AC67" i="28"/>
  <c r="R65" i="28"/>
  <c r="S65" i="28"/>
  <c r="Q65" i="28"/>
  <c r="L61" i="29"/>
  <c r="N61" i="29"/>
  <c r="O61" i="29" s="1"/>
  <c r="N65" i="4"/>
  <c r="M65" i="4"/>
  <c r="AT65" i="4"/>
  <c r="H65" i="4"/>
  <c r="AR65" i="4"/>
  <c r="AQ65" i="4"/>
  <c r="AP65" i="4"/>
  <c r="I65" i="4"/>
  <c r="AF65" i="4"/>
  <c r="L65" i="4"/>
  <c r="AS65" i="4"/>
  <c r="E65" i="4"/>
  <c r="J65" i="4"/>
  <c r="G65" i="4"/>
  <c r="AO65" i="4"/>
  <c r="AM64" i="4"/>
  <c r="P63" i="28"/>
  <c r="U63" i="28"/>
  <c r="V63" i="28" s="1"/>
  <c r="X63" i="28" s="1"/>
  <c r="O64" i="28"/>
  <c r="W63" i="29"/>
  <c r="G63" i="29" s="1"/>
  <c r="X63" i="29"/>
  <c r="AE65" i="28"/>
  <c r="AD65" i="28"/>
  <c r="BE65" i="4"/>
  <c r="BD65" i="4"/>
  <c r="BC67" i="4"/>
  <c r="B66" i="4"/>
  <c r="U64" i="4"/>
  <c r="S64" i="4"/>
  <c r="AA64" i="4" s="1"/>
  <c r="X64" i="4"/>
  <c r="AC64" i="4" s="1"/>
  <c r="V64" i="4"/>
  <c r="AW64" i="4" s="1"/>
  <c r="T64" i="4"/>
  <c r="R64" i="4"/>
  <c r="Z64" i="4" s="1"/>
  <c r="Y64" i="4"/>
  <c r="AD64" i="4" s="1"/>
  <c r="W64" i="4"/>
  <c r="AB64" i="4" s="1"/>
  <c r="A656" i="28"/>
  <c r="N64" i="28" l="1"/>
  <c r="K64" i="29"/>
  <c r="E64" i="29"/>
  <c r="M64" i="29"/>
  <c r="E66" i="28"/>
  <c r="W66" i="28"/>
  <c r="T66" i="28"/>
  <c r="AH63" i="4"/>
  <c r="AX64" i="4"/>
  <c r="BE66" i="4"/>
  <c r="BD66" i="4"/>
  <c r="T65" i="4"/>
  <c r="U65" i="4"/>
  <c r="W65" i="4"/>
  <c r="AB65" i="4" s="1"/>
  <c r="X65" i="4"/>
  <c r="AC65" i="4" s="1"/>
  <c r="S65" i="4"/>
  <c r="AA65" i="4" s="1"/>
  <c r="R65" i="4"/>
  <c r="Z65" i="4" s="1"/>
  <c r="Y65" i="4"/>
  <c r="AD65" i="4" s="1"/>
  <c r="V65" i="4"/>
  <c r="AW65" i="4" s="1"/>
  <c r="J65" i="28"/>
  <c r="Y65" i="28" s="1"/>
  <c r="I65" i="28"/>
  <c r="K65" i="28" s="1"/>
  <c r="N65" i="28" s="1"/>
  <c r="O65" i="28"/>
  <c r="AC68" i="28"/>
  <c r="B67" i="28"/>
  <c r="AD66" i="28"/>
  <c r="AE66" i="28"/>
  <c r="X64" i="29"/>
  <c r="W64" i="29"/>
  <c r="G64" i="29" s="1"/>
  <c r="V66" i="29"/>
  <c r="B65" i="29"/>
  <c r="H63" i="29"/>
  <c r="J63" i="29" s="1"/>
  <c r="N62" i="29"/>
  <c r="O62" i="29" s="1"/>
  <c r="L62" i="29"/>
  <c r="AG64" i="4"/>
  <c r="AR66" i="4"/>
  <c r="AQ66" i="4"/>
  <c r="J66" i="4"/>
  <c r="H66" i="4"/>
  <c r="N66" i="4"/>
  <c r="AF66" i="4"/>
  <c r="AT66" i="4"/>
  <c r="E66" i="4"/>
  <c r="AO66" i="4"/>
  <c r="G66" i="4"/>
  <c r="AP66" i="4"/>
  <c r="M66" i="4"/>
  <c r="L66" i="4"/>
  <c r="AS66" i="4"/>
  <c r="I66" i="4"/>
  <c r="B67" i="4"/>
  <c r="BC68" i="4"/>
  <c r="Z64" i="28"/>
  <c r="AM65" i="4"/>
  <c r="R66" i="28"/>
  <c r="Q66" i="28"/>
  <c r="S66" i="28"/>
  <c r="P64" i="28"/>
  <c r="U64" i="28"/>
  <c r="V64" i="28" s="1"/>
  <c r="X64" i="28" s="1"/>
  <c r="AN63" i="4"/>
  <c r="AU63" i="4"/>
  <c r="AV63" i="4" s="1"/>
  <c r="AN62" i="4"/>
  <c r="AU62" i="4"/>
  <c r="AV62" i="4" s="1"/>
  <c r="A657" i="28"/>
  <c r="M65" i="29" l="1"/>
  <c r="K65" i="29"/>
  <c r="E65" i="29"/>
  <c r="E67" i="28"/>
  <c r="W67" i="28"/>
  <c r="T67" i="28"/>
  <c r="O66" i="28"/>
  <c r="AL64" i="4"/>
  <c r="AU64" i="4" s="1"/>
  <c r="AV64" i="4" s="1"/>
  <c r="H64" i="29"/>
  <c r="J64" i="29" s="1"/>
  <c r="BC69" i="4"/>
  <c r="B68" i="4"/>
  <c r="M67" i="4"/>
  <c r="AF67" i="4"/>
  <c r="H67" i="4"/>
  <c r="AS67" i="4"/>
  <c r="G67" i="4"/>
  <c r="AO67" i="4"/>
  <c r="I67" i="4"/>
  <c r="AQ67" i="4"/>
  <c r="N67" i="4"/>
  <c r="L67" i="4"/>
  <c r="AP67" i="4"/>
  <c r="AT67" i="4"/>
  <c r="J67" i="4"/>
  <c r="E67" i="4"/>
  <c r="AR67" i="4"/>
  <c r="AH64" i="4"/>
  <c r="N63" i="29"/>
  <c r="O63" i="29" s="1"/>
  <c r="L63" i="29"/>
  <c r="W65" i="29"/>
  <c r="G65" i="29" s="1"/>
  <c r="X65" i="29"/>
  <c r="R67" i="28"/>
  <c r="S67" i="28"/>
  <c r="Q67" i="28"/>
  <c r="B68" i="28"/>
  <c r="AC69" i="28"/>
  <c r="AG65" i="4"/>
  <c r="AX65" i="4"/>
  <c r="BE67" i="4"/>
  <c r="BD67" i="4"/>
  <c r="AM66" i="4"/>
  <c r="V67" i="29"/>
  <c r="B66" i="29"/>
  <c r="J66" i="28"/>
  <c r="Y66" i="28" s="1"/>
  <c r="I66" i="28"/>
  <c r="K66" i="28" s="1"/>
  <c r="AE67" i="28"/>
  <c r="AD67" i="28"/>
  <c r="Z65" i="28"/>
  <c r="U65" i="28"/>
  <c r="V65" i="28" s="1"/>
  <c r="X65" i="28" s="1"/>
  <c r="P65" i="28"/>
  <c r="Y66" i="4"/>
  <c r="AD66" i="4" s="1"/>
  <c r="R66" i="4"/>
  <c r="Z66" i="4" s="1"/>
  <c r="W66" i="4"/>
  <c r="AB66" i="4" s="1"/>
  <c r="T66" i="4"/>
  <c r="U66" i="4"/>
  <c r="X66" i="4"/>
  <c r="AC66" i="4" s="1"/>
  <c r="S66" i="4"/>
  <c r="AA66" i="4" s="1"/>
  <c r="V66" i="4"/>
  <c r="AW66" i="4" s="1"/>
  <c r="A658" i="28"/>
  <c r="N66" i="28" l="1"/>
  <c r="Z66" i="28"/>
  <c r="M66" i="29"/>
  <c r="K66" i="29"/>
  <c r="E66" i="29"/>
  <c r="E68" i="28"/>
  <c r="W68" i="28"/>
  <c r="T68" i="28"/>
  <c r="AN64" i="4"/>
  <c r="AL65" i="4"/>
  <c r="AX66" i="4"/>
  <c r="V68" i="29"/>
  <c r="B67" i="29"/>
  <c r="H65" i="29"/>
  <c r="J65" i="29" s="1"/>
  <c r="AH65" i="4"/>
  <c r="R68" i="28"/>
  <c r="Q68" i="28"/>
  <c r="S68" i="28"/>
  <c r="O67" i="28"/>
  <c r="BE68" i="4"/>
  <c r="BD68" i="4"/>
  <c r="B69" i="4"/>
  <c r="BC70" i="4"/>
  <c r="L64" i="29"/>
  <c r="N64" i="29"/>
  <c r="O64" i="29" s="1"/>
  <c r="AG66" i="4"/>
  <c r="I67" i="28"/>
  <c r="K67" i="28" s="1"/>
  <c r="J67" i="28"/>
  <c r="Y67" i="28" s="1"/>
  <c r="U66" i="28"/>
  <c r="V66" i="28" s="1"/>
  <c r="X66" i="28" s="1"/>
  <c r="P66" i="28"/>
  <c r="X66" i="29"/>
  <c r="W66" i="29"/>
  <c r="G66" i="29" s="1"/>
  <c r="T67" i="4"/>
  <c r="S67" i="4"/>
  <c r="AA67" i="4" s="1"/>
  <c r="V67" i="4"/>
  <c r="AW67" i="4" s="1"/>
  <c r="Y67" i="4"/>
  <c r="AD67" i="4" s="1"/>
  <c r="R67" i="4"/>
  <c r="Z67" i="4" s="1"/>
  <c r="U67" i="4"/>
  <c r="W67" i="4"/>
  <c r="AB67" i="4" s="1"/>
  <c r="X67" i="4"/>
  <c r="AC67" i="4" s="1"/>
  <c r="AC70" i="28"/>
  <c r="B69" i="28"/>
  <c r="AD68" i="28"/>
  <c r="AE68" i="28"/>
  <c r="AM67" i="4"/>
  <c r="AO68" i="4"/>
  <c r="I68" i="4"/>
  <c r="AS68" i="4"/>
  <c r="AT68" i="4"/>
  <c r="L68" i="4"/>
  <c r="M68" i="4"/>
  <c r="AR68" i="4"/>
  <c r="E68" i="4"/>
  <c r="AP68" i="4"/>
  <c r="J68" i="4"/>
  <c r="H68" i="4"/>
  <c r="AF68" i="4"/>
  <c r="N68" i="4"/>
  <c r="G68" i="4"/>
  <c r="AQ68" i="4"/>
  <c r="A659" i="28"/>
  <c r="N67" i="28" l="1"/>
  <c r="U67" i="28" s="1"/>
  <c r="V67" i="28" s="1"/>
  <c r="X67" i="28" s="1"/>
  <c r="E67" i="29"/>
  <c r="K67" i="29"/>
  <c r="M67" i="29"/>
  <c r="E69" i="28"/>
  <c r="W69" i="28"/>
  <c r="T69" i="28"/>
  <c r="AL66" i="4"/>
  <c r="AN66" i="4" s="1"/>
  <c r="AU65" i="4"/>
  <c r="AV65" i="4" s="1"/>
  <c r="AN65" i="4"/>
  <c r="S69" i="28"/>
  <c r="Q69" i="28"/>
  <c r="R69" i="28"/>
  <c r="AE69" i="28"/>
  <c r="AD69" i="28"/>
  <c r="AG67" i="4"/>
  <c r="AX67" i="4"/>
  <c r="H66" i="29"/>
  <c r="J66" i="29" s="1"/>
  <c r="AH66" i="4"/>
  <c r="BE69" i="4"/>
  <c r="BD69" i="4"/>
  <c r="V68" i="4"/>
  <c r="AW68" i="4" s="1"/>
  <c r="Y68" i="4"/>
  <c r="AD68" i="4" s="1"/>
  <c r="W68" i="4"/>
  <c r="AB68" i="4" s="1"/>
  <c r="X68" i="4"/>
  <c r="AC68" i="4" s="1"/>
  <c r="S68" i="4"/>
  <c r="AA68" i="4" s="1"/>
  <c r="T68" i="4"/>
  <c r="U68" i="4"/>
  <c r="R68" i="4"/>
  <c r="Z68" i="4" s="1"/>
  <c r="L65" i="29"/>
  <c r="N65" i="29"/>
  <c r="O65" i="29" s="1"/>
  <c r="AM68" i="4"/>
  <c r="I68" i="28"/>
  <c r="K68" i="28" s="1"/>
  <c r="N68" i="28" s="1"/>
  <c r="J68" i="28"/>
  <c r="Y68" i="28" s="1"/>
  <c r="AC71" i="28"/>
  <c r="B70" i="28"/>
  <c r="BC71" i="4"/>
  <c r="B70" i="4"/>
  <c r="G69" i="4"/>
  <c r="E69" i="4"/>
  <c r="L69" i="4"/>
  <c r="AT69" i="4"/>
  <c r="AS69" i="4"/>
  <c r="AF69" i="4"/>
  <c r="AO69" i="4"/>
  <c r="I69" i="4"/>
  <c r="AQ69" i="4"/>
  <c r="M69" i="4"/>
  <c r="H69" i="4"/>
  <c r="J69" i="4"/>
  <c r="N69" i="4"/>
  <c r="AR69" i="4"/>
  <c r="AP69" i="4"/>
  <c r="Z67" i="28"/>
  <c r="O68" i="28"/>
  <c r="X67" i="29"/>
  <c r="W67" i="29"/>
  <c r="G67" i="29" s="1"/>
  <c r="V69" i="29"/>
  <c r="B68" i="29"/>
  <c r="A660" i="28"/>
  <c r="P67" i="28" l="1"/>
  <c r="AX68" i="4"/>
  <c r="K68" i="29"/>
  <c r="E68" i="29"/>
  <c r="M68" i="29"/>
  <c r="E70" i="28"/>
  <c r="W70" i="28"/>
  <c r="T70" i="28"/>
  <c r="AU66" i="4"/>
  <c r="AV66" i="4" s="1"/>
  <c r="AH67" i="4"/>
  <c r="V70" i="29"/>
  <c r="B69" i="29"/>
  <c r="Z68" i="28"/>
  <c r="AQ70" i="4"/>
  <c r="I70" i="4"/>
  <c r="AO70" i="4"/>
  <c r="AP70" i="4"/>
  <c r="L70" i="4"/>
  <c r="AS70" i="4"/>
  <c r="M70" i="4"/>
  <c r="J70" i="4"/>
  <c r="E70" i="4"/>
  <c r="AT70" i="4"/>
  <c r="G70" i="4"/>
  <c r="AF70" i="4"/>
  <c r="H70" i="4"/>
  <c r="AR70" i="4"/>
  <c r="N70" i="4"/>
  <c r="S70" i="28"/>
  <c r="Q70" i="28"/>
  <c r="R70" i="28"/>
  <c r="AE70" i="28"/>
  <c r="AD70" i="28"/>
  <c r="P68" i="28"/>
  <c r="U68" i="28"/>
  <c r="V68" i="28" s="1"/>
  <c r="X68" i="28" s="1"/>
  <c r="H67" i="29"/>
  <c r="J67" i="29" s="1"/>
  <c r="N66" i="29"/>
  <c r="O66" i="29" s="1"/>
  <c r="L66" i="29"/>
  <c r="J69" i="28"/>
  <c r="Y69" i="28" s="1"/>
  <c r="I69" i="28"/>
  <c r="K69" i="28" s="1"/>
  <c r="O69" i="28"/>
  <c r="W68" i="29"/>
  <c r="G68" i="29" s="1"/>
  <c r="X68" i="29"/>
  <c r="AM69" i="4"/>
  <c r="BE70" i="4"/>
  <c r="BD70" i="4"/>
  <c r="B71" i="4"/>
  <c r="BC72" i="4"/>
  <c r="B71" i="28"/>
  <c r="AC72" i="28"/>
  <c r="AG68" i="4"/>
  <c r="AL68" i="4" s="1"/>
  <c r="Y69" i="4"/>
  <c r="AD69" i="4" s="1"/>
  <c r="X69" i="4"/>
  <c r="AC69" i="4" s="1"/>
  <c r="T69" i="4"/>
  <c r="U69" i="4"/>
  <c r="V69" i="4"/>
  <c r="AW69" i="4" s="1"/>
  <c r="W69" i="4"/>
  <c r="AB69" i="4" s="1"/>
  <c r="S69" i="4"/>
  <c r="AA69" i="4" s="1"/>
  <c r="R69" i="4"/>
  <c r="Z69" i="4" s="1"/>
  <c r="AL67" i="4"/>
  <c r="A661" i="28"/>
  <c r="N69" i="28" l="1"/>
  <c r="U69" i="28" s="1"/>
  <c r="V69" i="28" s="1"/>
  <c r="X69" i="28" s="1"/>
  <c r="M69" i="29"/>
  <c r="K69" i="29"/>
  <c r="E69" i="29"/>
  <c r="E71" i="28"/>
  <c r="W71" i="28"/>
  <c r="T71" i="28"/>
  <c r="AX69" i="4"/>
  <c r="AN68" i="4"/>
  <c r="AU68" i="4"/>
  <c r="AV68" i="4" s="1"/>
  <c r="BC73" i="4"/>
  <c r="B72" i="4"/>
  <c r="BE71" i="4"/>
  <c r="BD71" i="4"/>
  <c r="U70" i="4"/>
  <c r="S70" i="4"/>
  <c r="AA70" i="4" s="1"/>
  <c r="T70" i="4"/>
  <c r="R70" i="4"/>
  <c r="Z70" i="4" s="1"/>
  <c r="X70" i="4"/>
  <c r="AC70" i="4" s="1"/>
  <c r="W70" i="4"/>
  <c r="AB70" i="4" s="1"/>
  <c r="V70" i="4"/>
  <c r="AW70" i="4" s="1"/>
  <c r="Y70" i="4"/>
  <c r="AD70" i="4" s="1"/>
  <c r="AU67" i="4"/>
  <c r="AV67" i="4" s="1"/>
  <c r="AN67" i="4"/>
  <c r="AG69" i="4"/>
  <c r="B72" i="28"/>
  <c r="AC73" i="28"/>
  <c r="Q71" i="28"/>
  <c r="S71" i="28"/>
  <c r="R71" i="28"/>
  <c r="AR71" i="4"/>
  <c r="AT71" i="4"/>
  <c r="AQ71" i="4"/>
  <c r="L71" i="4"/>
  <c r="AF71" i="4"/>
  <c r="H71" i="4"/>
  <c r="AP71" i="4"/>
  <c r="AO71" i="4"/>
  <c r="G71" i="4"/>
  <c r="I71" i="4"/>
  <c r="E71" i="4"/>
  <c r="M71" i="4"/>
  <c r="N71" i="4"/>
  <c r="J71" i="4"/>
  <c r="AS71" i="4"/>
  <c r="N67" i="29"/>
  <c r="O67" i="29" s="1"/>
  <c r="L67" i="29"/>
  <c r="V71" i="29"/>
  <c r="B70" i="29"/>
  <c r="AE71" i="28"/>
  <c r="AD71" i="28"/>
  <c r="Z69" i="28"/>
  <c r="P69" i="28"/>
  <c r="AH68" i="4"/>
  <c r="J70" i="28"/>
  <c r="Y70" i="28" s="1"/>
  <c r="I70" i="28"/>
  <c r="K70" i="28" s="1"/>
  <c r="N70" i="28" s="1"/>
  <c r="O70" i="28"/>
  <c r="AM70" i="4"/>
  <c r="W69" i="29"/>
  <c r="G69" i="29" s="1"/>
  <c r="X69" i="29"/>
  <c r="H68" i="29"/>
  <c r="J68" i="29" s="1"/>
  <c r="A662" i="28"/>
  <c r="M70" i="29" l="1"/>
  <c r="K70" i="29"/>
  <c r="E70" i="29"/>
  <c r="W72" i="28"/>
  <c r="E72" i="28"/>
  <c r="T72" i="28"/>
  <c r="AL69" i="4"/>
  <c r="AU69" i="4" s="1"/>
  <c r="AV69" i="4" s="1"/>
  <c r="AH69" i="4"/>
  <c r="AG70" i="4"/>
  <c r="AH70" i="4" s="1"/>
  <c r="H69" i="29"/>
  <c r="J69" i="29" s="1"/>
  <c r="U70" i="28"/>
  <c r="V70" i="28" s="1"/>
  <c r="X70" i="28" s="1"/>
  <c r="P70" i="28"/>
  <c r="W70" i="29"/>
  <c r="G70" i="29" s="1"/>
  <c r="X70" i="29"/>
  <c r="AD72" i="28"/>
  <c r="AE72" i="28"/>
  <c r="B73" i="4"/>
  <c r="BC74" i="4"/>
  <c r="N68" i="29"/>
  <c r="O68" i="29" s="1"/>
  <c r="L68" i="29"/>
  <c r="Z70" i="28"/>
  <c r="J71" i="28"/>
  <c r="Y71" i="28" s="1"/>
  <c r="I71" i="28"/>
  <c r="K71" i="28" s="1"/>
  <c r="N71" i="28" s="1"/>
  <c r="V72" i="29"/>
  <c r="B71" i="29"/>
  <c r="AM71" i="4"/>
  <c r="O71" i="28"/>
  <c r="AC74" i="28"/>
  <c r="B73" i="28"/>
  <c r="S72" i="28"/>
  <c r="R72" i="28"/>
  <c r="Q72" i="28"/>
  <c r="AX70" i="4"/>
  <c r="Y71" i="4"/>
  <c r="AD71" i="4" s="1"/>
  <c r="R71" i="4"/>
  <c r="Z71" i="4" s="1"/>
  <c r="V71" i="4"/>
  <c r="AW71" i="4" s="1"/>
  <c r="U71" i="4"/>
  <c r="X71" i="4"/>
  <c r="AC71" i="4" s="1"/>
  <c r="T71" i="4"/>
  <c r="W71" i="4"/>
  <c r="AB71" i="4" s="1"/>
  <c r="S71" i="4"/>
  <c r="AA71" i="4" s="1"/>
  <c r="AF72" i="4"/>
  <c r="N72" i="4"/>
  <c r="I72" i="4"/>
  <c r="AO72" i="4"/>
  <c r="G72" i="4"/>
  <c r="AQ72" i="4"/>
  <c r="AT72" i="4"/>
  <c r="AR72" i="4"/>
  <c r="L72" i="4"/>
  <c r="AS72" i="4"/>
  <c r="M72" i="4"/>
  <c r="AP72" i="4"/>
  <c r="J72" i="4"/>
  <c r="H72" i="4"/>
  <c r="E72" i="4"/>
  <c r="BE72" i="4"/>
  <c r="BD72" i="4"/>
  <c r="A663" i="28"/>
  <c r="E71" i="29" l="1"/>
  <c r="M71" i="29"/>
  <c r="K71" i="29"/>
  <c r="W73" i="28"/>
  <c r="E73" i="28"/>
  <c r="T73" i="28"/>
  <c r="AL70" i="4"/>
  <c r="AN69" i="4"/>
  <c r="AM72" i="4"/>
  <c r="AG71" i="4"/>
  <c r="O72" i="28"/>
  <c r="Q73" i="28"/>
  <c r="R73" i="28"/>
  <c r="S73" i="28"/>
  <c r="AC75" i="28"/>
  <c r="B74" i="28"/>
  <c r="V73" i="29"/>
  <c r="B72" i="29"/>
  <c r="H70" i="29"/>
  <c r="J70" i="29" s="1"/>
  <c r="U71" i="28"/>
  <c r="V71" i="28" s="1"/>
  <c r="X71" i="28" s="1"/>
  <c r="P71" i="28"/>
  <c r="H73" i="4"/>
  <c r="AT73" i="4"/>
  <c r="G73" i="4"/>
  <c r="I73" i="4"/>
  <c r="AP73" i="4"/>
  <c r="L73" i="4"/>
  <c r="N73" i="4"/>
  <c r="AR73" i="4"/>
  <c r="AO73" i="4"/>
  <c r="AS73" i="4"/>
  <c r="J73" i="4"/>
  <c r="AQ73" i="4"/>
  <c r="E73" i="4"/>
  <c r="M73" i="4"/>
  <c r="AF73" i="4"/>
  <c r="I72" i="28"/>
  <c r="K72" i="28" s="1"/>
  <c r="N72" i="28" s="1"/>
  <c r="J72" i="28"/>
  <c r="Y72" i="28" s="1"/>
  <c r="W72" i="4"/>
  <c r="AB72" i="4" s="1"/>
  <c r="V72" i="4"/>
  <c r="AW72" i="4" s="1"/>
  <c r="Y72" i="4"/>
  <c r="AD72" i="4" s="1"/>
  <c r="X72" i="4"/>
  <c r="AC72" i="4" s="1"/>
  <c r="T72" i="4"/>
  <c r="R72" i="4"/>
  <c r="Z72" i="4" s="1"/>
  <c r="U72" i="4"/>
  <c r="S72" i="4"/>
  <c r="AA72" i="4" s="1"/>
  <c r="AX71" i="4"/>
  <c r="AD73" i="28"/>
  <c r="AE73" i="28"/>
  <c r="Z71" i="28"/>
  <c r="X71" i="29"/>
  <c r="W71" i="29"/>
  <c r="G71" i="29" s="1"/>
  <c r="BE73" i="4"/>
  <c r="BD73" i="4"/>
  <c r="B74" i="4"/>
  <c r="BC75" i="4"/>
  <c r="N69" i="29"/>
  <c r="O69" i="29" s="1"/>
  <c r="L69" i="29"/>
  <c r="A664" i="28"/>
  <c r="AU70" i="4" l="1"/>
  <c r="AV70" i="4" s="1"/>
  <c r="Q87" i="7"/>
  <c r="K72" i="29"/>
  <c r="E72" i="29"/>
  <c r="M72" i="29"/>
  <c r="W74" i="28"/>
  <c r="T74" i="28"/>
  <c r="E74" i="28"/>
  <c r="AX72" i="4"/>
  <c r="AN70" i="4"/>
  <c r="AL71" i="4"/>
  <c r="AU71" i="4" s="1"/>
  <c r="AV71" i="4" s="1"/>
  <c r="AH71" i="4"/>
  <c r="AS74" i="4"/>
  <c r="AQ74" i="4"/>
  <c r="M74" i="4"/>
  <c r="E74" i="4"/>
  <c r="AP74" i="4"/>
  <c r="AR74" i="4"/>
  <c r="J74" i="4"/>
  <c r="L74" i="4"/>
  <c r="AF74" i="4"/>
  <c r="H74" i="4"/>
  <c r="AT74" i="4"/>
  <c r="I74" i="4"/>
  <c r="G74" i="4"/>
  <c r="N74" i="4"/>
  <c r="AO74" i="4"/>
  <c r="J73" i="28"/>
  <c r="Y73" i="28" s="1"/>
  <c r="I73" i="28"/>
  <c r="K73" i="28" s="1"/>
  <c r="N73" i="28" s="1"/>
  <c r="U72" i="28"/>
  <c r="V72" i="28" s="1"/>
  <c r="X72" i="28" s="1"/>
  <c r="P72" i="28"/>
  <c r="N70" i="29"/>
  <c r="O70" i="29" s="1"/>
  <c r="L70" i="29"/>
  <c r="AE74" i="28"/>
  <c r="AD74" i="28"/>
  <c r="O73" i="28"/>
  <c r="Z72" i="28"/>
  <c r="BC76" i="4"/>
  <c r="B75" i="4"/>
  <c r="BE74" i="4"/>
  <c r="BD74" i="4"/>
  <c r="V73" i="4"/>
  <c r="AW73" i="4" s="1"/>
  <c r="R73" i="4"/>
  <c r="Z73" i="4" s="1"/>
  <c r="Y73" i="4"/>
  <c r="AD73" i="4" s="1"/>
  <c r="S73" i="4"/>
  <c r="AA73" i="4" s="1"/>
  <c r="U73" i="4"/>
  <c r="W73" i="4"/>
  <c r="AB73" i="4" s="1"/>
  <c r="T73" i="4"/>
  <c r="X73" i="4"/>
  <c r="AC73" i="4" s="1"/>
  <c r="H71" i="29"/>
  <c r="J71" i="29" s="1"/>
  <c r="AG72" i="4"/>
  <c r="AL72" i="4" s="1"/>
  <c r="Q88" i="7" s="1"/>
  <c r="AM73" i="4"/>
  <c r="X72" i="29"/>
  <c r="W72" i="29"/>
  <c r="G72" i="29" s="1"/>
  <c r="V74" i="29"/>
  <c r="B73" i="29"/>
  <c r="S74" i="28"/>
  <c r="Q74" i="28"/>
  <c r="R74" i="28"/>
  <c r="AC76" i="28"/>
  <c r="B75" i="28"/>
  <c r="A665" i="28"/>
  <c r="Q89" i="7" l="1"/>
  <c r="Q77" i="7" s="1"/>
  <c r="M73" i="29"/>
  <c r="K73" i="29"/>
  <c r="E73" i="29"/>
  <c r="W75" i="28"/>
  <c r="E75" i="28"/>
  <c r="T75" i="28"/>
  <c r="AN71" i="4"/>
  <c r="AH72" i="4"/>
  <c r="AG73" i="4"/>
  <c r="H72" i="29"/>
  <c r="J72" i="29" s="1"/>
  <c r="AD75" i="28"/>
  <c r="AE75" i="28"/>
  <c r="X73" i="29"/>
  <c r="W73" i="29"/>
  <c r="G73" i="29" s="1"/>
  <c r="V75" i="29"/>
  <c r="B74" i="29"/>
  <c r="N71" i="29"/>
  <c r="O71" i="29" s="1"/>
  <c r="L71" i="29"/>
  <c r="E75" i="4"/>
  <c r="J75" i="4"/>
  <c r="AP75" i="4"/>
  <c r="AT75" i="4"/>
  <c r="L75" i="4"/>
  <c r="M75" i="4"/>
  <c r="AR75" i="4"/>
  <c r="AQ75" i="4"/>
  <c r="AO75" i="4"/>
  <c r="H75" i="4"/>
  <c r="G75" i="4"/>
  <c r="N75" i="4"/>
  <c r="AF75" i="4"/>
  <c r="AS75" i="4"/>
  <c r="I75" i="4"/>
  <c r="BC77" i="4"/>
  <c r="B76" i="4"/>
  <c r="Z73" i="28"/>
  <c r="AU72" i="4"/>
  <c r="AV72" i="4" s="1"/>
  <c r="AN72" i="4"/>
  <c r="U73" i="28"/>
  <c r="V73" i="28" s="1"/>
  <c r="X73" i="28" s="1"/>
  <c r="P73" i="28"/>
  <c r="AM74" i="4"/>
  <c r="Q75" i="28"/>
  <c r="R75" i="28"/>
  <c r="S75" i="28"/>
  <c r="AC77" i="28"/>
  <c r="B76" i="28"/>
  <c r="O74" i="28"/>
  <c r="AX73" i="4"/>
  <c r="T74" i="4"/>
  <c r="S74" i="4"/>
  <c r="AA74" i="4" s="1"/>
  <c r="X74" i="4"/>
  <c r="AC74" i="4" s="1"/>
  <c r="W74" i="4"/>
  <c r="AB74" i="4" s="1"/>
  <c r="V74" i="4"/>
  <c r="AW74" i="4" s="1"/>
  <c r="Y74" i="4"/>
  <c r="AD74" i="4" s="1"/>
  <c r="U74" i="4"/>
  <c r="R74" i="4"/>
  <c r="Z74" i="4" s="1"/>
  <c r="BE75" i="4"/>
  <c r="BD75" i="4"/>
  <c r="I74" i="28"/>
  <c r="K74" i="28" s="1"/>
  <c r="N74" i="28" s="1"/>
  <c r="J74" i="28"/>
  <c r="Y74" i="28" s="1"/>
  <c r="AH73" i="4"/>
  <c r="A666" i="28"/>
  <c r="M74" i="29" l="1"/>
  <c r="K74" i="29"/>
  <c r="E74" i="29"/>
  <c r="E76" i="28"/>
  <c r="T76" i="28"/>
  <c r="L72" i="29"/>
  <c r="N72" i="29"/>
  <c r="O72" i="29" s="1"/>
  <c r="H73" i="29"/>
  <c r="J73" i="29" s="1"/>
  <c r="AX74" i="4"/>
  <c r="Y75" i="4"/>
  <c r="AD75" i="4" s="1"/>
  <c r="T75" i="4"/>
  <c r="W75" i="4"/>
  <c r="AB75" i="4" s="1"/>
  <c r="S75" i="4"/>
  <c r="AA75" i="4" s="1"/>
  <c r="R75" i="4"/>
  <c r="Z75" i="4" s="1"/>
  <c r="V75" i="4"/>
  <c r="AW75" i="4" s="1"/>
  <c r="X75" i="4"/>
  <c r="AC75" i="4" s="1"/>
  <c r="U75" i="4"/>
  <c r="AG74" i="4"/>
  <c r="AL73" i="4"/>
  <c r="Z74" i="28"/>
  <c r="Q76" i="28"/>
  <c r="R76" i="28"/>
  <c r="S76" i="28"/>
  <c r="AD76" i="28"/>
  <c r="AE76" i="28"/>
  <c r="I76" i="4"/>
  <c r="AP76" i="4"/>
  <c r="L76" i="4"/>
  <c r="AQ76" i="4"/>
  <c r="M76" i="4"/>
  <c r="AO76" i="4"/>
  <c r="J76" i="4"/>
  <c r="AS76" i="4"/>
  <c r="H76" i="4"/>
  <c r="AF76" i="4"/>
  <c r="N76" i="4"/>
  <c r="E76" i="4"/>
  <c r="AR76" i="4"/>
  <c r="G76" i="4"/>
  <c r="AT76" i="4"/>
  <c r="AM75" i="4"/>
  <c r="W74" i="29"/>
  <c r="G74" i="29" s="1"/>
  <c r="X74" i="29"/>
  <c r="V76" i="29"/>
  <c r="B75" i="29"/>
  <c r="J75" i="28"/>
  <c r="Y75" i="28" s="1"/>
  <c r="I75" i="28"/>
  <c r="K75" i="28" s="1"/>
  <c r="N75" i="28" s="1"/>
  <c r="P74" i="28"/>
  <c r="U74" i="28"/>
  <c r="V74" i="28" s="1"/>
  <c r="X74" i="28" s="1"/>
  <c r="B77" i="28"/>
  <c r="AC78" i="28"/>
  <c r="O75" i="28"/>
  <c r="BE76" i="4"/>
  <c r="BD76" i="4"/>
  <c r="B77" i="4"/>
  <c r="BC78" i="4"/>
  <c r="A667" i="28"/>
  <c r="E75" i="29" l="1"/>
  <c r="M75" i="29"/>
  <c r="K75" i="29"/>
  <c r="E77" i="28"/>
  <c r="T77" i="28"/>
  <c r="AM76" i="4"/>
  <c r="L73" i="29"/>
  <c r="N73" i="29"/>
  <c r="O73" i="29" s="1"/>
  <c r="AH74" i="4"/>
  <c r="BC79" i="4"/>
  <c r="B78" i="4"/>
  <c r="E77" i="4"/>
  <c r="AO77" i="4"/>
  <c r="L77" i="4"/>
  <c r="M77" i="4"/>
  <c r="AR77" i="4"/>
  <c r="J77" i="4"/>
  <c r="AQ77" i="4"/>
  <c r="H77" i="4"/>
  <c r="AP77" i="4"/>
  <c r="AF77" i="4"/>
  <c r="N77" i="4"/>
  <c r="AS77" i="4"/>
  <c r="G77" i="4"/>
  <c r="I77" i="4"/>
  <c r="AT77" i="4"/>
  <c r="Y76" i="4"/>
  <c r="AD76" i="4" s="1"/>
  <c r="V76" i="4"/>
  <c r="AW76" i="4" s="1"/>
  <c r="T76" i="4"/>
  <c r="U76" i="4"/>
  <c r="S76" i="4"/>
  <c r="AA76" i="4" s="1"/>
  <c r="R76" i="4"/>
  <c r="Z76" i="4" s="1"/>
  <c r="W76" i="4"/>
  <c r="AB76" i="4" s="1"/>
  <c r="X76" i="4"/>
  <c r="AC76" i="4" s="1"/>
  <c r="Z75" i="28"/>
  <c r="B78" i="28"/>
  <c r="AC79" i="28"/>
  <c r="Q77" i="28"/>
  <c r="R77" i="28"/>
  <c r="S77" i="28"/>
  <c r="P75" i="28"/>
  <c r="U75" i="28"/>
  <c r="V75" i="28" s="1"/>
  <c r="X75" i="28" s="1"/>
  <c r="B76" i="29"/>
  <c r="V77" i="29"/>
  <c r="J76" i="28"/>
  <c r="I76" i="28"/>
  <c r="AG75" i="4"/>
  <c r="AL75" i="4" s="1"/>
  <c r="H74" i="29"/>
  <c r="J74" i="29" s="1"/>
  <c r="BE77" i="4"/>
  <c r="BD77" i="4"/>
  <c r="AE77" i="28"/>
  <c r="AD77" i="28"/>
  <c r="W75" i="29"/>
  <c r="G75" i="29" s="1"/>
  <c r="X75" i="29"/>
  <c r="AN73" i="4"/>
  <c r="AU73" i="4"/>
  <c r="AV73" i="4" s="1"/>
  <c r="AL74" i="4"/>
  <c r="AX75" i="4"/>
  <c r="A668" i="28"/>
  <c r="K76" i="29" l="1"/>
  <c r="E76" i="29"/>
  <c r="M76" i="29"/>
  <c r="E78" i="28"/>
  <c r="T78" i="28"/>
  <c r="AM77" i="4"/>
  <c r="AH75" i="4"/>
  <c r="AN75" i="4"/>
  <c r="AU75" i="4"/>
  <c r="AV75" i="4" s="1"/>
  <c r="N74" i="29"/>
  <c r="O74" i="29" s="1"/>
  <c r="L74" i="29"/>
  <c r="AE78" i="28"/>
  <c r="AD78" i="28"/>
  <c r="BE78" i="4"/>
  <c r="BD78" i="4"/>
  <c r="V78" i="29"/>
  <c r="B77" i="29"/>
  <c r="AN74" i="4"/>
  <c r="AU74" i="4"/>
  <c r="AV74" i="4" s="1"/>
  <c r="J77" i="28"/>
  <c r="I77" i="28"/>
  <c r="R77" i="4"/>
  <c r="Z77" i="4" s="1"/>
  <c r="U77" i="4"/>
  <c r="Y77" i="4"/>
  <c r="AD77" i="4" s="1"/>
  <c r="X77" i="4"/>
  <c r="AC77" i="4" s="1"/>
  <c r="V77" i="4"/>
  <c r="AW77" i="4" s="1"/>
  <c r="W77" i="4"/>
  <c r="AB77" i="4" s="1"/>
  <c r="S77" i="4"/>
  <c r="T77" i="4"/>
  <c r="X76" i="29"/>
  <c r="W76" i="29"/>
  <c r="G76" i="29" s="1"/>
  <c r="H75" i="29"/>
  <c r="J75" i="29" s="1"/>
  <c r="B79" i="28"/>
  <c r="AC80" i="28"/>
  <c r="R78" i="28"/>
  <c r="S78" i="28"/>
  <c r="Q78" i="28"/>
  <c r="AX76" i="4"/>
  <c r="AG76" i="4"/>
  <c r="AL76" i="4" s="1"/>
  <c r="I78" i="4"/>
  <c r="M78" i="4"/>
  <c r="N78" i="4"/>
  <c r="E78" i="4"/>
  <c r="AT78" i="4"/>
  <c r="G78" i="4"/>
  <c r="AP78" i="4"/>
  <c r="AR78" i="4"/>
  <c r="J78" i="4"/>
  <c r="AF78" i="4"/>
  <c r="L78" i="4"/>
  <c r="H78" i="4"/>
  <c r="AO78" i="4"/>
  <c r="AQ78" i="4"/>
  <c r="AS78" i="4"/>
  <c r="B79" i="4"/>
  <c r="BC80" i="4"/>
  <c r="A669" i="28"/>
  <c r="M77" i="29" l="1"/>
  <c r="K77" i="29"/>
  <c r="E77" i="29"/>
  <c r="T79" i="28"/>
  <c r="E79" i="28"/>
  <c r="H76" i="29"/>
  <c r="J76" i="29" s="1"/>
  <c r="AA77" i="4"/>
  <c r="BC81" i="4"/>
  <c r="B80" i="4"/>
  <c r="E79" i="4"/>
  <c r="AT79" i="4"/>
  <c r="AF79" i="4"/>
  <c r="N79" i="4"/>
  <c r="H79" i="4"/>
  <c r="AO79" i="4"/>
  <c r="J79" i="4"/>
  <c r="G79" i="4"/>
  <c r="I79" i="4"/>
  <c r="AS79" i="4"/>
  <c r="L79" i="4"/>
  <c r="AR79" i="4"/>
  <c r="M79" i="4"/>
  <c r="AQ79" i="4"/>
  <c r="AP79" i="4"/>
  <c r="AN76" i="4"/>
  <c r="AU76" i="4"/>
  <c r="AV76" i="4" s="1"/>
  <c r="AH76" i="4"/>
  <c r="AC81" i="28"/>
  <c r="B80" i="28"/>
  <c r="AE79" i="28"/>
  <c r="AD79" i="28"/>
  <c r="AG77" i="4"/>
  <c r="W77" i="29"/>
  <c r="G77" i="29" s="1"/>
  <c r="X77" i="29"/>
  <c r="V78" i="4"/>
  <c r="AW78" i="4" s="1"/>
  <c r="S78" i="4"/>
  <c r="AA78" i="4" s="1"/>
  <c r="W78" i="4"/>
  <c r="AB78" i="4" s="1"/>
  <c r="T78" i="4"/>
  <c r="Y78" i="4"/>
  <c r="AD78" i="4" s="1"/>
  <c r="R78" i="4"/>
  <c r="Z78" i="4" s="1"/>
  <c r="X78" i="4"/>
  <c r="AC78" i="4" s="1"/>
  <c r="U78" i="4"/>
  <c r="BD79" i="4"/>
  <c r="BE79" i="4"/>
  <c r="AM78" i="4"/>
  <c r="R79" i="28"/>
  <c r="Q79" i="28"/>
  <c r="S79" i="28"/>
  <c r="N75" i="29"/>
  <c r="O75" i="29" s="1"/>
  <c r="L75" i="29"/>
  <c r="V79" i="29"/>
  <c r="B78" i="29"/>
  <c r="I78" i="28"/>
  <c r="J78" i="28"/>
  <c r="A670" i="28"/>
  <c r="AX77" i="4" l="1"/>
  <c r="M78" i="29"/>
  <c r="E78" i="29"/>
  <c r="K78" i="29"/>
  <c r="T80" i="28"/>
  <c r="E80" i="28"/>
  <c r="AH77" i="4"/>
  <c r="H77" i="29"/>
  <c r="J77" i="29" s="1"/>
  <c r="N77" i="29" s="1"/>
  <c r="O77" i="29" s="1"/>
  <c r="V80" i="29"/>
  <c r="B79" i="29"/>
  <c r="L76" i="29"/>
  <c r="N76" i="29"/>
  <c r="O76" i="29" s="1"/>
  <c r="AX78" i="4"/>
  <c r="AL77" i="4"/>
  <c r="I79" i="28"/>
  <c r="J79" i="28"/>
  <c r="S80" i="28"/>
  <c r="R80" i="28"/>
  <c r="Q80" i="28"/>
  <c r="AD80" i="28"/>
  <c r="AE80" i="28"/>
  <c r="BC82" i="4"/>
  <c r="B81" i="4"/>
  <c r="BE80" i="4"/>
  <c r="BD80" i="4"/>
  <c r="W78" i="29"/>
  <c r="G78" i="29" s="1"/>
  <c r="X78" i="29"/>
  <c r="U79" i="4"/>
  <c r="R79" i="4"/>
  <c r="Z79" i="4" s="1"/>
  <c r="T79" i="4"/>
  <c r="S79" i="4"/>
  <c r="AA79" i="4" s="1"/>
  <c r="Y79" i="4"/>
  <c r="AD79" i="4" s="1"/>
  <c r="V79" i="4"/>
  <c r="AW79" i="4" s="1"/>
  <c r="X79" i="4"/>
  <c r="AC79" i="4" s="1"/>
  <c r="W79" i="4"/>
  <c r="AB79" i="4" s="1"/>
  <c r="AG78" i="4"/>
  <c r="AL78" i="4" s="1"/>
  <c r="AC82" i="28"/>
  <c r="B81" i="28"/>
  <c r="AM79" i="4"/>
  <c r="H80" i="4"/>
  <c r="AP80" i="4"/>
  <c r="E80" i="4"/>
  <c r="M80" i="4"/>
  <c r="N80" i="4"/>
  <c r="AO80" i="4"/>
  <c r="G80" i="4"/>
  <c r="J80" i="4"/>
  <c r="AR80" i="4"/>
  <c r="AS80" i="4"/>
  <c r="I80" i="4"/>
  <c r="L80" i="4"/>
  <c r="AF80" i="4"/>
  <c r="AT80" i="4"/>
  <c r="AQ80" i="4"/>
  <c r="A671" i="28"/>
  <c r="L77" i="29" l="1"/>
  <c r="E79" i="29"/>
  <c r="M79" i="29"/>
  <c r="K79" i="29"/>
  <c r="E81" i="28"/>
  <c r="T81" i="28"/>
  <c r="AH78" i="4"/>
  <c r="AU78" i="4"/>
  <c r="AV78" i="4" s="1"/>
  <c r="AN78" i="4"/>
  <c r="AE81" i="28"/>
  <c r="AD81" i="28"/>
  <c r="AG79" i="4"/>
  <c r="M81" i="4"/>
  <c r="H81" i="4"/>
  <c r="E81" i="4"/>
  <c r="AT81" i="4"/>
  <c r="AF81" i="4"/>
  <c r="G81" i="4"/>
  <c r="I81" i="4"/>
  <c r="AR81" i="4"/>
  <c r="AO81" i="4"/>
  <c r="J81" i="4"/>
  <c r="AS81" i="4"/>
  <c r="N81" i="4"/>
  <c r="L81" i="4"/>
  <c r="AP81" i="4"/>
  <c r="AQ81" i="4"/>
  <c r="I80" i="28"/>
  <c r="J80" i="28"/>
  <c r="V81" i="29"/>
  <c r="B80" i="29"/>
  <c r="AM80" i="4"/>
  <c r="S81" i="28"/>
  <c r="Q81" i="28"/>
  <c r="R81" i="28"/>
  <c r="AC83" i="28"/>
  <c r="B82" i="28"/>
  <c r="AX79" i="4"/>
  <c r="Y80" i="4"/>
  <c r="AD80" i="4" s="1"/>
  <c r="X80" i="4"/>
  <c r="AC80" i="4" s="1"/>
  <c r="W80" i="4"/>
  <c r="AB80" i="4" s="1"/>
  <c r="V80" i="4"/>
  <c r="AW80" i="4" s="1"/>
  <c r="S80" i="4"/>
  <c r="AA80" i="4" s="1"/>
  <c r="R80" i="4"/>
  <c r="Z80" i="4" s="1"/>
  <c r="T80" i="4"/>
  <c r="U80" i="4"/>
  <c r="BE81" i="4"/>
  <c r="BD81" i="4"/>
  <c r="BC83" i="4"/>
  <c r="B82" i="4"/>
  <c r="AU77" i="4"/>
  <c r="AV77" i="4" s="1"/>
  <c r="AN77" i="4"/>
  <c r="X79" i="29"/>
  <c r="W79" i="29"/>
  <c r="G79" i="29" s="1"/>
  <c r="H78" i="29"/>
  <c r="J78" i="29" s="1"/>
  <c r="A672" i="28"/>
  <c r="K80" i="29" l="1"/>
  <c r="E80" i="29"/>
  <c r="M80" i="29"/>
  <c r="T82" i="28"/>
  <c r="E82" i="28"/>
  <c r="AH79" i="4"/>
  <c r="AX80" i="4"/>
  <c r="AL79" i="4"/>
  <c r="AN79" i="4" s="1"/>
  <c r="AS82" i="4"/>
  <c r="AO82" i="4"/>
  <c r="E82" i="4"/>
  <c r="F82" i="4" s="1"/>
  <c r="J82" i="4"/>
  <c r="G82" i="4"/>
  <c r="M82" i="4"/>
  <c r="L82" i="4"/>
  <c r="I82" i="4"/>
  <c r="H82" i="4"/>
  <c r="AR82" i="4"/>
  <c r="AP82" i="4"/>
  <c r="AQ82" i="4"/>
  <c r="AF82" i="4"/>
  <c r="N82" i="4"/>
  <c r="AT82" i="4"/>
  <c r="BE82" i="4"/>
  <c r="BD82" i="4"/>
  <c r="AG80" i="4"/>
  <c r="AC84" i="28"/>
  <c r="B83" i="28"/>
  <c r="X80" i="29"/>
  <c r="W80" i="29"/>
  <c r="G80" i="29" s="1"/>
  <c r="AM81" i="4"/>
  <c r="N78" i="29"/>
  <c r="O78" i="29" s="1"/>
  <c r="L78" i="29"/>
  <c r="H79" i="29"/>
  <c r="J79" i="29" s="1"/>
  <c r="B83" i="4"/>
  <c r="BC84" i="4"/>
  <c r="X81" i="4"/>
  <c r="AC81" i="4" s="1"/>
  <c r="S81" i="4"/>
  <c r="AA81" i="4" s="1"/>
  <c r="T81" i="4"/>
  <c r="V81" i="4"/>
  <c r="AW81" i="4" s="1"/>
  <c r="W81" i="4"/>
  <c r="AB81" i="4" s="1"/>
  <c r="R81" i="4"/>
  <c r="Z81" i="4" s="1"/>
  <c r="U81" i="4"/>
  <c r="Y81" i="4"/>
  <c r="AD81" i="4" s="1"/>
  <c r="S82" i="28"/>
  <c r="Q82" i="28"/>
  <c r="R82" i="28"/>
  <c r="AD82" i="28"/>
  <c r="AE82" i="28"/>
  <c r="B81" i="29"/>
  <c r="V82" i="29"/>
  <c r="J81" i="28"/>
  <c r="I81" i="28"/>
  <c r="A673" i="28"/>
  <c r="M81" i="29" l="1"/>
  <c r="K81" i="29"/>
  <c r="E81" i="29"/>
  <c r="T83" i="28"/>
  <c r="E83" i="28"/>
  <c r="AU79" i="4"/>
  <c r="AV79" i="4" s="1"/>
  <c r="AL80" i="4"/>
  <c r="AM82" i="4"/>
  <c r="AH80" i="4"/>
  <c r="AG81" i="4"/>
  <c r="W81" i="29"/>
  <c r="G81" i="29" s="1"/>
  <c r="X81" i="29"/>
  <c r="I82" i="28"/>
  <c r="J82" i="28"/>
  <c r="B84" i="4"/>
  <c r="BC85" i="4"/>
  <c r="L79" i="29"/>
  <c r="N79" i="29"/>
  <c r="O79" i="29" s="1"/>
  <c r="H80" i="29"/>
  <c r="J80" i="29" s="1"/>
  <c r="Q83" i="28"/>
  <c r="R83" i="28"/>
  <c r="S83" i="28"/>
  <c r="B84" i="28"/>
  <c r="AC85" i="28"/>
  <c r="B82" i="29"/>
  <c r="V83" i="29"/>
  <c r="AX81" i="4"/>
  <c r="BD83" i="4"/>
  <c r="BE83" i="4"/>
  <c r="AP83" i="4"/>
  <c r="G83" i="4"/>
  <c r="AF83" i="4"/>
  <c r="N83" i="4"/>
  <c r="J83" i="4"/>
  <c r="E83" i="4"/>
  <c r="AR83" i="4"/>
  <c r="M83" i="4"/>
  <c r="H83" i="4"/>
  <c r="AO83" i="4"/>
  <c r="L83" i="4"/>
  <c r="AT83" i="4"/>
  <c r="AQ83" i="4"/>
  <c r="I83" i="4"/>
  <c r="AS83" i="4"/>
  <c r="AE83" i="28"/>
  <c r="AD83" i="28"/>
  <c r="Y82" i="4"/>
  <c r="AD82" i="4" s="1"/>
  <c r="V82" i="4"/>
  <c r="AW82" i="4" s="1"/>
  <c r="T82" i="4"/>
  <c r="S82" i="4"/>
  <c r="AA82" i="4" s="1"/>
  <c r="W82" i="4"/>
  <c r="AB82" i="4" s="1"/>
  <c r="X82" i="4"/>
  <c r="AC82" i="4" s="1"/>
  <c r="R82" i="4"/>
  <c r="Z82" i="4" s="1"/>
  <c r="U82" i="4"/>
  <c r="A674" i="28"/>
  <c r="M82" i="29" l="1"/>
  <c r="K82" i="29"/>
  <c r="E82" i="29"/>
  <c r="T84" i="28"/>
  <c r="E84" i="28"/>
  <c r="AN80" i="4"/>
  <c r="AU80" i="4"/>
  <c r="AV80" i="4" s="1"/>
  <c r="AH81" i="4"/>
  <c r="AX82" i="4"/>
  <c r="AL81" i="4"/>
  <c r="AU81" i="4" s="1"/>
  <c r="AV81" i="4" s="1"/>
  <c r="W82" i="29"/>
  <c r="G82" i="29" s="1"/>
  <c r="X82" i="29"/>
  <c r="AC86" i="28"/>
  <c r="B85" i="28"/>
  <c r="Q84" i="28"/>
  <c r="S84" i="28"/>
  <c r="R84" i="28"/>
  <c r="BE84" i="4"/>
  <c r="BD84" i="4"/>
  <c r="BC86" i="4"/>
  <c r="B85" i="4"/>
  <c r="AG82" i="4"/>
  <c r="I83" i="28"/>
  <c r="J83" i="28"/>
  <c r="AM83" i="4"/>
  <c r="X83" i="4"/>
  <c r="AC83" i="4" s="1"/>
  <c r="U83" i="4"/>
  <c r="V83" i="4"/>
  <c r="AW83" i="4" s="1"/>
  <c r="T83" i="4"/>
  <c r="S83" i="4"/>
  <c r="AA83" i="4" s="1"/>
  <c r="W83" i="4"/>
  <c r="AB83" i="4" s="1"/>
  <c r="R83" i="4"/>
  <c r="Z83" i="4" s="1"/>
  <c r="Y83" i="4"/>
  <c r="AD83" i="4" s="1"/>
  <c r="V84" i="29"/>
  <c r="B83" i="29"/>
  <c r="AE84" i="28"/>
  <c r="AD84" i="28"/>
  <c r="N80" i="29"/>
  <c r="O80" i="29" s="1"/>
  <c r="L80" i="29"/>
  <c r="H84" i="4"/>
  <c r="AS84" i="4"/>
  <c r="N84" i="4"/>
  <c r="L84" i="4"/>
  <c r="AT84" i="4"/>
  <c r="AO84" i="4"/>
  <c r="AR84" i="4"/>
  <c r="AQ84" i="4"/>
  <c r="AP84" i="4"/>
  <c r="J84" i="4"/>
  <c r="AF84" i="4"/>
  <c r="E84" i="4"/>
  <c r="G84" i="4"/>
  <c r="M84" i="4"/>
  <c r="I84" i="4"/>
  <c r="H81" i="29"/>
  <c r="J81" i="29" s="1"/>
  <c r="A675" i="28"/>
  <c r="E83" i="29" l="1"/>
  <c r="K83" i="29"/>
  <c r="M83" i="29"/>
  <c r="E85" i="28"/>
  <c r="T85" i="28"/>
  <c r="AN81" i="4"/>
  <c r="AX83" i="4"/>
  <c r="AL82" i="4"/>
  <c r="AN82" i="4" s="1"/>
  <c r="AM84" i="4"/>
  <c r="I84" i="28"/>
  <c r="J84" i="28"/>
  <c r="V85" i="29"/>
  <c r="B84" i="29"/>
  <c r="L85" i="4"/>
  <c r="N85" i="4"/>
  <c r="AP85" i="4"/>
  <c r="E85" i="4"/>
  <c r="AT85" i="4"/>
  <c r="AS85" i="4"/>
  <c r="AR85" i="4"/>
  <c r="AF85" i="4"/>
  <c r="G85" i="4"/>
  <c r="AO85" i="4"/>
  <c r="M85" i="4"/>
  <c r="AQ85" i="4"/>
  <c r="H85" i="4"/>
  <c r="J85" i="4"/>
  <c r="I85" i="4"/>
  <c r="BD85" i="4"/>
  <c r="BE85" i="4"/>
  <c r="B86" i="28"/>
  <c r="AC87" i="28"/>
  <c r="H82" i="29"/>
  <c r="J82" i="29" s="1"/>
  <c r="N81" i="29"/>
  <c r="O81" i="29" s="1"/>
  <c r="L81" i="29"/>
  <c r="X83" i="29"/>
  <c r="W83" i="29"/>
  <c r="G83" i="29" s="1"/>
  <c r="AG83" i="4"/>
  <c r="AH82" i="4"/>
  <c r="BC87" i="4"/>
  <c r="B86" i="4"/>
  <c r="R84" i="4"/>
  <c r="Z84" i="4" s="1"/>
  <c r="W84" i="4"/>
  <c r="AB84" i="4" s="1"/>
  <c r="Y84" i="4"/>
  <c r="AD84" i="4" s="1"/>
  <c r="T84" i="4"/>
  <c r="S84" i="4"/>
  <c r="AA84" i="4" s="1"/>
  <c r="X84" i="4"/>
  <c r="AC84" i="4" s="1"/>
  <c r="V84" i="4"/>
  <c r="AW84" i="4" s="1"/>
  <c r="U84" i="4"/>
  <c r="R85" i="28"/>
  <c r="S85" i="28"/>
  <c r="Q85" i="28"/>
  <c r="AD85" i="28"/>
  <c r="AE85" i="28"/>
  <c r="A676" i="28"/>
  <c r="K84" i="29" l="1"/>
  <c r="E84" i="29"/>
  <c r="M84" i="29"/>
  <c r="T86" i="28"/>
  <c r="E86" i="28"/>
  <c r="AH83" i="4"/>
  <c r="AU82" i="4"/>
  <c r="AV82" i="4" s="1"/>
  <c r="I85" i="28"/>
  <c r="J85" i="28"/>
  <c r="AX84" i="4"/>
  <c r="AG84" i="4"/>
  <c r="BE86" i="4"/>
  <c r="BD86" i="4"/>
  <c r="BC88" i="4"/>
  <c r="B87" i="4"/>
  <c r="N82" i="29"/>
  <c r="O82" i="29" s="1"/>
  <c r="L82" i="29"/>
  <c r="R86" i="28"/>
  <c r="Q86" i="28"/>
  <c r="S86" i="28"/>
  <c r="AM85" i="4"/>
  <c r="W84" i="29"/>
  <c r="G84" i="29" s="1"/>
  <c r="X84" i="29"/>
  <c r="H86" i="4"/>
  <c r="AO86" i="4"/>
  <c r="L86" i="4"/>
  <c r="AS86" i="4"/>
  <c r="I86" i="4"/>
  <c r="AQ86" i="4"/>
  <c r="G86" i="4"/>
  <c r="E86" i="4"/>
  <c r="F86" i="4" s="1"/>
  <c r="AP86" i="4"/>
  <c r="AF86" i="4"/>
  <c r="M86" i="4"/>
  <c r="AR86" i="4"/>
  <c r="AT86" i="4"/>
  <c r="N86" i="4"/>
  <c r="J86" i="4"/>
  <c r="AL83" i="4"/>
  <c r="H83" i="29"/>
  <c r="J83" i="29" s="1"/>
  <c r="AC88" i="28"/>
  <c r="B87" i="28"/>
  <c r="AE86" i="28"/>
  <c r="AD86" i="28"/>
  <c r="Y85" i="4"/>
  <c r="AD85" i="4" s="1"/>
  <c r="W85" i="4"/>
  <c r="AB85" i="4" s="1"/>
  <c r="R85" i="4"/>
  <c r="Z85" i="4" s="1"/>
  <c r="T85" i="4"/>
  <c r="S85" i="4"/>
  <c r="AA85" i="4" s="1"/>
  <c r="U85" i="4"/>
  <c r="V85" i="4"/>
  <c r="AW85" i="4" s="1"/>
  <c r="X85" i="4"/>
  <c r="AC85" i="4" s="1"/>
  <c r="V86" i="29"/>
  <c r="B85" i="29"/>
  <c r="A677" i="28"/>
  <c r="M85" i="29" l="1"/>
  <c r="K85" i="29"/>
  <c r="E85" i="29"/>
  <c r="T87" i="28"/>
  <c r="E87" i="28"/>
  <c r="AM86" i="4"/>
  <c r="AH84" i="4"/>
  <c r="AG85" i="4"/>
  <c r="V87" i="29"/>
  <c r="B86" i="29"/>
  <c r="J86" i="28"/>
  <c r="I86" i="28"/>
  <c r="R87" i="28"/>
  <c r="S87" i="28"/>
  <c r="Q87" i="28"/>
  <c r="AE87" i="28"/>
  <c r="AD87" i="28"/>
  <c r="AU83" i="4"/>
  <c r="AV83" i="4" s="1"/>
  <c r="AN83" i="4"/>
  <c r="H84" i="29"/>
  <c r="J84" i="29" s="1"/>
  <c r="J87" i="4"/>
  <c r="AF87" i="4"/>
  <c r="L87" i="4"/>
  <c r="M87" i="4"/>
  <c r="E87" i="4"/>
  <c r="AS87" i="4"/>
  <c r="AO87" i="4"/>
  <c r="AQ87" i="4"/>
  <c r="G87" i="4"/>
  <c r="N87" i="4"/>
  <c r="AR87" i="4"/>
  <c r="I87" i="4"/>
  <c r="AT87" i="4"/>
  <c r="H87" i="4"/>
  <c r="AP87" i="4"/>
  <c r="BE87" i="4"/>
  <c r="BD87" i="4"/>
  <c r="X85" i="29"/>
  <c r="W85" i="29"/>
  <c r="G85" i="29" s="1"/>
  <c r="AX85" i="4"/>
  <c r="AC89" i="28"/>
  <c r="B88" i="28"/>
  <c r="N83" i="29"/>
  <c r="O83" i="29" s="1"/>
  <c r="L83" i="29"/>
  <c r="BC89" i="4"/>
  <c r="B88" i="4"/>
  <c r="Y86" i="4"/>
  <c r="AD86" i="4" s="1"/>
  <c r="X86" i="4"/>
  <c r="AC86" i="4" s="1"/>
  <c r="V86" i="4"/>
  <c r="AW86" i="4" s="1"/>
  <c r="W86" i="4"/>
  <c r="AB86" i="4" s="1"/>
  <c r="T86" i="4"/>
  <c r="U86" i="4"/>
  <c r="R86" i="4"/>
  <c r="Z86" i="4" s="1"/>
  <c r="S86" i="4"/>
  <c r="AA86" i="4" s="1"/>
  <c r="AL84" i="4"/>
  <c r="A678" i="28"/>
  <c r="M86" i="29" l="1"/>
  <c r="K86" i="29"/>
  <c r="E86" i="29"/>
  <c r="E88" i="28"/>
  <c r="T88" i="28"/>
  <c r="AX86" i="4"/>
  <c r="AL85" i="4"/>
  <c r="H85" i="29"/>
  <c r="J85" i="29" s="1"/>
  <c r="AH85" i="4"/>
  <c r="AN84" i="4"/>
  <c r="AU84" i="4"/>
  <c r="AV84" i="4" s="1"/>
  <c r="AG86" i="4"/>
  <c r="J88" i="4"/>
  <c r="I88" i="4"/>
  <c r="N88" i="4"/>
  <c r="AT88" i="4"/>
  <c r="AF88" i="4"/>
  <c r="M88" i="4"/>
  <c r="AS88" i="4"/>
  <c r="AP88" i="4"/>
  <c r="AO88" i="4"/>
  <c r="AQ88" i="4"/>
  <c r="G88" i="4"/>
  <c r="L88" i="4"/>
  <c r="H88" i="4"/>
  <c r="AR88" i="4"/>
  <c r="E88" i="4"/>
  <c r="BC90" i="4"/>
  <c r="B89" i="4"/>
  <c r="R88" i="28"/>
  <c r="S88" i="28"/>
  <c r="Q88" i="28"/>
  <c r="AD88" i="28"/>
  <c r="AE88" i="28"/>
  <c r="N84" i="29"/>
  <c r="O84" i="29" s="1"/>
  <c r="L84" i="29"/>
  <c r="J87" i="28"/>
  <c r="I87" i="28"/>
  <c r="V88" i="29"/>
  <c r="B87" i="29"/>
  <c r="BE88" i="4"/>
  <c r="BD88" i="4"/>
  <c r="AC90" i="28"/>
  <c r="B89" i="28"/>
  <c r="U87" i="4"/>
  <c r="R87" i="4"/>
  <c r="Z87" i="4" s="1"/>
  <c r="W87" i="4"/>
  <c r="AB87" i="4" s="1"/>
  <c r="V87" i="4"/>
  <c r="AW87" i="4" s="1"/>
  <c r="X87" i="4"/>
  <c r="AC87" i="4" s="1"/>
  <c r="Y87" i="4"/>
  <c r="AD87" i="4" s="1"/>
  <c r="T87" i="4"/>
  <c r="S87" i="4"/>
  <c r="AA87" i="4" s="1"/>
  <c r="AX87" i="4" s="1"/>
  <c r="AM87" i="4"/>
  <c r="X86" i="29"/>
  <c r="W86" i="29"/>
  <c r="G86" i="29" s="1"/>
  <c r="A679" i="28"/>
  <c r="E87" i="29" l="1"/>
  <c r="M87" i="29"/>
  <c r="K87" i="29"/>
  <c r="E89" i="28"/>
  <c r="T89" i="28"/>
  <c r="AU85" i="4"/>
  <c r="AV85" i="4" s="1"/>
  <c r="AN85" i="4"/>
  <c r="AH86" i="4"/>
  <c r="H86" i="29"/>
  <c r="J86" i="29" s="1"/>
  <c r="AG87" i="4"/>
  <c r="R89" i="28"/>
  <c r="S89" i="28"/>
  <c r="Q89" i="28"/>
  <c r="AE89" i="28"/>
  <c r="AD89" i="28"/>
  <c r="V88" i="4"/>
  <c r="AW88" i="4" s="1"/>
  <c r="U88" i="4"/>
  <c r="S88" i="4"/>
  <c r="AA88" i="4" s="1"/>
  <c r="R88" i="4"/>
  <c r="Z88" i="4" s="1"/>
  <c r="T88" i="4"/>
  <c r="W88" i="4"/>
  <c r="AB88" i="4" s="1"/>
  <c r="X88" i="4"/>
  <c r="AC88" i="4" s="1"/>
  <c r="Y88" i="4"/>
  <c r="AD88" i="4" s="1"/>
  <c r="V89" i="29"/>
  <c r="B88" i="29"/>
  <c r="I89" i="4"/>
  <c r="G89" i="4"/>
  <c r="AF89" i="4"/>
  <c r="AQ89" i="4"/>
  <c r="H89" i="4"/>
  <c r="M89" i="4"/>
  <c r="AT89" i="4"/>
  <c r="AP89" i="4"/>
  <c r="AO89" i="4"/>
  <c r="N89" i="4"/>
  <c r="E89" i="4"/>
  <c r="AR89" i="4"/>
  <c r="AS89" i="4"/>
  <c r="J89" i="4"/>
  <c r="L89" i="4"/>
  <c r="BD89" i="4"/>
  <c r="BE89" i="4"/>
  <c r="AM88" i="4"/>
  <c r="AL86" i="4"/>
  <c r="L85" i="29"/>
  <c r="N85" i="29"/>
  <c r="O85" i="29" s="1"/>
  <c r="B90" i="28"/>
  <c r="AC91" i="28"/>
  <c r="W87" i="29"/>
  <c r="G87" i="29" s="1"/>
  <c r="X87" i="29"/>
  <c r="J88" i="28"/>
  <c r="I88" i="28"/>
  <c r="B90" i="4"/>
  <c r="BC91" i="4"/>
  <c r="A680" i="28"/>
  <c r="K88" i="29" l="1"/>
  <c r="E88" i="29"/>
  <c r="M88" i="29"/>
  <c r="E90" i="28"/>
  <c r="T90" i="28"/>
  <c r="AX88" i="4"/>
  <c r="AL87" i="4"/>
  <c r="AH87" i="4"/>
  <c r="B91" i="4"/>
  <c r="BC92" i="4"/>
  <c r="BD90" i="4"/>
  <c r="BE90" i="4"/>
  <c r="AE90" i="28"/>
  <c r="AD90" i="28"/>
  <c r="W88" i="29"/>
  <c r="G88" i="29" s="1"/>
  <c r="X88" i="29"/>
  <c r="H87" i="29"/>
  <c r="J87" i="29" s="1"/>
  <c r="L90" i="4"/>
  <c r="M90" i="4"/>
  <c r="E90" i="4"/>
  <c r="AQ90" i="4"/>
  <c r="AS90" i="4"/>
  <c r="H90" i="4"/>
  <c r="AF90" i="4"/>
  <c r="AR90" i="4"/>
  <c r="N90" i="4"/>
  <c r="AP90" i="4"/>
  <c r="G90" i="4"/>
  <c r="AO90" i="4"/>
  <c r="AT90" i="4"/>
  <c r="I90" i="4"/>
  <c r="J90" i="4"/>
  <c r="B91" i="28"/>
  <c r="AC92" i="28"/>
  <c r="R90" i="28"/>
  <c r="S90" i="28"/>
  <c r="Q90" i="28"/>
  <c r="AN86" i="4"/>
  <c r="AU86" i="4"/>
  <c r="AV86" i="4" s="1"/>
  <c r="S89" i="4"/>
  <c r="AA89" i="4" s="1"/>
  <c r="T89" i="4"/>
  <c r="V89" i="4"/>
  <c r="AW89" i="4" s="1"/>
  <c r="Y89" i="4"/>
  <c r="AD89" i="4" s="1"/>
  <c r="R89" i="4"/>
  <c r="Z89" i="4" s="1"/>
  <c r="U89" i="4"/>
  <c r="W89" i="4"/>
  <c r="AB89" i="4" s="1"/>
  <c r="X89" i="4"/>
  <c r="AC89" i="4" s="1"/>
  <c r="AM89" i="4"/>
  <c r="V90" i="29"/>
  <c r="B89" i="29"/>
  <c r="AG88" i="4"/>
  <c r="AH88" i="4" s="1"/>
  <c r="I89" i="28"/>
  <c r="J89" i="28"/>
  <c r="L86" i="29"/>
  <c r="N86" i="29"/>
  <c r="O86" i="29" s="1"/>
  <c r="A681" i="28"/>
  <c r="AN87" i="4" l="1"/>
  <c r="M89" i="29"/>
  <c r="K89" i="29"/>
  <c r="E89" i="29"/>
  <c r="T91" i="28"/>
  <c r="E91" i="28"/>
  <c r="AU87" i="4"/>
  <c r="AV87" i="4" s="1"/>
  <c r="AL88" i="4"/>
  <c r="B92" i="28"/>
  <c r="AC93" i="28"/>
  <c r="S91" i="28"/>
  <c r="Q91" i="28"/>
  <c r="R91" i="28"/>
  <c r="J90" i="28"/>
  <c r="I90" i="28"/>
  <c r="B92" i="4"/>
  <c r="BC93" i="4"/>
  <c r="B90" i="29"/>
  <c r="V91" i="29"/>
  <c r="AG89" i="4"/>
  <c r="X89" i="29"/>
  <c r="W89" i="29"/>
  <c r="G89" i="29" s="1"/>
  <c r="H88" i="29"/>
  <c r="J88" i="29" s="1"/>
  <c r="AX89" i="4"/>
  <c r="AD91" i="28"/>
  <c r="AE91" i="28"/>
  <c r="AM90" i="4"/>
  <c r="N87" i="29"/>
  <c r="O87" i="29" s="1"/>
  <c r="L87" i="29"/>
  <c r="V90" i="4"/>
  <c r="AW90" i="4" s="1"/>
  <c r="R90" i="4"/>
  <c r="Z90" i="4" s="1"/>
  <c r="X90" i="4"/>
  <c r="AC90" i="4" s="1"/>
  <c r="U90" i="4"/>
  <c r="W90" i="4"/>
  <c r="AB90" i="4" s="1"/>
  <c r="S90" i="4"/>
  <c r="AA90" i="4" s="1"/>
  <c r="Y90" i="4"/>
  <c r="AD90" i="4" s="1"/>
  <c r="T90" i="4"/>
  <c r="G91" i="4"/>
  <c r="AP91" i="4"/>
  <c r="N91" i="4"/>
  <c r="J91" i="4"/>
  <c r="AR91" i="4"/>
  <c r="E91" i="4"/>
  <c r="H91" i="4"/>
  <c r="AF91" i="4"/>
  <c r="AT91" i="4"/>
  <c r="AO91" i="4"/>
  <c r="M91" i="4"/>
  <c r="AQ91" i="4"/>
  <c r="AS91" i="4"/>
  <c r="I91" i="4"/>
  <c r="L91" i="4"/>
  <c r="BE91" i="4"/>
  <c r="BD91" i="4"/>
  <c r="A682" i="28"/>
  <c r="M90" i="29" l="1"/>
  <c r="K90" i="29"/>
  <c r="E90" i="29"/>
  <c r="E92" i="28"/>
  <c r="T92" i="28"/>
  <c r="AN88" i="4"/>
  <c r="AU88" i="4"/>
  <c r="AV88" i="4" s="1"/>
  <c r="AH89" i="4"/>
  <c r="AG90" i="4"/>
  <c r="AL89" i="4"/>
  <c r="AU89" i="4" s="1"/>
  <c r="AV89" i="4" s="1"/>
  <c r="AM91" i="4"/>
  <c r="J91" i="28"/>
  <c r="I91" i="28"/>
  <c r="L88" i="29"/>
  <c r="N88" i="29"/>
  <c r="O88" i="29" s="1"/>
  <c r="W90" i="29"/>
  <c r="G90" i="29" s="1"/>
  <c r="X90" i="29"/>
  <c r="BE92" i="4"/>
  <c r="BD92" i="4"/>
  <c r="B93" i="28"/>
  <c r="AC94" i="28"/>
  <c r="AD92" i="28"/>
  <c r="AE92" i="28"/>
  <c r="W91" i="4"/>
  <c r="AB91" i="4" s="1"/>
  <c r="S91" i="4"/>
  <c r="AA91" i="4" s="1"/>
  <c r="U91" i="4"/>
  <c r="Y91" i="4"/>
  <c r="AD91" i="4" s="1"/>
  <c r="T91" i="4"/>
  <c r="V91" i="4"/>
  <c r="AW91" i="4" s="1"/>
  <c r="X91" i="4"/>
  <c r="AC91" i="4" s="1"/>
  <c r="R91" i="4"/>
  <c r="Z91" i="4" s="1"/>
  <c r="AX90" i="4"/>
  <c r="V92" i="29"/>
  <c r="B91" i="29"/>
  <c r="H89" i="29"/>
  <c r="J89" i="29" s="1"/>
  <c r="B93" i="4"/>
  <c r="BC94" i="4"/>
  <c r="AP92" i="4"/>
  <c r="H92" i="4"/>
  <c r="J92" i="4"/>
  <c r="AR92" i="4"/>
  <c r="AT92" i="4"/>
  <c r="AO92" i="4"/>
  <c r="N92" i="4"/>
  <c r="L92" i="4"/>
  <c r="M92" i="4"/>
  <c r="I92" i="4"/>
  <c r="AS92" i="4"/>
  <c r="AQ92" i="4"/>
  <c r="E92" i="4"/>
  <c r="G92" i="4"/>
  <c r="AF92" i="4"/>
  <c r="S92" i="28"/>
  <c r="R92" i="28"/>
  <c r="Q92" i="28"/>
  <c r="A683" i="28"/>
  <c r="E91" i="29" l="1"/>
  <c r="M91" i="29"/>
  <c r="K91" i="29"/>
  <c r="E93" i="28"/>
  <c r="T93" i="28"/>
  <c r="AH90" i="4"/>
  <c r="H90" i="29"/>
  <c r="J90" i="29" s="1"/>
  <c r="AN89" i="4"/>
  <c r="AL90" i="4"/>
  <c r="AU90" i="4" s="1"/>
  <c r="AV90" i="4" s="1"/>
  <c r="AM92" i="4"/>
  <c r="BC95" i="4"/>
  <c r="B94" i="4"/>
  <c r="L89" i="29"/>
  <c r="N89" i="29"/>
  <c r="O89" i="29" s="1"/>
  <c r="AG91" i="4"/>
  <c r="AX91" i="4"/>
  <c r="AC95" i="28"/>
  <c r="B94" i="28"/>
  <c r="AE93" i="28"/>
  <c r="AD93" i="28"/>
  <c r="X92" i="4"/>
  <c r="AC92" i="4" s="1"/>
  <c r="U92" i="4"/>
  <c r="V92" i="4"/>
  <c r="AW92" i="4" s="1"/>
  <c r="S92" i="4"/>
  <c r="AA92" i="4" s="1"/>
  <c r="R92" i="4"/>
  <c r="Z92" i="4" s="1"/>
  <c r="Y92" i="4"/>
  <c r="AD92" i="4" s="1"/>
  <c r="T92" i="4"/>
  <c r="W92" i="4"/>
  <c r="AB92" i="4" s="1"/>
  <c r="BE93" i="4"/>
  <c r="BD93" i="4"/>
  <c r="AO93" i="4"/>
  <c r="AF93" i="4"/>
  <c r="AR93" i="4"/>
  <c r="AQ93" i="4"/>
  <c r="AP93" i="4"/>
  <c r="J93" i="4"/>
  <c r="AT93" i="4"/>
  <c r="N93" i="4"/>
  <c r="M93" i="4"/>
  <c r="L93" i="4"/>
  <c r="G93" i="4"/>
  <c r="E93" i="4"/>
  <c r="H93" i="4"/>
  <c r="AS93" i="4"/>
  <c r="I93" i="4"/>
  <c r="X91" i="29"/>
  <c r="W91" i="29"/>
  <c r="G91" i="29" s="1"/>
  <c r="V93" i="29"/>
  <c r="B92" i="29"/>
  <c r="I92" i="28"/>
  <c r="J92" i="28"/>
  <c r="R93" i="28"/>
  <c r="Q93" i="28"/>
  <c r="S93" i="28"/>
  <c r="A684" i="28"/>
  <c r="K92" i="29" l="1"/>
  <c r="E92" i="29"/>
  <c r="M92" i="29"/>
  <c r="E94" i="28"/>
  <c r="T94" i="28"/>
  <c r="AN90" i="4"/>
  <c r="AH91" i="4"/>
  <c r="AM93" i="4"/>
  <c r="X93" i="4"/>
  <c r="AC93" i="4" s="1"/>
  <c r="T93" i="4"/>
  <c r="W93" i="4"/>
  <c r="AB93" i="4" s="1"/>
  <c r="U93" i="4"/>
  <c r="V93" i="4"/>
  <c r="AW93" i="4" s="1"/>
  <c r="Y93" i="4"/>
  <c r="AD93" i="4" s="1"/>
  <c r="S93" i="4"/>
  <c r="AA93" i="4" s="1"/>
  <c r="R93" i="4"/>
  <c r="Z93" i="4" s="1"/>
  <c r="AE94" i="28"/>
  <c r="AD94" i="28"/>
  <c r="AP94" i="4"/>
  <c r="I94" i="4"/>
  <c r="H94" i="4"/>
  <c r="N94" i="4"/>
  <c r="AR94" i="4"/>
  <c r="AQ94" i="4"/>
  <c r="AT94" i="4"/>
  <c r="G94" i="4"/>
  <c r="AO94" i="4"/>
  <c r="L94" i="4"/>
  <c r="J94" i="4"/>
  <c r="AS94" i="4"/>
  <c r="AF94" i="4"/>
  <c r="M94" i="4"/>
  <c r="E94" i="4"/>
  <c r="N90" i="29"/>
  <c r="O90" i="29" s="1"/>
  <c r="L90" i="29"/>
  <c r="W92" i="29"/>
  <c r="G92" i="29" s="1"/>
  <c r="X92" i="29"/>
  <c r="B93" i="29"/>
  <c r="V94" i="29"/>
  <c r="AG92" i="4"/>
  <c r="AX92" i="4"/>
  <c r="I93" i="28"/>
  <c r="J93" i="28"/>
  <c r="R94" i="28"/>
  <c r="Q94" i="28"/>
  <c r="S94" i="28"/>
  <c r="B95" i="28"/>
  <c r="AC96" i="28"/>
  <c r="AL91" i="4"/>
  <c r="H91" i="29"/>
  <c r="J91" i="29" s="1"/>
  <c r="BE94" i="4"/>
  <c r="BD94" i="4"/>
  <c r="B95" i="4"/>
  <c r="BC96" i="4"/>
  <c r="A685" i="28"/>
  <c r="M93" i="29" l="1"/>
  <c r="K93" i="29"/>
  <c r="E93" i="29"/>
  <c r="T95" i="28"/>
  <c r="E95" i="28"/>
  <c r="AX93" i="4"/>
  <c r="AH92" i="4"/>
  <c r="AL92" i="4"/>
  <c r="BD95" i="4"/>
  <c r="BE95" i="4"/>
  <c r="I95" i="4"/>
  <c r="E95" i="4"/>
  <c r="F95" i="4" s="1"/>
  <c r="AQ95" i="4"/>
  <c r="AF95" i="4"/>
  <c r="L95" i="4"/>
  <c r="AP95" i="4"/>
  <c r="AR95" i="4"/>
  <c r="H95" i="4"/>
  <c r="AS95" i="4"/>
  <c r="J95" i="4"/>
  <c r="N95" i="4"/>
  <c r="M95" i="4"/>
  <c r="AO95" i="4"/>
  <c r="G95" i="4"/>
  <c r="AT95" i="4"/>
  <c r="AC97" i="28"/>
  <c r="B96" i="28"/>
  <c r="Q95" i="28"/>
  <c r="S95" i="28"/>
  <c r="R95" i="28"/>
  <c r="V95" i="29"/>
  <c r="B94" i="29"/>
  <c r="AM94" i="4"/>
  <c r="B96" i="4"/>
  <c r="BC97" i="4"/>
  <c r="Y94" i="4"/>
  <c r="AD94" i="4" s="1"/>
  <c r="V94" i="4"/>
  <c r="AW94" i="4" s="1"/>
  <c r="X94" i="4"/>
  <c r="AC94" i="4" s="1"/>
  <c r="W94" i="4"/>
  <c r="AB94" i="4" s="1"/>
  <c r="U94" i="4"/>
  <c r="S94" i="4"/>
  <c r="AA94" i="4" s="1"/>
  <c r="AX94" i="4" s="1"/>
  <c r="T94" i="4"/>
  <c r="R94" i="4"/>
  <c r="Z94" i="4" s="1"/>
  <c r="N91" i="29"/>
  <c r="O91" i="29" s="1"/>
  <c r="L91" i="29"/>
  <c r="AN91" i="4"/>
  <c r="AU91" i="4"/>
  <c r="AV91" i="4" s="1"/>
  <c r="AE95" i="28"/>
  <c r="AD95" i="28"/>
  <c r="X93" i="29"/>
  <c r="W93" i="29"/>
  <c r="G93" i="29" s="1"/>
  <c r="I94" i="28"/>
  <c r="J94" i="28"/>
  <c r="AG93" i="4"/>
  <c r="AL93" i="4" s="1"/>
  <c r="H92" i="29"/>
  <c r="J92" i="29" s="1"/>
  <c r="A686" i="28"/>
  <c r="M94" i="29" l="1"/>
  <c r="K94" i="29"/>
  <c r="E94" i="29"/>
  <c r="E96" i="28"/>
  <c r="T96" i="28"/>
  <c r="AM95" i="4"/>
  <c r="AH93" i="4"/>
  <c r="AU92" i="4"/>
  <c r="AV92" i="4" s="1"/>
  <c r="AN92" i="4"/>
  <c r="AN93" i="4"/>
  <c r="AU93" i="4"/>
  <c r="AV93" i="4" s="1"/>
  <c r="N92" i="29"/>
  <c r="O92" i="29" s="1"/>
  <c r="L92" i="29"/>
  <c r="I95" i="28"/>
  <c r="J95" i="28"/>
  <c r="AG94" i="4"/>
  <c r="AH94" i="4" s="1"/>
  <c r="B97" i="4"/>
  <c r="BC98" i="4"/>
  <c r="H93" i="29"/>
  <c r="J93" i="29" s="1"/>
  <c r="V96" i="29"/>
  <c r="B95" i="29"/>
  <c r="AD96" i="28"/>
  <c r="AE96" i="28"/>
  <c r="BE96" i="4"/>
  <c r="BD96" i="4"/>
  <c r="G96" i="4"/>
  <c r="AO96" i="4"/>
  <c r="AQ96" i="4"/>
  <c r="AT96" i="4"/>
  <c r="I96" i="4"/>
  <c r="AS96" i="4"/>
  <c r="N96" i="4"/>
  <c r="M96" i="4"/>
  <c r="AP96" i="4"/>
  <c r="J96" i="4"/>
  <c r="H96" i="4"/>
  <c r="AR96" i="4"/>
  <c r="E96" i="4"/>
  <c r="L96" i="4"/>
  <c r="AF96" i="4"/>
  <c r="W94" i="29"/>
  <c r="G94" i="29" s="1"/>
  <c r="X94" i="29"/>
  <c r="Q96" i="28"/>
  <c r="S96" i="28"/>
  <c r="R96" i="28"/>
  <c r="B97" i="28"/>
  <c r="AC98" i="28"/>
  <c r="R95" i="4"/>
  <c r="Z95" i="4" s="1"/>
  <c r="T95" i="4"/>
  <c r="X95" i="4"/>
  <c r="AC95" i="4" s="1"/>
  <c r="V95" i="4"/>
  <c r="AW95" i="4" s="1"/>
  <c r="W95" i="4"/>
  <c r="AB95" i="4" s="1"/>
  <c r="Y95" i="4"/>
  <c r="AD95" i="4" s="1"/>
  <c r="U95" i="4"/>
  <c r="S95" i="4"/>
  <c r="AA95" i="4" s="1"/>
  <c r="A687" i="28"/>
  <c r="E95" i="29" l="1"/>
  <c r="M95" i="29"/>
  <c r="K95" i="29"/>
  <c r="E97" i="28"/>
  <c r="T97" i="28"/>
  <c r="AX95" i="4"/>
  <c r="AL94" i="4"/>
  <c r="AU94" i="4" s="1"/>
  <c r="AV94" i="4" s="1"/>
  <c r="AG95" i="4"/>
  <c r="S97" i="28"/>
  <c r="Q97" i="28"/>
  <c r="R97" i="28"/>
  <c r="V97" i="29"/>
  <c r="B96" i="29"/>
  <c r="H94" i="29"/>
  <c r="J94" i="29" s="1"/>
  <c r="BE97" i="4"/>
  <c r="BD97" i="4"/>
  <c r="AC99" i="28"/>
  <c r="B98" i="28"/>
  <c r="AD97" i="28"/>
  <c r="AE97" i="28"/>
  <c r="AM96" i="4"/>
  <c r="Y96" i="4"/>
  <c r="AD96" i="4" s="1"/>
  <c r="R96" i="4"/>
  <c r="Z96" i="4" s="1"/>
  <c r="W96" i="4"/>
  <c r="AB96" i="4" s="1"/>
  <c r="T96" i="4"/>
  <c r="V96" i="4"/>
  <c r="AW96" i="4" s="1"/>
  <c r="S96" i="4"/>
  <c r="AA96" i="4" s="1"/>
  <c r="X96" i="4"/>
  <c r="AC96" i="4" s="1"/>
  <c r="U96" i="4"/>
  <c r="I96" i="28"/>
  <c r="J96" i="28"/>
  <c r="X95" i="29"/>
  <c r="W95" i="29"/>
  <c r="G95" i="29" s="1"/>
  <c r="N93" i="29"/>
  <c r="O93" i="29" s="1"/>
  <c r="L93" i="29"/>
  <c r="BC99" i="4"/>
  <c r="B98" i="4"/>
  <c r="AO97" i="4"/>
  <c r="AP97" i="4"/>
  <c r="AF97" i="4"/>
  <c r="G97" i="4"/>
  <c r="J97" i="4"/>
  <c r="L97" i="4"/>
  <c r="AT97" i="4"/>
  <c r="I97" i="4"/>
  <c r="AQ97" i="4"/>
  <c r="H97" i="4"/>
  <c r="N97" i="4"/>
  <c r="M97" i="4"/>
  <c r="AS97" i="4"/>
  <c r="AR97" i="4"/>
  <c r="E97" i="4"/>
  <c r="A688" i="28"/>
  <c r="K96" i="29" l="1"/>
  <c r="E96" i="29"/>
  <c r="M96" i="29"/>
  <c r="T98" i="28"/>
  <c r="E98" i="28"/>
  <c r="J98" i="4"/>
  <c r="AT98" i="4"/>
  <c r="AH95" i="4"/>
  <c r="AN94" i="4"/>
  <c r="AM97" i="4"/>
  <c r="BE98" i="4"/>
  <c r="BD98" i="4"/>
  <c r="AG96" i="4"/>
  <c r="R98" i="28"/>
  <c r="Q98" i="28"/>
  <c r="S98" i="28"/>
  <c r="B99" i="28"/>
  <c r="AC100" i="28"/>
  <c r="T97" i="4"/>
  <c r="Y97" i="4"/>
  <c r="AD97" i="4" s="1"/>
  <c r="X97" i="4"/>
  <c r="AC97" i="4" s="1"/>
  <c r="S97" i="4"/>
  <c r="AA97" i="4" s="1"/>
  <c r="V97" i="4"/>
  <c r="AW97" i="4" s="1"/>
  <c r="U97" i="4"/>
  <c r="R97" i="4"/>
  <c r="Z97" i="4" s="1"/>
  <c r="W97" i="4"/>
  <c r="AB97" i="4" s="1"/>
  <c r="L94" i="29"/>
  <c r="N94" i="29"/>
  <c r="O94" i="29" s="1"/>
  <c r="H95" i="29"/>
  <c r="J95" i="29" s="1"/>
  <c r="AL95" i="4"/>
  <c r="E98" i="4"/>
  <c r="M98" i="4"/>
  <c r="AF98" i="4"/>
  <c r="G98" i="4"/>
  <c r="AR98" i="4"/>
  <c r="AO98" i="4"/>
  <c r="H98" i="4"/>
  <c r="I98" i="4"/>
  <c r="AQ98" i="4"/>
  <c r="N98" i="4"/>
  <c r="L98" i="4"/>
  <c r="AS98" i="4"/>
  <c r="AP98" i="4"/>
  <c r="BC100" i="4"/>
  <c r="B99" i="4"/>
  <c r="AX96" i="4"/>
  <c r="I97" i="28"/>
  <c r="J97" i="28"/>
  <c r="AD98" i="28"/>
  <c r="AE98" i="28"/>
  <c r="W96" i="29"/>
  <c r="G96" i="29" s="1"/>
  <c r="X96" i="29"/>
  <c r="B97" i="29"/>
  <c r="V98" i="29"/>
  <c r="A689" i="28"/>
  <c r="M97" i="29" l="1"/>
  <c r="K97" i="29"/>
  <c r="E97" i="29"/>
  <c r="T99" i="28"/>
  <c r="E99" i="28"/>
  <c r="AH96" i="4"/>
  <c r="AT99" i="4"/>
  <c r="J99" i="4"/>
  <c r="AL96" i="4"/>
  <c r="AX97" i="4"/>
  <c r="W97" i="29"/>
  <c r="G97" i="29" s="1"/>
  <c r="X97" i="29"/>
  <c r="BE99" i="4"/>
  <c r="BD99" i="4"/>
  <c r="AM98" i="4"/>
  <c r="AU95" i="4"/>
  <c r="AV95" i="4" s="1"/>
  <c r="AN95" i="4"/>
  <c r="N95" i="29"/>
  <c r="O95" i="29" s="1"/>
  <c r="L95" i="29"/>
  <c r="AG97" i="4"/>
  <c r="AH97" i="4" s="1"/>
  <c r="B100" i="28"/>
  <c r="AC101" i="28"/>
  <c r="AD99" i="28"/>
  <c r="AE99" i="28"/>
  <c r="V99" i="29"/>
  <c r="B98" i="29"/>
  <c r="I98" i="28"/>
  <c r="J98" i="28"/>
  <c r="N99" i="4"/>
  <c r="M99" i="4"/>
  <c r="AS99" i="4"/>
  <c r="AO99" i="4"/>
  <c r="AP99" i="4"/>
  <c r="I99" i="4"/>
  <c r="AF99" i="4"/>
  <c r="L99" i="4"/>
  <c r="E99" i="4"/>
  <c r="AR99" i="4"/>
  <c r="AQ99" i="4"/>
  <c r="G99" i="4"/>
  <c r="H99" i="4"/>
  <c r="BC101" i="4"/>
  <c r="B100" i="4"/>
  <c r="H96" i="29"/>
  <c r="J96" i="29" s="1"/>
  <c r="R99" i="28"/>
  <c r="Q99" i="28"/>
  <c r="S99" i="28"/>
  <c r="R98" i="4"/>
  <c r="Z98" i="4" s="1"/>
  <c r="W98" i="4"/>
  <c r="AB98" i="4" s="1"/>
  <c r="X98" i="4"/>
  <c r="AC98" i="4" s="1"/>
  <c r="T98" i="4"/>
  <c r="V98" i="4"/>
  <c r="AW98" i="4" s="1"/>
  <c r="S98" i="4"/>
  <c r="AA98" i="4" s="1"/>
  <c r="U98" i="4"/>
  <c r="Y98" i="4"/>
  <c r="AD98" i="4" s="1"/>
  <c r="A690" i="28"/>
  <c r="AL97" i="4" l="1"/>
  <c r="M98" i="29"/>
  <c r="K98" i="29"/>
  <c r="E98" i="29"/>
  <c r="T100" i="28"/>
  <c r="E100" i="28"/>
  <c r="AU96" i="4"/>
  <c r="AV96" i="4" s="1"/>
  <c r="AM99" i="4"/>
  <c r="AN96" i="4"/>
  <c r="AG98" i="4"/>
  <c r="AX98" i="4"/>
  <c r="H97" i="29"/>
  <c r="J97" i="29" s="1"/>
  <c r="L97" i="29" s="1"/>
  <c r="I100" i="4"/>
  <c r="AR100" i="4"/>
  <c r="AP100" i="4"/>
  <c r="AF100" i="4"/>
  <c r="N100" i="4"/>
  <c r="AS100" i="4"/>
  <c r="AO100" i="4"/>
  <c r="G100" i="4"/>
  <c r="AQ100" i="4"/>
  <c r="E100" i="4"/>
  <c r="J100" i="4"/>
  <c r="M100" i="4"/>
  <c r="L100" i="4"/>
  <c r="AT100" i="4"/>
  <c r="H100" i="4"/>
  <c r="J99" i="28"/>
  <c r="I99" i="28"/>
  <c r="S100" i="28"/>
  <c r="Q100" i="28"/>
  <c r="R100" i="28"/>
  <c r="W100" i="28"/>
  <c r="V99" i="4"/>
  <c r="AW99" i="4" s="1"/>
  <c r="X99" i="4"/>
  <c r="AC99" i="4" s="1"/>
  <c r="R99" i="4"/>
  <c r="Z99" i="4" s="1"/>
  <c r="S99" i="4"/>
  <c r="AA99" i="4" s="1"/>
  <c r="Y99" i="4"/>
  <c r="AD99" i="4" s="1"/>
  <c r="W99" i="4"/>
  <c r="AB99" i="4" s="1"/>
  <c r="T99" i="4"/>
  <c r="U99" i="4"/>
  <c r="N96" i="29"/>
  <c r="O96" i="29" s="1"/>
  <c r="L96" i="29"/>
  <c r="BD100" i="4"/>
  <c r="BE100" i="4"/>
  <c r="BC102" i="4"/>
  <c r="B101" i="4"/>
  <c r="W98" i="29"/>
  <c r="G98" i="29" s="1"/>
  <c r="X98" i="29"/>
  <c r="B99" i="29"/>
  <c r="V100" i="29"/>
  <c r="AC102" i="28"/>
  <c r="B101" i="28"/>
  <c r="AD100" i="28"/>
  <c r="AE100" i="28"/>
  <c r="A691" i="28"/>
  <c r="AU97" i="4" l="1"/>
  <c r="AV97" i="4" s="1"/>
  <c r="AN97" i="4"/>
  <c r="E101" i="4"/>
  <c r="AL98" i="4"/>
  <c r="AU98" i="4" s="1"/>
  <c r="AV98" i="4" s="1"/>
  <c r="E99" i="29"/>
  <c r="K99" i="29"/>
  <c r="M99" i="29"/>
  <c r="E101" i="28"/>
  <c r="T101" i="28"/>
  <c r="N97" i="29"/>
  <c r="O97" i="29" s="1"/>
  <c r="O100" i="28"/>
  <c r="AH98" i="4"/>
  <c r="AX99" i="4"/>
  <c r="AN98" i="4"/>
  <c r="S101" i="28"/>
  <c r="Q101" i="28"/>
  <c r="R101" i="28"/>
  <c r="AE101" i="28"/>
  <c r="AD101" i="28"/>
  <c r="W99" i="29"/>
  <c r="G99" i="29" s="1"/>
  <c r="X99" i="29"/>
  <c r="AQ101" i="4"/>
  <c r="N101" i="4"/>
  <c r="L101" i="4"/>
  <c r="AP101" i="4"/>
  <c r="AS101" i="4"/>
  <c r="H101" i="4"/>
  <c r="I101" i="4"/>
  <c r="AT101" i="4"/>
  <c r="G101" i="4"/>
  <c r="AF101" i="4"/>
  <c r="M101" i="4"/>
  <c r="J101" i="4"/>
  <c r="AO101" i="4"/>
  <c r="AR101" i="4"/>
  <c r="BD101" i="4"/>
  <c r="BE101" i="4"/>
  <c r="U100" i="4"/>
  <c r="R100" i="4"/>
  <c r="Z100" i="4" s="1"/>
  <c r="T100" i="4"/>
  <c r="S100" i="4"/>
  <c r="AA100" i="4" s="1"/>
  <c r="Y100" i="4"/>
  <c r="AD100" i="4" s="1"/>
  <c r="V100" i="4"/>
  <c r="AW100" i="4" s="1"/>
  <c r="X100" i="4"/>
  <c r="AC100" i="4" s="1"/>
  <c r="W100" i="4"/>
  <c r="AB100" i="4" s="1"/>
  <c r="H98" i="29"/>
  <c r="J98" i="29" s="1"/>
  <c r="I100" i="28"/>
  <c r="K100" i="28" s="1"/>
  <c r="J100" i="28"/>
  <c r="Y100" i="28" s="1"/>
  <c r="B102" i="28"/>
  <c r="AC103" i="28"/>
  <c r="V101" i="29"/>
  <c r="B100" i="29"/>
  <c r="B102" i="4"/>
  <c r="BC103" i="4"/>
  <c r="AG99" i="4"/>
  <c r="AL99" i="4" s="1"/>
  <c r="AM100" i="4"/>
  <c r="A692" i="28"/>
  <c r="N100" i="28" l="1"/>
  <c r="K100" i="29"/>
  <c r="E100" i="29"/>
  <c r="M100" i="29"/>
  <c r="T102" i="28"/>
  <c r="E102" i="28"/>
  <c r="Z100" i="28"/>
  <c r="AN99" i="4"/>
  <c r="AU99" i="4"/>
  <c r="AV99" i="4" s="1"/>
  <c r="BD102" i="4"/>
  <c r="BE102" i="4"/>
  <c r="V102" i="29"/>
  <c r="B101" i="29"/>
  <c r="B103" i="28"/>
  <c r="AC104" i="28"/>
  <c r="R102" i="28"/>
  <c r="Q102" i="28"/>
  <c r="S102" i="28"/>
  <c r="U100" i="28"/>
  <c r="V100" i="28" s="1"/>
  <c r="X100" i="28" s="1"/>
  <c r="P100" i="28"/>
  <c r="N98" i="29"/>
  <c r="O98" i="29" s="1"/>
  <c r="L98" i="29"/>
  <c r="AX100" i="4"/>
  <c r="H99" i="29"/>
  <c r="J99" i="29" s="1"/>
  <c r="BC104" i="4"/>
  <c r="B103" i="4"/>
  <c r="AQ102" i="4"/>
  <c r="M102" i="4"/>
  <c r="H102" i="4"/>
  <c r="AO102" i="4"/>
  <c r="AP102" i="4"/>
  <c r="G102" i="4"/>
  <c r="N102" i="4"/>
  <c r="AT102" i="4"/>
  <c r="J102" i="4"/>
  <c r="AR102" i="4"/>
  <c r="I102" i="4"/>
  <c r="E102" i="4"/>
  <c r="AS102" i="4"/>
  <c r="AF102" i="4"/>
  <c r="L102" i="4"/>
  <c r="X100" i="29"/>
  <c r="W100" i="29"/>
  <c r="G100" i="29" s="1"/>
  <c r="AE102" i="28"/>
  <c r="AD102" i="28"/>
  <c r="AH99" i="4"/>
  <c r="AG100" i="4"/>
  <c r="Y101" i="4"/>
  <c r="AD101" i="4" s="1"/>
  <c r="U101" i="4"/>
  <c r="V101" i="4"/>
  <c r="AW101" i="4" s="1"/>
  <c r="T101" i="4"/>
  <c r="S101" i="4"/>
  <c r="AA101" i="4" s="1"/>
  <c r="X101" i="4"/>
  <c r="AC101" i="4" s="1"/>
  <c r="R101" i="4"/>
  <c r="Z101" i="4" s="1"/>
  <c r="W101" i="4"/>
  <c r="AB101" i="4" s="1"/>
  <c r="AM101" i="4"/>
  <c r="J101" i="28"/>
  <c r="I101" i="28"/>
  <c r="A693" i="28"/>
  <c r="E101" i="29" l="1"/>
  <c r="M101" i="29"/>
  <c r="K101" i="29"/>
  <c r="T103" i="28"/>
  <c r="E103" i="28"/>
  <c r="AX101" i="4"/>
  <c r="AL100" i="4"/>
  <c r="H100" i="29"/>
  <c r="J100" i="29" s="1"/>
  <c r="AG101" i="4"/>
  <c r="AM102" i="4"/>
  <c r="B104" i="4"/>
  <c r="BC105" i="4"/>
  <c r="BE103" i="4"/>
  <c r="BD103" i="4"/>
  <c r="AE103" i="28"/>
  <c r="AD103" i="28"/>
  <c r="V103" i="29"/>
  <c r="B102" i="29"/>
  <c r="X102" i="4"/>
  <c r="AC102" i="4" s="1"/>
  <c r="V102" i="4"/>
  <c r="AW102" i="4" s="1"/>
  <c r="U102" i="4"/>
  <c r="R102" i="4"/>
  <c r="Z102" i="4" s="1"/>
  <c r="W102" i="4"/>
  <c r="AB102" i="4" s="1"/>
  <c r="Y102" i="4"/>
  <c r="AD102" i="4" s="1"/>
  <c r="S102" i="4"/>
  <c r="AA102" i="4" s="1"/>
  <c r="T102" i="4"/>
  <c r="AH100" i="4"/>
  <c r="J102" i="28"/>
  <c r="I102" i="28"/>
  <c r="I103" i="4"/>
  <c r="AP103" i="4"/>
  <c r="AO103" i="4"/>
  <c r="H103" i="4"/>
  <c r="N103" i="4"/>
  <c r="AF103" i="4"/>
  <c r="AQ103" i="4"/>
  <c r="AS103" i="4"/>
  <c r="E103" i="4"/>
  <c r="AT103" i="4"/>
  <c r="AR103" i="4"/>
  <c r="G103" i="4"/>
  <c r="L103" i="4"/>
  <c r="J103" i="4"/>
  <c r="M103" i="4"/>
  <c r="N99" i="29"/>
  <c r="O99" i="29" s="1"/>
  <c r="L99" i="29"/>
  <c r="AC105" i="28"/>
  <c r="B104" i="28"/>
  <c r="Q103" i="28"/>
  <c r="S103" i="28"/>
  <c r="R103" i="28"/>
  <c r="W101" i="29"/>
  <c r="G101" i="29" s="1"/>
  <c r="X101" i="29"/>
  <c r="A694" i="28"/>
  <c r="K102" i="29" l="1"/>
  <c r="E102" i="29"/>
  <c r="M102" i="29"/>
  <c r="N100" i="29"/>
  <c r="O100" i="29" s="1"/>
  <c r="T104" i="28"/>
  <c r="E104" i="28"/>
  <c r="AN100" i="4"/>
  <c r="L100" i="29"/>
  <c r="AG102" i="4"/>
  <c r="AH101" i="4"/>
  <c r="AU100" i="4"/>
  <c r="AV100" i="4" s="1"/>
  <c r="B105" i="28"/>
  <c r="AC106" i="28"/>
  <c r="AM103" i="4"/>
  <c r="H101" i="29"/>
  <c r="J101" i="29" s="1"/>
  <c r="J103" i="28"/>
  <c r="I103" i="28"/>
  <c r="BC106" i="4"/>
  <c r="B105" i="4"/>
  <c r="N104" i="4"/>
  <c r="M104" i="4"/>
  <c r="H104" i="4"/>
  <c r="AO104" i="4"/>
  <c r="E104" i="4"/>
  <c r="AS104" i="4"/>
  <c r="AF104" i="4"/>
  <c r="G104" i="4"/>
  <c r="J104" i="4"/>
  <c r="AR104" i="4"/>
  <c r="AQ104" i="4"/>
  <c r="I104" i="4"/>
  <c r="AT104" i="4"/>
  <c r="L104" i="4"/>
  <c r="AP104" i="4"/>
  <c r="AL102" i="4"/>
  <c r="AL101" i="4"/>
  <c r="S104" i="28"/>
  <c r="R104" i="28"/>
  <c r="Q104" i="28"/>
  <c r="AD104" i="28"/>
  <c r="AE104" i="28"/>
  <c r="AX102" i="4"/>
  <c r="X102" i="29"/>
  <c r="W102" i="29"/>
  <c r="G102" i="29" s="1"/>
  <c r="B103" i="29"/>
  <c r="V104" i="29"/>
  <c r="U103" i="4"/>
  <c r="S103" i="4"/>
  <c r="AA103" i="4" s="1"/>
  <c r="T103" i="4"/>
  <c r="R103" i="4"/>
  <c r="Z103" i="4" s="1"/>
  <c r="W103" i="4"/>
  <c r="AB103" i="4" s="1"/>
  <c r="X103" i="4"/>
  <c r="AC103" i="4" s="1"/>
  <c r="V103" i="4"/>
  <c r="AW103" i="4" s="1"/>
  <c r="Y103" i="4"/>
  <c r="AD103" i="4" s="1"/>
  <c r="BD104" i="4"/>
  <c r="BE104" i="4"/>
  <c r="A695" i="28"/>
  <c r="M103" i="29" l="1"/>
  <c r="K103" i="29"/>
  <c r="E103" i="29"/>
  <c r="E105" i="28"/>
  <c r="T105" i="28"/>
  <c r="AH102" i="4"/>
  <c r="AX103" i="4"/>
  <c r="AN102" i="4"/>
  <c r="AU102" i="4"/>
  <c r="AV102" i="4" s="1"/>
  <c r="AG103" i="4"/>
  <c r="V105" i="29"/>
  <c r="B104" i="29"/>
  <c r="AM104" i="4"/>
  <c r="B106" i="4"/>
  <c r="BC107" i="4"/>
  <c r="AD105" i="28"/>
  <c r="AE105" i="28"/>
  <c r="X104" i="4"/>
  <c r="AC104" i="4" s="1"/>
  <c r="U104" i="4"/>
  <c r="Y104" i="4"/>
  <c r="AD104" i="4" s="1"/>
  <c r="W104" i="4"/>
  <c r="AB104" i="4" s="1"/>
  <c r="T104" i="4"/>
  <c r="S104" i="4"/>
  <c r="AA104" i="4" s="1"/>
  <c r="V104" i="4"/>
  <c r="AW104" i="4" s="1"/>
  <c r="R104" i="4"/>
  <c r="Z104" i="4" s="1"/>
  <c r="X103" i="29"/>
  <c r="W103" i="29"/>
  <c r="G103" i="29" s="1"/>
  <c r="J104" i="28"/>
  <c r="I104" i="28"/>
  <c r="AN101" i="4"/>
  <c r="AU101" i="4"/>
  <c r="AV101" i="4" s="1"/>
  <c r="AF105" i="4"/>
  <c r="E105" i="4"/>
  <c r="AR105" i="4"/>
  <c r="AP105" i="4"/>
  <c r="J105" i="4"/>
  <c r="L105" i="4"/>
  <c r="I105" i="4"/>
  <c r="H105" i="4"/>
  <c r="N105" i="4"/>
  <c r="G105" i="4"/>
  <c r="AQ105" i="4"/>
  <c r="AS105" i="4"/>
  <c r="M105" i="4"/>
  <c r="AO105" i="4"/>
  <c r="AT105" i="4"/>
  <c r="BD105" i="4"/>
  <c r="BE105" i="4"/>
  <c r="L101" i="29"/>
  <c r="N101" i="29"/>
  <c r="O101" i="29" s="1"/>
  <c r="H102" i="29"/>
  <c r="J102" i="29" s="1"/>
  <c r="AC107" i="28"/>
  <c r="B106" i="28"/>
  <c r="Q105" i="28"/>
  <c r="S105" i="28"/>
  <c r="R105" i="28"/>
  <c r="A696" i="28"/>
  <c r="E104" i="29" l="1"/>
  <c r="M104" i="29"/>
  <c r="K104" i="29"/>
  <c r="E106" i="28"/>
  <c r="T106" i="28"/>
  <c r="AH103" i="4"/>
  <c r="AX104" i="4"/>
  <c r="AC108" i="28"/>
  <c r="B107" i="28"/>
  <c r="AM105" i="4"/>
  <c r="B107" i="4"/>
  <c r="BC108" i="4"/>
  <c r="BE106" i="4"/>
  <c r="BD106" i="4"/>
  <c r="X104" i="29"/>
  <c r="W104" i="29"/>
  <c r="G104" i="29" s="1"/>
  <c r="AL103" i="4"/>
  <c r="S106" i="28"/>
  <c r="R106" i="28"/>
  <c r="Q106" i="28"/>
  <c r="AD106" i="28"/>
  <c r="AE106" i="28"/>
  <c r="L102" i="29"/>
  <c r="N102" i="29"/>
  <c r="O102" i="29" s="1"/>
  <c r="U105" i="4"/>
  <c r="R105" i="4"/>
  <c r="Z105" i="4" s="1"/>
  <c r="S105" i="4"/>
  <c r="AA105" i="4" s="1"/>
  <c r="T105" i="4"/>
  <c r="W105" i="4"/>
  <c r="AB105" i="4" s="1"/>
  <c r="X105" i="4"/>
  <c r="AC105" i="4" s="1"/>
  <c r="Y105" i="4"/>
  <c r="AD105" i="4" s="1"/>
  <c r="V105" i="4"/>
  <c r="AW105" i="4" s="1"/>
  <c r="H103" i="29"/>
  <c r="J103" i="29" s="1"/>
  <c r="AG104" i="4"/>
  <c r="J105" i="28"/>
  <c r="I105" i="28"/>
  <c r="AF106" i="4"/>
  <c r="M106" i="4"/>
  <c r="E106" i="4"/>
  <c r="AP106" i="4"/>
  <c r="AR106" i="4"/>
  <c r="AT106" i="4"/>
  <c r="N106" i="4"/>
  <c r="G106" i="4"/>
  <c r="AQ106" i="4"/>
  <c r="L106" i="4"/>
  <c r="AS106" i="4"/>
  <c r="I106" i="4"/>
  <c r="AO106" i="4"/>
  <c r="H106" i="4"/>
  <c r="J106" i="4"/>
  <c r="B105" i="29"/>
  <c r="V106" i="29"/>
  <c r="A697" i="28"/>
  <c r="E105" i="29" l="1"/>
  <c r="M105" i="29"/>
  <c r="K105" i="29"/>
  <c r="T107" i="28"/>
  <c r="E107" i="28"/>
  <c r="AL104" i="4"/>
  <c r="AN104" i="4" s="1"/>
  <c r="AH104" i="4"/>
  <c r="X105" i="29"/>
  <c r="W105" i="29"/>
  <c r="G105" i="29" s="1"/>
  <c r="H104" i="29"/>
  <c r="J104" i="29" s="1"/>
  <c r="AM106" i="4"/>
  <c r="N103" i="29"/>
  <c r="O103" i="29" s="1"/>
  <c r="L103" i="29"/>
  <c r="AG105" i="4"/>
  <c r="AH105" i="4" s="1"/>
  <c r="AX105" i="4"/>
  <c r="I106" i="28"/>
  <c r="J106" i="28"/>
  <c r="X106" i="4"/>
  <c r="AC106" i="4" s="1"/>
  <c r="Y106" i="4"/>
  <c r="AD106" i="4" s="1"/>
  <c r="R106" i="4"/>
  <c r="Z106" i="4" s="1"/>
  <c r="U106" i="4"/>
  <c r="W106" i="4"/>
  <c r="AB106" i="4" s="1"/>
  <c r="V106" i="4"/>
  <c r="AW106" i="4" s="1"/>
  <c r="T106" i="4"/>
  <c r="S106" i="4"/>
  <c r="AA106" i="4" s="1"/>
  <c r="B108" i="4"/>
  <c r="BC109" i="4"/>
  <c r="S107" i="28"/>
  <c r="R107" i="28"/>
  <c r="Q107" i="28"/>
  <c r="B108" i="28"/>
  <c r="AC109" i="28"/>
  <c r="B106" i="29"/>
  <c r="V107" i="29"/>
  <c r="AU103" i="4"/>
  <c r="AV103" i="4" s="1"/>
  <c r="AN103" i="4"/>
  <c r="BD107" i="4"/>
  <c r="BE107" i="4"/>
  <c r="N107" i="4"/>
  <c r="AR107" i="4"/>
  <c r="E107" i="4"/>
  <c r="J107" i="4"/>
  <c r="L107" i="4"/>
  <c r="G107" i="4"/>
  <c r="AO107" i="4"/>
  <c r="AT107" i="4"/>
  <c r="AS107" i="4"/>
  <c r="M107" i="4"/>
  <c r="AQ107" i="4"/>
  <c r="I107" i="4"/>
  <c r="AF107" i="4"/>
  <c r="H107" i="4"/>
  <c r="AP107" i="4"/>
  <c r="AE107" i="28"/>
  <c r="AD107" i="28"/>
  <c r="A698" i="28"/>
  <c r="K106" i="29" l="1"/>
  <c r="E106" i="29"/>
  <c r="M106" i="29"/>
  <c r="E108" i="28"/>
  <c r="T108" i="28"/>
  <c r="AX106" i="4"/>
  <c r="AU104" i="4"/>
  <c r="AV104" i="4" s="1"/>
  <c r="H105" i="29"/>
  <c r="J105" i="29" s="1"/>
  <c r="AL105" i="4"/>
  <c r="U107" i="4"/>
  <c r="R107" i="4"/>
  <c r="Z107" i="4" s="1"/>
  <c r="T107" i="4"/>
  <c r="S107" i="4"/>
  <c r="AA107" i="4" s="1"/>
  <c r="V107" i="4"/>
  <c r="AW107" i="4" s="1"/>
  <c r="W107" i="4"/>
  <c r="AB107" i="4" s="1"/>
  <c r="Y107" i="4"/>
  <c r="AD107" i="4" s="1"/>
  <c r="X107" i="4"/>
  <c r="AC107" i="4" s="1"/>
  <c r="X106" i="29"/>
  <c r="W106" i="29"/>
  <c r="G106" i="29" s="1"/>
  <c r="Q108" i="28"/>
  <c r="S108" i="28"/>
  <c r="R108" i="28"/>
  <c r="BE108" i="4"/>
  <c r="BD108" i="4"/>
  <c r="J107" i="28"/>
  <c r="I107" i="28"/>
  <c r="AM107" i="4"/>
  <c r="V108" i="29"/>
  <c r="B107" i="29"/>
  <c r="AC110" i="28"/>
  <c r="B109" i="28"/>
  <c r="AE108" i="28"/>
  <c r="AD108" i="28"/>
  <c r="B109" i="4"/>
  <c r="BC110" i="4"/>
  <c r="AT108" i="4"/>
  <c r="J108" i="4"/>
  <c r="AQ108" i="4"/>
  <c r="AR108" i="4"/>
  <c r="N108" i="4"/>
  <c r="AP108" i="4"/>
  <c r="M108" i="4"/>
  <c r="H108" i="4"/>
  <c r="AO108" i="4"/>
  <c r="E108" i="4"/>
  <c r="I108" i="4"/>
  <c r="AF108" i="4"/>
  <c r="L108" i="4"/>
  <c r="AS108" i="4"/>
  <c r="G108" i="4"/>
  <c r="AG106" i="4"/>
  <c r="AH106" i="4" s="1"/>
  <c r="N104" i="29"/>
  <c r="O104" i="29" s="1"/>
  <c r="L104" i="29"/>
  <c r="A699" i="28"/>
  <c r="M107" i="29" l="1"/>
  <c r="K107" i="29"/>
  <c r="E107" i="29"/>
  <c r="E109" i="28"/>
  <c r="T109" i="28"/>
  <c r="AN105" i="4"/>
  <c r="AU105" i="4"/>
  <c r="AV105" i="4" s="1"/>
  <c r="AG107" i="4"/>
  <c r="AM108" i="4"/>
  <c r="AQ109" i="4"/>
  <c r="G109" i="4"/>
  <c r="AS109" i="4"/>
  <c r="AO109" i="4"/>
  <c r="I109" i="4"/>
  <c r="AR109" i="4"/>
  <c r="N109" i="4"/>
  <c r="AF109" i="4"/>
  <c r="AT109" i="4"/>
  <c r="H109" i="4"/>
  <c r="J109" i="4"/>
  <c r="M109" i="4"/>
  <c r="E109" i="4"/>
  <c r="AP109" i="4"/>
  <c r="L109" i="4"/>
  <c r="AE109" i="28"/>
  <c r="AD109" i="28"/>
  <c r="X107" i="29"/>
  <c r="W107" i="29"/>
  <c r="G107" i="29" s="1"/>
  <c r="V109" i="29"/>
  <c r="B108" i="29"/>
  <c r="V108" i="4"/>
  <c r="AW108" i="4" s="1"/>
  <c r="S108" i="4"/>
  <c r="AA108" i="4" s="1"/>
  <c r="Y108" i="4"/>
  <c r="AD108" i="4" s="1"/>
  <c r="U108" i="4"/>
  <c r="W108" i="4"/>
  <c r="AB108" i="4" s="1"/>
  <c r="R108" i="4"/>
  <c r="Z108" i="4" s="1"/>
  <c r="X108" i="4"/>
  <c r="AC108" i="4" s="1"/>
  <c r="T108" i="4"/>
  <c r="H106" i="29"/>
  <c r="J106" i="29" s="1"/>
  <c r="AX107" i="4"/>
  <c r="B110" i="4"/>
  <c r="BC111" i="4"/>
  <c r="BD109" i="4"/>
  <c r="BE109" i="4"/>
  <c r="J108" i="28"/>
  <c r="I108" i="28"/>
  <c r="Q109" i="28"/>
  <c r="S109" i="28"/>
  <c r="R109" i="28"/>
  <c r="B110" i="28"/>
  <c r="AC111" i="28"/>
  <c r="L105" i="29"/>
  <c r="N105" i="29"/>
  <c r="O105" i="29" s="1"/>
  <c r="AL106" i="4"/>
  <c r="A700" i="28"/>
  <c r="M108" i="29" l="1"/>
  <c r="K108" i="29"/>
  <c r="E108" i="29"/>
  <c r="T110" i="28"/>
  <c r="E110" i="28"/>
  <c r="AH107" i="4"/>
  <c r="H107" i="29"/>
  <c r="J107" i="29" s="1"/>
  <c r="AD110" i="28"/>
  <c r="AE110" i="28"/>
  <c r="BD110" i="4"/>
  <c r="BE110" i="4"/>
  <c r="AL107" i="4"/>
  <c r="N106" i="29"/>
  <c r="O106" i="29" s="1"/>
  <c r="L106" i="29"/>
  <c r="AX108" i="4"/>
  <c r="J109" i="28"/>
  <c r="I109" i="28"/>
  <c r="AN106" i="4"/>
  <c r="AU106" i="4"/>
  <c r="AV106" i="4" s="1"/>
  <c r="B111" i="28"/>
  <c r="AC112" i="28"/>
  <c r="R110" i="28"/>
  <c r="Q110" i="28"/>
  <c r="S110" i="28"/>
  <c r="W109" i="4"/>
  <c r="AB109" i="4" s="1"/>
  <c r="Y109" i="4"/>
  <c r="AD109" i="4" s="1"/>
  <c r="V109" i="4"/>
  <c r="AW109" i="4" s="1"/>
  <c r="S109" i="4"/>
  <c r="AA109" i="4" s="1"/>
  <c r="R109" i="4"/>
  <c r="Z109" i="4" s="1"/>
  <c r="X109" i="4"/>
  <c r="AC109" i="4" s="1"/>
  <c r="U109" i="4"/>
  <c r="T109" i="4"/>
  <c r="BC112" i="4"/>
  <c r="B111" i="4"/>
  <c r="AF110" i="4"/>
  <c r="I110" i="4"/>
  <c r="AO110" i="4"/>
  <c r="N110" i="4"/>
  <c r="E110" i="4"/>
  <c r="AQ110" i="4"/>
  <c r="AP110" i="4"/>
  <c r="AR110" i="4"/>
  <c r="L110" i="4"/>
  <c r="M110" i="4"/>
  <c r="AT110" i="4"/>
  <c r="H110" i="4"/>
  <c r="J110" i="4"/>
  <c r="AS110" i="4"/>
  <c r="G110" i="4"/>
  <c r="AG108" i="4"/>
  <c r="X108" i="29"/>
  <c r="W108" i="29"/>
  <c r="G108" i="29" s="1"/>
  <c r="V110" i="29"/>
  <c r="B109" i="29"/>
  <c r="AM109" i="4"/>
  <c r="A701" i="28"/>
  <c r="E109" i="29" l="1"/>
  <c r="K109" i="29"/>
  <c r="M109" i="29"/>
  <c r="T111" i="28"/>
  <c r="E111" i="28"/>
  <c r="AL108" i="4"/>
  <c r="AX109" i="4"/>
  <c r="W109" i="29"/>
  <c r="G109" i="29" s="1"/>
  <c r="X109" i="29"/>
  <c r="B110" i="29"/>
  <c r="V111" i="29"/>
  <c r="AH108" i="4"/>
  <c r="AM110" i="4"/>
  <c r="BE111" i="4"/>
  <c r="BD111" i="4"/>
  <c r="AD111" i="28"/>
  <c r="AE111" i="28"/>
  <c r="N107" i="29"/>
  <c r="O107" i="29" s="1"/>
  <c r="L107" i="29"/>
  <c r="H108" i="29"/>
  <c r="J108" i="29" s="1"/>
  <c r="AN107" i="4"/>
  <c r="AU107" i="4"/>
  <c r="AV107" i="4" s="1"/>
  <c r="AO111" i="4"/>
  <c r="H111" i="4"/>
  <c r="N111" i="4"/>
  <c r="AF111" i="4"/>
  <c r="J111" i="4"/>
  <c r="AT111" i="4"/>
  <c r="E111" i="4"/>
  <c r="G111" i="4"/>
  <c r="AR111" i="4"/>
  <c r="M111" i="4"/>
  <c r="L111" i="4"/>
  <c r="AQ111" i="4"/>
  <c r="AS111" i="4"/>
  <c r="I111" i="4"/>
  <c r="AP111" i="4"/>
  <c r="BC113" i="4"/>
  <c r="B112" i="4"/>
  <c r="AG109" i="4"/>
  <c r="AL109" i="4" s="1"/>
  <c r="B112" i="28"/>
  <c r="AC113" i="28"/>
  <c r="R111" i="28"/>
  <c r="S111" i="28"/>
  <c r="Q111" i="28"/>
  <c r="Y110" i="4"/>
  <c r="AD110" i="4" s="1"/>
  <c r="X110" i="4"/>
  <c r="AC110" i="4" s="1"/>
  <c r="R110" i="4"/>
  <c r="Z110" i="4" s="1"/>
  <c r="U110" i="4"/>
  <c r="W110" i="4"/>
  <c r="AB110" i="4" s="1"/>
  <c r="V110" i="4"/>
  <c r="AW110" i="4" s="1"/>
  <c r="S110" i="4"/>
  <c r="AA110" i="4" s="1"/>
  <c r="T110" i="4"/>
  <c r="I110" i="28"/>
  <c r="J110" i="28"/>
  <c r="A702" i="28"/>
  <c r="K110" i="29" l="1"/>
  <c r="M110" i="29"/>
  <c r="E110" i="29"/>
  <c r="T112" i="28"/>
  <c r="E112" i="28"/>
  <c r="AN108" i="4"/>
  <c r="AU108" i="4"/>
  <c r="AV108" i="4" s="1"/>
  <c r="B113" i="28"/>
  <c r="AC114" i="28"/>
  <c r="AD112" i="28"/>
  <c r="AE112" i="28"/>
  <c r="BD112" i="4"/>
  <c r="BE112" i="4"/>
  <c r="L108" i="29"/>
  <c r="N108" i="29"/>
  <c r="O108" i="29" s="1"/>
  <c r="J111" i="28"/>
  <c r="I111" i="28"/>
  <c r="T111" i="4"/>
  <c r="R111" i="4"/>
  <c r="Z111" i="4" s="1"/>
  <c r="U111" i="4"/>
  <c r="S111" i="4"/>
  <c r="AA111" i="4" s="1"/>
  <c r="V111" i="4"/>
  <c r="AW111" i="4" s="1"/>
  <c r="X111" i="4"/>
  <c r="AC111" i="4" s="1"/>
  <c r="Y111" i="4"/>
  <c r="AD111" i="4" s="1"/>
  <c r="W111" i="4"/>
  <c r="AB111" i="4" s="1"/>
  <c r="H109" i="29"/>
  <c r="J109" i="29" s="1"/>
  <c r="V112" i="29"/>
  <c r="B111" i="29"/>
  <c r="AX110" i="4"/>
  <c r="AG110" i="4"/>
  <c r="R112" i="28"/>
  <c r="S112" i="28"/>
  <c r="Q112" i="28"/>
  <c r="AU109" i="4"/>
  <c r="AV109" i="4" s="1"/>
  <c r="AN109" i="4"/>
  <c r="N112" i="4"/>
  <c r="AP112" i="4"/>
  <c r="H112" i="4"/>
  <c r="L112" i="4"/>
  <c r="J112" i="4"/>
  <c r="I112" i="4"/>
  <c r="AS112" i="4"/>
  <c r="AO112" i="4"/>
  <c r="AF112" i="4"/>
  <c r="AT112" i="4"/>
  <c r="M112" i="4"/>
  <c r="E112" i="4"/>
  <c r="F112" i="4" s="1"/>
  <c r="AR112" i="4"/>
  <c r="G112" i="4"/>
  <c r="AQ112" i="4"/>
  <c r="BC114" i="4"/>
  <c r="B113" i="4"/>
  <c r="AM111" i="4"/>
  <c r="AH109" i="4"/>
  <c r="W110" i="29"/>
  <c r="G110" i="29" s="1"/>
  <c r="X110" i="29"/>
  <c r="A703" i="28"/>
  <c r="M111" i="29" l="1"/>
  <c r="E111" i="29"/>
  <c r="K111" i="29"/>
  <c r="E113" i="28"/>
  <c r="T113" i="28"/>
  <c r="AH110" i="4"/>
  <c r="H110" i="29"/>
  <c r="J110" i="29" s="1"/>
  <c r="N110" i="29" s="1"/>
  <c r="O110" i="29" s="1"/>
  <c r="AG111" i="4"/>
  <c r="BC115" i="4"/>
  <c r="B114" i="4"/>
  <c r="BE113" i="4"/>
  <c r="BD113" i="4"/>
  <c r="I113" i="4"/>
  <c r="AT113" i="4"/>
  <c r="AQ113" i="4"/>
  <c r="H113" i="4"/>
  <c r="N113" i="4"/>
  <c r="AF113" i="4"/>
  <c r="AS113" i="4"/>
  <c r="AO113" i="4"/>
  <c r="E113" i="4"/>
  <c r="AR113" i="4"/>
  <c r="AP113" i="4"/>
  <c r="G113" i="4"/>
  <c r="L113" i="4"/>
  <c r="J113" i="4"/>
  <c r="M113" i="4"/>
  <c r="AM112" i="4"/>
  <c r="AL110" i="4"/>
  <c r="L109" i="29"/>
  <c r="N109" i="29"/>
  <c r="O109" i="29" s="1"/>
  <c r="AX111" i="4"/>
  <c r="AC115" i="28"/>
  <c r="B114" i="28"/>
  <c r="S113" i="28"/>
  <c r="Q113" i="28"/>
  <c r="R113" i="28"/>
  <c r="W111" i="29"/>
  <c r="G111" i="29" s="1"/>
  <c r="X111" i="29"/>
  <c r="V113" i="29"/>
  <c r="B112" i="29"/>
  <c r="U112" i="4"/>
  <c r="W112" i="4"/>
  <c r="AB112" i="4" s="1"/>
  <c r="Y112" i="4"/>
  <c r="AD112" i="4" s="1"/>
  <c r="S112" i="4"/>
  <c r="AA112" i="4" s="1"/>
  <c r="R112" i="4"/>
  <c r="Z112" i="4" s="1"/>
  <c r="V112" i="4"/>
  <c r="AW112" i="4" s="1"/>
  <c r="X112" i="4"/>
  <c r="AC112" i="4" s="1"/>
  <c r="T112" i="4"/>
  <c r="J112" i="28"/>
  <c r="I112" i="28"/>
  <c r="AE113" i="28"/>
  <c r="AD113" i="28"/>
  <c r="A704" i="28"/>
  <c r="M112" i="29" l="1"/>
  <c r="K112" i="29"/>
  <c r="E112" i="29"/>
  <c r="T114" i="28"/>
  <c r="E114" i="28"/>
  <c r="L110" i="29"/>
  <c r="AH111" i="4"/>
  <c r="R114" i="28"/>
  <c r="Q114" i="28"/>
  <c r="S114" i="28"/>
  <c r="AC116" i="28"/>
  <c r="B115" i="28"/>
  <c r="H111" i="29"/>
  <c r="J111" i="29" s="1"/>
  <c r="AU110" i="4"/>
  <c r="AV110" i="4" s="1"/>
  <c r="AN110" i="4"/>
  <c r="BD114" i="4"/>
  <c r="BE114" i="4"/>
  <c r="AG112" i="4"/>
  <c r="W112" i="29"/>
  <c r="G112" i="29" s="1"/>
  <c r="X112" i="29"/>
  <c r="J113" i="28"/>
  <c r="I113" i="28"/>
  <c r="AX112" i="4"/>
  <c r="B113" i="29"/>
  <c r="V114" i="29"/>
  <c r="AE114" i="28"/>
  <c r="AD114" i="28"/>
  <c r="AL111" i="4"/>
  <c r="AM113" i="4"/>
  <c r="T113" i="4"/>
  <c r="U113" i="4"/>
  <c r="W113" i="4"/>
  <c r="AB113" i="4" s="1"/>
  <c r="R113" i="4"/>
  <c r="Z113" i="4" s="1"/>
  <c r="X113" i="4"/>
  <c r="AC113" i="4" s="1"/>
  <c r="V113" i="4"/>
  <c r="AW113" i="4" s="1"/>
  <c r="Y113" i="4"/>
  <c r="AD113" i="4" s="1"/>
  <c r="S113" i="4"/>
  <c r="AA113" i="4" s="1"/>
  <c r="AR114" i="4"/>
  <c r="AT114" i="4"/>
  <c r="N114" i="4"/>
  <c r="AO114" i="4"/>
  <c r="E114" i="4"/>
  <c r="AQ114" i="4"/>
  <c r="H114" i="4"/>
  <c r="G114" i="4"/>
  <c r="I114" i="4"/>
  <c r="L114" i="4"/>
  <c r="M114" i="4"/>
  <c r="AP114" i="4"/>
  <c r="J114" i="4"/>
  <c r="AF114" i="4"/>
  <c r="AS114" i="4"/>
  <c r="BC116" i="4"/>
  <c r="B115" i="4"/>
  <c r="A705" i="28"/>
  <c r="E113" i="29" l="1"/>
  <c r="K113" i="29"/>
  <c r="M113" i="29"/>
  <c r="T115" i="28"/>
  <c r="E115" i="28"/>
  <c r="AH112" i="4"/>
  <c r="AX113" i="4"/>
  <c r="AG113" i="4"/>
  <c r="B116" i="4"/>
  <c r="BC117" i="4"/>
  <c r="BE115" i="4"/>
  <c r="BD115" i="4"/>
  <c r="I115" i="4"/>
  <c r="M115" i="4"/>
  <c r="AT115" i="4"/>
  <c r="AS115" i="4"/>
  <c r="AF115" i="4"/>
  <c r="G115" i="4"/>
  <c r="H115" i="4"/>
  <c r="AQ115" i="4"/>
  <c r="J115" i="4"/>
  <c r="AR115" i="4"/>
  <c r="E115" i="4"/>
  <c r="N115" i="4"/>
  <c r="L115" i="4"/>
  <c r="AO115" i="4"/>
  <c r="AP115" i="4"/>
  <c r="X113" i="29"/>
  <c r="W113" i="29"/>
  <c r="G113" i="29" s="1"/>
  <c r="S114" i="4"/>
  <c r="T114" i="4"/>
  <c r="R114" i="4"/>
  <c r="Z114" i="4" s="1"/>
  <c r="U114" i="4"/>
  <c r="X114" i="4"/>
  <c r="AC114" i="4" s="1"/>
  <c r="Y114" i="4"/>
  <c r="AD114" i="4" s="1"/>
  <c r="W114" i="4"/>
  <c r="AB114" i="4" s="1"/>
  <c r="V114" i="4"/>
  <c r="AW114" i="4" s="1"/>
  <c r="N111" i="29"/>
  <c r="O111" i="29" s="1"/>
  <c r="L111" i="29"/>
  <c r="AD115" i="28"/>
  <c r="AE115" i="28"/>
  <c r="AM114" i="4"/>
  <c r="AN111" i="4"/>
  <c r="AU111" i="4"/>
  <c r="AV111" i="4" s="1"/>
  <c r="J114" i="28"/>
  <c r="I114" i="28"/>
  <c r="V115" i="29"/>
  <c r="B114" i="29"/>
  <c r="H112" i="29"/>
  <c r="J112" i="29" s="1"/>
  <c r="AL112" i="4"/>
  <c r="R115" i="28"/>
  <c r="Q115" i="28"/>
  <c r="S115" i="28"/>
  <c r="AC117" i="28"/>
  <c r="B116" i="28"/>
  <c r="A706" i="28"/>
  <c r="K114" i="29" l="1"/>
  <c r="M114" i="29"/>
  <c r="E114" i="29"/>
  <c r="T116" i="28"/>
  <c r="E116" i="28"/>
  <c r="AL113" i="4"/>
  <c r="AN113" i="4" s="1"/>
  <c r="AH113" i="4"/>
  <c r="AA114" i="4"/>
  <c r="AX114" i="4" s="1"/>
  <c r="AU112" i="4"/>
  <c r="AV112" i="4" s="1"/>
  <c r="AN112" i="4"/>
  <c r="L112" i="29"/>
  <c r="N112" i="29"/>
  <c r="O112" i="29" s="1"/>
  <c r="W114" i="29"/>
  <c r="G114" i="29" s="1"/>
  <c r="X114" i="29"/>
  <c r="I115" i="28"/>
  <c r="J115" i="28"/>
  <c r="AG114" i="4"/>
  <c r="H113" i="29"/>
  <c r="J113" i="29" s="1"/>
  <c r="T115" i="4"/>
  <c r="S115" i="4"/>
  <c r="AA115" i="4" s="1"/>
  <c r="R115" i="4"/>
  <c r="Z115" i="4" s="1"/>
  <c r="U115" i="4"/>
  <c r="V115" i="4"/>
  <c r="AW115" i="4" s="1"/>
  <c r="W115" i="4"/>
  <c r="AB115" i="4" s="1"/>
  <c r="X115" i="4"/>
  <c r="AC115" i="4" s="1"/>
  <c r="Y115" i="4"/>
  <c r="AD115" i="4" s="1"/>
  <c r="BC118" i="4"/>
  <c r="B117" i="4"/>
  <c r="I116" i="4"/>
  <c r="AQ116" i="4"/>
  <c r="AO116" i="4"/>
  <c r="AT116" i="4"/>
  <c r="AS116" i="4"/>
  <c r="J116" i="4"/>
  <c r="L116" i="4"/>
  <c r="N116" i="4"/>
  <c r="AR116" i="4"/>
  <c r="E116" i="4"/>
  <c r="M116" i="4"/>
  <c r="H116" i="4"/>
  <c r="AP116" i="4"/>
  <c r="G116" i="4"/>
  <c r="AF116" i="4"/>
  <c r="AE116" i="28"/>
  <c r="AD116" i="28"/>
  <c r="Q116" i="28"/>
  <c r="S116" i="28"/>
  <c r="R116" i="28"/>
  <c r="B117" i="28"/>
  <c r="AC118" i="28"/>
  <c r="V116" i="29"/>
  <c r="B115" i="29"/>
  <c r="AM115" i="4"/>
  <c r="BE116" i="4"/>
  <c r="BD116" i="4"/>
  <c r="A707" i="28"/>
  <c r="AU113" i="4" l="1"/>
  <c r="AV113" i="4" s="1"/>
  <c r="M115" i="29"/>
  <c r="K115" i="29"/>
  <c r="E115" i="29"/>
  <c r="E117" i="28"/>
  <c r="T117" i="28"/>
  <c r="AL114" i="4"/>
  <c r="AU114" i="4" s="1"/>
  <c r="AV114" i="4" s="1"/>
  <c r="AG115" i="4"/>
  <c r="AL115" i="4" s="1"/>
  <c r="AN115" i="4" s="1"/>
  <c r="AX115" i="4"/>
  <c r="W115" i="29"/>
  <c r="G115" i="29" s="1"/>
  <c r="X115" i="29"/>
  <c r="V117" i="29"/>
  <c r="B116" i="29"/>
  <c r="R117" i="28"/>
  <c r="S117" i="28"/>
  <c r="Q117" i="28"/>
  <c r="I116" i="28"/>
  <c r="J116" i="28"/>
  <c r="AM116" i="4"/>
  <c r="BE117" i="4"/>
  <c r="BD117" i="4"/>
  <c r="AH114" i="4"/>
  <c r="S116" i="4"/>
  <c r="X116" i="4"/>
  <c r="AC116" i="4" s="1"/>
  <c r="T116" i="4"/>
  <c r="W116" i="4"/>
  <c r="AB116" i="4" s="1"/>
  <c r="Y116" i="4"/>
  <c r="AD116" i="4" s="1"/>
  <c r="R116" i="4"/>
  <c r="Z116" i="4" s="1"/>
  <c r="V116" i="4"/>
  <c r="AW116" i="4" s="1"/>
  <c r="U116" i="4"/>
  <c r="AC119" i="28"/>
  <c r="B118" i="28"/>
  <c r="AD117" i="28"/>
  <c r="AE117" i="28"/>
  <c r="AS117" i="4"/>
  <c r="J117" i="4"/>
  <c r="H117" i="4"/>
  <c r="AQ117" i="4"/>
  <c r="AO117" i="4"/>
  <c r="AP117" i="4"/>
  <c r="L117" i="4"/>
  <c r="AF117" i="4"/>
  <c r="E117" i="4"/>
  <c r="I117" i="4"/>
  <c r="AR117" i="4"/>
  <c r="M117" i="4"/>
  <c r="G117" i="4"/>
  <c r="AT117" i="4"/>
  <c r="N117" i="4"/>
  <c r="B118" i="4"/>
  <c r="BC119" i="4"/>
  <c r="N113" i="29"/>
  <c r="O113" i="29" s="1"/>
  <c r="L113" i="29"/>
  <c r="H114" i="29"/>
  <c r="J114" i="29" s="1"/>
  <c r="A708" i="28"/>
  <c r="AN114" i="4" l="1"/>
  <c r="K116" i="29"/>
  <c r="E116" i="29"/>
  <c r="M116" i="29"/>
  <c r="T118" i="28"/>
  <c r="E118" i="28"/>
  <c r="AH115" i="4"/>
  <c r="AA116" i="4"/>
  <c r="AX116" i="4" s="1"/>
  <c r="AM117" i="4"/>
  <c r="H115" i="29"/>
  <c r="J115" i="29" s="1"/>
  <c r="AU115" i="4"/>
  <c r="AV115" i="4" s="1"/>
  <c r="L114" i="29"/>
  <c r="N114" i="29"/>
  <c r="O114" i="29" s="1"/>
  <c r="B119" i="4"/>
  <c r="BC120" i="4"/>
  <c r="AF118" i="4"/>
  <c r="N118" i="4"/>
  <c r="J118" i="4"/>
  <c r="AR118" i="4"/>
  <c r="AS118" i="4"/>
  <c r="H118" i="4"/>
  <c r="AT118" i="4"/>
  <c r="M118" i="4"/>
  <c r="L118" i="4"/>
  <c r="AQ118" i="4"/>
  <c r="E118" i="4"/>
  <c r="AP118" i="4"/>
  <c r="I118" i="4"/>
  <c r="G118" i="4"/>
  <c r="AO118" i="4"/>
  <c r="BE118" i="4"/>
  <c r="BD118" i="4"/>
  <c r="I117" i="28"/>
  <c r="J117" i="28"/>
  <c r="AD118" i="28"/>
  <c r="AE118" i="28"/>
  <c r="AG116" i="4"/>
  <c r="Y117" i="4"/>
  <c r="AD117" i="4" s="1"/>
  <c r="T117" i="4"/>
  <c r="W117" i="4"/>
  <c r="AB117" i="4" s="1"/>
  <c r="S117" i="4"/>
  <c r="X117" i="4"/>
  <c r="AC117" i="4" s="1"/>
  <c r="R117" i="4"/>
  <c r="Z117" i="4" s="1"/>
  <c r="V117" i="4"/>
  <c r="AW117" i="4" s="1"/>
  <c r="U117" i="4"/>
  <c r="X116" i="29"/>
  <c r="W116" i="29"/>
  <c r="G116" i="29" s="1"/>
  <c r="Q118" i="28"/>
  <c r="S118" i="28"/>
  <c r="R118" i="28"/>
  <c r="AC120" i="28"/>
  <c r="B119" i="28"/>
  <c r="V118" i="29"/>
  <c r="B117" i="29"/>
  <c r="A709" i="28"/>
  <c r="E117" i="29" l="1"/>
  <c r="M117" i="29"/>
  <c r="K117" i="29"/>
  <c r="T119" i="28"/>
  <c r="E119" i="28"/>
  <c r="AA117" i="4"/>
  <c r="AX117" i="4" s="1"/>
  <c r="AH116" i="4"/>
  <c r="AL116" i="4"/>
  <c r="AU116" i="4" s="1"/>
  <c r="AV116" i="4" s="1"/>
  <c r="H116" i="29"/>
  <c r="J116" i="29" s="1"/>
  <c r="X117" i="29"/>
  <c r="W117" i="29"/>
  <c r="G117" i="29" s="1"/>
  <c r="B118" i="29"/>
  <c r="V119" i="29"/>
  <c r="L115" i="29"/>
  <c r="N115" i="29"/>
  <c r="O115" i="29" s="1"/>
  <c r="B120" i="28"/>
  <c r="AC121" i="28"/>
  <c r="M119" i="4"/>
  <c r="L119" i="4"/>
  <c r="AQ119" i="4"/>
  <c r="AR119" i="4"/>
  <c r="G119" i="4"/>
  <c r="H119" i="4"/>
  <c r="AT119" i="4"/>
  <c r="AF119" i="4"/>
  <c r="N119" i="4"/>
  <c r="I119" i="4"/>
  <c r="E119" i="4"/>
  <c r="J119" i="4"/>
  <c r="AP119" i="4"/>
  <c r="AO119" i="4"/>
  <c r="AS119" i="4"/>
  <c r="BE119" i="4"/>
  <c r="BD119" i="4"/>
  <c r="R119" i="28"/>
  <c r="Q119" i="28"/>
  <c r="S119" i="28"/>
  <c r="AE119" i="28"/>
  <c r="AD119" i="28"/>
  <c r="AG117" i="4"/>
  <c r="J118" i="28"/>
  <c r="I118" i="28"/>
  <c r="X118" i="4"/>
  <c r="AC118" i="4" s="1"/>
  <c r="U118" i="4"/>
  <c r="Y118" i="4"/>
  <c r="AD118" i="4" s="1"/>
  <c r="T118" i="4"/>
  <c r="V118" i="4"/>
  <c r="AW118" i="4" s="1"/>
  <c r="R118" i="4"/>
  <c r="Z118" i="4" s="1"/>
  <c r="W118" i="4"/>
  <c r="AB118" i="4" s="1"/>
  <c r="S118" i="4"/>
  <c r="AA118" i="4" s="1"/>
  <c r="AM118" i="4"/>
  <c r="BC121" i="4"/>
  <c r="B120" i="4"/>
  <c r="A710" i="28"/>
  <c r="K118" i="29" l="1"/>
  <c r="E118" i="29"/>
  <c r="M118" i="29"/>
  <c r="E120" i="28"/>
  <c r="T120" i="28"/>
  <c r="AN116" i="4"/>
  <c r="AL117" i="4"/>
  <c r="AU117" i="4" s="1"/>
  <c r="AV117" i="4" s="1"/>
  <c r="AS120" i="4"/>
  <c r="J120" i="4"/>
  <c r="E120" i="4"/>
  <c r="F120" i="4" s="1"/>
  <c r="H120" i="4"/>
  <c r="N120" i="4"/>
  <c r="AF120" i="4"/>
  <c r="AQ120" i="4"/>
  <c r="I120" i="4"/>
  <c r="AR120" i="4"/>
  <c r="AP120" i="4"/>
  <c r="AO120" i="4"/>
  <c r="M120" i="4"/>
  <c r="L120" i="4"/>
  <c r="AT120" i="4"/>
  <c r="G120" i="4"/>
  <c r="BC122" i="4"/>
  <c r="B121" i="4"/>
  <c r="AX118" i="4"/>
  <c r="AH117" i="4"/>
  <c r="S120" i="28"/>
  <c r="Q120" i="28"/>
  <c r="R120" i="28"/>
  <c r="L116" i="29"/>
  <c r="N116" i="29"/>
  <c r="O116" i="29" s="1"/>
  <c r="B119" i="29"/>
  <c r="V120" i="29"/>
  <c r="BD120" i="4"/>
  <c r="BE120" i="4"/>
  <c r="AG118" i="4"/>
  <c r="AH118" i="4" s="1"/>
  <c r="J119" i="28"/>
  <c r="I119" i="28"/>
  <c r="V119" i="4"/>
  <c r="AW119" i="4" s="1"/>
  <c r="S119" i="4"/>
  <c r="AA119" i="4" s="1"/>
  <c r="U119" i="4"/>
  <c r="Y119" i="4"/>
  <c r="AD119" i="4" s="1"/>
  <c r="W119" i="4"/>
  <c r="AB119" i="4" s="1"/>
  <c r="T119" i="4"/>
  <c r="R119" i="4"/>
  <c r="Z119" i="4" s="1"/>
  <c r="X119" i="4"/>
  <c r="AC119" i="4" s="1"/>
  <c r="AM119" i="4"/>
  <c r="AC122" i="28"/>
  <c r="B121" i="28"/>
  <c r="AE120" i="28"/>
  <c r="AD120" i="28"/>
  <c r="X118" i="29"/>
  <c r="W118" i="29"/>
  <c r="G118" i="29" s="1"/>
  <c r="H117" i="29"/>
  <c r="J117" i="29" s="1"/>
  <c r="A711" i="28"/>
  <c r="M119" i="29" l="1"/>
  <c r="K119" i="29"/>
  <c r="E119" i="29"/>
  <c r="E121" i="28"/>
  <c r="T121" i="28"/>
  <c r="AN117" i="4"/>
  <c r="AM120" i="4"/>
  <c r="H118" i="29"/>
  <c r="J118" i="29" s="1"/>
  <c r="B122" i="28"/>
  <c r="AC123" i="28"/>
  <c r="AL118" i="4"/>
  <c r="R120" i="4"/>
  <c r="Z120" i="4" s="1"/>
  <c r="V120" i="4"/>
  <c r="AW120" i="4" s="1"/>
  <c r="W120" i="4"/>
  <c r="AB120" i="4" s="1"/>
  <c r="U120" i="4"/>
  <c r="S120" i="4"/>
  <c r="AA120" i="4" s="1"/>
  <c r="T120" i="4"/>
  <c r="X120" i="4"/>
  <c r="AC120" i="4" s="1"/>
  <c r="Y120" i="4"/>
  <c r="AD120" i="4" s="1"/>
  <c r="V121" i="29"/>
  <c r="B120" i="29"/>
  <c r="I120" i="28"/>
  <c r="J120" i="28"/>
  <c r="Q121" i="28"/>
  <c r="R121" i="28"/>
  <c r="S121" i="28"/>
  <c r="AE121" i="28"/>
  <c r="AD121" i="28"/>
  <c r="AG119" i="4"/>
  <c r="AL119" i="4" s="1"/>
  <c r="AX119" i="4"/>
  <c r="X119" i="29"/>
  <c r="W119" i="29"/>
  <c r="G119" i="29" s="1"/>
  <c r="BD121" i="4"/>
  <c r="BE121" i="4"/>
  <c r="L117" i="29"/>
  <c r="N117" i="29"/>
  <c r="O117" i="29" s="1"/>
  <c r="AS121" i="4"/>
  <c r="AO121" i="4"/>
  <c r="I121" i="4"/>
  <c r="AP121" i="4"/>
  <c r="M121" i="4"/>
  <c r="L121" i="4"/>
  <c r="J121" i="4"/>
  <c r="H121" i="4"/>
  <c r="AR121" i="4"/>
  <c r="E121" i="4"/>
  <c r="AQ121" i="4"/>
  <c r="G121" i="4"/>
  <c r="N121" i="4"/>
  <c r="AF121" i="4"/>
  <c r="AT121" i="4"/>
  <c r="B122" i="4"/>
  <c r="BC123" i="4"/>
  <c r="A712" i="28"/>
  <c r="E120" i="29" l="1"/>
  <c r="M120" i="29"/>
  <c r="K120" i="29"/>
  <c r="E122" i="28"/>
  <c r="T122" i="28"/>
  <c r="AX120" i="4"/>
  <c r="AM121" i="4"/>
  <c r="H119" i="29"/>
  <c r="J119" i="29"/>
  <c r="N119" i="29" s="1"/>
  <c r="O119" i="29" s="1"/>
  <c r="AN119" i="4"/>
  <c r="AU119" i="4"/>
  <c r="AV119" i="4" s="1"/>
  <c r="R121" i="4"/>
  <c r="Z121" i="4" s="1"/>
  <c r="Y121" i="4"/>
  <c r="AD121" i="4" s="1"/>
  <c r="X121" i="4"/>
  <c r="AC121" i="4" s="1"/>
  <c r="W121" i="4"/>
  <c r="AB121" i="4" s="1"/>
  <c r="V121" i="4"/>
  <c r="AW121" i="4" s="1"/>
  <c r="S121" i="4"/>
  <c r="AA121" i="4" s="1"/>
  <c r="U121" i="4"/>
  <c r="T121" i="4"/>
  <c r="J121" i="28"/>
  <c r="I121" i="28"/>
  <c r="W120" i="29"/>
  <c r="G120" i="29" s="1"/>
  <c r="X120" i="29"/>
  <c r="V122" i="29"/>
  <c r="B121" i="29"/>
  <c r="AH119" i="4"/>
  <c r="B123" i="28"/>
  <c r="AC124" i="28"/>
  <c r="AD122" i="28"/>
  <c r="AE122" i="28"/>
  <c r="BD122" i="4"/>
  <c r="BE122" i="4"/>
  <c r="I122" i="4"/>
  <c r="M122" i="4"/>
  <c r="AO122" i="4"/>
  <c r="AS122" i="4"/>
  <c r="AR122" i="4"/>
  <c r="L122" i="4"/>
  <c r="J122" i="4"/>
  <c r="E122" i="4"/>
  <c r="N122" i="4"/>
  <c r="AP122" i="4"/>
  <c r="AT122" i="4"/>
  <c r="H122" i="4"/>
  <c r="AF122" i="4"/>
  <c r="G122" i="4"/>
  <c r="AQ122" i="4"/>
  <c r="B123" i="4"/>
  <c r="BC124" i="4"/>
  <c r="AG120" i="4"/>
  <c r="AL120" i="4" s="1"/>
  <c r="AN118" i="4"/>
  <c r="AU118" i="4"/>
  <c r="AV118" i="4" s="1"/>
  <c r="R122" i="28"/>
  <c r="S122" i="28"/>
  <c r="Q122" i="28"/>
  <c r="L118" i="29"/>
  <c r="N118" i="29"/>
  <c r="O118" i="29" s="1"/>
  <c r="A713" i="28"/>
  <c r="L119" i="29" l="1"/>
  <c r="E121" i="29"/>
  <c r="M121" i="29"/>
  <c r="K121" i="29"/>
  <c r="T123" i="28"/>
  <c r="E123" i="28"/>
  <c r="AX121" i="4"/>
  <c r="AU120" i="4"/>
  <c r="AV120" i="4" s="1"/>
  <c r="AN120" i="4"/>
  <c r="L123" i="4"/>
  <c r="AR123" i="4"/>
  <c r="I123" i="4"/>
  <c r="H123" i="4"/>
  <c r="AO123" i="4"/>
  <c r="AQ123" i="4"/>
  <c r="G123" i="4"/>
  <c r="N123" i="4"/>
  <c r="M123" i="4"/>
  <c r="AF123" i="4"/>
  <c r="AS123" i="4"/>
  <c r="E123" i="4"/>
  <c r="AT123" i="4"/>
  <c r="AP123" i="4"/>
  <c r="J123" i="4"/>
  <c r="V122" i="4"/>
  <c r="AW122" i="4" s="1"/>
  <c r="W122" i="4"/>
  <c r="AB122" i="4" s="1"/>
  <c r="Y122" i="4"/>
  <c r="AD122" i="4" s="1"/>
  <c r="X122" i="4"/>
  <c r="AC122" i="4" s="1"/>
  <c r="R122" i="4"/>
  <c r="Z122" i="4" s="1"/>
  <c r="U122" i="4"/>
  <c r="T122" i="4"/>
  <c r="S122" i="4"/>
  <c r="AA122" i="4" s="1"/>
  <c r="AC125" i="28"/>
  <c r="B124" i="28"/>
  <c r="AD123" i="28"/>
  <c r="AE123" i="28"/>
  <c r="AH120" i="4"/>
  <c r="W121" i="29"/>
  <c r="G121" i="29" s="1"/>
  <c r="X121" i="29"/>
  <c r="H120" i="29"/>
  <c r="J120" i="29" s="1"/>
  <c r="BC125" i="4"/>
  <c r="B124" i="4"/>
  <c r="BE123" i="4"/>
  <c r="BD123" i="4"/>
  <c r="AM122" i="4"/>
  <c r="J122" i="28"/>
  <c r="I122" i="28"/>
  <c r="Q123" i="28"/>
  <c r="S123" i="28"/>
  <c r="R123" i="28"/>
  <c r="V123" i="29"/>
  <c r="B122" i="29"/>
  <c r="AG121" i="4"/>
  <c r="AL121" i="4" s="1"/>
  <c r="A714" i="28"/>
  <c r="K122" i="29" l="1"/>
  <c r="M122" i="29"/>
  <c r="E122" i="29"/>
  <c r="E124" i="28"/>
  <c r="T124" i="28"/>
  <c r="AM123" i="4"/>
  <c r="H121" i="29"/>
  <c r="J121" i="29" s="1"/>
  <c r="AH121" i="4"/>
  <c r="AU121" i="4"/>
  <c r="AV121" i="4" s="1"/>
  <c r="AN121" i="4"/>
  <c r="V124" i="29"/>
  <c r="B123" i="29"/>
  <c r="BE124" i="4"/>
  <c r="BD124" i="4"/>
  <c r="N120" i="29"/>
  <c r="O120" i="29" s="1"/>
  <c r="L120" i="29"/>
  <c r="I123" i="28"/>
  <c r="J123" i="28"/>
  <c r="AC126" i="28"/>
  <c r="B125" i="28"/>
  <c r="AX122" i="4"/>
  <c r="X122" i="29"/>
  <c r="W122" i="29"/>
  <c r="G122" i="29" s="1"/>
  <c r="W123" i="4"/>
  <c r="AB123" i="4" s="1"/>
  <c r="Y123" i="4"/>
  <c r="AD123" i="4" s="1"/>
  <c r="R123" i="4"/>
  <c r="Z123" i="4" s="1"/>
  <c r="T123" i="4"/>
  <c r="V123" i="4"/>
  <c r="AW123" i="4" s="1"/>
  <c r="X123" i="4"/>
  <c r="AC123" i="4" s="1"/>
  <c r="U123" i="4"/>
  <c r="S123" i="4"/>
  <c r="AA123" i="4" s="1"/>
  <c r="AP124" i="4"/>
  <c r="AS124" i="4"/>
  <c r="AT124" i="4"/>
  <c r="H124" i="4"/>
  <c r="L124" i="4"/>
  <c r="N124" i="4"/>
  <c r="AQ124" i="4"/>
  <c r="G124" i="4"/>
  <c r="I124" i="4"/>
  <c r="AO124" i="4"/>
  <c r="J124" i="4"/>
  <c r="AF124" i="4"/>
  <c r="E124" i="4"/>
  <c r="F124" i="4" s="1"/>
  <c r="AR124" i="4"/>
  <c r="M124" i="4"/>
  <c r="BC126" i="4"/>
  <c r="B125" i="4"/>
  <c r="Q124" i="28"/>
  <c r="S124" i="28"/>
  <c r="R124" i="28"/>
  <c r="AE124" i="28"/>
  <c r="AD124" i="28"/>
  <c r="AG122" i="4"/>
  <c r="A715" i="28"/>
  <c r="M123" i="29" l="1"/>
  <c r="K123" i="29"/>
  <c r="E123" i="29"/>
  <c r="E125" i="28"/>
  <c r="T125" i="28"/>
  <c r="N121" i="29"/>
  <c r="O121" i="29" s="1"/>
  <c r="L121" i="29"/>
  <c r="AH122" i="4"/>
  <c r="AL122" i="4"/>
  <c r="J124" i="28"/>
  <c r="I124" i="28"/>
  <c r="N125" i="4"/>
  <c r="AF125" i="4"/>
  <c r="J125" i="4"/>
  <c r="AT125" i="4"/>
  <c r="AR125" i="4"/>
  <c r="I125" i="4"/>
  <c r="AO125" i="4"/>
  <c r="E125" i="4"/>
  <c r="M125" i="4"/>
  <c r="L125" i="4"/>
  <c r="AS125" i="4"/>
  <c r="AQ125" i="4"/>
  <c r="G125" i="4"/>
  <c r="H125" i="4"/>
  <c r="AP125" i="4"/>
  <c r="B126" i="4"/>
  <c r="BC127" i="4"/>
  <c r="AM124" i="4"/>
  <c r="R125" i="28"/>
  <c r="S125" i="28"/>
  <c r="Q125" i="28"/>
  <c r="W125" i="28"/>
  <c r="B126" i="28"/>
  <c r="AC127" i="28"/>
  <c r="X124" i="4"/>
  <c r="AC124" i="4" s="1"/>
  <c r="S124" i="4"/>
  <c r="AA124" i="4" s="1"/>
  <c r="U124" i="4"/>
  <c r="W124" i="4"/>
  <c r="AB124" i="4" s="1"/>
  <c r="Y124" i="4"/>
  <c r="AD124" i="4" s="1"/>
  <c r="R124" i="4"/>
  <c r="Z124" i="4" s="1"/>
  <c r="T124" i="4"/>
  <c r="V124" i="4"/>
  <c r="AW124" i="4" s="1"/>
  <c r="W123" i="29"/>
  <c r="G123" i="29" s="1"/>
  <c r="X123" i="29"/>
  <c r="BD125" i="4"/>
  <c r="BE125" i="4"/>
  <c r="AX123" i="4"/>
  <c r="AG123" i="4"/>
  <c r="AE125" i="28"/>
  <c r="AD125" i="28"/>
  <c r="V125" i="29"/>
  <c r="B124" i="29"/>
  <c r="H122" i="29"/>
  <c r="J122" i="29" s="1"/>
  <c r="A716" i="28"/>
  <c r="M124" i="29" l="1"/>
  <c r="E124" i="29"/>
  <c r="K124" i="29"/>
  <c r="T126" i="28"/>
  <c r="E126" i="28"/>
  <c r="AG124" i="4"/>
  <c r="AH123" i="4"/>
  <c r="O125" i="28"/>
  <c r="BE126" i="4"/>
  <c r="BD126" i="4"/>
  <c r="L126" i="4"/>
  <c r="AR126" i="4"/>
  <c r="AP126" i="4"/>
  <c r="AQ126" i="4"/>
  <c r="AS126" i="4"/>
  <c r="AT126" i="4"/>
  <c r="H126" i="4"/>
  <c r="AF126" i="4"/>
  <c r="M126" i="4"/>
  <c r="J126" i="4"/>
  <c r="G126" i="4"/>
  <c r="N126" i="4"/>
  <c r="AO126" i="4"/>
  <c r="I126" i="4"/>
  <c r="E126" i="4"/>
  <c r="AM125" i="4"/>
  <c r="AU122" i="4"/>
  <c r="AV122" i="4" s="1"/>
  <c r="AN122" i="4"/>
  <c r="N122" i="29"/>
  <c r="O122" i="29" s="1"/>
  <c r="L122" i="29"/>
  <c r="U125" i="4"/>
  <c r="W125" i="4"/>
  <c r="AB125" i="4" s="1"/>
  <c r="T125" i="4"/>
  <c r="V125" i="4"/>
  <c r="AW125" i="4" s="1"/>
  <c r="R125" i="4"/>
  <c r="Z125" i="4" s="1"/>
  <c r="Y125" i="4"/>
  <c r="AD125" i="4" s="1"/>
  <c r="S125" i="4"/>
  <c r="AA125" i="4" s="1"/>
  <c r="X125" i="4"/>
  <c r="AC125" i="4" s="1"/>
  <c r="R126" i="28"/>
  <c r="Q126" i="28"/>
  <c r="S126" i="28"/>
  <c r="X124" i="29"/>
  <c r="W124" i="29"/>
  <c r="G124" i="29" s="1"/>
  <c r="V126" i="29"/>
  <c r="B125" i="29"/>
  <c r="H123" i="29"/>
  <c r="J123" i="29" s="1"/>
  <c r="J125" i="28"/>
  <c r="Y125" i="28" s="1"/>
  <c r="I125" i="28"/>
  <c r="K125" i="28" s="1"/>
  <c r="N125" i="28" s="1"/>
  <c r="AL123" i="4"/>
  <c r="AX124" i="4"/>
  <c r="B127" i="28"/>
  <c r="AC128" i="28"/>
  <c r="AD126" i="28"/>
  <c r="AE126" i="28"/>
  <c r="BC128" i="4"/>
  <c r="B127" i="4"/>
  <c r="A717" i="28"/>
  <c r="AL124" i="4" l="1"/>
  <c r="E125" i="29"/>
  <c r="K125" i="29"/>
  <c r="M125" i="29"/>
  <c r="T127" i="28"/>
  <c r="E127" i="28"/>
  <c r="AH124" i="4"/>
  <c r="AX125" i="4"/>
  <c r="H127" i="4"/>
  <c r="AO127" i="4"/>
  <c r="G127" i="4"/>
  <c r="J127" i="4"/>
  <c r="AF127" i="4"/>
  <c r="N127" i="4"/>
  <c r="I127" i="4"/>
  <c r="AS127" i="4"/>
  <c r="AR127" i="4"/>
  <c r="E127" i="4"/>
  <c r="AP127" i="4"/>
  <c r="AQ127" i="4"/>
  <c r="L127" i="4"/>
  <c r="AT127" i="4"/>
  <c r="M127" i="4"/>
  <c r="BC129" i="4"/>
  <c r="B128" i="4"/>
  <c r="I126" i="28"/>
  <c r="J126" i="28"/>
  <c r="AE127" i="28"/>
  <c r="AD127" i="28"/>
  <c r="AU123" i="4"/>
  <c r="AV123" i="4" s="1"/>
  <c r="AN123" i="4"/>
  <c r="L123" i="29"/>
  <c r="N123" i="29"/>
  <c r="O123" i="29" s="1"/>
  <c r="AG125" i="4"/>
  <c r="BE127" i="4"/>
  <c r="BD127" i="4"/>
  <c r="B128" i="28"/>
  <c r="AC129" i="28"/>
  <c r="R127" i="28"/>
  <c r="S127" i="28"/>
  <c r="Q127" i="28"/>
  <c r="U125" i="28"/>
  <c r="V125" i="28" s="1"/>
  <c r="X125" i="28" s="1"/>
  <c r="P125" i="28"/>
  <c r="W125" i="29"/>
  <c r="G125" i="29" s="1"/>
  <c r="X125" i="29"/>
  <c r="V127" i="29"/>
  <c r="B126" i="29"/>
  <c r="H124" i="29"/>
  <c r="J124" i="29" s="1"/>
  <c r="AM126" i="4"/>
  <c r="U126" i="4"/>
  <c r="R126" i="4"/>
  <c r="Z126" i="4" s="1"/>
  <c r="W126" i="4"/>
  <c r="AB126" i="4" s="1"/>
  <c r="V126" i="4"/>
  <c r="AW126" i="4" s="1"/>
  <c r="T126" i="4"/>
  <c r="S126" i="4"/>
  <c r="AA126" i="4" s="1"/>
  <c r="Y126" i="4"/>
  <c r="AD126" i="4" s="1"/>
  <c r="X126" i="4"/>
  <c r="AC126" i="4" s="1"/>
  <c r="AN124" i="4"/>
  <c r="AU124" i="4"/>
  <c r="AV124" i="4" s="1"/>
  <c r="Z125" i="28"/>
  <c r="A718" i="28"/>
  <c r="K126" i="29" l="1"/>
  <c r="M126" i="29"/>
  <c r="E126" i="29"/>
  <c r="T128" i="28"/>
  <c r="E128" i="28"/>
  <c r="AX126" i="4"/>
  <c r="AM127" i="4"/>
  <c r="AH125" i="4"/>
  <c r="L124" i="29"/>
  <c r="N124" i="29"/>
  <c r="O124" i="29" s="1"/>
  <c r="X126" i="29"/>
  <c r="W126" i="29"/>
  <c r="G126" i="29" s="1"/>
  <c r="AC130" i="28"/>
  <c r="B129" i="28"/>
  <c r="AE128" i="28"/>
  <c r="AD128" i="28"/>
  <c r="AL125" i="4"/>
  <c r="H125" i="29"/>
  <c r="J125" i="29" s="1"/>
  <c r="J127" i="28"/>
  <c r="I127" i="28"/>
  <c r="AR128" i="4"/>
  <c r="I128" i="4"/>
  <c r="N128" i="4"/>
  <c r="AF128" i="4"/>
  <c r="AT128" i="4"/>
  <c r="H128" i="4"/>
  <c r="AP128" i="4"/>
  <c r="AO128" i="4"/>
  <c r="G128" i="4"/>
  <c r="AS128" i="4"/>
  <c r="L128" i="4"/>
  <c r="M128" i="4"/>
  <c r="AQ128" i="4"/>
  <c r="E128" i="4"/>
  <c r="J128" i="4"/>
  <c r="BD128" i="4"/>
  <c r="BE128" i="4"/>
  <c r="AG126" i="4"/>
  <c r="AL126" i="4" s="1"/>
  <c r="V128" i="29"/>
  <c r="B127" i="29"/>
  <c r="Q128" i="28"/>
  <c r="R128" i="28"/>
  <c r="S128" i="28"/>
  <c r="R127" i="4"/>
  <c r="Z127" i="4" s="1"/>
  <c r="V127" i="4"/>
  <c r="AW127" i="4" s="1"/>
  <c r="T127" i="4"/>
  <c r="U127" i="4"/>
  <c r="Y127" i="4"/>
  <c r="AD127" i="4" s="1"/>
  <c r="W127" i="4"/>
  <c r="AB127" i="4" s="1"/>
  <c r="S127" i="4"/>
  <c r="AA127" i="4" s="1"/>
  <c r="X127" i="4"/>
  <c r="AC127" i="4" s="1"/>
  <c r="B129" i="4"/>
  <c r="BC130" i="4"/>
  <c r="A719" i="28"/>
  <c r="M127" i="29" l="1"/>
  <c r="E127" i="29"/>
  <c r="K127" i="29"/>
  <c r="E129" i="28"/>
  <c r="T129" i="28"/>
  <c r="H126" i="29"/>
  <c r="J126" i="29" s="1"/>
  <c r="AX127" i="4"/>
  <c r="AG127" i="4"/>
  <c r="AH126" i="4"/>
  <c r="AN126" i="4"/>
  <c r="AU126" i="4"/>
  <c r="AV126" i="4" s="1"/>
  <c r="B130" i="4"/>
  <c r="BC131" i="4"/>
  <c r="BE129" i="4"/>
  <c r="BD129" i="4"/>
  <c r="AF129" i="4"/>
  <c r="L129" i="4"/>
  <c r="I129" i="4"/>
  <c r="AR129" i="4"/>
  <c r="AT129" i="4"/>
  <c r="J129" i="4"/>
  <c r="H129" i="4"/>
  <c r="AP129" i="4"/>
  <c r="N129" i="4"/>
  <c r="AO129" i="4"/>
  <c r="M129" i="4"/>
  <c r="AS129" i="4"/>
  <c r="E129" i="4"/>
  <c r="AQ129" i="4"/>
  <c r="G129" i="4"/>
  <c r="W127" i="29"/>
  <c r="G127" i="29" s="1"/>
  <c r="X127" i="29"/>
  <c r="B128" i="29"/>
  <c r="V129" i="29"/>
  <c r="V128" i="4"/>
  <c r="AW128" i="4" s="1"/>
  <c r="X128" i="4"/>
  <c r="AC128" i="4" s="1"/>
  <c r="Y128" i="4"/>
  <c r="AD128" i="4" s="1"/>
  <c r="W128" i="4"/>
  <c r="AB128" i="4" s="1"/>
  <c r="R128" i="4"/>
  <c r="Z128" i="4" s="1"/>
  <c r="U128" i="4"/>
  <c r="S128" i="4"/>
  <c r="AA128" i="4" s="1"/>
  <c r="T128" i="4"/>
  <c r="AM128" i="4"/>
  <c r="L125" i="29"/>
  <c r="N125" i="29"/>
  <c r="O125" i="29" s="1"/>
  <c r="J128" i="28"/>
  <c r="I128" i="28"/>
  <c r="R129" i="28"/>
  <c r="S129" i="28"/>
  <c r="Q129" i="28"/>
  <c r="AD129" i="28"/>
  <c r="AE129" i="28"/>
  <c r="AL127" i="4"/>
  <c r="AN125" i="4"/>
  <c r="AU125" i="4"/>
  <c r="AV125" i="4" s="1"/>
  <c r="B130" i="28"/>
  <c r="AC131" i="28"/>
  <c r="A720" i="28"/>
  <c r="M128" i="29" l="1"/>
  <c r="K128" i="29"/>
  <c r="E128" i="29"/>
  <c r="E130" i="28"/>
  <c r="T130" i="28"/>
  <c r="AX128" i="4"/>
  <c r="L126" i="29"/>
  <c r="N126" i="29"/>
  <c r="O126" i="29" s="1"/>
  <c r="AU127" i="4"/>
  <c r="AV127" i="4" s="1"/>
  <c r="AN127" i="4"/>
  <c r="AC132" i="28"/>
  <c r="B131" i="28"/>
  <c r="AD130" i="28"/>
  <c r="AE130" i="28"/>
  <c r="H127" i="29"/>
  <c r="J127" i="29" s="1"/>
  <c r="AG128" i="4"/>
  <c r="AL128" i="4" s="1"/>
  <c r="V130" i="29"/>
  <c r="B129" i="29"/>
  <c r="AH127" i="4"/>
  <c r="S129" i="4"/>
  <c r="AA129" i="4" s="1"/>
  <c r="R129" i="4"/>
  <c r="Z129" i="4" s="1"/>
  <c r="V129" i="4"/>
  <c r="AW129" i="4" s="1"/>
  <c r="W129" i="4"/>
  <c r="AB129" i="4" s="1"/>
  <c r="U129" i="4"/>
  <c r="T129" i="4"/>
  <c r="Y129" i="4"/>
  <c r="AD129" i="4" s="1"/>
  <c r="X129" i="4"/>
  <c r="AC129" i="4" s="1"/>
  <c r="BC132" i="4"/>
  <c r="B131" i="4"/>
  <c r="BE130" i="4"/>
  <c r="BD130" i="4"/>
  <c r="S130" i="28"/>
  <c r="R130" i="28"/>
  <c r="Q130" i="28"/>
  <c r="J129" i="28"/>
  <c r="I129" i="28"/>
  <c r="X128" i="29"/>
  <c r="W128" i="29"/>
  <c r="G128" i="29" s="1"/>
  <c r="AM129" i="4"/>
  <c r="H130" i="4"/>
  <c r="AT130" i="4"/>
  <c r="AF130" i="4"/>
  <c r="AR130" i="4"/>
  <c r="L130" i="4"/>
  <c r="M130" i="4"/>
  <c r="J130" i="4"/>
  <c r="AQ130" i="4"/>
  <c r="AS130" i="4"/>
  <c r="E130" i="4"/>
  <c r="G130" i="4"/>
  <c r="N130" i="4"/>
  <c r="AP130" i="4"/>
  <c r="I130" i="4"/>
  <c r="AO130" i="4"/>
  <c r="A721" i="28"/>
  <c r="E129" i="29" l="1"/>
  <c r="M129" i="29"/>
  <c r="K129" i="29"/>
  <c r="T131" i="28"/>
  <c r="E131" i="28"/>
  <c r="AH128" i="4"/>
  <c r="H128" i="29"/>
  <c r="J128" i="29" s="1"/>
  <c r="AU128" i="4"/>
  <c r="AV128" i="4" s="1"/>
  <c r="AN128" i="4"/>
  <c r="AM130" i="4"/>
  <c r="BE131" i="4"/>
  <c r="BD131" i="4"/>
  <c r="X129" i="29"/>
  <c r="W129" i="29"/>
  <c r="G129" i="29" s="1"/>
  <c r="V131" i="29"/>
  <c r="B130" i="29"/>
  <c r="L127" i="29"/>
  <c r="N127" i="29"/>
  <c r="O127" i="29" s="1"/>
  <c r="I130" i="28"/>
  <c r="J130" i="28"/>
  <c r="AD131" i="28"/>
  <c r="AE131" i="28"/>
  <c r="V130" i="4"/>
  <c r="AW130" i="4" s="1"/>
  <c r="Y130" i="4"/>
  <c r="AD130" i="4" s="1"/>
  <c r="X130" i="4"/>
  <c r="AC130" i="4" s="1"/>
  <c r="W130" i="4"/>
  <c r="AB130" i="4" s="1"/>
  <c r="T130" i="4"/>
  <c r="S130" i="4"/>
  <c r="AA130" i="4" s="1"/>
  <c r="U130" i="4"/>
  <c r="R130" i="4"/>
  <c r="Z130" i="4" s="1"/>
  <c r="AF131" i="4"/>
  <c r="AO131" i="4"/>
  <c r="I131" i="4"/>
  <c r="H131" i="4"/>
  <c r="AQ131" i="4"/>
  <c r="AP131" i="4"/>
  <c r="AR131" i="4"/>
  <c r="N131" i="4"/>
  <c r="M131" i="4"/>
  <c r="AT131" i="4"/>
  <c r="E131" i="4"/>
  <c r="L131" i="4"/>
  <c r="J131" i="4"/>
  <c r="AS131" i="4"/>
  <c r="G131" i="4"/>
  <c r="B132" i="4"/>
  <c r="BC133" i="4"/>
  <c r="AG129" i="4"/>
  <c r="AX129" i="4"/>
  <c r="Q131" i="28"/>
  <c r="R131" i="28"/>
  <c r="S131" i="28"/>
  <c r="B132" i="28"/>
  <c r="AC133" i="28"/>
  <c r="A722" i="28"/>
  <c r="K130" i="29" l="1"/>
  <c r="M130" i="29"/>
  <c r="E130" i="29"/>
  <c r="T132" i="28"/>
  <c r="E132" i="28"/>
  <c r="AL129" i="4"/>
  <c r="AN129" i="4" s="1"/>
  <c r="AH129" i="4"/>
  <c r="H129" i="29"/>
  <c r="J129" i="29" s="1"/>
  <c r="B133" i="4"/>
  <c r="BC134" i="4"/>
  <c r="AQ132" i="4"/>
  <c r="I132" i="4"/>
  <c r="AS132" i="4"/>
  <c r="M132" i="4"/>
  <c r="N132" i="4"/>
  <c r="H132" i="4"/>
  <c r="E132" i="4"/>
  <c r="AP132" i="4"/>
  <c r="G132" i="4"/>
  <c r="AF132" i="4"/>
  <c r="J132" i="4"/>
  <c r="AO132" i="4"/>
  <c r="L132" i="4"/>
  <c r="AR132" i="4"/>
  <c r="AT132" i="4"/>
  <c r="AX130" i="4"/>
  <c r="AG130" i="4"/>
  <c r="AL130" i="4" s="1"/>
  <c r="B131" i="29"/>
  <c r="V132" i="29"/>
  <c r="AE132" i="28"/>
  <c r="AD132" i="28"/>
  <c r="AC134" i="28"/>
  <c r="B133" i="28"/>
  <c r="R132" i="28"/>
  <c r="Q132" i="28"/>
  <c r="S132" i="28"/>
  <c r="BE132" i="4"/>
  <c r="BD132" i="4"/>
  <c r="AM131" i="4"/>
  <c r="J131" i="28"/>
  <c r="I131" i="28"/>
  <c r="W130" i="29"/>
  <c r="G130" i="29" s="1"/>
  <c r="X130" i="29"/>
  <c r="X131" i="4"/>
  <c r="AC131" i="4" s="1"/>
  <c r="Y131" i="4"/>
  <c r="AD131" i="4" s="1"/>
  <c r="T131" i="4"/>
  <c r="R131" i="4"/>
  <c r="Z131" i="4" s="1"/>
  <c r="S131" i="4"/>
  <c r="AA131" i="4" s="1"/>
  <c r="U131" i="4"/>
  <c r="V131" i="4"/>
  <c r="AW131" i="4" s="1"/>
  <c r="W131" i="4"/>
  <c r="AB131" i="4" s="1"/>
  <c r="L128" i="29"/>
  <c r="N128" i="29"/>
  <c r="O128" i="29" s="1"/>
  <c r="A723" i="28"/>
  <c r="M131" i="29" l="1"/>
  <c r="E131" i="29"/>
  <c r="K131" i="29"/>
  <c r="E133" i="28"/>
  <c r="T133" i="28"/>
  <c r="AU129" i="4"/>
  <c r="AV129" i="4" s="1"/>
  <c r="AU130" i="4"/>
  <c r="AV130" i="4" s="1"/>
  <c r="AN130" i="4"/>
  <c r="R133" i="28"/>
  <c r="S133" i="28"/>
  <c r="Q133" i="28"/>
  <c r="AE133" i="28"/>
  <c r="AD133" i="28"/>
  <c r="V133" i="29"/>
  <c r="B132" i="29"/>
  <c r="AH130" i="4"/>
  <c r="AM132" i="4"/>
  <c r="BD133" i="4"/>
  <c r="BE133" i="4"/>
  <c r="L133" i="4"/>
  <c r="N133" i="4"/>
  <c r="J133" i="4"/>
  <c r="AS133" i="4"/>
  <c r="I133" i="4"/>
  <c r="AP133" i="4"/>
  <c r="AT133" i="4"/>
  <c r="AQ133" i="4"/>
  <c r="AF133" i="4"/>
  <c r="M133" i="4"/>
  <c r="AR133" i="4"/>
  <c r="AO133" i="4"/>
  <c r="E133" i="4"/>
  <c r="F133" i="4" s="1"/>
  <c r="H133" i="4"/>
  <c r="G133" i="4"/>
  <c r="AX131" i="4"/>
  <c r="AG131" i="4"/>
  <c r="H130" i="29"/>
  <c r="J130" i="29" s="1"/>
  <c r="R132" i="4"/>
  <c r="Z132" i="4" s="1"/>
  <c r="S132" i="4"/>
  <c r="AA132" i="4" s="1"/>
  <c r="T132" i="4"/>
  <c r="U132" i="4"/>
  <c r="Y132" i="4"/>
  <c r="AD132" i="4" s="1"/>
  <c r="V132" i="4"/>
  <c r="AW132" i="4" s="1"/>
  <c r="X132" i="4"/>
  <c r="AC132" i="4" s="1"/>
  <c r="W132" i="4"/>
  <c r="AB132" i="4" s="1"/>
  <c r="B134" i="28"/>
  <c r="AC135" i="28"/>
  <c r="J132" i="28"/>
  <c r="I132" i="28"/>
  <c r="W131" i="29"/>
  <c r="G131" i="29" s="1"/>
  <c r="X131" i="29"/>
  <c r="B134" i="4"/>
  <c r="BC135" i="4"/>
  <c r="L129" i="29"/>
  <c r="N129" i="29"/>
  <c r="O129" i="29" s="1"/>
  <c r="A724" i="28"/>
  <c r="K132" i="29" l="1"/>
  <c r="E132" i="29"/>
  <c r="M132" i="29"/>
  <c r="T134" i="28"/>
  <c r="E134" i="28"/>
  <c r="AH131" i="4"/>
  <c r="V134" i="29"/>
  <c r="B133" i="29"/>
  <c r="B135" i="4"/>
  <c r="BC136" i="4"/>
  <c r="H131" i="29"/>
  <c r="J131" i="29" s="1"/>
  <c r="AC136" i="28"/>
  <c r="B135" i="28"/>
  <c r="S134" i="28"/>
  <c r="R134" i="28"/>
  <c r="Q134" i="28"/>
  <c r="AX132" i="4"/>
  <c r="N130" i="29"/>
  <c r="O130" i="29" s="1"/>
  <c r="L130" i="29"/>
  <c r="BD134" i="4"/>
  <c r="BE134" i="4"/>
  <c r="AQ134" i="4"/>
  <c r="N134" i="4"/>
  <c r="AF134" i="4"/>
  <c r="AS134" i="4"/>
  <c r="AT134" i="4"/>
  <c r="H134" i="4"/>
  <c r="AR134" i="4"/>
  <c r="J134" i="4"/>
  <c r="G134" i="4"/>
  <c r="L134" i="4"/>
  <c r="M134" i="4"/>
  <c r="I134" i="4"/>
  <c r="AP134" i="4"/>
  <c r="E134" i="4"/>
  <c r="AO134" i="4"/>
  <c r="AD134" i="28"/>
  <c r="AE134" i="28"/>
  <c r="AG132" i="4"/>
  <c r="AL131" i="4"/>
  <c r="AM133" i="4"/>
  <c r="X133" i="4"/>
  <c r="AC133" i="4" s="1"/>
  <c r="Y133" i="4"/>
  <c r="AD133" i="4" s="1"/>
  <c r="S133" i="4"/>
  <c r="AA133" i="4" s="1"/>
  <c r="U133" i="4"/>
  <c r="V133" i="4"/>
  <c r="AW133" i="4" s="1"/>
  <c r="W133" i="4"/>
  <c r="AB133" i="4" s="1"/>
  <c r="R133" i="4"/>
  <c r="Z133" i="4" s="1"/>
  <c r="T133" i="4"/>
  <c r="W132" i="29"/>
  <c r="G132" i="29" s="1"/>
  <c r="X132" i="29"/>
  <c r="J133" i="28"/>
  <c r="I133" i="28"/>
  <c r="A725" i="28"/>
  <c r="E133" i="29" l="1"/>
  <c r="M133" i="29"/>
  <c r="K133" i="29"/>
  <c r="T135" i="28"/>
  <c r="E135" i="28"/>
  <c r="AH132" i="4"/>
  <c r="AX133" i="4"/>
  <c r="J134" i="28"/>
  <c r="I134" i="28"/>
  <c r="X134" i="4"/>
  <c r="AC134" i="4" s="1"/>
  <c r="T134" i="4"/>
  <c r="R134" i="4"/>
  <c r="Z134" i="4" s="1"/>
  <c r="W134" i="4"/>
  <c r="AB134" i="4" s="1"/>
  <c r="U134" i="4"/>
  <c r="Y134" i="4"/>
  <c r="AD134" i="4" s="1"/>
  <c r="S134" i="4"/>
  <c r="AA134" i="4" s="1"/>
  <c r="V134" i="4"/>
  <c r="AW134" i="4" s="1"/>
  <c r="R135" i="28"/>
  <c r="Q135" i="28"/>
  <c r="S135" i="28"/>
  <c r="B136" i="28"/>
  <c r="AC137" i="28"/>
  <c r="B136" i="4"/>
  <c r="BC137" i="4"/>
  <c r="BE135" i="4"/>
  <c r="BD135" i="4"/>
  <c r="X133" i="29"/>
  <c r="W133" i="29"/>
  <c r="G133" i="29" s="1"/>
  <c r="H132" i="29"/>
  <c r="J132" i="29" s="1"/>
  <c r="AG133" i="4"/>
  <c r="AU131" i="4"/>
  <c r="AV131" i="4" s="1"/>
  <c r="AN131" i="4"/>
  <c r="AL132" i="4"/>
  <c r="AM134" i="4"/>
  <c r="AE135" i="28"/>
  <c r="AD135" i="28"/>
  <c r="L131" i="29"/>
  <c r="N131" i="29"/>
  <c r="O131" i="29" s="1"/>
  <c r="AR135" i="4"/>
  <c r="H135" i="4"/>
  <c r="E135" i="4"/>
  <c r="M135" i="4"/>
  <c r="N135" i="4"/>
  <c r="AS135" i="4"/>
  <c r="AT135" i="4"/>
  <c r="AO135" i="4"/>
  <c r="AP135" i="4"/>
  <c r="AQ135" i="4"/>
  <c r="J135" i="4"/>
  <c r="AF135" i="4"/>
  <c r="L135" i="4"/>
  <c r="G135" i="4"/>
  <c r="I135" i="4"/>
  <c r="B134" i="29"/>
  <c r="V135" i="29"/>
  <c r="AL133" i="4"/>
  <c r="A726" i="28"/>
  <c r="K134" i="29" l="1"/>
  <c r="E134" i="29"/>
  <c r="M134" i="29"/>
  <c r="T136" i="28"/>
  <c r="E136" i="28"/>
  <c r="J136" i="4"/>
  <c r="AT136" i="4"/>
  <c r="AX134" i="4"/>
  <c r="AU133" i="4"/>
  <c r="AV133" i="4" s="1"/>
  <c r="AN133" i="4"/>
  <c r="V136" i="29"/>
  <c r="B135" i="29"/>
  <c r="W134" i="29"/>
  <c r="G134" i="29" s="1"/>
  <c r="X134" i="29"/>
  <c r="H133" i="29"/>
  <c r="J133" i="29" s="1"/>
  <c r="AU132" i="4"/>
  <c r="AV132" i="4" s="1"/>
  <c r="AN132" i="4"/>
  <c r="AH133" i="4"/>
  <c r="N132" i="29"/>
  <c r="O132" i="29" s="1"/>
  <c r="L132" i="29"/>
  <c r="BE136" i="4"/>
  <c r="BD136" i="4"/>
  <c r="AP136" i="4"/>
  <c r="N136" i="4"/>
  <c r="AO136" i="4"/>
  <c r="G136" i="4"/>
  <c r="AQ136" i="4"/>
  <c r="AF136" i="4"/>
  <c r="E136" i="4"/>
  <c r="M136" i="4"/>
  <c r="AR136" i="4"/>
  <c r="I136" i="4"/>
  <c r="H136" i="4"/>
  <c r="AS136" i="4"/>
  <c r="L136" i="4"/>
  <c r="AC138" i="28"/>
  <c r="B137" i="28"/>
  <c r="R136" i="28"/>
  <c r="S136" i="28"/>
  <c r="Q136" i="28"/>
  <c r="AG134" i="4"/>
  <c r="AM135" i="4"/>
  <c r="J135" i="28"/>
  <c r="I135" i="28"/>
  <c r="X135" i="4"/>
  <c r="AC135" i="4" s="1"/>
  <c r="R135" i="4"/>
  <c r="Z135" i="4" s="1"/>
  <c r="U135" i="4"/>
  <c r="W135" i="4"/>
  <c r="AB135" i="4" s="1"/>
  <c r="V135" i="4"/>
  <c r="AW135" i="4" s="1"/>
  <c r="T135" i="4"/>
  <c r="S135" i="4"/>
  <c r="AA135" i="4" s="1"/>
  <c r="Y135" i="4"/>
  <c r="AD135" i="4" s="1"/>
  <c r="B137" i="4"/>
  <c r="BC138" i="4"/>
  <c r="AE136" i="28"/>
  <c r="AD136" i="28"/>
  <c r="A727" i="28"/>
  <c r="M135" i="29" l="1"/>
  <c r="K135" i="29"/>
  <c r="E135" i="29"/>
  <c r="E137" i="28"/>
  <c r="T137" i="28"/>
  <c r="AT137" i="4"/>
  <c r="J137" i="4"/>
  <c r="AX135" i="4"/>
  <c r="AL134" i="4"/>
  <c r="AU134" i="4" s="1"/>
  <c r="AV134" i="4" s="1"/>
  <c r="AH134" i="4"/>
  <c r="H134" i="29"/>
  <c r="J134" i="29" s="1"/>
  <c r="J136" i="28"/>
  <c r="I136" i="28"/>
  <c r="BE137" i="4"/>
  <c r="BD137" i="4"/>
  <c r="Q137" i="28"/>
  <c r="S137" i="28"/>
  <c r="R137" i="28"/>
  <c r="AC139" i="28"/>
  <c r="B138" i="28"/>
  <c r="N133" i="29"/>
  <c r="O133" i="29" s="1"/>
  <c r="L133" i="29"/>
  <c r="B138" i="4"/>
  <c r="BC139" i="4"/>
  <c r="AP137" i="4"/>
  <c r="AS137" i="4"/>
  <c r="I137" i="4"/>
  <c r="L137" i="4"/>
  <c r="H137" i="4"/>
  <c r="AO137" i="4"/>
  <c r="AR137" i="4"/>
  <c r="E137" i="4"/>
  <c r="G137" i="4"/>
  <c r="N137" i="4"/>
  <c r="AQ137" i="4"/>
  <c r="AF137" i="4"/>
  <c r="M137" i="4"/>
  <c r="AG135" i="4"/>
  <c r="AH135" i="4" s="1"/>
  <c r="AE137" i="28"/>
  <c r="AD137" i="28"/>
  <c r="AM136" i="4"/>
  <c r="S136" i="4"/>
  <c r="AA136" i="4" s="1"/>
  <c r="R136" i="4"/>
  <c r="Z136" i="4" s="1"/>
  <c r="T136" i="4"/>
  <c r="X136" i="4"/>
  <c r="AC136" i="4" s="1"/>
  <c r="Y136" i="4"/>
  <c r="AD136" i="4" s="1"/>
  <c r="W136" i="4"/>
  <c r="AB136" i="4" s="1"/>
  <c r="V136" i="4"/>
  <c r="AW136" i="4" s="1"/>
  <c r="U136" i="4"/>
  <c r="W135" i="29"/>
  <c r="G135" i="29" s="1"/>
  <c r="X135" i="29"/>
  <c r="B136" i="29"/>
  <c r="V137" i="29"/>
  <c r="A728" i="28"/>
  <c r="E136" i="29" l="1"/>
  <c r="M136" i="29"/>
  <c r="K136" i="29"/>
  <c r="E138" i="28"/>
  <c r="T138" i="28"/>
  <c r="AN134" i="4"/>
  <c r="AL135" i="4"/>
  <c r="AU135" i="4" s="1"/>
  <c r="AV135" i="4" s="1"/>
  <c r="V138" i="29"/>
  <c r="B137" i="29"/>
  <c r="N134" i="29"/>
  <c r="O134" i="29" s="1"/>
  <c r="L134" i="29"/>
  <c r="AG136" i="4"/>
  <c r="AX136" i="4"/>
  <c r="AM137" i="4"/>
  <c r="BD138" i="4"/>
  <c r="BE138" i="4"/>
  <c r="AE138" i="28"/>
  <c r="AD138" i="28"/>
  <c r="W137" i="4"/>
  <c r="AB137" i="4" s="1"/>
  <c r="V137" i="4"/>
  <c r="AW137" i="4" s="1"/>
  <c r="U137" i="4"/>
  <c r="X137" i="4"/>
  <c r="AC137" i="4" s="1"/>
  <c r="S137" i="4"/>
  <c r="AA137" i="4" s="1"/>
  <c r="Y137" i="4"/>
  <c r="AD137" i="4" s="1"/>
  <c r="R137" i="4"/>
  <c r="Z137" i="4" s="1"/>
  <c r="T137" i="4"/>
  <c r="X136" i="29"/>
  <c r="W136" i="29"/>
  <c r="G136" i="29" s="1"/>
  <c r="J137" i="28"/>
  <c r="I137" i="28"/>
  <c r="BC140" i="4"/>
  <c r="B139" i="4"/>
  <c r="AF138" i="4"/>
  <c r="E138" i="4"/>
  <c r="AS138" i="4"/>
  <c r="G138" i="4"/>
  <c r="M138" i="4"/>
  <c r="AT138" i="4"/>
  <c r="AQ138" i="4"/>
  <c r="L138" i="4"/>
  <c r="I138" i="4"/>
  <c r="H138" i="4"/>
  <c r="AR138" i="4"/>
  <c r="AP138" i="4"/>
  <c r="N138" i="4"/>
  <c r="AO138" i="4"/>
  <c r="J138" i="4"/>
  <c r="H135" i="29"/>
  <c r="J135" i="29" s="1"/>
  <c r="R138" i="28"/>
  <c r="Q138" i="28"/>
  <c r="S138" i="28"/>
  <c r="AC140" i="28"/>
  <c r="B139" i="28"/>
  <c r="A729" i="28"/>
  <c r="K137" i="29" l="1"/>
  <c r="E137" i="29"/>
  <c r="M137" i="29"/>
  <c r="T139" i="28"/>
  <c r="E139" i="28"/>
  <c r="AL136" i="4"/>
  <c r="AU136" i="4" s="1"/>
  <c r="AV136" i="4" s="1"/>
  <c r="AN135" i="4"/>
  <c r="H136" i="29"/>
  <c r="J136" i="29" s="1"/>
  <c r="L135" i="29"/>
  <c r="N135" i="29"/>
  <c r="O135" i="29" s="1"/>
  <c r="AM138" i="4"/>
  <c r="H139" i="4"/>
  <c r="AQ139" i="4"/>
  <c r="AO139" i="4"/>
  <c r="E139" i="4"/>
  <c r="AT139" i="4"/>
  <c r="G139" i="4"/>
  <c r="N139" i="4"/>
  <c r="AF139" i="4"/>
  <c r="AR139" i="4"/>
  <c r="AS139" i="4"/>
  <c r="J139" i="4"/>
  <c r="I139" i="4"/>
  <c r="AP139" i="4"/>
  <c r="M139" i="4"/>
  <c r="L139" i="4"/>
  <c r="BD139" i="4"/>
  <c r="BE139" i="4"/>
  <c r="AG137" i="4"/>
  <c r="AE139" i="28"/>
  <c r="AD139" i="28"/>
  <c r="R139" i="28"/>
  <c r="Q139" i="28"/>
  <c r="S139" i="28"/>
  <c r="AC141" i="28"/>
  <c r="B140" i="28"/>
  <c r="B140" i="4"/>
  <c r="BC141" i="4"/>
  <c r="AX137" i="4"/>
  <c r="I138" i="28"/>
  <c r="J138" i="28"/>
  <c r="S138" i="4"/>
  <c r="AA138" i="4" s="1"/>
  <c r="X138" i="4"/>
  <c r="AC138" i="4" s="1"/>
  <c r="V138" i="4"/>
  <c r="AW138" i="4" s="1"/>
  <c r="R138" i="4"/>
  <c r="Z138" i="4" s="1"/>
  <c r="Y138" i="4"/>
  <c r="AD138" i="4" s="1"/>
  <c r="T138" i="4"/>
  <c r="W138" i="4"/>
  <c r="AB138" i="4" s="1"/>
  <c r="U138" i="4"/>
  <c r="AH136" i="4"/>
  <c r="X137" i="29"/>
  <c r="W137" i="29"/>
  <c r="G137" i="29" s="1"/>
  <c r="V139" i="29"/>
  <c r="B138" i="29"/>
  <c r="A730" i="28"/>
  <c r="AN136" i="4" l="1"/>
  <c r="M138" i="29"/>
  <c r="K138" i="29"/>
  <c r="E138" i="29"/>
  <c r="E140" i="28"/>
  <c r="T140" i="28"/>
  <c r="AH137" i="4"/>
  <c r="AL137" i="4"/>
  <c r="AU137" i="4" s="1"/>
  <c r="AV137" i="4" s="1"/>
  <c r="L136" i="29"/>
  <c r="N136" i="29"/>
  <c r="O136" i="29" s="1"/>
  <c r="AG138" i="4"/>
  <c r="AX138" i="4"/>
  <c r="I139" i="28"/>
  <c r="J139" i="28"/>
  <c r="X138" i="29"/>
  <c r="W138" i="29"/>
  <c r="G138" i="29" s="1"/>
  <c r="BC142" i="4"/>
  <c r="B141" i="4"/>
  <c r="AT140" i="4"/>
  <c r="L140" i="4"/>
  <c r="E140" i="4"/>
  <c r="I140" i="4"/>
  <c r="AF140" i="4"/>
  <c r="AR140" i="4"/>
  <c r="G140" i="4"/>
  <c r="H140" i="4"/>
  <c r="N140" i="4"/>
  <c r="AQ140" i="4"/>
  <c r="AP140" i="4"/>
  <c r="M140" i="4"/>
  <c r="J140" i="4"/>
  <c r="AO140" i="4"/>
  <c r="AS140" i="4"/>
  <c r="AE140" i="28"/>
  <c r="AD140" i="28"/>
  <c r="V140" i="29"/>
  <c r="B139" i="29"/>
  <c r="BD140" i="4"/>
  <c r="BE140" i="4"/>
  <c r="Q140" i="28"/>
  <c r="R140" i="28"/>
  <c r="S140" i="28"/>
  <c r="B141" i="28"/>
  <c r="AC142" i="28"/>
  <c r="H137" i="29"/>
  <c r="J137" i="29" s="1"/>
  <c r="S139" i="4"/>
  <c r="AA139" i="4" s="1"/>
  <c r="X139" i="4"/>
  <c r="AC139" i="4" s="1"/>
  <c r="W139" i="4"/>
  <c r="AB139" i="4" s="1"/>
  <c r="T139" i="4"/>
  <c r="U139" i="4"/>
  <c r="V139" i="4"/>
  <c r="AW139" i="4" s="1"/>
  <c r="R139" i="4"/>
  <c r="Z139" i="4" s="1"/>
  <c r="Y139" i="4"/>
  <c r="AD139" i="4" s="1"/>
  <c r="AM139" i="4"/>
  <c r="A731" i="28"/>
  <c r="M139" i="29" l="1"/>
  <c r="K139" i="29"/>
  <c r="E139" i="29"/>
  <c r="E141" i="28"/>
  <c r="T141" i="28"/>
  <c r="AH138" i="4"/>
  <c r="AN137" i="4"/>
  <c r="H138" i="29"/>
  <c r="J138" i="29" s="1"/>
  <c r="AG139" i="4"/>
  <c r="N137" i="29"/>
  <c r="O137" i="29" s="1"/>
  <c r="L137" i="29"/>
  <c r="AE141" i="28"/>
  <c r="AD141" i="28"/>
  <c r="X139" i="29"/>
  <c r="W139" i="29"/>
  <c r="G139" i="29" s="1"/>
  <c r="AM140" i="4"/>
  <c r="BD141" i="4"/>
  <c r="BE141" i="4"/>
  <c r="BC143" i="4"/>
  <c r="B142" i="4"/>
  <c r="AL138" i="4"/>
  <c r="AX139" i="4"/>
  <c r="B142" i="28"/>
  <c r="AC143" i="28"/>
  <c r="R141" i="28"/>
  <c r="S141" i="28"/>
  <c r="Q141" i="28"/>
  <c r="T140" i="4"/>
  <c r="W140" i="4"/>
  <c r="AB140" i="4" s="1"/>
  <c r="U140" i="4"/>
  <c r="X140" i="4"/>
  <c r="AC140" i="4" s="1"/>
  <c r="Y140" i="4"/>
  <c r="AD140" i="4" s="1"/>
  <c r="V140" i="4"/>
  <c r="AW140" i="4" s="1"/>
  <c r="S140" i="4"/>
  <c r="AA140" i="4" s="1"/>
  <c r="R140" i="4"/>
  <c r="Z140" i="4" s="1"/>
  <c r="V141" i="29"/>
  <c r="B140" i="29"/>
  <c r="I140" i="28"/>
  <c r="J140" i="28"/>
  <c r="M141" i="4"/>
  <c r="AS141" i="4"/>
  <c r="H141" i="4"/>
  <c r="AF141" i="4"/>
  <c r="E141" i="4"/>
  <c r="N141" i="4"/>
  <c r="I141" i="4"/>
  <c r="AT141" i="4"/>
  <c r="AP141" i="4"/>
  <c r="AQ141" i="4"/>
  <c r="G141" i="4"/>
  <c r="L141" i="4"/>
  <c r="AO141" i="4"/>
  <c r="J141" i="4"/>
  <c r="AR141" i="4"/>
  <c r="A732" i="28"/>
  <c r="E140" i="29" l="1"/>
  <c r="M140" i="29"/>
  <c r="K140" i="29"/>
  <c r="E142" i="28"/>
  <c r="T142" i="28"/>
  <c r="AL139" i="4"/>
  <c r="AN139" i="4" s="1"/>
  <c r="N138" i="29"/>
  <c r="O138" i="29" s="1"/>
  <c r="L138" i="29"/>
  <c r="AH139" i="4"/>
  <c r="X140" i="29"/>
  <c r="W140" i="29"/>
  <c r="G140" i="29" s="1"/>
  <c r="AX140" i="4"/>
  <c r="AG140" i="4"/>
  <c r="R142" i="28"/>
  <c r="S142" i="28"/>
  <c r="W142" i="28"/>
  <c r="Q142" i="28"/>
  <c r="BC144" i="4"/>
  <c r="B143" i="4"/>
  <c r="AM141" i="4"/>
  <c r="V142" i="29"/>
  <c r="B141" i="29"/>
  <c r="B143" i="28"/>
  <c r="AC144" i="28"/>
  <c r="AE142" i="28"/>
  <c r="AD142" i="28"/>
  <c r="AN138" i="4"/>
  <c r="AU138" i="4"/>
  <c r="AV138" i="4" s="1"/>
  <c r="N142" i="4"/>
  <c r="AQ142" i="4"/>
  <c r="J142" i="4"/>
  <c r="H142" i="4"/>
  <c r="E142" i="4"/>
  <c r="M142" i="4"/>
  <c r="AO142" i="4"/>
  <c r="L142" i="4"/>
  <c r="AF142" i="4"/>
  <c r="AS142" i="4"/>
  <c r="AR142" i="4"/>
  <c r="AP142" i="4"/>
  <c r="G142" i="4"/>
  <c r="AT142" i="4"/>
  <c r="I142" i="4"/>
  <c r="BD142" i="4"/>
  <c r="BE142" i="4"/>
  <c r="W141" i="4"/>
  <c r="AB141" i="4" s="1"/>
  <c r="V141" i="4"/>
  <c r="AW141" i="4" s="1"/>
  <c r="R141" i="4"/>
  <c r="Z141" i="4" s="1"/>
  <c r="Y141" i="4"/>
  <c r="AD141" i="4" s="1"/>
  <c r="T141" i="4"/>
  <c r="X141" i="4"/>
  <c r="AC141" i="4" s="1"/>
  <c r="S141" i="4"/>
  <c r="AA141" i="4" s="1"/>
  <c r="U141" i="4"/>
  <c r="H139" i="29"/>
  <c r="J139" i="29" s="1"/>
  <c r="I141" i="28"/>
  <c r="J141" i="28"/>
  <c r="A733" i="28"/>
  <c r="K141" i="29" l="1"/>
  <c r="E141" i="29"/>
  <c r="M141" i="29"/>
  <c r="T143" i="28"/>
  <c r="E143" i="28"/>
  <c r="AU139" i="4"/>
  <c r="AV139" i="4" s="1"/>
  <c r="AL140" i="4"/>
  <c r="AU140" i="4" s="1"/>
  <c r="AV140" i="4" s="1"/>
  <c r="AM142" i="4"/>
  <c r="AG141" i="4"/>
  <c r="N139" i="29"/>
  <c r="O139" i="29" s="1"/>
  <c r="L139" i="29"/>
  <c r="AX141" i="4"/>
  <c r="W142" i="4"/>
  <c r="AB142" i="4" s="1"/>
  <c r="R142" i="4"/>
  <c r="Z142" i="4" s="1"/>
  <c r="U142" i="4"/>
  <c r="V142" i="4"/>
  <c r="AW142" i="4" s="1"/>
  <c r="Y142" i="4"/>
  <c r="AD142" i="4" s="1"/>
  <c r="X142" i="4"/>
  <c r="AC142" i="4" s="1"/>
  <c r="T142" i="4"/>
  <c r="S142" i="4"/>
  <c r="AA142" i="4" s="1"/>
  <c r="AX142" i="4" s="1"/>
  <c r="I142" i="28"/>
  <c r="K142" i="28" s="1"/>
  <c r="J142" i="28"/>
  <c r="Y142" i="28" s="1"/>
  <c r="AC145" i="28"/>
  <c r="B144" i="28"/>
  <c r="AE143" i="28"/>
  <c r="AD143" i="28"/>
  <c r="W141" i="29"/>
  <c r="G141" i="29" s="1"/>
  <c r="X141" i="29"/>
  <c r="V143" i="29"/>
  <c r="B142" i="29"/>
  <c r="BE143" i="4"/>
  <c r="BD143" i="4"/>
  <c r="B144" i="4"/>
  <c r="BC145" i="4"/>
  <c r="S143" i="28"/>
  <c r="R143" i="28"/>
  <c r="Q143" i="28"/>
  <c r="I143" i="4"/>
  <c r="M143" i="4"/>
  <c r="AF143" i="4"/>
  <c r="AT143" i="4"/>
  <c r="E143" i="4"/>
  <c r="G143" i="4"/>
  <c r="AP143" i="4"/>
  <c r="AR143" i="4"/>
  <c r="N143" i="4"/>
  <c r="AO143" i="4"/>
  <c r="H143" i="4"/>
  <c r="AQ143" i="4"/>
  <c r="L143" i="4"/>
  <c r="J143" i="4"/>
  <c r="AS143" i="4"/>
  <c r="O142" i="28"/>
  <c r="AH140" i="4"/>
  <c r="H140" i="29"/>
  <c r="J140" i="29" s="1"/>
  <c r="A734" i="28"/>
  <c r="N142" i="28" l="1"/>
  <c r="U142" i="28" s="1"/>
  <c r="V142" i="28" s="1"/>
  <c r="X142" i="28" s="1"/>
  <c r="M142" i="29"/>
  <c r="K142" i="29"/>
  <c r="E142" i="29"/>
  <c r="E144" i="28"/>
  <c r="T144" i="28"/>
  <c r="AN140" i="4"/>
  <c r="AL141" i="4"/>
  <c r="AU141" i="4" s="1"/>
  <c r="AV141" i="4" s="1"/>
  <c r="AH141" i="4"/>
  <c r="H141" i="29"/>
  <c r="J141" i="29" s="1"/>
  <c r="N140" i="29"/>
  <c r="O140" i="29" s="1"/>
  <c r="L140" i="29"/>
  <c r="Z142" i="28"/>
  <c r="AM143" i="4"/>
  <c r="B145" i="4"/>
  <c r="BC146" i="4"/>
  <c r="BE144" i="4"/>
  <c r="BD144" i="4"/>
  <c r="X142" i="29"/>
  <c r="W142" i="29"/>
  <c r="G142" i="29" s="1"/>
  <c r="B143" i="29"/>
  <c r="V144" i="29"/>
  <c r="B145" i="28"/>
  <c r="AC146" i="28"/>
  <c r="G144" i="4"/>
  <c r="I144" i="4"/>
  <c r="N144" i="4"/>
  <c r="AF144" i="4"/>
  <c r="AR144" i="4"/>
  <c r="AP144" i="4"/>
  <c r="AS144" i="4"/>
  <c r="E144" i="4"/>
  <c r="AO144" i="4"/>
  <c r="AT144" i="4"/>
  <c r="L144" i="4"/>
  <c r="M144" i="4"/>
  <c r="J144" i="4"/>
  <c r="AQ144" i="4"/>
  <c r="H144" i="4"/>
  <c r="R143" i="4"/>
  <c r="Z143" i="4" s="1"/>
  <c r="V143" i="4"/>
  <c r="AW143" i="4" s="1"/>
  <c r="W143" i="4"/>
  <c r="AB143" i="4" s="1"/>
  <c r="S143" i="4"/>
  <c r="AA143" i="4" s="1"/>
  <c r="Y143" i="4"/>
  <c r="AD143" i="4" s="1"/>
  <c r="X143" i="4"/>
  <c r="AC143" i="4" s="1"/>
  <c r="U143" i="4"/>
  <c r="T143" i="4"/>
  <c r="J143" i="28"/>
  <c r="I143" i="28"/>
  <c r="S144" i="28"/>
  <c r="R144" i="28"/>
  <c r="Q144" i="28"/>
  <c r="AD144" i="28"/>
  <c r="AE144" i="28"/>
  <c r="AG142" i="4"/>
  <c r="A735" i="28"/>
  <c r="P142" i="28" l="1"/>
  <c r="M143" i="29"/>
  <c r="K143" i="29"/>
  <c r="E143" i="29"/>
  <c r="E145" i="28"/>
  <c r="T145" i="28"/>
  <c r="AN141" i="4"/>
  <c r="AX143" i="4"/>
  <c r="AL142" i="4"/>
  <c r="AN142" i="4" s="1"/>
  <c r="H142" i="29"/>
  <c r="J142" i="29" s="1"/>
  <c r="N142" i="29" s="1"/>
  <c r="O142" i="29" s="1"/>
  <c r="AH142" i="4"/>
  <c r="AG143" i="4"/>
  <c r="I144" i="28"/>
  <c r="J144" i="28"/>
  <c r="AD145" i="28"/>
  <c r="AE145" i="28"/>
  <c r="X143" i="29"/>
  <c r="W143" i="29"/>
  <c r="G143" i="29" s="1"/>
  <c r="U144" i="4"/>
  <c r="S144" i="4"/>
  <c r="AA144" i="4" s="1"/>
  <c r="W144" i="4"/>
  <c r="AB144" i="4" s="1"/>
  <c r="Y144" i="4"/>
  <c r="AD144" i="4" s="1"/>
  <c r="X144" i="4"/>
  <c r="AC144" i="4" s="1"/>
  <c r="V144" i="4"/>
  <c r="AW144" i="4" s="1"/>
  <c r="R144" i="4"/>
  <c r="Z144" i="4" s="1"/>
  <c r="T144" i="4"/>
  <c r="B146" i="4"/>
  <c r="BC147" i="4"/>
  <c r="AM144" i="4"/>
  <c r="AC147" i="28"/>
  <c r="B146" i="28"/>
  <c r="R145" i="28"/>
  <c r="S145" i="28"/>
  <c r="Q145" i="28"/>
  <c r="V145" i="29"/>
  <c r="B144" i="29"/>
  <c r="H145" i="4"/>
  <c r="G145" i="4"/>
  <c r="N145" i="4"/>
  <c r="AO145" i="4"/>
  <c r="AR145" i="4"/>
  <c r="E145" i="4"/>
  <c r="I145" i="4"/>
  <c r="L145" i="4"/>
  <c r="J145" i="4"/>
  <c r="AP145" i="4"/>
  <c r="AF145" i="4"/>
  <c r="AS145" i="4"/>
  <c r="AT145" i="4"/>
  <c r="M145" i="4"/>
  <c r="AQ145" i="4"/>
  <c r="BE145" i="4"/>
  <c r="BD145" i="4"/>
  <c r="N141" i="29"/>
  <c r="O141" i="29" s="1"/>
  <c r="L141" i="29"/>
  <c r="A736" i="28"/>
  <c r="E144" i="29" l="1"/>
  <c r="M144" i="29"/>
  <c r="K144" i="29"/>
  <c r="E146" i="28"/>
  <c r="T146" i="28"/>
  <c r="AU142" i="4"/>
  <c r="AV142" i="4" s="1"/>
  <c r="AH143" i="4"/>
  <c r="L142" i="29"/>
  <c r="AL143" i="4"/>
  <c r="AU143" i="4" s="1"/>
  <c r="AV143" i="4" s="1"/>
  <c r="V146" i="29"/>
  <c r="B145" i="29"/>
  <c r="Q146" i="28"/>
  <c r="R146" i="28"/>
  <c r="S146" i="28"/>
  <c r="B147" i="28"/>
  <c r="AC148" i="28"/>
  <c r="B147" i="4"/>
  <c r="BC148" i="4"/>
  <c r="AR146" i="4"/>
  <c r="N146" i="4"/>
  <c r="G146" i="4"/>
  <c r="E146" i="4"/>
  <c r="AT146" i="4"/>
  <c r="J146" i="4"/>
  <c r="AF146" i="4"/>
  <c r="I146" i="4"/>
  <c r="M146" i="4"/>
  <c r="AS146" i="4"/>
  <c r="H146" i="4"/>
  <c r="AP146" i="4"/>
  <c r="AQ146" i="4"/>
  <c r="AO146" i="4"/>
  <c r="L146" i="4"/>
  <c r="H143" i="29"/>
  <c r="J143" i="29" s="1"/>
  <c r="J145" i="28"/>
  <c r="I145" i="28"/>
  <c r="U145" i="4"/>
  <c r="S145" i="4"/>
  <c r="AA145" i="4" s="1"/>
  <c r="Y145" i="4"/>
  <c r="AD145" i="4" s="1"/>
  <c r="R145" i="4"/>
  <c r="Z145" i="4" s="1"/>
  <c r="T145" i="4"/>
  <c r="W145" i="4"/>
  <c r="AB145" i="4" s="1"/>
  <c r="V145" i="4"/>
  <c r="AW145" i="4" s="1"/>
  <c r="X145" i="4"/>
  <c r="AC145" i="4" s="1"/>
  <c r="AM145" i="4"/>
  <c r="W144" i="29"/>
  <c r="G144" i="29" s="1"/>
  <c r="X144" i="29"/>
  <c r="AD146" i="28"/>
  <c r="AE146" i="28"/>
  <c r="BE146" i="4"/>
  <c r="BD146" i="4"/>
  <c r="AG144" i="4"/>
  <c r="AX144" i="4"/>
  <c r="A737" i="28"/>
  <c r="AL144" i="4" l="1"/>
  <c r="AU144" i="4" s="1"/>
  <c r="AV144" i="4" s="1"/>
  <c r="K145" i="29"/>
  <c r="E145" i="29"/>
  <c r="M145" i="29"/>
  <c r="T147" i="28"/>
  <c r="E147" i="28"/>
  <c r="AN143" i="4"/>
  <c r="H144" i="29"/>
  <c r="J144" i="29" s="1"/>
  <c r="N144" i="29" s="1"/>
  <c r="O144" i="29" s="1"/>
  <c r="AG145" i="4"/>
  <c r="AH144" i="4"/>
  <c r="J146" i="28"/>
  <c r="I146" i="28"/>
  <c r="AX145" i="4"/>
  <c r="N143" i="29"/>
  <c r="O143" i="29" s="1"/>
  <c r="L143" i="29"/>
  <c r="AM146" i="4"/>
  <c r="BD147" i="4"/>
  <c r="BE147" i="4"/>
  <c r="AC149" i="28"/>
  <c r="B148" i="28"/>
  <c r="S147" i="28"/>
  <c r="R147" i="28"/>
  <c r="Q147" i="28"/>
  <c r="X145" i="29"/>
  <c r="W145" i="29"/>
  <c r="G145" i="29" s="1"/>
  <c r="U146" i="4"/>
  <c r="W146" i="4"/>
  <c r="AB146" i="4" s="1"/>
  <c r="X146" i="4"/>
  <c r="AC146" i="4" s="1"/>
  <c r="R146" i="4"/>
  <c r="Z146" i="4" s="1"/>
  <c r="S146" i="4"/>
  <c r="AA146" i="4" s="1"/>
  <c r="Y146" i="4"/>
  <c r="AD146" i="4" s="1"/>
  <c r="V146" i="4"/>
  <c r="AW146" i="4" s="1"/>
  <c r="T146" i="4"/>
  <c r="BC149" i="4"/>
  <c r="B148" i="4"/>
  <c r="AS147" i="4"/>
  <c r="N147" i="4"/>
  <c r="AQ147" i="4"/>
  <c r="I147" i="4"/>
  <c r="G147" i="4"/>
  <c r="AT147" i="4"/>
  <c r="J147" i="4"/>
  <c r="L147" i="4"/>
  <c r="M147" i="4"/>
  <c r="AR147" i="4"/>
  <c r="H147" i="4"/>
  <c r="AP147" i="4"/>
  <c r="E147" i="4"/>
  <c r="AF147" i="4"/>
  <c r="AO147" i="4"/>
  <c r="AD147" i="28"/>
  <c r="AE147" i="28"/>
  <c r="V147" i="29"/>
  <c r="B146" i="29"/>
  <c r="A738" i="28"/>
  <c r="AN144" i="4" l="1"/>
  <c r="M146" i="29"/>
  <c r="K146" i="29"/>
  <c r="E146" i="29"/>
  <c r="T148" i="28"/>
  <c r="E148" i="28"/>
  <c r="AL145" i="4"/>
  <c r="AU145" i="4" s="1"/>
  <c r="AV145" i="4" s="1"/>
  <c r="AG146" i="4"/>
  <c r="L144" i="29"/>
  <c r="J147" i="28"/>
  <c r="I147" i="28"/>
  <c r="BE148" i="4"/>
  <c r="BD148" i="4"/>
  <c r="BC150" i="4"/>
  <c r="B149" i="4"/>
  <c r="AX146" i="4"/>
  <c r="AC150" i="28"/>
  <c r="B149" i="28"/>
  <c r="AH145" i="4"/>
  <c r="W146" i="29"/>
  <c r="G146" i="29" s="1"/>
  <c r="X146" i="29"/>
  <c r="V148" i="29"/>
  <c r="B147" i="29"/>
  <c r="H145" i="29"/>
  <c r="J145" i="29" s="1"/>
  <c r="AM147" i="4"/>
  <c r="E148" i="4"/>
  <c r="AF148" i="4"/>
  <c r="L148" i="4"/>
  <c r="J148" i="4"/>
  <c r="H148" i="4"/>
  <c r="AT148" i="4"/>
  <c r="AR148" i="4"/>
  <c r="G148" i="4"/>
  <c r="AO148" i="4"/>
  <c r="N148" i="4"/>
  <c r="M148" i="4"/>
  <c r="AS148" i="4"/>
  <c r="AQ148" i="4"/>
  <c r="I148" i="4"/>
  <c r="AP148" i="4"/>
  <c r="R148" i="28"/>
  <c r="W148" i="28"/>
  <c r="Q148" i="28"/>
  <c r="S148" i="28"/>
  <c r="AE148" i="28"/>
  <c r="AD148" i="28"/>
  <c r="X147" i="4"/>
  <c r="AC147" i="4" s="1"/>
  <c r="W147" i="4"/>
  <c r="AB147" i="4" s="1"/>
  <c r="V147" i="4"/>
  <c r="AW147" i="4" s="1"/>
  <c r="Y147" i="4"/>
  <c r="AD147" i="4" s="1"/>
  <c r="U147" i="4"/>
  <c r="S147" i="4"/>
  <c r="AA147" i="4" s="1"/>
  <c r="T147" i="4"/>
  <c r="R147" i="4"/>
  <c r="Z147" i="4" s="1"/>
  <c r="A739" i="28"/>
  <c r="M147" i="29" l="1"/>
  <c r="K147" i="29"/>
  <c r="E147" i="29"/>
  <c r="E149" i="28"/>
  <c r="T149" i="28"/>
  <c r="AN145" i="4"/>
  <c r="AH146" i="4"/>
  <c r="AL146" i="4"/>
  <c r="AU146" i="4" s="1"/>
  <c r="AV146" i="4" s="1"/>
  <c r="AX147" i="4"/>
  <c r="AG147" i="4"/>
  <c r="J148" i="28"/>
  <c r="Y148" i="28" s="1"/>
  <c r="I148" i="28"/>
  <c r="K148" i="28" s="1"/>
  <c r="N148" i="28" s="1"/>
  <c r="AM148" i="4"/>
  <c r="N145" i="29"/>
  <c r="O145" i="29" s="1"/>
  <c r="L145" i="29"/>
  <c r="B148" i="29"/>
  <c r="V149" i="29"/>
  <c r="AC151" i="28"/>
  <c r="B150" i="28"/>
  <c r="BE149" i="4"/>
  <c r="BD149" i="4"/>
  <c r="Y148" i="4"/>
  <c r="AD148" i="4" s="1"/>
  <c r="S148" i="4"/>
  <c r="AA148" i="4" s="1"/>
  <c r="R148" i="4"/>
  <c r="Z148" i="4" s="1"/>
  <c r="X148" i="4"/>
  <c r="AC148" i="4" s="1"/>
  <c r="W148" i="4"/>
  <c r="AB148" i="4" s="1"/>
  <c r="T148" i="4"/>
  <c r="U148" i="4"/>
  <c r="V148" i="4"/>
  <c r="AW148" i="4" s="1"/>
  <c r="H146" i="29"/>
  <c r="J146" i="29" s="1"/>
  <c r="O148" i="28"/>
  <c r="X147" i="29"/>
  <c r="W147" i="29"/>
  <c r="G147" i="29" s="1"/>
  <c r="S149" i="28"/>
  <c r="Q149" i="28"/>
  <c r="W149" i="28"/>
  <c r="R149" i="28"/>
  <c r="AD149" i="28"/>
  <c r="AE149" i="28"/>
  <c r="H149" i="4"/>
  <c r="M149" i="4"/>
  <c r="AO149" i="4"/>
  <c r="J149" i="4"/>
  <c r="N149" i="4"/>
  <c r="E149" i="4"/>
  <c r="L149" i="4"/>
  <c r="AT149" i="4"/>
  <c r="AP149" i="4"/>
  <c r="G149" i="4"/>
  <c r="AS149" i="4"/>
  <c r="I149" i="4"/>
  <c r="AQ149" i="4"/>
  <c r="AF149" i="4"/>
  <c r="AR149" i="4"/>
  <c r="B150" i="4"/>
  <c r="BC151" i="4"/>
  <c r="A740" i="28"/>
  <c r="E148" i="29" l="1"/>
  <c r="M148" i="29"/>
  <c r="K148" i="29"/>
  <c r="T150" i="28"/>
  <c r="E150" i="28"/>
  <c r="M150" i="28"/>
  <c r="L150" i="28"/>
  <c r="AL147" i="4"/>
  <c r="AN147" i="4" s="1"/>
  <c r="AN146" i="4"/>
  <c r="BE150" i="4"/>
  <c r="BD150" i="4"/>
  <c r="AM149" i="4"/>
  <c r="H147" i="29"/>
  <c r="J147" i="29" s="1"/>
  <c r="L146" i="29"/>
  <c r="N146" i="29"/>
  <c r="O146" i="29" s="1"/>
  <c r="AX148" i="4"/>
  <c r="S149" i="4"/>
  <c r="AA149" i="4" s="1"/>
  <c r="W149" i="4"/>
  <c r="AB149" i="4" s="1"/>
  <c r="T149" i="4"/>
  <c r="R149" i="4"/>
  <c r="Z149" i="4" s="1"/>
  <c r="V149" i="4"/>
  <c r="AW149" i="4" s="1"/>
  <c r="U149" i="4"/>
  <c r="Y149" i="4"/>
  <c r="AD149" i="4" s="1"/>
  <c r="X149" i="4"/>
  <c r="AC149" i="4" s="1"/>
  <c r="Q150" i="28"/>
  <c r="W150" i="28"/>
  <c r="F150" i="28"/>
  <c r="R150" i="28"/>
  <c r="S150" i="28"/>
  <c r="AE150" i="28"/>
  <c r="AD150" i="28"/>
  <c r="X148" i="29"/>
  <c r="W148" i="29"/>
  <c r="G148" i="29" s="1"/>
  <c r="P148" i="28"/>
  <c r="U148" i="28"/>
  <c r="V148" i="28" s="1"/>
  <c r="X148" i="28" s="1"/>
  <c r="AH147" i="4"/>
  <c r="BC152" i="4"/>
  <c r="B151" i="4"/>
  <c r="I150" i="4"/>
  <c r="AT150" i="4"/>
  <c r="J150" i="4"/>
  <c r="AQ150" i="4"/>
  <c r="L150" i="4"/>
  <c r="H150" i="4"/>
  <c r="AR150" i="4"/>
  <c r="E150" i="4"/>
  <c r="F150" i="4" s="1"/>
  <c r="AO150" i="4"/>
  <c r="AP150" i="4"/>
  <c r="G150" i="4"/>
  <c r="N150" i="4"/>
  <c r="AF150" i="4"/>
  <c r="M150" i="4"/>
  <c r="AS150" i="4"/>
  <c r="J149" i="28"/>
  <c r="Y149" i="28" s="1"/>
  <c r="I149" i="28"/>
  <c r="K149" i="28" s="1"/>
  <c r="N149" i="28" s="1"/>
  <c r="O149" i="28"/>
  <c r="Z148" i="28"/>
  <c r="AG148" i="4"/>
  <c r="AL148" i="4" s="1"/>
  <c r="B151" i="28"/>
  <c r="AC152" i="28"/>
  <c r="V150" i="29"/>
  <c r="B149" i="29"/>
  <c r="A741" i="28"/>
  <c r="Q76" i="7" l="1"/>
  <c r="Q78" i="7" s="1"/>
  <c r="Q80" i="7" s="1"/>
  <c r="Q82" i="7" s="1"/>
  <c r="O146" i="7" s="1"/>
  <c r="K149" i="29"/>
  <c r="E149" i="29"/>
  <c r="M149" i="29"/>
  <c r="T151" i="28"/>
  <c r="E151" i="28"/>
  <c r="M151" i="28"/>
  <c r="L151" i="28"/>
  <c r="AU147" i="4"/>
  <c r="AV147" i="4" s="1"/>
  <c r="V151" i="29"/>
  <c r="B150" i="29"/>
  <c r="Q151" i="28"/>
  <c r="R151" i="28"/>
  <c r="S151" i="28"/>
  <c r="F151" i="28"/>
  <c r="W151" i="28"/>
  <c r="AN148" i="4"/>
  <c r="AU148" i="4"/>
  <c r="AV148" i="4" s="1"/>
  <c r="W149" i="29"/>
  <c r="G149" i="29" s="1"/>
  <c r="X149" i="29"/>
  <c r="AC153" i="28"/>
  <c r="B152" i="28"/>
  <c r="AD151" i="28"/>
  <c r="AE151" i="28"/>
  <c r="AH148" i="4"/>
  <c r="Z149" i="28"/>
  <c r="U149" i="28"/>
  <c r="V149" i="28" s="1"/>
  <c r="X149" i="28" s="1"/>
  <c r="P149" i="28"/>
  <c r="I151" i="4"/>
  <c r="J151" i="4"/>
  <c r="AS151" i="4"/>
  <c r="AQ151" i="4"/>
  <c r="AP151" i="4"/>
  <c r="M151" i="4"/>
  <c r="AF151" i="4"/>
  <c r="E151" i="4"/>
  <c r="H151" i="4"/>
  <c r="G151" i="4"/>
  <c r="AO151" i="4"/>
  <c r="AT151" i="4"/>
  <c r="L151" i="4"/>
  <c r="N151" i="4"/>
  <c r="AR151" i="4"/>
  <c r="H148" i="29"/>
  <c r="J148" i="29" s="1"/>
  <c r="AG149" i="4"/>
  <c r="AX149" i="4"/>
  <c r="AM150" i="4"/>
  <c r="BE151" i="4"/>
  <c r="BD151" i="4"/>
  <c r="BC153" i="4"/>
  <c r="B152" i="4"/>
  <c r="I150" i="28"/>
  <c r="K150" i="28" s="1"/>
  <c r="N150" i="28" s="1"/>
  <c r="J150" i="28"/>
  <c r="Y150" i="28" s="1"/>
  <c r="O150" i="28"/>
  <c r="N147" i="29"/>
  <c r="O147" i="29" s="1"/>
  <c r="L147" i="29"/>
  <c r="V150" i="4"/>
  <c r="AW150" i="4" s="1"/>
  <c r="W150" i="4"/>
  <c r="AB150" i="4" s="1"/>
  <c r="R150" i="4"/>
  <c r="Z150" i="4" s="1"/>
  <c r="S150" i="4"/>
  <c r="AA150" i="4" s="1"/>
  <c r="U150" i="4"/>
  <c r="T150" i="4"/>
  <c r="Y150" i="4"/>
  <c r="AD150" i="4" s="1"/>
  <c r="X150" i="4"/>
  <c r="AC150" i="4" s="1"/>
  <c r="A742" i="28"/>
  <c r="L106" i="7" l="1"/>
  <c r="M106" i="7" s="1"/>
  <c r="L92" i="7"/>
  <c r="M92" i="7" s="1"/>
  <c r="L109" i="7"/>
  <c r="M109" i="7" s="1"/>
  <c r="L99" i="7"/>
  <c r="M99" i="7" s="1"/>
  <c r="L140" i="7"/>
  <c r="M140" i="7" s="1"/>
  <c r="L145" i="7"/>
  <c r="M145" i="7" s="1"/>
  <c r="L81" i="7"/>
  <c r="M81" i="7" s="1"/>
  <c r="L103" i="7"/>
  <c r="M103" i="7" s="1"/>
  <c r="L91" i="7"/>
  <c r="M91" i="7" s="1"/>
  <c r="L107" i="7"/>
  <c r="M107" i="7" s="1"/>
  <c r="L105" i="7"/>
  <c r="M105" i="7" s="1"/>
  <c r="L115" i="7"/>
  <c r="M115" i="7" s="1"/>
  <c r="L129" i="7"/>
  <c r="M129" i="7" s="1"/>
  <c r="L93" i="7"/>
  <c r="M93" i="7" s="1"/>
  <c r="L89" i="7"/>
  <c r="M89" i="7" s="1"/>
  <c r="L131" i="7"/>
  <c r="M131" i="7" s="1"/>
  <c r="L142" i="7"/>
  <c r="M142" i="7" s="1"/>
  <c r="O127" i="7"/>
  <c r="O79" i="7"/>
  <c r="O143" i="7"/>
  <c r="O95" i="7"/>
  <c r="O96" i="7"/>
  <c r="O111" i="7"/>
  <c r="O132" i="7"/>
  <c r="O117" i="7"/>
  <c r="O100" i="7"/>
  <c r="O128" i="7"/>
  <c r="O81" i="7"/>
  <c r="O105" i="7"/>
  <c r="O125" i="7"/>
  <c r="O141" i="7"/>
  <c r="O90" i="7"/>
  <c r="O106" i="7"/>
  <c r="L77" i="7"/>
  <c r="M77" i="7" s="1"/>
  <c r="L127" i="7"/>
  <c r="M127" i="7" s="1"/>
  <c r="L119" i="7"/>
  <c r="M119" i="7" s="1"/>
  <c r="L84" i="7"/>
  <c r="M84" i="7" s="1"/>
  <c r="L116" i="7"/>
  <c r="M116" i="7" s="1"/>
  <c r="L117" i="7"/>
  <c r="M117" i="7" s="1"/>
  <c r="L130" i="7"/>
  <c r="M130" i="7" s="1"/>
  <c r="L121" i="7"/>
  <c r="M121" i="7" s="1"/>
  <c r="L96" i="7"/>
  <c r="M96" i="7" s="1"/>
  <c r="L102" i="7"/>
  <c r="M102" i="7" s="1"/>
  <c r="L138" i="7"/>
  <c r="M138" i="7" s="1"/>
  <c r="L108" i="7"/>
  <c r="M108" i="7" s="1"/>
  <c r="L95" i="7"/>
  <c r="M95" i="7" s="1"/>
  <c r="L133" i="7"/>
  <c r="M133" i="7" s="1"/>
  <c r="L94" i="7"/>
  <c r="M94" i="7" s="1"/>
  <c r="L104" i="7"/>
  <c r="M104" i="7" s="1"/>
  <c r="L144" i="7"/>
  <c r="M144" i="7" s="1"/>
  <c r="L112" i="7"/>
  <c r="M112" i="7" s="1"/>
  <c r="O83" i="7"/>
  <c r="O99" i="7"/>
  <c r="O115" i="7"/>
  <c r="O131" i="7"/>
  <c r="O76" i="7"/>
  <c r="O104" i="7"/>
  <c r="O77" i="7"/>
  <c r="O145" i="7"/>
  <c r="O108" i="7"/>
  <c r="O136" i="7"/>
  <c r="O85" i="7"/>
  <c r="O109" i="7"/>
  <c r="O129" i="7"/>
  <c r="O78" i="7"/>
  <c r="O94" i="7"/>
  <c r="O110" i="7"/>
  <c r="L98" i="7"/>
  <c r="M98" i="7" s="1"/>
  <c r="L135" i="7"/>
  <c r="M135" i="7" s="1"/>
  <c r="L85" i="7"/>
  <c r="M85" i="7" s="1"/>
  <c r="L101" i="7"/>
  <c r="M101" i="7" s="1"/>
  <c r="L124" i="7"/>
  <c r="M124" i="7" s="1"/>
  <c r="L132" i="7"/>
  <c r="M132" i="7" s="1"/>
  <c r="L141" i="7"/>
  <c r="M141" i="7" s="1"/>
  <c r="L143" i="7"/>
  <c r="M143" i="7" s="1"/>
  <c r="L88" i="7"/>
  <c r="M88" i="7" s="1"/>
  <c r="L111" i="7"/>
  <c r="M111" i="7" s="1"/>
  <c r="L110" i="7"/>
  <c r="M110" i="7" s="1"/>
  <c r="L122" i="7"/>
  <c r="M122" i="7" s="1"/>
  <c r="L97" i="7"/>
  <c r="M97" i="7" s="1"/>
  <c r="L76" i="7"/>
  <c r="M76" i="7" s="1"/>
  <c r="L86" i="7"/>
  <c r="M86" i="7" s="1"/>
  <c r="L113" i="7"/>
  <c r="M113" i="7" s="1"/>
  <c r="L114" i="7"/>
  <c r="M114" i="7" s="1"/>
  <c r="L126" i="7"/>
  <c r="M126" i="7" s="1"/>
  <c r="O87" i="7"/>
  <c r="O103" i="7"/>
  <c r="O119" i="7"/>
  <c r="O135" i="7"/>
  <c r="O84" i="7"/>
  <c r="O116" i="7"/>
  <c r="O89" i="7"/>
  <c r="O80" i="7"/>
  <c r="O112" i="7"/>
  <c r="O140" i="7"/>
  <c r="O93" i="7"/>
  <c r="O113" i="7"/>
  <c r="O133" i="7"/>
  <c r="O82" i="7"/>
  <c r="O98" i="7"/>
  <c r="O114" i="7"/>
  <c r="L82" i="7"/>
  <c r="M82" i="7" s="1"/>
  <c r="L137" i="7"/>
  <c r="M137" i="7" s="1"/>
  <c r="L100" i="7"/>
  <c r="M100" i="7" s="1"/>
  <c r="L83" i="7"/>
  <c r="M83" i="7" s="1"/>
  <c r="L134" i="7"/>
  <c r="M134" i="7" s="1"/>
  <c r="L146" i="7"/>
  <c r="M146" i="7" s="1"/>
  <c r="L90" i="7"/>
  <c r="M90" i="7" s="1"/>
  <c r="L87" i="7"/>
  <c r="M87" i="7" s="1"/>
  <c r="L80" i="7"/>
  <c r="M80" i="7" s="1"/>
  <c r="L120" i="7"/>
  <c r="M120" i="7" s="1"/>
  <c r="L125" i="7"/>
  <c r="M125" i="7" s="1"/>
  <c r="L136" i="7"/>
  <c r="M136" i="7" s="1"/>
  <c r="L118" i="7"/>
  <c r="M118" i="7" s="1"/>
  <c r="L79" i="7"/>
  <c r="M79" i="7" s="1"/>
  <c r="L78" i="7"/>
  <c r="M78" i="7" s="1"/>
  <c r="L123" i="7"/>
  <c r="M123" i="7" s="1"/>
  <c r="L128" i="7"/>
  <c r="M128" i="7" s="1"/>
  <c r="L139" i="7"/>
  <c r="M139" i="7" s="1"/>
  <c r="O91" i="7"/>
  <c r="O107" i="7"/>
  <c r="O123" i="7"/>
  <c r="O139" i="7"/>
  <c r="O92" i="7"/>
  <c r="O124" i="7"/>
  <c r="O101" i="7"/>
  <c r="O88" i="7"/>
  <c r="O120" i="7"/>
  <c r="O144" i="7"/>
  <c r="O97" i="7"/>
  <c r="O121" i="7"/>
  <c r="O137" i="7"/>
  <c r="O86" i="7"/>
  <c r="O102" i="7"/>
  <c r="O126" i="7"/>
  <c r="O130" i="7"/>
  <c r="O118" i="7"/>
  <c r="O134" i="7"/>
  <c r="O122" i="7"/>
  <c r="O138" i="7"/>
  <c r="O142" i="7"/>
  <c r="M150" i="29"/>
  <c r="K150" i="29"/>
  <c r="E150" i="29"/>
  <c r="T152" i="28"/>
  <c r="E152" i="28"/>
  <c r="M152" i="28"/>
  <c r="L152" i="28"/>
  <c r="O151" i="28"/>
  <c r="AH149" i="4"/>
  <c r="AL149" i="4"/>
  <c r="AN149" i="4" s="1"/>
  <c r="AX150" i="4"/>
  <c r="Z150" i="28"/>
  <c r="M152" i="4"/>
  <c r="AQ152" i="4"/>
  <c r="AP152" i="4"/>
  <c r="AT152" i="4"/>
  <c r="I152" i="4"/>
  <c r="H152" i="4"/>
  <c r="L152" i="4"/>
  <c r="AS152" i="4"/>
  <c r="N152" i="4"/>
  <c r="E152" i="4"/>
  <c r="G152" i="4"/>
  <c r="AR152" i="4"/>
  <c r="AO152" i="4"/>
  <c r="AF152" i="4"/>
  <c r="J152" i="4"/>
  <c r="BC154" i="4"/>
  <c r="B153" i="4"/>
  <c r="N148" i="29"/>
  <c r="O148" i="29" s="1"/>
  <c r="L148" i="29"/>
  <c r="AM151" i="4"/>
  <c r="I151" i="28"/>
  <c r="K151" i="28" s="1"/>
  <c r="N151" i="28" s="1"/>
  <c r="J151" i="28"/>
  <c r="Y151" i="28" s="1"/>
  <c r="AE152" i="28"/>
  <c r="AD152" i="28"/>
  <c r="H149" i="29"/>
  <c r="J149" i="29" s="1"/>
  <c r="X150" i="29"/>
  <c r="W150" i="29"/>
  <c r="G150" i="29" s="1"/>
  <c r="V152" i="29"/>
  <c r="B151" i="29"/>
  <c r="AG150" i="4"/>
  <c r="U150" i="28"/>
  <c r="V150" i="28" s="1"/>
  <c r="X150" i="28" s="1"/>
  <c r="P150" i="28"/>
  <c r="BE152" i="4"/>
  <c r="BD152" i="4"/>
  <c r="V151" i="4"/>
  <c r="AW151" i="4" s="1"/>
  <c r="Y151" i="4"/>
  <c r="AD151" i="4" s="1"/>
  <c r="R151" i="4"/>
  <c r="Z151" i="4" s="1"/>
  <c r="T151" i="4"/>
  <c r="W151" i="4"/>
  <c r="AB151" i="4" s="1"/>
  <c r="X151" i="4"/>
  <c r="AC151" i="4" s="1"/>
  <c r="S151" i="4"/>
  <c r="U151" i="4"/>
  <c r="Q152" i="28"/>
  <c r="R152" i="28"/>
  <c r="S152" i="28"/>
  <c r="F152" i="28"/>
  <c r="W152" i="28"/>
  <c r="AC154" i="28"/>
  <c r="B153" i="28"/>
  <c r="A743" i="28"/>
  <c r="M148" i="7" l="1"/>
  <c r="M151" i="29"/>
  <c r="K151" i="29"/>
  <c r="E151" i="29"/>
  <c r="E153" i="28"/>
  <c r="T153" i="28"/>
  <c r="M153" i="28"/>
  <c r="L153" i="28"/>
  <c r="Z151" i="28"/>
  <c r="AU149" i="4"/>
  <c r="AV149" i="4" s="1"/>
  <c r="AA151" i="4"/>
  <c r="AX151" i="4" s="1"/>
  <c r="H150" i="29"/>
  <c r="J150" i="29" s="1"/>
  <c r="N150" i="29" s="1"/>
  <c r="O150" i="29" s="1"/>
  <c r="AH150" i="4"/>
  <c r="AC155" i="28"/>
  <c r="B154" i="28"/>
  <c r="R153" i="28"/>
  <c r="W153" i="28"/>
  <c r="Q153" i="28"/>
  <c r="F153" i="28"/>
  <c r="S153" i="28"/>
  <c r="AD153" i="28"/>
  <c r="AE153" i="28"/>
  <c r="AG151" i="4"/>
  <c r="AH151" i="4" s="1"/>
  <c r="U152" i="4"/>
  <c r="W152" i="4"/>
  <c r="AB152" i="4" s="1"/>
  <c r="T152" i="4"/>
  <c r="Y152" i="4"/>
  <c r="AD152" i="4" s="1"/>
  <c r="S152" i="4"/>
  <c r="AA152" i="4" s="1"/>
  <c r="V152" i="4"/>
  <c r="AW152" i="4" s="1"/>
  <c r="R152" i="4"/>
  <c r="Z152" i="4" s="1"/>
  <c r="X152" i="4"/>
  <c r="AC152" i="4" s="1"/>
  <c r="AL150" i="4"/>
  <c r="V153" i="29"/>
  <c r="B152" i="29"/>
  <c r="I152" i="28"/>
  <c r="K152" i="28" s="1"/>
  <c r="N152" i="28" s="1"/>
  <c r="J152" i="28"/>
  <c r="Y152" i="28" s="1"/>
  <c r="BD153" i="4"/>
  <c r="BE153" i="4"/>
  <c r="O152" i="28"/>
  <c r="W151" i="29"/>
  <c r="G151" i="29" s="1"/>
  <c r="X151" i="29"/>
  <c r="L149" i="29"/>
  <c r="N149" i="29"/>
  <c r="O149" i="29" s="1"/>
  <c r="P151" i="28"/>
  <c r="U151" i="28"/>
  <c r="V151" i="28" s="1"/>
  <c r="X151" i="28" s="1"/>
  <c r="AQ153" i="4"/>
  <c r="L153" i="4"/>
  <c r="AT153" i="4"/>
  <c r="E153" i="4"/>
  <c r="G153" i="4"/>
  <c r="AO153" i="4"/>
  <c r="AF153" i="4"/>
  <c r="AR153" i="4"/>
  <c r="I153" i="4"/>
  <c r="M153" i="4"/>
  <c r="AP153" i="4"/>
  <c r="AS153" i="4"/>
  <c r="H153" i="4"/>
  <c r="J153" i="4"/>
  <c r="N153" i="4"/>
  <c r="BC155" i="4"/>
  <c r="B154" i="4"/>
  <c r="AM152" i="4"/>
  <c r="A744" i="28"/>
  <c r="E152" i="29" l="1"/>
  <c r="M152" i="29"/>
  <c r="K152" i="29"/>
  <c r="E154" i="28"/>
  <c r="T154" i="28"/>
  <c r="M154" i="28"/>
  <c r="L154" i="28"/>
  <c r="AL151" i="4"/>
  <c r="AN151" i="4" s="1"/>
  <c r="L150" i="29"/>
  <c r="H151" i="29"/>
  <c r="J151" i="29" s="1"/>
  <c r="T153" i="4"/>
  <c r="Y153" i="4"/>
  <c r="AD153" i="4" s="1"/>
  <c r="S153" i="4"/>
  <c r="AA153" i="4" s="1"/>
  <c r="W153" i="4"/>
  <c r="AB153" i="4" s="1"/>
  <c r="X153" i="4"/>
  <c r="AC153" i="4" s="1"/>
  <c r="V153" i="4"/>
  <c r="AW153" i="4" s="1"/>
  <c r="U153" i="4"/>
  <c r="R153" i="4"/>
  <c r="Z153" i="4" s="1"/>
  <c r="P152" i="28"/>
  <c r="U152" i="28"/>
  <c r="V152" i="28" s="1"/>
  <c r="X152" i="28" s="1"/>
  <c r="X152" i="29"/>
  <c r="W152" i="29"/>
  <c r="G152" i="29" s="1"/>
  <c r="AN150" i="4"/>
  <c r="AU150" i="4"/>
  <c r="AV150" i="4" s="1"/>
  <c r="AG152" i="4"/>
  <c r="AH152" i="4" s="1"/>
  <c r="O153" i="28"/>
  <c r="AD154" i="28"/>
  <c r="AE154" i="28"/>
  <c r="BC156" i="4"/>
  <c r="B155" i="4"/>
  <c r="BD154" i="4"/>
  <c r="BE154" i="4"/>
  <c r="AS154" i="4"/>
  <c r="H154" i="4"/>
  <c r="N154" i="4"/>
  <c r="G154" i="4"/>
  <c r="J154" i="4"/>
  <c r="AT154" i="4"/>
  <c r="E154" i="4"/>
  <c r="AF154" i="4"/>
  <c r="I154" i="4"/>
  <c r="AR154" i="4"/>
  <c r="M154" i="4"/>
  <c r="AP154" i="4"/>
  <c r="AQ154" i="4"/>
  <c r="AO154" i="4"/>
  <c r="L154" i="4"/>
  <c r="AM153" i="4"/>
  <c r="Z152" i="28"/>
  <c r="V154" i="29"/>
  <c r="B153" i="29"/>
  <c r="AX152" i="4"/>
  <c r="I153" i="28"/>
  <c r="K153" i="28" s="1"/>
  <c r="N153" i="28" s="1"/>
  <c r="J153" i="28"/>
  <c r="Y153" i="28" s="1"/>
  <c r="F154" i="28"/>
  <c r="S154" i="28"/>
  <c r="Q154" i="28"/>
  <c r="W154" i="28"/>
  <c r="R154" i="28"/>
  <c r="AC156" i="28"/>
  <c r="B155" i="28"/>
  <c r="A745" i="28"/>
  <c r="K153" i="29" l="1"/>
  <c r="E153" i="29"/>
  <c r="M153" i="29"/>
  <c r="T155" i="28"/>
  <c r="E155" i="28"/>
  <c r="L155" i="28"/>
  <c r="M155" i="28"/>
  <c r="AU151" i="4"/>
  <c r="AV151" i="4" s="1"/>
  <c r="AL152" i="4"/>
  <c r="B156" i="28"/>
  <c r="AC157" i="28"/>
  <c r="S155" i="28"/>
  <c r="R155" i="28"/>
  <c r="F155" i="28"/>
  <c r="W155" i="28"/>
  <c r="Q155" i="28"/>
  <c r="AD155" i="28"/>
  <c r="AE155" i="28"/>
  <c r="O154" i="28"/>
  <c r="W153" i="29"/>
  <c r="G153" i="29" s="1"/>
  <c r="X153" i="29"/>
  <c r="AM154" i="4"/>
  <c r="V154" i="4"/>
  <c r="AW154" i="4" s="1"/>
  <c r="R154" i="4"/>
  <c r="Z154" i="4" s="1"/>
  <c r="X154" i="4"/>
  <c r="AC154" i="4" s="1"/>
  <c r="T154" i="4"/>
  <c r="W154" i="4"/>
  <c r="AB154" i="4" s="1"/>
  <c r="Y154" i="4"/>
  <c r="AD154" i="4" s="1"/>
  <c r="S154" i="4"/>
  <c r="U154" i="4"/>
  <c r="G155" i="4"/>
  <c r="AT155" i="4"/>
  <c r="AF155" i="4"/>
  <c r="N155" i="4"/>
  <c r="AO155" i="4"/>
  <c r="AS155" i="4"/>
  <c r="E155" i="4"/>
  <c r="AQ155" i="4"/>
  <c r="J155" i="4"/>
  <c r="AP155" i="4"/>
  <c r="L155" i="4"/>
  <c r="M155" i="4"/>
  <c r="H155" i="4"/>
  <c r="AR155" i="4"/>
  <c r="I155" i="4"/>
  <c r="J154" i="28"/>
  <c r="Y154" i="28" s="1"/>
  <c r="I154" i="28"/>
  <c r="K154" i="28" s="1"/>
  <c r="N154" i="28" s="1"/>
  <c r="AX153" i="4"/>
  <c r="P153" i="28"/>
  <c r="U153" i="28"/>
  <c r="V153" i="28" s="1"/>
  <c r="X153" i="28" s="1"/>
  <c r="V155" i="29"/>
  <c r="B154" i="29"/>
  <c r="BE155" i="4"/>
  <c r="BD155" i="4"/>
  <c r="BC157" i="4"/>
  <c r="B156" i="4"/>
  <c r="Z153" i="28"/>
  <c r="H152" i="29"/>
  <c r="J152" i="29" s="1"/>
  <c r="AG153" i="4"/>
  <c r="L151" i="29"/>
  <c r="N151" i="29"/>
  <c r="O151" i="29" s="1"/>
  <c r="A746" i="28"/>
  <c r="M154" i="29" l="1"/>
  <c r="K154" i="29"/>
  <c r="E154" i="29"/>
  <c r="T156" i="28"/>
  <c r="E156" i="28"/>
  <c r="L156" i="28"/>
  <c r="M156" i="28"/>
  <c r="AA154" i="4"/>
  <c r="AU152" i="4"/>
  <c r="AV152" i="4" s="1"/>
  <c r="AN152" i="4"/>
  <c r="AG154" i="4"/>
  <c r="AH153" i="4"/>
  <c r="BE156" i="4"/>
  <c r="BD156" i="4"/>
  <c r="U155" i="4"/>
  <c r="R155" i="4"/>
  <c r="Z155" i="4" s="1"/>
  <c r="V155" i="4"/>
  <c r="AW155" i="4" s="1"/>
  <c r="S155" i="4"/>
  <c r="W155" i="4"/>
  <c r="AB155" i="4" s="1"/>
  <c r="X155" i="4"/>
  <c r="AC155" i="4" s="1"/>
  <c r="Y155" i="4"/>
  <c r="AD155" i="4" s="1"/>
  <c r="T155" i="4"/>
  <c r="AM155" i="4"/>
  <c r="Z154" i="28"/>
  <c r="O155" i="28"/>
  <c r="AC158" i="28"/>
  <c r="B157" i="28"/>
  <c r="AE156" i="28"/>
  <c r="AD156" i="28"/>
  <c r="AL153" i="4"/>
  <c r="BC158" i="4"/>
  <c r="B157" i="4"/>
  <c r="X154" i="29"/>
  <c r="W154" i="29"/>
  <c r="G154" i="29" s="1"/>
  <c r="L152" i="29"/>
  <c r="N152" i="29"/>
  <c r="O152" i="29" s="1"/>
  <c r="AF156" i="4"/>
  <c r="M156" i="4"/>
  <c r="AS156" i="4"/>
  <c r="H156" i="4"/>
  <c r="AT156" i="4"/>
  <c r="AP156" i="4"/>
  <c r="G156" i="4"/>
  <c r="AO156" i="4"/>
  <c r="L156" i="4"/>
  <c r="N156" i="4"/>
  <c r="E156" i="4"/>
  <c r="AR156" i="4"/>
  <c r="I156" i="4"/>
  <c r="AQ156" i="4"/>
  <c r="J156" i="4"/>
  <c r="B155" i="29"/>
  <c r="V156" i="29"/>
  <c r="P154" i="28"/>
  <c r="U154" i="28"/>
  <c r="V154" i="28" s="1"/>
  <c r="X154" i="28" s="1"/>
  <c r="H153" i="29"/>
  <c r="J153" i="29" s="1"/>
  <c r="J155" i="28"/>
  <c r="Y155" i="28" s="1"/>
  <c r="I155" i="28"/>
  <c r="K155" i="28" s="1"/>
  <c r="N155" i="28" s="1"/>
  <c r="R156" i="28"/>
  <c r="Q156" i="28"/>
  <c r="W156" i="28"/>
  <c r="F156" i="28"/>
  <c r="S156" i="28"/>
  <c r="A747" i="28"/>
  <c r="M155" i="29" l="1"/>
  <c r="K155" i="29"/>
  <c r="E155" i="29"/>
  <c r="E157" i="28"/>
  <c r="T157" i="28"/>
  <c r="M157" i="28"/>
  <c r="L157" i="28"/>
  <c r="AX154" i="4"/>
  <c r="AA155" i="4"/>
  <c r="AL154" i="4"/>
  <c r="AH154" i="4"/>
  <c r="O156" i="28"/>
  <c r="V157" i="29"/>
  <c r="B156" i="29"/>
  <c r="H154" i="29"/>
  <c r="J154" i="29" s="1"/>
  <c r="BD157" i="4"/>
  <c r="BE157" i="4"/>
  <c r="AU153" i="4"/>
  <c r="AV153" i="4" s="1"/>
  <c r="AN153" i="4"/>
  <c r="B158" i="28"/>
  <c r="AC159" i="28"/>
  <c r="Z155" i="28"/>
  <c r="Y156" i="4"/>
  <c r="AD156" i="4" s="1"/>
  <c r="X156" i="4"/>
  <c r="AC156" i="4" s="1"/>
  <c r="T156" i="4"/>
  <c r="W156" i="4"/>
  <c r="AB156" i="4" s="1"/>
  <c r="R156" i="4"/>
  <c r="Z156" i="4" s="1"/>
  <c r="U156" i="4"/>
  <c r="V156" i="4"/>
  <c r="AW156" i="4" s="1"/>
  <c r="S156" i="4"/>
  <c r="AA156" i="4" s="1"/>
  <c r="P155" i="28"/>
  <c r="U155" i="28"/>
  <c r="V155" i="28" s="1"/>
  <c r="X155" i="28" s="1"/>
  <c r="N153" i="29"/>
  <c r="O153" i="29" s="1"/>
  <c r="L153" i="29"/>
  <c r="W155" i="29"/>
  <c r="G155" i="29" s="1"/>
  <c r="X155" i="29"/>
  <c r="AM156" i="4"/>
  <c r="I157" i="4"/>
  <c r="AQ157" i="4"/>
  <c r="L157" i="4"/>
  <c r="G157" i="4"/>
  <c r="AP157" i="4"/>
  <c r="H157" i="4"/>
  <c r="M157" i="4"/>
  <c r="AS157" i="4"/>
  <c r="E157" i="4"/>
  <c r="N157" i="4"/>
  <c r="J157" i="4"/>
  <c r="AO157" i="4"/>
  <c r="AT157" i="4"/>
  <c r="AR157" i="4"/>
  <c r="AF157" i="4"/>
  <c r="BC159" i="4"/>
  <c r="B158" i="4"/>
  <c r="I156" i="28"/>
  <c r="K156" i="28" s="1"/>
  <c r="N156" i="28" s="1"/>
  <c r="J156" i="28"/>
  <c r="Y156" i="28" s="1"/>
  <c r="S157" i="28"/>
  <c r="R157" i="28"/>
  <c r="Q157" i="28"/>
  <c r="W157" i="28"/>
  <c r="F157" i="28"/>
  <c r="AE157" i="28"/>
  <c r="AD157" i="28"/>
  <c r="AG155" i="4"/>
  <c r="A748" i="28"/>
  <c r="E156" i="29" l="1"/>
  <c r="M156" i="29"/>
  <c r="K156" i="29"/>
  <c r="E158" i="28"/>
  <c r="T158" i="28"/>
  <c r="M158" i="28"/>
  <c r="L158" i="28"/>
  <c r="AX155" i="4"/>
  <c r="AU154" i="4"/>
  <c r="AV154" i="4" s="1"/>
  <c r="AN154" i="4"/>
  <c r="AL155" i="4"/>
  <c r="AU155" i="4" s="1"/>
  <c r="AV155" i="4" s="1"/>
  <c r="H155" i="29"/>
  <c r="J155" i="29" s="1"/>
  <c r="O157" i="28"/>
  <c r="P156" i="28"/>
  <c r="U156" i="28"/>
  <c r="V156" i="28" s="1"/>
  <c r="X156" i="28" s="1"/>
  <c r="BE158" i="4"/>
  <c r="BD158" i="4"/>
  <c r="B159" i="4"/>
  <c r="BC160" i="4"/>
  <c r="AM157" i="4"/>
  <c r="AG156" i="4"/>
  <c r="AH155" i="4"/>
  <c r="AE158" i="28"/>
  <c r="AD158" i="28"/>
  <c r="S157" i="4"/>
  <c r="AA157" i="4" s="1"/>
  <c r="T157" i="4"/>
  <c r="Y157" i="4"/>
  <c r="AD157" i="4" s="1"/>
  <c r="V157" i="4"/>
  <c r="AW157" i="4" s="1"/>
  <c r="R157" i="4"/>
  <c r="Z157" i="4" s="1"/>
  <c r="U157" i="4"/>
  <c r="X157" i="4"/>
  <c r="AC157" i="4" s="1"/>
  <c r="W157" i="4"/>
  <c r="AB157" i="4" s="1"/>
  <c r="W156" i="29"/>
  <c r="G156" i="29" s="1"/>
  <c r="X156" i="29"/>
  <c r="B157" i="29"/>
  <c r="V158" i="29"/>
  <c r="Z156" i="28"/>
  <c r="J157" i="28"/>
  <c r="Y157" i="28" s="1"/>
  <c r="I157" i="28"/>
  <c r="K157" i="28" s="1"/>
  <c r="N157" i="28" s="1"/>
  <c r="L158" i="4"/>
  <c r="G158" i="4"/>
  <c r="I158" i="4"/>
  <c r="AS158" i="4"/>
  <c r="M158" i="4"/>
  <c r="AO158" i="4"/>
  <c r="H158" i="4"/>
  <c r="AF158" i="4"/>
  <c r="J158" i="4"/>
  <c r="AQ158" i="4"/>
  <c r="AP158" i="4"/>
  <c r="AR158" i="4"/>
  <c r="N158" i="4"/>
  <c r="AT158" i="4"/>
  <c r="E158" i="4"/>
  <c r="F158" i="4" s="1"/>
  <c r="AX156" i="4"/>
  <c r="AC160" i="28"/>
  <c r="B159" i="28"/>
  <c r="R158" i="28"/>
  <c r="W158" i="28"/>
  <c r="Q158" i="28"/>
  <c r="F158" i="28"/>
  <c r="S158" i="28"/>
  <c r="N154" i="29"/>
  <c r="O154" i="29" s="1"/>
  <c r="L154" i="29"/>
  <c r="AL156" i="4"/>
  <c r="A749" i="28"/>
  <c r="K157" i="29" l="1"/>
  <c r="E157" i="29"/>
  <c r="M157" i="29"/>
  <c r="T159" i="28"/>
  <c r="E159" i="28"/>
  <c r="M159" i="28"/>
  <c r="L159" i="28"/>
  <c r="AN155" i="4"/>
  <c r="Z157" i="28"/>
  <c r="AM158" i="4"/>
  <c r="O158" i="28"/>
  <c r="AX157" i="4"/>
  <c r="B160" i="28"/>
  <c r="AC161" i="28"/>
  <c r="P157" i="28"/>
  <c r="U157" i="28"/>
  <c r="V157" i="28" s="1"/>
  <c r="X157" i="28" s="1"/>
  <c r="V159" i="29"/>
  <c r="B158" i="29"/>
  <c r="AG157" i="4"/>
  <c r="AH157" i="4" s="1"/>
  <c r="BC161" i="4"/>
  <c r="B160" i="4"/>
  <c r="BE159" i="4"/>
  <c r="BD159" i="4"/>
  <c r="V158" i="4"/>
  <c r="AW158" i="4" s="1"/>
  <c r="W158" i="4"/>
  <c r="AB158" i="4" s="1"/>
  <c r="X158" i="4"/>
  <c r="AC158" i="4" s="1"/>
  <c r="Y158" i="4"/>
  <c r="AD158" i="4" s="1"/>
  <c r="R158" i="4"/>
  <c r="Z158" i="4" s="1"/>
  <c r="U158" i="4"/>
  <c r="S158" i="4"/>
  <c r="AA158" i="4" s="1"/>
  <c r="T158" i="4"/>
  <c r="H156" i="29"/>
  <c r="J156" i="29" s="1"/>
  <c r="AN156" i="4"/>
  <c r="AU156" i="4"/>
  <c r="AV156" i="4" s="1"/>
  <c r="W159" i="28"/>
  <c r="R159" i="28"/>
  <c r="S159" i="28"/>
  <c r="F159" i="28"/>
  <c r="Q159" i="28"/>
  <c r="AE159" i="28"/>
  <c r="AD159" i="28"/>
  <c r="AH156" i="4"/>
  <c r="X157" i="29"/>
  <c r="W157" i="29"/>
  <c r="G157" i="29" s="1"/>
  <c r="J158" i="28"/>
  <c r="Y158" i="28" s="1"/>
  <c r="I158" i="28"/>
  <c r="K158" i="28" s="1"/>
  <c r="N158" i="28" s="1"/>
  <c r="L155" i="29"/>
  <c r="N155" i="29"/>
  <c r="O155" i="29" s="1"/>
  <c r="E159" i="4"/>
  <c r="AP159" i="4"/>
  <c r="N159" i="4"/>
  <c r="AO159" i="4"/>
  <c r="M159" i="4"/>
  <c r="H159" i="4"/>
  <c r="G159" i="4"/>
  <c r="AQ159" i="4"/>
  <c r="AF159" i="4"/>
  <c r="AS159" i="4"/>
  <c r="J159" i="4"/>
  <c r="AR159" i="4"/>
  <c r="I159" i="4"/>
  <c r="L159" i="4"/>
  <c r="AT159" i="4"/>
  <c r="A750" i="28"/>
  <c r="E158" i="29" l="1"/>
  <c r="M158" i="29"/>
  <c r="K158" i="29"/>
  <c r="T160" i="28"/>
  <c r="E160" i="28"/>
  <c r="Z158" i="28"/>
  <c r="M160" i="28"/>
  <c r="L160" i="28"/>
  <c r="AX158" i="4"/>
  <c r="AM159" i="4"/>
  <c r="L156" i="29"/>
  <c r="N156" i="29"/>
  <c r="O156" i="29" s="1"/>
  <c r="AG158" i="4"/>
  <c r="AH158" i="4" s="1"/>
  <c r="W159" i="4"/>
  <c r="AB159" i="4" s="1"/>
  <c r="Y159" i="4"/>
  <c r="AD159" i="4" s="1"/>
  <c r="R159" i="4"/>
  <c r="Z159" i="4" s="1"/>
  <c r="T159" i="4"/>
  <c r="S159" i="4"/>
  <c r="AA159" i="4" s="1"/>
  <c r="U159" i="4"/>
  <c r="V159" i="4"/>
  <c r="AW159" i="4" s="1"/>
  <c r="X159" i="4"/>
  <c r="AC159" i="4" s="1"/>
  <c r="H160" i="4"/>
  <c r="AS160" i="4"/>
  <c r="I160" i="4"/>
  <c r="AP160" i="4"/>
  <c r="G160" i="4"/>
  <c r="AO160" i="4"/>
  <c r="N160" i="4"/>
  <c r="M160" i="4"/>
  <c r="E160" i="4"/>
  <c r="AQ160" i="4"/>
  <c r="AR160" i="4"/>
  <c r="AT160" i="4"/>
  <c r="J160" i="4"/>
  <c r="L160" i="4"/>
  <c r="AF160" i="4"/>
  <c r="AL157" i="4"/>
  <c r="B159" i="29"/>
  <c r="V160" i="29"/>
  <c r="AE160" i="28"/>
  <c r="AD160" i="28"/>
  <c r="P158" i="28"/>
  <c r="U158" i="28"/>
  <c r="V158" i="28" s="1"/>
  <c r="X158" i="28" s="1"/>
  <c r="I159" i="28"/>
  <c r="K159" i="28" s="1"/>
  <c r="N159" i="28" s="1"/>
  <c r="J159" i="28"/>
  <c r="Y159" i="28" s="1"/>
  <c r="O159" i="28"/>
  <c r="AL158" i="4"/>
  <c r="BD160" i="4"/>
  <c r="BE160" i="4"/>
  <c r="B161" i="4"/>
  <c r="BC162" i="4"/>
  <c r="H157" i="29"/>
  <c r="J157" i="29" s="1"/>
  <c r="W158" i="29"/>
  <c r="G158" i="29" s="1"/>
  <c r="X158" i="29"/>
  <c r="B161" i="28"/>
  <c r="AC162" i="28"/>
  <c r="S160" i="28"/>
  <c r="Q160" i="28"/>
  <c r="F160" i="28"/>
  <c r="W160" i="28"/>
  <c r="R160" i="28"/>
  <c r="A751" i="28"/>
  <c r="E159" i="29" l="1"/>
  <c r="K159" i="29"/>
  <c r="M159" i="29"/>
  <c r="E161" i="28"/>
  <c r="T161" i="28"/>
  <c r="M161" i="28"/>
  <c r="L161" i="28"/>
  <c r="O160" i="28"/>
  <c r="AM160" i="4"/>
  <c r="H158" i="29"/>
  <c r="J158" i="29" s="1"/>
  <c r="AC163" i="28"/>
  <c r="B162" i="28"/>
  <c r="AD161" i="28"/>
  <c r="AE161" i="28"/>
  <c r="L157" i="29"/>
  <c r="N157" i="29"/>
  <c r="O157" i="29" s="1"/>
  <c r="BE161" i="4"/>
  <c r="BD161" i="4"/>
  <c r="AU158" i="4"/>
  <c r="AV158" i="4" s="1"/>
  <c r="AN158" i="4"/>
  <c r="Z159" i="28"/>
  <c r="I160" i="28"/>
  <c r="K160" i="28" s="1"/>
  <c r="N160" i="28" s="1"/>
  <c r="J160" i="28"/>
  <c r="Y160" i="28" s="1"/>
  <c r="V161" i="29"/>
  <c r="B160" i="29"/>
  <c r="AU157" i="4"/>
  <c r="AV157" i="4" s="1"/>
  <c r="AN157" i="4"/>
  <c r="AX159" i="4"/>
  <c r="F161" i="28"/>
  <c r="S161" i="28"/>
  <c r="Q161" i="28"/>
  <c r="W161" i="28"/>
  <c r="R161" i="28"/>
  <c r="B162" i="4"/>
  <c r="BC163" i="4"/>
  <c r="L161" i="4"/>
  <c r="N161" i="4"/>
  <c r="AS161" i="4"/>
  <c r="E161" i="4"/>
  <c r="J161" i="4"/>
  <c r="AO161" i="4"/>
  <c r="AR161" i="4"/>
  <c r="AF161" i="4"/>
  <c r="G161" i="4"/>
  <c r="AQ161" i="4"/>
  <c r="M161" i="4"/>
  <c r="AT161" i="4"/>
  <c r="I161" i="4"/>
  <c r="H161" i="4"/>
  <c r="AP161" i="4"/>
  <c r="S160" i="4"/>
  <c r="AA160" i="4" s="1"/>
  <c r="W160" i="4"/>
  <c r="AB160" i="4" s="1"/>
  <c r="Y160" i="4"/>
  <c r="AD160" i="4" s="1"/>
  <c r="U160" i="4"/>
  <c r="R160" i="4"/>
  <c r="Z160" i="4" s="1"/>
  <c r="X160" i="4"/>
  <c r="AC160" i="4" s="1"/>
  <c r="V160" i="4"/>
  <c r="AW160" i="4" s="1"/>
  <c r="T160" i="4"/>
  <c r="P159" i="28"/>
  <c r="U159" i="28"/>
  <c r="V159" i="28" s="1"/>
  <c r="X159" i="28" s="1"/>
  <c r="X159" i="29"/>
  <c r="W159" i="29"/>
  <c r="G159" i="29" s="1"/>
  <c r="AG159" i="4"/>
  <c r="AH159" i="4" s="1"/>
  <c r="A752" i="28"/>
  <c r="K160" i="29" l="1"/>
  <c r="M160" i="29"/>
  <c r="E160" i="29"/>
  <c r="E162" i="28"/>
  <c r="T162" i="28"/>
  <c r="N158" i="29"/>
  <c r="O158" i="29" s="1"/>
  <c r="Z160" i="28"/>
  <c r="M162" i="28"/>
  <c r="L162" i="28"/>
  <c r="O161" i="28"/>
  <c r="AM161" i="4"/>
  <c r="L158" i="29"/>
  <c r="AG160" i="4"/>
  <c r="AX160" i="4"/>
  <c r="BE162" i="4"/>
  <c r="BD162" i="4"/>
  <c r="AL159" i="4"/>
  <c r="U160" i="28"/>
  <c r="V160" i="28" s="1"/>
  <c r="X160" i="28" s="1"/>
  <c r="P160" i="28"/>
  <c r="Y161" i="4"/>
  <c r="AD161" i="4" s="1"/>
  <c r="T161" i="4"/>
  <c r="R161" i="4"/>
  <c r="Z161" i="4" s="1"/>
  <c r="W161" i="4"/>
  <c r="AB161" i="4" s="1"/>
  <c r="U161" i="4"/>
  <c r="V161" i="4"/>
  <c r="AW161" i="4" s="1"/>
  <c r="X161" i="4"/>
  <c r="AC161" i="4" s="1"/>
  <c r="S161" i="4"/>
  <c r="AA161" i="4" s="1"/>
  <c r="I161" i="28"/>
  <c r="K161" i="28" s="1"/>
  <c r="N161" i="28" s="1"/>
  <c r="J161" i="28"/>
  <c r="Y161" i="28" s="1"/>
  <c r="AE162" i="28"/>
  <c r="AD162" i="28"/>
  <c r="BC164" i="4"/>
  <c r="B163" i="4"/>
  <c r="H162" i="4"/>
  <c r="G162" i="4"/>
  <c r="E162" i="4"/>
  <c r="F162" i="4" s="1"/>
  <c r="L162" i="4"/>
  <c r="AF162" i="4"/>
  <c r="AO162" i="4"/>
  <c r="AT162" i="4"/>
  <c r="AR162" i="4"/>
  <c r="I162" i="4"/>
  <c r="AP162" i="4"/>
  <c r="N162" i="4"/>
  <c r="M162" i="4"/>
  <c r="J162" i="4"/>
  <c r="AQ162" i="4"/>
  <c r="AS162" i="4"/>
  <c r="H159" i="29"/>
  <c r="J159" i="29" s="1"/>
  <c r="W160" i="29"/>
  <c r="G160" i="29" s="1"/>
  <c r="X160" i="29"/>
  <c r="V162" i="29"/>
  <c r="B161" i="29"/>
  <c r="R162" i="28"/>
  <c r="S162" i="28"/>
  <c r="Q162" i="28"/>
  <c r="F162" i="28"/>
  <c r="W162" i="28"/>
  <c r="AC164" i="28"/>
  <c r="B163" i="28"/>
  <c r="A753" i="28"/>
  <c r="M161" i="29" l="1"/>
  <c r="K161" i="29"/>
  <c r="E161" i="29"/>
  <c r="T163" i="28"/>
  <c r="E163" i="28"/>
  <c r="O162" i="28"/>
  <c r="Z161" i="28"/>
  <c r="L163" i="28"/>
  <c r="M163" i="28"/>
  <c r="AX161" i="4"/>
  <c r="AH160" i="4"/>
  <c r="R163" i="28"/>
  <c r="S163" i="28"/>
  <c r="Q163" i="28"/>
  <c r="F163" i="28"/>
  <c r="W163" i="28"/>
  <c r="AD163" i="28"/>
  <c r="AE163" i="28"/>
  <c r="B164" i="28"/>
  <c r="AC165" i="28"/>
  <c r="V163" i="29"/>
  <c r="B162" i="29"/>
  <c r="L159" i="29"/>
  <c r="N159" i="29"/>
  <c r="O159" i="29" s="1"/>
  <c r="AM162" i="4"/>
  <c r="BC165" i="4"/>
  <c r="B164" i="4"/>
  <c r="P161" i="28"/>
  <c r="U161" i="28"/>
  <c r="V161" i="28" s="1"/>
  <c r="X161" i="28" s="1"/>
  <c r="H160" i="29"/>
  <c r="J160" i="29" s="1"/>
  <c r="AU159" i="4"/>
  <c r="AV159" i="4" s="1"/>
  <c r="AN159" i="4"/>
  <c r="X162" i="4"/>
  <c r="AC162" i="4" s="1"/>
  <c r="W162" i="4"/>
  <c r="AB162" i="4" s="1"/>
  <c r="R162" i="4"/>
  <c r="Z162" i="4" s="1"/>
  <c r="T162" i="4"/>
  <c r="V162" i="4"/>
  <c r="AW162" i="4" s="1"/>
  <c r="Y162" i="4"/>
  <c r="AD162" i="4" s="1"/>
  <c r="S162" i="4"/>
  <c r="AA162" i="4" s="1"/>
  <c r="U162" i="4"/>
  <c r="AL160" i="4"/>
  <c r="X161" i="29"/>
  <c r="W161" i="29"/>
  <c r="G161" i="29" s="1"/>
  <c r="M163" i="4"/>
  <c r="L163" i="4"/>
  <c r="AT163" i="4"/>
  <c r="G163" i="4"/>
  <c r="H163" i="4"/>
  <c r="AR163" i="4"/>
  <c r="E163" i="4"/>
  <c r="J163" i="4"/>
  <c r="AF163" i="4"/>
  <c r="N163" i="4"/>
  <c r="AS163" i="4"/>
  <c r="AP163" i="4"/>
  <c r="AQ163" i="4"/>
  <c r="I163" i="4"/>
  <c r="AO163" i="4"/>
  <c r="BD163" i="4"/>
  <c r="BE163" i="4"/>
  <c r="J162" i="28"/>
  <c r="Y162" i="28" s="1"/>
  <c r="I162" i="28"/>
  <c r="K162" i="28" s="1"/>
  <c r="N162" i="28" s="1"/>
  <c r="AG161" i="4"/>
  <c r="AH161" i="4" s="1"/>
  <c r="A754" i="28"/>
  <c r="Z162" i="28" l="1"/>
  <c r="E162" i="29"/>
  <c r="K162" i="29"/>
  <c r="M162" i="29"/>
  <c r="T164" i="28"/>
  <c r="E164" i="28"/>
  <c r="M164" i="28"/>
  <c r="L164" i="28"/>
  <c r="O163" i="28"/>
  <c r="AX162" i="4"/>
  <c r="AM163" i="4"/>
  <c r="N160" i="29"/>
  <c r="O160" i="29" s="1"/>
  <c r="L160" i="29"/>
  <c r="BC166" i="4"/>
  <c r="B165" i="4"/>
  <c r="B163" i="29"/>
  <c r="V164" i="29"/>
  <c r="R164" i="28"/>
  <c r="S164" i="28"/>
  <c r="Q164" i="28"/>
  <c r="F164" i="28"/>
  <c r="W164" i="28"/>
  <c r="U162" i="28"/>
  <c r="V162" i="28" s="1"/>
  <c r="X162" i="28" s="1"/>
  <c r="P162" i="28"/>
  <c r="V163" i="4"/>
  <c r="AW163" i="4" s="1"/>
  <c r="S163" i="4"/>
  <c r="AA163" i="4" s="1"/>
  <c r="U163" i="4"/>
  <c r="W163" i="4"/>
  <c r="AB163" i="4" s="1"/>
  <c r="X163" i="4"/>
  <c r="AC163" i="4" s="1"/>
  <c r="R163" i="4"/>
  <c r="Z163" i="4" s="1"/>
  <c r="T163" i="4"/>
  <c r="Y163" i="4"/>
  <c r="AD163" i="4" s="1"/>
  <c r="AL161" i="4"/>
  <c r="H161" i="29"/>
  <c r="J161" i="29" s="1"/>
  <c r="AU160" i="4"/>
  <c r="AV160" i="4" s="1"/>
  <c r="AN160" i="4"/>
  <c r="AG162" i="4"/>
  <c r="J164" i="4"/>
  <c r="AQ164" i="4"/>
  <c r="G164" i="4"/>
  <c r="AT164" i="4"/>
  <c r="H164" i="4"/>
  <c r="L164" i="4"/>
  <c r="N164" i="4"/>
  <c r="AP164" i="4"/>
  <c r="AR164" i="4"/>
  <c r="I164" i="4"/>
  <c r="AO164" i="4"/>
  <c r="AS164" i="4"/>
  <c r="E164" i="4"/>
  <c r="M164" i="4"/>
  <c r="AF164" i="4"/>
  <c r="BE164" i="4"/>
  <c r="BD164" i="4"/>
  <c r="W162" i="29"/>
  <c r="G162" i="29" s="1"/>
  <c r="X162" i="29"/>
  <c r="AC166" i="28"/>
  <c r="B165" i="28"/>
  <c r="AE164" i="28"/>
  <c r="AD164" i="28"/>
  <c r="I163" i="28"/>
  <c r="K163" i="28" s="1"/>
  <c r="N163" i="28" s="1"/>
  <c r="J163" i="28"/>
  <c r="Y163" i="28" s="1"/>
  <c r="A755" i="28"/>
  <c r="Z163" i="28" l="1"/>
  <c r="E163" i="29"/>
  <c r="K163" i="29"/>
  <c r="M163" i="29"/>
  <c r="E165" i="28"/>
  <c r="T165" i="28"/>
  <c r="O164" i="28"/>
  <c r="M165" i="28"/>
  <c r="L165" i="28"/>
  <c r="AG163" i="4"/>
  <c r="AL162" i="4"/>
  <c r="AX163" i="4"/>
  <c r="U163" i="28"/>
  <c r="V163" i="28" s="1"/>
  <c r="X163" i="28" s="1"/>
  <c r="P163" i="28"/>
  <c r="B166" i="28"/>
  <c r="AC167" i="28"/>
  <c r="H162" i="29"/>
  <c r="J162" i="29" s="1"/>
  <c r="AU161" i="4"/>
  <c r="AV161" i="4" s="1"/>
  <c r="AN161" i="4"/>
  <c r="B166" i="4"/>
  <c r="BC167" i="4"/>
  <c r="J164" i="28"/>
  <c r="Y164" i="28" s="1"/>
  <c r="I164" i="28"/>
  <c r="K164" i="28" s="1"/>
  <c r="N164" i="28" s="1"/>
  <c r="S165" i="28"/>
  <c r="Q165" i="28"/>
  <c r="F165" i="28"/>
  <c r="W165" i="28"/>
  <c r="R165" i="28"/>
  <c r="AD165" i="28"/>
  <c r="AE165" i="28"/>
  <c r="X164" i="4"/>
  <c r="AC164" i="4" s="1"/>
  <c r="U164" i="4"/>
  <c r="R164" i="4"/>
  <c r="Z164" i="4" s="1"/>
  <c r="V164" i="4"/>
  <c r="AW164" i="4" s="1"/>
  <c r="W164" i="4"/>
  <c r="AB164" i="4" s="1"/>
  <c r="S164" i="4"/>
  <c r="AA164" i="4" s="1"/>
  <c r="T164" i="4"/>
  <c r="Y164" i="4"/>
  <c r="AD164" i="4" s="1"/>
  <c r="AM164" i="4"/>
  <c r="AH162" i="4"/>
  <c r="L161" i="29"/>
  <c r="N161" i="29"/>
  <c r="O161" i="29" s="1"/>
  <c r="B164" i="29"/>
  <c r="V165" i="29"/>
  <c r="X163" i="29"/>
  <c r="W163" i="29"/>
  <c r="G163" i="29" s="1"/>
  <c r="J165" i="4"/>
  <c r="M165" i="4"/>
  <c r="L165" i="4"/>
  <c r="H165" i="4"/>
  <c r="AO165" i="4"/>
  <c r="AQ165" i="4"/>
  <c r="I165" i="4"/>
  <c r="AF165" i="4"/>
  <c r="AT165" i="4"/>
  <c r="AR165" i="4"/>
  <c r="N165" i="4"/>
  <c r="G165" i="4"/>
  <c r="AP165" i="4"/>
  <c r="E165" i="4"/>
  <c r="AS165" i="4"/>
  <c r="BE165" i="4"/>
  <c r="BD165" i="4"/>
  <c r="A756" i="28"/>
  <c r="K164" i="29" l="1"/>
  <c r="M164" i="29"/>
  <c r="E164" i="29"/>
  <c r="Z164" i="28"/>
  <c r="E166" i="28"/>
  <c r="T166" i="28"/>
  <c r="M166" i="28"/>
  <c r="L166" i="28"/>
  <c r="AX164" i="4"/>
  <c r="AL163" i="4"/>
  <c r="AU163" i="4" s="1"/>
  <c r="AV163" i="4" s="1"/>
  <c r="AH163" i="4"/>
  <c r="AU162" i="4"/>
  <c r="AV162" i="4" s="1"/>
  <c r="AN162" i="4"/>
  <c r="W165" i="4"/>
  <c r="AB165" i="4" s="1"/>
  <c r="V165" i="4"/>
  <c r="AW165" i="4" s="1"/>
  <c r="Y165" i="4"/>
  <c r="AD165" i="4" s="1"/>
  <c r="X165" i="4"/>
  <c r="AC165" i="4" s="1"/>
  <c r="U165" i="4"/>
  <c r="S165" i="4"/>
  <c r="AA165" i="4" s="1"/>
  <c r="AX165" i="4" s="1"/>
  <c r="R165" i="4"/>
  <c r="Z165" i="4" s="1"/>
  <c r="T165" i="4"/>
  <c r="AM165" i="4"/>
  <c r="X164" i="29"/>
  <c r="W164" i="29"/>
  <c r="G164" i="29" s="1"/>
  <c r="I165" i="28"/>
  <c r="K165" i="28" s="1"/>
  <c r="N165" i="28" s="1"/>
  <c r="J165" i="28"/>
  <c r="Y165" i="28" s="1"/>
  <c r="BD166" i="4"/>
  <c r="BE166" i="4"/>
  <c r="BC168" i="4"/>
  <c r="B167" i="4"/>
  <c r="H163" i="29"/>
  <c r="J163" i="29" s="1"/>
  <c r="N162" i="29"/>
  <c r="O162" i="29" s="1"/>
  <c r="L162" i="29"/>
  <c r="W166" i="28"/>
  <c r="S166" i="28"/>
  <c r="F166" i="28"/>
  <c r="R166" i="28"/>
  <c r="Q166" i="28"/>
  <c r="V166" i="29"/>
  <c r="B165" i="29"/>
  <c r="AG164" i="4"/>
  <c r="O165" i="28"/>
  <c r="P164" i="28"/>
  <c r="U164" i="28"/>
  <c r="V164" i="28" s="1"/>
  <c r="X164" i="28" s="1"/>
  <c r="AF166" i="4"/>
  <c r="M166" i="4"/>
  <c r="H166" i="4"/>
  <c r="J166" i="4"/>
  <c r="I166" i="4"/>
  <c r="E166" i="4"/>
  <c r="AQ166" i="4"/>
  <c r="L166" i="4"/>
  <c r="N166" i="4"/>
  <c r="AR166" i="4"/>
  <c r="AS166" i="4"/>
  <c r="AT166" i="4"/>
  <c r="AO166" i="4"/>
  <c r="G166" i="4"/>
  <c r="AP166" i="4"/>
  <c r="B167" i="28"/>
  <c r="AC168" i="28"/>
  <c r="AD166" i="28"/>
  <c r="AE166" i="28"/>
  <c r="A757" i="28"/>
  <c r="M165" i="29" l="1"/>
  <c r="E165" i="29"/>
  <c r="K165" i="29"/>
  <c r="T167" i="28"/>
  <c r="E167" i="28"/>
  <c r="M167" i="28"/>
  <c r="L167" i="28"/>
  <c r="AN163" i="4"/>
  <c r="AG165" i="4"/>
  <c r="AL165" i="4" s="1"/>
  <c r="AL164" i="4"/>
  <c r="AN164" i="4" s="1"/>
  <c r="AC169" i="28"/>
  <c r="B168" i="28"/>
  <c r="AD167" i="28"/>
  <c r="AE167" i="28"/>
  <c r="I166" i="28"/>
  <c r="K166" i="28" s="1"/>
  <c r="N166" i="28" s="1"/>
  <c r="J166" i="28"/>
  <c r="Y166" i="28" s="1"/>
  <c r="R167" i="28"/>
  <c r="S167" i="28"/>
  <c r="Q167" i="28"/>
  <c r="F167" i="28"/>
  <c r="W167" i="28"/>
  <c r="AM166" i="4"/>
  <c r="X165" i="29"/>
  <c r="W165" i="29"/>
  <c r="G165" i="29" s="1"/>
  <c r="O166" i="28"/>
  <c r="N163" i="29"/>
  <c r="O163" i="29" s="1"/>
  <c r="L163" i="29"/>
  <c r="AR167" i="4"/>
  <c r="E167" i="4"/>
  <c r="AO167" i="4"/>
  <c r="G167" i="4"/>
  <c r="AF167" i="4"/>
  <c r="M167" i="4"/>
  <c r="H167" i="4"/>
  <c r="I167" i="4"/>
  <c r="AQ167" i="4"/>
  <c r="AS167" i="4"/>
  <c r="J167" i="4"/>
  <c r="L167" i="4"/>
  <c r="N167" i="4"/>
  <c r="AP167" i="4"/>
  <c r="AT167" i="4"/>
  <c r="BC169" i="4"/>
  <c r="B168" i="4"/>
  <c r="Z165" i="28"/>
  <c r="AH164" i="4"/>
  <c r="V167" i="29"/>
  <c r="B166" i="29"/>
  <c r="BD167" i="4"/>
  <c r="BE167" i="4"/>
  <c r="W166" i="4"/>
  <c r="AB166" i="4" s="1"/>
  <c r="Y166" i="4"/>
  <c r="AD166" i="4" s="1"/>
  <c r="V166" i="4"/>
  <c r="AW166" i="4" s="1"/>
  <c r="X166" i="4"/>
  <c r="AC166" i="4" s="1"/>
  <c r="T166" i="4"/>
  <c r="R166" i="4"/>
  <c r="Z166" i="4" s="1"/>
  <c r="S166" i="4"/>
  <c r="AA166" i="4" s="1"/>
  <c r="U166" i="4"/>
  <c r="U165" i="28"/>
  <c r="V165" i="28" s="1"/>
  <c r="X165" i="28" s="1"/>
  <c r="P165" i="28"/>
  <c r="H164" i="29"/>
  <c r="J164" i="29" s="1"/>
  <c r="A758" i="28"/>
  <c r="AX166" i="4" l="1"/>
  <c r="E166" i="29"/>
  <c r="M166" i="29"/>
  <c r="K166" i="29"/>
  <c r="T168" i="28"/>
  <c r="E168" i="28"/>
  <c r="M168" i="28"/>
  <c r="L168" i="28"/>
  <c r="AH165" i="4"/>
  <c r="O167" i="28"/>
  <c r="AU164" i="4"/>
  <c r="AV164" i="4" s="1"/>
  <c r="H165" i="29"/>
  <c r="J165" i="29" s="1"/>
  <c r="N165" i="29" s="1"/>
  <c r="O165" i="29" s="1"/>
  <c r="AM167" i="4"/>
  <c r="AU165" i="4"/>
  <c r="AV165" i="4" s="1"/>
  <c r="AN165" i="4"/>
  <c r="U167" i="4"/>
  <c r="Y167" i="4"/>
  <c r="AD167" i="4" s="1"/>
  <c r="R167" i="4"/>
  <c r="Z167" i="4" s="1"/>
  <c r="V167" i="4"/>
  <c r="AW167" i="4" s="1"/>
  <c r="S167" i="4"/>
  <c r="AA167" i="4" s="1"/>
  <c r="W167" i="4"/>
  <c r="AB167" i="4" s="1"/>
  <c r="X167" i="4"/>
  <c r="AC167" i="4" s="1"/>
  <c r="T167" i="4"/>
  <c r="BC170" i="4"/>
  <c r="B169" i="4"/>
  <c r="L164" i="29"/>
  <c r="N164" i="29"/>
  <c r="O164" i="29" s="1"/>
  <c r="AG166" i="4"/>
  <c r="AH166" i="4" s="1"/>
  <c r="X166" i="29"/>
  <c r="W166" i="29"/>
  <c r="G166" i="29" s="1"/>
  <c r="B167" i="29"/>
  <c r="V168" i="29"/>
  <c r="BD168" i="4"/>
  <c r="BE168" i="4"/>
  <c r="G168" i="4"/>
  <c r="AR168" i="4"/>
  <c r="AO168" i="4"/>
  <c r="E168" i="4"/>
  <c r="AP168" i="4"/>
  <c r="AF168" i="4"/>
  <c r="N168" i="4"/>
  <c r="AQ168" i="4"/>
  <c r="AS168" i="4"/>
  <c r="AT168" i="4"/>
  <c r="I168" i="4"/>
  <c r="J168" i="4"/>
  <c r="H168" i="4"/>
  <c r="M168" i="4"/>
  <c r="L168" i="4"/>
  <c r="Z166" i="28"/>
  <c r="U166" i="28"/>
  <c r="V166" i="28" s="1"/>
  <c r="X166" i="28" s="1"/>
  <c r="P166" i="28"/>
  <c r="F168" i="28"/>
  <c r="W168" i="28"/>
  <c r="Q168" i="28"/>
  <c r="S168" i="28"/>
  <c r="R168" i="28"/>
  <c r="AE168" i="28"/>
  <c r="AD168" i="28"/>
  <c r="J167" i="28"/>
  <c r="Y167" i="28" s="1"/>
  <c r="I167" i="28"/>
  <c r="K167" i="28" s="1"/>
  <c r="N167" i="28" s="1"/>
  <c r="B169" i="28"/>
  <c r="AC170" i="28"/>
  <c r="A759" i="28"/>
  <c r="Z167" i="28" l="1"/>
  <c r="O168" i="28"/>
  <c r="E167" i="29"/>
  <c r="K167" i="29"/>
  <c r="M167" i="29"/>
  <c r="E169" i="28"/>
  <c r="T169" i="28"/>
  <c r="M169" i="28"/>
  <c r="L169" i="28"/>
  <c r="L165" i="29"/>
  <c r="AM168" i="4"/>
  <c r="AX167" i="4"/>
  <c r="B170" i="28"/>
  <c r="AC171" i="28"/>
  <c r="AE169" i="28"/>
  <c r="AD169" i="28"/>
  <c r="B168" i="29"/>
  <c r="V169" i="29"/>
  <c r="AL166" i="4"/>
  <c r="AQ169" i="4"/>
  <c r="I169" i="4"/>
  <c r="H169" i="4"/>
  <c r="AF169" i="4"/>
  <c r="N169" i="4"/>
  <c r="AT169" i="4"/>
  <c r="AO169" i="4"/>
  <c r="AS169" i="4"/>
  <c r="G169" i="4"/>
  <c r="AR169" i="4"/>
  <c r="L169" i="4"/>
  <c r="M169" i="4"/>
  <c r="AP169" i="4"/>
  <c r="E169" i="4"/>
  <c r="J169" i="4"/>
  <c r="H166" i="29"/>
  <c r="J166" i="29" s="1"/>
  <c r="AG167" i="4"/>
  <c r="R169" i="28"/>
  <c r="S169" i="28"/>
  <c r="Q169" i="28"/>
  <c r="F169" i="28"/>
  <c r="W169" i="28"/>
  <c r="U167" i="28"/>
  <c r="V167" i="28" s="1"/>
  <c r="X167" i="28" s="1"/>
  <c r="P167" i="28"/>
  <c r="J168" i="28"/>
  <c r="Y168" i="28" s="1"/>
  <c r="I168" i="28"/>
  <c r="K168" i="28" s="1"/>
  <c r="N168" i="28" s="1"/>
  <c r="R168" i="4"/>
  <c r="Z168" i="4" s="1"/>
  <c r="W168" i="4"/>
  <c r="AB168" i="4" s="1"/>
  <c r="U168" i="4"/>
  <c r="Y168" i="4"/>
  <c r="AD168" i="4" s="1"/>
  <c r="T168" i="4"/>
  <c r="V168" i="4"/>
  <c r="AW168" i="4" s="1"/>
  <c r="S168" i="4"/>
  <c r="AA168" i="4" s="1"/>
  <c r="X168" i="4"/>
  <c r="AC168" i="4" s="1"/>
  <c r="X167" i="29"/>
  <c r="W167" i="29"/>
  <c r="G167" i="29" s="1"/>
  <c r="BC171" i="4"/>
  <c r="B170" i="4"/>
  <c r="BD169" i="4"/>
  <c r="BE169" i="4"/>
  <c r="A760" i="28"/>
  <c r="Z168" i="28" l="1"/>
  <c r="K168" i="29"/>
  <c r="M168" i="29"/>
  <c r="E168" i="29"/>
  <c r="E170" i="28"/>
  <c r="T170" i="28"/>
  <c r="M170" i="28"/>
  <c r="L170" i="28"/>
  <c r="H167" i="29"/>
  <c r="J167" i="29" s="1"/>
  <c r="L167" i="29" s="1"/>
  <c r="AH167" i="4"/>
  <c r="AM169" i="4"/>
  <c r="AN166" i="4"/>
  <c r="AU166" i="4"/>
  <c r="AV166" i="4" s="1"/>
  <c r="B169" i="29"/>
  <c r="V170" i="29"/>
  <c r="Q170" i="28"/>
  <c r="F170" i="28"/>
  <c r="W170" i="28"/>
  <c r="R170" i="28"/>
  <c r="S170" i="28"/>
  <c r="X169" i="4"/>
  <c r="AC169" i="4" s="1"/>
  <c r="V169" i="4"/>
  <c r="AW169" i="4" s="1"/>
  <c r="W169" i="4"/>
  <c r="AB169" i="4" s="1"/>
  <c r="Y169" i="4"/>
  <c r="AD169" i="4" s="1"/>
  <c r="U169" i="4"/>
  <c r="R169" i="4"/>
  <c r="Z169" i="4" s="1"/>
  <c r="T169" i="4"/>
  <c r="S169" i="4"/>
  <c r="AA169" i="4" s="1"/>
  <c r="B171" i="4"/>
  <c r="BC172" i="4"/>
  <c r="AG168" i="4"/>
  <c r="E170" i="4"/>
  <c r="H170" i="4"/>
  <c r="N170" i="4"/>
  <c r="AT170" i="4"/>
  <c r="M170" i="4"/>
  <c r="I170" i="4"/>
  <c r="AR170" i="4"/>
  <c r="G170" i="4"/>
  <c r="AP170" i="4"/>
  <c r="AF170" i="4"/>
  <c r="L170" i="4"/>
  <c r="AO170" i="4"/>
  <c r="J170" i="4"/>
  <c r="AQ170" i="4"/>
  <c r="AS170" i="4"/>
  <c r="BE170" i="4"/>
  <c r="BD170" i="4"/>
  <c r="AX168" i="4"/>
  <c r="P168" i="28"/>
  <c r="U168" i="28"/>
  <c r="V168" i="28" s="1"/>
  <c r="X168" i="28" s="1"/>
  <c r="O169" i="28"/>
  <c r="AL167" i="4"/>
  <c r="L166" i="29"/>
  <c r="N166" i="29"/>
  <c r="O166" i="29" s="1"/>
  <c r="W168" i="29"/>
  <c r="G168" i="29" s="1"/>
  <c r="X168" i="29"/>
  <c r="I169" i="28"/>
  <c r="K169" i="28" s="1"/>
  <c r="N169" i="28" s="1"/>
  <c r="J169" i="28"/>
  <c r="Y169" i="28" s="1"/>
  <c r="B171" i="28"/>
  <c r="AC172" i="28"/>
  <c r="AD170" i="28"/>
  <c r="AE170" i="28"/>
  <c r="A761" i="28"/>
  <c r="M169" i="29" l="1"/>
  <c r="K169" i="29"/>
  <c r="E169" i="29"/>
  <c r="T171" i="28"/>
  <c r="E171" i="28"/>
  <c r="L171" i="28"/>
  <c r="M171" i="28"/>
  <c r="AL168" i="4"/>
  <c r="AX169" i="4"/>
  <c r="N167" i="29"/>
  <c r="O167" i="29" s="1"/>
  <c r="I170" i="28"/>
  <c r="K170" i="28" s="1"/>
  <c r="N170" i="28" s="1"/>
  <c r="J170" i="28"/>
  <c r="Y170" i="28" s="1"/>
  <c r="F171" i="28"/>
  <c r="W171" i="28"/>
  <c r="Q171" i="28"/>
  <c r="R171" i="28"/>
  <c r="S171" i="28"/>
  <c r="AU167" i="4"/>
  <c r="AV167" i="4" s="1"/>
  <c r="AN167" i="4"/>
  <c r="V170" i="4"/>
  <c r="AW170" i="4" s="1"/>
  <c r="Y170" i="4"/>
  <c r="AD170" i="4" s="1"/>
  <c r="U170" i="4"/>
  <c r="R170" i="4"/>
  <c r="Z170" i="4" s="1"/>
  <c r="S170" i="4"/>
  <c r="AA170" i="4" s="1"/>
  <c r="AX170" i="4" s="1"/>
  <c r="T170" i="4"/>
  <c r="W170" i="4"/>
  <c r="AB170" i="4" s="1"/>
  <c r="X170" i="4"/>
  <c r="AC170" i="4" s="1"/>
  <c r="AC173" i="28"/>
  <c r="B172" i="28"/>
  <c r="AD171" i="28"/>
  <c r="AE171" i="28"/>
  <c r="U169" i="28"/>
  <c r="V169" i="28" s="1"/>
  <c r="X169" i="28" s="1"/>
  <c r="P169" i="28"/>
  <c r="H168" i="29"/>
  <c r="J168" i="29" s="1"/>
  <c r="Z169" i="28"/>
  <c r="AM170" i="4"/>
  <c r="AH168" i="4"/>
  <c r="L171" i="4"/>
  <c r="G171" i="4"/>
  <c r="AQ171" i="4"/>
  <c r="E171" i="4"/>
  <c r="F171" i="4" s="1"/>
  <c r="AT171" i="4"/>
  <c r="M171" i="4"/>
  <c r="I171" i="4"/>
  <c r="AP171" i="4"/>
  <c r="H171" i="4"/>
  <c r="J171" i="4"/>
  <c r="AR171" i="4"/>
  <c r="AS171" i="4"/>
  <c r="N171" i="4"/>
  <c r="AF171" i="4"/>
  <c r="AO171" i="4"/>
  <c r="AG169" i="4"/>
  <c r="AL169" i="4" s="1"/>
  <c r="B170" i="29"/>
  <c r="V171" i="29"/>
  <c r="BE171" i="4"/>
  <c r="BD171" i="4"/>
  <c r="B172" i="4"/>
  <c r="BC173" i="4"/>
  <c r="O170" i="28"/>
  <c r="X169" i="29"/>
  <c r="W169" i="29"/>
  <c r="G169" i="29" s="1"/>
  <c r="A762" i="28"/>
  <c r="E170" i="29" l="1"/>
  <c r="K170" i="29"/>
  <c r="M170" i="29"/>
  <c r="T172" i="28"/>
  <c r="E172" i="28"/>
  <c r="M172" i="28"/>
  <c r="L172" i="28"/>
  <c r="AN168" i="4"/>
  <c r="AH169" i="4"/>
  <c r="AU168" i="4"/>
  <c r="AV168" i="4" s="1"/>
  <c r="H169" i="29"/>
  <c r="J169" i="29" s="1"/>
  <c r="Z170" i="28"/>
  <c r="G172" i="4"/>
  <c r="J172" i="4"/>
  <c r="AO172" i="4"/>
  <c r="E172" i="4"/>
  <c r="AS172" i="4"/>
  <c r="N172" i="4"/>
  <c r="AF172" i="4"/>
  <c r="AP172" i="4"/>
  <c r="AR172" i="4"/>
  <c r="H172" i="4"/>
  <c r="AQ172" i="4"/>
  <c r="I172" i="4"/>
  <c r="AT172" i="4"/>
  <c r="L172" i="4"/>
  <c r="M172" i="4"/>
  <c r="X170" i="29"/>
  <c r="W170" i="29"/>
  <c r="G170" i="29" s="1"/>
  <c r="L168" i="29"/>
  <c r="N168" i="29"/>
  <c r="O168" i="29" s="1"/>
  <c r="J171" i="28"/>
  <c r="Y171" i="28" s="1"/>
  <c r="I171" i="28"/>
  <c r="K171" i="28" s="1"/>
  <c r="N171" i="28" s="1"/>
  <c r="AE172" i="28"/>
  <c r="AD172" i="28"/>
  <c r="AG170" i="4"/>
  <c r="O171" i="28"/>
  <c r="B173" i="4"/>
  <c r="BC174" i="4"/>
  <c r="BE172" i="4"/>
  <c r="BD172" i="4"/>
  <c r="R171" i="4"/>
  <c r="Z171" i="4" s="1"/>
  <c r="S171" i="4"/>
  <c r="AA171" i="4" s="1"/>
  <c r="V171" i="4"/>
  <c r="AW171" i="4" s="1"/>
  <c r="Y171" i="4"/>
  <c r="AD171" i="4" s="1"/>
  <c r="U171" i="4"/>
  <c r="T171" i="4"/>
  <c r="W171" i="4"/>
  <c r="AB171" i="4" s="1"/>
  <c r="X171" i="4"/>
  <c r="AC171" i="4" s="1"/>
  <c r="V172" i="29"/>
  <c r="B171" i="29"/>
  <c r="AN169" i="4"/>
  <c r="AU169" i="4"/>
  <c r="AV169" i="4" s="1"/>
  <c r="AM171" i="4"/>
  <c r="R172" i="28"/>
  <c r="W172" i="28"/>
  <c r="Q172" i="28"/>
  <c r="F172" i="28"/>
  <c r="S172" i="28"/>
  <c r="B173" i="28"/>
  <c r="AC174" i="28"/>
  <c r="P170" i="28"/>
  <c r="U170" i="28"/>
  <c r="V170" i="28" s="1"/>
  <c r="X170" i="28" s="1"/>
  <c r="A763" i="28"/>
  <c r="E171" i="29" l="1"/>
  <c r="K171" i="29"/>
  <c r="M171" i="29"/>
  <c r="E173" i="28"/>
  <c r="T173" i="28"/>
  <c r="M173" i="28"/>
  <c r="L173" i="28"/>
  <c r="AM172" i="4"/>
  <c r="L169" i="29"/>
  <c r="N169" i="29"/>
  <c r="O169" i="29" s="1"/>
  <c r="AL170" i="4"/>
  <c r="AN170" i="4" s="1"/>
  <c r="AX171" i="4"/>
  <c r="O172" i="28"/>
  <c r="X171" i="29"/>
  <c r="W171" i="29"/>
  <c r="G171" i="29" s="1"/>
  <c r="AG171" i="4"/>
  <c r="V172" i="4"/>
  <c r="AW172" i="4" s="1"/>
  <c r="Y172" i="4"/>
  <c r="AD172" i="4" s="1"/>
  <c r="R172" i="4"/>
  <c r="Z172" i="4" s="1"/>
  <c r="X172" i="4"/>
  <c r="AC172" i="4" s="1"/>
  <c r="T172" i="4"/>
  <c r="U172" i="4"/>
  <c r="S172" i="4"/>
  <c r="AA172" i="4" s="1"/>
  <c r="W172" i="4"/>
  <c r="AB172" i="4" s="1"/>
  <c r="AF173" i="4"/>
  <c r="G173" i="4"/>
  <c r="H173" i="4"/>
  <c r="L173" i="4"/>
  <c r="E173" i="4"/>
  <c r="AR173" i="4"/>
  <c r="AO173" i="4"/>
  <c r="J173" i="4"/>
  <c r="AP173" i="4"/>
  <c r="M173" i="4"/>
  <c r="N173" i="4"/>
  <c r="AQ173" i="4"/>
  <c r="AT173" i="4"/>
  <c r="I173" i="4"/>
  <c r="AS173" i="4"/>
  <c r="Z171" i="28"/>
  <c r="I172" i="28"/>
  <c r="K172" i="28" s="1"/>
  <c r="N172" i="28" s="1"/>
  <c r="J172" i="28"/>
  <c r="Y172" i="28" s="1"/>
  <c r="P171" i="28"/>
  <c r="U171" i="28"/>
  <c r="V171" i="28" s="1"/>
  <c r="X171" i="28" s="1"/>
  <c r="B174" i="28"/>
  <c r="AC175" i="28"/>
  <c r="W173" i="28"/>
  <c r="S173" i="28"/>
  <c r="Q173" i="28"/>
  <c r="F173" i="28"/>
  <c r="R173" i="28"/>
  <c r="AE173" i="28"/>
  <c r="AD173" i="28"/>
  <c r="B172" i="29"/>
  <c r="V173" i="29"/>
  <c r="B174" i="4"/>
  <c r="BC175" i="4"/>
  <c r="BD173" i="4"/>
  <c r="BE173" i="4"/>
  <c r="AH170" i="4"/>
  <c r="H170" i="29"/>
  <c r="J170" i="29" s="1"/>
  <c r="A764" i="28"/>
  <c r="K172" i="29" l="1"/>
  <c r="M172" i="29"/>
  <c r="E172" i="29"/>
  <c r="E174" i="28"/>
  <c r="T174" i="28"/>
  <c r="J174" i="4"/>
  <c r="AT174" i="4"/>
  <c r="M174" i="28"/>
  <c r="L174" i="28"/>
  <c r="AX172" i="4"/>
  <c r="AL171" i="4"/>
  <c r="AU170" i="4"/>
  <c r="AV170" i="4" s="1"/>
  <c r="BE174" i="4"/>
  <c r="BD174" i="4"/>
  <c r="I174" i="4"/>
  <c r="N174" i="4"/>
  <c r="L174" i="4"/>
  <c r="AQ174" i="4"/>
  <c r="AP174" i="4"/>
  <c r="E174" i="4"/>
  <c r="AS174" i="4"/>
  <c r="M174" i="4"/>
  <c r="AF174" i="4"/>
  <c r="H174" i="4"/>
  <c r="AO174" i="4"/>
  <c r="G174" i="4"/>
  <c r="AR174" i="4"/>
  <c r="B173" i="29"/>
  <c r="V174" i="29"/>
  <c r="I173" i="28"/>
  <c r="K173" i="28" s="1"/>
  <c r="J173" i="28"/>
  <c r="Y173" i="28" s="1"/>
  <c r="O173" i="28"/>
  <c r="W174" i="28"/>
  <c r="Q174" i="28"/>
  <c r="F174" i="28"/>
  <c r="S174" i="28"/>
  <c r="R174" i="28"/>
  <c r="U172" i="28"/>
  <c r="V172" i="28" s="1"/>
  <c r="X172" i="28" s="1"/>
  <c r="P172" i="28"/>
  <c r="Z172" i="28"/>
  <c r="N170" i="29"/>
  <c r="O170" i="29" s="1"/>
  <c r="L170" i="29"/>
  <c r="R173" i="4"/>
  <c r="Z173" i="4" s="1"/>
  <c r="U173" i="4"/>
  <c r="S173" i="4"/>
  <c r="AA173" i="4" s="1"/>
  <c r="T173" i="4"/>
  <c r="W173" i="4"/>
  <c r="AB173" i="4" s="1"/>
  <c r="Y173" i="4"/>
  <c r="AD173" i="4" s="1"/>
  <c r="X173" i="4"/>
  <c r="AC173" i="4" s="1"/>
  <c r="V173" i="4"/>
  <c r="AW173" i="4" s="1"/>
  <c r="BC176" i="4"/>
  <c r="B175" i="4"/>
  <c r="AH171" i="4"/>
  <c r="W172" i="29"/>
  <c r="G172" i="29" s="1"/>
  <c r="X172" i="29"/>
  <c r="AC176" i="28"/>
  <c r="B175" i="28"/>
  <c r="AE174" i="28"/>
  <c r="AD174" i="28"/>
  <c r="AM173" i="4"/>
  <c r="AG172" i="4"/>
  <c r="H171" i="29"/>
  <c r="J171" i="29" s="1"/>
  <c r="A765" i="28"/>
  <c r="N173" i="28" l="1"/>
  <c r="M173" i="29"/>
  <c r="E173" i="29"/>
  <c r="K173" i="29"/>
  <c r="T175" i="28"/>
  <c r="E175" i="28"/>
  <c r="AT175" i="4"/>
  <c r="J175" i="4"/>
  <c r="M175" i="28"/>
  <c r="L175" i="28"/>
  <c r="AU171" i="4"/>
  <c r="AV171" i="4" s="1"/>
  <c r="AN171" i="4"/>
  <c r="AX173" i="4"/>
  <c r="AH172" i="4"/>
  <c r="AD175" i="28"/>
  <c r="AE175" i="28"/>
  <c r="G175" i="4"/>
  <c r="AP175" i="4"/>
  <c r="AO175" i="4"/>
  <c r="L175" i="4"/>
  <c r="AS175" i="4"/>
  <c r="H175" i="4"/>
  <c r="N175" i="4"/>
  <c r="E175" i="4"/>
  <c r="I175" i="4"/>
  <c r="AF175" i="4"/>
  <c r="M175" i="4"/>
  <c r="AR175" i="4"/>
  <c r="AQ175" i="4"/>
  <c r="AG173" i="4"/>
  <c r="AL173" i="4" s="1"/>
  <c r="AL172" i="4"/>
  <c r="Z173" i="28"/>
  <c r="V175" i="29"/>
  <c r="B174" i="29"/>
  <c r="AM174" i="4"/>
  <c r="N171" i="29"/>
  <c r="O171" i="29" s="1"/>
  <c r="L171" i="29"/>
  <c r="J174" i="28"/>
  <c r="Y174" i="28" s="1"/>
  <c r="I174" i="28"/>
  <c r="K174" i="28" s="1"/>
  <c r="N174" i="28" s="1"/>
  <c r="R175" i="28"/>
  <c r="Q175" i="28"/>
  <c r="W175" i="28"/>
  <c r="F175" i="28"/>
  <c r="S175" i="28"/>
  <c r="AC177" i="28"/>
  <c r="B176" i="28"/>
  <c r="H172" i="29"/>
  <c r="J172" i="29" s="1"/>
  <c r="BD175" i="4"/>
  <c r="BE175" i="4"/>
  <c r="B176" i="4"/>
  <c r="BC177" i="4"/>
  <c r="O174" i="28"/>
  <c r="P173" i="28"/>
  <c r="U173" i="28"/>
  <c r="V173" i="28" s="1"/>
  <c r="X173" i="28" s="1"/>
  <c r="W173" i="29"/>
  <c r="G173" i="29" s="1"/>
  <c r="X173" i="29"/>
  <c r="X174" i="4"/>
  <c r="AC174" i="4" s="1"/>
  <c r="W174" i="4"/>
  <c r="AB174" i="4" s="1"/>
  <c r="R174" i="4"/>
  <c r="Z174" i="4" s="1"/>
  <c r="S174" i="4"/>
  <c r="AA174" i="4" s="1"/>
  <c r="T174" i="4"/>
  <c r="U174" i="4"/>
  <c r="V174" i="4"/>
  <c r="AW174" i="4" s="1"/>
  <c r="Y174" i="4"/>
  <c r="AD174" i="4" s="1"/>
  <c r="A766" i="28"/>
  <c r="E174" i="29" l="1"/>
  <c r="M174" i="29"/>
  <c r="K174" i="29"/>
  <c r="T176" i="28"/>
  <c r="E176" i="28"/>
  <c r="M176" i="28"/>
  <c r="L176" i="28"/>
  <c r="AH173" i="4"/>
  <c r="H173" i="29"/>
  <c r="J173" i="29" s="1"/>
  <c r="N173" i="29" s="1"/>
  <c r="O173" i="29" s="1"/>
  <c r="AX174" i="4"/>
  <c r="O175" i="28"/>
  <c r="Z174" i="28"/>
  <c r="AU173" i="4"/>
  <c r="AV173" i="4" s="1"/>
  <c r="AN173" i="4"/>
  <c r="AT176" i="4"/>
  <c r="G176" i="4"/>
  <c r="J176" i="4"/>
  <c r="N176" i="4"/>
  <c r="H176" i="4"/>
  <c r="AO176" i="4"/>
  <c r="AQ176" i="4"/>
  <c r="L176" i="4"/>
  <c r="I176" i="4"/>
  <c r="AS176" i="4"/>
  <c r="AR176" i="4"/>
  <c r="AF176" i="4"/>
  <c r="M176" i="4"/>
  <c r="E176" i="4"/>
  <c r="AP176" i="4"/>
  <c r="Y175" i="4"/>
  <c r="AD175" i="4" s="1"/>
  <c r="V175" i="4"/>
  <c r="AW175" i="4" s="1"/>
  <c r="W175" i="4"/>
  <c r="AB175" i="4" s="1"/>
  <c r="X175" i="4"/>
  <c r="AC175" i="4" s="1"/>
  <c r="U175" i="4"/>
  <c r="R175" i="4"/>
  <c r="Z175" i="4" s="1"/>
  <c r="S175" i="4"/>
  <c r="AA175" i="4" s="1"/>
  <c r="T175" i="4"/>
  <c r="F176" i="28"/>
  <c r="S176" i="28"/>
  <c r="R176" i="28"/>
  <c r="Q176" i="28"/>
  <c r="W176" i="28"/>
  <c r="B177" i="28"/>
  <c r="AC178" i="28"/>
  <c r="V176" i="29"/>
  <c r="B175" i="29"/>
  <c r="AU172" i="4"/>
  <c r="AV172" i="4" s="1"/>
  <c r="AN172" i="4"/>
  <c r="I175" i="28"/>
  <c r="K175" i="28" s="1"/>
  <c r="N175" i="28" s="1"/>
  <c r="J175" i="28"/>
  <c r="Y175" i="28" s="1"/>
  <c r="AG174" i="4"/>
  <c r="BD176" i="4"/>
  <c r="BE176" i="4"/>
  <c r="BC178" i="4"/>
  <c r="B177" i="4"/>
  <c r="L172" i="29"/>
  <c r="N172" i="29"/>
  <c r="O172" i="29" s="1"/>
  <c r="AD176" i="28"/>
  <c r="AE176" i="28"/>
  <c r="U174" i="28"/>
  <c r="V174" i="28" s="1"/>
  <c r="X174" i="28" s="1"/>
  <c r="P174" i="28"/>
  <c r="W174" i="29"/>
  <c r="G174" i="29" s="1"/>
  <c r="X174" i="29"/>
  <c r="AM175" i="4"/>
  <c r="A767" i="28"/>
  <c r="E175" i="29" l="1"/>
  <c r="K175" i="29"/>
  <c r="M175" i="29"/>
  <c r="E177" i="28"/>
  <c r="T177" i="28"/>
  <c r="M177" i="28"/>
  <c r="L177" i="28"/>
  <c r="L173" i="29"/>
  <c r="O176" i="28"/>
  <c r="AX175" i="4"/>
  <c r="H174" i="29"/>
  <c r="J174" i="29" s="1"/>
  <c r="AH174" i="4"/>
  <c r="AL174" i="4"/>
  <c r="J176" i="28"/>
  <c r="Y176" i="28" s="1"/>
  <c r="I176" i="28"/>
  <c r="K176" i="28" s="1"/>
  <c r="N176" i="28" s="1"/>
  <c r="J177" i="4"/>
  <c r="AS177" i="4"/>
  <c r="AF177" i="4"/>
  <c r="H177" i="4"/>
  <c r="AT177" i="4"/>
  <c r="AP177" i="4"/>
  <c r="AR177" i="4"/>
  <c r="L177" i="4"/>
  <c r="I177" i="4"/>
  <c r="E177" i="4"/>
  <c r="AO177" i="4"/>
  <c r="AQ177" i="4"/>
  <c r="G177" i="4"/>
  <c r="M177" i="4"/>
  <c r="N177" i="4"/>
  <c r="B178" i="4"/>
  <c r="BC179" i="4"/>
  <c r="P175" i="28"/>
  <c r="U175" i="28"/>
  <c r="V175" i="28" s="1"/>
  <c r="X175" i="28" s="1"/>
  <c r="X175" i="29"/>
  <c r="W175" i="29"/>
  <c r="G175" i="29" s="1"/>
  <c r="AC179" i="28"/>
  <c r="B178" i="28"/>
  <c r="S177" i="28"/>
  <c r="Q177" i="28"/>
  <c r="F177" i="28"/>
  <c r="W177" i="28"/>
  <c r="R177" i="28"/>
  <c r="AG175" i="4"/>
  <c r="AM176" i="4"/>
  <c r="BD177" i="4"/>
  <c r="BE177" i="4"/>
  <c r="R176" i="4"/>
  <c r="Z176" i="4" s="1"/>
  <c r="V176" i="4"/>
  <c r="AW176" i="4" s="1"/>
  <c r="S176" i="4"/>
  <c r="AA176" i="4" s="1"/>
  <c r="Y176" i="4"/>
  <c r="AD176" i="4" s="1"/>
  <c r="W176" i="4"/>
  <c r="AB176" i="4" s="1"/>
  <c r="T176" i="4"/>
  <c r="X176" i="4"/>
  <c r="AC176" i="4" s="1"/>
  <c r="U176" i="4"/>
  <c r="B176" i="29"/>
  <c r="V177" i="29"/>
  <c r="AE177" i="28"/>
  <c r="AD177" i="28"/>
  <c r="Z175" i="28"/>
  <c r="A768" i="28"/>
  <c r="K176" i="29" l="1"/>
  <c r="M176" i="29"/>
  <c r="E176" i="29"/>
  <c r="E178" i="28"/>
  <c r="T178" i="28"/>
  <c r="M178" i="28"/>
  <c r="L178" i="28"/>
  <c r="Z176" i="28"/>
  <c r="O177" i="28"/>
  <c r="AN174" i="4"/>
  <c r="H175" i="29"/>
  <c r="AL175" i="4"/>
  <c r="AN175" i="4" s="1"/>
  <c r="AX176" i="4"/>
  <c r="AH175" i="4"/>
  <c r="J175" i="29"/>
  <c r="L175" i="29" s="1"/>
  <c r="AU174" i="4"/>
  <c r="AV174" i="4" s="1"/>
  <c r="Q178" i="28"/>
  <c r="S178" i="28"/>
  <c r="R178" i="28"/>
  <c r="F178" i="28"/>
  <c r="W178" i="28"/>
  <c r="AE178" i="28"/>
  <c r="AD178" i="28"/>
  <c r="B179" i="4"/>
  <c r="BC180" i="4"/>
  <c r="U176" i="28"/>
  <c r="V176" i="28" s="1"/>
  <c r="X176" i="28" s="1"/>
  <c r="P176" i="28"/>
  <c r="W176" i="29"/>
  <c r="G176" i="29" s="1"/>
  <c r="X176" i="29"/>
  <c r="U177" i="4"/>
  <c r="W177" i="4"/>
  <c r="AB177" i="4" s="1"/>
  <c r="T177" i="4"/>
  <c r="X177" i="4"/>
  <c r="AC177" i="4" s="1"/>
  <c r="R177" i="4"/>
  <c r="Z177" i="4" s="1"/>
  <c r="Y177" i="4"/>
  <c r="AD177" i="4" s="1"/>
  <c r="S177" i="4"/>
  <c r="AA177" i="4" s="1"/>
  <c r="V177" i="4"/>
  <c r="AW177" i="4" s="1"/>
  <c r="J177" i="28"/>
  <c r="Y177" i="28" s="1"/>
  <c r="I177" i="28"/>
  <c r="K177" i="28" s="1"/>
  <c r="N177" i="28" s="1"/>
  <c r="V178" i="29"/>
  <c r="B177" i="29"/>
  <c r="AG176" i="4"/>
  <c r="B179" i="28"/>
  <c r="AC180" i="28"/>
  <c r="BE178" i="4"/>
  <c r="BD178" i="4"/>
  <c r="AQ178" i="4"/>
  <c r="I178" i="4"/>
  <c r="E178" i="4"/>
  <c r="AT178" i="4"/>
  <c r="AO178" i="4"/>
  <c r="AS178" i="4"/>
  <c r="N178" i="4"/>
  <c r="AR178" i="4"/>
  <c r="AP178" i="4"/>
  <c r="AF178" i="4"/>
  <c r="H178" i="4"/>
  <c r="G178" i="4"/>
  <c r="J178" i="4"/>
  <c r="L178" i="4"/>
  <c r="M178" i="4"/>
  <c r="AM177" i="4"/>
  <c r="N174" i="29"/>
  <c r="O174" i="29" s="1"/>
  <c r="L174" i="29"/>
  <c r="A769" i="28"/>
  <c r="M177" i="29" l="1"/>
  <c r="K177" i="29"/>
  <c r="E177" i="29"/>
  <c r="T179" i="28"/>
  <c r="E179" i="28"/>
  <c r="Z177" i="28"/>
  <c r="O178" i="28"/>
  <c r="M179" i="28"/>
  <c r="L179" i="28"/>
  <c r="AG177" i="4"/>
  <c r="AU175" i="4"/>
  <c r="AV175" i="4" s="1"/>
  <c r="N175" i="29"/>
  <c r="O175" i="29" s="1"/>
  <c r="AL176" i="4"/>
  <c r="AN176" i="4" s="1"/>
  <c r="AX177" i="4"/>
  <c r="AM178" i="4"/>
  <c r="AE179" i="28"/>
  <c r="AD179" i="28"/>
  <c r="AH176" i="4"/>
  <c r="H176" i="29"/>
  <c r="J176" i="29" s="1"/>
  <c r="B178" i="29"/>
  <c r="V179" i="29"/>
  <c r="P177" i="28"/>
  <c r="U177" i="28"/>
  <c r="V177" i="28" s="1"/>
  <c r="X177" i="28" s="1"/>
  <c r="BE179" i="4"/>
  <c r="BD179" i="4"/>
  <c r="B180" i="4"/>
  <c r="BC181" i="4"/>
  <c r="R178" i="4"/>
  <c r="Z178" i="4" s="1"/>
  <c r="X178" i="4"/>
  <c r="AC178" i="4" s="1"/>
  <c r="U178" i="4"/>
  <c r="T178" i="4"/>
  <c r="V178" i="4"/>
  <c r="AW178" i="4" s="1"/>
  <c r="Y178" i="4"/>
  <c r="AD178" i="4" s="1"/>
  <c r="W178" i="4"/>
  <c r="AB178" i="4" s="1"/>
  <c r="S178" i="4"/>
  <c r="AA178" i="4" s="1"/>
  <c r="B180" i="28"/>
  <c r="AC181" i="28"/>
  <c r="S179" i="28"/>
  <c r="Q179" i="28"/>
  <c r="F179" i="28"/>
  <c r="W179" i="28"/>
  <c r="R179" i="28"/>
  <c r="W177" i="29"/>
  <c r="G177" i="29" s="1"/>
  <c r="X177" i="29"/>
  <c r="N179" i="4"/>
  <c r="AR179" i="4"/>
  <c r="I179" i="4"/>
  <c r="AP179" i="4"/>
  <c r="AO179" i="4"/>
  <c r="AQ179" i="4"/>
  <c r="G179" i="4"/>
  <c r="L179" i="4"/>
  <c r="M179" i="4"/>
  <c r="AT179" i="4"/>
  <c r="J179" i="4"/>
  <c r="H179" i="4"/>
  <c r="E179" i="4"/>
  <c r="AF179" i="4"/>
  <c r="AS179" i="4"/>
  <c r="J178" i="28"/>
  <c r="Y178" i="28" s="1"/>
  <c r="I178" i="28"/>
  <c r="K178" i="28" s="1"/>
  <c r="N178" i="28" s="1"/>
  <c r="A770" i="28"/>
  <c r="Z178" i="28" l="1"/>
  <c r="E178" i="29"/>
  <c r="K178" i="29"/>
  <c r="M178" i="29"/>
  <c r="T180" i="28"/>
  <c r="E180" i="28"/>
  <c r="AL177" i="4"/>
  <c r="M180" i="28"/>
  <c r="L180" i="28"/>
  <c r="AH177" i="4"/>
  <c r="AU176" i="4"/>
  <c r="AV176" i="4" s="1"/>
  <c r="AM179" i="4"/>
  <c r="B181" i="28"/>
  <c r="AC182" i="28"/>
  <c r="S180" i="28"/>
  <c r="R180" i="28"/>
  <c r="Q180" i="28"/>
  <c r="F180" i="28"/>
  <c r="W180" i="28"/>
  <c r="B181" i="4"/>
  <c r="BC182" i="4"/>
  <c r="W178" i="29"/>
  <c r="G178" i="29" s="1"/>
  <c r="X178" i="29"/>
  <c r="N176" i="29"/>
  <c r="O176" i="29" s="1"/>
  <c r="L176" i="29"/>
  <c r="J179" i="28"/>
  <c r="Y179" i="28" s="1"/>
  <c r="I179" i="28"/>
  <c r="K179" i="28" s="1"/>
  <c r="N179" i="28" s="1"/>
  <c r="U178" i="28"/>
  <c r="V178" i="28" s="1"/>
  <c r="X178" i="28" s="1"/>
  <c r="P178" i="28"/>
  <c r="H177" i="29"/>
  <c r="J177" i="29" s="1"/>
  <c r="O179" i="28"/>
  <c r="AE180" i="28"/>
  <c r="AD180" i="28"/>
  <c r="AX178" i="4"/>
  <c r="AG178" i="4"/>
  <c r="BE180" i="4"/>
  <c r="BD180" i="4"/>
  <c r="E180" i="4"/>
  <c r="M180" i="4"/>
  <c r="L180" i="4"/>
  <c r="J180" i="4"/>
  <c r="G180" i="4"/>
  <c r="AS180" i="4"/>
  <c r="AP180" i="4"/>
  <c r="AF180" i="4"/>
  <c r="H180" i="4"/>
  <c r="AT180" i="4"/>
  <c r="N180" i="4"/>
  <c r="AQ180" i="4"/>
  <c r="AR180" i="4"/>
  <c r="AO180" i="4"/>
  <c r="I180" i="4"/>
  <c r="U179" i="4"/>
  <c r="Y179" i="4"/>
  <c r="AD179" i="4" s="1"/>
  <c r="T179" i="4"/>
  <c r="X179" i="4"/>
  <c r="AC179" i="4" s="1"/>
  <c r="W179" i="4"/>
  <c r="AB179" i="4" s="1"/>
  <c r="R179" i="4"/>
  <c r="Z179" i="4" s="1"/>
  <c r="S179" i="4"/>
  <c r="AA179" i="4" s="1"/>
  <c r="V179" i="4"/>
  <c r="AW179" i="4" s="1"/>
  <c r="V180" i="29"/>
  <c r="B179" i="29"/>
  <c r="A771" i="28"/>
  <c r="AU177" i="4" l="1"/>
  <c r="AV177" i="4" s="1"/>
  <c r="AN177" i="4"/>
  <c r="E179" i="29"/>
  <c r="K179" i="29"/>
  <c r="M179" i="29"/>
  <c r="E181" i="28"/>
  <c r="T181" i="28"/>
  <c r="M181" i="28"/>
  <c r="L181" i="28"/>
  <c r="AX179" i="4"/>
  <c r="AL178" i="4"/>
  <c r="AN178" i="4" s="1"/>
  <c r="AM180" i="4"/>
  <c r="I180" i="28"/>
  <c r="K180" i="28" s="1"/>
  <c r="N180" i="28" s="1"/>
  <c r="J180" i="28"/>
  <c r="Y180" i="28" s="1"/>
  <c r="P179" i="28"/>
  <c r="U179" i="28"/>
  <c r="V179" i="28" s="1"/>
  <c r="X179" i="28" s="1"/>
  <c r="B182" i="4"/>
  <c r="BC183" i="4"/>
  <c r="AC183" i="28"/>
  <c r="B182" i="28"/>
  <c r="W181" i="28"/>
  <c r="R181" i="28"/>
  <c r="S181" i="28"/>
  <c r="F181" i="28"/>
  <c r="Q181" i="28"/>
  <c r="V181" i="29"/>
  <c r="B180" i="29"/>
  <c r="H178" i="29"/>
  <c r="J178" i="29" s="1"/>
  <c r="W179" i="29"/>
  <c r="G179" i="29" s="1"/>
  <c r="X179" i="29"/>
  <c r="AG179" i="4"/>
  <c r="W180" i="4"/>
  <c r="AB180" i="4" s="1"/>
  <c r="V180" i="4"/>
  <c r="AW180" i="4" s="1"/>
  <c r="X180" i="4"/>
  <c r="AC180" i="4" s="1"/>
  <c r="Y180" i="4"/>
  <c r="AD180" i="4" s="1"/>
  <c r="R180" i="4"/>
  <c r="Z180" i="4" s="1"/>
  <c r="T180" i="4"/>
  <c r="S180" i="4"/>
  <c r="AA180" i="4" s="1"/>
  <c r="U180" i="4"/>
  <c r="Z179" i="28"/>
  <c r="N177" i="29"/>
  <c r="O177" i="29" s="1"/>
  <c r="L177" i="29"/>
  <c r="AR181" i="4"/>
  <c r="I181" i="4"/>
  <c r="H181" i="4"/>
  <c r="AO181" i="4"/>
  <c r="N181" i="4"/>
  <c r="AS181" i="4"/>
  <c r="AP181" i="4"/>
  <c r="E181" i="4"/>
  <c r="AQ181" i="4"/>
  <c r="AT181" i="4"/>
  <c r="G181" i="4"/>
  <c r="L181" i="4"/>
  <c r="AF181" i="4"/>
  <c r="J181" i="4"/>
  <c r="M181" i="4"/>
  <c r="BD181" i="4"/>
  <c r="BE181" i="4"/>
  <c r="AH178" i="4"/>
  <c r="O180" i="28"/>
  <c r="AE181" i="28"/>
  <c r="AD181" i="28"/>
  <c r="A772" i="28"/>
  <c r="K180" i="29" l="1"/>
  <c r="M180" i="29"/>
  <c r="E180" i="29"/>
  <c r="E182" i="28"/>
  <c r="T182" i="28"/>
  <c r="M182" i="28"/>
  <c r="L182" i="28"/>
  <c r="AU178" i="4"/>
  <c r="AV178" i="4" s="1"/>
  <c r="AH179" i="4"/>
  <c r="AM181" i="4"/>
  <c r="AG180" i="4"/>
  <c r="J181" i="28"/>
  <c r="Y181" i="28" s="1"/>
  <c r="I181" i="28"/>
  <c r="K181" i="28" s="1"/>
  <c r="N181" i="28" s="1"/>
  <c r="Z180" i="28"/>
  <c r="T181" i="4"/>
  <c r="Y181" i="4"/>
  <c r="AD181" i="4" s="1"/>
  <c r="U181" i="4"/>
  <c r="W181" i="4"/>
  <c r="AB181" i="4" s="1"/>
  <c r="S181" i="4"/>
  <c r="AA181" i="4" s="1"/>
  <c r="V181" i="4"/>
  <c r="AW181" i="4" s="1"/>
  <c r="X181" i="4"/>
  <c r="AC181" i="4" s="1"/>
  <c r="R181" i="4"/>
  <c r="Z181" i="4" s="1"/>
  <c r="AL179" i="4"/>
  <c r="H179" i="29"/>
  <c r="J179" i="29" s="1"/>
  <c r="X180" i="29"/>
  <c r="W180" i="29"/>
  <c r="G180" i="29" s="1"/>
  <c r="O181" i="28"/>
  <c r="AD182" i="28"/>
  <c r="AE182" i="28"/>
  <c r="B183" i="4"/>
  <c r="BC184" i="4"/>
  <c r="BD182" i="4"/>
  <c r="BE182" i="4"/>
  <c r="AX180" i="4"/>
  <c r="N178" i="29"/>
  <c r="O178" i="29" s="1"/>
  <c r="L178" i="29"/>
  <c r="B181" i="29"/>
  <c r="V182" i="29"/>
  <c r="F182" i="28"/>
  <c r="Q182" i="28"/>
  <c r="W182" i="28"/>
  <c r="R182" i="28"/>
  <c r="S182" i="28"/>
  <c r="B183" i="28"/>
  <c r="AC184" i="28"/>
  <c r="AR182" i="4"/>
  <c r="AT182" i="4"/>
  <c r="AO182" i="4"/>
  <c r="AQ182" i="4"/>
  <c r="N182" i="4"/>
  <c r="G182" i="4"/>
  <c r="AS182" i="4"/>
  <c r="L182" i="4"/>
  <c r="I182" i="4"/>
  <c r="AP182" i="4"/>
  <c r="E182" i="4"/>
  <c r="H182" i="4"/>
  <c r="M182" i="4"/>
  <c r="J182" i="4"/>
  <c r="AF182" i="4"/>
  <c r="P180" i="28"/>
  <c r="U180" i="28"/>
  <c r="V180" i="28" s="1"/>
  <c r="X180" i="28" s="1"/>
  <c r="A773" i="28"/>
  <c r="M181" i="29" l="1"/>
  <c r="E181" i="29"/>
  <c r="K181" i="29"/>
  <c r="T183" i="28"/>
  <c r="E183" i="28"/>
  <c r="M183" i="28"/>
  <c r="L183" i="28"/>
  <c r="AH180" i="4"/>
  <c r="AL180" i="4"/>
  <c r="AU180" i="4" s="1"/>
  <c r="AV180" i="4" s="1"/>
  <c r="AX181" i="4"/>
  <c r="AM182" i="4"/>
  <c r="Q183" i="28"/>
  <c r="F183" i="28"/>
  <c r="W183" i="28"/>
  <c r="R183" i="28"/>
  <c r="S183" i="28"/>
  <c r="O182" i="28"/>
  <c r="W181" i="29"/>
  <c r="G181" i="29" s="1"/>
  <c r="X181" i="29"/>
  <c r="E183" i="4"/>
  <c r="AP183" i="4"/>
  <c r="AS183" i="4"/>
  <c r="J183" i="4"/>
  <c r="AO183" i="4"/>
  <c r="AF183" i="4"/>
  <c r="N183" i="4"/>
  <c r="I183" i="4"/>
  <c r="AT183" i="4"/>
  <c r="AQ183" i="4"/>
  <c r="AR183" i="4"/>
  <c r="G183" i="4"/>
  <c r="H183" i="4"/>
  <c r="L183" i="4"/>
  <c r="M183" i="4"/>
  <c r="J182" i="28"/>
  <c r="Y182" i="28" s="1"/>
  <c r="I182" i="28"/>
  <c r="K182" i="28" s="1"/>
  <c r="N182" i="28" s="1"/>
  <c r="AN179" i="4"/>
  <c r="AU179" i="4"/>
  <c r="AV179" i="4" s="1"/>
  <c r="B184" i="28"/>
  <c r="AC185" i="28"/>
  <c r="AE183" i="28"/>
  <c r="AD183" i="28"/>
  <c r="B182" i="29"/>
  <c r="V183" i="29"/>
  <c r="H180" i="29"/>
  <c r="J180" i="29" s="1"/>
  <c r="V182" i="4"/>
  <c r="AW182" i="4" s="1"/>
  <c r="T182" i="4"/>
  <c r="X182" i="4"/>
  <c r="AC182" i="4" s="1"/>
  <c r="R182" i="4"/>
  <c r="Z182" i="4" s="1"/>
  <c r="Y182" i="4"/>
  <c r="AD182" i="4" s="1"/>
  <c r="S182" i="4"/>
  <c r="AA182" i="4" s="1"/>
  <c r="U182" i="4"/>
  <c r="W182" i="4"/>
  <c r="AB182" i="4" s="1"/>
  <c r="BE183" i="4"/>
  <c r="BD183" i="4"/>
  <c r="BC185" i="4"/>
  <c r="B184" i="4"/>
  <c r="Z181" i="28"/>
  <c r="L179" i="29"/>
  <c r="N179" i="29"/>
  <c r="O179" i="29" s="1"/>
  <c r="AG181" i="4"/>
  <c r="P181" i="28"/>
  <c r="U181" i="28"/>
  <c r="V181" i="28" s="1"/>
  <c r="X181" i="28" s="1"/>
  <c r="A774" i="28"/>
  <c r="AN180" i="4" l="1"/>
  <c r="E182" i="29"/>
  <c r="M182" i="29"/>
  <c r="K182" i="29"/>
  <c r="T184" i="28"/>
  <c r="E184" i="28"/>
  <c r="M184" i="28"/>
  <c r="L184" i="28"/>
  <c r="AG182" i="4"/>
  <c r="H181" i="29"/>
  <c r="J181" i="29" s="1"/>
  <c r="AL181" i="4"/>
  <c r="AO184" i="4"/>
  <c r="G184" i="4"/>
  <c r="AQ184" i="4"/>
  <c r="AS184" i="4"/>
  <c r="AR184" i="4"/>
  <c r="H184" i="4"/>
  <c r="AF184" i="4"/>
  <c r="M184" i="4"/>
  <c r="I184" i="4"/>
  <c r="AT184" i="4"/>
  <c r="J184" i="4"/>
  <c r="E184" i="4"/>
  <c r="AP184" i="4"/>
  <c r="N184" i="4"/>
  <c r="L184" i="4"/>
  <c r="L180" i="29"/>
  <c r="N180" i="29"/>
  <c r="O180" i="29" s="1"/>
  <c r="AE184" i="28"/>
  <c r="AD184" i="28"/>
  <c r="Z182" i="28"/>
  <c r="O183" i="28"/>
  <c r="AH181" i="4"/>
  <c r="BD184" i="4"/>
  <c r="BE184" i="4"/>
  <c r="B185" i="4"/>
  <c r="BC186" i="4"/>
  <c r="S183" i="4"/>
  <c r="AA183" i="4" s="1"/>
  <c r="T183" i="4"/>
  <c r="U183" i="4"/>
  <c r="R183" i="4"/>
  <c r="Z183" i="4" s="1"/>
  <c r="W183" i="4"/>
  <c r="AB183" i="4" s="1"/>
  <c r="V183" i="4"/>
  <c r="AW183" i="4" s="1"/>
  <c r="Y183" i="4"/>
  <c r="AD183" i="4" s="1"/>
  <c r="X183" i="4"/>
  <c r="AC183" i="4" s="1"/>
  <c r="AX182" i="4"/>
  <c r="V184" i="29"/>
  <c r="B183" i="29"/>
  <c r="W182" i="29"/>
  <c r="G182" i="29" s="1"/>
  <c r="X182" i="29"/>
  <c r="J183" i="28"/>
  <c r="Y183" i="28" s="1"/>
  <c r="I183" i="28"/>
  <c r="K183" i="28" s="1"/>
  <c r="N183" i="28" s="1"/>
  <c r="AC186" i="28"/>
  <c r="B185" i="28"/>
  <c r="F184" i="28"/>
  <c r="W184" i="28"/>
  <c r="Q184" i="28"/>
  <c r="S184" i="28"/>
  <c r="R184" i="28"/>
  <c r="P182" i="28"/>
  <c r="U182" i="28"/>
  <c r="V182" i="28" s="1"/>
  <c r="X182" i="28" s="1"/>
  <c r="AM183" i="4"/>
  <c r="A775" i="28"/>
  <c r="E183" i="29" l="1"/>
  <c r="K183" i="29"/>
  <c r="M183" i="29"/>
  <c r="E185" i="28"/>
  <c r="T185" i="28"/>
  <c r="M185" i="28"/>
  <c r="L185" i="28"/>
  <c r="AL182" i="4"/>
  <c r="AM184" i="4"/>
  <c r="AH182" i="4"/>
  <c r="AG183" i="4"/>
  <c r="AX183" i="4"/>
  <c r="AN181" i="4"/>
  <c r="AU181" i="4"/>
  <c r="AV181" i="4" s="1"/>
  <c r="H182" i="29"/>
  <c r="J182" i="29" s="1"/>
  <c r="B186" i="28"/>
  <c r="AC187" i="28"/>
  <c r="P183" i="28"/>
  <c r="U183" i="28"/>
  <c r="V183" i="28" s="1"/>
  <c r="X183" i="28" s="1"/>
  <c r="W183" i="29"/>
  <c r="G183" i="29" s="1"/>
  <c r="X183" i="29"/>
  <c r="B184" i="29"/>
  <c r="V185" i="29"/>
  <c r="M185" i="4"/>
  <c r="H185" i="4"/>
  <c r="N185" i="4"/>
  <c r="AQ185" i="4"/>
  <c r="AP185" i="4"/>
  <c r="G185" i="4"/>
  <c r="I185" i="4"/>
  <c r="AF185" i="4"/>
  <c r="AO185" i="4"/>
  <c r="AR185" i="4"/>
  <c r="L185" i="4"/>
  <c r="AT185" i="4"/>
  <c r="J185" i="4"/>
  <c r="AS185" i="4"/>
  <c r="E185" i="4"/>
  <c r="BD185" i="4"/>
  <c r="BE185" i="4"/>
  <c r="O184" i="28"/>
  <c r="R185" i="28"/>
  <c r="S185" i="28"/>
  <c r="F185" i="28"/>
  <c r="W185" i="28"/>
  <c r="Q185" i="28"/>
  <c r="AE185" i="28"/>
  <c r="AD185" i="28"/>
  <c r="BC187" i="4"/>
  <c r="B186" i="4"/>
  <c r="W184" i="4"/>
  <c r="AB184" i="4" s="1"/>
  <c r="X184" i="4"/>
  <c r="AC184" i="4" s="1"/>
  <c r="T184" i="4"/>
  <c r="R184" i="4"/>
  <c r="Z184" i="4" s="1"/>
  <c r="U184" i="4"/>
  <c r="S184" i="4"/>
  <c r="AA184" i="4" s="1"/>
  <c r="V184" i="4"/>
  <c r="AW184" i="4" s="1"/>
  <c r="Y184" i="4"/>
  <c r="AD184" i="4" s="1"/>
  <c r="Z183" i="28"/>
  <c r="L181" i="29"/>
  <c r="N181" i="29"/>
  <c r="O181" i="29" s="1"/>
  <c r="I184" i="28"/>
  <c r="K184" i="28" s="1"/>
  <c r="N184" i="28" s="1"/>
  <c r="J184" i="28"/>
  <c r="Y184" i="28" s="1"/>
  <c r="A776" i="28"/>
  <c r="AN182" i="4" l="1"/>
  <c r="AU182" i="4"/>
  <c r="AV182" i="4" s="1"/>
  <c r="K184" i="29"/>
  <c r="M184" i="29"/>
  <c r="E184" i="29"/>
  <c r="E186" i="28"/>
  <c r="T186" i="28"/>
  <c r="M186" i="28"/>
  <c r="L186" i="28"/>
  <c r="AH183" i="4"/>
  <c r="AL183" i="4"/>
  <c r="AN183" i="4" s="1"/>
  <c r="H183" i="29"/>
  <c r="J183" i="29" s="1"/>
  <c r="N183" i="29" s="1"/>
  <c r="O183" i="29" s="1"/>
  <c r="O185" i="28"/>
  <c r="P184" i="28"/>
  <c r="U184" i="28"/>
  <c r="V184" i="28" s="1"/>
  <c r="X184" i="28" s="1"/>
  <c r="AG184" i="4"/>
  <c r="AX184" i="4"/>
  <c r="H186" i="4"/>
  <c r="AF186" i="4"/>
  <c r="N186" i="4"/>
  <c r="AR186" i="4"/>
  <c r="AP186" i="4"/>
  <c r="G186" i="4"/>
  <c r="J186" i="4"/>
  <c r="AQ186" i="4"/>
  <c r="E186" i="4"/>
  <c r="M186" i="4"/>
  <c r="L186" i="4"/>
  <c r="AT186" i="4"/>
  <c r="I186" i="4"/>
  <c r="AS186" i="4"/>
  <c r="AO186" i="4"/>
  <c r="J185" i="28"/>
  <c r="Y185" i="28" s="1"/>
  <c r="I185" i="28"/>
  <c r="K185" i="28" s="1"/>
  <c r="N185" i="28" s="1"/>
  <c r="Z184" i="28"/>
  <c r="W184" i="29"/>
  <c r="G184" i="29" s="1"/>
  <c r="X184" i="29"/>
  <c r="AC188" i="28"/>
  <c r="B187" i="28"/>
  <c r="Q186" i="28"/>
  <c r="F186" i="28"/>
  <c r="S186" i="28"/>
  <c r="R186" i="28"/>
  <c r="W186" i="28"/>
  <c r="BE186" i="4"/>
  <c r="BD186" i="4"/>
  <c r="B187" i="4"/>
  <c r="BC188" i="4"/>
  <c r="L182" i="29"/>
  <c r="N182" i="29"/>
  <c r="O182" i="29" s="1"/>
  <c r="Y185" i="4"/>
  <c r="AD185" i="4" s="1"/>
  <c r="U185" i="4"/>
  <c r="X185" i="4"/>
  <c r="AC185" i="4" s="1"/>
  <c r="T185" i="4"/>
  <c r="W185" i="4"/>
  <c r="AB185" i="4" s="1"/>
  <c r="R185" i="4"/>
  <c r="Z185" i="4" s="1"/>
  <c r="V185" i="4"/>
  <c r="AW185" i="4" s="1"/>
  <c r="S185" i="4"/>
  <c r="AA185" i="4" s="1"/>
  <c r="AM185" i="4"/>
  <c r="V186" i="29"/>
  <c r="B185" i="29"/>
  <c r="AD186" i="28"/>
  <c r="AE186" i="28"/>
  <c r="A777" i="28"/>
  <c r="Z185" i="28" l="1"/>
  <c r="M185" i="29"/>
  <c r="K185" i="29"/>
  <c r="E185" i="29"/>
  <c r="T187" i="28"/>
  <c r="E187" i="28"/>
  <c r="L187" i="28"/>
  <c r="M187" i="28"/>
  <c r="AH184" i="4"/>
  <c r="O186" i="28"/>
  <c r="AU183" i="4"/>
  <c r="AV183" i="4" s="1"/>
  <c r="L183" i="29"/>
  <c r="AL184" i="4"/>
  <c r="AG185" i="4"/>
  <c r="BC189" i="4"/>
  <c r="B188" i="4"/>
  <c r="BE187" i="4"/>
  <c r="BD187" i="4"/>
  <c r="W185" i="29"/>
  <c r="G185" i="29" s="1"/>
  <c r="X185" i="29"/>
  <c r="B186" i="29"/>
  <c r="V187" i="29"/>
  <c r="AX185" i="4"/>
  <c r="L187" i="4"/>
  <c r="M187" i="4"/>
  <c r="I187" i="4"/>
  <c r="AT187" i="4"/>
  <c r="AQ187" i="4"/>
  <c r="AO187" i="4"/>
  <c r="N187" i="4"/>
  <c r="AF187" i="4"/>
  <c r="E187" i="4"/>
  <c r="AS187" i="4"/>
  <c r="J187" i="4"/>
  <c r="AP187" i="4"/>
  <c r="H187" i="4"/>
  <c r="AR187" i="4"/>
  <c r="G187" i="4"/>
  <c r="X186" i="4"/>
  <c r="AC186" i="4" s="1"/>
  <c r="W186" i="4"/>
  <c r="AB186" i="4" s="1"/>
  <c r="R186" i="4"/>
  <c r="Z186" i="4" s="1"/>
  <c r="T186" i="4"/>
  <c r="Y186" i="4"/>
  <c r="AD186" i="4" s="1"/>
  <c r="U186" i="4"/>
  <c r="V186" i="4"/>
  <c r="AW186" i="4" s="1"/>
  <c r="S186" i="4"/>
  <c r="AA186" i="4" s="1"/>
  <c r="AC189" i="28"/>
  <c r="B188" i="28"/>
  <c r="AM186" i="4"/>
  <c r="J186" i="28"/>
  <c r="Y186" i="28" s="1"/>
  <c r="I186" i="28"/>
  <c r="K186" i="28" s="1"/>
  <c r="N186" i="28" s="1"/>
  <c r="S187" i="28"/>
  <c r="Q187" i="28"/>
  <c r="F187" i="28"/>
  <c r="W187" i="28"/>
  <c r="R187" i="28"/>
  <c r="AD187" i="28"/>
  <c r="AE187" i="28"/>
  <c r="P185" i="28"/>
  <c r="U185" i="28"/>
  <c r="V185" i="28" s="1"/>
  <c r="X185" i="28" s="1"/>
  <c r="A778" i="28"/>
  <c r="E186" i="29" l="1"/>
  <c r="K186" i="29"/>
  <c r="M186" i="29"/>
  <c r="T188" i="28"/>
  <c r="E188" i="28"/>
  <c r="M188" i="28"/>
  <c r="L188" i="28"/>
  <c r="Z186" i="28"/>
  <c r="AH185" i="4"/>
  <c r="AU184" i="4"/>
  <c r="AV184" i="4" s="1"/>
  <c r="AN184" i="4"/>
  <c r="AG186" i="4"/>
  <c r="U186" i="28"/>
  <c r="V186" i="28" s="1"/>
  <c r="X186" i="28" s="1"/>
  <c r="P186" i="28"/>
  <c r="W188" i="28"/>
  <c r="Q188" i="28"/>
  <c r="F188" i="28"/>
  <c r="S188" i="28"/>
  <c r="R188" i="28"/>
  <c r="B189" i="28"/>
  <c r="AC190" i="28"/>
  <c r="AX186" i="4"/>
  <c r="AM187" i="4"/>
  <c r="X186" i="29"/>
  <c r="W186" i="29"/>
  <c r="G186" i="29" s="1"/>
  <c r="V187" i="4"/>
  <c r="AW187" i="4" s="1"/>
  <c r="W187" i="4"/>
  <c r="AB187" i="4" s="1"/>
  <c r="U187" i="4"/>
  <c r="R187" i="4"/>
  <c r="Z187" i="4" s="1"/>
  <c r="X187" i="4"/>
  <c r="AC187" i="4" s="1"/>
  <c r="Y187" i="4"/>
  <c r="AD187" i="4" s="1"/>
  <c r="S187" i="4"/>
  <c r="AA187" i="4" s="1"/>
  <c r="T187" i="4"/>
  <c r="AF188" i="4"/>
  <c r="AS188" i="4"/>
  <c r="E188" i="4"/>
  <c r="F188" i="4" s="1"/>
  <c r="AO188" i="4"/>
  <c r="AR188" i="4"/>
  <c r="N188" i="4"/>
  <c r="AP188" i="4"/>
  <c r="AT188" i="4"/>
  <c r="H188" i="4"/>
  <c r="I188" i="4"/>
  <c r="AQ188" i="4"/>
  <c r="L188" i="4"/>
  <c r="M188" i="4"/>
  <c r="G188" i="4"/>
  <c r="J188" i="4"/>
  <c r="J187" i="28"/>
  <c r="Y187" i="28" s="1"/>
  <c r="I187" i="28"/>
  <c r="K187" i="28" s="1"/>
  <c r="N187" i="28" s="1"/>
  <c r="O187" i="28"/>
  <c r="AD188" i="28"/>
  <c r="AE188" i="28"/>
  <c r="AL185" i="4"/>
  <c r="B187" i="29"/>
  <c r="V188" i="29"/>
  <c r="B189" i="4"/>
  <c r="BC190" i="4"/>
  <c r="BD188" i="4"/>
  <c r="BE188" i="4"/>
  <c r="A779" i="28"/>
  <c r="E187" i="29" l="1"/>
  <c r="K187" i="29"/>
  <c r="M187" i="29"/>
  <c r="E189" i="28"/>
  <c r="T189" i="28"/>
  <c r="M189" i="28"/>
  <c r="L189" i="28"/>
  <c r="AL186" i="4"/>
  <c r="AH186" i="4"/>
  <c r="AX187" i="4"/>
  <c r="I188" i="28"/>
  <c r="K188" i="28" s="1"/>
  <c r="N188" i="28" s="1"/>
  <c r="J188" i="28"/>
  <c r="Y188" i="28" s="1"/>
  <c r="U187" i="28"/>
  <c r="V187" i="28" s="1"/>
  <c r="X187" i="28" s="1"/>
  <c r="P187" i="28"/>
  <c r="S188" i="4"/>
  <c r="T188" i="4"/>
  <c r="U188" i="4"/>
  <c r="X188" i="4"/>
  <c r="AC188" i="4" s="1"/>
  <c r="W188" i="4"/>
  <c r="AB188" i="4" s="1"/>
  <c r="V188" i="4"/>
  <c r="AW188" i="4" s="1"/>
  <c r="Y188" i="4"/>
  <c r="AD188" i="4" s="1"/>
  <c r="R188" i="4"/>
  <c r="Z188" i="4" s="1"/>
  <c r="I189" i="4"/>
  <c r="AF189" i="4"/>
  <c r="J189" i="4"/>
  <c r="AQ189" i="4"/>
  <c r="N189" i="4"/>
  <c r="L189" i="4"/>
  <c r="AR189" i="4"/>
  <c r="E189" i="4"/>
  <c r="AO189" i="4"/>
  <c r="AT189" i="4"/>
  <c r="H189" i="4"/>
  <c r="M189" i="4"/>
  <c r="AS189" i="4"/>
  <c r="AP189" i="4"/>
  <c r="G189" i="4"/>
  <c r="V189" i="29"/>
  <c r="B188" i="29"/>
  <c r="W187" i="29"/>
  <c r="G187" i="29" s="1"/>
  <c r="X187" i="29"/>
  <c r="AU185" i="4"/>
  <c r="AV185" i="4" s="1"/>
  <c r="AN185" i="4"/>
  <c r="Z187" i="28"/>
  <c r="AM188" i="4"/>
  <c r="AG187" i="4"/>
  <c r="R189" i="28"/>
  <c r="S189" i="28"/>
  <c r="F189" i="28"/>
  <c r="Q189" i="28"/>
  <c r="W189" i="28"/>
  <c r="O188" i="28"/>
  <c r="BE189" i="4"/>
  <c r="BD189" i="4"/>
  <c r="BC191" i="4"/>
  <c r="B190" i="4"/>
  <c r="AC191" i="28"/>
  <c r="B190" i="28"/>
  <c r="AD189" i="28"/>
  <c r="AE189" i="28"/>
  <c r="A780" i="28"/>
  <c r="AU186" i="4" l="1"/>
  <c r="AV186" i="4" s="1"/>
  <c r="AN186" i="4"/>
  <c r="K188" i="29"/>
  <c r="M188" i="29"/>
  <c r="E188" i="29"/>
  <c r="E190" i="28"/>
  <c r="T190" i="28"/>
  <c r="M190" i="28"/>
  <c r="L190" i="28"/>
  <c r="O189" i="28"/>
  <c r="AL187" i="4"/>
  <c r="AA188" i="4"/>
  <c r="AX188" i="4" s="1"/>
  <c r="AM189" i="4"/>
  <c r="F190" i="28"/>
  <c r="W190" i="28"/>
  <c r="Q190" i="28"/>
  <c r="R190" i="28"/>
  <c r="S190" i="28"/>
  <c r="B191" i="28"/>
  <c r="AC192" i="28"/>
  <c r="BE190" i="4"/>
  <c r="BD190" i="4"/>
  <c r="BC192" i="4"/>
  <c r="B191" i="4"/>
  <c r="S189" i="4"/>
  <c r="AA189" i="4" s="1"/>
  <c r="V189" i="4"/>
  <c r="AW189" i="4" s="1"/>
  <c r="U189" i="4"/>
  <c r="W189" i="4"/>
  <c r="AB189" i="4" s="1"/>
  <c r="Y189" i="4"/>
  <c r="AD189" i="4" s="1"/>
  <c r="T189" i="4"/>
  <c r="X189" i="4"/>
  <c r="AC189" i="4" s="1"/>
  <c r="R189" i="4"/>
  <c r="Z189" i="4" s="1"/>
  <c r="J189" i="28"/>
  <c r="Y189" i="28" s="1"/>
  <c r="I189" i="28"/>
  <c r="K189" i="28" s="1"/>
  <c r="N189" i="28" s="1"/>
  <c r="AD190" i="28"/>
  <c r="AE190" i="28"/>
  <c r="AR190" i="4"/>
  <c r="H190" i="4"/>
  <c r="L190" i="4"/>
  <c r="AO190" i="4"/>
  <c r="M190" i="4"/>
  <c r="J190" i="4"/>
  <c r="I190" i="4"/>
  <c r="AQ190" i="4"/>
  <c r="E190" i="4"/>
  <c r="N190" i="4"/>
  <c r="AF190" i="4"/>
  <c r="AT190" i="4"/>
  <c r="AS190" i="4"/>
  <c r="AP190" i="4"/>
  <c r="G190" i="4"/>
  <c r="Z188" i="28"/>
  <c r="AH187" i="4"/>
  <c r="W188" i="29"/>
  <c r="G188" i="29" s="1"/>
  <c r="X188" i="29"/>
  <c r="V190" i="29"/>
  <c r="B189" i="29"/>
  <c r="AG188" i="4"/>
  <c r="AH188" i="4" s="1"/>
  <c r="P188" i="28"/>
  <c r="U188" i="28"/>
  <c r="V188" i="28" s="1"/>
  <c r="X188" i="28" s="1"/>
  <c r="A781" i="28"/>
  <c r="M189" i="29" l="1"/>
  <c r="E189" i="29"/>
  <c r="K189" i="29"/>
  <c r="T191" i="28"/>
  <c r="E191" i="28"/>
  <c r="Z189" i="28"/>
  <c r="M191" i="28"/>
  <c r="L191" i="28"/>
  <c r="AN187" i="4"/>
  <c r="AU187" i="4"/>
  <c r="AV187" i="4" s="1"/>
  <c r="AM190" i="4"/>
  <c r="X189" i="29"/>
  <c r="W189" i="29"/>
  <c r="G189" i="29" s="1"/>
  <c r="V191" i="29"/>
  <c r="B190" i="29"/>
  <c r="U189" i="28"/>
  <c r="V189" i="28" s="1"/>
  <c r="X189" i="28" s="1"/>
  <c r="P189" i="28"/>
  <c r="AG189" i="4"/>
  <c r="AX189" i="4"/>
  <c r="AR191" i="4"/>
  <c r="AO191" i="4"/>
  <c r="L191" i="4"/>
  <c r="AP191" i="4"/>
  <c r="G191" i="4"/>
  <c r="M191" i="4"/>
  <c r="I191" i="4"/>
  <c r="H191" i="4"/>
  <c r="AS191" i="4"/>
  <c r="J191" i="4"/>
  <c r="N191" i="4"/>
  <c r="AF191" i="4"/>
  <c r="AQ191" i="4"/>
  <c r="AT191" i="4"/>
  <c r="E191" i="4"/>
  <c r="V190" i="4"/>
  <c r="AW190" i="4" s="1"/>
  <c r="X190" i="4"/>
  <c r="AC190" i="4" s="1"/>
  <c r="W190" i="4"/>
  <c r="AB190" i="4" s="1"/>
  <c r="Y190" i="4"/>
  <c r="AD190" i="4" s="1"/>
  <c r="T190" i="4"/>
  <c r="S190" i="4"/>
  <c r="AA190" i="4" s="1"/>
  <c r="U190" i="4"/>
  <c r="R190" i="4"/>
  <c r="Z190" i="4" s="1"/>
  <c r="AC193" i="28"/>
  <c r="B192" i="28"/>
  <c r="S191" i="28"/>
  <c r="R191" i="28"/>
  <c r="W191" i="28"/>
  <c r="Q191" i="28"/>
  <c r="F191" i="28"/>
  <c r="AL188" i="4"/>
  <c r="I190" i="28"/>
  <c r="K190" i="28" s="1"/>
  <c r="N190" i="28" s="1"/>
  <c r="J190" i="28"/>
  <c r="Y190" i="28" s="1"/>
  <c r="BD191" i="4"/>
  <c r="BE191" i="4"/>
  <c r="BC193" i="4"/>
  <c r="B192" i="4"/>
  <c r="AD191" i="28"/>
  <c r="AE191" i="28"/>
  <c r="O190" i="28"/>
  <c r="A782" i="28"/>
  <c r="A795" i="28" s="1"/>
  <c r="A796" i="28" s="1"/>
  <c r="A797" i="28" s="1"/>
  <c r="A798" i="28" s="1"/>
  <c r="A799" i="28" s="1"/>
  <c r="A800" i="28" s="1"/>
  <c r="A801" i="28" s="1"/>
  <c r="A802" i="28" s="1"/>
  <c r="A803" i="28" s="1"/>
  <c r="A804" i="28" s="1"/>
  <c r="A805" i="28" s="1"/>
  <c r="A806" i="28" s="1"/>
  <c r="E190" i="29" l="1"/>
  <c r="M190" i="29"/>
  <c r="K190" i="29"/>
  <c r="T192" i="28"/>
  <c r="E192" i="28"/>
  <c r="M192" i="28"/>
  <c r="L192" i="28"/>
  <c r="AL189" i="4"/>
  <c r="AU189" i="4" s="1"/>
  <c r="AV189" i="4" s="1"/>
  <c r="O191" i="28"/>
  <c r="AM191" i="4"/>
  <c r="AH189" i="4"/>
  <c r="AQ192" i="4"/>
  <c r="E192" i="4"/>
  <c r="N192" i="4"/>
  <c r="AT192" i="4"/>
  <c r="M192" i="4"/>
  <c r="AP192" i="4"/>
  <c r="G192" i="4"/>
  <c r="I192" i="4"/>
  <c r="AS192" i="4"/>
  <c r="AF192" i="4"/>
  <c r="L192" i="4"/>
  <c r="AR192" i="4"/>
  <c r="J192" i="4"/>
  <c r="H192" i="4"/>
  <c r="AO192" i="4"/>
  <c r="V191" i="4"/>
  <c r="AW191" i="4" s="1"/>
  <c r="Y191" i="4"/>
  <c r="AD191" i="4" s="1"/>
  <c r="W191" i="4"/>
  <c r="AB191" i="4" s="1"/>
  <c r="X191" i="4"/>
  <c r="AC191" i="4" s="1"/>
  <c r="S191" i="4"/>
  <c r="AA191" i="4" s="1"/>
  <c r="U191" i="4"/>
  <c r="R191" i="4"/>
  <c r="Z191" i="4" s="1"/>
  <c r="T191" i="4"/>
  <c r="AU188" i="4"/>
  <c r="AV188" i="4" s="1"/>
  <c r="AN188" i="4"/>
  <c r="AD192" i="28"/>
  <c r="AE192" i="28"/>
  <c r="AX190" i="4"/>
  <c r="AG190" i="4"/>
  <c r="X190" i="29"/>
  <c r="W190" i="29"/>
  <c r="G190" i="29" s="1"/>
  <c r="B191" i="29"/>
  <c r="V192" i="29"/>
  <c r="Z190" i="28"/>
  <c r="I191" i="28"/>
  <c r="K191" i="28" s="1"/>
  <c r="N191" i="28" s="1"/>
  <c r="J191" i="28"/>
  <c r="Y191" i="28" s="1"/>
  <c r="BE192" i="4"/>
  <c r="BD192" i="4"/>
  <c r="B193" i="4"/>
  <c r="BC194" i="4"/>
  <c r="P190" i="28"/>
  <c r="U190" i="28"/>
  <c r="V190" i="28" s="1"/>
  <c r="X190" i="28" s="1"/>
  <c r="W192" i="28"/>
  <c r="R192" i="28"/>
  <c r="F192" i="28"/>
  <c r="S192" i="28"/>
  <c r="Q192" i="28"/>
  <c r="AC194" i="28"/>
  <c r="B193" i="28"/>
  <c r="A783" i="28"/>
  <c r="AX191" i="4" l="1"/>
  <c r="AN189" i="4"/>
  <c r="E191" i="29"/>
  <c r="K191" i="29"/>
  <c r="M191" i="29"/>
  <c r="E193" i="28"/>
  <c r="T193" i="28"/>
  <c r="M193" i="28"/>
  <c r="L193" i="28"/>
  <c r="Z191" i="28"/>
  <c r="AL190" i="4"/>
  <c r="AU190" i="4" s="1"/>
  <c r="AV190" i="4" s="1"/>
  <c r="BC195" i="4"/>
  <c r="B194" i="4"/>
  <c r="AF193" i="4"/>
  <c r="E193" i="4"/>
  <c r="AR193" i="4"/>
  <c r="AO193" i="4"/>
  <c r="AP193" i="4"/>
  <c r="G193" i="4"/>
  <c r="H193" i="4"/>
  <c r="L193" i="4"/>
  <c r="N193" i="4"/>
  <c r="I193" i="4"/>
  <c r="AT193" i="4"/>
  <c r="J193" i="4"/>
  <c r="AS193" i="4"/>
  <c r="AQ193" i="4"/>
  <c r="M193" i="4"/>
  <c r="U191" i="28"/>
  <c r="V191" i="28" s="1"/>
  <c r="X191" i="28" s="1"/>
  <c r="P191" i="28"/>
  <c r="B192" i="29"/>
  <c r="V193" i="29"/>
  <c r="AM192" i="4"/>
  <c r="AH190" i="4"/>
  <c r="AC195" i="28"/>
  <c r="B194" i="28"/>
  <c r="F193" i="28"/>
  <c r="S193" i="28"/>
  <c r="R193" i="28"/>
  <c r="W193" i="28"/>
  <c r="Q193" i="28"/>
  <c r="AE193" i="28"/>
  <c r="AD193" i="28"/>
  <c r="O192" i="28"/>
  <c r="BD193" i="4"/>
  <c r="BE193" i="4"/>
  <c r="R192" i="4"/>
  <c r="Z192" i="4" s="1"/>
  <c r="X192" i="4"/>
  <c r="AC192" i="4" s="1"/>
  <c r="U192" i="4"/>
  <c r="W192" i="4"/>
  <c r="AB192" i="4" s="1"/>
  <c r="Y192" i="4"/>
  <c r="AD192" i="4" s="1"/>
  <c r="S192" i="4"/>
  <c r="V192" i="4"/>
  <c r="AW192" i="4" s="1"/>
  <c r="T192" i="4"/>
  <c r="X191" i="29"/>
  <c r="W191" i="29"/>
  <c r="G191" i="29" s="1"/>
  <c r="J192" i="28"/>
  <c r="Y192" i="28" s="1"/>
  <c r="I192" i="28"/>
  <c r="K192" i="28" s="1"/>
  <c r="N192" i="28" s="1"/>
  <c r="AG191" i="4"/>
  <c r="AL191" i="4" s="1"/>
  <c r="A784" i="28"/>
  <c r="K192" i="29" l="1"/>
  <c r="M192" i="29"/>
  <c r="E192" i="29"/>
  <c r="E194" i="28"/>
  <c r="T194" i="28"/>
  <c r="M194" i="28"/>
  <c r="L194" i="28"/>
  <c r="AN190" i="4"/>
  <c r="AA192" i="4"/>
  <c r="AX192" i="4" s="1"/>
  <c r="O193" i="28"/>
  <c r="AN191" i="4"/>
  <c r="AU191" i="4"/>
  <c r="AV191" i="4" s="1"/>
  <c r="AG192" i="4"/>
  <c r="Y193" i="4"/>
  <c r="AD193" i="4" s="1"/>
  <c r="R193" i="4"/>
  <c r="Z193" i="4" s="1"/>
  <c r="X193" i="4"/>
  <c r="AC193" i="4" s="1"/>
  <c r="U193" i="4"/>
  <c r="T193" i="4"/>
  <c r="S193" i="4"/>
  <c r="V193" i="4"/>
  <c r="AW193" i="4" s="1"/>
  <c r="W193" i="4"/>
  <c r="AB193" i="4" s="1"/>
  <c r="AC196" i="28"/>
  <c r="B195" i="28"/>
  <c r="AH191" i="4"/>
  <c r="V194" i="29"/>
  <c r="B193" i="29"/>
  <c r="BE194" i="4"/>
  <c r="BD194" i="4"/>
  <c r="BC196" i="4"/>
  <c r="B195" i="4"/>
  <c r="U192" i="28"/>
  <c r="V192" i="28" s="1"/>
  <c r="X192" i="28" s="1"/>
  <c r="P192" i="28"/>
  <c r="Z192" i="28"/>
  <c r="J193" i="28"/>
  <c r="Y193" i="28" s="1"/>
  <c r="I193" i="28"/>
  <c r="K193" i="28" s="1"/>
  <c r="N193" i="28" s="1"/>
  <c r="F194" i="28"/>
  <c r="W194" i="28"/>
  <c r="R194" i="28"/>
  <c r="S194" i="28"/>
  <c r="Q194" i="28"/>
  <c r="AE194" i="28"/>
  <c r="AD194" i="28"/>
  <c r="X192" i="29"/>
  <c r="W192" i="29"/>
  <c r="G192" i="29" s="1"/>
  <c r="AM193" i="4"/>
  <c r="I194" i="4"/>
  <c r="L194" i="4"/>
  <c r="N194" i="4"/>
  <c r="AR194" i="4"/>
  <c r="J194" i="4"/>
  <c r="AT194" i="4"/>
  <c r="E194" i="4"/>
  <c r="G194" i="4"/>
  <c r="AO194" i="4"/>
  <c r="M194" i="4"/>
  <c r="AF194" i="4"/>
  <c r="AS194" i="4"/>
  <c r="AQ194" i="4"/>
  <c r="H194" i="4"/>
  <c r="AP194" i="4"/>
  <c r="A785" i="28"/>
  <c r="M193" i="29" l="1"/>
  <c r="K193" i="29"/>
  <c r="E193" i="29"/>
  <c r="T195" i="28"/>
  <c r="E195" i="28"/>
  <c r="L195" i="28"/>
  <c r="M195" i="28"/>
  <c r="AA193" i="4"/>
  <c r="AX193" i="4" s="1"/>
  <c r="Z193" i="28"/>
  <c r="AH192" i="4"/>
  <c r="AL192" i="4"/>
  <c r="AN192" i="4" s="1"/>
  <c r="O194" i="28"/>
  <c r="P193" i="28"/>
  <c r="U193" i="28"/>
  <c r="V193" i="28" s="1"/>
  <c r="X193" i="28" s="1"/>
  <c r="H195" i="4"/>
  <c r="AO195" i="4"/>
  <c r="AR195" i="4"/>
  <c r="G195" i="4"/>
  <c r="E195" i="4"/>
  <c r="M195" i="4"/>
  <c r="AF195" i="4"/>
  <c r="AQ195" i="4"/>
  <c r="AS195" i="4"/>
  <c r="J195" i="4"/>
  <c r="AT195" i="4"/>
  <c r="I195" i="4"/>
  <c r="AP195" i="4"/>
  <c r="N195" i="4"/>
  <c r="L195" i="4"/>
  <c r="B196" i="4"/>
  <c r="BC197" i="4"/>
  <c r="X194" i="4"/>
  <c r="AC194" i="4" s="1"/>
  <c r="R194" i="4"/>
  <c r="Z194" i="4" s="1"/>
  <c r="U194" i="4"/>
  <c r="Y194" i="4"/>
  <c r="AD194" i="4" s="1"/>
  <c r="T194" i="4"/>
  <c r="S194" i="4"/>
  <c r="AA194" i="4" s="1"/>
  <c r="W194" i="4"/>
  <c r="AB194" i="4" s="1"/>
  <c r="V194" i="4"/>
  <c r="AW194" i="4" s="1"/>
  <c r="V195" i="29"/>
  <c r="B194" i="29"/>
  <c r="E194" i="29" s="1"/>
  <c r="F195" i="28"/>
  <c r="W195" i="28"/>
  <c r="R195" i="28"/>
  <c r="S195" i="28"/>
  <c r="Q195" i="28"/>
  <c r="AC197" i="28"/>
  <c r="B196" i="28"/>
  <c r="AG193" i="4"/>
  <c r="AH193" i="4" s="1"/>
  <c r="AM194" i="4"/>
  <c r="J194" i="28"/>
  <c r="Y194" i="28" s="1"/>
  <c r="I194" i="28"/>
  <c r="K194" i="28" s="1"/>
  <c r="N194" i="28" s="1"/>
  <c r="BE195" i="4"/>
  <c r="BD195" i="4"/>
  <c r="X193" i="29"/>
  <c r="W193" i="29"/>
  <c r="G193" i="29" s="1"/>
  <c r="AE195" i="28"/>
  <c r="AD195" i="28"/>
  <c r="A786" i="28"/>
  <c r="K194" i="29" l="1"/>
  <c r="M194" i="29"/>
  <c r="T196" i="28"/>
  <c r="E196" i="28"/>
  <c r="M196" i="28"/>
  <c r="L196" i="28"/>
  <c r="AU192" i="4"/>
  <c r="AV192" i="4" s="1"/>
  <c r="AL193" i="4"/>
  <c r="W195" i="4"/>
  <c r="AB195" i="4" s="1"/>
  <c r="X195" i="4"/>
  <c r="AC195" i="4" s="1"/>
  <c r="V195" i="4"/>
  <c r="AW195" i="4" s="1"/>
  <c r="Y195" i="4"/>
  <c r="AD195" i="4" s="1"/>
  <c r="R195" i="4"/>
  <c r="Z195" i="4" s="1"/>
  <c r="T195" i="4"/>
  <c r="S195" i="4"/>
  <c r="AA195" i="4" s="1"/>
  <c r="AX195" i="4" s="1"/>
  <c r="U195" i="4"/>
  <c r="B197" i="28"/>
  <c r="AC198" i="28"/>
  <c r="W194" i="29"/>
  <c r="G194" i="29" s="1"/>
  <c r="X194" i="29"/>
  <c r="B195" i="29"/>
  <c r="V196" i="29"/>
  <c r="BD196" i="4"/>
  <c r="BE196" i="4"/>
  <c r="AM195" i="4"/>
  <c r="J195" i="28"/>
  <c r="Y195" i="28" s="1"/>
  <c r="I195" i="28"/>
  <c r="K195" i="28" s="1"/>
  <c r="N195" i="28" s="1"/>
  <c r="P194" i="28"/>
  <c r="U194" i="28"/>
  <c r="V194" i="28" s="1"/>
  <c r="X194" i="28" s="1"/>
  <c r="R196" i="28"/>
  <c r="W196" i="28"/>
  <c r="F196" i="28"/>
  <c r="S196" i="28"/>
  <c r="Q196" i="28"/>
  <c r="AE196" i="28"/>
  <c r="AD196" i="28"/>
  <c r="O195" i="28"/>
  <c r="AX194" i="4"/>
  <c r="AG194" i="4"/>
  <c r="BC198" i="4"/>
  <c r="B197" i="4"/>
  <c r="AQ196" i="4"/>
  <c r="AP196" i="4"/>
  <c r="G196" i="4"/>
  <c r="E196" i="4"/>
  <c r="F196" i="4" s="1"/>
  <c r="H196" i="4"/>
  <c r="L196" i="4"/>
  <c r="N196" i="4"/>
  <c r="J196" i="4"/>
  <c r="I196" i="4"/>
  <c r="AS196" i="4"/>
  <c r="AT196" i="4"/>
  <c r="AO196" i="4"/>
  <c r="M196" i="4"/>
  <c r="AF196" i="4"/>
  <c r="AR196" i="4"/>
  <c r="Z194" i="28"/>
  <c r="A787" i="28"/>
  <c r="E195" i="29" l="1"/>
  <c r="K195" i="29"/>
  <c r="M195" i="29"/>
  <c r="E197" i="28"/>
  <c r="T197" i="28"/>
  <c r="AH194" i="4"/>
  <c r="M197" i="28"/>
  <c r="L197" i="28"/>
  <c r="AU193" i="4"/>
  <c r="AV193" i="4" s="1"/>
  <c r="AN193" i="4"/>
  <c r="AG195" i="4"/>
  <c r="AL195" i="4" s="1"/>
  <c r="AM196" i="4"/>
  <c r="B198" i="4"/>
  <c r="BC199" i="4"/>
  <c r="AL194" i="4"/>
  <c r="Z195" i="28"/>
  <c r="J196" i="28"/>
  <c r="Y196" i="28" s="1"/>
  <c r="I196" i="28"/>
  <c r="K196" i="28" s="1"/>
  <c r="N196" i="28" s="1"/>
  <c r="U195" i="28"/>
  <c r="V195" i="28" s="1"/>
  <c r="X195" i="28" s="1"/>
  <c r="P195" i="28"/>
  <c r="W196" i="4"/>
  <c r="AB196" i="4" s="1"/>
  <c r="R196" i="4"/>
  <c r="Z196" i="4" s="1"/>
  <c r="T196" i="4"/>
  <c r="V196" i="4"/>
  <c r="AW196" i="4" s="1"/>
  <c r="S196" i="4"/>
  <c r="AA196" i="4" s="1"/>
  <c r="X196" i="4"/>
  <c r="AC196" i="4" s="1"/>
  <c r="Y196" i="4"/>
  <c r="AD196" i="4" s="1"/>
  <c r="U196" i="4"/>
  <c r="V197" i="29"/>
  <c r="B196" i="29"/>
  <c r="W195" i="29"/>
  <c r="G195" i="29" s="1"/>
  <c r="X195" i="29"/>
  <c r="B198" i="28"/>
  <c r="AC199" i="28"/>
  <c r="R197" i="28"/>
  <c r="S197" i="28"/>
  <c r="F197" i="28"/>
  <c r="Q197" i="28"/>
  <c r="W197" i="28"/>
  <c r="AP197" i="4"/>
  <c r="E197" i="4"/>
  <c r="G197" i="4"/>
  <c r="AT197" i="4"/>
  <c r="M197" i="4"/>
  <c r="AF197" i="4"/>
  <c r="AS197" i="4"/>
  <c r="H197" i="4"/>
  <c r="J197" i="4"/>
  <c r="I197" i="4"/>
  <c r="AO197" i="4"/>
  <c r="N197" i="4"/>
  <c r="L197" i="4"/>
  <c r="AR197" i="4"/>
  <c r="AQ197" i="4"/>
  <c r="BE197" i="4"/>
  <c r="BD197" i="4"/>
  <c r="O196" i="28"/>
  <c r="AE197" i="28"/>
  <c r="AD197" i="28"/>
  <c r="A788" i="28"/>
  <c r="K196" i="29" l="1"/>
  <c r="M196" i="29"/>
  <c r="E196" i="29"/>
  <c r="E198" i="28"/>
  <c r="T198" i="28"/>
  <c r="M198" i="28"/>
  <c r="L198" i="28"/>
  <c r="AH195" i="4"/>
  <c r="O197" i="28"/>
  <c r="AX196" i="4"/>
  <c r="AN195" i="4"/>
  <c r="AU195" i="4"/>
  <c r="AV195" i="4" s="1"/>
  <c r="J197" i="28"/>
  <c r="Y197" i="28" s="1"/>
  <c r="I197" i="28"/>
  <c r="K197" i="28" s="1"/>
  <c r="N197" i="28" s="1"/>
  <c r="Z196" i="28"/>
  <c r="T197" i="4"/>
  <c r="R197" i="4"/>
  <c r="Z197" i="4" s="1"/>
  <c r="S197" i="4"/>
  <c r="AA197" i="4" s="1"/>
  <c r="U197" i="4"/>
  <c r="Y197" i="4"/>
  <c r="AD197" i="4" s="1"/>
  <c r="V197" i="4"/>
  <c r="AW197" i="4" s="1"/>
  <c r="W197" i="4"/>
  <c r="AB197" i="4" s="1"/>
  <c r="X197" i="4"/>
  <c r="AC197" i="4" s="1"/>
  <c r="AM197" i="4"/>
  <c r="B199" i="28"/>
  <c r="AC200" i="28"/>
  <c r="AE198" i="28"/>
  <c r="AD198" i="28"/>
  <c r="X196" i="29"/>
  <c r="W196" i="29"/>
  <c r="G196" i="29" s="1"/>
  <c r="P196" i="28"/>
  <c r="U196" i="28"/>
  <c r="V196" i="28" s="1"/>
  <c r="X196" i="28" s="1"/>
  <c r="BC200" i="4"/>
  <c r="B199" i="4"/>
  <c r="M198" i="4"/>
  <c r="I198" i="4"/>
  <c r="AP198" i="4"/>
  <c r="AQ198" i="4"/>
  <c r="AR198" i="4"/>
  <c r="N198" i="4"/>
  <c r="AS198" i="4"/>
  <c r="J198" i="4"/>
  <c r="L198" i="4"/>
  <c r="AF198" i="4"/>
  <c r="AO198" i="4"/>
  <c r="AT198" i="4"/>
  <c r="H198" i="4"/>
  <c r="G198" i="4"/>
  <c r="E198" i="4"/>
  <c r="R198" i="28"/>
  <c r="S198" i="28"/>
  <c r="F198" i="28"/>
  <c r="Q198" i="28"/>
  <c r="W198" i="28"/>
  <c r="B197" i="29"/>
  <c r="V198" i="29"/>
  <c r="AG196" i="4"/>
  <c r="AU194" i="4"/>
  <c r="AV194" i="4" s="1"/>
  <c r="AN194" i="4"/>
  <c r="BD198" i="4"/>
  <c r="BE198" i="4"/>
  <c r="A789" i="28"/>
  <c r="M197" i="29" l="1"/>
  <c r="E197" i="29"/>
  <c r="K197" i="29"/>
  <c r="T199" i="28"/>
  <c r="E199" i="28"/>
  <c r="M199" i="28"/>
  <c r="L199" i="28"/>
  <c r="Z197" i="28"/>
  <c r="AH196" i="4"/>
  <c r="AX197" i="4"/>
  <c r="U198" i="4"/>
  <c r="T198" i="4"/>
  <c r="X198" i="4"/>
  <c r="AC198" i="4" s="1"/>
  <c r="W198" i="4"/>
  <c r="AB198" i="4" s="1"/>
  <c r="Y198" i="4"/>
  <c r="AD198" i="4" s="1"/>
  <c r="V198" i="4"/>
  <c r="AW198" i="4" s="1"/>
  <c r="S198" i="4"/>
  <c r="AA198" i="4" s="1"/>
  <c r="R198" i="4"/>
  <c r="Z198" i="4" s="1"/>
  <c r="AL196" i="4"/>
  <c r="V199" i="29"/>
  <c r="B198" i="29"/>
  <c r="X197" i="29"/>
  <c r="W197" i="29"/>
  <c r="G197" i="29" s="1"/>
  <c r="AM198" i="4"/>
  <c r="BE199" i="4"/>
  <c r="BD199" i="4"/>
  <c r="W199" i="28"/>
  <c r="R199" i="28"/>
  <c r="S199" i="28"/>
  <c r="F199" i="28"/>
  <c r="Q199" i="28"/>
  <c r="U197" i="28"/>
  <c r="V197" i="28" s="1"/>
  <c r="X197" i="28" s="1"/>
  <c r="P197" i="28"/>
  <c r="O198" i="28"/>
  <c r="M199" i="4"/>
  <c r="AF199" i="4"/>
  <c r="G199" i="4"/>
  <c r="AP199" i="4"/>
  <c r="AT199" i="4"/>
  <c r="AS199" i="4"/>
  <c r="AR199" i="4"/>
  <c r="H199" i="4"/>
  <c r="N199" i="4"/>
  <c r="L199" i="4"/>
  <c r="AO199" i="4"/>
  <c r="J199" i="4"/>
  <c r="I199" i="4"/>
  <c r="E199" i="4"/>
  <c r="AQ199" i="4"/>
  <c r="BC201" i="4"/>
  <c r="B200" i="4"/>
  <c r="I198" i="28"/>
  <c r="K198" i="28" s="1"/>
  <c r="N198" i="28" s="1"/>
  <c r="J198" i="28"/>
  <c r="Y198" i="28" s="1"/>
  <c r="AC201" i="28"/>
  <c r="B200" i="28"/>
  <c r="AD199" i="28"/>
  <c r="AE199" i="28"/>
  <c r="AG197" i="4"/>
  <c r="A790" i="28"/>
  <c r="E198" i="29" l="1"/>
  <c r="M198" i="29"/>
  <c r="K198" i="29"/>
  <c r="L200" i="28"/>
  <c r="T200" i="28"/>
  <c r="E200" i="28"/>
  <c r="AL197" i="4"/>
  <c r="AH197" i="4"/>
  <c r="S200" i="28"/>
  <c r="R200" i="28"/>
  <c r="Q200" i="28"/>
  <c r="F200" i="28"/>
  <c r="W200" i="28"/>
  <c r="AC202" i="28"/>
  <c r="B201" i="28"/>
  <c r="P198" i="28"/>
  <c r="U198" i="28"/>
  <c r="V198" i="28" s="1"/>
  <c r="X198" i="28" s="1"/>
  <c r="AO200" i="4"/>
  <c r="AQ200" i="4"/>
  <c r="N200" i="4"/>
  <c r="AP200" i="4"/>
  <c r="L200" i="4"/>
  <c r="AR200" i="4"/>
  <c r="G200" i="4"/>
  <c r="J200" i="4"/>
  <c r="E200" i="4"/>
  <c r="F200" i="4" s="1"/>
  <c r="M200" i="4"/>
  <c r="AF200" i="4"/>
  <c r="H200" i="4"/>
  <c r="I200" i="4"/>
  <c r="AT200" i="4"/>
  <c r="AS200" i="4"/>
  <c r="BC202" i="4"/>
  <c r="B201" i="4"/>
  <c r="I199" i="28"/>
  <c r="K199" i="28" s="1"/>
  <c r="N199" i="28" s="1"/>
  <c r="J199" i="28"/>
  <c r="Y199" i="28" s="1"/>
  <c r="AE200" i="28"/>
  <c r="AD200" i="28"/>
  <c r="BE200" i="4"/>
  <c r="BD200" i="4"/>
  <c r="W199" i="4"/>
  <c r="AB199" i="4" s="1"/>
  <c r="Y199" i="4"/>
  <c r="AD199" i="4" s="1"/>
  <c r="V199" i="4"/>
  <c r="AW199" i="4" s="1"/>
  <c r="X199" i="4"/>
  <c r="AC199" i="4" s="1"/>
  <c r="U199" i="4"/>
  <c r="R199" i="4"/>
  <c r="Z199" i="4" s="1"/>
  <c r="S199" i="4"/>
  <c r="AA199" i="4" s="1"/>
  <c r="T199" i="4"/>
  <c r="W198" i="29"/>
  <c r="G198" i="29" s="1"/>
  <c r="X198" i="29"/>
  <c r="AN196" i="4"/>
  <c r="AU196" i="4"/>
  <c r="AV196" i="4" s="1"/>
  <c r="AM199" i="4"/>
  <c r="Z198" i="28"/>
  <c r="O199" i="28"/>
  <c r="V200" i="29"/>
  <c r="B199" i="29"/>
  <c r="AX198" i="4"/>
  <c r="AG198" i="4"/>
  <c r="AH198" i="4" s="1"/>
  <c r="A791" i="28"/>
  <c r="AX199" i="4" l="1"/>
  <c r="E199" i="29"/>
  <c r="K199" i="29"/>
  <c r="M199" i="29"/>
  <c r="E201" i="28"/>
  <c r="T201" i="28"/>
  <c r="M201" i="28"/>
  <c r="L201" i="28"/>
  <c r="AU197" i="4"/>
  <c r="AV197" i="4" s="1"/>
  <c r="O200" i="28"/>
  <c r="H198" i="29"/>
  <c r="J198" i="29" s="1"/>
  <c r="L198" i="29" s="1"/>
  <c r="AN197" i="4"/>
  <c r="AG199" i="4"/>
  <c r="AL199" i="4" s="1"/>
  <c r="AE201" i="28"/>
  <c r="AD201" i="28"/>
  <c r="X199" i="29"/>
  <c r="W199" i="29"/>
  <c r="G199" i="29" s="1"/>
  <c r="J200" i="28"/>
  <c r="Y200" i="28" s="1"/>
  <c r="I200" i="28"/>
  <c r="K200" i="28" s="1"/>
  <c r="N200" i="28" s="1"/>
  <c r="BE201" i="4"/>
  <c r="BD201" i="4"/>
  <c r="V201" i="29"/>
  <c r="B200" i="29"/>
  <c r="Z199" i="28"/>
  <c r="AL198" i="4"/>
  <c r="U200" i="4"/>
  <c r="Y200" i="4"/>
  <c r="AD200" i="4" s="1"/>
  <c r="V200" i="4"/>
  <c r="AW200" i="4" s="1"/>
  <c r="T200" i="4"/>
  <c r="W200" i="4"/>
  <c r="AB200" i="4" s="1"/>
  <c r="R200" i="4"/>
  <c r="Z200" i="4" s="1"/>
  <c r="S200" i="4"/>
  <c r="AA200" i="4" s="1"/>
  <c r="AX200" i="4" s="1"/>
  <c r="X200" i="4"/>
  <c r="AC200" i="4" s="1"/>
  <c r="P199" i="28"/>
  <c r="U199" i="28"/>
  <c r="V199" i="28" s="1"/>
  <c r="X199" i="28" s="1"/>
  <c r="AF201" i="4"/>
  <c r="I201" i="4"/>
  <c r="AQ201" i="4"/>
  <c r="M201" i="4"/>
  <c r="G201" i="4"/>
  <c r="J201" i="4"/>
  <c r="E201" i="4"/>
  <c r="AT201" i="4"/>
  <c r="N201" i="4"/>
  <c r="L201" i="4"/>
  <c r="AP201" i="4"/>
  <c r="H201" i="4"/>
  <c r="AO201" i="4"/>
  <c r="AS201" i="4"/>
  <c r="AR201" i="4"/>
  <c r="B202" i="4"/>
  <c r="BC203" i="4"/>
  <c r="AM200" i="4"/>
  <c r="Q201" i="28"/>
  <c r="F201" i="28"/>
  <c r="W201" i="28"/>
  <c r="R201" i="28"/>
  <c r="S201" i="28"/>
  <c r="AC203" i="28"/>
  <c r="B202" i="28"/>
  <c r="A792" i="28"/>
  <c r="K200" i="29" l="1"/>
  <c r="M200" i="29"/>
  <c r="E200" i="29"/>
  <c r="E202" i="28"/>
  <c r="T202" i="28"/>
  <c r="Z200" i="28"/>
  <c r="L202" i="28"/>
  <c r="AH199" i="4"/>
  <c r="N198" i="29"/>
  <c r="O198" i="29" s="1"/>
  <c r="AU199" i="4"/>
  <c r="AV199" i="4" s="1"/>
  <c r="AN199" i="4"/>
  <c r="AE202" i="28"/>
  <c r="AD202" i="28"/>
  <c r="F202" i="28"/>
  <c r="R202" i="28"/>
  <c r="S202" i="28"/>
  <c r="W202" i="28"/>
  <c r="Q202" i="28"/>
  <c r="AC204" i="28"/>
  <c r="B203" i="28"/>
  <c r="BD202" i="4"/>
  <c r="BE202" i="4"/>
  <c r="J202" i="4"/>
  <c r="AF202" i="4"/>
  <c r="G202" i="4"/>
  <c r="AS202" i="4"/>
  <c r="E202" i="4"/>
  <c r="I202" i="4"/>
  <c r="L202" i="4"/>
  <c r="AR202" i="4"/>
  <c r="N202" i="4"/>
  <c r="AP202" i="4"/>
  <c r="H202" i="4"/>
  <c r="M202" i="4"/>
  <c r="AT202" i="4"/>
  <c r="AQ202" i="4"/>
  <c r="AO202" i="4"/>
  <c r="V202" i="29"/>
  <c r="B201" i="29"/>
  <c r="P200" i="28"/>
  <c r="U200" i="28"/>
  <c r="V200" i="28" s="1"/>
  <c r="X200" i="28" s="1"/>
  <c r="I201" i="28"/>
  <c r="K201" i="28" s="1"/>
  <c r="N201" i="28" s="1"/>
  <c r="J201" i="28"/>
  <c r="Y201" i="28" s="1"/>
  <c r="O201" i="28"/>
  <c r="B203" i="4"/>
  <c r="BC204" i="4"/>
  <c r="AM201" i="4"/>
  <c r="AG200" i="4"/>
  <c r="AU198" i="4"/>
  <c r="AV198" i="4" s="1"/>
  <c r="AN198" i="4"/>
  <c r="X200" i="29"/>
  <c r="W200" i="29"/>
  <c r="G200" i="29" s="1"/>
  <c r="H199" i="29"/>
  <c r="J199" i="29" s="1"/>
  <c r="T201" i="4"/>
  <c r="W201" i="4"/>
  <c r="AB201" i="4" s="1"/>
  <c r="Y201" i="4"/>
  <c r="AD201" i="4" s="1"/>
  <c r="S201" i="4"/>
  <c r="AA201" i="4" s="1"/>
  <c r="V201" i="4"/>
  <c r="AW201" i="4" s="1"/>
  <c r="U201" i="4"/>
  <c r="R201" i="4"/>
  <c r="Z201" i="4" s="1"/>
  <c r="X201" i="4"/>
  <c r="AC201" i="4" s="1"/>
  <c r="A793" i="28"/>
  <c r="M201" i="29" l="1"/>
  <c r="K201" i="29"/>
  <c r="E201" i="29"/>
  <c r="T203" i="28"/>
  <c r="E203" i="28"/>
  <c r="M203" i="28"/>
  <c r="L203" i="28"/>
  <c r="AH200" i="4"/>
  <c r="AX201" i="4"/>
  <c r="L199" i="29"/>
  <c r="N199" i="29"/>
  <c r="O199" i="29" s="1"/>
  <c r="H200" i="29"/>
  <c r="J200" i="29" s="1"/>
  <c r="AL200" i="4"/>
  <c r="BC205" i="4"/>
  <c r="B204" i="4"/>
  <c r="L203" i="4"/>
  <c r="M203" i="4"/>
  <c r="H203" i="4"/>
  <c r="AT203" i="4"/>
  <c r="I203" i="4"/>
  <c r="AS203" i="4"/>
  <c r="AR203" i="4"/>
  <c r="AF203" i="4"/>
  <c r="N203" i="4"/>
  <c r="AQ203" i="4"/>
  <c r="AO203" i="4"/>
  <c r="E203" i="4"/>
  <c r="AP203" i="4"/>
  <c r="J203" i="4"/>
  <c r="G203" i="4"/>
  <c r="U201" i="28"/>
  <c r="V201" i="28" s="1"/>
  <c r="X201" i="28" s="1"/>
  <c r="P201" i="28"/>
  <c r="AM202" i="4"/>
  <c r="S202" i="4"/>
  <c r="AA202" i="4" s="1"/>
  <c r="R202" i="4"/>
  <c r="Z202" i="4" s="1"/>
  <c r="X202" i="4"/>
  <c r="AC202" i="4" s="1"/>
  <c r="Y202" i="4"/>
  <c r="AD202" i="4" s="1"/>
  <c r="U202" i="4"/>
  <c r="T202" i="4"/>
  <c r="W202" i="4"/>
  <c r="AB202" i="4" s="1"/>
  <c r="V202" i="4"/>
  <c r="AW202" i="4" s="1"/>
  <c r="AE203" i="28"/>
  <c r="AD203" i="28"/>
  <c r="O202" i="28"/>
  <c r="I202" i="28"/>
  <c r="K202" i="28" s="1"/>
  <c r="N202" i="28" s="1"/>
  <c r="J202" i="28"/>
  <c r="Y202" i="28" s="1"/>
  <c r="AG201" i="4"/>
  <c r="BE203" i="4"/>
  <c r="BD203" i="4"/>
  <c r="Z201" i="28"/>
  <c r="X201" i="29"/>
  <c r="W201" i="29"/>
  <c r="G201" i="29" s="1"/>
  <c r="B202" i="29"/>
  <c r="V203" i="29"/>
  <c r="R203" i="28"/>
  <c r="S203" i="28"/>
  <c r="F203" i="28"/>
  <c r="W203" i="28"/>
  <c r="Q203" i="28"/>
  <c r="AC205" i="28"/>
  <c r="B204" i="28"/>
  <c r="A794" i="28"/>
  <c r="E202" i="29" l="1"/>
  <c r="K202" i="29"/>
  <c r="M202" i="29"/>
  <c r="T204" i="28"/>
  <c r="E204" i="28"/>
  <c r="M204" i="28"/>
  <c r="L204" i="28"/>
  <c r="AL201" i="4"/>
  <c r="AU201" i="4" s="1"/>
  <c r="AV201" i="4" s="1"/>
  <c r="S204" i="28"/>
  <c r="R204" i="28"/>
  <c r="F204" i="28"/>
  <c r="W204" i="28"/>
  <c r="Q204" i="28"/>
  <c r="AC206" i="28"/>
  <c r="B205" i="28"/>
  <c r="V204" i="29"/>
  <c r="B203" i="29"/>
  <c r="W203" i="4"/>
  <c r="AB203" i="4" s="1"/>
  <c r="V203" i="4"/>
  <c r="AW203" i="4" s="1"/>
  <c r="Y203" i="4"/>
  <c r="AD203" i="4" s="1"/>
  <c r="X203" i="4"/>
  <c r="AC203" i="4" s="1"/>
  <c r="R203" i="4"/>
  <c r="Z203" i="4" s="1"/>
  <c r="S203" i="4"/>
  <c r="AA203" i="4" s="1"/>
  <c r="AX203" i="4" s="1"/>
  <c r="T203" i="4"/>
  <c r="U203" i="4"/>
  <c r="AH201" i="4"/>
  <c r="Z202" i="28"/>
  <c r="AX202" i="4"/>
  <c r="AM203" i="4"/>
  <c r="BD204" i="4"/>
  <c r="BE204" i="4"/>
  <c r="BC206" i="4"/>
  <c r="B205" i="4"/>
  <c r="AE204" i="28"/>
  <c r="AD204" i="28"/>
  <c r="O203" i="28"/>
  <c r="X202" i="29"/>
  <c r="W202" i="29"/>
  <c r="G202" i="29" s="1"/>
  <c r="P202" i="28"/>
  <c r="U202" i="28"/>
  <c r="V202" i="28" s="1"/>
  <c r="X202" i="28" s="1"/>
  <c r="I203" i="28"/>
  <c r="K203" i="28" s="1"/>
  <c r="N203" i="28" s="1"/>
  <c r="J203" i="28"/>
  <c r="Y203" i="28" s="1"/>
  <c r="AG202" i="4"/>
  <c r="H201" i="29"/>
  <c r="J201" i="29" s="1"/>
  <c r="AO204" i="4"/>
  <c r="AP204" i="4"/>
  <c r="AT204" i="4"/>
  <c r="L204" i="4"/>
  <c r="I204" i="4"/>
  <c r="AS204" i="4"/>
  <c r="AF204" i="4"/>
  <c r="H204" i="4"/>
  <c r="E204" i="4"/>
  <c r="AR204" i="4"/>
  <c r="AQ204" i="4"/>
  <c r="M204" i="4"/>
  <c r="J204" i="4"/>
  <c r="G204" i="4"/>
  <c r="N204" i="4"/>
  <c r="AU200" i="4"/>
  <c r="AV200" i="4" s="1"/>
  <c r="AN200" i="4"/>
  <c r="L200" i="29"/>
  <c r="N200" i="29"/>
  <c r="O200" i="29" s="1"/>
  <c r="A807" i="28"/>
  <c r="E203" i="29" l="1"/>
  <c r="K203" i="29"/>
  <c r="M203" i="29"/>
  <c r="E205" i="28"/>
  <c r="T205" i="28"/>
  <c r="M205" i="28"/>
  <c r="L205" i="28"/>
  <c r="AN201" i="4"/>
  <c r="AH202" i="4"/>
  <c r="U203" i="28"/>
  <c r="V203" i="28" s="1"/>
  <c r="X203" i="28" s="1"/>
  <c r="P203" i="28"/>
  <c r="I204" i="28"/>
  <c r="K204" i="28" s="1"/>
  <c r="N204" i="28" s="1"/>
  <c r="J204" i="28"/>
  <c r="Y204" i="28" s="1"/>
  <c r="BD205" i="4"/>
  <c r="BE205" i="4"/>
  <c r="R204" i="4"/>
  <c r="Z204" i="4" s="1"/>
  <c r="X204" i="4"/>
  <c r="AC204" i="4" s="1"/>
  <c r="S204" i="4"/>
  <c r="AA204" i="4" s="1"/>
  <c r="Y204" i="4"/>
  <c r="AD204" i="4" s="1"/>
  <c r="T204" i="4"/>
  <c r="W204" i="4"/>
  <c r="AB204" i="4" s="1"/>
  <c r="U204" i="4"/>
  <c r="V204" i="4"/>
  <c r="AW204" i="4" s="1"/>
  <c r="W203" i="29"/>
  <c r="G203" i="29" s="1"/>
  <c r="X203" i="29"/>
  <c r="AC207" i="28"/>
  <c r="B206" i="28"/>
  <c r="O204" i="28"/>
  <c r="AM204" i="4"/>
  <c r="N201" i="29"/>
  <c r="O201" i="29" s="1"/>
  <c r="L201" i="29"/>
  <c r="AL202" i="4"/>
  <c r="Z203" i="28"/>
  <c r="I205" i="4"/>
  <c r="H205" i="4"/>
  <c r="M205" i="4"/>
  <c r="AP205" i="4"/>
  <c r="AR205" i="4"/>
  <c r="AO205" i="4"/>
  <c r="L205" i="4"/>
  <c r="E205" i="4"/>
  <c r="AS205" i="4"/>
  <c r="AQ205" i="4"/>
  <c r="J205" i="4"/>
  <c r="N205" i="4"/>
  <c r="AT205" i="4"/>
  <c r="G205" i="4"/>
  <c r="AF205" i="4"/>
  <c r="B206" i="4"/>
  <c r="BC207" i="4"/>
  <c r="AG203" i="4"/>
  <c r="AL203" i="4" s="1"/>
  <c r="H202" i="29"/>
  <c r="J202" i="29" s="1"/>
  <c r="B204" i="29"/>
  <c r="V205" i="29"/>
  <c r="W205" i="28"/>
  <c r="Q205" i="28"/>
  <c r="S205" i="28"/>
  <c r="F205" i="28"/>
  <c r="R205" i="28"/>
  <c r="AD205" i="28"/>
  <c r="AE205" i="28"/>
  <c r="A808" i="28"/>
  <c r="K204" i="29" l="1"/>
  <c r="M204" i="29"/>
  <c r="E204" i="29"/>
  <c r="E206" i="28"/>
  <c r="T206" i="28"/>
  <c r="M206" i="28"/>
  <c r="L206" i="28"/>
  <c r="AM205" i="4"/>
  <c r="AU203" i="4"/>
  <c r="AV203" i="4" s="1"/>
  <c r="AN203" i="4"/>
  <c r="I205" i="28"/>
  <c r="K205" i="28" s="1"/>
  <c r="N205" i="28" s="1"/>
  <c r="J205" i="28"/>
  <c r="Y205" i="28" s="1"/>
  <c r="N202" i="29"/>
  <c r="O202" i="29" s="1"/>
  <c r="L202" i="29"/>
  <c r="B207" i="4"/>
  <c r="BC208" i="4"/>
  <c r="AO206" i="4"/>
  <c r="AT206" i="4"/>
  <c r="N206" i="4"/>
  <c r="J206" i="4"/>
  <c r="I206" i="4"/>
  <c r="E206" i="4"/>
  <c r="AQ206" i="4"/>
  <c r="AF206" i="4"/>
  <c r="G206" i="4"/>
  <c r="M206" i="4"/>
  <c r="L206" i="4"/>
  <c r="AP206" i="4"/>
  <c r="AS206" i="4"/>
  <c r="AR206" i="4"/>
  <c r="H206" i="4"/>
  <c r="Z204" i="28"/>
  <c r="W206" i="28"/>
  <c r="R206" i="28"/>
  <c r="S206" i="28"/>
  <c r="F206" i="28"/>
  <c r="Q206" i="28"/>
  <c r="AD206" i="28"/>
  <c r="AE206" i="28"/>
  <c r="H203" i="29"/>
  <c r="J203" i="29" s="1"/>
  <c r="AG204" i="4"/>
  <c r="AL204" i="4" s="1"/>
  <c r="O205" i="28"/>
  <c r="V206" i="29"/>
  <c r="B205" i="29"/>
  <c r="W204" i="29"/>
  <c r="G204" i="29" s="1"/>
  <c r="X204" i="29"/>
  <c r="AH203" i="4"/>
  <c r="BE206" i="4"/>
  <c r="BD206" i="4"/>
  <c r="AU202" i="4"/>
  <c r="AV202" i="4" s="1"/>
  <c r="AN202" i="4"/>
  <c r="AC208" i="28"/>
  <c r="B207" i="28"/>
  <c r="AX204" i="4"/>
  <c r="T205" i="4"/>
  <c r="S205" i="4"/>
  <c r="AA205" i="4" s="1"/>
  <c r="V205" i="4"/>
  <c r="AW205" i="4" s="1"/>
  <c r="X205" i="4"/>
  <c r="AC205" i="4" s="1"/>
  <c r="R205" i="4"/>
  <c r="Z205" i="4" s="1"/>
  <c r="U205" i="4"/>
  <c r="Y205" i="4"/>
  <c r="AD205" i="4" s="1"/>
  <c r="W205" i="4"/>
  <c r="AB205" i="4" s="1"/>
  <c r="U204" i="28"/>
  <c r="V204" i="28" s="1"/>
  <c r="X204" i="28" s="1"/>
  <c r="P204" i="28"/>
  <c r="A809" i="28"/>
  <c r="M205" i="29" l="1"/>
  <c r="E205" i="29"/>
  <c r="K205" i="29"/>
  <c r="T207" i="28"/>
  <c r="E207" i="28"/>
  <c r="M207" i="28"/>
  <c r="L207" i="28"/>
  <c r="AH204" i="4"/>
  <c r="AN204" i="4"/>
  <c r="AU204" i="4"/>
  <c r="AV204" i="4" s="1"/>
  <c r="AX205" i="4"/>
  <c r="R207" i="28"/>
  <c r="S207" i="28"/>
  <c r="Q207" i="28"/>
  <c r="F207" i="28"/>
  <c r="W207" i="28"/>
  <c r="B208" i="28"/>
  <c r="AC209" i="28"/>
  <c r="Z205" i="28"/>
  <c r="N203" i="29"/>
  <c r="O203" i="29" s="1"/>
  <c r="L203" i="29"/>
  <c r="I206" i="28"/>
  <c r="K206" i="28" s="1"/>
  <c r="N206" i="28" s="1"/>
  <c r="J206" i="28"/>
  <c r="Y206" i="28" s="1"/>
  <c r="AM206" i="4"/>
  <c r="BC209" i="4"/>
  <c r="B208" i="4"/>
  <c r="AG205" i="4"/>
  <c r="AD207" i="28"/>
  <c r="AE207" i="28"/>
  <c r="R206" i="4"/>
  <c r="Z206" i="4" s="1"/>
  <c r="S206" i="4"/>
  <c r="AA206" i="4" s="1"/>
  <c r="X206" i="4"/>
  <c r="AC206" i="4" s="1"/>
  <c r="Y206" i="4"/>
  <c r="AD206" i="4" s="1"/>
  <c r="U206" i="4"/>
  <c r="T206" i="4"/>
  <c r="V206" i="4"/>
  <c r="AW206" i="4" s="1"/>
  <c r="W206" i="4"/>
  <c r="AB206" i="4" s="1"/>
  <c r="W205" i="29"/>
  <c r="G205" i="29" s="1"/>
  <c r="X205" i="29"/>
  <c r="B206" i="29"/>
  <c r="V207" i="29"/>
  <c r="O206" i="28"/>
  <c r="AF207" i="4"/>
  <c r="H207" i="4"/>
  <c r="AT207" i="4"/>
  <c r="M207" i="4"/>
  <c r="AO207" i="4"/>
  <c r="I207" i="4"/>
  <c r="AQ207" i="4"/>
  <c r="AR207" i="4"/>
  <c r="L207" i="4"/>
  <c r="N207" i="4"/>
  <c r="AP207" i="4"/>
  <c r="E207" i="4"/>
  <c r="G207" i="4"/>
  <c r="J207" i="4"/>
  <c r="AS207" i="4"/>
  <c r="BD207" i="4"/>
  <c r="BE207" i="4"/>
  <c r="H204" i="29"/>
  <c r="J204" i="29" s="1"/>
  <c r="P205" i="28"/>
  <c r="U205" i="28"/>
  <c r="V205" i="28" s="1"/>
  <c r="X205" i="28" s="1"/>
  <c r="A810" i="28"/>
  <c r="E206" i="29" l="1"/>
  <c r="M206" i="29"/>
  <c r="K206" i="29"/>
  <c r="T208" i="28"/>
  <c r="E208" i="28"/>
  <c r="M208" i="28"/>
  <c r="L208" i="28"/>
  <c r="AH205" i="4"/>
  <c r="Z206" i="28"/>
  <c r="V208" i="29"/>
  <c r="B207" i="29"/>
  <c r="I207" i="28"/>
  <c r="K207" i="28" s="1"/>
  <c r="N207" i="28" s="1"/>
  <c r="J207" i="28"/>
  <c r="Y207" i="28" s="1"/>
  <c r="AQ208" i="4"/>
  <c r="I208" i="4"/>
  <c r="AR208" i="4"/>
  <c r="AP208" i="4"/>
  <c r="N208" i="4"/>
  <c r="AF208" i="4"/>
  <c r="H208" i="4"/>
  <c r="AT208" i="4"/>
  <c r="J208" i="4"/>
  <c r="AS208" i="4"/>
  <c r="M208" i="4"/>
  <c r="G208" i="4"/>
  <c r="L208" i="4"/>
  <c r="AO208" i="4"/>
  <c r="E208" i="4"/>
  <c r="BE208" i="4"/>
  <c r="BD208" i="4"/>
  <c r="AD208" i="28"/>
  <c r="AE208" i="28"/>
  <c r="O207" i="28"/>
  <c r="L204" i="29"/>
  <c r="N204" i="29"/>
  <c r="O204" i="29" s="1"/>
  <c r="X207" i="4"/>
  <c r="AC207" i="4" s="1"/>
  <c r="S207" i="4"/>
  <c r="AA207" i="4" s="1"/>
  <c r="U207" i="4"/>
  <c r="Y207" i="4"/>
  <c r="AD207" i="4" s="1"/>
  <c r="W207" i="4"/>
  <c r="AB207" i="4" s="1"/>
  <c r="R207" i="4"/>
  <c r="Z207" i="4" s="1"/>
  <c r="T207" i="4"/>
  <c r="V207" i="4"/>
  <c r="AW207" i="4" s="1"/>
  <c r="AM207" i="4"/>
  <c r="W206" i="29"/>
  <c r="G206" i="29" s="1"/>
  <c r="X206" i="29"/>
  <c r="AG206" i="4"/>
  <c r="AX206" i="4"/>
  <c r="AL205" i="4"/>
  <c r="B209" i="4"/>
  <c r="BC210" i="4"/>
  <c r="P206" i="28"/>
  <c r="U206" i="28"/>
  <c r="V206" i="28" s="1"/>
  <c r="X206" i="28" s="1"/>
  <c r="H205" i="29"/>
  <c r="J205" i="29" s="1"/>
  <c r="AC210" i="28"/>
  <c r="B209" i="28"/>
  <c r="F208" i="28"/>
  <c r="W208" i="28"/>
  <c r="Q208" i="28"/>
  <c r="S208" i="28"/>
  <c r="R208" i="28"/>
  <c r="A811" i="28"/>
  <c r="E207" i="29" l="1"/>
  <c r="K207" i="29"/>
  <c r="M207" i="29"/>
  <c r="E209" i="28"/>
  <c r="T209" i="28"/>
  <c r="M209" i="28"/>
  <c r="L209" i="28"/>
  <c r="O208" i="28"/>
  <c r="AL206" i="4"/>
  <c r="AN206" i="4" s="1"/>
  <c r="F209" i="28"/>
  <c r="Q209" i="28"/>
  <c r="W209" i="28"/>
  <c r="R209" i="28"/>
  <c r="S209" i="28"/>
  <c r="AC211" i="28"/>
  <c r="B210" i="28"/>
  <c r="I209" i="4"/>
  <c r="G209" i="4"/>
  <c r="AO209" i="4"/>
  <c r="N209" i="4"/>
  <c r="L209" i="4"/>
  <c r="AR209" i="4"/>
  <c r="AP209" i="4"/>
  <c r="AT209" i="4"/>
  <c r="AS209" i="4"/>
  <c r="E209" i="4"/>
  <c r="F209" i="4" s="1"/>
  <c r="H209" i="4"/>
  <c r="M209" i="4"/>
  <c r="AF209" i="4"/>
  <c r="AQ209" i="4"/>
  <c r="J209" i="4"/>
  <c r="BE209" i="4"/>
  <c r="BD209" i="4"/>
  <c r="AU205" i="4"/>
  <c r="AV205" i="4" s="1"/>
  <c r="AN205" i="4"/>
  <c r="AH206" i="4"/>
  <c r="AG207" i="4"/>
  <c r="AX207" i="4"/>
  <c r="Z207" i="28"/>
  <c r="J208" i="28"/>
  <c r="Y208" i="28" s="1"/>
  <c r="I208" i="28"/>
  <c r="K208" i="28" s="1"/>
  <c r="N208" i="28" s="1"/>
  <c r="P207" i="28"/>
  <c r="U207" i="28"/>
  <c r="V207" i="28" s="1"/>
  <c r="X207" i="28" s="1"/>
  <c r="W207" i="29"/>
  <c r="G207" i="29" s="1"/>
  <c r="X207" i="29"/>
  <c r="AD209" i="28"/>
  <c r="AE209" i="28"/>
  <c r="L205" i="29"/>
  <c r="N205" i="29"/>
  <c r="O205" i="29" s="1"/>
  <c r="B210" i="4"/>
  <c r="BC211" i="4"/>
  <c r="W208" i="4"/>
  <c r="AB208" i="4" s="1"/>
  <c r="Y208" i="4"/>
  <c r="AD208" i="4" s="1"/>
  <c r="V208" i="4"/>
  <c r="AW208" i="4" s="1"/>
  <c r="X208" i="4"/>
  <c r="AC208" i="4" s="1"/>
  <c r="R208" i="4"/>
  <c r="Z208" i="4" s="1"/>
  <c r="T208" i="4"/>
  <c r="S208" i="4"/>
  <c r="AA208" i="4" s="1"/>
  <c r="U208" i="4"/>
  <c r="AM208" i="4"/>
  <c r="H206" i="29"/>
  <c r="J206" i="29" s="1"/>
  <c r="B208" i="29"/>
  <c r="V209" i="29"/>
  <c r="A812" i="28"/>
  <c r="AX208" i="4" l="1"/>
  <c r="Z208" i="28"/>
  <c r="K208" i="29"/>
  <c r="M208" i="29"/>
  <c r="E208" i="29"/>
  <c r="E210" i="28"/>
  <c r="T210" i="28"/>
  <c r="M210" i="28"/>
  <c r="L210" i="28"/>
  <c r="H207" i="29"/>
  <c r="J207" i="29" s="1"/>
  <c r="AU206" i="4"/>
  <c r="AV206" i="4" s="1"/>
  <c r="AH207" i="4"/>
  <c r="B209" i="29"/>
  <c r="V210" i="29"/>
  <c r="N206" i="29"/>
  <c r="O206" i="29" s="1"/>
  <c r="L206" i="29"/>
  <c r="AG208" i="4"/>
  <c r="B211" i="4"/>
  <c r="BC212" i="4"/>
  <c r="AO210" i="4"/>
  <c r="AS210" i="4"/>
  <c r="AF210" i="4"/>
  <c r="G210" i="4"/>
  <c r="H210" i="4"/>
  <c r="AR210" i="4"/>
  <c r="AP210" i="4"/>
  <c r="N210" i="4"/>
  <c r="J210" i="4"/>
  <c r="E210" i="4"/>
  <c r="L210" i="4"/>
  <c r="AQ210" i="4"/>
  <c r="I210" i="4"/>
  <c r="AT210" i="4"/>
  <c r="M210" i="4"/>
  <c r="AL207" i="4"/>
  <c r="S210" i="28"/>
  <c r="F210" i="28"/>
  <c r="Q210" i="28"/>
  <c r="W210" i="28"/>
  <c r="R210" i="28"/>
  <c r="B211" i="28"/>
  <c r="AC212" i="28"/>
  <c r="O209" i="28"/>
  <c r="X208" i="29"/>
  <c r="W208" i="29"/>
  <c r="G208" i="29" s="1"/>
  <c r="BE210" i="4"/>
  <c r="BD210" i="4"/>
  <c r="I209" i="28"/>
  <c r="K209" i="28" s="1"/>
  <c r="N209" i="28" s="1"/>
  <c r="J209" i="28"/>
  <c r="Y209" i="28" s="1"/>
  <c r="U208" i="28"/>
  <c r="V208" i="28" s="1"/>
  <c r="X208" i="28" s="1"/>
  <c r="P208" i="28"/>
  <c r="Y209" i="4"/>
  <c r="AD209" i="4" s="1"/>
  <c r="T209" i="4"/>
  <c r="V209" i="4"/>
  <c r="AW209" i="4" s="1"/>
  <c r="S209" i="4"/>
  <c r="AA209" i="4" s="1"/>
  <c r="W209" i="4"/>
  <c r="AB209" i="4" s="1"/>
  <c r="R209" i="4"/>
  <c r="Z209" i="4" s="1"/>
  <c r="X209" i="4"/>
  <c r="AC209" i="4" s="1"/>
  <c r="U209" i="4"/>
  <c r="AM209" i="4"/>
  <c r="AD210" i="28"/>
  <c r="AE210" i="28"/>
  <c r="A813" i="28"/>
  <c r="M209" i="29" l="1"/>
  <c r="K209" i="29"/>
  <c r="E209" i="29"/>
  <c r="T211" i="28"/>
  <c r="E211" i="28"/>
  <c r="M211" i="28"/>
  <c r="L211" i="28"/>
  <c r="AH208" i="4"/>
  <c r="AM210" i="4"/>
  <c r="I210" i="28"/>
  <c r="K210" i="28" s="1"/>
  <c r="N210" i="28" s="1"/>
  <c r="J210" i="28"/>
  <c r="Y210" i="28" s="1"/>
  <c r="AG209" i="4"/>
  <c r="Y210" i="4"/>
  <c r="AD210" i="4" s="1"/>
  <c r="T210" i="4"/>
  <c r="V210" i="4"/>
  <c r="AW210" i="4" s="1"/>
  <c r="S210" i="4"/>
  <c r="AA210" i="4" s="1"/>
  <c r="W210" i="4"/>
  <c r="AB210" i="4" s="1"/>
  <c r="U210" i="4"/>
  <c r="R210" i="4"/>
  <c r="Z210" i="4" s="1"/>
  <c r="X210" i="4"/>
  <c r="AC210" i="4" s="1"/>
  <c r="AC213" i="28"/>
  <c r="B212" i="28"/>
  <c r="AE211" i="28"/>
  <c r="AD211" i="28"/>
  <c r="BD211" i="4"/>
  <c r="BE211" i="4"/>
  <c r="N211" i="4"/>
  <c r="AF211" i="4"/>
  <c r="J211" i="4"/>
  <c r="AP211" i="4"/>
  <c r="H211" i="4"/>
  <c r="AQ211" i="4"/>
  <c r="G211" i="4"/>
  <c r="I211" i="4"/>
  <c r="M211" i="4"/>
  <c r="L211" i="4"/>
  <c r="AR211" i="4"/>
  <c r="AT211" i="4"/>
  <c r="E211" i="4"/>
  <c r="AS211" i="4"/>
  <c r="AO211" i="4"/>
  <c r="AL208" i="4"/>
  <c r="L207" i="29"/>
  <c r="N207" i="29"/>
  <c r="O207" i="29" s="1"/>
  <c r="W209" i="29"/>
  <c r="G209" i="29" s="1"/>
  <c r="X209" i="29"/>
  <c r="AX209" i="4"/>
  <c r="P209" i="28"/>
  <c r="U209" i="28"/>
  <c r="V209" i="28" s="1"/>
  <c r="X209" i="28" s="1"/>
  <c r="H208" i="29"/>
  <c r="J208" i="29" s="1"/>
  <c r="Z209" i="28"/>
  <c r="Q211" i="28"/>
  <c r="F211" i="28"/>
  <c r="R211" i="28"/>
  <c r="S211" i="28"/>
  <c r="W211" i="28"/>
  <c r="O210" i="28"/>
  <c r="AN207" i="4"/>
  <c r="AU207" i="4"/>
  <c r="AV207" i="4" s="1"/>
  <c r="BC213" i="4"/>
  <c r="B212" i="4"/>
  <c r="V211" i="29"/>
  <c r="B210" i="29"/>
  <c r="A814" i="28"/>
  <c r="E210" i="29" l="1"/>
  <c r="K210" i="29"/>
  <c r="M210" i="29"/>
  <c r="T212" i="28"/>
  <c r="E212" i="28"/>
  <c r="J212" i="4"/>
  <c r="AT212" i="4"/>
  <c r="M212" i="28"/>
  <c r="L212" i="28"/>
  <c r="AL209" i="4"/>
  <c r="AN209" i="4" s="1"/>
  <c r="AX210" i="4"/>
  <c r="AH209" i="4"/>
  <c r="H209" i="29"/>
  <c r="J209" i="29" s="1"/>
  <c r="W210" i="29"/>
  <c r="G210" i="29" s="1"/>
  <c r="X210" i="29"/>
  <c r="AS212" i="4"/>
  <c r="E212" i="4"/>
  <c r="N212" i="4"/>
  <c r="AR212" i="4"/>
  <c r="AO212" i="4"/>
  <c r="AF212" i="4"/>
  <c r="G212" i="4"/>
  <c r="M212" i="4"/>
  <c r="H212" i="4"/>
  <c r="AP212" i="4"/>
  <c r="I212" i="4"/>
  <c r="AQ212" i="4"/>
  <c r="L212" i="4"/>
  <c r="B213" i="4"/>
  <c r="BC214" i="4"/>
  <c r="Z210" i="28"/>
  <c r="O211" i="28"/>
  <c r="T211" i="4"/>
  <c r="X211" i="4"/>
  <c r="AC211" i="4" s="1"/>
  <c r="Y211" i="4"/>
  <c r="AD211" i="4" s="1"/>
  <c r="S211" i="4"/>
  <c r="AA211" i="4" s="1"/>
  <c r="U211" i="4"/>
  <c r="W211" i="4"/>
  <c r="AB211" i="4" s="1"/>
  <c r="V211" i="4"/>
  <c r="AW211" i="4" s="1"/>
  <c r="R211" i="4"/>
  <c r="Z211" i="4" s="1"/>
  <c r="AE212" i="28"/>
  <c r="AD212" i="28"/>
  <c r="B211" i="29"/>
  <c r="V212" i="29"/>
  <c r="BD212" i="4"/>
  <c r="BE212" i="4"/>
  <c r="N208" i="29"/>
  <c r="O208" i="29" s="1"/>
  <c r="L208" i="29"/>
  <c r="AN208" i="4"/>
  <c r="AU208" i="4"/>
  <c r="AV208" i="4" s="1"/>
  <c r="AM211" i="4"/>
  <c r="I211" i="28"/>
  <c r="K211" i="28" s="1"/>
  <c r="N211" i="28" s="1"/>
  <c r="J211" i="28"/>
  <c r="Y211" i="28" s="1"/>
  <c r="Q212" i="28"/>
  <c r="W212" i="28"/>
  <c r="R212" i="28"/>
  <c r="F212" i="28"/>
  <c r="S212" i="28"/>
  <c r="AC214" i="28"/>
  <c r="B213" i="28"/>
  <c r="AG210" i="4"/>
  <c r="U210" i="28"/>
  <c r="V210" i="28" s="1"/>
  <c r="X210" i="28" s="1"/>
  <c r="P210" i="28"/>
  <c r="A815" i="28"/>
  <c r="AU209" i="4" l="1"/>
  <c r="AV209" i="4" s="1"/>
  <c r="E211" i="29"/>
  <c r="K211" i="29"/>
  <c r="M211" i="29"/>
  <c r="E213" i="28"/>
  <c r="T213" i="28"/>
  <c r="AT213" i="4"/>
  <c r="J213" i="4"/>
  <c r="M213" i="28"/>
  <c r="L213" i="28"/>
  <c r="AH210" i="4"/>
  <c r="AX211" i="4"/>
  <c r="AL210" i="4"/>
  <c r="B214" i="28"/>
  <c r="AC215" i="28"/>
  <c r="S213" i="28"/>
  <c r="Q213" i="28"/>
  <c r="F213" i="28"/>
  <c r="W213" i="28"/>
  <c r="R213" i="28"/>
  <c r="AD213" i="28"/>
  <c r="AE213" i="28"/>
  <c r="P211" i="28"/>
  <c r="U211" i="28"/>
  <c r="V211" i="28" s="1"/>
  <c r="X211" i="28" s="1"/>
  <c r="Y212" i="4"/>
  <c r="AD212" i="4" s="1"/>
  <c r="X212" i="4"/>
  <c r="AC212" i="4" s="1"/>
  <c r="V212" i="4"/>
  <c r="AW212" i="4" s="1"/>
  <c r="W212" i="4"/>
  <c r="AB212" i="4" s="1"/>
  <c r="S212" i="4"/>
  <c r="AA212" i="4" s="1"/>
  <c r="U212" i="4"/>
  <c r="T212" i="4"/>
  <c r="R212" i="4"/>
  <c r="Z212" i="4" s="1"/>
  <c r="H210" i="29"/>
  <c r="J210" i="29" s="1"/>
  <c r="AG211" i="4"/>
  <c r="AL211" i="4" s="1"/>
  <c r="Z211" i="28"/>
  <c r="B214" i="4"/>
  <c r="BC215" i="4"/>
  <c r="AR213" i="4"/>
  <c r="AQ213" i="4"/>
  <c r="I213" i="4"/>
  <c r="G213" i="4"/>
  <c r="L213" i="4"/>
  <c r="H213" i="4"/>
  <c r="AP213" i="4"/>
  <c r="E213" i="4"/>
  <c r="AS213" i="4"/>
  <c r="N213" i="4"/>
  <c r="AO213" i="4"/>
  <c r="AF213" i="4"/>
  <c r="M213" i="4"/>
  <c r="AM212" i="4"/>
  <c r="O212" i="28"/>
  <c r="B212" i="29"/>
  <c r="V213" i="29"/>
  <c r="W211" i="29"/>
  <c r="G211" i="29" s="1"/>
  <c r="X211" i="29"/>
  <c r="I212" i="28"/>
  <c r="K212" i="28" s="1"/>
  <c r="N212" i="28" s="1"/>
  <c r="J212" i="28"/>
  <c r="Y212" i="28" s="1"/>
  <c r="BD213" i="4"/>
  <c r="BE213" i="4"/>
  <c r="N209" i="29"/>
  <c r="O209" i="29" s="1"/>
  <c r="L209" i="29"/>
  <c r="A816" i="28"/>
  <c r="K212" i="29" l="1"/>
  <c r="M212" i="29"/>
  <c r="E212" i="29"/>
  <c r="E214" i="28"/>
  <c r="T214" i="28"/>
  <c r="M214" i="28"/>
  <c r="L214" i="28"/>
  <c r="AX212" i="4"/>
  <c r="AH211" i="4"/>
  <c r="AQ214" i="4"/>
  <c r="G214" i="4"/>
  <c r="E214" i="4"/>
  <c r="I214" i="4"/>
  <c r="AT214" i="4"/>
  <c r="AS214" i="4"/>
  <c r="N214" i="4"/>
  <c r="AR214" i="4"/>
  <c r="AO214" i="4"/>
  <c r="AF214" i="4"/>
  <c r="H214" i="4"/>
  <c r="AP214" i="4"/>
  <c r="J214" i="4"/>
  <c r="L214" i="4"/>
  <c r="M214" i="4"/>
  <c r="AC216" i="28"/>
  <c r="B215" i="28"/>
  <c r="Q214" i="28"/>
  <c r="F214" i="28"/>
  <c r="S214" i="28"/>
  <c r="R214" i="28"/>
  <c r="W214" i="28"/>
  <c r="AU211" i="4"/>
  <c r="AV211" i="4" s="1"/>
  <c r="AN211" i="4"/>
  <c r="P212" i="28"/>
  <c r="U212" i="28"/>
  <c r="V212" i="28" s="1"/>
  <c r="X212" i="28" s="1"/>
  <c r="X212" i="29"/>
  <c r="W212" i="29"/>
  <c r="G212" i="29" s="1"/>
  <c r="X213" i="4"/>
  <c r="AC213" i="4" s="1"/>
  <c r="Y213" i="4"/>
  <c r="AD213" i="4" s="1"/>
  <c r="S213" i="4"/>
  <c r="AA213" i="4" s="1"/>
  <c r="R213" i="4"/>
  <c r="Z213" i="4" s="1"/>
  <c r="V213" i="4"/>
  <c r="AW213" i="4" s="1"/>
  <c r="W213" i="4"/>
  <c r="AB213" i="4" s="1"/>
  <c r="T213" i="4"/>
  <c r="U213" i="4"/>
  <c r="B213" i="29"/>
  <c r="V214" i="29"/>
  <c r="Z212" i="28"/>
  <c r="AM213" i="4"/>
  <c r="B215" i="4"/>
  <c r="BC216" i="4"/>
  <c r="BE214" i="4"/>
  <c r="BD214" i="4"/>
  <c r="N210" i="29"/>
  <c r="O210" i="29" s="1"/>
  <c r="L210" i="29"/>
  <c r="H211" i="29"/>
  <c r="J211" i="29" s="1"/>
  <c r="AG212" i="4"/>
  <c r="AH212" i="4" s="1"/>
  <c r="J213" i="28"/>
  <c r="Y213" i="28" s="1"/>
  <c r="I213" i="28"/>
  <c r="K213" i="28" s="1"/>
  <c r="N213" i="28" s="1"/>
  <c r="O213" i="28"/>
  <c r="AE214" i="28"/>
  <c r="AD214" i="28"/>
  <c r="AU210" i="4"/>
  <c r="AV210" i="4" s="1"/>
  <c r="AN210" i="4"/>
  <c r="A817" i="28"/>
  <c r="M213" i="29" l="1"/>
  <c r="E213" i="29"/>
  <c r="K213" i="29"/>
  <c r="T215" i="28"/>
  <c r="E215" i="28"/>
  <c r="O214" i="28"/>
  <c r="M215" i="28"/>
  <c r="L215" i="28"/>
  <c r="H212" i="29"/>
  <c r="J212" i="29" s="1"/>
  <c r="Z213" i="28"/>
  <c r="U213" i="28"/>
  <c r="V213" i="28" s="1"/>
  <c r="X213" i="28" s="1"/>
  <c r="P213" i="28"/>
  <c r="R214" i="4"/>
  <c r="Z214" i="4" s="1"/>
  <c r="W214" i="4"/>
  <c r="AB214" i="4" s="1"/>
  <c r="Y214" i="4"/>
  <c r="AD214" i="4" s="1"/>
  <c r="U214" i="4"/>
  <c r="T214" i="4"/>
  <c r="V214" i="4"/>
  <c r="AW214" i="4" s="1"/>
  <c r="X214" i="4"/>
  <c r="AC214" i="4" s="1"/>
  <c r="S214" i="4"/>
  <c r="AA214" i="4" s="1"/>
  <c r="BE215" i="4"/>
  <c r="BD215" i="4"/>
  <c r="N215" i="4"/>
  <c r="AO215" i="4"/>
  <c r="J215" i="4"/>
  <c r="AP215" i="4"/>
  <c r="AQ215" i="4"/>
  <c r="H215" i="4"/>
  <c r="I215" i="4"/>
  <c r="AF215" i="4"/>
  <c r="M215" i="4"/>
  <c r="L215" i="4"/>
  <c r="AR215" i="4"/>
  <c r="AT215" i="4"/>
  <c r="G215" i="4"/>
  <c r="AS215" i="4"/>
  <c r="E215" i="4"/>
  <c r="J214" i="28"/>
  <c r="Y214" i="28" s="1"/>
  <c r="I214" i="28"/>
  <c r="K214" i="28" s="1"/>
  <c r="N214" i="28" s="1"/>
  <c r="L211" i="29"/>
  <c r="N211" i="29"/>
  <c r="O211" i="29" s="1"/>
  <c r="B216" i="4"/>
  <c r="BC217" i="4"/>
  <c r="AG213" i="4"/>
  <c r="B216" i="28"/>
  <c r="AC217" i="28"/>
  <c r="AL212" i="4"/>
  <c r="V215" i="29"/>
  <c r="B214" i="29"/>
  <c r="X213" i="29"/>
  <c r="W213" i="29"/>
  <c r="G213" i="29" s="1"/>
  <c r="AX213" i="4"/>
  <c r="W215" i="28"/>
  <c r="Q215" i="28"/>
  <c r="F215" i="28"/>
  <c r="R215" i="28"/>
  <c r="S215" i="28"/>
  <c r="AE215" i="28"/>
  <c r="AD215" i="28"/>
  <c r="AM214" i="4"/>
  <c r="A818" i="28"/>
  <c r="Z214" i="28" l="1"/>
  <c r="N212" i="29"/>
  <c r="O212" i="29" s="1"/>
  <c r="L212" i="29"/>
  <c r="E214" i="29"/>
  <c r="M214" i="29"/>
  <c r="K214" i="29"/>
  <c r="T216" i="28"/>
  <c r="E216" i="28"/>
  <c r="M216" i="28"/>
  <c r="L216" i="28"/>
  <c r="O215" i="28"/>
  <c r="AX214" i="4"/>
  <c r="AH213" i="4"/>
  <c r="B215" i="29"/>
  <c r="V216" i="29"/>
  <c r="AN212" i="4"/>
  <c r="AU212" i="4"/>
  <c r="AV212" i="4" s="1"/>
  <c r="Q216" i="28"/>
  <c r="W216" i="28"/>
  <c r="R216" i="28"/>
  <c r="S216" i="28"/>
  <c r="F216" i="28"/>
  <c r="AL213" i="4"/>
  <c r="BD216" i="4"/>
  <c r="BE216" i="4"/>
  <c r="P214" i="28"/>
  <c r="U214" i="28"/>
  <c r="V214" i="28" s="1"/>
  <c r="X214" i="28" s="1"/>
  <c r="AM215" i="4"/>
  <c r="X215" i="4"/>
  <c r="AC215" i="4" s="1"/>
  <c r="U215" i="4"/>
  <c r="T215" i="4"/>
  <c r="V215" i="4"/>
  <c r="AW215" i="4" s="1"/>
  <c r="Y215" i="4"/>
  <c r="AD215" i="4" s="1"/>
  <c r="R215" i="4"/>
  <c r="Z215" i="4" s="1"/>
  <c r="S215" i="4"/>
  <c r="AA215" i="4" s="1"/>
  <c r="W215" i="4"/>
  <c r="AB215" i="4" s="1"/>
  <c r="J215" i="28"/>
  <c r="Y215" i="28" s="1"/>
  <c r="I215" i="28"/>
  <c r="K215" i="28" s="1"/>
  <c r="W214" i="29"/>
  <c r="G214" i="29" s="1"/>
  <c r="X214" i="29"/>
  <c r="AC218" i="28"/>
  <c r="B217" i="28"/>
  <c r="AE216" i="28"/>
  <c r="AD216" i="28"/>
  <c r="H213" i="29"/>
  <c r="J213" i="29" s="1"/>
  <c r="BC218" i="4"/>
  <c r="B217" i="4"/>
  <c r="L216" i="4"/>
  <c r="M216" i="4"/>
  <c r="AS216" i="4"/>
  <c r="AT216" i="4"/>
  <c r="I216" i="4"/>
  <c r="AQ216" i="4"/>
  <c r="E216" i="4"/>
  <c r="AO216" i="4"/>
  <c r="AF216" i="4"/>
  <c r="N216" i="4"/>
  <c r="H216" i="4"/>
  <c r="J216" i="4"/>
  <c r="AP216" i="4"/>
  <c r="AR216" i="4"/>
  <c r="G216" i="4"/>
  <c r="AG214" i="4"/>
  <c r="A819" i="28"/>
  <c r="N215" i="28" l="1"/>
  <c r="P215" i="28" s="1"/>
  <c r="E215" i="29"/>
  <c r="K215" i="29"/>
  <c r="M215" i="29"/>
  <c r="E217" i="28"/>
  <c r="T217" i="28"/>
  <c r="Z215" i="28"/>
  <c r="M217" i="28"/>
  <c r="L217" i="28"/>
  <c r="AH214" i="4"/>
  <c r="AX215" i="4"/>
  <c r="AL214" i="4"/>
  <c r="AN214" i="4" s="1"/>
  <c r="BC219" i="4"/>
  <c r="B218" i="4"/>
  <c r="BD217" i="4"/>
  <c r="BE217" i="4"/>
  <c r="L213" i="29"/>
  <c r="N213" i="29"/>
  <c r="O213" i="29" s="1"/>
  <c r="I216" i="28"/>
  <c r="K216" i="28" s="1"/>
  <c r="N216" i="28" s="1"/>
  <c r="J216" i="28"/>
  <c r="Y216" i="28" s="1"/>
  <c r="Q217" i="28"/>
  <c r="R217" i="28"/>
  <c r="S217" i="28"/>
  <c r="F217" i="28"/>
  <c r="W217" i="28"/>
  <c r="B218" i="28"/>
  <c r="AC219" i="28"/>
  <c r="X215" i="29"/>
  <c r="W215" i="29"/>
  <c r="G215" i="29" s="1"/>
  <c r="AM216" i="4"/>
  <c r="AT217" i="4"/>
  <c r="AO217" i="4"/>
  <c r="G217" i="4"/>
  <c r="AR217" i="4"/>
  <c r="AF217" i="4"/>
  <c r="E217" i="4"/>
  <c r="H217" i="4"/>
  <c r="L217" i="4"/>
  <c r="AP217" i="4"/>
  <c r="I217" i="4"/>
  <c r="AS217" i="4"/>
  <c r="J217" i="4"/>
  <c r="N217" i="4"/>
  <c r="M217" i="4"/>
  <c r="AQ217" i="4"/>
  <c r="AD217" i="28"/>
  <c r="AE217" i="28"/>
  <c r="H214" i="29"/>
  <c r="J214" i="29" s="1"/>
  <c r="U215" i="28"/>
  <c r="V215" i="28" s="1"/>
  <c r="X215" i="28" s="1"/>
  <c r="AG215" i="4"/>
  <c r="T216" i="4"/>
  <c r="U216" i="4"/>
  <c r="W216" i="4"/>
  <c r="AB216" i="4" s="1"/>
  <c r="X216" i="4"/>
  <c r="AC216" i="4" s="1"/>
  <c r="R216" i="4"/>
  <c r="Z216" i="4" s="1"/>
  <c r="S216" i="4"/>
  <c r="AA216" i="4" s="1"/>
  <c r="V216" i="4"/>
  <c r="AW216" i="4" s="1"/>
  <c r="Y216" i="4"/>
  <c r="AD216" i="4" s="1"/>
  <c r="AN213" i="4"/>
  <c r="AU213" i="4"/>
  <c r="AV213" i="4" s="1"/>
  <c r="O216" i="28"/>
  <c r="V217" i="29"/>
  <c r="B216" i="29"/>
  <c r="A820" i="28"/>
  <c r="K216" i="29" l="1"/>
  <c r="M216" i="29"/>
  <c r="E216" i="29"/>
  <c r="E218" i="28"/>
  <c r="T218" i="28"/>
  <c r="M218" i="28"/>
  <c r="L218" i="28"/>
  <c r="AU214" i="4"/>
  <c r="AV214" i="4" s="1"/>
  <c r="AX216" i="4"/>
  <c r="AH215" i="4"/>
  <c r="B217" i="29"/>
  <c r="V218" i="29"/>
  <c r="AG216" i="4"/>
  <c r="L214" i="29"/>
  <c r="N214" i="29"/>
  <c r="O214" i="29" s="1"/>
  <c r="J217" i="28"/>
  <c r="Y217" i="28" s="1"/>
  <c r="I217" i="28"/>
  <c r="K217" i="28" s="1"/>
  <c r="N217" i="28" s="1"/>
  <c r="W216" i="29"/>
  <c r="G216" i="29" s="1"/>
  <c r="X216" i="29"/>
  <c r="Z216" i="28"/>
  <c r="AL215" i="4"/>
  <c r="R218" i="28"/>
  <c r="Q218" i="28"/>
  <c r="F218" i="28"/>
  <c r="S218" i="28"/>
  <c r="W218" i="28"/>
  <c r="O217" i="28"/>
  <c r="BE218" i="4"/>
  <c r="BD218" i="4"/>
  <c r="AF218" i="4"/>
  <c r="J218" i="4"/>
  <c r="AQ218" i="4"/>
  <c r="N218" i="4"/>
  <c r="M218" i="4"/>
  <c r="I218" i="4"/>
  <c r="AP218" i="4"/>
  <c r="L218" i="4"/>
  <c r="E218" i="4"/>
  <c r="AR218" i="4"/>
  <c r="AT218" i="4"/>
  <c r="AS218" i="4"/>
  <c r="AO218" i="4"/>
  <c r="H218" i="4"/>
  <c r="G218" i="4"/>
  <c r="AM217" i="4"/>
  <c r="H215" i="29"/>
  <c r="J215" i="29" s="1"/>
  <c r="AC220" i="28"/>
  <c r="B219" i="28"/>
  <c r="AE218" i="28"/>
  <c r="AD218" i="28"/>
  <c r="P216" i="28"/>
  <c r="U216" i="28"/>
  <c r="V216" i="28" s="1"/>
  <c r="X216" i="28" s="1"/>
  <c r="V217" i="4"/>
  <c r="AW217" i="4" s="1"/>
  <c r="R217" i="4"/>
  <c r="Z217" i="4" s="1"/>
  <c r="X217" i="4"/>
  <c r="AC217" i="4" s="1"/>
  <c r="T217" i="4"/>
  <c r="W217" i="4"/>
  <c r="AB217" i="4" s="1"/>
  <c r="S217" i="4"/>
  <c r="AA217" i="4" s="1"/>
  <c r="U217" i="4"/>
  <c r="Y217" i="4"/>
  <c r="AD217" i="4" s="1"/>
  <c r="BC220" i="4"/>
  <c r="B219" i="4"/>
  <c r="A821" i="28"/>
  <c r="M217" i="29" l="1"/>
  <c r="K217" i="29"/>
  <c r="E217" i="29"/>
  <c r="T219" i="28"/>
  <c r="E219" i="28"/>
  <c r="O218" i="28"/>
  <c r="M219" i="28"/>
  <c r="L219" i="28"/>
  <c r="AH216" i="4"/>
  <c r="AG217" i="4"/>
  <c r="AX217" i="4"/>
  <c r="B220" i="4"/>
  <c r="BC221" i="4"/>
  <c r="I218" i="28"/>
  <c r="K218" i="28" s="1"/>
  <c r="N218" i="28" s="1"/>
  <c r="J218" i="28"/>
  <c r="Y218" i="28" s="1"/>
  <c r="AD219" i="28"/>
  <c r="AE219" i="28"/>
  <c r="B220" i="28"/>
  <c r="AC221" i="28"/>
  <c r="N215" i="29"/>
  <c r="O215" i="29" s="1"/>
  <c r="L215" i="29"/>
  <c r="L219" i="4"/>
  <c r="AP219" i="4"/>
  <c r="I219" i="4"/>
  <c r="G219" i="4"/>
  <c r="AR219" i="4"/>
  <c r="AO219" i="4"/>
  <c r="H219" i="4"/>
  <c r="AF219" i="4"/>
  <c r="M219" i="4"/>
  <c r="E219" i="4"/>
  <c r="AT219" i="4"/>
  <c r="J219" i="4"/>
  <c r="AQ219" i="4"/>
  <c r="N219" i="4"/>
  <c r="AS219" i="4"/>
  <c r="BD219" i="4"/>
  <c r="BE219" i="4"/>
  <c r="W219" i="28"/>
  <c r="S219" i="28"/>
  <c r="Q219" i="28"/>
  <c r="R219" i="28"/>
  <c r="F219" i="28"/>
  <c r="AM218" i="4"/>
  <c r="P217" i="28"/>
  <c r="U217" i="28"/>
  <c r="V217" i="28" s="1"/>
  <c r="X217" i="28" s="1"/>
  <c r="X217" i="29"/>
  <c r="W217" i="29"/>
  <c r="G217" i="29" s="1"/>
  <c r="X218" i="4"/>
  <c r="AC218" i="4" s="1"/>
  <c r="U218" i="4"/>
  <c r="S218" i="4"/>
  <c r="AA218" i="4" s="1"/>
  <c r="T218" i="4"/>
  <c r="Y218" i="4"/>
  <c r="AD218" i="4" s="1"/>
  <c r="R218" i="4"/>
  <c r="Z218" i="4" s="1"/>
  <c r="W218" i="4"/>
  <c r="AB218" i="4" s="1"/>
  <c r="V218" i="4"/>
  <c r="AW218" i="4" s="1"/>
  <c r="Z217" i="28"/>
  <c r="AN215" i="4"/>
  <c r="AU215" i="4"/>
  <c r="AV215" i="4" s="1"/>
  <c r="H216" i="29"/>
  <c r="J216" i="29" s="1"/>
  <c r="AL216" i="4"/>
  <c r="V219" i="29"/>
  <c r="B218" i="29"/>
  <c r="A822" i="28"/>
  <c r="Z218" i="28" l="1"/>
  <c r="AL217" i="4"/>
  <c r="AN217" i="4" s="1"/>
  <c r="E218" i="29"/>
  <c r="K218" i="29"/>
  <c r="M218" i="29"/>
  <c r="T220" i="28"/>
  <c r="W220" i="28"/>
  <c r="E220" i="28"/>
  <c r="M220" i="28"/>
  <c r="L220" i="28"/>
  <c r="O219" i="28"/>
  <c r="AX218" i="4"/>
  <c r="AM219" i="4"/>
  <c r="AD220" i="28"/>
  <c r="AE220" i="28"/>
  <c r="B221" i="4"/>
  <c r="BC222" i="4"/>
  <c r="B219" i="29"/>
  <c r="V220" i="29"/>
  <c r="AU216" i="4"/>
  <c r="AV216" i="4" s="1"/>
  <c r="AN216" i="4"/>
  <c r="N216" i="29"/>
  <c r="O216" i="29" s="1"/>
  <c r="L216" i="29"/>
  <c r="AG218" i="4"/>
  <c r="H217" i="29"/>
  <c r="J217" i="29" s="1"/>
  <c r="W218" i="29"/>
  <c r="G218" i="29" s="1"/>
  <c r="X218" i="29"/>
  <c r="AH217" i="4"/>
  <c r="R219" i="4"/>
  <c r="Z219" i="4" s="1"/>
  <c r="X219" i="4"/>
  <c r="AC219" i="4" s="1"/>
  <c r="T219" i="4"/>
  <c r="W219" i="4"/>
  <c r="AB219" i="4" s="1"/>
  <c r="Y219" i="4"/>
  <c r="AD219" i="4" s="1"/>
  <c r="S219" i="4"/>
  <c r="AA219" i="4" s="1"/>
  <c r="U219" i="4"/>
  <c r="V219" i="4"/>
  <c r="AW219" i="4" s="1"/>
  <c r="AC222" i="28"/>
  <c r="B221" i="28"/>
  <c r="R220" i="28"/>
  <c r="Q220" i="28"/>
  <c r="F220" i="28"/>
  <c r="S220" i="28"/>
  <c r="I219" i="28"/>
  <c r="K219" i="28" s="1"/>
  <c r="N219" i="28" s="1"/>
  <c r="J219" i="28"/>
  <c r="Y219" i="28" s="1"/>
  <c r="U218" i="28"/>
  <c r="V218" i="28" s="1"/>
  <c r="X218" i="28" s="1"/>
  <c r="P218" i="28"/>
  <c r="BE220" i="4"/>
  <c r="BD220" i="4"/>
  <c r="AS220" i="4"/>
  <c r="AF220" i="4"/>
  <c r="N220" i="4"/>
  <c r="J220" i="4"/>
  <c r="G220" i="4"/>
  <c r="E220" i="4"/>
  <c r="AO220" i="4"/>
  <c r="I220" i="4"/>
  <c r="AQ220" i="4"/>
  <c r="L220" i="4"/>
  <c r="M220" i="4"/>
  <c r="AR220" i="4"/>
  <c r="AT220" i="4"/>
  <c r="H220" i="4"/>
  <c r="AP220" i="4"/>
  <c r="A823" i="28"/>
  <c r="AU217" i="4" l="1"/>
  <c r="AV217" i="4" s="1"/>
  <c r="E219" i="29"/>
  <c r="K219" i="29"/>
  <c r="M219" i="29"/>
  <c r="T221" i="28"/>
  <c r="W221" i="28"/>
  <c r="E221" i="28"/>
  <c r="M221" i="28"/>
  <c r="L221" i="28"/>
  <c r="Z219" i="28"/>
  <c r="O220" i="28"/>
  <c r="AL218" i="4"/>
  <c r="AM220" i="4"/>
  <c r="P219" i="28"/>
  <c r="U219" i="28"/>
  <c r="V219" i="28" s="1"/>
  <c r="X219" i="28" s="1"/>
  <c r="AC223" i="28"/>
  <c r="B222" i="28"/>
  <c r="AG219" i="4"/>
  <c r="AH219" i="4" s="1"/>
  <c r="V221" i="29"/>
  <c r="B220" i="29"/>
  <c r="H218" i="29"/>
  <c r="J218" i="29" s="1"/>
  <c r="BC223" i="4"/>
  <c r="B222" i="4"/>
  <c r="BE221" i="4"/>
  <c r="BD221" i="4"/>
  <c r="I220" i="28"/>
  <c r="K220" i="28" s="1"/>
  <c r="N220" i="28" s="1"/>
  <c r="J220" i="28"/>
  <c r="Y220" i="28" s="1"/>
  <c r="S220" i="4"/>
  <c r="AA220" i="4" s="1"/>
  <c r="Y220" i="4"/>
  <c r="AD220" i="4" s="1"/>
  <c r="V220" i="4"/>
  <c r="AW220" i="4" s="1"/>
  <c r="U220" i="4"/>
  <c r="T220" i="4"/>
  <c r="W220" i="4"/>
  <c r="AB220" i="4" s="1"/>
  <c r="X220" i="4"/>
  <c r="AC220" i="4" s="1"/>
  <c r="R220" i="4"/>
  <c r="Z220" i="4" s="1"/>
  <c r="F221" i="28"/>
  <c r="Q221" i="28"/>
  <c r="S221" i="28"/>
  <c r="R221" i="28"/>
  <c r="AD221" i="28"/>
  <c r="AE221" i="28"/>
  <c r="AX219" i="4"/>
  <c r="L217" i="29"/>
  <c r="N217" i="29"/>
  <c r="O217" i="29" s="1"/>
  <c r="AH218" i="4"/>
  <c r="W219" i="29"/>
  <c r="G219" i="29" s="1"/>
  <c r="X219" i="29"/>
  <c r="AP221" i="4"/>
  <c r="G221" i="4"/>
  <c r="M221" i="4"/>
  <c r="AQ221" i="4"/>
  <c r="J221" i="4"/>
  <c r="AR221" i="4"/>
  <c r="I221" i="4"/>
  <c r="L221" i="4"/>
  <c r="AF221" i="4"/>
  <c r="AO221" i="4"/>
  <c r="AT221" i="4"/>
  <c r="E221" i="4"/>
  <c r="AS221" i="4"/>
  <c r="N221" i="4"/>
  <c r="H221" i="4"/>
  <c r="A824" i="28"/>
  <c r="Z220" i="28" l="1"/>
  <c r="K220" i="29"/>
  <c r="M220" i="29"/>
  <c r="E220" i="29"/>
  <c r="T222" i="28"/>
  <c r="W222" i="28"/>
  <c r="E222" i="28"/>
  <c r="M222" i="28"/>
  <c r="L222" i="28"/>
  <c r="AN218" i="4"/>
  <c r="AU218" i="4"/>
  <c r="AV218" i="4" s="1"/>
  <c r="AL219" i="4"/>
  <c r="O221" i="28"/>
  <c r="AG220" i="4"/>
  <c r="W221" i="4"/>
  <c r="AB221" i="4" s="1"/>
  <c r="X221" i="4"/>
  <c r="AC221" i="4" s="1"/>
  <c r="R221" i="4"/>
  <c r="Z221" i="4" s="1"/>
  <c r="U221" i="4"/>
  <c r="S221" i="4"/>
  <c r="AA221" i="4" s="1"/>
  <c r="T221" i="4"/>
  <c r="V221" i="4"/>
  <c r="AW221" i="4" s="1"/>
  <c r="Y221" i="4"/>
  <c r="AD221" i="4" s="1"/>
  <c r="H222" i="4"/>
  <c r="AQ222" i="4"/>
  <c r="G222" i="4"/>
  <c r="L222" i="4"/>
  <c r="N222" i="4"/>
  <c r="AS222" i="4"/>
  <c r="I222" i="4"/>
  <c r="J222" i="4"/>
  <c r="AR222" i="4"/>
  <c r="E222" i="4"/>
  <c r="AO222" i="4"/>
  <c r="AF222" i="4"/>
  <c r="M222" i="4"/>
  <c r="AT222" i="4"/>
  <c r="AP222" i="4"/>
  <c r="BC224" i="4"/>
  <c r="B223" i="4"/>
  <c r="W220" i="29"/>
  <c r="G220" i="29" s="1"/>
  <c r="X220" i="29"/>
  <c r="V222" i="29"/>
  <c r="B221" i="29"/>
  <c r="B223" i="28"/>
  <c r="AC224" i="28"/>
  <c r="AM221" i="4"/>
  <c r="H219" i="29"/>
  <c r="J219" i="29" s="1"/>
  <c r="J221" i="28"/>
  <c r="Y221" i="28" s="1"/>
  <c r="I221" i="28"/>
  <c r="K221" i="28" s="1"/>
  <c r="N221" i="28" s="1"/>
  <c r="AX220" i="4"/>
  <c r="P220" i="28"/>
  <c r="U220" i="28"/>
  <c r="V220" i="28" s="1"/>
  <c r="X220" i="28" s="1"/>
  <c r="BD222" i="4"/>
  <c r="BE222" i="4"/>
  <c r="L218" i="29"/>
  <c r="N218" i="29"/>
  <c r="O218" i="29" s="1"/>
  <c r="F222" i="28"/>
  <c r="S222" i="28"/>
  <c r="Q222" i="28"/>
  <c r="R222" i="28"/>
  <c r="AD222" i="28"/>
  <c r="AE222" i="28"/>
  <c r="A825" i="28"/>
  <c r="M221" i="29" l="1"/>
  <c r="E221" i="29"/>
  <c r="K221" i="29"/>
  <c r="T223" i="28"/>
  <c r="W223" i="28"/>
  <c r="E223" i="28"/>
  <c r="M223" i="28"/>
  <c r="L223" i="28"/>
  <c r="AN219" i="4"/>
  <c r="AG221" i="4"/>
  <c r="AH221" i="4" s="1"/>
  <c r="AU219" i="4"/>
  <c r="AV219" i="4" s="1"/>
  <c r="H220" i="29"/>
  <c r="J220" i="29" s="1"/>
  <c r="N220" i="29" s="1"/>
  <c r="O220" i="29" s="1"/>
  <c r="AL220" i="4"/>
  <c r="AN220" i="4" s="1"/>
  <c r="I222" i="28"/>
  <c r="K222" i="28" s="1"/>
  <c r="N222" i="28" s="1"/>
  <c r="J222" i="28"/>
  <c r="Y222" i="28" s="1"/>
  <c r="O222" i="28"/>
  <c r="L219" i="29"/>
  <c r="N219" i="29"/>
  <c r="O219" i="29" s="1"/>
  <c r="F223" i="28"/>
  <c r="Q223" i="28"/>
  <c r="S223" i="28"/>
  <c r="R223" i="28"/>
  <c r="V223" i="29"/>
  <c r="B222" i="29"/>
  <c r="H223" i="4"/>
  <c r="AP223" i="4"/>
  <c r="N223" i="4"/>
  <c r="AR223" i="4"/>
  <c r="AQ223" i="4"/>
  <c r="M223" i="4"/>
  <c r="AO223" i="4"/>
  <c r="I223" i="4"/>
  <c r="AT223" i="4"/>
  <c r="AF223" i="4"/>
  <c r="E223" i="4"/>
  <c r="AS223" i="4"/>
  <c r="J223" i="4"/>
  <c r="G223" i="4"/>
  <c r="L223" i="4"/>
  <c r="BE223" i="4"/>
  <c r="BD223" i="4"/>
  <c r="AM222" i="4"/>
  <c r="AX221" i="4"/>
  <c r="AL221" i="4"/>
  <c r="Z221" i="28"/>
  <c r="Y222" i="4"/>
  <c r="AD222" i="4" s="1"/>
  <c r="X222" i="4"/>
  <c r="AC222" i="4" s="1"/>
  <c r="T222" i="4"/>
  <c r="S222" i="4"/>
  <c r="AA222" i="4" s="1"/>
  <c r="V222" i="4"/>
  <c r="AW222" i="4" s="1"/>
  <c r="W222" i="4"/>
  <c r="AB222" i="4" s="1"/>
  <c r="U222" i="4"/>
  <c r="R222" i="4"/>
  <c r="Z222" i="4" s="1"/>
  <c r="U221" i="28"/>
  <c r="V221" i="28" s="1"/>
  <c r="X221" i="28" s="1"/>
  <c r="P221" i="28"/>
  <c r="AC225" i="28"/>
  <c r="B224" i="28"/>
  <c r="AD223" i="28"/>
  <c r="AE223" i="28"/>
  <c r="X221" i="29"/>
  <c r="W221" i="29"/>
  <c r="G221" i="29" s="1"/>
  <c r="BC225" i="4"/>
  <c r="B224" i="4"/>
  <c r="AH220" i="4"/>
  <c r="A826" i="28"/>
  <c r="L220" i="29" l="1"/>
  <c r="E222" i="29"/>
  <c r="M222" i="29"/>
  <c r="K222" i="29"/>
  <c r="T224" i="28"/>
  <c r="W224" i="28"/>
  <c r="E224" i="28"/>
  <c r="M224" i="28"/>
  <c r="L224" i="28"/>
  <c r="AU220" i="4"/>
  <c r="AV220" i="4" s="1"/>
  <c r="AM223" i="4"/>
  <c r="AX222" i="4"/>
  <c r="N224" i="4"/>
  <c r="L224" i="4"/>
  <c r="E224" i="4"/>
  <c r="AP224" i="4"/>
  <c r="AR224" i="4"/>
  <c r="AQ224" i="4"/>
  <c r="G224" i="4"/>
  <c r="M224" i="4"/>
  <c r="AF224" i="4"/>
  <c r="H224" i="4"/>
  <c r="AO224" i="4"/>
  <c r="I224" i="4"/>
  <c r="AS224" i="4"/>
  <c r="J224" i="4"/>
  <c r="AT224" i="4"/>
  <c r="BE224" i="4"/>
  <c r="BD224" i="4"/>
  <c r="BC226" i="4"/>
  <c r="B225" i="4"/>
  <c r="S224" i="28"/>
  <c r="Q224" i="28"/>
  <c r="F224" i="28"/>
  <c r="R224" i="28"/>
  <c r="B225" i="28"/>
  <c r="AC226" i="28"/>
  <c r="AG222" i="4"/>
  <c r="AL222" i="4" s="1"/>
  <c r="O223" i="28"/>
  <c r="Z222" i="28"/>
  <c r="U222" i="28"/>
  <c r="V222" i="28" s="1"/>
  <c r="X222" i="28" s="1"/>
  <c r="P222" i="28"/>
  <c r="H221" i="29"/>
  <c r="J221" i="29" s="1"/>
  <c r="I223" i="28"/>
  <c r="K223" i="28" s="1"/>
  <c r="N223" i="28" s="1"/>
  <c r="J223" i="28"/>
  <c r="Y223" i="28" s="1"/>
  <c r="AE224" i="28"/>
  <c r="AD224" i="28"/>
  <c r="AU221" i="4"/>
  <c r="AV221" i="4" s="1"/>
  <c r="AN221" i="4"/>
  <c r="W223" i="4"/>
  <c r="AB223" i="4" s="1"/>
  <c r="U223" i="4"/>
  <c r="T223" i="4"/>
  <c r="X223" i="4"/>
  <c r="AC223" i="4" s="1"/>
  <c r="Y223" i="4"/>
  <c r="AD223" i="4" s="1"/>
  <c r="R223" i="4"/>
  <c r="Z223" i="4" s="1"/>
  <c r="V223" i="4"/>
  <c r="AW223" i="4" s="1"/>
  <c r="S223" i="4"/>
  <c r="AA223" i="4" s="1"/>
  <c r="W222" i="29"/>
  <c r="G222" i="29" s="1"/>
  <c r="X222" i="29"/>
  <c r="V224" i="29"/>
  <c r="B223" i="29"/>
  <c r="A827" i="28"/>
  <c r="E223" i="29" l="1"/>
  <c r="K223" i="29"/>
  <c r="M223" i="29"/>
  <c r="T225" i="28"/>
  <c r="W225" i="28"/>
  <c r="E225" i="28"/>
  <c r="L225" i="28"/>
  <c r="M225" i="28"/>
  <c r="AM224" i="4"/>
  <c r="AX223" i="4"/>
  <c r="AH222" i="4"/>
  <c r="H222" i="29"/>
  <c r="J222" i="29" s="1"/>
  <c r="N222" i="29" s="1"/>
  <c r="O222" i="29" s="1"/>
  <c r="AN222" i="4"/>
  <c r="AU222" i="4"/>
  <c r="AV222" i="4" s="1"/>
  <c r="O224" i="28"/>
  <c r="B226" i="4"/>
  <c r="BC227" i="4"/>
  <c r="S224" i="4"/>
  <c r="AA224" i="4" s="1"/>
  <c r="R224" i="4"/>
  <c r="Z224" i="4" s="1"/>
  <c r="Y224" i="4"/>
  <c r="AD224" i="4" s="1"/>
  <c r="W224" i="4"/>
  <c r="AB224" i="4" s="1"/>
  <c r="X224" i="4"/>
  <c r="AC224" i="4" s="1"/>
  <c r="V224" i="4"/>
  <c r="AW224" i="4" s="1"/>
  <c r="U224" i="4"/>
  <c r="T224" i="4"/>
  <c r="U223" i="28"/>
  <c r="V223" i="28" s="1"/>
  <c r="X223" i="28" s="1"/>
  <c r="P223" i="28"/>
  <c r="Z223" i="28"/>
  <c r="B226" i="28"/>
  <c r="AC227" i="28"/>
  <c r="AE225" i="28"/>
  <c r="AD225" i="28"/>
  <c r="W223" i="29"/>
  <c r="G223" i="29" s="1"/>
  <c r="X223" i="29"/>
  <c r="B224" i="29"/>
  <c r="V225" i="29"/>
  <c r="AG223" i="4"/>
  <c r="AL223" i="4" s="1"/>
  <c r="J224" i="28"/>
  <c r="Y224" i="28" s="1"/>
  <c r="I224" i="28"/>
  <c r="K224" i="28" s="1"/>
  <c r="N224" i="28" s="1"/>
  <c r="L221" i="29"/>
  <c r="N221" i="29"/>
  <c r="O221" i="29" s="1"/>
  <c r="R225" i="28"/>
  <c r="S225" i="28"/>
  <c r="Q225" i="28"/>
  <c r="F225" i="28"/>
  <c r="I225" i="4"/>
  <c r="G225" i="4"/>
  <c r="H225" i="4"/>
  <c r="AO225" i="4"/>
  <c r="AF225" i="4"/>
  <c r="N225" i="4"/>
  <c r="AR225" i="4"/>
  <c r="AP225" i="4"/>
  <c r="AS225" i="4"/>
  <c r="AQ225" i="4"/>
  <c r="AT225" i="4"/>
  <c r="E225" i="4"/>
  <c r="L225" i="4"/>
  <c r="J225" i="4"/>
  <c r="M225" i="4"/>
  <c r="BD225" i="4"/>
  <c r="BE225" i="4"/>
  <c r="A828" i="28"/>
  <c r="L222" i="29" l="1"/>
  <c r="K224" i="29"/>
  <c r="M224" i="29"/>
  <c r="E224" i="29"/>
  <c r="T226" i="28"/>
  <c r="W226" i="28"/>
  <c r="E226" i="28"/>
  <c r="M226" i="28"/>
  <c r="L226" i="28"/>
  <c r="R225" i="4"/>
  <c r="Z225" i="4" s="1"/>
  <c r="U225" i="4"/>
  <c r="X225" i="4"/>
  <c r="AC225" i="4" s="1"/>
  <c r="V225" i="4"/>
  <c r="AW225" i="4" s="1"/>
  <c r="S225" i="4"/>
  <c r="T225" i="4"/>
  <c r="W225" i="4"/>
  <c r="AB225" i="4" s="1"/>
  <c r="Y225" i="4"/>
  <c r="AD225" i="4" s="1"/>
  <c r="AM225" i="4"/>
  <c r="O225" i="28"/>
  <c r="AN223" i="4"/>
  <c r="AU223" i="4"/>
  <c r="AV223" i="4" s="1"/>
  <c r="W224" i="29"/>
  <c r="G224" i="29" s="1"/>
  <c r="X224" i="29"/>
  <c r="AE226" i="28"/>
  <c r="AD226" i="28"/>
  <c r="BC228" i="4"/>
  <c r="B227" i="4"/>
  <c r="Z224" i="28"/>
  <c r="P224" i="28"/>
  <c r="U224" i="28"/>
  <c r="V224" i="28" s="1"/>
  <c r="X224" i="28" s="1"/>
  <c r="AH223" i="4"/>
  <c r="V226" i="29"/>
  <c r="B225" i="29"/>
  <c r="I225" i="28"/>
  <c r="K225" i="28" s="1"/>
  <c r="N225" i="28" s="1"/>
  <c r="J225" i="28"/>
  <c r="Y225" i="28" s="1"/>
  <c r="B227" i="28"/>
  <c r="AC228" i="28"/>
  <c r="F226" i="28"/>
  <c r="Q226" i="28"/>
  <c r="R226" i="28"/>
  <c r="S226" i="28"/>
  <c r="H223" i="29"/>
  <c r="J223" i="29" s="1"/>
  <c r="AG224" i="4"/>
  <c r="AX224" i="4"/>
  <c r="BD226" i="4"/>
  <c r="BE226" i="4"/>
  <c r="L226" i="4"/>
  <c r="J226" i="4"/>
  <c r="AS226" i="4"/>
  <c r="AR226" i="4"/>
  <c r="AP226" i="4"/>
  <c r="H226" i="4"/>
  <c r="M226" i="4"/>
  <c r="N226" i="4"/>
  <c r="AO226" i="4"/>
  <c r="E226" i="4"/>
  <c r="F226" i="4" s="1"/>
  <c r="G226" i="4"/>
  <c r="AF226" i="4"/>
  <c r="AT226" i="4"/>
  <c r="I226" i="4"/>
  <c r="AQ226" i="4"/>
  <c r="A829" i="28"/>
  <c r="M225" i="29" l="1"/>
  <c r="K225" i="29"/>
  <c r="E225" i="29"/>
  <c r="T227" i="28"/>
  <c r="W227" i="28"/>
  <c r="E227" i="28"/>
  <c r="M227" i="28"/>
  <c r="L227" i="28"/>
  <c r="O226" i="28"/>
  <c r="AA225" i="4"/>
  <c r="AX225" i="4" s="1"/>
  <c r="AL224" i="4"/>
  <c r="AM226" i="4"/>
  <c r="X226" i="4"/>
  <c r="AC226" i="4" s="1"/>
  <c r="V226" i="4"/>
  <c r="AW226" i="4" s="1"/>
  <c r="W226" i="4"/>
  <c r="AB226" i="4" s="1"/>
  <c r="Y226" i="4"/>
  <c r="AD226" i="4" s="1"/>
  <c r="R226" i="4"/>
  <c r="Z226" i="4" s="1"/>
  <c r="U226" i="4"/>
  <c r="T226" i="4"/>
  <c r="S226" i="4"/>
  <c r="AA226" i="4" s="1"/>
  <c r="AH224" i="4"/>
  <c r="L223" i="29"/>
  <c r="N223" i="29"/>
  <c r="O223" i="29" s="1"/>
  <c r="R227" i="28"/>
  <c r="Q227" i="28"/>
  <c r="S227" i="28"/>
  <c r="F227" i="28"/>
  <c r="X225" i="29"/>
  <c r="W225" i="29"/>
  <c r="G225" i="29" s="1"/>
  <c r="AQ227" i="4"/>
  <c r="AF227" i="4"/>
  <c r="E227" i="4"/>
  <c r="I227" i="4"/>
  <c r="L227" i="4"/>
  <c r="J227" i="4"/>
  <c r="H227" i="4"/>
  <c r="AS227" i="4"/>
  <c r="M227" i="4"/>
  <c r="N227" i="4"/>
  <c r="AT227" i="4"/>
  <c r="AP227" i="4"/>
  <c r="AR227" i="4"/>
  <c r="G227" i="4"/>
  <c r="AO227" i="4"/>
  <c r="Z225" i="28"/>
  <c r="B228" i="28"/>
  <c r="AC229" i="28"/>
  <c r="AD227" i="28"/>
  <c r="AE227" i="28"/>
  <c r="U225" i="28"/>
  <c r="V225" i="28" s="1"/>
  <c r="X225" i="28" s="1"/>
  <c r="P225" i="28"/>
  <c r="V227" i="29"/>
  <c r="B226" i="29"/>
  <c r="BD227" i="4"/>
  <c r="BE227" i="4"/>
  <c r="BC229" i="4"/>
  <c r="B228" i="4"/>
  <c r="J226" i="28"/>
  <c r="Y226" i="28" s="1"/>
  <c r="I226" i="28"/>
  <c r="K226" i="28" s="1"/>
  <c r="N226" i="28" s="1"/>
  <c r="H224" i="29"/>
  <c r="J224" i="29" s="1"/>
  <c r="AG225" i="4"/>
  <c r="A830" i="28"/>
  <c r="Z226" i="28" l="1"/>
  <c r="E226" i="29"/>
  <c r="K226" i="29"/>
  <c r="M226" i="29"/>
  <c r="T228" i="28"/>
  <c r="W228" i="28"/>
  <c r="E228" i="28"/>
  <c r="M228" i="28"/>
  <c r="L228" i="28"/>
  <c r="AX226" i="4"/>
  <c r="AU224" i="4"/>
  <c r="AV224" i="4" s="1"/>
  <c r="AN224" i="4"/>
  <c r="AH225" i="4"/>
  <c r="P226" i="28"/>
  <c r="U226" i="28"/>
  <c r="V226" i="28" s="1"/>
  <c r="X226" i="28" s="1"/>
  <c r="L228" i="4"/>
  <c r="M228" i="4"/>
  <c r="AR228" i="4"/>
  <c r="AT228" i="4"/>
  <c r="H228" i="4"/>
  <c r="AP228" i="4"/>
  <c r="I228" i="4"/>
  <c r="AQ228" i="4"/>
  <c r="N228" i="4"/>
  <c r="G228" i="4"/>
  <c r="E228" i="4"/>
  <c r="AF228" i="4"/>
  <c r="J228" i="4"/>
  <c r="AO228" i="4"/>
  <c r="AS228" i="4"/>
  <c r="X227" i="4"/>
  <c r="AC227" i="4" s="1"/>
  <c r="R227" i="4"/>
  <c r="Z227" i="4" s="1"/>
  <c r="S227" i="4"/>
  <c r="AA227" i="4" s="1"/>
  <c r="V227" i="4"/>
  <c r="AW227" i="4" s="1"/>
  <c r="U227" i="4"/>
  <c r="W227" i="4"/>
  <c r="AB227" i="4" s="1"/>
  <c r="T227" i="4"/>
  <c r="Y227" i="4"/>
  <c r="AD227" i="4" s="1"/>
  <c r="V228" i="29"/>
  <c r="B227" i="29"/>
  <c r="I227" i="28"/>
  <c r="K227" i="28" s="1"/>
  <c r="N227" i="28" s="1"/>
  <c r="J227" i="28"/>
  <c r="Y227" i="28" s="1"/>
  <c r="R228" i="28"/>
  <c r="F228" i="28"/>
  <c r="Q228" i="28"/>
  <c r="S228" i="28"/>
  <c r="AM227" i="4"/>
  <c r="H225" i="29"/>
  <c r="J225" i="29" s="1"/>
  <c r="AG226" i="4"/>
  <c r="N224" i="29"/>
  <c r="O224" i="29" s="1"/>
  <c r="L224" i="29"/>
  <c r="BE228" i="4"/>
  <c r="BD228" i="4"/>
  <c r="B229" i="4"/>
  <c r="BC230" i="4"/>
  <c r="X226" i="29"/>
  <c r="W226" i="29"/>
  <c r="G226" i="29" s="1"/>
  <c r="B229" i="28"/>
  <c r="AC230" i="28"/>
  <c r="AE228" i="28"/>
  <c r="AD228" i="28"/>
  <c r="AL225" i="4"/>
  <c r="O227" i="28"/>
  <c r="A831" i="28"/>
  <c r="E227" i="29" l="1"/>
  <c r="K227" i="29"/>
  <c r="M227" i="29"/>
  <c r="T229" i="28"/>
  <c r="W229" i="28"/>
  <c r="E229" i="28"/>
  <c r="L229" i="28"/>
  <c r="M229" i="28"/>
  <c r="AH226" i="4"/>
  <c r="O228" i="28"/>
  <c r="P227" i="28"/>
  <c r="U227" i="28"/>
  <c r="V227" i="28" s="1"/>
  <c r="X227" i="28" s="1"/>
  <c r="X227" i="29"/>
  <c r="W227" i="29"/>
  <c r="G227" i="29" s="1"/>
  <c r="AG227" i="4"/>
  <c r="AM228" i="4"/>
  <c r="Z227" i="28"/>
  <c r="AN225" i="4"/>
  <c r="AU225" i="4"/>
  <c r="AV225" i="4" s="1"/>
  <c r="I228" i="28"/>
  <c r="K228" i="28" s="1"/>
  <c r="N228" i="28" s="1"/>
  <c r="J228" i="28"/>
  <c r="Y228" i="28" s="1"/>
  <c r="B230" i="28"/>
  <c r="AC231" i="28"/>
  <c r="AE229" i="28"/>
  <c r="AD229" i="28"/>
  <c r="AO229" i="4"/>
  <c r="G229" i="4"/>
  <c r="I229" i="4"/>
  <c r="AP229" i="4"/>
  <c r="H229" i="4"/>
  <c r="N229" i="4"/>
  <c r="AS229" i="4"/>
  <c r="AT229" i="4"/>
  <c r="J229" i="4"/>
  <c r="E229" i="4"/>
  <c r="AR229" i="4"/>
  <c r="AF229" i="4"/>
  <c r="AQ229" i="4"/>
  <c r="L229" i="4"/>
  <c r="M229" i="4"/>
  <c r="X228" i="4"/>
  <c r="AC228" i="4" s="1"/>
  <c r="T228" i="4"/>
  <c r="W228" i="4"/>
  <c r="AB228" i="4" s="1"/>
  <c r="U228" i="4"/>
  <c r="Y228" i="4"/>
  <c r="AD228" i="4" s="1"/>
  <c r="R228" i="4"/>
  <c r="Z228" i="4" s="1"/>
  <c r="V228" i="4"/>
  <c r="AW228" i="4" s="1"/>
  <c r="S228" i="4"/>
  <c r="AA228" i="4" s="1"/>
  <c r="L225" i="29"/>
  <c r="N225" i="29"/>
  <c r="O225" i="29" s="1"/>
  <c r="R229" i="28"/>
  <c r="S229" i="28"/>
  <c r="Q229" i="28"/>
  <c r="F229" i="28"/>
  <c r="B230" i="4"/>
  <c r="BC231" i="4"/>
  <c r="BD229" i="4"/>
  <c r="BE229" i="4"/>
  <c r="AL226" i="4"/>
  <c r="B228" i="29"/>
  <c r="V229" i="29"/>
  <c r="H226" i="29"/>
  <c r="J226" i="29" s="1"/>
  <c r="AX227" i="4"/>
  <c r="A832" i="28"/>
  <c r="K228" i="29" l="1"/>
  <c r="M228" i="29"/>
  <c r="E228" i="29"/>
  <c r="T230" i="28"/>
  <c r="W230" i="28"/>
  <c r="E230" i="28"/>
  <c r="L230" i="28"/>
  <c r="M230" i="28"/>
  <c r="AG228" i="4"/>
  <c r="AH228" i="4" s="1"/>
  <c r="H227" i="29"/>
  <c r="J227" i="29" s="1"/>
  <c r="AL227" i="4"/>
  <c r="AX228" i="4"/>
  <c r="L226" i="29"/>
  <c r="N226" i="29"/>
  <c r="O226" i="29" s="1"/>
  <c r="V230" i="29"/>
  <c r="B229" i="29"/>
  <c r="X229" i="4"/>
  <c r="AC229" i="4" s="1"/>
  <c r="V229" i="4"/>
  <c r="AW229" i="4" s="1"/>
  <c r="U229" i="4"/>
  <c r="S229" i="4"/>
  <c r="AA229" i="4" s="1"/>
  <c r="W229" i="4"/>
  <c r="AB229" i="4" s="1"/>
  <c r="Y229" i="4"/>
  <c r="AD229" i="4" s="1"/>
  <c r="R229" i="4"/>
  <c r="Z229" i="4" s="1"/>
  <c r="T229" i="4"/>
  <c r="AF230" i="4"/>
  <c r="G230" i="4"/>
  <c r="J230" i="4"/>
  <c r="N230" i="4"/>
  <c r="E230" i="4"/>
  <c r="AQ230" i="4"/>
  <c r="AO230" i="4"/>
  <c r="AP230" i="4"/>
  <c r="L230" i="4"/>
  <c r="M230" i="4"/>
  <c r="AS230" i="4"/>
  <c r="AR230" i="4"/>
  <c r="H230" i="4"/>
  <c r="AT230" i="4"/>
  <c r="I230" i="4"/>
  <c r="BD230" i="4"/>
  <c r="BE230" i="4"/>
  <c r="W228" i="29"/>
  <c r="G228" i="29" s="1"/>
  <c r="X228" i="29"/>
  <c r="AN226" i="4"/>
  <c r="AU226" i="4"/>
  <c r="AV226" i="4" s="1"/>
  <c r="BC232" i="4"/>
  <c r="B231" i="4"/>
  <c r="AL228" i="4"/>
  <c r="AM229" i="4"/>
  <c r="AE230" i="28"/>
  <c r="AD230" i="28"/>
  <c r="O229" i="28"/>
  <c r="I229" i="28"/>
  <c r="K229" i="28" s="1"/>
  <c r="N229" i="28" s="1"/>
  <c r="J229" i="28"/>
  <c r="Y229" i="28" s="1"/>
  <c r="B231" i="28"/>
  <c r="AC232" i="28"/>
  <c r="F230" i="28"/>
  <c r="S230" i="28"/>
  <c r="R230" i="28"/>
  <c r="Q230" i="28"/>
  <c r="U228" i="28"/>
  <c r="V228" i="28" s="1"/>
  <c r="X228" i="28" s="1"/>
  <c r="P228" i="28"/>
  <c r="AH227" i="4"/>
  <c r="Z228" i="28"/>
  <c r="A833" i="28"/>
  <c r="AN227" i="4" l="1"/>
  <c r="M229" i="29"/>
  <c r="E229" i="29"/>
  <c r="K229" i="29"/>
  <c r="L231" i="28"/>
  <c r="T231" i="28"/>
  <c r="W231" i="28"/>
  <c r="E231" i="28"/>
  <c r="AU227" i="4"/>
  <c r="AV227" i="4" s="1"/>
  <c r="AM230" i="4"/>
  <c r="AX229" i="4"/>
  <c r="H228" i="29"/>
  <c r="J228" i="29" s="1"/>
  <c r="AC233" i="28"/>
  <c r="B232" i="28"/>
  <c r="S231" i="28"/>
  <c r="Q231" i="28"/>
  <c r="R231" i="28"/>
  <c r="F231" i="28"/>
  <c r="U229" i="28"/>
  <c r="V229" i="28" s="1"/>
  <c r="X229" i="28" s="1"/>
  <c r="P229" i="28"/>
  <c r="Z229" i="28"/>
  <c r="I230" i="28"/>
  <c r="K230" i="28" s="1"/>
  <c r="N230" i="28" s="1"/>
  <c r="J230" i="28"/>
  <c r="Y230" i="28" s="1"/>
  <c r="BC233" i="4"/>
  <c r="B232" i="4"/>
  <c r="AG229" i="4"/>
  <c r="AL229" i="4" s="1"/>
  <c r="L227" i="29"/>
  <c r="N227" i="29"/>
  <c r="O227" i="29" s="1"/>
  <c r="W229" i="29"/>
  <c r="G229" i="29" s="1"/>
  <c r="X229" i="29"/>
  <c r="O230" i="28"/>
  <c r="AE231" i="28"/>
  <c r="AD231" i="28"/>
  <c r="AN228" i="4"/>
  <c r="AU228" i="4"/>
  <c r="AV228" i="4" s="1"/>
  <c r="G231" i="4"/>
  <c r="AS231" i="4"/>
  <c r="L231" i="4"/>
  <c r="M231" i="4"/>
  <c r="J231" i="4"/>
  <c r="AP231" i="4"/>
  <c r="E231" i="4"/>
  <c r="H231" i="4"/>
  <c r="AQ231" i="4"/>
  <c r="AF231" i="4"/>
  <c r="N231" i="4"/>
  <c r="AT231" i="4"/>
  <c r="AR231" i="4"/>
  <c r="AO231" i="4"/>
  <c r="I231" i="4"/>
  <c r="BD231" i="4"/>
  <c r="BE231" i="4"/>
  <c r="V230" i="4"/>
  <c r="AW230" i="4" s="1"/>
  <c r="U230" i="4"/>
  <c r="S230" i="4"/>
  <c r="X230" i="4"/>
  <c r="AC230" i="4" s="1"/>
  <c r="Y230" i="4"/>
  <c r="AD230" i="4" s="1"/>
  <c r="T230" i="4"/>
  <c r="R230" i="4"/>
  <c r="Z230" i="4" s="1"/>
  <c r="W230" i="4"/>
  <c r="AB230" i="4" s="1"/>
  <c r="V231" i="29"/>
  <c r="B230" i="29"/>
  <c r="A834" i="28"/>
  <c r="E230" i="29" l="1"/>
  <c r="M230" i="29"/>
  <c r="K230" i="29"/>
  <c r="T232" i="28"/>
  <c r="W232" i="28"/>
  <c r="E232" i="28"/>
  <c r="AA230" i="4"/>
  <c r="AX230" i="4" s="1"/>
  <c r="M232" i="28"/>
  <c r="L232" i="28"/>
  <c r="AH229" i="4"/>
  <c r="H229" i="29"/>
  <c r="J229" i="29" s="1"/>
  <c r="L229" i="29" s="1"/>
  <c r="AU229" i="4"/>
  <c r="AV229" i="4" s="1"/>
  <c r="AN229" i="4"/>
  <c r="I231" i="28"/>
  <c r="K231" i="28" s="1"/>
  <c r="N231" i="28" s="1"/>
  <c r="J231" i="28"/>
  <c r="Y231" i="28" s="1"/>
  <c r="E232" i="4"/>
  <c r="N232" i="4"/>
  <c r="AP232" i="4"/>
  <c r="G232" i="4"/>
  <c r="J232" i="4"/>
  <c r="AS232" i="4"/>
  <c r="AR232" i="4"/>
  <c r="AF232" i="4"/>
  <c r="H232" i="4"/>
  <c r="L232" i="4"/>
  <c r="M232" i="4"/>
  <c r="AT232" i="4"/>
  <c r="AO232" i="4"/>
  <c r="I232" i="4"/>
  <c r="AQ232" i="4"/>
  <c r="B233" i="4"/>
  <c r="BC234" i="4"/>
  <c r="R232" i="28"/>
  <c r="S232" i="28"/>
  <c r="Q232" i="28"/>
  <c r="F232" i="28"/>
  <c r="AD232" i="28"/>
  <c r="AE232" i="28"/>
  <c r="W230" i="29"/>
  <c r="G230" i="29" s="1"/>
  <c r="X230" i="29"/>
  <c r="V232" i="29"/>
  <c r="B231" i="29"/>
  <c r="AG230" i="4"/>
  <c r="AH230" i="4" s="1"/>
  <c r="L228" i="29"/>
  <c r="N228" i="29"/>
  <c r="O228" i="29" s="1"/>
  <c r="U231" i="4"/>
  <c r="R231" i="4"/>
  <c r="Z231" i="4" s="1"/>
  <c r="X231" i="4"/>
  <c r="AC231" i="4" s="1"/>
  <c r="W231" i="4"/>
  <c r="AB231" i="4" s="1"/>
  <c r="S231" i="4"/>
  <c r="T231" i="4"/>
  <c r="Y231" i="4"/>
  <c r="AD231" i="4" s="1"/>
  <c r="V231" i="4"/>
  <c r="AW231" i="4" s="1"/>
  <c r="AM231" i="4"/>
  <c r="Z230" i="28"/>
  <c r="BD232" i="4"/>
  <c r="BE232" i="4"/>
  <c r="P230" i="28"/>
  <c r="U230" i="28"/>
  <c r="V230" i="28" s="1"/>
  <c r="X230" i="28" s="1"/>
  <c r="O231" i="28"/>
  <c r="B233" i="28"/>
  <c r="AC234" i="28"/>
  <c r="A835" i="28"/>
  <c r="E231" i="29" l="1"/>
  <c r="K231" i="29"/>
  <c r="M231" i="29"/>
  <c r="T233" i="28"/>
  <c r="W233" i="28"/>
  <c r="E233" i="28"/>
  <c r="M233" i="28"/>
  <c r="L233" i="28"/>
  <c r="AA231" i="4"/>
  <c r="AX231" i="4" s="1"/>
  <c r="N229" i="29"/>
  <c r="O229" i="29" s="1"/>
  <c r="AG231" i="4"/>
  <c r="AL230" i="4"/>
  <c r="AN230" i="4" s="1"/>
  <c r="Q233" i="28"/>
  <c r="R233" i="28"/>
  <c r="F233" i="28"/>
  <c r="S233" i="28"/>
  <c r="AD233" i="28"/>
  <c r="AE233" i="28"/>
  <c r="X231" i="29"/>
  <c r="W231" i="29"/>
  <c r="G231" i="29" s="1"/>
  <c r="H230" i="29"/>
  <c r="J230" i="29" s="1"/>
  <c r="J232" i="28"/>
  <c r="Y232" i="28" s="1"/>
  <c r="I232" i="28"/>
  <c r="K232" i="28" s="1"/>
  <c r="N232" i="28" s="1"/>
  <c r="O232" i="28"/>
  <c r="B234" i="4"/>
  <c r="BC235" i="4"/>
  <c r="BD233" i="4"/>
  <c r="BE233" i="4"/>
  <c r="AM232" i="4"/>
  <c r="U231" i="28"/>
  <c r="V231" i="28" s="1"/>
  <c r="X231" i="28" s="1"/>
  <c r="P231" i="28"/>
  <c r="B234" i="28"/>
  <c r="AC235" i="28"/>
  <c r="Z231" i="28"/>
  <c r="W232" i="4"/>
  <c r="AB232" i="4" s="1"/>
  <c r="V232" i="4"/>
  <c r="AW232" i="4" s="1"/>
  <c r="S232" i="4"/>
  <c r="AA232" i="4" s="1"/>
  <c r="R232" i="4"/>
  <c r="Z232" i="4" s="1"/>
  <c r="X232" i="4"/>
  <c r="AC232" i="4" s="1"/>
  <c r="Y232" i="4"/>
  <c r="AD232" i="4" s="1"/>
  <c r="T232" i="4"/>
  <c r="U232" i="4"/>
  <c r="B232" i="29"/>
  <c r="V233" i="29"/>
  <c r="L233" i="4"/>
  <c r="M233" i="4"/>
  <c r="AS233" i="4"/>
  <c r="I233" i="4"/>
  <c r="AO233" i="4"/>
  <c r="G233" i="4"/>
  <c r="J233" i="4"/>
  <c r="AF233" i="4"/>
  <c r="H233" i="4"/>
  <c r="AR233" i="4"/>
  <c r="N233" i="4"/>
  <c r="AT233" i="4"/>
  <c r="E233" i="4"/>
  <c r="AQ233" i="4"/>
  <c r="AP233" i="4"/>
  <c r="A836" i="28"/>
  <c r="AH231" i="4" l="1"/>
  <c r="K232" i="29"/>
  <c r="M232" i="29"/>
  <c r="E232" i="29"/>
  <c r="T234" i="28"/>
  <c r="W234" i="28"/>
  <c r="E234" i="28"/>
  <c r="L234" i="28"/>
  <c r="AU230" i="4"/>
  <c r="AV230" i="4" s="1"/>
  <c r="AG232" i="4"/>
  <c r="X232" i="29"/>
  <c r="W232" i="29"/>
  <c r="G232" i="29" s="1"/>
  <c r="AC236" i="28"/>
  <c r="B235" i="28"/>
  <c r="Q234" i="28"/>
  <c r="F234" i="28"/>
  <c r="S234" i="28"/>
  <c r="R234" i="28"/>
  <c r="R233" i="4"/>
  <c r="Z233" i="4" s="1"/>
  <c r="U233" i="4"/>
  <c r="T233" i="4"/>
  <c r="S233" i="4"/>
  <c r="AA233" i="4" s="1"/>
  <c r="X233" i="4"/>
  <c r="AC233" i="4" s="1"/>
  <c r="W233" i="4"/>
  <c r="AB233" i="4" s="1"/>
  <c r="Y233" i="4"/>
  <c r="AD233" i="4" s="1"/>
  <c r="V233" i="4"/>
  <c r="AW233" i="4" s="1"/>
  <c r="BE234" i="4"/>
  <c r="BD234" i="4"/>
  <c r="AR234" i="4"/>
  <c r="AT234" i="4"/>
  <c r="AO234" i="4"/>
  <c r="AQ234" i="4"/>
  <c r="N234" i="4"/>
  <c r="G234" i="4"/>
  <c r="AF234" i="4"/>
  <c r="M234" i="4"/>
  <c r="H234" i="4"/>
  <c r="I234" i="4"/>
  <c r="AS234" i="4"/>
  <c r="E234" i="4"/>
  <c r="F234" i="4" s="1"/>
  <c r="J234" i="4"/>
  <c r="AP234" i="4"/>
  <c r="L234" i="4"/>
  <c r="P232" i="28"/>
  <c r="U232" i="28"/>
  <c r="V232" i="28" s="1"/>
  <c r="X232" i="28" s="1"/>
  <c r="N230" i="29"/>
  <c r="O230" i="29" s="1"/>
  <c r="L230" i="29"/>
  <c r="H231" i="29"/>
  <c r="J231" i="29" s="1"/>
  <c r="AL231" i="4"/>
  <c r="O233" i="28"/>
  <c r="AM233" i="4"/>
  <c r="V234" i="29"/>
  <c r="B233" i="29"/>
  <c r="AX232" i="4"/>
  <c r="AD234" i="28"/>
  <c r="AE234" i="28"/>
  <c r="BC236" i="4"/>
  <c r="B235" i="4"/>
  <c r="Z232" i="28"/>
  <c r="I233" i="28"/>
  <c r="K233" i="28" s="1"/>
  <c r="N233" i="28" s="1"/>
  <c r="J233" i="28"/>
  <c r="Y233" i="28" s="1"/>
  <c r="A837" i="28"/>
  <c r="M233" i="29" l="1"/>
  <c r="K233" i="29"/>
  <c r="E233" i="29"/>
  <c r="T235" i="28"/>
  <c r="W235" i="28"/>
  <c r="E235" i="28"/>
  <c r="M235" i="28"/>
  <c r="L235" i="28"/>
  <c r="AH232" i="4"/>
  <c r="W233" i="29"/>
  <c r="G233" i="29" s="1"/>
  <c r="X233" i="29"/>
  <c r="V235" i="29"/>
  <c r="B234" i="29"/>
  <c r="AG233" i="4"/>
  <c r="B236" i="28"/>
  <c r="AC237" i="28"/>
  <c r="AL232" i="4"/>
  <c r="P233" i="28"/>
  <c r="U233" i="28"/>
  <c r="V233" i="28" s="1"/>
  <c r="X233" i="28" s="1"/>
  <c r="BC237" i="4"/>
  <c r="B236" i="4"/>
  <c r="BE235" i="4"/>
  <c r="BD235" i="4"/>
  <c r="I234" i="28"/>
  <c r="K234" i="28" s="1"/>
  <c r="N234" i="28" s="1"/>
  <c r="J234" i="28"/>
  <c r="Y234" i="28" s="1"/>
  <c r="Z233" i="28"/>
  <c r="N231" i="29"/>
  <c r="O231" i="29" s="1"/>
  <c r="L231" i="29"/>
  <c r="G235" i="4"/>
  <c r="AQ235" i="4"/>
  <c r="AO235" i="4"/>
  <c r="AR235" i="4"/>
  <c r="L235" i="4"/>
  <c r="M235" i="4"/>
  <c r="I235" i="4"/>
  <c r="AT235" i="4"/>
  <c r="AS235" i="4"/>
  <c r="J235" i="4"/>
  <c r="H235" i="4"/>
  <c r="N235" i="4"/>
  <c r="AF235" i="4"/>
  <c r="AP235" i="4"/>
  <c r="E235" i="4"/>
  <c r="AN231" i="4"/>
  <c r="AU231" i="4"/>
  <c r="AV231" i="4" s="1"/>
  <c r="AM234" i="4"/>
  <c r="S234" i="4"/>
  <c r="AA234" i="4" s="1"/>
  <c r="V234" i="4"/>
  <c r="AW234" i="4" s="1"/>
  <c r="X234" i="4"/>
  <c r="AC234" i="4" s="1"/>
  <c r="Y234" i="4"/>
  <c r="AD234" i="4" s="1"/>
  <c r="U234" i="4"/>
  <c r="R234" i="4"/>
  <c r="Z234" i="4" s="1"/>
  <c r="T234" i="4"/>
  <c r="W234" i="4"/>
  <c r="AB234" i="4" s="1"/>
  <c r="AX233" i="4"/>
  <c r="O234" i="28"/>
  <c r="R235" i="28"/>
  <c r="S235" i="28"/>
  <c r="Q235" i="28"/>
  <c r="F235" i="28"/>
  <c r="AD235" i="28"/>
  <c r="AE235" i="28"/>
  <c r="H232" i="29"/>
  <c r="J232" i="29" s="1"/>
  <c r="AH233" i="4"/>
  <c r="A838" i="28"/>
  <c r="E234" i="29" l="1"/>
  <c r="K234" i="29"/>
  <c r="M234" i="29"/>
  <c r="T236" i="28"/>
  <c r="W236" i="28"/>
  <c r="E236" i="28"/>
  <c r="M236" i="28"/>
  <c r="L236" i="28"/>
  <c r="AX234" i="4"/>
  <c r="H233" i="29"/>
  <c r="J233" i="29" s="1"/>
  <c r="O235" i="28"/>
  <c r="AG234" i="4"/>
  <c r="AM235" i="4"/>
  <c r="U234" i="28"/>
  <c r="V234" i="28" s="1"/>
  <c r="X234" i="28" s="1"/>
  <c r="P234" i="28"/>
  <c r="S235" i="4"/>
  <c r="AA235" i="4" s="1"/>
  <c r="Y235" i="4"/>
  <c r="AD235" i="4" s="1"/>
  <c r="T235" i="4"/>
  <c r="X235" i="4"/>
  <c r="AC235" i="4" s="1"/>
  <c r="V235" i="4"/>
  <c r="AW235" i="4" s="1"/>
  <c r="W235" i="4"/>
  <c r="AB235" i="4" s="1"/>
  <c r="U235" i="4"/>
  <c r="R235" i="4"/>
  <c r="Z235" i="4" s="1"/>
  <c r="I236" i="4"/>
  <c r="G236" i="4"/>
  <c r="AF236" i="4"/>
  <c r="AQ236" i="4"/>
  <c r="AP236" i="4"/>
  <c r="AS236" i="4"/>
  <c r="AT236" i="4"/>
  <c r="J236" i="4"/>
  <c r="AO236" i="4"/>
  <c r="E236" i="4"/>
  <c r="M236" i="4"/>
  <c r="L236" i="4"/>
  <c r="AR236" i="4"/>
  <c r="H236" i="4"/>
  <c r="N236" i="4"/>
  <c r="AU232" i="4"/>
  <c r="AV232" i="4" s="1"/>
  <c r="AN232" i="4"/>
  <c r="S236" i="28"/>
  <c r="Q236" i="28"/>
  <c r="F236" i="28"/>
  <c r="R236" i="28"/>
  <c r="AL233" i="4"/>
  <c r="W234" i="29"/>
  <c r="G234" i="29" s="1"/>
  <c r="X234" i="29"/>
  <c r="N232" i="29"/>
  <c r="O232" i="29" s="1"/>
  <c r="L232" i="29"/>
  <c r="J235" i="28"/>
  <c r="Y235" i="28" s="1"/>
  <c r="I235" i="28"/>
  <c r="K235" i="28" s="1"/>
  <c r="N235" i="28" s="1"/>
  <c r="Z234" i="28"/>
  <c r="BD236" i="4"/>
  <c r="BE236" i="4"/>
  <c r="BC238" i="4"/>
  <c r="B237" i="4"/>
  <c r="B237" i="28"/>
  <c r="AC238" i="28"/>
  <c r="AE236" i="28"/>
  <c r="AD236" i="28"/>
  <c r="V236" i="29"/>
  <c r="B235" i="29"/>
  <c r="A839" i="28"/>
  <c r="E235" i="29" l="1"/>
  <c r="K235" i="29"/>
  <c r="M235" i="29"/>
  <c r="T237" i="28"/>
  <c r="W237" i="28"/>
  <c r="E237" i="28"/>
  <c r="M237" i="28"/>
  <c r="L237" i="28"/>
  <c r="AH234" i="4"/>
  <c r="H234" i="29"/>
  <c r="J234" i="29" s="1"/>
  <c r="X235" i="29"/>
  <c r="W235" i="29"/>
  <c r="G235" i="29" s="1"/>
  <c r="V237" i="29"/>
  <c r="B236" i="29"/>
  <c r="J236" i="28"/>
  <c r="Y236" i="28" s="1"/>
  <c r="I236" i="28"/>
  <c r="K236" i="28" s="1"/>
  <c r="N236" i="28" s="1"/>
  <c r="B238" i="28"/>
  <c r="AC239" i="28"/>
  <c r="F237" i="28"/>
  <c r="Q237" i="28"/>
  <c r="R237" i="28"/>
  <c r="S237" i="28"/>
  <c r="L237" i="4"/>
  <c r="E237" i="4"/>
  <c r="H237" i="4"/>
  <c r="M237" i="4"/>
  <c r="AT237" i="4"/>
  <c r="AP237" i="4"/>
  <c r="I237" i="4"/>
  <c r="G237" i="4"/>
  <c r="AF237" i="4"/>
  <c r="N237" i="4"/>
  <c r="AQ237" i="4"/>
  <c r="J237" i="4"/>
  <c r="AO237" i="4"/>
  <c r="AS237" i="4"/>
  <c r="AR237" i="4"/>
  <c r="N233" i="29"/>
  <c r="O233" i="29" s="1"/>
  <c r="L233" i="29"/>
  <c r="O236" i="28"/>
  <c r="AM236" i="4"/>
  <c r="AX235" i="4"/>
  <c r="AL234" i="4"/>
  <c r="AE237" i="28"/>
  <c r="AD237" i="28"/>
  <c r="BE237" i="4"/>
  <c r="BD237" i="4"/>
  <c r="B238" i="4"/>
  <c r="BC239" i="4"/>
  <c r="X236" i="4"/>
  <c r="AC236" i="4" s="1"/>
  <c r="V236" i="4"/>
  <c r="AW236" i="4" s="1"/>
  <c r="W236" i="4"/>
  <c r="AB236" i="4" s="1"/>
  <c r="Y236" i="4"/>
  <c r="AD236" i="4" s="1"/>
  <c r="T236" i="4"/>
  <c r="U236" i="4"/>
  <c r="S236" i="4"/>
  <c r="AA236" i="4" s="1"/>
  <c r="R236" i="4"/>
  <c r="Z236" i="4" s="1"/>
  <c r="U235" i="28"/>
  <c r="V235" i="28" s="1"/>
  <c r="X235" i="28" s="1"/>
  <c r="P235" i="28"/>
  <c r="AN233" i="4"/>
  <c r="AU233" i="4"/>
  <c r="AV233" i="4" s="1"/>
  <c r="AG235" i="4"/>
  <c r="AL235" i="4" s="1"/>
  <c r="Z235" i="28"/>
  <c r="A840" i="28"/>
  <c r="K236" i="29" l="1"/>
  <c r="M236" i="29"/>
  <c r="E236" i="29"/>
  <c r="T238" i="28"/>
  <c r="W238" i="28"/>
  <c r="E238" i="28"/>
  <c r="M238" i="28"/>
  <c r="L238" i="28"/>
  <c r="O237" i="28"/>
  <c r="AU235" i="4"/>
  <c r="AV235" i="4" s="1"/>
  <c r="AN235" i="4"/>
  <c r="AG236" i="4"/>
  <c r="BC240" i="4"/>
  <c r="B239" i="4"/>
  <c r="I237" i="28"/>
  <c r="K237" i="28" s="1"/>
  <c r="N237" i="28" s="1"/>
  <c r="J237" i="28"/>
  <c r="Y237" i="28" s="1"/>
  <c r="L234" i="29"/>
  <c r="N234" i="29"/>
  <c r="O234" i="29" s="1"/>
  <c r="Z236" i="28"/>
  <c r="AH235" i="4"/>
  <c r="AC240" i="28"/>
  <c r="B239" i="28"/>
  <c r="S238" i="28"/>
  <c r="Q238" i="28"/>
  <c r="F238" i="28"/>
  <c r="R238" i="28"/>
  <c r="H235" i="29"/>
  <c r="J235" i="29" s="1"/>
  <c r="AX236" i="4"/>
  <c r="BD238" i="4"/>
  <c r="BE238" i="4"/>
  <c r="N238" i="4"/>
  <c r="L238" i="4"/>
  <c r="AO238" i="4"/>
  <c r="G238" i="4"/>
  <c r="AR238" i="4"/>
  <c r="AT238" i="4"/>
  <c r="H238" i="4"/>
  <c r="AQ238" i="4"/>
  <c r="M238" i="4"/>
  <c r="AF238" i="4"/>
  <c r="J238" i="4"/>
  <c r="AS238" i="4"/>
  <c r="AP238" i="4"/>
  <c r="I238" i="4"/>
  <c r="E238" i="4"/>
  <c r="F238" i="4" s="1"/>
  <c r="U237" i="4"/>
  <c r="W237" i="4"/>
  <c r="AB237" i="4" s="1"/>
  <c r="X237" i="4"/>
  <c r="AC237" i="4" s="1"/>
  <c r="S237" i="4"/>
  <c r="AA237" i="4" s="1"/>
  <c r="Y237" i="4"/>
  <c r="AD237" i="4" s="1"/>
  <c r="T237" i="4"/>
  <c r="R237" i="4"/>
  <c r="Z237" i="4" s="1"/>
  <c r="V237" i="4"/>
  <c r="AW237" i="4" s="1"/>
  <c r="AU234" i="4"/>
  <c r="AV234" i="4" s="1"/>
  <c r="AN234" i="4"/>
  <c r="AM237" i="4"/>
  <c r="AD238" i="28"/>
  <c r="AE238" i="28"/>
  <c r="U236" i="28"/>
  <c r="V236" i="28" s="1"/>
  <c r="X236" i="28" s="1"/>
  <c r="P236" i="28"/>
  <c r="X236" i="29"/>
  <c r="W236" i="29"/>
  <c r="G236" i="29" s="1"/>
  <c r="B237" i="29"/>
  <c r="V238" i="29"/>
  <c r="A841" i="28"/>
  <c r="Z237" i="28" l="1"/>
  <c r="M237" i="29"/>
  <c r="E237" i="29"/>
  <c r="K237" i="29"/>
  <c r="T239" i="28"/>
  <c r="W239" i="28"/>
  <c r="E239" i="28"/>
  <c r="L239" i="28"/>
  <c r="M239" i="28"/>
  <c r="AH236" i="4"/>
  <c r="AL236" i="4"/>
  <c r="X237" i="29"/>
  <c r="W237" i="29"/>
  <c r="G237" i="29" s="1"/>
  <c r="J238" i="28"/>
  <c r="Y238" i="28" s="1"/>
  <c r="I238" i="28"/>
  <c r="K238" i="28" s="1"/>
  <c r="N238" i="28" s="1"/>
  <c r="AG237" i="4"/>
  <c r="V239" i="29"/>
  <c r="B238" i="29"/>
  <c r="AX237" i="4"/>
  <c r="AM238" i="4"/>
  <c r="N235" i="29"/>
  <c r="O235" i="29" s="1"/>
  <c r="L235" i="29"/>
  <c r="Q239" i="28"/>
  <c r="S239" i="28"/>
  <c r="F239" i="28"/>
  <c r="R239" i="28"/>
  <c r="AE239" i="28"/>
  <c r="AD239" i="28"/>
  <c r="P237" i="28"/>
  <c r="U237" i="28"/>
  <c r="V237" i="28" s="1"/>
  <c r="X237" i="28" s="1"/>
  <c r="BD239" i="4"/>
  <c r="BE239" i="4"/>
  <c r="T238" i="4"/>
  <c r="X238" i="4"/>
  <c r="AC238" i="4" s="1"/>
  <c r="Y238" i="4"/>
  <c r="AD238" i="4" s="1"/>
  <c r="V238" i="4"/>
  <c r="AW238" i="4" s="1"/>
  <c r="W238" i="4"/>
  <c r="AB238" i="4" s="1"/>
  <c r="U238" i="4"/>
  <c r="R238" i="4"/>
  <c r="Z238" i="4" s="1"/>
  <c r="S238" i="4"/>
  <c r="AA238" i="4" s="1"/>
  <c r="AX238" i="4" s="1"/>
  <c r="H236" i="29"/>
  <c r="J236" i="29" s="1"/>
  <c r="O238" i="28"/>
  <c r="AC241" i="28"/>
  <c r="B240" i="28"/>
  <c r="AQ239" i="4"/>
  <c r="N239" i="4"/>
  <c r="E239" i="4"/>
  <c r="AR239" i="4"/>
  <c r="AF239" i="4"/>
  <c r="AT239" i="4"/>
  <c r="J239" i="4"/>
  <c r="G239" i="4"/>
  <c r="L239" i="4"/>
  <c r="AS239" i="4"/>
  <c r="AP239" i="4"/>
  <c r="H239" i="4"/>
  <c r="I239" i="4"/>
  <c r="M239" i="4"/>
  <c r="AO239" i="4"/>
  <c r="B240" i="4"/>
  <c r="BC241" i="4"/>
  <c r="A842" i="28"/>
  <c r="E238" i="29" l="1"/>
  <c r="M238" i="29"/>
  <c r="K238" i="29"/>
  <c r="T240" i="28"/>
  <c r="W240" i="28"/>
  <c r="E240" i="28"/>
  <c r="L240" i="28"/>
  <c r="M240" i="28"/>
  <c r="AU236" i="4"/>
  <c r="AV236" i="4" s="1"/>
  <c r="AN236" i="4"/>
  <c r="AH237" i="4"/>
  <c r="M240" i="4"/>
  <c r="AQ240" i="4"/>
  <c r="I240" i="4"/>
  <c r="J240" i="4"/>
  <c r="AO240" i="4"/>
  <c r="E240" i="4"/>
  <c r="L240" i="4"/>
  <c r="AS240" i="4"/>
  <c r="N240" i="4"/>
  <c r="AP240" i="4"/>
  <c r="AT240" i="4"/>
  <c r="AR240" i="4"/>
  <c r="H240" i="4"/>
  <c r="AF240" i="4"/>
  <c r="G240" i="4"/>
  <c r="BE240" i="4"/>
  <c r="BD240" i="4"/>
  <c r="AM239" i="4"/>
  <c r="AE240" i="28"/>
  <c r="AD240" i="28"/>
  <c r="Z238" i="28"/>
  <c r="I239" i="28"/>
  <c r="K239" i="28" s="1"/>
  <c r="N239" i="28" s="1"/>
  <c r="J239" i="28"/>
  <c r="Y239" i="28" s="1"/>
  <c r="O239" i="28"/>
  <c r="V240" i="29"/>
  <c r="B239" i="29"/>
  <c r="H237" i="29"/>
  <c r="J237" i="29" s="1"/>
  <c r="B241" i="4"/>
  <c r="BC242" i="4"/>
  <c r="S240" i="28"/>
  <c r="Q240" i="28"/>
  <c r="F240" i="28"/>
  <c r="R240" i="28"/>
  <c r="B241" i="28"/>
  <c r="AC242" i="28"/>
  <c r="N236" i="29"/>
  <c r="O236" i="29" s="1"/>
  <c r="L236" i="29"/>
  <c r="AG238" i="4"/>
  <c r="AL238" i="4" s="1"/>
  <c r="R239" i="4"/>
  <c r="Z239" i="4" s="1"/>
  <c r="X239" i="4"/>
  <c r="AC239" i="4" s="1"/>
  <c r="W239" i="4"/>
  <c r="AB239" i="4" s="1"/>
  <c r="U239" i="4"/>
  <c r="T239" i="4"/>
  <c r="Y239" i="4"/>
  <c r="AD239" i="4" s="1"/>
  <c r="V239" i="4"/>
  <c r="AW239" i="4" s="1"/>
  <c r="S239" i="4"/>
  <c r="AA239" i="4" s="1"/>
  <c r="X238" i="29"/>
  <c r="W238" i="29"/>
  <c r="G238" i="29" s="1"/>
  <c r="AL237" i="4"/>
  <c r="P238" i="28"/>
  <c r="U238" i="28"/>
  <c r="V238" i="28" s="1"/>
  <c r="X238" i="28" s="1"/>
  <c r="A843" i="28"/>
  <c r="E239" i="29" l="1"/>
  <c r="K239" i="29"/>
  <c r="M239" i="29"/>
  <c r="T241" i="28"/>
  <c r="W241" i="28"/>
  <c r="E241" i="28"/>
  <c r="L241" i="28"/>
  <c r="M241" i="28"/>
  <c r="AH238" i="4"/>
  <c r="AN237" i="4"/>
  <c r="AU237" i="4"/>
  <c r="AV237" i="4" s="1"/>
  <c r="AU238" i="4"/>
  <c r="AV238" i="4" s="1"/>
  <c r="AN238" i="4"/>
  <c r="AC243" i="28"/>
  <c r="B242" i="28"/>
  <c r="S241" i="28"/>
  <c r="Q241" i="28"/>
  <c r="F241" i="28"/>
  <c r="R241" i="28"/>
  <c r="AX239" i="4"/>
  <c r="AG239" i="4"/>
  <c r="AE241" i="28"/>
  <c r="AD241" i="28"/>
  <c r="BE241" i="4"/>
  <c r="BD241" i="4"/>
  <c r="H241" i="4"/>
  <c r="AF241" i="4"/>
  <c r="AS241" i="4"/>
  <c r="E241" i="4"/>
  <c r="AP241" i="4"/>
  <c r="AT241" i="4"/>
  <c r="L241" i="4"/>
  <c r="AQ241" i="4"/>
  <c r="G241" i="4"/>
  <c r="M241" i="4"/>
  <c r="AR241" i="4"/>
  <c r="I241" i="4"/>
  <c r="J241" i="4"/>
  <c r="AO241" i="4"/>
  <c r="N241" i="4"/>
  <c r="N237" i="29"/>
  <c r="O237" i="29" s="1"/>
  <c r="L237" i="29"/>
  <c r="X239" i="29"/>
  <c r="W239" i="29"/>
  <c r="G239" i="29" s="1"/>
  <c r="B240" i="29"/>
  <c r="V241" i="29"/>
  <c r="V242" i="29" s="1"/>
  <c r="U239" i="28"/>
  <c r="V239" i="28" s="1"/>
  <c r="X239" i="28" s="1"/>
  <c r="P239" i="28"/>
  <c r="I240" i="28"/>
  <c r="K240" i="28" s="1"/>
  <c r="N240" i="28" s="1"/>
  <c r="J240" i="28"/>
  <c r="Y240" i="28" s="1"/>
  <c r="W240" i="4"/>
  <c r="AB240" i="4" s="1"/>
  <c r="S240" i="4"/>
  <c r="AA240" i="4" s="1"/>
  <c r="T240" i="4"/>
  <c r="Y240" i="4"/>
  <c r="AD240" i="4" s="1"/>
  <c r="R240" i="4"/>
  <c r="Z240" i="4" s="1"/>
  <c r="X240" i="4"/>
  <c r="AC240" i="4" s="1"/>
  <c r="V240" i="4"/>
  <c r="AW240" i="4" s="1"/>
  <c r="U240" i="4"/>
  <c r="AM240" i="4"/>
  <c r="O240" i="28"/>
  <c r="BC243" i="4"/>
  <c r="B242" i="4"/>
  <c r="H238" i="29"/>
  <c r="J238" i="29" s="1"/>
  <c r="Z239" i="28"/>
  <c r="A844" i="28"/>
  <c r="B242" i="29" l="1"/>
  <c r="V243" i="29"/>
  <c r="K240" i="29"/>
  <c r="M240" i="29"/>
  <c r="E240" i="29"/>
  <c r="T242" i="28"/>
  <c r="W242" i="28"/>
  <c r="E242" i="28"/>
  <c r="M242" i="28"/>
  <c r="L242" i="28"/>
  <c r="AL239" i="4"/>
  <c r="AN239" i="4" s="1"/>
  <c r="AH239" i="4"/>
  <c r="H239" i="29"/>
  <c r="J239" i="29" s="1"/>
  <c r="N238" i="29"/>
  <c r="O238" i="29" s="1"/>
  <c r="L238" i="29"/>
  <c r="AM241" i="4"/>
  <c r="F242" i="28"/>
  <c r="S242" i="28"/>
  <c r="Q242" i="28"/>
  <c r="R242" i="28"/>
  <c r="B243" i="28"/>
  <c r="AC244" i="28"/>
  <c r="BD242" i="4"/>
  <c r="BE242" i="4"/>
  <c r="J242" i="4"/>
  <c r="G242" i="4"/>
  <c r="L242" i="4"/>
  <c r="M242" i="4"/>
  <c r="AR242" i="4"/>
  <c r="I242" i="4"/>
  <c r="AT242" i="4"/>
  <c r="E242" i="4"/>
  <c r="AS242" i="4"/>
  <c r="N242" i="4"/>
  <c r="AF242" i="4"/>
  <c r="AQ242" i="4"/>
  <c r="AP242" i="4"/>
  <c r="AO242" i="4"/>
  <c r="H242" i="4"/>
  <c r="B241" i="29"/>
  <c r="W240" i="29"/>
  <c r="G240" i="29" s="1"/>
  <c r="X240" i="29"/>
  <c r="B243" i="4"/>
  <c r="BC244" i="4"/>
  <c r="Z240" i="28"/>
  <c r="AG240" i="4"/>
  <c r="AH240" i="4" s="1"/>
  <c r="AX240" i="4"/>
  <c r="P240" i="28"/>
  <c r="U240" i="28"/>
  <c r="V240" i="28" s="1"/>
  <c r="X240" i="28" s="1"/>
  <c r="T241" i="4"/>
  <c r="Y241" i="4"/>
  <c r="AD241" i="4" s="1"/>
  <c r="R241" i="4"/>
  <c r="Z241" i="4" s="1"/>
  <c r="W241" i="4"/>
  <c r="AB241" i="4" s="1"/>
  <c r="U241" i="4"/>
  <c r="X241" i="4"/>
  <c r="AC241" i="4" s="1"/>
  <c r="V241" i="4"/>
  <c r="AW241" i="4" s="1"/>
  <c r="S241" i="4"/>
  <c r="AA241" i="4" s="1"/>
  <c r="I241" i="28"/>
  <c r="K241" i="28" s="1"/>
  <c r="N241" i="28" s="1"/>
  <c r="J241" i="28"/>
  <c r="Y241" i="28" s="1"/>
  <c r="O241" i="28"/>
  <c r="AD242" i="28"/>
  <c r="AE242" i="28"/>
  <c r="A845" i="28"/>
  <c r="AU239" i="4" l="1"/>
  <c r="AV239" i="4" s="1"/>
  <c r="B243" i="29"/>
  <c r="V244" i="29"/>
  <c r="M242" i="29"/>
  <c r="K242" i="29"/>
  <c r="E242" i="29"/>
  <c r="H242" i="29" s="1"/>
  <c r="M241" i="29"/>
  <c r="K241" i="29"/>
  <c r="E241" i="29"/>
  <c r="T243" i="28"/>
  <c r="W243" i="28"/>
  <c r="E243" i="28"/>
  <c r="M243" i="28"/>
  <c r="L243" i="28"/>
  <c r="L239" i="29"/>
  <c r="N239" i="29"/>
  <c r="O239" i="29" s="1"/>
  <c r="U241" i="28"/>
  <c r="V241" i="28" s="1"/>
  <c r="X241" i="28" s="1"/>
  <c r="P241" i="28"/>
  <c r="H240" i="29"/>
  <c r="J240" i="29" s="1"/>
  <c r="AL240" i="4"/>
  <c r="J243" i="4"/>
  <c r="AP243" i="4"/>
  <c r="E243" i="4"/>
  <c r="AQ243" i="4"/>
  <c r="AF243" i="4"/>
  <c r="AR243" i="4"/>
  <c r="G243" i="4"/>
  <c r="L243" i="4"/>
  <c r="I243" i="4"/>
  <c r="AT243" i="4"/>
  <c r="AO243" i="4"/>
  <c r="H243" i="4"/>
  <c r="M243" i="4"/>
  <c r="N243" i="4"/>
  <c r="AS243" i="4"/>
  <c r="J242" i="28"/>
  <c r="Y242" i="28" s="1"/>
  <c r="I242" i="28"/>
  <c r="K242" i="28" s="1"/>
  <c r="N242" i="28" s="1"/>
  <c r="Z241" i="28"/>
  <c r="AX241" i="4"/>
  <c r="AG241" i="4"/>
  <c r="BC245" i="4"/>
  <c r="B244" i="4"/>
  <c r="BE243" i="4"/>
  <c r="BD243" i="4"/>
  <c r="X241" i="29"/>
  <c r="W241" i="29"/>
  <c r="G241" i="29" s="1"/>
  <c r="B244" i="28"/>
  <c r="AC245" i="28"/>
  <c r="Q243" i="28"/>
  <c r="F243" i="28"/>
  <c r="S243" i="28"/>
  <c r="R243" i="28"/>
  <c r="O242" i="28"/>
  <c r="AM242" i="4"/>
  <c r="U242" i="4"/>
  <c r="T242" i="4"/>
  <c r="X242" i="4"/>
  <c r="AC242" i="4" s="1"/>
  <c r="W242" i="4"/>
  <c r="AB242" i="4" s="1"/>
  <c r="Y242" i="4"/>
  <c r="AD242" i="4" s="1"/>
  <c r="V242" i="4"/>
  <c r="AW242" i="4" s="1"/>
  <c r="S242" i="4"/>
  <c r="AA242" i="4" s="1"/>
  <c r="R242" i="4"/>
  <c r="Z242" i="4" s="1"/>
  <c r="AD243" i="28"/>
  <c r="AE243" i="28"/>
  <c r="A846" i="28"/>
  <c r="J242" i="29" l="1"/>
  <c r="N242" i="29" s="1"/>
  <c r="O242" i="29" s="1"/>
  <c r="B244" i="29"/>
  <c r="V245" i="29"/>
  <c r="M243" i="29"/>
  <c r="K243" i="29"/>
  <c r="E243" i="29"/>
  <c r="H243" i="29" s="1"/>
  <c r="T244" i="28"/>
  <c r="W244" i="28"/>
  <c r="E244" i="28"/>
  <c r="M244" i="28"/>
  <c r="L244" i="28"/>
  <c r="AH241" i="4"/>
  <c r="AL241" i="4"/>
  <c r="AN241" i="4" s="1"/>
  <c r="I243" i="28"/>
  <c r="K243" i="28" s="1"/>
  <c r="N243" i="28" s="1"/>
  <c r="J243" i="28"/>
  <c r="Y243" i="28" s="1"/>
  <c r="AX242" i="4"/>
  <c r="AG242" i="4"/>
  <c r="B245" i="28"/>
  <c r="AC246" i="28"/>
  <c r="R244" i="28"/>
  <c r="F244" i="28"/>
  <c r="S244" i="28"/>
  <c r="Q244" i="28"/>
  <c r="T243" i="4"/>
  <c r="Y243" i="4"/>
  <c r="AD243" i="4" s="1"/>
  <c r="V243" i="4"/>
  <c r="AW243" i="4" s="1"/>
  <c r="W243" i="4"/>
  <c r="AB243" i="4" s="1"/>
  <c r="U243" i="4"/>
  <c r="R243" i="4"/>
  <c r="Z243" i="4" s="1"/>
  <c r="S243" i="4"/>
  <c r="AA243" i="4" s="1"/>
  <c r="AX243" i="4" s="1"/>
  <c r="X243" i="4"/>
  <c r="AC243" i="4" s="1"/>
  <c r="BE244" i="4"/>
  <c r="BD244" i="4"/>
  <c r="Z242" i="28"/>
  <c r="H241" i="29"/>
  <c r="J241" i="29" s="1"/>
  <c r="N240" i="29"/>
  <c r="O240" i="29" s="1"/>
  <c r="L240" i="29"/>
  <c r="O243" i="28"/>
  <c r="AE244" i="28"/>
  <c r="AD244" i="28"/>
  <c r="G266" i="29"/>
  <c r="H244" i="4"/>
  <c r="I244" i="4"/>
  <c r="L244" i="4"/>
  <c r="M244" i="4"/>
  <c r="AP244" i="4"/>
  <c r="E244" i="4"/>
  <c r="AQ244" i="4"/>
  <c r="AT244" i="4"/>
  <c r="J244" i="4"/>
  <c r="N244" i="4"/>
  <c r="AO244" i="4"/>
  <c r="AS244" i="4"/>
  <c r="AR244" i="4"/>
  <c r="G244" i="4"/>
  <c r="AF244" i="4"/>
  <c r="BC246" i="4"/>
  <c r="B245" i="4"/>
  <c r="P242" i="28"/>
  <c r="U242" i="28"/>
  <c r="V242" i="28" s="1"/>
  <c r="X242" i="28" s="1"/>
  <c r="AM243" i="4"/>
  <c r="AU240" i="4"/>
  <c r="AV240" i="4" s="1"/>
  <c r="AN240" i="4"/>
  <c r="A847" i="28"/>
  <c r="J243" i="29" l="1"/>
  <c r="N243" i="29" s="1"/>
  <c r="O243" i="29" s="1"/>
  <c r="L242" i="29"/>
  <c r="M244" i="29"/>
  <c r="K244" i="29"/>
  <c r="E244" i="29"/>
  <c r="H244" i="29" s="1"/>
  <c r="B245" i="29"/>
  <c r="V246" i="29"/>
  <c r="T245" i="28"/>
  <c r="W245" i="28"/>
  <c r="E245" i="28"/>
  <c r="M245" i="28"/>
  <c r="L245" i="28"/>
  <c r="AH242" i="4"/>
  <c r="AU241" i="4"/>
  <c r="AV241" i="4" s="1"/>
  <c r="AL242" i="4"/>
  <c r="AU242" i="4" s="1"/>
  <c r="AV242" i="4" s="1"/>
  <c r="BC247" i="4"/>
  <c r="B246" i="4"/>
  <c r="H245" i="4"/>
  <c r="AQ245" i="4"/>
  <c r="G245" i="4"/>
  <c r="AF245" i="4"/>
  <c r="L245" i="4"/>
  <c r="AR245" i="4"/>
  <c r="AS245" i="4"/>
  <c r="I245" i="4"/>
  <c r="E245" i="4"/>
  <c r="AO245" i="4"/>
  <c r="AT245" i="4"/>
  <c r="M245" i="4"/>
  <c r="N245" i="4"/>
  <c r="AP245" i="4"/>
  <c r="J245" i="4"/>
  <c r="BD245" i="4"/>
  <c r="BE245" i="4"/>
  <c r="J244" i="28"/>
  <c r="Y244" i="28" s="1"/>
  <c r="I244" i="28"/>
  <c r="K244" i="28" s="1"/>
  <c r="N244" i="28" s="1"/>
  <c r="Z243" i="28"/>
  <c r="L241" i="29"/>
  <c r="N241" i="29"/>
  <c r="O241" i="29" s="1"/>
  <c r="AC247" i="28"/>
  <c r="B246" i="28"/>
  <c r="AM244" i="4"/>
  <c r="U244" i="4"/>
  <c r="S244" i="4"/>
  <c r="AA244" i="4" s="1"/>
  <c r="W244" i="4"/>
  <c r="AB244" i="4" s="1"/>
  <c r="Y244" i="4"/>
  <c r="AD244" i="4" s="1"/>
  <c r="X244" i="4"/>
  <c r="AC244" i="4" s="1"/>
  <c r="V244" i="4"/>
  <c r="AW244" i="4" s="1"/>
  <c r="T244" i="4"/>
  <c r="R244" i="4"/>
  <c r="Z244" i="4" s="1"/>
  <c r="AG243" i="4"/>
  <c r="AL243" i="4" s="1"/>
  <c r="G267" i="29"/>
  <c r="O244" i="28"/>
  <c r="AD245" i="28"/>
  <c r="AE245" i="28"/>
  <c r="R245" i="28"/>
  <c r="S245" i="28"/>
  <c r="Q245" i="28"/>
  <c r="F245" i="28"/>
  <c r="U243" i="28"/>
  <c r="V243" i="28" s="1"/>
  <c r="X243" i="28" s="1"/>
  <c r="P243" i="28"/>
  <c r="A848" i="28"/>
  <c r="L243" i="29" l="1"/>
  <c r="J244" i="29"/>
  <c r="N244" i="29" s="1"/>
  <c r="O244" i="29" s="1"/>
  <c r="M245" i="29"/>
  <c r="K245" i="29"/>
  <c r="E245" i="29"/>
  <c r="H245" i="29" s="1"/>
  <c r="B246" i="29"/>
  <c r="V247" i="29"/>
  <c r="T246" i="28"/>
  <c r="W246" i="28"/>
  <c r="E246" i="28"/>
  <c r="L246" i="28"/>
  <c r="M246" i="28"/>
  <c r="AN242" i="4"/>
  <c r="AM245" i="4"/>
  <c r="AH243" i="4"/>
  <c r="AU243" i="4"/>
  <c r="AV243" i="4" s="1"/>
  <c r="AN243" i="4"/>
  <c r="O245" i="28"/>
  <c r="I245" i="28"/>
  <c r="K245" i="28" s="1"/>
  <c r="N245" i="28" s="1"/>
  <c r="J245" i="28"/>
  <c r="Y245" i="28" s="1"/>
  <c r="Z244" i="28"/>
  <c r="G268" i="29"/>
  <c r="AG244" i="4"/>
  <c r="AX244" i="4"/>
  <c r="R246" i="28"/>
  <c r="S246" i="28"/>
  <c r="Q246" i="28"/>
  <c r="F246" i="28"/>
  <c r="AC248" i="28"/>
  <c r="B247" i="28"/>
  <c r="U244" i="28"/>
  <c r="V244" i="28" s="1"/>
  <c r="X244" i="28" s="1"/>
  <c r="P244" i="28"/>
  <c r="I246" i="4"/>
  <c r="AP246" i="4"/>
  <c r="E246" i="4"/>
  <c r="H246" i="4"/>
  <c r="AF246" i="4"/>
  <c r="L246" i="4"/>
  <c r="AS246" i="4"/>
  <c r="G246" i="4"/>
  <c r="J246" i="4"/>
  <c r="AT246" i="4"/>
  <c r="AR246" i="4"/>
  <c r="AQ246" i="4"/>
  <c r="N246" i="4"/>
  <c r="M246" i="4"/>
  <c r="AO246" i="4"/>
  <c r="AD246" i="28"/>
  <c r="AE246" i="28"/>
  <c r="S245" i="4"/>
  <c r="AA245" i="4" s="1"/>
  <c r="W245" i="4"/>
  <c r="AB245" i="4" s="1"/>
  <c r="X245" i="4"/>
  <c r="AC245" i="4" s="1"/>
  <c r="R245" i="4"/>
  <c r="Z245" i="4" s="1"/>
  <c r="Y245" i="4"/>
  <c r="AD245" i="4" s="1"/>
  <c r="U245" i="4"/>
  <c r="T245" i="4"/>
  <c r="V245" i="4"/>
  <c r="AW245" i="4" s="1"/>
  <c r="BD246" i="4"/>
  <c r="BE246" i="4"/>
  <c r="B247" i="4"/>
  <c r="BC248" i="4"/>
  <c r="A849" i="28"/>
  <c r="L244" i="29" l="1"/>
  <c r="J245" i="29"/>
  <c r="N245" i="29" s="1"/>
  <c r="O245" i="29" s="1"/>
  <c r="B247" i="29"/>
  <c r="V248" i="29"/>
  <c r="M246" i="29"/>
  <c r="K246" i="29"/>
  <c r="E246" i="29"/>
  <c r="H246" i="29" s="1"/>
  <c r="T247" i="28"/>
  <c r="W247" i="28"/>
  <c r="E247" i="28"/>
  <c r="AH244" i="4"/>
  <c r="M247" i="28"/>
  <c r="L247" i="28"/>
  <c r="AL244" i="4"/>
  <c r="AU244" i="4" s="1"/>
  <c r="AV244" i="4" s="1"/>
  <c r="BE247" i="4"/>
  <c r="BD247" i="4"/>
  <c r="J246" i="28"/>
  <c r="Y246" i="28" s="1"/>
  <c r="I246" i="28"/>
  <c r="K246" i="28" s="1"/>
  <c r="AM246" i="4"/>
  <c r="F247" i="28"/>
  <c r="S247" i="28"/>
  <c r="Q247" i="28"/>
  <c r="R247" i="28"/>
  <c r="AD247" i="28"/>
  <c r="AE247" i="28"/>
  <c r="O246" i="28"/>
  <c r="V246" i="4"/>
  <c r="AW246" i="4" s="1"/>
  <c r="R246" i="4"/>
  <c r="Z246" i="4" s="1"/>
  <c r="Y246" i="4"/>
  <c r="AD246" i="4" s="1"/>
  <c r="T246" i="4"/>
  <c r="W246" i="4"/>
  <c r="AB246" i="4" s="1"/>
  <c r="U246" i="4"/>
  <c r="X246" i="4"/>
  <c r="AC246" i="4" s="1"/>
  <c r="S246" i="4"/>
  <c r="AA246" i="4" s="1"/>
  <c r="BC249" i="4"/>
  <c r="B248" i="4"/>
  <c r="AQ247" i="4"/>
  <c r="AR247" i="4"/>
  <c r="AP247" i="4"/>
  <c r="E247" i="4"/>
  <c r="F247" i="4" s="1"/>
  <c r="G247" i="4"/>
  <c r="M247" i="4"/>
  <c r="L247" i="4"/>
  <c r="J247" i="4"/>
  <c r="AS247" i="4"/>
  <c r="H247" i="4"/>
  <c r="AO247" i="4"/>
  <c r="N247" i="4"/>
  <c r="AT247" i="4"/>
  <c r="I247" i="4"/>
  <c r="AF247" i="4"/>
  <c r="AG245" i="4"/>
  <c r="AX245" i="4"/>
  <c r="B248" i="28"/>
  <c r="AC249" i="28"/>
  <c r="G269" i="29"/>
  <c r="U245" i="28"/>
  <c r="V245" i="28" s="1"/>
  <c r="X245" i="28" s="1"/>
  <c r="P245" i="28"/>
  <c r="Z245" i="28"/>
  <c r="A850" i="28"/>
  <c r="N246" i="28" l="1"/>
  <c r="L245" i="29"/>
  <c r="J246" i="29"/>
  <c r="N246" i="29" s="1"/>
  <c r="O246" i="29" s="1"/>
  <c r="B248" i="29"/>
  <c r="V249" i="29"/>
  <c r="V258" i="29" s="1"/>
  <c r="M247" i="29"/>
  <c r="K247" i="29"/>
  <c r="E247" i="29"/>
  <c r="T248" i="28"/>
  <c r="W248" i="28"/>
  <c r="E248" i="28"/>
  <c r="M248" i="28"/>
  <c r="L248" i="28"/>
  <c r="AL245" i="4"/>
  <c r="AU245" i="4" s="1"/>
  <c r="AV245" i="4" s="1"/>
  <c r="AM247" i="4"/>
  <c r="AN244" i="4"/>
  <c r="F248" i="28"/>
  <c r="R248" i="28"/>
  <c r="S248" i="28"/>
  <c r="Q248" i="28"/>
  <c r="N248" i="4"/>
  <c r="J248" i="4"/>
  <c r="AF248" i="4"/>
  <c r="AQ248" i="4"/>
  <c r="L248" i="4"/>
  <c r="M248" i="4"/>
  <c r="AO248" i="4"/>
  <c r="G248" i="4"/>
  <c r="AP248" i="4"/>
  <c r="H248" i="4"/>
  <c r="AT248" i="4"/>
  <c r="AS248" i="4"/>
  <c r="I248" i="4"/>
  <c r="E248" i="4"/>
  <c r="AR248" i="4"/>
  <c r="BC250" i="4"/>
  <c r="B249" i="4"/>
  <c r="AH245" i="4"/>
  <c r="AG246" i="4"/>
  <c r="G270" i="29"/>
  <c r="O247" i="28"/>
  <c r="B249" i="28"/>
  <c r="AC250" i="28"/>
  <c r="AD248" i="28"/>
  <c r="AE248" i="28"/>
  <c r="BE248" i="4"/>
  <c r="BD248" i="4"/>
  <c r="AX246" i="4"/>
  <c r="Z246" i="28"/>
  <c r="J247" i="28"/>
  <c r="Y247" i="28" s="1"/>
  <c r="I247" i="28"/>
  <c r="K247" i="28" s="1"/>
  <c r="N247" i="28" s="1"/>
  <c r="U246" i="28"/>
  <c r="V246" i="28" s="1"/>
  <c r="X246" i="28" s="1"/>
  <c r="P246" i="28"/>
  <c r="S247" i="4"/>
  <c r="AA247" i="4" s="1"/>
  <c r="Y247" i="4"/>
  <c r="AD247" i="4" s="1"/>
  <c r="R247" i="4"/>
  <c r="Z247" i="4" s="1"/>
  <c r="W247" i="4"/>
  <c r="AB247" i="4" s="1"/>
  <c r="U247" i="4"/>
  <c r="X247" i="4"/>
  <c r="AC247" i="4" s="1"/>
  <c r="V247" i="4"/>
  <c r="AW247" i="4" s="1"/>
  <c r="T247" i="4"/>
  <c r="A851" i="28"/>
  <c r="AH246" i="4" l="1"/>
  <c r="L246" i="29"/>
  <c r="H247" i="29"/>
  <c r="J247" i="29" s="1"/>
  <c r="B258" i="29"/>
  <c r="V259" i="29"/>
  <c r="M248" i="29"/>
  <c r="K248" i="29"/>
  <c r="E248" i="29"/>
  <c r="H248" i="29" s="1"/>
  <c r="B249" i="29"/>
  <c r="V250" i="29"/>
  <c r="T249" i="28"/>
  <c r="W249" i="28"/>
  <c r="E249" i="28"/>
  <c r="M249" i="28"/>
  <c r="L249" i="28"/>
  <c r="AN245" i="4"/>
  <c r="AL246" i="4"/>
  <c r="AU246" i="4" s="1"/>
  <c r="AV246" i="4" s="1"/>
  <c r="AM248" i="4"/>
  <c r="O248" i="28"/>
  <c r="AX247" i="4"/>
  <c r="J248" i="28"/>
  <c r="Y248" i="28" s="1"/>
  <c r="I248" i="28"/>
  <c r="K248" i="28" s="1"/>
  <c r="N248" i="28" s="1"/>
  <c r="Q249" i="28"/>
  <c r="F249" i="28"/>
  <c r="S249" i="28"/>
  <c r="R249" i="28"/>
  <c r="BD249" i="4"/>
  <c r="BE249" i="4"/>
  <c r="B250" i="4"/>
  <c r="BC251" i="4"/>
  <c r="AG247" i="4"/>
  <c r="U247" i="28"/>
  <c r="V247" i="28" s="1"/>
  <c r="X247" i="28" s="1"/>
  <c r="P247" i="28"/>
  <c r="G271" i="29"/>
  <c r="W248" i="4"/>
  <c r="AB248" i="4" s="1"/>
  <c r="S248" i="4"/>
  <c r="AA248" i="4" s="1"/>
  <c r="Y248" i="4"/>
  <c r="AD248" i="4" s="1"/>
  <c r="U248" i="4"/>
  <c r="X248" i="4"/>
  <c r="AC248" i="4" s="1"/>
  <c r="R248" i="4"/>
  <c r="Z248" i="4" s="1"/>
  <c r="V248" i="4"/>
  <c r="AW248" i="4" s="1"/>
  <c r="T248" i="4"/>
  <c r="AC251" i="28"/>
  <c r="B250" i="28"/>
  <c r="AD249" i="28"/>
  <c r="AE249" i="28"/>
  <c r="Z247" i="28"/>
  <c r="AF249" i="4"/>
  <c r="AT249" i="4"/>
  <c r="G249" i="4"/>
  <c r="AO249" i="4"/>
  <c r="AS249" i="4"/>
  <c r="N249" i="4"/>
  <c r="AP249" i="4"/>
  <c r="I249" i="4"/>
  <c r="H249" i="4"/>
  <c r="J249" i="4"/>
  <c r="AR249" i="4"/>
  <c r="M249" i="4"/>
  <c r="L249" i="4"/>
  <c r="AQ249" i="4"/>
  <c r="E249" i="4"/>
  <c r="A852" i="28"/>
  <c r="B259" i="29" l="1"/>
  <c r="V260" i="29"/>
  <c r="K258" i="29"/>
  <c r="M258" i="29"/>
  <c r="E258" i="29"/>
  <c r="H258" i="29" s="1"/>
  <c r="B250" i="29"/>
  <c r="V251" i="29"/>
  <c r="M249" i="29"/>
  <c r="K249" i="29"/>
  <c r="E249" i="29"/>
  <c r="H249" i="29" s="1"/>
  <c r="N247" i="29"/>
  <c r="O247" i="29" s="1"/>
  <c r="L247" i="29"/>
  <c r="J248" i="29"/>
  <c r="T250" i="28"/>
  <c r="W250" i="28"/>
  <c r="E250" i="28"/>
  <c r="J250" i="4"/>
  <c r="AT250" i="4"/>
  <c r="M250" i="28"/>
  <c r="L250" i="28"/>
  <c r="AN246" i="4"/>
  <c r="AL247" i="4"/>
  <c r="AX248" i="4"/>
  <c r="AM249" i="4"/>
  <c r="Q250" i="28"/>
  <c r="R250" i="28"/>
  <c r="S250" i="28"/>
  <c r="F250" i="28"/>
  <c r="AD250" i="28"/>
  <c r="AE250" i="28"/>
  <c r="AH247" i="4"/>
  <c r="N250" i="4"/>
  <c r="H250" i="4"/>
  <c r="AO250" i="4"/>
  <c r="M250" i="4"/>
  <c r="I250" i="4"/>
  <c r="L250" i="4"/>
  <c r="AP250" i="4"/>
  <c r="E250" i="4"/>
  <c r="G250" i="4"/>
  <c r="AR250" i="4"/>
  <c r="AQ250" i="4"/>
  <c r="AS250" i="4"/>
  <c r="AF250" i="4"/>
  <c r="P248" i="28"/>
  <c r="U248" i="28"/>
  <c r="V248" i="28" s="1"/>
  <c r="X248" i="28" s="1"/>
  <c r="I249" i="28"/>
  <c r="K249" i="28" s="1"/>
  <c r="N249" i="28" s="1"/>
  <c r="J249" i="28"/>
  <c r="Y249" i="28" s="1"/>
  <c r="B251" i="28"/>
  <c r="AC252" i="28"/>
  <c r="AG248" i="4"/>
  <c r="G272" i="29"/>
  <c r="B251" i="4"/>
  <c r="BC252" i="4"/>
  <c r="BD250" i="4"/>
  <c r="BE250" i="4"/>
  <c r="W249" i="4"/>
  <c r="AB249" i="4" s="1"/>
  <c r="V249" i="4"/>
  <c r="AW249" i="4" s="1"/>
  <c r="S249" i="4"/>
  <c r="AA249" i="4" s="1"/>
  <c r="R249" i="4"/>
  <c r="Z249" i="4" s="1"/>
  <c r="X249" i="4"/>
  <c r="AC249" i="4" s="1"/>
  <c r="Y249" i="4"/>
  <c r="AD249" i="4" s="1"/>
  <c r="T249" i="4"/>
  <c r="U249" i="4"/>
  <c r="O249" i="28"/>
  <c r="Z248" i="28"/>
  <c r="A853" i="28"/>
  <c r="J249" i="29" l="1"/>
  <c r="N249" i="29" s="1"/>
  <c r="O249" i="29" s="1"/>
  <c r="J258" i="29"/>
  <c r="N258" i="29" s="1"/>
  <c r="O258" i="29" s="1"/>
  <c r="B260" i="29"/>
  <c r="V261" i="29"/>
  <c r="M259" i="29"/>
  <c r="E259" i="29"/>
  <c r="H259" i="29" s="1"/>
  <c r="K259" i="29"/>
  <c r="N248" i="29"/>
  <c r="O248" i="29" s="1"/>
  <c r="L248" i="29"/>
  <c r="B251" i="29"/>
  <c r="V252" i="29"/>
  <c r="M250" i="29"/>
  <c r="K250" i="29"/>
  <c r="E250" i="29"/>
  <c r="H250" i="29" s="1"/>
  <c r="T251" i="28"/>
  <c r="W251" i="28"/>
  <c r="E251" i="28"/>
  <c r="AT251" i="4"/>
  <c r="J251" i="4"/>
  <c r="AH248" i="4"/>
  <c r="L251" i="28"/>
  <c r="M251" i="28"/>
  <c r="AN247" i="4"/>
  <c r="AU247" i="4"/>
  <c r="AV247" i="4" s="1"/>
  <c r="Z249" i="28"/>
  <c r="B252" i="28"/>
  <c r="AC253" i="28"/>
  <c r="R251" i="28"/>
  <c r="F251" i="28"/>
  <c r="S251" i="28"/>
  <c r="Q251" i="28"/>
  <c r="U249" i="28"/>
  <c r="V249" i="28" s="1"/>
  <c r="X249" i="28" s="1"/>
  <c r="P249" i="28"/>
  <c r="AM250" i="4"/>
  <c r="G273" i="29"/>
  <c r="AL248" i="4"/>
  <c r="I250" i="28"/>
  <c r="K250" i="28" s="1"/>
  <c r="N250" i="28" s="1"/>
  <c r="J250" i="28"/>
  <c r="Y250" i="28" s="1"/>
  <c r="O250" i="28"/>
  <c r="AG249" i="4"/>
  <c r="B252" i="4"/>
  <c r="BC253" i="4"/>
  <c r="AX249" i="4"/>
  <c r="U250" i="4"/>
  <c r="S250" i="4"/>
  <c r="AA250" i="4" s="1"/>
  <c r="Y250" i="4"/>
  <c r="AD250" i="4" s="1"/>
  <c r="X250" i="4"/>
  <c r="AC250" i="4" s="1"/>
  <c r="T250" i="4"/>
  <c r="R250" i="4"/>
  <c r="Z250" i="4" s="1"/>
  <c r="V250" i="4"/>
  <c r="AW250" i="4" s="1"/>
  <c r="W250" i="4"/>
  <c r="AB250" i="4" s="1"/>
  <c r="BD251" i="4"/>
  <c r="BE251" i="4"/>
  <c r="AF251" i="4"/>
  <c r="N251" i="4"/>
  <c r="AP251" i="4"/>
  <c r="AR251" i="4"/>
  <c r="I251" i="4"/>
  <c r="G251" i="4"/>
  <c r="AQ251" i="4"/>
  <c r="L251" i="4"/>
  <c r="M251" i="4"/>
  <c r="H251" i="4"/>
  <c r="AS251" i="4"/>
  <c r="E251" i="4"/>
  <c r="AO251" i="4"/>
  <c r="AD251" i="28"/>
  <c r="AE251" i="28"/>
  <c r="A854" i="28"/>
  <c r="L249" i="29" l="1"/>
  <c r="J259" i="29"/>
  <c r="N259" i="29" s="1"/>
  <c r="O259" i="29" s="1"/>
  <c r="L258" i="29"/>
  <c r="K260" i="29"/>
  <c r="M260" i="29"/>
  <c r="E260" i="29"/>
  <c r="H260" i="29" s="1"/>
  <c r="B261" i="29"/>
  <c r="V262" i="29"/>
  <c r="J250" i="29"/>
  <c r="N250" i="29" s="1"/>
  <c r="O250" i="29" s="1"/>
  <c r="B252" i="29"/>
  <c r="V253" i="29"/>
  <c r="M251" i="29"/>
  <c r="K251" i="29"/>
  <c r="E251" i="29"/>
  <c r="T252" i="28"/>
  <c r="W252" i="28"/>
  <c r="E252" i="28"/>
  <c r="L252" i="28"/>
  <c r="M252" i="28"/>
  <c r="O251" i="28"/>
  <c r="AL249" i="4"/>
  <c r="AU249" i="4" s="1"/>
  <c r="AV249" i="4" s="1"/>
  <c r="AX250" i="4"/>
  <c r="AM251" i="4"/>
  <c r="G252" i="4"/>
  <c r="AR252" i="4"/>
  <c r="H252" i="4"/>
  <c r="I252" i="4"/>
  <c r="L252" i="4"/>
  <c r="AS252" i="4"/>
  <c r="AQ252" i="4"/>
  <c r="E252" i="4"/>
  <c r="AO252" i="4"/>
  <c r="AP252" i="4"/>
  <c r="N252" i="4"/>
  <c r="J252" i="4"/>
  <c r="M252" i="4"/>
  <c r="AT252" i="4"/>
  <c r="AF252" i="4"/>
  <c r="Z250" i="28"/>
  <c r="U250" i="28"/>
  <c r="V250" i="28" s="1"/>
  <c r="X250" i="28" s="1"/>
  <c r="P250" i="28"/>
  <c r="G274" i="29"/>
  <c r="AC254" i="28"/>
  <c r="B253" i="28"/>
  <c r="R252" i="28"/>
  <c r="S252" i="28"/>
  <c r="F252" i="28"/>
  <c r="Q252" i="28"/>
  <c r="I251" i="28"/>
  <c r="K251" i="28" s="1"/>
  <c r="N251" i="28" s="1"/>
  <c r="J251" i="28"/>
  <c r="Y251" i="28" s="1"/>
  <c r="W251" i="4"/>
  <c r="AB251" i="4" s="1"/>
  <c r="R251" i="4"/>
  <c r="Z251" i="4" s="1"/>
  <c r="Y251" i="4"/>
  <c r="AD251" i="4" s="1"/>
  <c r="T251" i="4"/>
  <c r="U251" i="4"/>
  <c r="V251" i="4"/>
  <c r="AW251" i="4" s="1"/>
  <c r="S251" i="4"/>
  <c r="AA251" i="4" s="1"/>
  <c r="X251" i="4"/>
  <c r="AC251" i="4" s="1"/>
  <c r="AG250" i="4"/>
  <c r="BC254" i="4"/>
  <c r="B253" i="4"/>
  <c r="BE252" i="4"/>
  <c r="BD252" i="4"/>
  <c r="AH249" i="4"/>
  <c r="AN248" i="4"/>
  <c r="AU248" i="4"/>
  <c r="AV248" i="4" s="1"/>
  <c r="AE252" i="28"/>
  <c r="AD252" i="28"/>
  <c r="A855" i="28"/>
  <c r="L259" i="29" l="1"/>
  <c r="L250" i="29"/>
  <c r="Z251" i="28"/>
  <c r="H251" i="29"/>
  <c r="J251" i="29" s="1"/>
  <c r="B262" i="29"/>
  <c r="V263" i="29"/>
  <c r="M261" i="29"/>
  <c r="K261" i="29"/>
  <c r="E261" i="29"/>
  <c r="H261" i="29" s="1"/>
  <c r="J260" i="29"/>
  <c r="B253" i="29"/>
  <c r="V254" i="29"/>
  <c r="K252" i="29"/>
  <c r="E252" i="29"/>
  <c r="M252" i="29"/>
  <c r="T253" i="28"/>
  <c r="W253" i="28"/>
  <c r="E253" i="28"/>
  <c r="M253" i="28"/>
  <c r="L253" i="28"/>
  <c r="AL250" i="4"/>
  <c r="AU250" i="4" s="1"/>
  <c r="AV250" i="4" s="1"/>
  <c r="AN249" i="4"/>
  <c r="AM252" i="4"/>
  <c r="J252" i="28"/>
  <c r="Y252" i="28" s="1"/>
  <c r="I252" i="28"/>
  <c r="K252" i="28" s="1"/>
  <c r="N252" i="28" s="1"/>
  <c r="BC255" i="4"/>
  <c r="B254" i="4"/>
  <c r="G275" i="29"/>
  <c r="S252" i="4"/>
  <c r="AA252" i="4" s="1"/>
  <c r="W252" i="4"/>
  <c r="AB252" i="4" s="1"/>
  <c r="V252" i="4"/>
  <c r="AW252" i="4" s="1"/>
  <c r="T252" i="4"/>
  <c r="U252" i="4"/>
  <c r="X252" i="4"/>
  <c r="AC252" i="4" s="1"/>
  <c r="Y252" i="4"/>
  <c r="AD252" i="4" s="1"/>
  <c r="R252" i="4"/>
  <c r="Z252" i="4" s="1"/>
  <c r="BE253" i="4"/>
  <c r="BD253" i="4"/>
  <c r="H253" i="4"/>
  <c r="AF253" i="4"/>
  <c r="E253" i="4"/>
  <c r="J253" i="4"/>
  <c r="N253" i="4"/>
  <c r="AT253" i="4"/>
  <c r="AR253" i="4"/>
  <c r="I253" i="4"/>
  <c r="AS253" i="4"/>
  <c r="L253" i="4"/>
  <c r="AP253" i="4"/>
  <c r="M253" i="4"/>
  <c r="G253" i="4"/>
  <c r="AO253" i="4"/>
  <c r="AQ253" i="4"/>
  <c r="AX251" i="4"/>
  <c r="AG251" i="4"/>
  <c r="P251" i="28"/>
  <c r="U251" i="28"/>
  <c r="V251" i="28" s="1"/>
  <c r="X251" i="28" s="1"/>
  <c r="AE253" i="28"/>
  <c r="AD253" i="28"/>
  <c r="AH250" i="4"/>
  <c r="O252" i="28"/>
  <c r="Q253" i="28"/>
  <c r="R253" i="28"/>
  <c r="F253" i="28"/>
  <c r="S253" i="28"/>
  <c r="AC255" i="28"/>
  <c r="B254" i="28"/>
  <c r="A856" i="28"/>
  <c r="J261" i="29" l="1"/>
  <c r="L261" i="29" s="1"/>
  <c r="N260" i="29"/>
  <c r="O260" i="29" s="1"/>
  <c r="L260" i="29"/>
  <c r="B263" i="29"/>
  <c r="V264" i="29"/>
  <c r="N261" i="29"/>
  <c r="O261" i="29" s="1"/>
  <c r="K262" i="29"/>
  <c r="M262" i="29"/>
  <c r="E262" i="29"/>
  <c r="H262" i="29" s="1"/>
  <c r="B254" i="29"/>
  <c r="V255" i="29"/>
  <c r="N251" i="29"/>
  <c r="O251" i="29" s="1"/>
  <c r="L251" i="29"/>
  <c r="H252" i="29"/>
  <c r="J252" i="29" s="1"/>
  <c r="K253" i="29"/>
  <c r="E253" i="29"/>
  <c r="M253" i="29"/>
  <c r="T254" i="28"/>
  <c r="W254" i="28"/>
  <c r="E254" i="28"/>
  <c r="L254" i="28"/>
  <c r="M254" i="28"/>
  <c r="AN250" i="4"/>
  <c r="AH251" i="4"/>
  <c r="O253" i="28"/>
  <c r="AD254" i="28"/>
  <c r="AE254" i="28"/>
  <c r="S254" i="28"/>
  <c r="Q254" i="28"/>
  <c r="F254" i="28"/>
  <c r="R254" i="28"/>
  <c r="B255" i="28"/>
  <c r="AC256" i="28"/>
  <c r="J253" i="28"/>
  <c r="Y253" i="28" s="1"/>
  <c r="I253" i="28"/>
  <c r="K253" i="28" s="1"/>
  <c r="N253" i="28" s="1"/>
  <c r="AM253" i="4"/>
  <c r="W253" i="4"/>
  <c r="AB253" i="4" s="1"/>
  <c r="U253" i="4"/>
  <c r="R253" i="4"/>
  <c r="Z253" i="4" s="1"/>
  <c r="X253" i="4"/>
  <c r="AC253" i="4" s="1"/>
  <c r="V253" i="4"/>
  <c r="AW253" i="4" s="1"/>
  <c r="T253" i="4"/>
  <c r="Y253" i="4"/>
  <c r="AD253" i="4" s="1"/>
  <c r="S253" i="4"/>
  <c r="AA253" i="4" s="1"/>
  <c r="G276" i="29"/>
  <c r="AL251" i="4"/>
  <c r="J254" i="4"/>
  <c r="E254" i="4"/>
  <c r="AF254" i="4"/>
  <c r="N254" i="4"/>
  <c r="AP254" i="4"/>
  <c r="G254" i="4"/>
  <c r="AQ254" i="4"/>
  <c r="H254" i="4"/>
  <c r="M254" i="4"/>
  <c r="AR254" i="4"/>
  <c r="I254" i="4"/>
  <c r="AS254" i="4"/>
  <c r="L254" i="4"/>
  <c r="AO254" i="4"/>
  <c r="AT254" i="4"/>
  <c r="Z252" i="28"/>
  <c r="AG252" i="4"/>
  <c r="AL252" i="4" s="1"/>
  <c r="AX252" i="4"/>
  <c r="BE254" i="4"/>
  <c r="BD254" i="4"/>
  <c r="BC256" i="4"/>
  <c r="B255" i="4"/>
  <c r="U252" i="28"/>
  <c r="V252" i="28" s="1"/>
  <c r="X252" i="28" s="1"/>
  <c r="P252" i="28"/>
  <c r="A857" i="28"/>
  <c r="Z253" i="28" l="1"/>
  <c r="J262" i="29"/>
  <c r="N262" i="29" s="1"/>
  <c r="O262" i="29" s="1"/>
  <c r="M263" i="29"/>
  <c r="K263" i="29"/>
  <c r="E263" i="29"/>
  <c r="H263" i="29" s="1"/>
  <c r="B264" i="29"/>
  <c r="V265" i="29"/>
  <c r="B265" i="29" s="1"/>
  <c r="B255" i="29"/>
  <c r="V256" i="29"/>
  <c r="N252" i="29"/>
  <c r="O252" i="29" s="1"/>
  <c r="L252" i="29"/>
  <c r="K254" i="29"/>
  <c r="E254" i="29"/>
  <c r="M254" i="29"/>
  <c r="H253" i="29"/>
  <c r="J253" i="29" s="1"/>
  <c r="T255" i="28"/>
  <c r="W255" i="28"/>
  <c r="E255" i="28"/>
  <c r="M255" i="28"/>
  <c r="L255" i="28"/>
  <c r="AG253" i="4"/>
  <c r="AU252" i="4"/>
  <c r="AV252" i="4" s="1"/>
  <c r="AN252" i="4"/>
  <c r="AO255" i="4"/>
  <c r="AT255" i="4"/>
  <c r="N255" i="4"/>
  <c r="L255" i="4"/>
  <c r="I255" i="4"/>
  <c r="E255" i="4"/>
  <c r="AP255" i="4"/>
  <c r="J255" i="4"/>
  <c r="H255" i="4"/>
  <c r="G255" i="4"/>
  <c r="AF255" i="4"/>
  <c r="AQ255" i="4"/>
  <c r="AR255" i="4"/>
  <c r="AS255" i="4"/>
  <c r="M255" i="4"/>
  <c r="AM254" i="4"/>
  <c r="AU251" i="4"/>
  <c r="AV251" i="4" s="1"/>
  <c r="AN251" i="4"/>
  <c r="AH252" i="4"/>
  <c r="AX253" i="4"/>
  <c r="U253" i="28"/>
  <c r="V253" i="28" s="1"/>
  <c r="X253" i="28" s="1"/>
  <c r="P253" i="28"/>
  <c r="AE255" i="28"/>
  <c r="AD255" i="28"/>
  <c r="F255" i="28"/>
  <c r="S255" i="28"/>
  <c r="Q255" i="28"/>
  <c r="R255" i="28"/>
  <c r="I254" i="28"/>
  <c r="K254" i="28" s="1"/>
  <c r="N254" i="28" s="1"/>
  <c r="J254" i="28"/>
  <c r="Y254" i="28" s="1"/>
  <c r="BE255" i="4"/>
  <c r="BD255" i="4"/>
  <c r="B256" i="4"/>
  <c r="BC257" i="4"/>
  <c r="T254" i="4"/>
  <c r="S254" i="4"/>
  <c r="AA254" i="4" s="1"/>
  <c r="U254" i="4"/>
  <c r="R254" i="4"/>
  <c r="Z254" i="4" s="1"/>
  <c r="Y254" i="4"/>
  <c r="AD254" i="4" s="1"/>
  <c r="W254" i="4"/>
  <c r="AB254" i="4" s="1"/>
  <c r="V254" i="4"/>
  <c r="AW254" i="4" s="1"/>
  <c r="X254" i="4"/>
  <c r="AC254" i="4" s="1"/>
  <c r="G277" i="29"/>
  <c r="AC257" i="28"/>
  <c r="B256" i="28"/>
  <c r="O254" i="28"/>
  <c r="A858" i="28"/>
  <c r="L262" i="29" l="1"/>
  <c r="J263" i="29"/>
  <c r="L263" i="29" s="1"/>
  <c r="M265" i="29"/>
  <c r="E265" i="29"/>
  <c r="K265" i="29"/>
  <c r="K264" i="29"/>
  <c r="M264" i="29"/>
  <c r="E264" i="29"/>
  <c r="N253" i="29"/>
  <c r="O253" i="29" s="1"/>
  <c r="L253" i="29"/>
  <c r="H254" i="29"/>
  <c r="J254" i="29" s="1"/>
  <c r="B256" i="29"/>
  <c r="V257" i="29"/>
  <c r="K255" i="29"/>
  <c r="E255" i="29"/>
  <c r="M255" i="29"/>
  <c r="AH253" i="4"/>
  <c r="T256" i="28"/>
  <c r="W256" i="28"/>
  <c r="E256" i="28"/>
  <c r="M256" i="28"/>
  <c r="L256" i="28"/>
  <c r="AL253" i="4"/>
  <c r="AN253" i="4" s="1"/>
  <c r="AG254" i="4"/>
  <c r="B257" i="4"/>
  <c r="BC258" i="4"/>
  <c r="M256" i="4"/>
  <c r="AF256" i="4"/>
  <c r="G256" i="4"/>
  <c r="AS256" i="4"/>
  <c r="AP256" i="4"/>
  <c r="AT256" i="4"/>
  <c r="AQ256" i="4"/>
  <c r="I256" i="4"/>
  <c r="N256" i="4"/>
  <c r="L256" i="4"/>
  <c r="AO256" i="4"/>
  <c r="J256" i="4"/>
  <c r="H256" i="4"/>
  <c r="E256" i="4"/>
  <c r="AR256" i="4"/>
  <c r="U255" i="4"/>
  <c r="V255" i="4"/>
  <c r="AW255" i="4" s="1"/>
  <c r="X255" i="4"/>
  <c r="AC255" i="4" s="1"/>
  <c r="T255" i="4"/>
  <c r="Y255" i="4"/>
  <c r="AD255" i="4" s="1"/>
  <c r="S255" i="4"/>
  <c r="AA255" i="4" s="1"/>
  <c r="AX255" i="4" s="1"/>
  <c r="R255" i="4"/>
  <c r="Z255" i="4" s="1"/>
  <c r="W255" i="4"/>
  <c r="AB255" i="4" s="1"/>
  <c r="U254" i="28"/>
  <c r="V254" i="28" s="1"/>
  <c r="X254" i="28" s="1"/>
  <c r="P254" i="28"/>
  <c r="Z254" i="28"/>
  <c r="S256" i="28"/>
  <c r="Q256" i="28"/>
  <c r="F256" i="28"/>
  <c r="R256" i="28"/>
  <c r="AD256" i="28"/>
  <c r="AE256" i="28"/>
  <c r="G278" i="29"/>
  <c r="AX254" i="4"/>
  <c r="BD256" i="4"/>
  <c r="BE256" i="4"/>
  <c r="O255" i="28"/>
  <c r="I255" i="28"/>
  <c r="K255" i="28" s="1"/>
  <c r="N255" i="28" s="1"/>
  <c r="J255" i="28"/>
  <c r="Y255" i="28" s="1"/>
  <c r="AM255" i="4"/>
  <c r="AC258" i="28"/>
  <c r="B257" i="28"/>
  <c r="A859" i="28"/>
  <c r="N263" i="29" l="1"/>
  <c r="O263" i="29" s="1"/>
  <c r="H265" i="29"/>
  <c r="J265" i="29" s="1"/>
  <c r="N265" i="29" s="1"/>
  <c r="O265" i="29" s="1"/>
  <c r="H264" i="29"/>
  <c r="J264" i="29" s="1"/>
  <c r="N264" i="29" s="1"/>
  <c r="O264" i="29" s="1"/>
  <c r="K256" i="29"/>
  <c r="M256" i="29"/>
  <c r="E256" i="29"/>
  <c r="N254" i="29"/>
  <c r="O254" i="29" s="1"/>
  <c r="L254" i="29"/>
  <c r="H255" i="29"/>
  <c r="J255" i="29" s="1"/>
  <c r="B257" i="29"/>
  <c r="V266" i="29"/>
  <c r="T257" i="28"/>
  <c r="W257" i="28"/>
  <c r="E257" i="28"/>
  <c r="M257" i="28"/>
  <c r="L257" i="28"/>
  <c r="Z255" i="28"/>
  <c r="AU253" i="4"/>
  <c r="AV253" i="4" s="1"/>
  <c r="AL254" i="4"/>
  <c r="AN254" i="4" s="1"/>
  <c r="AH254" i="4"/>
  <c r="R257" i="28"/>
  <c r="Q257" i="28"/>
  <c r="F257" i="28"/>
  <c r="S257" i="28"/>
  <c r="B258" i="28"/>
  <c r="AC259" i="28"/>
  <c r="P255" i="28"/>
  <c r="U255" i="28"/>
  <c r="V255" i="28" s="1"/>
  <c r="X255" i="28" s="1"/>
  <c r="X256" i="4"/>
  <c r="AC256" i="4" s="1"/>
  <c r="V256" i="4"/>
  <c r="AW256" i="4" s="1"/>
  <c r="S256" i="4"/>
  <c r="AA256" i="4" s="1"/>
  <c r="T256" i="4"/>
  <c r="Y256" i="4"/>
  <c r="AD256" i="4" s="1"/>
  <c r="W256" i="4"/>
  <c r="AB256" i="4" s="1"/>
  <c r="R256" i="4"/>
  <c r="Z256" i="4" s="1"/>
  <c r="U256" i="4"/>
  <c r="AG255" i="4"/>
  <c r="AM256" i="4"/>
  <c r="BE257" i="4"/>
  <c r="BD257" i="4"/>
  <c r="G279" i="29"/>
  <c r="AE257" i="28"/>
  <c r="AD257" i="28"/>
  <c r="I256" i="28"/>
  <c r="K256" i="28" s="1"/>
  <c r="N256" i="28" s="1"/>
  <c r="J256" i="28"/>
  <c r="Y256" i="28" s="1"/>
  <c r="O256" i="28"/>
  <c r="B258" i="4"/>
  <c r="BC259" i="4"/>
  <c r="G257" i="4"/>
  <c r="AP257" i="4"/>
  <c r="AQ257" i="4"/>
  <c r="H257" i="4"/>
  <c r="E257" i="4"/>
  <c r="J257" i="4"/>
  <c r="N257" i="4"/>
  <c r="AF257" i="4"/>
  <c r="AT257" i="4"/>
  <c r="AO257" i="4"/>
  <c r="AS257" i="4"/>
  <c r="M257" i="4"/>
  <c r="AR257" i="4"/>
  <c r="I257" i="4"/>
  <c r="L257" i="4"/>
  <c r="A860" i="28"/>
  <c r="L265" i="29" l="1"/>
  <c r="L264" i="29"/>
  <c r="H256" i="29"/>
  <c r="J256" i="29" s="1"/>
  <c r="N255" i="29"/>
  <c r="O255" i="29" s="1"/>
  <c r="L255" i="29"/>
  <c r="V267" i="29"/>
  <c r="B266" i="29"/>
  <c r="K257" i="29"/>
  <c r="M257" i="29"/>
  <c r="E257" i="29"/>
  <c r="T258" i="28"/>
  <c r="W258" i="28"/>
  <c r="E258" i="28"/>
  <c r="M258" i="28"/>
  <c r="L258" i="28"/>
  <c r="AU254" i="4"/>
  <c r="AV254" i="4" s="1"/>
  <c r="AH255" i="4"/>
  <c r="BD258" i="4"/>
  <c r="BE258" i="4"/>
  <c r="G280" i="29"/>
  <c r="AG256" i="4"/>
  <c r="AX256" i="4"/>
  <c r="B259" i="28"/>
  <c r="AC260" i="28"/>
  <c r="S258" i="28"/>
  <c r="F258" i="28"/>
  <c r="Q258" i="28"/>
  <c r="R258" i="28"/>
  <c r="AM257" i="4"/>
  <c r="BC260" i="4"/>
  <c r="B259" i="4"/>
  <c r="N258" i="4"/>
  <c r="I258" i="4"/>
  <c r="AQ258" i="4"/>
  <c r="E258" i="4"/>
  <c r="L258" i="4"/>
  <c r="J258" i="4"/>
  <c r="AS258" i="4"/>
  <c r="AO258" i="4"/>
  <c r="G258" i="4"/>
  <c r="AT258" i="4"/>
  <c r="AP258" i="4"/>
  <c r="AF258" i="4"/>
  <c r="M258" i="4"/>
  <c r="H258" i="4"/>
  <c r="AR258" i="4"/>
  <c r="Z256" i="28"/>
  <c r="U256" i="28"/>
  <c r="V256" i="28" s="1"/>
  <c r="X256" i="28" s="1"/>
  <c r="P256" i="28"/>
  <c r="J257" i="28"/>
  <c r="Y257" i="28" s="1"/>
  <c r="I257" i="28"/>
  <c r="K257" i="28" s="1"/>
  <c r="N257" i="28" s="1"/>
  <c r="R257" i="4"/>
  <c r="Z257" i="4" s="1"/>
  <c r="U257" i="4"/>
  <c r="W257" i="4"/>
  <c r="AB257" i="4" s="1"/>
  <c r="S257" i="4"/>
  <c r="AA257" i="4" s="1"/>
  <c r="Y257" i="4"/>
  <c r="AD257" i="4" s="1"/>
  <c r="X257" i="4"/>
  <c r="AC257" i="4" s="1"/>
  <c r="V257" i="4"/>
  <c r="AW257" i="4" s="1"/>
  <c r="T257" i="4"/>
  <c r="AL255" i="4"/>
  <c r="AE258" i="28"/>
  <c r="AD258" i="28"/>
  <c r="O257" i="28"/>
  <c r="A861" i="28"/>
  <c r="H257" i="29" l="1"/>
  <c r="J257" i="29" s="1"/>
  <c r="K266" i="29"/>
  <c r="M266" i="29"/>
  <c r="E266" i="29"/>
  <c r="V268" i="29"/>
  <c r="B267" i="29"/>
  <c r="N256" i="29"/>
  <c r="O256" i="29" s="1"/>
  <c r="L256" i="29"/>
  <c r="T259" i="28"/>
  <c r="W259" i="28"/>
  <c r="E259" i="28"/>
  <c r="M259" i="28"/>
  <c r="L259" i="28"/>
  <c r="AX257" i="4"/>
  <c r="AL256" i="4"/>
  <c r="AN256" i="4" s="1"/>
  <c r="I258" i="28"/>
  <c r="K258" i="28" s="1"/>
  <c r="N258" i="28" s="1"/>
  <c r="J258" i="28"/>
  <c r="Y258" i="28" s="1"/>
  <c r="AN255" i="4"/>
  <c r="AU255" i="4"/>
  <c r="AV255" i="4" s="1"/>
  <c r="AG257" i="4"/>
  <c r="J259" i="4"/>
  <c r="AF259" i="4"/>
  <c r="G259" i="4"/>
  <c r="E259" i="4"/>
  <c r="H259" i="4"/>
  <c r="AQ259" i="4"/>
  <c r="N259" i="4"/>
  <c r="AO259" i="4"/>
  <c r="M259" i="4"/>
  <c r="AR259" i="4"/>
  <c r="AS259" i="4"/>
  <c r="AP259" i="4"/>
  <c r="L259" i="4"/>
  <c r="AT259" i="4"/>
  <c r="I259" i="4"/>
  <c r="B260" i="4"/>
  <c r="BC261" i="4"/>
  <c r="O258" i="28"/>
  <c r="R259" i="28"/>
  <c r="Q259" i="28"/>
  <c r="F259" i="28"/>
  <c r="S259" i="28"/>
  <c r="Z257" i="28"/>
  <c r="U257" i="28"/>
  <c r="V257" i="28" s="1"/>
  <c r="X257" i="28" s="1"/>
  <c r="P257" i="28"/>
  <c r="AM258" i="4"/>
  <c r="BD259" i="4"/>
  <c r="BE259" i="4"/>
  <c r="B260" i="28"/>
  <c r="AC261" i="28"/>
  <c r="AD259" i="28"/>
  <c r="AE259" i="28"/>
  <c r="AH256" i="4"/>
  <c r="G281" i="29"/>
  <c r="T258" i="4"/>
  <c r="X258" i="4"/>
  <c r="AC258" i="4" s="1"/>
  <c r="V258" i="4"/>
  <c r="AW258" i="4" s="1"/>
  <c r="U258" i="4"/>
  <c r="S258" i="4"/>
  <c r="AA258" i="4" s="1"/>
  <c r="R258" i="4"/>
  <c r="Z258" i="4" s="1"/>
  <c r="W258" i="4"/>
  <c r="AB258" i="4" s="1"/>
  <c r="Y258" i="4"/>
  <c r="AD258" i="4" s="1"/>
  <c r="A862" i="28"/>
  <c r="AH257" i="4" l="1"/>
  <c r="M267" i="29"/>
  <c r="E267" i="29"/>
  <c r="K267" i="29"/>
  <c r="V269" i="29"/>
  <c r="B268" i="29"/>
  <c r="N257" i="29"/>
  <c r="O257" i="29" s="1"/>
  <c r="L257" i="29"/>
  <c r="H266" i="29"/>
  <c r="J266" i="29" s="1"/>
  <c r="T260" i="28"/>
  <c r="W260" i="28"/>
  <c r="E260" i="28"/>
  <c r="L260" i="28"/>
  <c r="M260" i="28"/>
  <c r="AX258" i="4"/>
  <c r="AM259" i="4"/>
  <c r="O259" i="28"/>
  <c r="AU256" i="4"/>
  <c r="AV256" i="4" s="1"/>
  <c r="AG258" i="4"/>
  <c r="G282" i="29"/>
  <c r="I259" i="28"/>
  <c r="K259" i="28" s="1"/>
  <c r="N259" i="28" s="1"/>
  <c r="J259" i="28"/>
  <c r="Y259" i="28" s="1"/>
  <c r="AE260" i="28"/>
  <c r="AD260" i="28"/>
  <c r="X259" i="4"/>
  <c r="AC259" i="4" s="1"/>
  <c r="U259" i="4"/>
  <c r="S259" i="4"/>
  <c r="AA259" i="4" s="1"/>
  <c r="T259" i="4"/>
  <c r="W259" i="4"/>
  <c r="AB259" i="4" s="1"/>
  <c r="V259" i="4"/>
  <c r="AW259" i="4" s="1"/>
  <c r="Y259" i="4"/>
  <c r="AD259" i="4" s="1"/>
  <c r="R259" i="4"/>
  <c r="Z259" i="4" s="1"/>
  <c r="B261" i="28"/>
  <c r="AC262" i="28"/>
  <c r="F260" i="28"/>
  <c r="S260" i="28"/>
  <c r="R260" i="28"/>
  <c r="Q260" i="28"/>
  <c r="Z258" i="28"/>
  <c r="J260" i="4"/>
  <c r="N260" i="4"/>
  <c r="AS260" i="4"/>
  <c r="G260" i="4"/>
  <c r="H260" i="4"/>
  <c r="E260" i="4"/>
  <c r="AF260" i="4"/>
  <c r="M260" i="4"/>
  <c r="AQ260" i="4"/>
  <c r="I260" i="4"/>
  <c r="AT260" i="4"/>
  <c r="AP260" i="4"/>
  <c r="L260" i="4"/>
  <c r="AR260" i="4"/>
  <c r="AO260" i="4"/>
  <c r="AL257" i="4"/>
  <c r="B261" i="4"/>
  <c r="BC262" i="4"/>
  <c r="BD260" i="4"/>
  <c r="BE260" i="4"/>
  <c r="U258" i="28"/>
  <c r="V258" i="28" s="1"/>
  <c r="X258" i="28" s="1"/>
  <c r="P258" i="28"/>
  <c r="A863" i="28"/>
  <c r="E268" i="29" l="1"/>
  <c r="K268" i="29"/>
  <c r="M268" i="29"/>
  <c r="N266" i="29"/>
  <c r="O266" i="29" s="1"/>
  <c r="L266" i="29"/>
  <c r="V270" i="29"/>
  <c r="B269" i="29"/>
  <c r="H267" i="29"/>
  <c r="J267" i="29" s="1"/>
  <c r="Z259" i="28"/>
  <c r="T261" i="28"/>
  <c r="W261" i="28"/>
  <c r="E261" i="28"/>
  <c r="L261" i="28"/>
  <c r="M261" i="28"/>
  <c r="AH258" i="4"/>
  <c r="AX259" i="4"/>
  <c r="AL258" i="4"/>
  <c r="T260" i="4"/>
  <c r="U260" i="4"/>
  <c r="V260" i="4"/>
  <c r="AW260" i="4" s="1"/>
  <c r="Y260" i="4"/>
  <c r="AD260" i="4" s="1"/>
  <c r="W260" i="4"/>
  <c r="AB260" i="4" s="1"/>
  <c r="R260" i="4"/>
  <c r="Z260" i="4" s="1"/>
  <c r="X260" i="4"/>
  <c r="AC260" i="4" s="1"/>
  <c r="S260" i="4"/>
  <c r="AA260" i="4" s="1"/>
  <c r="BE261" i="4"/>
  <c r="BD261" i="4"/>
  <c r="B262" i="4"/>
  <c r="BC263" i="4"/>
  <c r="H261" i="4"/>
  <c r="G261" i="4"/>
  <c r="N261" i="4"/>
  <c r="E261" i="4"/>
  <c r="AO261" i="4"/>
  <c r="AT261" i="4"/>
  <c r="M261" i="4"/>
  <c r="AQ261" i="4"/>
  <c r="AP261" i="4"/>
  <c r="AF261" i="4"/>
  <c r="J261" i="4"/>
  <c r="AR261" i="4"/>
  <c r="L261" i="4"/>
  <c r="I261" i="4"/>
  <c r="AS261" i="4"/>
  <c r="AU257" i="4"/>
  <c r="AV257" i="4" s="1"/>
  <c r="AN257" i="4"/>
  <c r="AM260" i="4"/>
  <c r="B262" i="28"/>
  <c r="AC263" i="28"/>
  <c r="AG259" i="4"/>
  <c r="P259" i="28"/>
  <c r="U259" i="28"/>
  <c r="V259" i="28" s="1"/>
  <c r="X259" i="28" s="1"/>
  <c r="G283" i="29"/>
  <c r="O260" i="28"/>
  <c r="AE261" i="28"/>
  <c r="AD261" i="28"/>
  <c r="F261" i="28"/>
  <c r="S261" i="28"/>
  <c r="Q261" i="28"/>
  <c r="R261" i="28"/>
  <c r="I260" i="28"/>
  <c r="K260" i="28" s="1"/>
  <c r="N260" i="28" s="1"/>
  <c r="J260" i="28"/>
  <c r="Y260" i="28" s="1"/>
  <c r="A864" i="28"/>
  <c r="H268" i="29" l="1"/>
  <c r="E269" i="29"/>
  <c r="K269" i="29"/>
  <c r="M269" i="29"/>
  <c r="N267" i="29"/>
  <c r="O267" i="29" s="1"/>
  <c r="L267" i="29"/>
  <c r="J268" i="29"/>
  <c r="V271" i="29"/>
  <c r="B270" i="29"/>
  <c r="T262" i="28"/>
  <c r="W262" i="28"/>
  <c r="E262" i="28"/>
  <c r="L262" i="28"/>
  <c r="M262" i="28"/>
  <c r="O261" i="28"/>
  <c r="AU258" i="4"/>
  <c r="AV258" i="4" s="1"/>
  <c r="AN258" i="4"/>
  <c r="AH259" i="4"/>
  <c r="G284" i="29"/>
  <c r="U260" i="28"/>
  <c r="V260" i="28" s="1"/>
  <c r="X260" i="28" s="1"/>
  <c r="P260" i="28"/>
  <c r="B263" i="28"/>
  <c r="AC264" i="28"/>
  <c r="AD262" i="28"/>
  <c r="AE262" i="28"/>
  <c r="AM261" i="4"/>
  <c r="M262" i="4"/>
  <c r="AS262" i="4"/>
  <c r="E262" i="4"/>
  <c r="N262" i="4"/>
  <c r="AF262" i="4"/>
  <c r="AO262" i="4"/>
  <c r="AR262" i="4"/>
  <c r="AQ262" i="4"/>
  <c r="H262" i="4"/>
  <c r="AT262" i="4"/>
  <c r="L262" i="4"/>
  <c r="I262" i="4"/>
  <c r="AP262" i="4"/>
  <c r="J262" i="4"/>
  <c r="G262" i="4"/>
  <c r="I261" i="28"/>
  <c r="K261" i="28" s="1"/>
  <c r="N261" i="28" s="1"/>
  <c r="J261" i="28"/>
  <c r="Y261" i="28" s="1"/>
  <c r="Z260" i="28"/>
  <c r="AL259" i="4"/>
  <c r="Q262" i="28"/>
  <c r="R262" i="28"/>
  <c r="S262" i="28"/>
  <c r="F262" i="28"/>
  <c r="BE262" i="4"/>
  <c r="BD262" i="4"/>
  <c r="BC264" i="4"/>
  <c r="B263" i="4"/>
  <c r="S261" i="4"/>
  <c r="AA261" i="4" s="1"/>
  <c r="R261" i="4"/>
  <c r="Z261" i="4" s="1"/>
  <c r="W261" i="4"/>
  <c r="AB261" i="4" s="1"/>
  <c r="Y261" i="4"/>
  <c r="AD261" i="4" s="1"/>
  <c r="U261" i="4"/>
  <c r="V261" i="4"/>
  <c r="AW261" i="4" s="1"/>
  <c r="X261" i="4"/>
  <c r="AC261" i="4" s="1"/>
  <c r="T261" i="4"/>
  <c r="AX260" i="4"/>
  <c r="AG260" i="4"/>
  <c r="AL260" i="4" s="1"/>
  <c r="A865" i="28"/>
  <c r="N268" i="29" l="1"/>
  <c r="O268" i="29" s="1"/>
  <c r="L268" i="29"/>
  <c r="V272" i="29"/>
  <c r="B271" i="29"/>
  <c r="M270" i="29"/>
  <c r="K270" i="29"/>
  <c r="E270" i="29"/>
  <c r="H270" i="29" s="1"/>
  <c r="H269" i="29"/>
  <c r="J269" i="29" s="1"/>
  <c r="Z261" i="28"/>
  <c r="T263" i="28"/>
  <c r="W263" i="28"/>
  <c r="E263" i="28"/>
  <c r="M263" i="28"/>
  <c r="L263" i="28"/>
  <c r="AG261" i="4"/>
  <c r="AU260" i="4"/>
  <c r="AV260" i="4" s="1"/>
  <c r="AN260" i="4"/>
  <c r="BD263" i="4"/>
  <c r="BE263" i="4"/>
  <c r="Y262" i="4"/>
  <c r="AD262" i="4" s="1"/>
  <c r="V262" i="4"/>
  <c r="AW262" i="4" s="1"/>
  <c r="T262" i="4"/>
  <c r="R262" i="4"/>
  <c r="Z262" i="4" s="1"/>
  <c r="W262" i="4"/>
  <c r="AB262" i="4" s="1"/>
  <c r="X262" i="4"/>
  <c r="AC262" i="4" s="1"/>
  <c r="U262" i="4"/>
  <c r="S262" i="4"/>
  <c r="U261" i="28"/>
  <c r="V261" i="28" s="1"/>
  <c r="X261" i="28" s="1"/>
  <c r="P261" i="28"/>
  <c r="AH260" i="4"/>
  <c r="AM262" i="4"/>
  <c r="AC265" i="28"/>
  <c r="B264" i="28"/>
  <c r="Q263" i="28"/>
  <c r="F263" i="28"/>
  <c r="S263" i="28"/>
  <c r="R263" i="28"/>
  <c r="G285" i="29"/>
  <c r="AX261" i="4"/>
  <c r="J263" i="4"/>
  <c r="M263" i="4"/>
  <c r="E263" i="4"/>
  <c r="AR263" i="4"/>
  <c r="AT263" i="4"/>
  <c r="G263" i="4"/>
  <c r="L263" i="4"/>
  <c r="AS263" i="4"/>
  <c r="AP263" i="4"/>
  <c r="AQ263" i="4"/>
  <c r="I263" i="4"/>
  <c r="H263" i="4"/>
  <c r="AO263" i="4"/>
  <c r="AF263" i="4"/>
  <c r="N263" i="4"/>
  <c r="B264" i="4"/>
  <c r="BC265" i="4"/>
  <c r="O262" i="28"/>
  <c r="AU259" i="4"/>
  <c r="AV259" i="4" s="1"/>
  <c r="AN259" i="4"/>
  <c r="I262" i="28"/>
  <c r="K262" i="28" s="1"/>
  <c r="N262" i="28" s="1"/>
  <c r="J262" i="28"/>
  <c r="Y262" i="28" s="1"/>
  <c r="AE263" i="28"/>
  <c r="AD263" i="28"/>
  <c r="A866" i="28"/>
  <c r="E271" i="29" l="1"/>
  <c r="K271" i="29"/>
  <c r="M271" i="29"/>
  <c r="L269" i="29"/>
  <c r="N269" i="29"/>
  <c r="O269" i="29" s="1"/>
  <c r="V273" i="29"/>
  <c r="B272" i="29"/>
  <c r="J270" i="29"/>
  <c r="T264" i="28"/>
  <c r="W264" i="28"/>
  <c r="E264" i="28"/>
  <c r="M264" i="28"/>
  <c r="L264" i="28"/>
  <c r="AL261" i="4"/>
  <c r="AN261" i="4" s="1"/>
  <c r="AA262" i="4"/>
  <c r="AX262" i="4" s="1"/>
  <c r="AH261" i="4"/>
  <c r="G286" i="29"/>
  <c r="U262" i="28"/>
  <c r="V262" i="28" s="1"/>
  <c r="X262" i="28" s="1"/>
  <c r="P262" i="28"/>
  <c r="Z262" i="28"/>
  <c r="B265" i="4"/>
  <c r="BC266" i="4"/>
  <c r="BD264" i="4"/>
  <c r="BE264" i="4"/>
  <c r="AM263" i="4"/>
  <c r="O263" i="28"/>
  <c r="R264" i="28"/>
  <c r="Q264" i="28"/>
  <c r="F264" i="28"/>
  <c r="S264" i="28"/>
  <c r="AE264" i="28"/>
  <c r="AD264" i="28"/>
  <c r="J263" i="28"/>
  <c r="Y263" i="28" s="1"/>
  <c r="I263" i="28"/>
  <c r="K263" i="28" s="1"/>
  <c r="N263" i="28" s="1"/>
  <c r="AO264" i="4"/>
  <c r="N264" i="4"/>
  <c r="AP264" i="4"/>
  <c r="AT264" i="4"/>
  <c r="AQ264" i="4"/>
  <c r="AR264" i="4"/>
  <c r="L264" i="4"/>
  <c r="H264" i="4"/>
  <c r="M264" i="4"/>
  <c r="J264" i="4"/>
  <c r="I264" i="4"/>
  <c r="G264" i="4"/>
  <c r="E264" i="4"/>
  <c r="F264" i="4" s="1"/>
  <c r="AS264" i="4"/>
  <c r="AF264" i="4"/>
  <c r="AC266" i="28"/>
  <c r="B265" i="28"/>
  <c r="AG262" i="4"/>
  <c r="X263" i="4"/>
  <c r="AC263" i="4" s="1"/>
  <c r="T263" i="4"/>
  <c r="Y263" i="4"/>
  <c r="AD263" i="4" s="1"/>
  <c r="R263" i="4"/>
  <c r="Z263" i="4" s="1"/>
  <c r="S263" i="4"/>
  <c r="AA263" i="4" s="1"/>
  <c r="W263" i="4"/>
  <c r="AB263" i="4" s="1"/>
  <c r="U263" i="4"/>
  <c r="V263" i="4"/>
  <c r="AW263" i="4" s="1"/>
  <c r="A867" i="28"/>
  <c r="V274" i="29" l="1"/>
  <c r="B273" i="29"/>
  <c r="L270" i="29"/>
  <c r="N270" i="29"/>
  <c r="O270" i="29" s="1"/>
  <c r="K272" i="29"/>
  <c r="M272" i="29"/>
  <c r="E272" i="29"/>
  <c r="H271" i="29"/>
  <c r="J271" i="29" s="1"/>
  <c r="T265" i="28"/>
  <c r="W265" i="28"/>
  <c r="E265" i="28"/>
  <c r="AU261" i="4"/>
  <c r="AV261" i="4" s="1"/>
  <c r="M265" i="28"/>
  <c r="L265" i="28"/>
  <c r="AX263" i="4"/>
  <c r="AH262" i="4"/>
  <c r="AL262" i="4"/>
  <c r="S265" i="28"/>
  <c r="R265" i="28"/>
  <c r="F265" i="28"/>
  <c r="Q265" i="28"/>
  <c r="AC267" i="28"/>
  <c r="B266" i="28"/>
  <c r="AM264" i="4"/>
  <c r="J264" i="28"/>
  <c r="Y264" i="28" s="1"/>
  <c r="I264" i="28"/>
  <c r="K264" i="28" s="1"/>
  <c r="N264" i="28" s="1"/>
  <c r="Z263" i="28"/>
  <c r="U264" i="4"/>
  <c r="W264" i="4"/>
  <c r="AB264" i="4" s="1"/>
  <c r="X264" i="4"/>
  <c r="AC264" i="4" s="1"/>
  <c r="S264" i="4"/>
  <c r="AA264" i="4" s="1"/>
  <c r="V264" i="4"/>
  <c r="AW264" i="4" s="1"/>
  <c r="R264" i="4"/>
  <c r="Z264" i="4" s="1"/>
  <c r="T264" i="4"/>
  <c r="Y264" i="4"/>
  <c r="AD264" i="4" s="1"/>
  <c r="N265" i="4"/>
  <c r="H265" i="4"/>
  <c r="AS265" i="4"/>
  <c r="M265" i="4"/>
  <c r="L265" i="4"/>
  <c r="AO265" i="4"/>
  <c r="AR265" i="4"/>
  <c r="AQ265" i="4"/>
  <c r="G265" i="4"/>
  <c r="AP265" i="4"/>
  <c r="E265" i="4"/>
  <c r="AF265" i="4"/>
  <c r="J265" i="4"/>
  <c r="AT265" i="4"/>
  <c r="I265" i="4"/>
  <c r="AG263" i="4"/>
  <c r="AE265" i="28"/>
  <c r="AD265" i="28"/>
  <c r="U263" i="28"/>
  <c r="V263" i="28" s="1"/>
  <c r="X263" i="28" s="1"/>
  <c r="P263" i="28"/>
  <c r="O264" i="28"/>
  <c r="BC267" i="4"/>
  <c r="B266" i="4"/>
  <c r="BD265" i="4"/>
  <c r="BE265" i="4"/>
  <c r="A868" i="28"/>
  <c r="H272" i="29" l="1"/>
  <c r="J272" i="29" s="1"/>
  <c r="N271" i="29"/>
  <c r="O271" i="29" s="1"/>
  <c r="L271" i="29"/>
  <c r="M273" i="29"/>
  <c r="K273" i="29"/>
  <c r="E273" i="29"/>
  <c r="V275" i="29"/>
  <c r="B274" i="29"/>
  <c r="T266" i="28"/>
  <c r="W266" i="28"/>
  <c r="E266" i="28"/>
  <c r="M266" i="28"/>
  <c r="L266" i="28"/>
  <c r="AM265" i="4"/>
  <c r="AL263" i="4"/>
  <c r="AU263" i="4" s="1"/>
  <c r="AV263" i="4" s="1"/>
  <c r="AH263" i="4"/>
  <c r="W265" i="4"/>
  <c r="AB265" i="4" s="1"/>
  <c r="T265" i="4"/>
  <c r="X265" i="4"/>
  <c r="AC265" i="4" s="1"/>
  <c r="U265" i="4"/>
  <c r="R265" i="4"/>
  <c r="Z265" i="4" s="1"/>
  <c r="Y265" i="4"/>
  <c r="AD265" i="4" s="1"/>
  <c r="S265" i="4"/>
  <c r="AA265" i="4" s="1"/>
  <c r="V265" i="4"/>
  <c r="AW265" i="4" s="1"/>
  <c r="I266" i="4"/>
  <c r="J266" i="4"/>
  <c r="AQ266" i="4"/>
  <c r="N266" i="4"/>
  <c r="AF266" i="4"/>
  <c r="AR266" i="4"/>
  <c r="AS266" i="4"/>
  <c r="AO266" i="4"/>
  <c r="H266" i="4"/>
  <c r="G266" i="4"/>
  <c r="M266" i="4"/>
  <c r="L266" i="4"/>
  <c r="AP266" i="4"/>
  <c r="E266" i="4"/>
  <c r="AT266" i="4"/>
  <c r="BD266" i="4"/>
  <c r="BE266" i="4"/>
  <c r="BC268" i="4"/>
  <c r="B267" i="4"/>
  <c r="Z264" i="28"/>
  <c r="G287" i="29"/>
  <c r="J265" i="28"/>
  <c r="Y265" i="28" s="1"/>
  <c r="I265" i="28"/>
  <c r="K265" i="28" s="1"/>
  <c r="N265" i="28" s="1"/>
  <c r="S266" i="28"/>
  <c r="Q266" i="28"/>
  <c r="F266" i="28"/>
  <c r="R266" i="28"/>
  <c r="AD266" i="28"/>
  <c r="AE266" i="28"/>
  <c r="AN262" i="4"/>
  <c r="AU262" i="4"/>
  <c r="AV262" i="4" s="1"/>
  <c r="AG264" i="4"/>
  <c r="AL264" i="4" s="1"/>
  <c r="AX264" i="4"/>
  <c r="P264" i="28"/>
  <c r="U264" i="28"/>
  <c r="V264" i="28" s="1"/>
  <c r="X264" i="28" s="1"/>
  <c r="B267" i="28"/>
  <c r="AC268" i="28"/>
  <c r="O265" i="28"/>
  <c r="A869" i="28"/>
  <c r="AH264" i="4" l="1"/>
  <c r="H273" i="29"/>
  <c r="J273" i="29" s="1"/>
  <c r="M274" i="29"/>
  <c r="E274" i="29"/>
  <c r="K274" i="29"/>
  <c r="V276" i="29"/>
  <c r="B275" i="29"/>
  <c r="N272" i="29"/>
  <c r="O272" i="29" s="1"/>
  <c r="L272" i="29"/>
  <c r="T267" i="28"/>
  <c r="W267" i="28"/>
  <c r="E267" i="28"/>
  <c r="M267" i="28"/>
  <c r="L267" i="28"/>
  <c r="AM266" i="4"/>
  <c r="AN263" i="4"/>
  <c r="AX265" i="4"/>
  <c r="AN264" i="4"/>
  <c r="AU264" i="4"/>
  <c r="AV264" i="4" s="1"/>
  <c r="B268" i="28"/>
  <c r="AC269" i="28"/>
  <c r="Q267" i="28"/>
  <c r="F267" i="28"/>
  <c r="S267" i="28"/>
  <c r="R267" i="28"/>
  <c r="G288" i="29"/>
  <c r="J266" i="28"/>
  <c r="Y266" i="28" s="1"/>
  <c r="I266" i="28"/>
  <c r="K266" i="28" s="1"/>
  <c r="N266" i="28" s="1"/>
  <c r="O266" i="28"/>
  <c r="P265" i="28"/>
  <c r="U265" i="28"/>
  <c r="V265" i="28" s="1"/>
  <c r="X265" i="28" s="1"/>
  <c r="BD267" i="4"/>
  <c r="BE267" i="4"/>
  <c r="V266" i="4"/>
  <c r="AW266" i="4" s="1"/>
  <c r="U266" i="4"/>
  <c r="T266" i="4"/>
  <c r="R266" i="4"/>
  <c r="Z266" i="4" s="1"/>
  <c r="Y266" i="4"/>
  <c r="AD266" i="4" s="1"/>
  <c r="S266" i="4"/>
  <c r="AA266" i="4" s="1"/>
  <c r="W266" i="4"/>
  <c r="AB266" i="4" s="1"/>
  <c r="X266" i="4"/>
  <c r="AC266" i="4" s="1"/>
  <c r="Z265" i="28"/>
  <c r="AE267" i="28"/>
  <c r="AD267" i="28"/>
  <c r="H267" i="4"/>
  <c r="G267" i="4"/>
  <c r="AT267" i="4"/>
  <c r="N267" i="4"/>
  <c r="AS267" i="4"/>
  <c r="J267" i="4"/>
  <c r="AR267" i="4"/>
  <c r="E267" i="4"/>
  <c r="AQ267" i="4"/>
  <c r="L267" i="4"/>
  <c r="AO267" i="4"/>
  <c r="AF267" i="4"/>
  <c r="M267" i="4"/>
  <c r="I267" i="4"/>
  <c r="AP267" i="4"/>
  <c r="BC269" i="4"/>
  <c r="B268" i="4"/>
  <c r="AG265" i="4"/>
  <c r="AL265" i="4" s="1"/>
  <c r="A870" i="28"/>
  <c r="K275" i="29" l="1"/>
  <c r="M275" i="29"/>
  <c r="E275" i="29"/>
  <c r="H275" i="29" s="1"/>
  <c r="H274" i="29"/>
  <c r="J274" i="29" s="1"/>
  <c r="V277" i="29"/>
  <c r="B276" i="29"/>
  <c r="L273" i="29"/>
  <c r="N273" i="29"/>
  <c r="O273" i="29" s="1"/>
  <c r="T268" i="28"/>
  <c r="W268" i="28"/>
  <c r="E268" i="28"/>
  <c r="M268" i="28"/>
  <c r="L268" i="28"/>
  <c r="AN265" i="4"/>
  <c r="AU265" i="4"/>
  <c r="AV265" i="4" s="1"/>
  <c r="B269" i="4"/>
  <c r="BC270" i="4"/>
  <c r="BE268" i="4"/>
  <c r="BD268" i="4"/>
  <c r="N268" i="4"/>
  <c r="AF268" i="4"/>
  <c r="AT268" i="4"/>
  <c r="H268" i="4"/>
  <c r="AS268" i="4"/>
  <c r="AR268" i="4"/>
  <c r="I268" i="4"/>
  <c r="G268" i="4"/>
  <c r="L268" i="4"/>
  <c r="M268" i="4"/>
  <c r="AP268" i="4"/>
  <c r="E268" i="4"/>
  <c r="J268" i="4"/>
  <c r="AQ268" i="4"/>
  <c r="AO268" i="4"/>
  <c r="AM267" i="4"/>
  <c r="J267" i="28"/>
  <c r="Y267" i="28" s="1"/>
  <c r="I267" i="28"/>
  <c r="K267" i="28" s="1"/>
  <c r="N267" i="28" s="1"/>
  <c r="AH265" i="4"/>
  <c r="AG266" i="4"/>
  <c r="T267" i="4"/>
  <c r="S267" i="4"/>
  <c r="AA267" i="4" s="1"/>
  <c r="V267" i="4"/>
  <c r="AW267" i="4" s="1"/>
  <c r="W267" i="4"/>
  <c r="AB267" i="4" s="1"/>
  <c r="R267" i="4"/>
  <c r="Z267" i="4" s="1"/>
  <c r="U267" i="4"/>
  <c r="Y267" i="4"/>
  <c r="AD267" i="4" s="1"/>
  <c r="X267" i="4"/>
  <c r="AC267" i="4" s="1"/>
  <c r="U266" i="28"/>
  <c r="V266" i="28" s="1"/>
  <c r="X266" i="28" s="1"/>
  <c r="P266" i="28"/>
  <c r="O267" i="28"/>
  <c r="B269" i="28"/>
  <c r="AC270" i="28"/>
  <c r="R268" i="28"/>
  <c r="S268" i="28"/>
  <c r="Q268" i="28"/>
  <c r="F268" i="28"/>
  <c r="AX266" i="4"/>
  <c r="G289" i="29"/>
  <c r="Z266" i="28"/>
  <c r="AD268" i="28"/>
  <c r="AE268" i="28"/>
  <c r="A871" i="28"/>
  <c r="N274" i="29" l="1"/>
  <c r="O274" i="29" s="1"/>
  <c r="L274" i="29"/>
  <c r="J275" i="29"/>
  <c r="K276" i="29"/>
  <c r="E276" i="29"/>
  <c r="M276" i="29"/>
  <c r="V278" i="29"/>
  <c r="B277" i="29"/>
  <c r="T269" i="28"/>
  <c r="W269" i="28"/>
  <c r="E269" i="28"/>
  <c r="M269" i="28"/>
  <c r="L269" i="28"/>
  <c r="AL266" i="4"/>
  <c r="AG267" i="4"/>
  <c r="AL267" i="4" s="1"/>
  <c r="J268" i="28"/>
  <c r="Y268" i="28" s="1"/>
  <c r="I268" i="28"/>
  <c r="K268" i="28" s="1"/>
  <c r="N268" i="28" s="1"/>
  <c r="AC271" i="28"/>
  <c r="B270" i="28"/>
  <c r="F269" i="28"/>
  <c r="S269" i="28"/>
  <c r="Q269" i="28"/>
  <c r="R269" i="28"/>
  <c r="U268" i="4"/>
  <c r="Y268" i="4"/>
  <c r="AD268" i="4" s="1"/>
  <c r="T268" i="4"/>
  <c r="V268" i="4"/>
  <c r="AW268" i="4" s="1"/>
  <c r="S268" i="4"/>
  <c r="X268" i="4"/>
  <c r="AC268" i="4" s="1"/>
  <c r="R268" i="4"/>
  <c r="Z268" i="4" s="1"/>
  <c r="W268" i="4"/>
  <c r="AB268" i="4" s="1"/>
  <c r="BE269" i="4"/>
  <c r="BD269" i="4"/>
  <c r="AP269" i="4"/>
  <c r="I269" i="4"/>
  <c r="H269" i="4"/>
  <c r="M269" i="4"/>
  <c r="AR269" i="4"/>
  <c r="AS269" i="4"/>
  <c r="L269" i="4"/>
  <c r="AT269" i="4"/>
  <c r="E269" i="4"/>
  <c r="AO269" i="4"/>
  <c r="AQ269" i="4"/>
  <c r="G269" i="4"/>
  <c r="J269" i="4"/>
  <c r="N269" i="4"/>
  <c r="AF269" i="4"/>
  <c r="O268" i="28"/>
  <c r="AE269" i="28"/>
  <c r="AD269" i="28"/>
  <c r="Z267" i="28"/>
  <c r="AX267" i="4"/>
  <c r="AH266" i="4"/>
  <c r="U267" i="28"/>
  <c r="V267" i="28" s="1"/>
  <c r="X267" i="28" s="1"/>
  <c r="P267" i="28"/>
  <c r="AM268" i="4"/>
  <c r="B270" i="4"/>
  <c r="BC271" i="4"/>
  <c r="A872" i="28"/>
  <c r="AH267" i="4" l="1"/>
  <c r="E277" i="29"/>
  <c r="K277" i="29"/>
  <c r="M277" i="29"/>
  <c r="V279" i="29"/>
  <c r="B278" i="29"/>
  <c r="N275" i="29"/>
  <c r="O275" i="29" s="1"/>
  <c r="L275" i="29"/>
  <c r="H276" i="29"/>
  <c r="J276" i="29" s="1"/>
  <c r="T270" i="28"/>
  <c r="W270" i="28"/>
  <c r="E270" i="28"/>
  <c r="M270" i="28"/>
  <c r="L270" i="28"/>
  <c r="AA268" i="4"/>
  <c r="AX268" i="4" s="1"/>
  <c r="AU266" i="4"/>
  <c r="AV266" i="4" s="1"/>
  <c r="AN266" i="4"/>
  <c r="AM269" i="4"/>
  <c r="AD270" i="28"/>
  <c r="AE270" i="28"/>
  <c r="Z268" i="28"/>
  <c r="BC272" i="4"/>
  <c r="B271" i="4"/>
  <c r="BE270" i="4"/>
  <c r="BD270" i="4"/>
  <c r="J269" i="28"/>
  <c r="Y269" i="28" s="1"/>
  <c r="I269" i="28"/>
  <c r="K269" i="28" s="1"/>
  <c r="N269" i="28" s="1"/>
  <c r="AQ270" i="4"/>
  <c r="AP270" i="4"/>
  <c r="L270" i="4"/>
  <c r="AS270" i="4"/>
  <c r="E270" i="4"/>
  <c r="AT270" i="4"/>
  <c r="AF270" i="4"/>
  <c r="AR270" i="4"/>
  <c r="J270" i="4"/>
  <c r="M270" i="4"/>
  <c r="N270" i="4"/>
  <c r="AO270" i="4"/>
  <c r="H270" i="4"/>
  <c r="I270" i="4"/>
  <c r="G270" i="4"/>
  <c r="V269" i="4"/>
  <c r="AW269" i="4" s="1"/>
  <c r="X269" i="4"/>
  <c r="AC269" i="4" s="1"/>
  <c r="R269" i="4"/>
  <c r="Z269" i="4" s="1"/>
  <c r="U269" i="4"/>
  <c r="W269" i="4"/>
  <c r="AB269" i="4" s="1"/>
  <c r="T269" i="4"/>
  <c r="S269" i="4"/>
  <c r="Y269" i="4"/>
  <c r="AD269" i="4" s="1"/>
  <c r="AG268" i="4"/>
  <c r="AU267" i="4"/>
  <c r="AV267" i="4" s="1"/>
  <c r="AN267" i="4"/>
  <c r="O269" i="28"/>
  <c r="R270" i="28"/>
  <c r="S270" i="28"/>
  <c r="Q270" i="28"/>
  <c r="F270" i="28"/>
  <c r="B271" i="28"/>
  <c r="AC272" i="28"/>
  <c r="P268" i="28"/>
  <c r="U268" i="28"/>
  <c r="V268" i="28" s="1"/>
  <c r="X268" i="28" s="1"/>
  <c r="A873" i="28"/>
  <c r="L276" i="29" l="1"/>
  <c r="N276" i="29"/>
  <c r="O276" i="29" s="1"/>
  <c r="M278" i="29"/>
  <c r="K278" i="29"/>
  <c r="E278" i="29"/>
  <c r="H278" i="29" s="1"/>
  <c r="V280" i="29"/>
  <c r="B279" i="29"/>
  <c r="H277" i="29"/>
  <c r="J277" i="29" s="1"/>
  <c r="T271" i="28"/>
  <c r="W271" i="28"/>
  <c r="E271" i="28"/>
  <c r="AA269" i="4"/>
  <c r="AX269" i="4" s="1"/>
  <c r="M271" i="28"/>
  <c r="L271" i="28"/>
  <c r="O270" i="28"/>
  <c r="AL268" i="4"/>
  <c r="AE271" i="28"/>
  <c r="AD271" i="28"/>
  <c r="AH268" i="4"/>
  <c r="AG269" i="4"/>
  <c r="P269" i="28"/>
  <c r="U269" i="28"/>
  <c r="V269" i="28" s="1"/>
  <c r="X269" i="28" s="1"/>
  <c r="B272" i="4"/>
  <c r="BC273" i="4"/>
  <c r="BD271" i="4"/>
  <c r="BE271" i="4"/>
  <c r="B272" i="28"/>
  <c r="AC273" i="28"/>
  <c r="R271" i="28"/>
  <c r="S271" i="28"/>
  <c r="Q271" i="28"/>
  <c r="F271" i="28"/>
  <c r="Z269" i="28"/>
  <c r="AM270" i="4"/>
  <c r="U270" i="4"/>
  <c r="S270" i="4"/>
  <c r="AA270" i="4" s="1"/>
  <c r="X270" i="4"/>
  <c r="AC270" i="4" s="1"/>
  <c r="W270" i="4"/>
  <c r="AB270" i="4" s="1"/>
  <c r="T270" i="4"/>
  <c r="R270" i="4"/>
  <c r="Z270" i="4" s="1"/>
  <c r="V270" i="4"/>
  <c r="AW270" i="4" s="1"/>
  <c r="Y270" i="4"/>
  <c r="AD270" i="4" s="1"/>
  <c r="G271" i="4"/>
  <c r="M271" i="4"/>
  <c r="E271" i="4"/>
  <c r="AR271" i="4"/>
  <c r="AT271" i="4"/>
  <c r="J271" i="4"/>
  <c r="N271" i="4"/>
  <c r="AQ271" i="4"/>
  <c r="AS271" i="4"/>
  <c r="I271" i="4"/>
  <c r="AP271" i="4"/>
  <c r="AO271" i="4"/>
  <c r="H271" i="4"/>
  <c r="L271" i="4"/>
  <c r="AF271" i="4"/>
  <c r="I270" i="28"/>
  <c r="K270" i="28" s="1"/>
  <c r="N270" i="28" s="1"/>
  <c r="J270" i="28"/>
  <c r="Y270" i="28" s="1"/>
  <c r="A874" i="28"/>
  <c r="J278" i="29" l="1"/>
  <c r="N278" i="29" s="1"/>
  <c r="O278" i="29" s="1"/>
  <c r="M279" i="29"/>
  <c r="E279" i="29"/>
  <c r="K279" i="29"/>
  <c r="V281" i="29"/>
  <c r="B280" i="29"/>
  <c r="N277" i="29"/>
  <c r="O277" i="29" s="1"/>
  <c r="L277" i="29"/>
  <c r="T272" i="28"/>
  <c r="W272" i="28"/>
  <c r="E272" i="28"/>
  <c r="Z270" i="28"/>
  <c r="M272" i="28"/>
  <c r="L272" i="28"/>
  <c r="AU268" i="4"/>
  <c r="AV268" i="4" s="1"/>
  <c r="AL269" i="4"/>
  <c r="AN268" i="4"/>
  <c r="AH269" i="4"/>
  <c r="AM271" i="4"/>
  <c r="AC274" i="28"/>
  <c r="B273" i="28"/>
  <c r="AD272" i="28"/>
  <c r="AE272" i="28"/>
  <c r="J272" i="4"/>
  <c r="AO272" i="4"/>
  <c r="E272" i="4"/>
  <c r="F272" i="4" s="1"/>
  <c r="H272" i="4"/>
  <c r="AQ272" i="4"/>
  <c r="AR272" i="4"/>
  <c r="N272" i="4"/>
  <c r="M272" i="4"/>
  <c r="AT272" i="4"/>
  <c r="AP272" i="4"/>
  <c r="AS272" i="4"/>
  <c r="G272" i="4"/>
  <c r="I272" i="4"/>
  <c r="L272" i="4"/>
  <c r="AF272" i="4"/>
  <c r="J271" i="28"/>
  <c r="Y271" i="28" s="1"/>
  <c r="I271" i="28"/>
  <c r="K271" i="28" s="1"/>
  <c r="N271" i="28" s="1"/>
  <c r="P270" i="28"/>
  <c r="U270" i="28"/>
  <c r="V270" i="28" s="1"/>
  <c r="X270" i="28" s="1"/>
  <c r="AG270" i="4"/>
  <c r="AX270" i="4"/>
  <c r="O271" i="28"/>
  <c r="R272" i="28"/>
  <c r="Q272" i="28"/>
  <c r="F272" i="28"/>
  <c r="S272" i="28"/>
  <c r="T271" i="4"/>
  <c r="R271" i="4"/>
  <c r="Z271" i="4" s="1"/>
  <c r="W271" i="4"/>
  <c r="AB271" i="4" s="1"/>
  <c r="X271" i="4"/>
  <c r="AC271" i="4" s="1"/>
  <c r="Y271" i="4"/>
  <c r="AD271" i="4" s="1"/>
  <c r="V271" i="4"/>
  <c r="AW271" i="4" s="1"/>
  <c r="S271" i="4"/>
  <c r="AA271" i="4" s="1"/>
  <c r="U271" i="4"/>
  <c r="BE272" i="4"/>
  <c r="BD272" i="4"/>
  <c r="BC274" i="4"/>
  <c r="B273" i="4"/>
  <c r="A875" i="28"/>
  <c r="L278" i="29" l="1"/>
  <c r="H279" i="29"/>
  <c r="J279" i="29" s="1"/>
  <c r="M280" i="29"/>
  <c r="E280" i="29"/>
  <c r="K280" i="29"/>
  <c r="V282" i="29"/>
  <c r="B281" i="29"/>
  <c r="T273" i="28"/>
  <c r="W273" i="28"/>
  <c r="E273" i="28"/>
  <c r="L273" i="28"/>
  <c r="M273" i="28"/>
  <c r="O272" i="28"/>
  <c r="AU269" i="4"/>
  <c r="AV269" i="4" s="1"/>
  <c r="AL270" i="4"/>
  <c r="AN269" i="4"/>
  <c r="AH270" i="4"/>
  <c r="BD273" i="4"/>
  <c r="BE273" i="4"/>
  <c r="AO273" i="4"/>
  <c r="M273" i="4"/>
  <c r="AS273" i="4"/>
  <c r="AQ273" i="4"/>
  <c r="AP273" i="4"/>
  <c r="AT273" i="4"/>
  <c r="N273" i="4"/>
  <c r="G273" i="4"/>
  <c r="J273" i="4"/>
  <c r="H273" i="4"/>
  <c r="AR273" i="4"/>
  <c r="I273" i="4"/>
  <c r="E273" i="4"/>
  <c r="L273" i="4"/>
  <c r="AF273" i="4"/>
  <c r="AX271" i="4"/>
  <c r="AG271" i="4"/>
  <c r="Z271" i="28"/>
  <c r="U271" i="28"/>
  <c r="V271" i="28" s="1"/>
  <c r="X271" i="28" s="1"/>
  <c r="P271" i="28"/>
  <c r="AM272" i="4"/>
  <c r="S273" i="28"/>
  <c r="F273" i="28"/>
  <c r="Q273" i="28"/>
  <c r="R273" i="28"/>
  <c r="B274" i="28"/>
  <c r="AC275" i="28"/>
  <c r="B274" i="4"/>
  <c r="BC275" i="4"/>
  <c r="R272" i="4"/>
  <c r="Z272" i="4" s="1"/>
  <c r="U272" i="4"/>
  <c r="X272" i="4"/>
  <c r="AC272" i="4" s="1"/>
  <c r="W272" i="4"/>
  <c r="AB272" i="4" s="1"/>
  <c r="S272" i="4"/>
  <c r="AA272" i="4" s="1"/>
  <c r="T272" i="4"/>
  <c r="Y272" i="4"/>
  <c r="AD272" i="4" s="1"/>
  <c r="V272" i="4"/>
  <c r="AW272" i="4" s="1"/>
  <c r="J272" i="28"/>
  <c r="Y272" i="28" s="1"/>
  <c r="I272" i="28"/>
  <c r="K272" i="28" s="1"/>
  <c r="N272" i="28" s="1"/>
  <c r="AE273" i="28"/>
  <c r="AD273" i="28"/>
  <c r="A876" i="28"/>
  <c r="V283" i="29" l="1"/>
  <c r="B282" i="29"/>
  <c r="H280" i="29"/>
  <c r="J280" i="29" s="1"/>
  <c r="E281" i="29"/>
  <c r="M281" i="29"/>
  <c r="K281" i="29"/>
  <c r="L279" i="29"/>
  <c r="N279" i="29"/>
  <c r="O279" i="29" s="1"/>
  <c r="T274" i="28"/>
  <c r="W274" i="28"/>
  <c r="E274" i="28"/>
  <c r="Z272" i="28"/>
  <c r="M274" i="28"/>
  <c r="L274" i="28"/>
  <c r="AN270" i="4"/>
  <c r="AU270" i="4"/>
  <c r="AV270" i="4" s="1"/>
  <c r="AH271" i="4"/>
  <c r="BC276" i="4"/>
  <c r="B275" i="4"/>
  <c r="Q274" i="28"/>
  <c r="F274" i="28"/>
  <c r="S274" i="28"/>
  <c r="R274" i="28"/>
  <c r="J273" i="28"/>
  <c r="Y273" i="28" s="1"/>
  <c r="I273" i="28"/>
  <c r="K273" i="28" s="1"/>
  <c r="N273" i="28" s="1"/>
  <c r="U272" i="28"/>
  <c r="V272" i="28" s="1"/>
  <c r="X272" i="28" s="1"/>
  <c r="P272" i="28"/>
  <c r="AL271" i="4"/>
  <c r="AG272" i="4"/>
  <c r="AX272" i="4"/>
  <c r="L274" i="4"/>
  <c r="M274" i="4"/>
  <c r="I274" i="4"/>
  <c r="AP274" i="4"/>
  <c r="AR274" i="4"/>
  <c r="G274" i="4"/>
  <c r="AS274" i="4"/>
  <c r="AF274" i="4"/>
  <c r="E274" i="4"/>
  <c r="J274" i="4"/>
  <c r="N274" i="4"/>
  <c r="AT274" i="4"/>
  <c r="AO274" i="4"/>
  <c r="H274" i="4"/>
  <c r="AQ274" i="4"/>
  <c r="BD274" i="4"/>
  <c r="BE274" i="4"/>
  <c r="AC276" i="28"/>
  <c r="B275" i="28"/>
  <c r="AE274" i="28"/>
  <c r="AD274" i="28"/>
  <c r="O273" i="28"/>
  <c r="V273" i="4"/>
  <c r="AW273" i="4" s="1"/>
  <c r="X273" i="4"/>
  <c r="AC273" i="4" s="1"/>
  <c r="R273" i="4"/>
  <c r="Z273" i="4" s="1"/>
  <c r="T273" i="4"/>
  <c r="Y273" i="4"/>
  <c r="AD273" i="4" s="1"/>
  <c r="W273" i="4"/>
  <c r="AB273" i="4" s="1"/>
  <c r="S273" i="4"/>
  <c r="AA273" i="4" s="1"/>
  <c r="U273" i="4"/>
  <c r="AM273" i="4"/>
  <c r="A877" i="28"/>
  <c r="H281" i="29" l="1"/>
  <c r="J281" i="29" s="1"/>
  <c r="E282" i="29"/>
  <c r="K282" i="29"/>
  <c r="M282" i="29"/>
  <c r="V284" i="29"/>
  <c r="B283" i="29"/>
  <c r="L280" i="29"/>
  <c r="N280" i="29"/>
  <c r="O280" i="29" s="1"/>
  <c r="T275" i="28"/>
  <c r="W275" i="28"/>
  <c r="E275" i="28"/>
  <c r="M275" i="28"/>
  <c r="L275" i="28"/>
  <c r="AH272" i="4"/>
  <c r="AX273" i="4"/>
  <c r="AL272" i="4"/>
  <c r="U273" i="28"/>
  <c r="V273" i="28" s="1"/>
  <c r="X273" i="28" s="1"/>
  <c r="P273" i="28"/>
  <c r="AS275" i="4"/>
  <c r="E275" i="4"/>
  <c r="M275" i="4"/>
  <c r="AP275" i="4"/>
  <c r="H275" i="4"/>
  <c r="AO275" i="4"/>
  <c r="L275" i="4"/>
  <c r="AR275" i="4"/>
  <c r="AQ275" i="4"/>
  <c r="N275" i="4"/>
  <c r="J275" i="4"/>
  <c r="I275" i="4"/>
  <c r="AT275" i="4"/>
  <c r="G275" i="4"/>
  <c r="AF275" i="4"/>
  <c r="AG273" i="4"/>
  <c r="Z273" i="28"/>
  <c r="J274" i="28"/>
  <c r="Y274" i="28" s="1"/>
  <c r="I274" i="28"/>
  <c r="K274" i="28" s="1"/>
  <c r="N274" i="28" s="1"/>
  <c r="S275" i="28"/>
  <c r="Q275" i="28"/>
  <c r="F275" i="28"/>
  <c r="R275" i="28"/>
  <c r="AD275" i="28"/>
  <c r="AE275" i="28"/>
  <c r="B276" i="28"/>
  <c r="AC277" i="28"/>
  <c r="R274" i="4"/>
  <c r="Z274" i="4" s="1"/>
  <c r="V274" i="4"/>
  <c r="AW274" i="4" s="1"/>
  <c r="U274" i="4"/>
  <c r="W274" i="4"/>
  <c r="AB274" i="4" s="1"/>
  <c r="T274" i="4"/>
  <c r="X274" i="4"/>
  <c r="AC274" i="4" s="1"/>
  <c r="S274" i="4"/>
  <c r="AA274" i="4" s="1"/>
  <c r="Y274" i="4"/>
  <c r="AD274" i="4" s="1"/>
  <c r="AM274" i="4"/>
  <c r="AU271" i="4"/>
  <c r="AV271" i="4" s="1"/>
  <c r="AN271" i="4"/>
  <c r="O274" i="28"/>
  <c r="BE275" i="4"/>
  <c r="BD275" i="4"/>
  <c r="B276" i="4"/>
  <c r="BC277" i="4"/>
  <c r="A878" i="28"/>
  <c r="V285" i="29" l="1"/>
  <c r="B284" i="29"/>
  <c r="H282" i="29"/>
  <c r="J282" i="29" s="1"/>
  <c r="K283" i="29"/>
  <c r="M283" i="29"/>
  <c r="E283" i="29"/>
  <c r="H283" i="29" s="1"/>
  <c r="N281" i="29"/>
  <c r="O281" i="29" s="1"/>
  <c r="L281" i="29"/>
  <c r="T276" i="28"/>
  <c r="W276" i="28"/>
  <c r="E276" i="28"/>
  <c r="M276" i="28"/>
  <c r="L276" i="28"/>
  <c r="AM275" i="4"/>
  <c r="AH273" i="4"/>
  <c r="AX274" i="4"/>
  <c r="AL273" i="4"/>
  <c r="AU273" i="4" s="1"/>
  <c r="AV273" i="4" s="1"/>
  <c r="BC278" i="4"/>
  <c r="B277" i="4"/>
  <c r="M276" i="4"/>
  <c r="L276" i="4"/>
  <c r="AP276" i="4"/>
  <c r="E276" i="4"/>
  <c r="F276" i="4" s="1"/>
  <c r="AQ276" i="4"/>
  <c r="AS276" i="4"/>
  <c r="J276" i="4"/>
  <c r="AT276" i="4"/>
  <c r="N276" i="4"/>
  <c r="AR276" i="4"/>
  <c r="H276" i="4"/>
  <c r="G276" i="4"/>
  <c r="I276" i="4"/>
  <c r="AF276" i="4"/>
  <c r="AO276" i="4"/>
  <c r="V275" i="4"/>
  <c r="AW275" i="4" s="1"/>
  <c r="U275" i="4"/>
  <c r="T275" i="4"/>
  <c r="R275" i="4"/>
  <c r="Z275" i="4" s="1"/>
  <c r="X275" i="4"/>
  <c r="AC275" i="4" s="1"/>
  <c r="S275" i="4"/>
  <c r="AA275" i="4" s="1"/>
  <c r="Y275" i="4"/>
  <c r="AD275" i="4" s="1"/>
  <c r="W275" i="4"/>
  <c r="AB275" i="4" s="1"/>
  <c r="Z274" i="28"/>
  <c r="S276" i="28"/>
  <c r="F276" i="28"/>
  <c r="Q276" i="28"/>
  <c r="R276" i="28"/>
  <c r="J275" i="28"/>
  <c r="Y275" i="28" s="1"/>
  <c r="I275" i="28"/>
  <c r="K275" i="28" s="1"/>
  <c r="N275" i="28" s="1"/>
  <c r="BE276" i="4"/>
  <c r="BD276" i="4"/>
  <c r="AG274" i="4"/>
  <c r="B277" i="28"/>
  <c r="AC278" i="28"/>
  <c r="AE276" i="28"/>
  <c r="AD276" i="28"/>
  <c r="O275" i="28"/>
  <c r="P274" i="28"/>
  <c r="U274" i="28"/>
  <c r="V274" i="28" s="1"/>
  <c r="X274" i="28" s="1"/>
  <c r="AN272" i="4"/>
  <c r="AU272" i="4"/>
  <c r="AV272" i="4" s="1"/>
  <c r="A879" i="28"/>
  <c r="J283" i="29" l="1"/>
  <c r="L283" i="29" s="1"/>
  <c r="L282" i="29"/>
  <c r="N282" i="29"/>
  <c r="O282" i="29" s="1"/>
  <c r="M284" i="29"/>
  <c r="K284" i="29"/>
  <c r="E284" i="29"/>
  <c r="H284" i="29" s="1"/>
  <c r="V286" i="29"/>
  <c r="B285" i="29"/>
  <c r="T277" i="28"/>
  <c r="W277" i="28"/>
  <c r="E277" i="28"/>
  <c r="M277" i="28"/>
  <c r="L277" i="28"/>
  <c r="AN273" i="4"/>
  <c r="AH274" i="4"/>
  <c r="AL274" i="4"/>
  <c r="AU274" i="4" s="1"/>
  <c r="AV274" i="4" s="1"/>
  <c r="O276" i="28"/>
  <c r="AG275" i="4"/>
  <c r="AM276" i="4"/>
  <c r="G277" i="4"/>
  <c r="AF277" i="4"/>
  <c r="I277" i="4"/>
  <c r="J277" i="4"/>
  <c r="E277" i="4"/>
  <c r="AO277" i="4"/>
  <c r="AS277" i="4"/>
  <c r="L277" i="4"/>
  <c r="AP277" i="4"/>
  <c r="M277" i="4"/>
  <c r="AR277" i="4"/>
  <c r="AQ277" i="4"/>
  <c r="H277" i="4"/>
  <c r="N277" i="4"/>
  <c r="AT277" i="4"/>
  <c r="AD277" i="28"/>
  <c r="AE277" i="28"/>
  <c r="Z275" i="28"/>
  <c r="I276" i="28"/>
  <c r="K276" i="28" s="1"/>
  <c r="N276" i="28" s="1"/>
  <c r="J276" i="28"/>
  <c r="Y276" i="28" s="1"/>
  <c r="B278" i="28"/>
  <c r="AC279" i="28"/>
  <c r="S277" i="28"/>
  <c r="Q277" i="28"/>
  <c r="F277" i="28"/>
  <c r="R277" i="28"/>
  <c r="X276" i="4"/>
  <c r="AC276" i="4" s="1"/>
  <c r="U276" i="4"/>
  <c r="W276" i="4"/>
  <c r="AB276" i="4" s="1"/>
  <c r="R276" i="4"/>
  <c r="Z276" i="4" s="1"/>
  <c r="S276" i="4"/>
  <c r="AA276" i="4" s="1"/>
  <c r="Y276" i="4"/>
  <c r="AD276" i="4" s="1"/>
  <c r="V276" i="4"/>
  <c r="AW276" i="4" s="1"/>
  <c r="T276" i="4"/>
  <c r="P275" i="28"/>
  <c r="U275" i="28"/>
  <c r="V275" i="28" s="1"/>
  <c r="X275" i="28" s="1"/>
  <c r="AX275" i="4"/>
  <c r="BE277" i="4"/>
  <c r="BD277" i="4"/>
  <c r="B278" i="4"/>
  <c r="BC279" i="4"/>
  <c r="N283" i="29" l="1"/>
  <c r="O283" i="29" s="1"/>
  <c r="J284" i="29"/>
  <c r="N284" i="29" s="1"/>
  <c r="O284" i="29" s="1"/>
  <c r="E285" i="29"/>
  <c r="M285" i="29"/>
  <c r="K285" i="29"/>
  <c r="V287" i="29"/>
  <c r="B286" i="29"/>
  <c r="T278" i="28"/>
  <c r="W278" i="28"/>
  <c r="E278" i="28"/>
  <c r="L278" i="28"/>
  <c r="M278" i="28"/>
  <c r="AH275" i="4"/>
  <c r="AM277" i="4"/>
  <c r="AN274" i="4"/>
  <c r="AG276" i="4"/>
  <c r="AH276" i="4" s="1"/>
  <c r="AQ278" i="4"/>
  <c r="H278" i="4"/>
  <c r="AT278" i="4"/>
  <c r="AR278" i="4"/>
  <c r="M278" i="4"/>
  <c r="L278" i="4"/>
  <c r="AO278" i="4"/>
  <c r="AS278" i="4"/>
  <c r="E278" i="4"/>
  <c r="G278" i="4"/>
  <c r="J278" i="4"/>
  <c r="N278" i="4"/>
  <c r="AF278" i="4"/>
  <c r="AP278" i="4"/>
  <c r="I278" i="4"/>
  <c r="AL276" i="4"/>
  <c r="O277" i="28"/>
  <c r="B279" i="28"/>
  <c r="AC280" i="28"/>
  <c r="AD278" i="28"/>
  <c r="AE278" i="28"/>
  <c r="P276" i="28"/>
  <c r="U276" i="28"/>
  <c r="V276" i="28" s="1"/>
  <c r="X276" i="28" s="1"/>
  <c r="B279" i="4"/>
  <c r="BC280" i="4"/>
  <c r="BD278" i="4"/>
  <c r="BE278" i="4"/>
  <c r="Y277" i="4"/>
  <c r="AD277" i="4" s="1"/>
  <c r="V277" i="4"/>
  <c r="AW277" i="4" s="1"/>
  <c r="U277" i="4"/>
  <c r="T277" i="4"/>
  <c r="X277" i="4"/>
  <c r="AC277" i="4" s="1"/>
  <c r="W277" i="4"/>
  <c r="AB277" i="4" s="1"/>
  <c r="S277" i="4"/>
  <c r="AA277" i="4" s="1"/>
  <c r="R277" i="4"/>
  <c r="Z277" i="4" s="1"/>
  <c r="AX276" i="4"/>
  <c r="F278" i="28"/>
  <c r="S278" i="28"/>
  <c r="Q278" i="28"/>
  <c r="R278" i="28"/>
  <c r="I277" i="28"/>
  <c r="K277" i="28" s="1"/>
  <c r="N277" i="28" s="1"/>
  <c r="J277" i="28"/>
  <c r="Y277" i="28" s="1"/>
  <c r="AL275" i="4"/>
  <c r="Z276" i="28"/>
  <c r="L284" i="29" l="1"/>
  <c r="H285" i="29"/>
  <c r="J285" i="29" s="1"/>
  <c r="K286" i="29"/>
  <c r="E286" i="29"/>
  <c r="M286" i="29"/>
  <c r="V288" i="29"/>
  <c r="B287" i="29"/>
  <c r="T279" i="28"/>
  <c r="W279" i="28"/>
  <c r="E279" i="28"/>
  <c r="M279" i="28"/>
  <c r="L279" i="28"/>
  <c r="O278" i="28"/>
  <c r="AX277" i="4"/>
  <c r="AG277" i="4"/>
  <c r="AH277" i="4" s="1"/>
  <c r="W278" i="4"/>
  <c r="AB278" i="4" s="1"/>
  <c r="Y278" i="4"/>
  <c r="AD278" i="4" s="1"/>
  <c r="U278" i="4"/>
  <c r="T278" i="4"/>
  <c r="X278" i="4"/>
  <c r="AC278" i="4" s="1"/>
  <c r="V278" i="4"/>
  <c r="AW278" i="4" s="1"/>
  <c r="R278" i="4"/>
  <c r="Z278" i="4" s="1"/>
  <c r="S278" i="4"/>
  <c r="AA278" i="4" s="1"/>
  <c r="B280" i="4"/>
  <c r="BC281" i="4"/>
  <c r="AR279" i="4"/>
  <c r="E279" i="4"/>
  <c r="G279" i="4"/>
  <c r="AS279" i="4"/>
  <c r="H279" i="4"/>
  <c r="M279" i="4"/>
  <c r="L279" i="4"/>
  <c r="I279" i="4"/>
  <c r="AO279" i="4"/>
  <c r="AQ279" i="4"/>
  <c r="J279" i="4"/>
  <c r="AF279" i="4"/>
  <c r="AT279" i="4"/>
  <c r="AP279" i="4"/>
  <c r="N279" i="4"/>
  <c r="J278" i="28"/>
  <c r="Y278" i="28" s="1"/>
  <c r="I278" i="28"/>
  <c r="K278" i="28" s="1"/>
  <c r="N278" i="28" s="1"/>
  <c r="AE279" i="28"/>
  <c r="AD279" i="28"/>
  <c r="Z277" i="28"/>
  <c r="AM278" i="4"/>
  <c r="AN275" i="4"/>
  <c r="AU275" i="4"/>
  <c r="AV275" i="4" s="1"/>
  <c r="U277" i="28"/>
  <c r="V277" i="28" s="1"/>
  <c r="X277" i="28" s="1"/>
  <c r="P277" i="28"/>
  <c r="BE279" i="4"/>
  <c r="BD279" i="4"/>
  <c r="B280" i="28"/>
  <c r="AC281" i="28"/>
  <c r="R279" i="28"/>
  <c r="F279" i="28"/>
  <c r="Q279" i="28"/>
  <c r="S279" i="28"/>
  <c r="AN276" i="4"/>
  <c r="AU276" i="4"/>
  <c r="AV276" i="4" s="1"/>
  <c r="Z278" i="28" l="1"/>
  <c r="V289" i="29"/>
  <c r="B289" i="29" s="1"/>
  <c r="B288" i="29"/>
  <c r="H286" i="29"/>
  <c r="J286" i="29" s="1"/>
  <c r="M287" i="29"/>
  <c r="E287" i="29"/>
  <c r="K287" i="29"/>
  <c r="N285" i="29"/>
  <c r="O285" i="29" s="1"/>
  <c r="L285" i="29"/>
  <c r="T280" i="28"/>
  <c r="W280" i="28"/>
  <c r="E280" i="28"/>
  <c r="M280" i="28"/>
  <c r="L280" i="28"/>
  <c r="O279" i="28"/>
  <c r="AL277" i="4"/>
  <c r="AU277" i="4" s="1"/>
  <c r="AV277" i="4" s="1"/>
  <c r="AX278" i="4"/>
  <c r="AE280" i="28"/>
  <c r="AD280" i="28"/>
  <c r="J279" i="28"/>
  <c r="Y279" i="28" s="1"/>
  <c r="I279" i="28"/>
  <c r="K279" i="28" s="1"/>
  <c r="N279" i="28" s="1"/>
  <c r="U278" i="28"/>
  <c r="V278" i="28" s="1"/>
  <c r="X278" i="28" s="1"/>
  <c r="P278" i="28"/>
  <c r="G280" i="4"/>
  <c r="AT280" i="4"/>
  <c r="J280" i="4"/>
  <c r="I280" i="4"/>
  <c r="L280" i="4"/>
  <c r="M280" i="4"/>
  <c r="AR280" i="4"/>
  <c r="AS280" i="4"/>
  <c r="E280" i="4"/>
  <c r="AP280" i="4"/>
  <c r="AO280" i="4"/>
  <c r="AF280" i="4"/>
  <c r="N280" i="4"/>
  <c r="AQ280" i="4"/>
  <c r="H280" i="4"/>
  <c r="AG278" i="4"/>
  <c r="B281" i="28"/>
  <c r="AC282" i="28"/>
  <c r="R280" i="28"/>
  <c r="F280" i="28"/>
  <c r="S280" i="28"/>
  <c r="Q280" i="28"/>
  <c r="W279" i="4"/>
  <c r="AB279" i="4" s="1"/>
  <c r="S279" i="4"/>
  <c r="AA279" i="4" s="1"/>
  <c r="R279" i="4"/>
  <c r="Z279" i="4" s="1"/>
  <c r="X279" i="4"/>
  <c r="AC279" i="4" s="1"/>
  <c r="V279" i="4"/>
  <c r="AW279" i="4" s="1"/>
  <c r="U279" i="4"/>
  <c r="T279" i="4"/>
  <c r="Y279" i="4"/>
  <c r="AD279" i="4" s="1"/>
  <c r="AM279" i="4"/>
  <c r="B281" i="4"/>
  <c r="BC282" i="4"/>
  <c r="BE280" i="4"/>
  <c r="BD280" i="4"/>
  <c r="N286" i="29" l="1"/>
  <c r="O286" i="29" s="1"/>
  <c r="L286" i="29"/>
  <c r="H287" i="29"/>
  <c r="J287" i="29" s="1"/>
  <c r="E288" i="29"/>
  <c r="K288" i="29"/>
  <c r="I294" i="29"/>
  <c r="L884" i="28" s="1"/>
  <c r="M288" i="29"/>
  <c r="M289" i="29"/>
  <c r="E289" i="29"/>
  <c r="K289" i="29"/>
  <c r="T281" i="28"/>
  <c r="W281" i="28"/>
  <c r="E281" i="28"/>
  <c r="M281" i="28"/>
  <c r="L281" i="28"/>
  <c r="Z279" i="28"/>
  <c r="AN277" i="4"/>
  <c r="AH278" i="4"/>
  <c r="AG279" i="4"/>
  <c r="AX279" i="4"/>
  <c r="AL278" i="4"/>
  <c r="T280" i="4"/>
  <c r="R280" i="4"/>
  <c r="Z280" i="4" s="1"/>
  <c r="Y280" i="4"/>
  <c r="AD280" i="4" s="1"/>
  <c r="X280" i="4"/>
  <c r="AC280" i="4" s="1"/>
  <c r="S280" i="4"/>
  <c r="AA280" i="4" s="1"/>
  <c r="U280" i="4"/>
  <c r="V280" i="4"/>
  <c r="AW280" i="4" s="1"/>
  <c r="W280" i="4"/>
  <c r="AB280" i="4" s="1"/>
  <c r="BD281" i="4"/>
  <c r="BE281" i="4"/>
  <c r="BC283" i="4"/>
  <c r="B282" i="4"/>
  <c r="O280" i="28"/>
  <c r="AC283" i="28"/>
  <c r="B282" i="28"/>
  <c r="AE281" i="28"/>
  <c r="AD281" i="28"/>
  <c r="AM280" i="4"/>
  <c r="J280" i="28"/>
  <c r="Y280" i="28" s="1"/>
  <c r="I280" i="28"/>
  <c r="K280" i="28" s="1"/>
  <c r="N280" i="28" s="1"/>
  <c r="G281" i="4"/>
  <c r="AP281" i="4"/>
  <c r="AR281" i="4"/>
  <c r="AQ281" i="4"/>
  <c r="I281" i="4"/>
  <c r="AF281" i="4"/>
  <c r="L281" i="4"/>
  <c r="AO281" i="4"/>
  <c r="AS281" i="4"/>
  <c r="AT281" i="4"/>
  <c r="H281" i="4"/>
  <c r="J281" i="4"/>
  <c r="E281" i="4"/>
  <c r="M281" i="4"/>
  <c r="N281" i="4"/>
  <c r="R281" i="28"/>
  <c r="Q281" i="28"/>
  <c r="F281" i="28"/>
  <c r="S281" i="28"/>
  <c r="P279" i="28"/>
  <c r="U279" i="28"/>
  <c r="V279" i="28" s="1"/>
  <c r="X279" i="28" s="1"/>
  <c r="K297" i="29" l="1"/>
  <c r="M905" i="28" s="1"/>
  <c r="K298" i="29"/>
  <c r="M906" i="28" s="1"/>
  <c r="K299" i="29"/>
  <c r="M907" i="28" s="1"/>
  <c r="K300" i="29"/>
  <c r="M908" i="28" s="1"/>
  <c r="K301" i="29"/>
  <c r="M909" i="28" s="1"/>
  <c r="K302" i="29"/>
  <c r="M910" i="28" s="1"/>
  <c r="K303" i="29"/>
  <c r="M911" i="28" s="1"/>
  <c r="K304" i="29"/>
  <c r="M912" i="28" s="1"/>
  <c r="K305" i="29"/>
  <c r="M913" i="28" s="1"/>
  <c r="K306" i="29"/>
  <c r="M914" i="28" s="1"/>
  <c r="K307" i="29"/>
  <c r="M915" i="28" s="1"/>
  <c r="K308" i="29"/>
  <c r="M916" i="28" s="1"/>
  <c r="C89" i="27"/>
  <c r="C90" i="27"/>
  <c r="C91" i="27"/>
  <c r="C198" i="27"/>
  <c r="E198" i="27" s="1"/>
  <c r="C193" i="27"/>
  <c r="E193" i="27" s="1"/>
  <c r="C194" i="27"/>
  <c r="E194" i="27" s="1"/>
  <c r="I293" i="29"/>
  <c r="E91" i="27"/>
  <c r="H288" i="29"/>
  <c r="J288" i="29" s="1"/>
  <c r="H289" i="29"/>
  <c r="J289" i="29" s="1"/>
  <c r="L287" i="29"/>
  <c r="N287" i="29"/>
  <c r="O287" i="29" s="1"/>
  <c r="T282" i="28"/>
  <c r="W282" i="28"/>
  <c r="E282" i="28"/>
  <c r="M282" i="28"/>
  <c r="L282" i="28"/>
  <c r="AH279" i="4"/>
  <c r="AL279" i="4"/>
  <c r="AU279" i="4" s="1"/>
  <c r="AV279" i="4" s="1"/>
  <c r="AM281" i="4"/>
  <c r="AU278" i="4"/>
  <c r="AV278" i="4" s="1"/>
  <c r="AN278" i="4"/>
  <c r="P280" i="28"/>
  <c r="U280" i="28"/>
  <c r="V280" i="28" s="1"/>
  <c r="X280" i="28" s="1"/>
  <c r="J281" i="28"/>
  <c r="Y281" i="28" s="1"/>
  <c r="I281" i="28"/>
  <c r="K281" i="28" s="1"/>
  <c r="N281" i="28" s="1"/>
  <c r="R282" i="28"/>
  <c r="S282" i="28"/>
  <c r="F282" i="28"/>
  <c r="Q282" i="28"/>
  <c r="AE282" i="28"/>
  <c r="AD282" i="28"/>
  <c r="I282" i="4"/>
  <c r="N282" i="4"/>
  <c r="AF282" i="4"/>
  <c r="AO282" i="4"/>
  <c r="J282" i="4"/>
  <c r="AS282" i="4"/>
  <c r="E282" i="4"/>
  <c r="G282" i="4"/>
  <c r="AP282" i="4"/>
  <c r="M282" i="4"/>
  <c r="L282" i="4"/>
  <c r="AR282" i="4"/>
  <c r="AQ282" i="4"/>
  <c r="H282" i="4"/>
  <c r="AT282" i="4"/>
  <c r="BE282" i="4"/>
  <c r="BD282" i="4"/>
  <c r="R281" i="4"/>
  <c r="Z281" i="4" s="1"/>
  <c r="S281" i="4"/>
  <c r="AA281" i="4" s="1"/>
  <c r="V281" i="4"/>
  <c r="AW281" i="4" s="1"/>
  <c r="Y281" i="4"/>
  <c r="AD281" i="4" s="1"/>
  <c r="T281" i="4"/>
  <c r="U281" i="4"/>
  <c r="W281" i="4"/>
  <c r="AB281" i="4" s="1"/>
  <c r="X281" i="4"/>
  <c r="AC281" i="4" s="1"/>
  <c r="AX280" i="4"/>
  <c r="AG280" i="4"/>
  <c r="O281" i="28"/>
  <c r="AC284" i="28"/>
  <c r="B283" i="28"/>
  <c r="Z280" i="28"/>
  <c r="BC284" i="4"/>
  <c r="B283" i="4"/>
  <c r="N289" i="29" l="1"/>
  <c r="O289" i="29" s="1"/>
  <c r="E90" i="27"/>
  <c r="L887" i="28"/>
  <c r="E89" i="27"/>
  <c r="L289" i="29"/>
  <c r="L288" i="29"/>
  <c r="N288" i="29"/>
  <c r="O288" i="29" s="1"/>
  <c r="T283" i="28"/>
  <c r="W283" i="28"/>
  <c r="E283" i="28"/>
  <c r="M283" i="28"/>
  <c r="L283" i="28"/>
  <c r="O282" i="28"/>
  <c r="AN279" i="4"/>
  <c r="AM282" i="4"/>
  <c r="AL280" i="4"/>
  <c r="AN280" i="4" s="1"/>
  <c r="AX281" i="4"/>
  <c r="E283" i="4"/>
  <c r="AR283" i="4"/>
  <c r="J283" i="4"/>
  <c r="H283" i="4"/>
  <c r="AF283" i="4"/>
  <c r="AT283" i="4"/>
  <c r="L283" i="4"/>
  <c r="M283" i="4"/>
  <c r="AQ283" i="4"/>
  <c r="I283" i="4"/>
  <c r="AO283" i="4"/>
  <c r="AP283" i="4"/>
  <c r="G283" i="4"/>
  <c r="AS283" i="4"/>
  <c r="N283" i="4"/>
  <c r="BC285" i="4"/>
  <c r="B284" i="4"/>
  <c r="R283" i="28"/>
  <c r="S283" i="28"/>
  <c r="Q283" i="28"/>
  <c r="F283" i="28"/>
  <c r="AD283" i="28"/>
  <c r="AE283" i="28"/>
  <c r="AG281" i="4"/>
  <c r="T282" i="4"/>
  <c r="U282" i="4"/>
  <c r="Y282" i="4"/>
  <c r="AD282" i="4" s="1"/>
  <c r="X282" i="4"/>
  <c r="AC282" i="4" s="1"/>
  <c r="R282" i="4"/>
  <c r="Z282" i="4" s="1"/>
  <c r="S282" i="4"/>
  <c r="AA282" i="4" s="1"/>
  <c r="V282" i="4"/>
  <c r="AW282" i="4" s="1"/>
  <c r="W282" i="4"/>
  <c r="AB282" i="4" s="1"/>
  <c r="I282" i="28"/>
  <c r="K282" i="28" s="1"/>
  <c r="N282" i="28" s="1"/>
  <c r="J282" i="28"/>
  <c r="Y282" i="28" s="1"/>
  <c r="P281" i="28"/>
  <c r="U281" i="28"/>
  <c r="V281" i="28" s="1"/>
  <c r="X281" i="28" s="1"/>
  <c r="BE283" i="4"/>
  <c r="BD283" i="4"/>
  <c r="AC285" i="28"/>
  <c r="B284" i="28"/>
  <c r="Z281" i="28"/>
  <c r="AH280" i="4"/>
  <c r="Z282" i="28" l="1"/>
  <c r="T284" i="28"/>
  <c r="W284" i="28"/>
  <c r="E284" i="28"/>
  <c r="M284" i="28"/>
  <c r="L284" i="28"/>
  <c r="AH281" i="4"/>
  <c r="AU280" i="4"/>
  <c r="AV280" i="4" s="1"/>
  <c r="AX282" i="4"/>
  <c r="AL281" i="4"/>
  <c r="AU281" i="4" s="1"/>
  <c r="AV281" i="4" s="1"/>
  <c r="AD284" i="28"/>
  <c r="AE284" i="28"/>
  <c r="U282" i="28"/>
  <c r="V282" i="28" s="1"/>
  <c r="X282" i="28" s="1"/>
  <c r="P282" i="28"/>
  <c r="BE284" i="4"/>
  <c r="BD284" i="4"/>
  <c r="B285" i="4"/>
  <c r="BC286" i="4"/>
  <c r="S284" i="28"/>
  <c r="Q284" i="28"/>
  <c r="F284" i="28"/>
  <c r="R284" i="28"/>
  <c r="B285" i="28"/>
  <c r="AC286" i="28"/>
  <c r="U283" i="4"/>
  <c r="V283" i="4"/>
  <c r="AW283" i="4" s="1"/>
  <c r="R283" i="4"/>
  <c r="Z283" i="4" s="1"/>
  <c r="Y283" i="4"/>
  <c r="AD283" i="4" s="1"/>
  <c r="X283" i="4"/>
  <c r="AC283" i="4" s="1"/>
  <c r="T283" i="4"/>
  <c r="W283" i="4"/>
  <c r="AB283" i="4" s="1"/>
  <c r="S283" i="4"/>
  <c r="AA283" i="4" s="1"/>
  <c r="AG282" i="4"/>
  <c r="AH282" i="4" s="1"/>
  <c r="J283" i="28"/>
  <c r="Y283" i="28" s="1"/>
  <c r="I283" i="28"/>
  <c r="K283" i="28" s="1"/>
  <c r="N283" i="28" s="1"/>
  <c r="O283" i="28"/>
  <c r="H284" i="4"/>
  <c r="AP284" i="4"/>
  <c r="J284" i="4"/>
  <c r="AS284" i="4"/>
  <c r="M284" i="4"/>
  <c r="AF284" i="4"/>
  <c r="AR284" i="4"/>
  <c r="G284" i="4"/>
  <c r="E284" i="4"/>
  <c r="AT284" i="4"/>
  <c r="I284" i="4"/>
  <c r="N284" i="4"/>
  <c r="L284" i="4"/>
  <c r="AQ284" i="4"/>
  <c r="AO284" i="4"/>
  <c r="AM283" i="4"/>
  <c r="T285" i="28" l="1"/>
  <c r="W285" i="28"/>
  <c r="E285" i="28"/>
  <c r="M285" i="28"/>
  <c r="L285" i="28"/>
  <c r="AX283" i="4"/>
  <c r="AN281" i="4"/>
  <c r="AG283" i="4"/>
  <c r="AH283" i="4" s="1"/>
  <c r="Z283" i="28"/>
  <c r="AD285" i="28"/>
  <c r="AE285" i="28"/>
  <c r="O284" i="28"/>
  <c r="BD285" i="4"/>
  <c r="BE285" i="4"/>
  <c r="AM284" i="4"/>
  <c r="P283" i="28"/>
  <c r="U283" i="28"/>
  <c r="V283" i="28" s="1"/>
  <c r="X283" i="28" s="1"/>
  <c r="AL282" i="4"/>
  <c r="B286" i="28"/>
  <c r="AC287" i="28"/>
  <c r="S285" i="28"/>
  <c r="R285" i="28"/>
  <c r="Q285" i="28"/>
  <c r="F285" i="28"/>
  <c r="BC287" i="4"/>
  <c r="B286" i="4"/>
  <c r="AT285" i="4"/>
  <c r="AP285" i="4"/>
  <c r="I285" i="4"/>
  <c r="AS285" i="4"/>
  <c r="AQ285" i="4"/>
  <c r="E285" i="4"/>
  <c r="F285" i="4" s="1"/>
  <c r="L285" i="4"/>
  <c r="J285" i="4"/>
  <c r="AF285" i="4"/>
  <c r="AO285" i="4"/>
  <c r="M285" i="4"/>
  <c r="H285" i="4"/>
  <c r="AR285" i="4"/>
  <c r="N285" i="4"/>
  <c r="G285" i="4"/>
  <c r="Y284" i="4"/>
  <c r="AD284" i="4" s="1"/>
  <c r="T284" i="4"/>
  <c r="V284" i="4"/>
  <c r="AW284" i="4" s="1"/>
  <c r="X284" i="4"/>
  <c r="AC284" i="4" s="1"/>
  <c r="R284" i="4"/>
  <c r="Z284" i="4" s="1"/>
  <c r="W284" i="4"/>
  <c r="AB284" i="4" s="1"/>
  <c r="S284" i="4"/>
  <c r="AA284" i="4" s="1"/>
  <c r="AX284" i="4" s="1"/>
  <c r="U284" i="4"/>
  <c r="I284" i="28"/>
  <c r="K284" i="28" s="1"/>
  <c r="N284" i="28" s="1"/>
  <c r="J284" i="28"/>
  <c r="Y284" i="28" s="1"/>
  <c r="T286" i="28" l="1"/>
  <c r="W286" i="28"/>
  <c r="E286" i="28"/>
  <c r="M286" i="28"/>
  <c r="L286" i="28"/>
  <c r="Z284" i="28"/>
  <c r="AL283" i="4"/>
  <c r="AN283" i="4" s="1"/>
  <c r="AF286" i="4"/>
  <c r="L286" i="4"/>
  <c r="AS286" i="4"/>
  <c r="AO286" i="4"/>
  <c r="G286" i="4"/>
  <c r="AP286" i="4"/>
  <c r="J286" i="4"/>
  <c r="H286" i="4"/>
  <c r="N286" i="4"/>
  <c r="M286" i="4"/>
  <c r="AT286" i="4"/>
  <c r="E286" i="4"/>
  <c r="AR286" i="4"/>
  <c r="I286" i="4"/>
  <c r="AQ286" i="4"/>
  <c r="O285" i="28"/>
  <c r="AC288" i="28"/>
  <c r="B287" i="28"/>
  <c r="S286" i="28"/>
  <c r="R286" i="28"/>
  <c r="Q286" i="28"/>
  <c r="F286" i="28"/>
  <c r="AU282" i="4"/>
  <c r="AV282" i="4" s="1"/>
  <c r="AN282" i="4"/>
  <c r="U284" i="28"/>
  <c r="V284" i="28" s="1"/>
  <c r="X284" i="28" s="1"/>
  <c r="P284" i="28"/>
  <c r="AG284" i="4"/>
  <c r="AM285" i="4"/>
  <c r="BE286" i="4"/>
  <c r="BD286" i="4"/>
  <c r="BC288" i="4"/>
  <c r="B287" i="4"/>
  <c r="AE286" i="28"/>
  <c r="AD286" i="28"/>
  <c r="R285" i="4"/>
  <c r="Z285" i="4" s="1"/>
  <c r="X285" i="4"/>
  <c r="AC285" i="4" s="1"/>
  <c r="T285" i="4"/>
  <c r="U285" i="4"/>
  <c r="Y285" i="4"/>
  <c r="AD285" i="4" s="1"/>
  <c r="V285" i="4"/>
  <c r="AW285" i="4" s="1"/>
  <c r="W285" i="4"/>
  <c r="AB285" i="4" s="1"/>
  <c r="S285" i="4"/>
  <c r="AA285" i="4" s="1"/>
  <c r="I285" i="28"/>
  <c r="K285" i="28" s="1"/>
  <c r="N285" i="28" s="1"/>
  <c r="J285" i="28"/>
  <c r="Y285" i="28" s="1"/>
  <c r="T287" i="28" l="1"/>
  <c r="W287" i="28"/>
  <c r="E287" i="28"/>
  <c r="L287" i="28"/>
  <c r="M287" i="28"/>
  <c r="AX285" i="4"/>
  <c r="AU283" i="4"/>
  <c r="AV283" i="4" s="1"/>
  <c r="AG285" i="4"/>
  <c r="J286" i="28"/>
  <c r="Y286" i="28" s="1"/>
  <c r="I286" i="28"/>
  <c r="K286" i="28" s="1"/>
  <c r="N286" i="28" s="1"/>
  <c r="M287" i="4"/>
  <c r="N287" i="4"/>
  <c r="AR287" i="4"/>
  <c r="E287" i="4"/>
  <c r="H287" i="4"/>
  <c r="J287" i="4"/>
  <c r="G287" i="4"/>
  <c r="L287" i="4"/>
  <c r="AS287" i="4"/>
  <c r="I287" i="4"/>
  <c r="AP287" i="4"/>
  <c r="AT287" i="4"/>
  <c r="AF287" i="4"/>
  <c r="AQ287" i="4"/>
  <c r="AO287" i="4"/>
  <c r="AH284" i="4"/>
  <c r="U285" i="28"/>
  <c r="V285" i="28" s="1"/>
  <c r="X285" i="28" s="1"/>
  <c r="P285" i="28"/>
  <c r="B288" i="4"/>
  <c r="BC289" i="4"/>
  <c r="BE287" i="4"/>
  <c r="BD287" i="4"/>
  <c r="X286" i="4"/>
  <c r="AC286" i="4" s="1"/>
  <c r="Y286" i="4"/>
  <c r="AD286" i="4" s="1"/>
  <c r="S286" i="4"/>
  <c r="AA286" i="4" s="1"/>
  <c r="U286" i="4"/>
  <c r="W286" i="4"/>
  <c r="AB286" i="4" s="1"/>
  <c r="V286" i="4"/>
  <c r="AW286" i="4" s="1"/>
  <c r="R286" i="4"/>
  <c r="Z286" i="4" s="1"/>
  <c r="T286" i="4"/>
  <c r="AL284" i="4"/>
  <c r="AE287" i="28"/>
  <c r="AD287" i="28"/>
  <c r="O286" i="28"/>
  <c r="R287" i="28"/>
  <c r="Q287" i="28"/>
  <c r="F287" i="28"/>
  <c r="S287" i="28"/>
  <c r="AC289" i="28"/>
  <c r="B288" i="28"/>
  <c r="Z285" i="28"/>
  <c r="AM286" i="4"/>
  <c r="T288" i="28" l="1"/>
  <c r="W288" i="28"/>
  <c r="E288" i="28"/>
  <c r="J288" i="4"/>
  <c r="AT288" i="4"/>
  <c r="M288" i="28"/>
  <c r="L288" i="28"/>
  <c r="AL285" i="4"/>
  <c r="AU285" i="4" s="1"/>
  <c r="AV285" i="4" s="1"/>
  <c r="AX286" i="4"/>
  <c r="AE288" i="28"/>
  <c r="AD288" i="28"/>
  <c r="F288" i="28"/>
  <c r="Q288" i="28"/>
  <c r="R288" i="28"/>
  <c r="S288" i="28"/>
  <c r="B289" i="28"/>
  <c r="AC290" i="28"/>
  <c r="AN284" i="4"/>
  <c r="AU284" i="4"/>
  <c r="AV284" i="4" s="1"/>
  <c r="AG286" i="4"/>
  <c r="AL286" i="4" s="1"/>
  <c r="U287" i="4"/>
  <c r="V287" i="4"/>
  <c r="AW287" i="4" s="1"/>
  <c r="X287" i="4"/>
  <c r="AC287" i="4" s="1"/>
  <c r="S287" i="4"/>
  <c r="AA287" i="4" s="1"/>
  <c r="Y287" i="4"/>
  <c r="AD287" i="4" s="1"/>
  <c r="R287" i="4"/>
  <c r="Z287" i="4" s="1"/>
  <c r="T287" i="4"/>
  <c r="W287" i="4"/>
  <c r="AB287" i="4" s="1"/>
  <c r="BC290" i="4"/>
  <c r="B289" i="4"/>
  <c r="E288" i="4"/>
  <c r="AO288" i="4"/>
  <c r="G288" i="4"/>
  <c r="AR288" i="4"/>
  <c r="M288" i="4"/>
  <c r="AF288" i="4"/>
  <c r="N288" i="4"/>
  <c r="AP288" i="4"/>
  <c r="AQ288" i="4"/>
  <c r="AS288" i="4"/>
  <c r="H288" i="4"/>
  <c r="I288" i="4"/>
  <c r="L288" i="4"/>
  <c r="AM287" i="4"/>
  <c r="O287" i="28"/>
  <c r="Z286" i="28"/>
  <c r="J287" i="28"/>
  <c r="Y287" i="28" s="1"/>
  <c r="I287" i="28"/>
  <c r="K287" i="28" s="1"/>
  <c r="N287" i="28" s="1"/>
  <c r="BD288" i="4"/>
  <c r="BE288" i="4"/>
  <c r="P286" i="28"/>
  <c r="U286" i="28"/>
  <c r="V286" i="28" s="1"/>
  <c r="X286" i="28" s="1"/>
  <c r="AH285" i="4"/>
  <c r="T289" i="28" l="1"/>
  <c r="W289" i="28"/>
  <c r="E289" i="28"/>
  <c r="AT289" i="4"/>
  <c r="J289" i="4"/>
  <c r="M289" i="28"/>
  <c r="L289" i="28"/>
  <c r="AH286" i="4"/>
  <c r="AN285" i="4"/>
  <c r="AX287" i="4"/>
  <c r="U288" i="4"/>
  <c r="T288" i="4"/>
  <c r="W288" i="4"/>
  <c r="AB288" i="4" s="1"/>
  <c r="Y288" i="4"/>
  <c r="AD288" i="4" s="1"/>
  <c r="S288" i="4"/>
  <c r="AA288" i="4" s="1"/>
  <c r="R288" i="4"/>
  <c r="Z288" i="4" s="1"/>
  <c r="X288" i="4"/>
  <c r="AC288" i="4" s="1"/>
  <c r="V288" i="4"/>
  <c r="AW288" i="4" s="1"/>
  <c r="AN286" i="4"/>
  <c r="AU286" i="4"/>
  <c r="AV286" i="4" s="1"/>
  <c r="AM288" i="4"/>
  <c r="BD289" i="4"/>
  <c r="BE289" i="4"/>
  <c r="B290" i="4"/>
  <c r="BC291" i="4"/>
  <c r="AG287" i="4"/>
  <c r="R289" i="28"/>
  <c r="S289" i="28"/>
  <c r="F289" i="28"/>
  <c r="Q289" i="28"/>
  <c r="O288" i="28"/>
  <c r="P287" i="28"/>
  <c r="U287" i="28"/>
  <c r="V287" i="28" s="1"/>
  <c r="X287" i="28" s="1"/>
  <c r="Z287" i="28"/>
  <c r="G289" i="4"/>
  <c r="AQ289" i="4"/>
  <c r="H289" i="4"/>
  <c r="I289" i="4"/>
  <c r="M289" i="4"/>
  <c r="L289" i="4"/>
  <c r="AO289" i="4"/>
  <c r="AS289" i="4"/>
  <c r="AR289" i="4"/>
  <c r="AP289" i="4"/>
  <c r="E289" i="4"/>
  <c r="N289" i="4"/>
  <c r="AF289" i="4"/>
  <c r="AC291" i="28"/>
  <c r="B290" i="28"/>
  <c r="AE289" i="28"/>
  <c r="AD289" i="28"/>
  <c r="I288" i="28"/>
  <c r="K288" i="28" s="1"/>
  <c r="J288" i="28"/>
  <c r="Y288" i="28" s="1"/>
  <c r="N288" i="28" l="1"/>
  <c r="T290" i="28"/>
  <c r="W290" i="28"/>
  <c r="E290" i="28"/>
  <c r="M290" i="28"/>
  <c r="L290" i="28"/>
  <c r="AL287" i="4"/>
  <c r="AU287" i="4" s="1"/>
  <c r="AV287" i="4" s="1"/>
  <c r="P288" i="28"/>
  <c r="U288" i="28"/>
  <c r="V288" i="28" s="1"/>
  <c r="X288" i="28" s="1"/>
  <c r="AE290" i="28"/>
  <c r="AD290" i="28"/>
  <c r="O289" i="28"/>
  <c r="AH287" i="4"/>
  <c r="BD290" i="4"/>
  <c r="BE290" i="4"/>
  <c r="X289" i="4"/>
  <c r="AC289" i="4" s="1"/>
  <c r="W289" i="4"/>
  <c r="AB289" i="4" s="1"/>
  <c r="U289" i="4"/>
  <c r="R289" i="4"/>
  <c r="Z289" i="4" s="1"/>
  <c r="S289" i="4"/>
  <c r="AA289" i="4" s="1"/>
  <c r="T289" i="4"/>
  <c r="V289" i="4"/>
  <c r="AW289" i="4" s="1"/>
  <c r="Y289" i="4"/>
  <c r="AD289" i="4" s="1"/>
  <c r="AX288" i="4"/>
  <c r="J289" i="28"/>
  <c r="Y289" i="28" s="1"/>
  <c r="I289" i="28"/>
  <c r="K289" i="28" s="1"/>
  <c r="N289" i="28" s="1"/>
  <c r="Q290" i="28"/>
  <c r="R290" i="28"/>
  <c r="F290" i="28"/>
  <c r="S290" i="28"/>
  <c r="B291" i="28"/>
  <c r="AC292" i="28"/>
  <c r="AM289" i="4"/>
  <c r="Z288" i="28"/>
  <c r="BC292" i="4"/>
  <c r="B291" i="4"/>
  <c r="AF290" i="4"/>
  <c r="L290" i="4"/>
  <c r="AR290" i="4"/>
  <c r="J290" i="4"/>
  <c r="I290" i="4"/>
  <c r="AQ290" i="4"/>
  <c r="E290" i="4"/>
  <c r="N290" i="4"/>
  <c r="H290" i="4"/>
  <c r="AT290" i="4"/>
  <c r="M290" i="4"/>
  <c r="AP290" i="4"/>
  <c r="G290" i="4"/>
  <c r="AS290" i="4"/>
  <c r="AO290" i="4"/>
  <c r="AG288" i="4"/>
  <c r="T291" i="28" l="1"/>
  <c r="W291" i="28"/>
  <c r="E291" i="28"/>
  <c r="M291" i="28"/>
  <c r="L291" i="28"/>
  <c r="AN287" i="4"/>
  <c r="Z289" i="28"/>
  <c r="AH288" i="4"/>
  <c r="AL288" i="4"/>
  <c r="BC293" i="4"/>
  <c r="B292" i="4"/>
  <c r="R291" i="28"/>
  <c r="S291" i="28"/>
  <c r="Q291" i="28"/>
  <c r="F291" i="28"/>
  <c r="O290" i="28"/>
  <c r="P289" i="28"/>
  <c r="U289" i="28"/>
  <c r="V289" i="28" s="1"/>
  <c r="X289" i="28" s="1"/>
  <c r="AX289" i="4"/>
  <c r="Y290" i="4"/>
  <c r="AD290" i="4" s="1"/>
  <c r="W290" i="4"/>
  <c r="AB290" i="4" s="1"/>
  <c r="U290" i="4"/>
  <c r="R290" i="4"/>
  <c r="Z290" i="4" s="1"/>
  <c r="X290" i="4"/>
  <c r="AC290" i="4" s="1"/>
  <c r="V290" i="4"/>
  <c r="AW290" i="4" s="1"/>
  <c r="T290" i="4"/>
  <c r="S290" i="4"/>
  <c r="AA290" i="4" s="1"/>
  <c r="I290" i="28"/>
  <c r="K290" i="28" s="1"/>
  <c r="N290" i="28" s="1"/>
  <c r="J290" i="28"/>
  <c r="Y290" i="28" s="1"/>
  <c r="AM290" i="4"/>
  <c r="AO291" i="4"/>
  <c r="G291" i="4"/>
  <c r="AR291" i="4"/>
  <c r="AQ291" i="4"/>
  <c r="I291" i="4"/>
  <c r="N291" i="4"/>
  <c r="AP291" i="4"/>
  <c r="AT291" i="4"/>
  <c r="J291" i="4"/>
  <c r="E291" i="4"/>
  <c r="AS291" i="4"/>
  <c r="AF291" i="4"/>
  <c r="H291" i="4"/>
  <c r="L291" i="4"/>
  <c r="M291" i="4"/>
  <c r="BD291" i="4"/>
  <c r="BE291" i="4"/>
  <c r="B292" i="28"/>
  <c r="AC293" i="28"/>
  <c r="AE291" i="28"/>
  <c r="AD291" i="28"/>
  <c r="AG289" i="4"/>
  <c r="AL289" i="4" s="1"/>
  <c r="L292" i="28" l="1"/>
  <c r="T292" i="28"/>
  <c r="E292" i="28"/>
  <c r="AX290" i="4"/>
  <c r="AM291" i="4"/>
  <c r="AN288" i="4"/>
  <c r="AU288" i="4"/>
  <c r="AV288" i="4" s="1"/>
  <c r="AU289" i="4"/>
  <c r="AV289" i="4" s="1"/>
  <c r="AN289" i="4"/>
  <c r="Z290" i="28"/>
  <c r="B293" i="4"/>
  <c r="BC294" i="4"/>
  <c r="BD292" i="4"/>
  <c r="BE292" i="4"/>
  <c r="I291" i="28"/>
  <c r="K291" i="28" s="1"/>
  <c r="N291" i="28" s="1"/>
  <c r="J291" i="28"/>
  <c r="Y291" i="28" s="1"/>
  <c r="B293" i="28"/>
  <c r="AC294" i="28"/>
  <c r="AD292" i="28"/>
  <c r="AE292" i="28"/>
  <c r="X291" i="4"/>
  <c r="AC291" i="4" s="1"/>
  <c r="S291" i="4"/>
  <c r="AA291" i="4" s="1"/>
  <c r="Y291" i="4"/>
  <c r="AD291" i="4" s="1"/>
  <c r="U291" i="4"/>
  <c r="V291" i="4"/>
  <c r="AW291" i="4" s="1"/>
  <c r="T291" i="4"/>
  <c r="W291" i="4"/>
  <c r="AB291" i="4" s="1"/>
  <c r="R291" i="4"/>
  <c r="Z291" i="4" s="1"/>
  <c r="AH289" i="4"/>
  <c r="S292" i="28"/>
  <c r="R292" i="28"/>
  <c r="Q292" i="28"/>
  <c r="P290" i="28"/>
  <c r="U290" i="28"/>
  <c r="V290" i="28" s="1"/>
  <c r="X290" i="28" s="1"/>
  <c r="AG290" i="4"/>
  <c r="O291" i="28"/>
  <c r="M292" i="4"/>
  <c r="AP292" i="4"/>
  <c r="G292" i="4"/>
  <c r="AQ292" i="4"/>
  <c r="L292" i="4"/>
  <c r="E292" i="4"/>
  <c r="J292" i="4"/>
  <c r="AT292" i="4"/>
  <c r="H292" i="4"/>
  <c r="AR292" i="4"/>
  <c r="I292" i="4"/>
  <c r="N292" i="4"/>
  <c r="AF292" i="4"/>
  <c r="AO292" i="4"/>
  <c r="AS292" i="4"/>
  <c r="E293" i="28" l="1"/>
  <c r="T293" i="28"/>
  <c r="M293" i="28"/>
  <c r="L293" i="28"/>
  <c r="AH290" i="4"/>
  <c r="AX291" i="4"/>
  <c r="AM292" i="4"/>
  <c r="Z291" i="28"/>
  <c r="AG291" i="4"/>
  <c r="J292" i="28"/>
  <c r="I292" i="28"/>
  <c r="AE293" i="28"/>
  <c r="AD293" i="28"/>
  <c r="BC295" i="4"/>
  <c r="B294" i="4"/>
  <c r="AR293" i="4"/>
  <c r="AS293" i="4"/>
  <c r="I293" i="4"/>
  <c r="AT293" i="4"/>
  <c r="AF293" i="4"/>
  <c r="AO293" i="4"/>
  <c r="L293" i="4"/>
  <c r="M293" i="4"/>
  <c r="J293" i="4"/>
  <c r="G293" i="4"/>
  <c r="E293" i="4"/>
  <c r="AP293" i="4"/>
  <c r="H293" i="4"/>
  <c r="AQ293" i="4"/>
  <c r="N293" i="4"/>
  <c r="AL290" i="4"/>
  <c r="B294" i="28"/>
  <c r="AC295" i="28"/>
  <c r="S293" i="28"/>
  <c r="R293" i="28"/>
  <c r="Q293" i="28"/>
  <c r="P291" i="28"/>
  <c r="U291" i="28"/>
  <c r="V291" i="28" s="1"/>
  <c r="X291" i="28" s="1"/>
  <c r="T292" i="4"/>
  <c r="S292" i="4"/>
  <c r="AA292" i="4" s="1"/>
  <c r="W292" i="4"/>
  <c r="AB292" i="4" s="1"/>
  <c r="X292" i="4"/>
  <c r="AC292" i="4" s="1"/>
  <c r="U292" i="4"/>
  <c r="R292" i="4"/>
  <c r="Z292" i="4" s="1"/>
  <c r="Y292" i="4"/>
  <c r="AD292" i="4" s="1"/>
  <c r="V292" i="4"/>
  <c r="AW292" i="4" s="1"/>
  <c r="BE293" i="4"/>
  <c r="BD293" i="4"/>
  <c r="E294" i="28" l="1"/>
  <c r="T294" i="28"/>
  <c r="L294" i="28"/>
  <c r="M294" i="28"/>
  <c r="AG292" i="4"/>
  <c r="AL291" i="4"/>
  <c r="AU291" i="4" s="1"/>
  <c r="AV291" i="4" s="1"/>
  <c r="W293" i="4"/>
  <c r="AB293" i="4" s="1"/>
  <c r="V293" i="4"/>
  <c r="AW293" i="4" s="1"/>
  <c r="T293" i="4"/>
  <c r="R293" i="4"/>
  <c r="Z293" i="4" s="1"/>
  <c r="X293" i="4"/>
  <c r="AC293" i="4" s="1"/>
  <c r="Y293" i="4"/>
  <c r="AD293" i="4" s="1"/>
  <c r="U293" i="4"/>
  <c r="S293" i="4"/>
  <c r="AA293" i="4" s="1"/>
  <c r="AX292" i="4"/>
  <c r="AC296" i="28"/>
  <c r="B295" i="28"/>
  <c r="AE294" i="28"/>
  <c r="AD294" i="28"/>
  <c r="B295" i="4"/>
  <c r="BC296" i="4"/>
  <c r="BD294" i="4"/>
  <c r="BE294" i="4"/>
  <c r="Q294" i="28"/>
  <c r="R294" i="28"/>
  <c r="S294" i="28"/>
  <c r="AU290" i="4"/>
  <c r="AV290" i="4" s="1"/>
  <c r="AN290" i="4"/>
  <c r="AM293" i="4"/>
  <c r="AS294" i="4"/>
  <c r="H294" i="4"/>
  <c r="AT294" i="4"/>
  <c r="AR294" i="4"/>
  <c r="AP294" i="4"/>
  <c r="I294" i="4"/>
  <c r="L294" i="4"/>
  <c r="AF294" i="4"/>
  <c r="AQ294" i="4"/>
  <c r="N294" i="4"/>
  <c r="M294" i="4"/>
  <c r="G294" i="4"/>
  <c r="E294" i="4"/>
  <c r="AO294" i="4"/>
  <c r="J294" i="4"/>
  <c r="J293" i="28"/>
  <c r="I293" i="28"/>
  <c r="AH291" i="4"/>
  <c r="AH292" i="4"/>
  <c r="T295" i="28" l="1"/>
  <c r="E295" i="28"/>
  <c r="M295" i="28"/>
  <c r="L295" i="28"/>
  <c r="AN291" i="4"/>
  <c r="AX293" i="4"/>
  <c r="AM294" i="4"/>
  <c r="R294" i="4"/>
  <c r="Z294" i="4" s="1"/>
  <c r="V294" i="4"/>
  <c r="AW294" i="4" s="1"/>
  <c r="U294" i="4"/>
  <c r="X294" i="4"/>
  <c r="AC294" i="4" s="1"/>
  <c r="S294" i="4"/>
  <c r="AA294" i="4" s="1"/>
  <c r="Y294" i="4"/>
  <c r="AD294" i="4" s="1"/>
  <c r="T294" i="4"/>
  <c r="W294" i="4"/>
  <c r="AB294" i="4" s="1"/>
  <c r="L295" i="4"/>
  <c r="AR295" i="4"/>
  <c r="H295" i="4"/>
  <c r="G295" i="4"/>
  <c r="AQ295" i="4"/>
  <c r="AP295" i="4"/>
  <c r="AO295" i="4"/>
  <c r="E295" i="4"/>
  <c r="N295" i="4"/>
  <c r="AF295" i="4"/>
  <c r="AT295" i="4"/>
  <c r="AS295" i="4"/>
  <c r="I295" i="4"/>
  <c r="M295" i="4"/>
  <c r="J295" i="4"/>
  <c r="AE295" i="28"/>
  <c r="AD295" i="28"/>
  <c r="AL292" i="4"/>
  <c r="AG293" i="4"/>
  <c r="BC297" i="4"/>
  <c r="B296" i="4"/>
  <c r="BD295" i="4"/>
  <c r="BE295" i="4"/>
  <c r="J294" i="28"/>
  <c r="I294" i="28"/>
  <c r="R295" i="28"/>
  <c r="S295" i="28"/>
  <c r="Q295" i="28"/>
  <c r="B296" i="28"/>
  <c r="AC297" i="28"/>
  <c r="T296" i="28" l="1"/>
  <c r="E296" i="28"/>
  <c r="AM295" i="4"/>
  <c r="AH293" i="4"/>
  <c r="AX294" i="4"/>
  <c r="AL293" i="4"/>
  <c r="AU293" i="4" s="1"/>
  <c r="AV293" i="4" s="1"/>
  <c r="AC298" i="28"/>
  <c r="B297" i="28"/>
  <c r="Q296" i="28"/>
  <c r="R296" i="28"/>
  <c r="S296" i="28"/>
  <c r="V295" i="4"/>
  <c r="AW295" i="4" s="1"/>
  <c r="R295" i="4"/>
  <c r="Z295" i="4" s="1"/>
  <c r="Y295" i="4"/>
  <c r="AD295" i="4" s="1"/>
  <c r="U295" i="4"/>
  <c r="T295" i="4"/>
  <c r="W295" i="4"/>
  <c r="AB295" i="4" s="1"/>
  <c r="S295" i="4"/>
  <c r="AA295" i="4" s="1"/>
  <c r="X295" i="4"/>
  <c r="AC295" i="4" s="1"/>
  <c r="BD296" i="4"/>
  <c r="BE296" i="4"/>
  <c r="BC298" i="4"/>
  <c r="B297" i="4"/>
  <c r="I295" i="28"/>
  <c r="J295" i="28"/>
  <c r="AE296" i="28"/>
  <c r="AD296" i="28"/>
  <c r="L296" i="4"/>
  <c r="AF296" i="4"/>
  <c r="AQ296" i="4"/>
  <c r="I296" i="4"/>
  <c r="H296" i="4"/>
  <c r="E296" i="4"/>
  <c r="G296" i="4"/>
  <c r="AO296" i="4"/>
  <c r="N296" i="4"/>
  <c r="AR296" i="4"/>
  <c r="J296" i="4"/>
  <c r="AS296" i="4"/>
  <c r="M296" i="4"/>
  <c r="AP296" i="4"/>
  <c r="AT296" i="4"/>
  <c r="AN292" i="4"/>
  <c r="AU292" i="4"/>
  <c r="AV292" i="4" s="1"/>
  <c r="AG294" i="4"/>
  <c r="E297" i="28" l="1"/>
  <c r="T297" i="28"/>
  <c r="AX295" i="4"/>
  <c r="AN293" i="4"/>
  <c r="AL294" i="4"/>
  <c r="AU294" i="4" s="1"/>
  <c r="AV294" i="4" s="1"/>
  <c r="AH294" i="4"/>
  <c r="AM296" i="4"/>
  <c r="I296" i="28"/>
  <c r="J296" i="28"/>
  <c r="BD297" i="4"/>
  <c r="BE297" i="4"/>
  <c r="BC299" i="4"/>
  <c r="B298" i="4"/>
  <c r="Y296" i="4"/>
  <c r="AD296" i="4" s="1"/>
  <c r="U296" i="4"/>
  <c r="T296" i="4"/>
  <c r="V296" i="4"/>
  <c r="AW296" i="4" s="1"/>
  <c r="X296" i="4"/>
  <c r="AC296" i="4" s="1"/>
  <c r="S296" i="4"/>
  <c r="AA296" i="4" s="1"/>
  <c r="R296" i="4"/>
  <c r="Z296" i="4" s="1"/>
  <c r="W296" i="4"/>
  <c r="AB296" i="4" s="1"/>
  <c r="AG295" i="4"/>
  <c r="Q297" i="28"/>
  <c r="R297" i="28"/>
  <c r="S297" i="28"/>
  <c r="AC299" i="28"/>
  <c r="B298" i="28"/>
  <c r="AS297" i="4"/>
  <c r="H297" i="4"/>
  <c r="I297" i="4"/>
  <c r="AT297" i="4"/>
  <c r="AR297" i="4"/>
  <c r="AF297" i="4"/>
  <c r="N297" i="4"/>
  <c r="AO297" i="4"/>
  <c r="AQ297" i="4"/>
  <c r="G297" i="4"/>
  <c r="AP297" i="4"/>
  <c r="E297" i="4"/>
  <c r="J297" i="4"/>
  <c r="M297" i="4"/>
  <c r="L297" i="4"/>
  <c r="AD297" i="28"/>
  <c r="AE297" i="28"/>
  <c r="E298" i="28" l="1"/>
  <c r="T298" i="28"/>
  <c r="AX296" i="4"/>
  <c r="AH295" i="4"/>
  <c r="AN294" i="4"/>
  <c r="I297" i="28"/>
  <c r="J297" i="28"/>
  <c r="AM297" i="4"/>
  <c r="S298" i="28"/>
  <c r="Q298" i="28"/>
  <c r="R298" i="28"/>
  <c r="AE298" i="28"/>
  <c r="AD298" i="28"/>
  <c r="AL295" i="4"/>
  <c r="AF298" i="4"/>
  <c r="N298" i="4"/>
  <c r="AR298" i="4"/>
  <c r="E298" i="4"/>
  <c r="AS298" i="4"/>
  <c r="G298" i="4"/>
  <c r="I298" i="4"/>
  <c r="L298" i="4"/>
  <c r="M298" i="4"/>
  <c r="J298" i="4"/>
  <c r="AO298" i="4"/>
  <c r="H298" i="4"/>
  <c r="AQ298" i="4"/>
  <c r="AT298" i="4"/>
  <c r="AP298" i="4"/>
  <c r="Y297" i="4"/>
  <c r="AD297" i="4" s="1"/>
  <c r="T297" i="4"/>
  <c r="R297" i="4"/>
  <c r="Z297" i="4" s="1"/>
  <c r="W297" i="4"/>
  <c r="AB297" i="4" s="1"/>
  <c r="U297" i="4"/>
  <c r="V297" i="4"/>
  <c r="AW297" i="4" s="1"/>
  <c r="X297" i="4"/>
  <c r="AC297" i="4" s="1"/>
  <c r="S297" i="4"/>
  <c r="AA297" i="4" s="1"/>
  <c r="B299" i="28"/>
  <c r="AC300" i="28"/>
  <c r="AG296" i="4"/>
  <c r="AH296" i="4" s="1"/>
  <c r="BE298" i="4"/>
  <c r="BD298" i="4"/>
  <c r="BC300" i="4"/>
  <c r="B299" i="4"/>
  <c r="T299" i="28" l="1"/>
  <c r="E299" i="28"/>
  <c r="AX297" i="4"/>
  <c r="BD299" i="4"/>
  <c r="BE299" i="4"/>
  <c r="BC301" i="4"/>
  <c r="B300" i="4"/>
  <c r="AL296" i="4"/>
  <c r="AD299" i="28"/>
  <c r="AE299" i="28"/>
  <c r="AG297" i="4"/>
  <c r="AM298" i="4"/>
  <c r="AN295" i="4"/>
  <c r="AU295" i="4"/>
  <c r="AV295" i="4" s="1"/>
  <c r="N299" i="4"/>
  <c r="M299" i="4"/>
  <c r="AT299" i="4"/>
  <c r="AO299" i="4"/>
  <c r="AQ299" i="4"/>
  <c r="I299" i="4"/>
  <c r="AP299" i="4"/>
  <c r="E299" i="4"/>
  <c r="L299" i="4"/>
  <c r="AF299" i="4"/>
  <c r="G299" i="4"/>
  <c r="AS299" i="4"/>
  <c r="H299" i="4"/>
  <c r="AR299" i="4"/>
  <c r="J299" i="4"/>
  <c r="X298" i="4"/>
  <c r="AC298" i="4" s="1"/>
  <c r="V298" i="4"/>
  <c r="AW298" i="4" s="1"/>
  <c r="U298" i="4"/>
  <c r="W298" i="4"/>
  <c r="AB298" i="4" s="1"/>
  <c r="S298" i="4"/>
  <c r="AA298" i="4" s="1"/>
  <c r="Y298" i="4"/>
  <c r="AD298" i="4" s="1"/>
  <c r="T298" i="4"/>
  <c r="R298" i="4"/>
  <c r="Z298" i="4" s="1"/>
  <c r="AC301" i="28"/>
  <c r="B300" i="28"/>
  <c r="S299" i="28"/>
  <c r="R299" i="28"/>
  <c r="Q299" i="28"/>
  <c r="I298" i="28"/>
  <c r="J298" i="28"/>
  <c r="AL297" i="4"/>
  <c r="T300" i="28" l="1"/>
  <c r="E300" i="28"/>
  <c r="AX298" i="4"/>
  <c r="AU297" i="4"/>
  <c r="AV297" i="4" s="1"/>
  <c r="AN297" i="4"/>
  <c r="Q300" i="28"/>
  <c r="S300" i="28"/>
  <c r="R300" i="28"/>
  <c r="B301" i="28"/>
  <c r="AC302" i="28"/>
  <c r="AM299" i="4"/>
  <c r="AH297" i="4"/>
  <c r="AN296" i="4"/>
  <c r="AU296" i="4"/>
  <c r="AV296" i="4" s="1"/>
  <c r="BE300" i="4"/>
  <c r="BD300" i="4"/>
  <c r="BC302" i="4"/>
  <c r="B301" i="4"/>
  <c r="AD300" i="28"/>
  <c r="AE300" i="28"/>
  <c r="AG298" i="4"/>
  <c r="I299" i="28"/>
  <c r="J299" i="28"/>
  <c r="AQ300" i="4"/>
  <c r="AP300" i="4"/>
  <c r="AF300" i="4"/>
  <c r="G300" i="4"/>
  <c r="L300" i="4"/>
  <c r="E300" i="4"/>
  <c r="M300" i="4"/>
  <c r="I300" i="4"/>
  <c r="AR300" i="4"/>
  <c r="AS300" i="4"/>
  <c r="J300" i="4"/>
  <c r="AT300" i="4"/>
  <c r="N300" i="4"/>
  <c r="AO300" i="4"/>
  <c r="H300" i="4"/>
  <c r="W299" i="4"/>
  <c r="AB299" i="4" s="1"/>
  <c r="R299" i="4"/>
  <c r="Z299" i="4" s="1"/>
  <c r="U299" i="4"/>
  <c r="Y299" i="4"/>
  <c r="AD299" i="4" s="1"/>
  <c r="V299" i="4"/>
  <c r="AW299" i="4" s="1"/>
  <c r="S299" i="4"/>
  <c r="T299" i="4"/>
  <c r="X299" i="4"/>
  <c r="AC299" i="4" s="1"/>
  <c r="E301" i="28" l="1"/>
  <c r="T301" i="28"/>
  <c r="AA299" i="4"/>
  <c r="AX299" i="4" s="1"/>
  <c r="AL298" i="4"/>
  <c r="AG299" i="4"/>
  <c r="AP301" i="4"/>
  <c r="H301" i="4"/>
  <c r="AT301" i="4"/>
  <c r="M301" i="4"/>
  <c r="N301" i="4"/>
  <c r="AQ301" i="4"/>
  <c r="AS301" i="4"/>
  <c r="AF301" i="4"/>
  <c r="E301" i="4"/>
  <c r="I301" i="4"/>
  <c r="G301" i="4"/>
  <c r="J301" i="4"/>
  <c r="L301" i="4"/>
  <c r="AO301" i="4"/>
  <c r="AR301" i="4"/>
  <c r="R301" i="28"/>
  <c r="S301" i="28"/>
  <c r="Q301" i="28"/>
  <c r="AM300" i="4"/>
  <c r="AH298" i="4"/>
  <c r="J300" i="28"/>
  <c r="I300" i="28"/>
  <c r="B302" i="4"/>
  <c r="BC303" i="4"/>
  <c r="BD301" i="4"/>
  <c r="BE301" i="4"/>
  <c r="Y300" i="4"/>
  <c r="AD300" i="4" s="1"/>
  <c r="S300" i="4"/>
  <c r="AA300" i="4" s="1"/>
  <c r="V300" i="4"/>
  <c r="AW300" i="4" s="1"/>
  <c r="T300" i="4"/>
  <c r="R300" i="4"/>
  <c r="Z300" i="4" s="1"/>
  <c r="X300" i="4"/>
  <c r="AC300" i="4" s="1"/>
  <c r="U300" i="4"/>
  <c r="W300" i="4"/>
  <c r="AB300" i="4" s="1"/>
  <c r="AH299" i="4"/>
  <c r="B302" i="28"/>
  <c r="AC303" i="28"/>
  <c r="AE301" i="28"/>
  <c r="AD301" i="28"/>
  <c r="E302" i="28" l="1"/>
  <c r="T302" i="28"/>
  <c r="AN298" i="4"/>
  <c r="AU298" i="4"/>
  <c r="AV298" i="4" s="1"/>
  <c r="AG300" i="4"/>
  <c r="I301" i="28"/>
  <c r="J301" i="28"/>
  <c r="AC304" i="28"/>
  <c r="B303" i="28"/>
  <c r="AE302" i="28"/>
  <c r="AD302" i="28"/>
  <c r="U301" i="4"/>
  <c r="V301" i="4"/>
  <c r="AW301" i="4" s="1"/>
  <c r="Y301" i="4"/>
  <c r="AD301" i="4" s="1"/>
  <c r="R301" i="4"/>
  <c r="Z301" i="4" s="1"/>
  <c r="X301" i="4"/>
  <c r="AC301" i="4" s="1"/>
  <c r="T301" i="4"/>
  <c r="W301" i="4"/>
  <c r="AB301" i="4" s="1"/>
  <c r="S301" i="4"/>
  <c r="AA301" i="4" s="1"/>
  <c r="L302" i="4"/>
  <c r="AF302" i="4"/>
  <c r="J302" i="4"/>
  <c r="AT302" i="4"/>
  <c r="H302" i="4"/>
  <c r="E302" i="4"/>
  <c r="F302" i="4" s="1"/>
  <c r="AO302" i="4"/>
  <c r="I302" i="4"/>
  <c r="N302" i="4"/>
  <c r="AR302" i="4"/>
  <c r="M302" i="4"/>
  <c r="AS302" i="4"/>
  <c r="AQ302" i="4"/>
  <c r="AP302" i="4"/>
  <c r="G302" i="4"/>
  <c r="BE302" i="4"/>
  <c r="BD302" i="4"/>
  <c r="AM301" i="4"/>
  <c r="AL300" i="4"/>
  <c r="AL299" i="4"/>
  <c r="R302" i="28"/>
  <c r="Q302" i="28"/>
  <c r="S302" i="28"/>
  <c r="AX300" i="4"/>
  <c r="B303" i="4"/>
  <c r="BC304" i="4"/>
  <c r="T303" i="28" l="1"/>
  <c r="E303" i="28"/>
  <c r="AX301" i="4"/>
  <c r="AH300" i="4"/>
  <c r="AU300" i="4"/>
  <c r="AV300" i="4" s="1"/>
  <c r="AN300" i="4"/>
  <c r="AO303" i="4"/>
  <c r="AR303" i="4"/>
  <c r="J303" i="4"/>
  <c r="AT303" i="4"/>
  <c r="AQ303" i="4"/>
  <c r="AS303" i="4"/>
  <c r="AF303" i="4"/>
  <c r="E303" i="4"/>
  <c r="I303" i="4"/>
  <c r="AP303" i="4"/>
  <c r="H303" i="4"/>
  <c r="N303" i="4"/>
  <c r="G303" i="4"/>
  <c r="L303" i="4"/>
  <c r="M303" i="4"/>
  <c r="BE303" i="4"/>
  <c r="BD303" i="4"/>
  <c r="AG301" i="4"/>
  <c r="AD303" i="28"/>
  <c r="AE303" i="28"/>
  <c r="BC305" i="4"/>
  <c r="B304" i="4"/>
  <c r="AN299" i="4"/>
  <c r="AU299" i="4"/>
  <c r="AV299" i="4" s="1"/>
  <c r="T302" i="4"/>
  <c r="U302" i="4"/>
  <c r="R302" i="4"/>
  <c r="Z302" i="4" s="1"/>
  <c r="V302" i="4"/>
  <c r="AW302" i="4" s="1"/>
  <c r="Y302" i="4"/>
  <c r="AD302" i="4" s="1"/>
  <c r="W302" i="4"/>
  <c r="AB302" i="4" s="1"/>
  <c r="S302" i="4"/>
  <c r="AA302" i="4" s="1"/>
  <c r="X302" i="4"/>
  <c r="AC302" i="4" s="1"/>
  <c r="AM302" i="4"/>
  <c r="J302" i="28"/>
  <c r="I302" i="28"/>
  <c r="R303" i="28"/>
  <c r="S303" i="28"/>
  <c r="Q303" i="28"/>
  <c r="B304" i="28"/>
  <c r="AC305" i="28"/>
  <c r="T304" i="28" l="1"/>
  <c r="E304" i="28"/>
  <c r="AX302" i="4"/>
  <c r="AH301" i="4"/>
  <c r="AG302" i="4"/>
  <c r="AE304" i="28"/>
  <c r="AD304" i="28"/>
  <c r="AC306" i="28"/>
  <c r="B305" i="28"/>
  <c r="Q304" i="28"/>
  <c r="S304" i="28"/>
  <c r="R304" i="28"/>
  <c r="H304" i="4"/>
  <c r="AT304" i="4"/>
  <c r="AF304" i="4"/>
  <c r="N304" i="4"/>
  <c r="AO304" i="4"/>
  <c r="AQ304" i="4"/>
  <c r="G304" i="4"/>
  <c r="I304" i="4"/>
  <c r="AP304" i="4"/>
  <c r="M304" i="4"/>
  <c r="L304" i="4"/>
  <c r="E304" i="4"/>
  <c r="J304" i="4"/>
  <c r="AS304" i="4"/>
  <c r="AR304" i="4"/>
  <c r="J303" i="28"/>
  <c r="I303" i="28"/>
  <c r="AL301" i="4"/>
  <c r="BE304" i="4"/>
  <c r="BD304" i="4"/>
  <c r="BC306" i="4"/>
  <c r="B305" i="4"/>
  <c r="AH302" i="4"/>
  <c r="Y303" i="4"/>
  <c r="AD303" i="4" s="1"/>
  <c r="U303" i="4"/>
  <c r="T303" i="4"/>
  <c r="X303" i="4"/>
  <c r="AC303" i="4" s="1"/>
  <c r="W303" i="4"/>
  <c r="AB303" i="4" s="1"/>
  <c r="S303" i="4"/>
  <c r="AA303" i="4" s="1"/>
  <c r="R303" i="4"/>
  <c r="Z303" i="4" s="1"/>
  <c r="V303" i="4"/>
  <c r="AW303" i="4" s="1"/>
  <c r="AM303" i="4"/>
  <c r="E305" i="28" l="1"/>
  <c r="T305" i="28"/>
  <c r="AL302" i="4"/>
  <c r="AN302" i="4" s="1"/>
  <c r="AG303" i="4"/>
  <c r="L305" i="4"/>
  <c r="AQ305" i="4"/>
  <c r="M305" i="4"/>
  <c r="AP305" i="4"/>
  <c r="H305" i="4"/>
  <c r="J305" i="4"/>
  <c r="E305" i="4"/>
  <c r="AF305" i="4"/>
  <c r="G305" i="4"/>
  <c r="AS305" i="4"/>
  <c r="N305" i="4"/>
  <c r="I305" i="4"/>
  <c r="AT305" i="4"/>
  <c r="AO305" i="4"/>
  <c r="AR305" i="4"/>
  <c r="R304" i="4"/>
  <c r="Z304" i="4" s="1"/>
  <c r="T304" i="4"/>
  <c r="W304" i="4"/>
  <c r="AB304" i="4" s="1"/>
  <c r="V304" i="4"/>
  <c r="AW304" i="4" s="1"/>
  <c r="U304" i="4"/>
  <c r="S304" i="4"/>
  <c r="AA304" i="4" s="1"/>
  <c r="Y304" i="4"/>
  <c r="AD304" i="4" s="1"/>
  <c r="X304" i="4"/>
  <c r="AC304" i="4" s="1"/>
  <c r="AL303" i="4"/>
  <c r="AN301" i="4"/>
  <c r="AU301" i="4"/>
  <c r="AV301" i="4" s="1"/>
  <c r="B306" i="28"/>
  <c r="AC307" i="28"/>
  <c r="J304" i="28"/>
  <c r="I304" i="28"/>
  <c r="AX303" i="4"/>
  <c r="BE305" i="4"/>
  <c r="BD305" i="4"/>
  <c r="BC307" i="4"/>
  <c r="B306" i="4"/>
  <c r="AM304" i="4"/>
  <c r="R305" i="28"/>
  <c r="S305" i="28"/>
  <c r="Q305" i="28"/>
  <c r="AE305" i="28"/>
  <c r="AD305" i="28"/>
  <c r="E306" i="28" l="1"/>
  <c r="T306" i="28"/>
  <c r="AX304" i="4"/>
  <c r="AU302" i="4"/>
  <c r="AV302" i="4" s="1"/>
  <c r="AH303" i="4"/>
  <c r="AG304" i="4"/>
  <c r="AH304" i="4" s="1"/>
  <c r="AN303" i="4"/>
  <c r="AU303" i="4"/>
  <c r="AV303" i="4" s="1"/>
  <c r="J305" i="28"/>
  <c r="I305" i="28"/>
  <c r="AO306" i="4"/>
  <c r="AS306" i="4"/>
  <c r="AQ306" i="4"/>
  <c r="G306" i="4"/>
  <c r="E306" i="4"/>
  <c r="L306" i="4"/>
  <c r="N306" i="4"/>
  <c r="I306" i="4"/>
  <c r="AP306" i="4"/>
  <c r="AR306" i="4"/>
  <c r="J306" i="4"/>
  <c r="H306" i="4"/>
  <c r="AT306" i="4"/>
  <c r="M306" i="4"/>
  <c r="AF306" i="4"/>
  <c r="BC308" i="4"/>
  <c r="B307" i="4"/>
  <c r="Q306" i="28"/>
  <c r="S306" i="28"/>
  <c r="R306" i="28"/>
  <c r="BE306" i="4"/>
  <c r="BD306" i="4"/>
  <c r="T305" i="4"/>
  <c r="V305" i="4"/>
  <c r="AW305" i="4" s="1"/>
  <c r="R305" i="4"/>
  <c r="Z305" i="4" s="1"/>
  <c r="S305" i="4"/>
  <c r="AA305" i="4" s="1"/>
  <c r="Y305" i="4"/>
  <c r="AD305" i="4" s="1"/>
  <c r="W305" i="4"/>
  <c r="AB305" i="4" s="1"/>
  <c r="U305" i="4"/>
  <c r="X305" i="4"/>
  <c r="AC305" i="4" s="1"/>
  <c r="B307" i="28"/>
  <c r="AC308" i="28"/>
  <c r="AE306" i="28"/>
  <c r="AD306" i="28"/>
  <c r="AM305" i="4"/>
  <c r="T307" i="28" l="1"/>
  <c r="E307" i="28"/>
  <c r="AL304" i="4"/>
  <c r="AN304" i="4" s="1"/>
  <c r="AM306" i="4"/>
  <c r="AX305" i="4"/>
  <c r="AG305" i="4"/>
  <c r="AL305" i="4" s="1"/>
  <c r="AE307" i="28"/>
  <c r="AD307" i="28"/>
  <c r="Y306" i="4"/>
  <c r="AD306" i="4" s="1"/>
  <c r="T306" i="4"/>
  <c r="U306" i="4"/>
  <c r="V306" i="4"/>
  <c r="AW306" i="4" s="1"/>
  <c r="W306" i="4"/>
  <c r="AB306" i="4" s="1"/>
  <c r="S306" i="4"/>
  <c r="R306" i="4"/>
  <c r="Z306" i="4" s="1"/>
  <c r="X306" i="4"/>
  <c r="AC306" i="4" s="1"/>
  <c r="BE307" i="4"/>
  <c r="BD307" i="4"/>
  <c r="B308" i="4"/>
  <c r="BC309" i="4"/>
  <c r="J306" i="28"/>
  <c r="I306" i="28"/>
  <c r="AC309" i="28"/>
  <c r="B308" i="28"/>
  <c r="Q307" i="28"/>
  <c r="R307" i="28"/>
  <c r="S307" i="28"/>
  <c r="AQ307" i="4"/>
  <c r="AT307" i="4"/>
  <c r="E307" i="4"/>
  <c r="AS307" i="4"/>
  <c r="AF307" i="4"/>
  <c r="J307" i="4"/>
  <c r="L307" i="4"/>
  <c r="M307" i="4"/>
  <c r="G307" i="4"/>
  <c r="H307" i="4"/>
  <c r="AR307" i="4"/>
  <c r="AP307" i="4"/>
  <c r="I307" i="4"/>
  <c r="N307" i="4"/>
  <c r="AO307" i="4"/>
  <c r="AU304" i="4" l="1"/>
  <c r="AV304" i="4" s="1"/>
  <c r="T308" i="28"/>
  <c r="E308" i="28"/>
  <c r="AA306" i="4"/>
  <c r="AX306" i="4" s="1"/>
  <c r="AH305" i="4"/>
  <c r="AM307" i="4"/>
  <c r="AC310" i="28"/>
  <c r="B309" i="28"/>
  <c r="BC310" i="4"/>
  <c r="B309" i="4"/>
  <c r="G308" i="4"/>
  <c r="AP308" i="4"/>
  <c r="N308" i="4"/>
  <c r="AS308" i="4"/>
  <c r="J308" i="4"/>
  <c r="AT308" i="4"/>
  <c r="I308" i="4"/>
  <c r="L308" i="4"/>
  <c r="AO308" i="4"/>
  <c r="H308" i="4"/>
  <c r="AF308" i="4"/>
  <c r="AQ308" i="4"/>
  <c r="E308" i="4"/>
  <c r="M308" i="4"/>
  <c r="AR308" i="4"/>
  <c r="X307" i="4"/>
  <c r="AC307" i="4" s="1"/>
  <c r="R307" i="4"/>
  <c r="Z307" i="4" s="1"/>
  <c r="S307" i="4"/>
  <c r="Y307" i="4"/>
  <c r="AD307" i="4" s="1"/>
  <c r="T307" i="4"/>
  <c r="V307" i="4"/>
  <c r="AW307" i="4" s="1"/>
  <c r="W307" i="4"/>
  <c r="AB307" i="4" s="1"/>
  <c r="U307" i="4"/>
  <c r="AG306" i="4"/>
  <c r="S308" i="28"/>
  <c r="R308" i="28"/>
  <c r="Q308" i="28"/>
  <c r="AE308" i="28"/>
  <c r="AD308" i="28"/>
  <c r="BE308" i="4"/>
  <c r="BD308" i="4"/>
  <c r="J307" i="28"/>
  <c r="I307" i="28"/>
  <c r="AU305" i="4"/>
  <c r="AV305" i="4" s="1"/>
  <c r="AN305" i="4"/>
  <c r="E309" i="28" l="1"/>
  <c r="T309" i="28"/>
  <c r="AA307" i="4"/>
  <c r="AX307" i="4" s="1"/>
  <c r="AL306" i="4"/>
  <c r="AH306" i="4"/>
  <c r="E309" i="4"/>
  <c r="AP309" i="4"/>
  <c r="AR309" i="4"/>
  <c r="AS309" i="4"/>
  <c r="AF309" i="4"/>
  <c r="AO309" i="4"/>
  <c r="L309" i="4"/>
  <c r="M309" i="4"/>
  <c r="I309" i="4"/>
  <c r="AQ309" i="4"/>
  <c r="G309" i="4"/>
  <c r="J309" i="4"/>
  <c r="H309" i="4"/>
  <c r="N309" i="4"/>
  <c r="AT309" i="4"/>
  <c r="AC311" i="28"/>
  <c r="B310" i="28"/>
  <c r="V308" i="4"/>
  <c r="AW308" i="4" s="1"/>
  <c r="U308" i="4"/>
  <c r="T308" i="4"/>
  <c r="W308" i="4"/>
  <c r="AB308" i="4" s="1"/>
  <c r="X308" i="4"/>
  <c r="AC308" i="4" s="1"/>
  <c r="S308" i="4"/>
  <c r="AA308" i="4" s="1"/>
  <c r="R308" i="4"/>
  <c r="Z308" i="4" s="1"/>
  <c r="Y308" i="4"/>
  <c r="AD308" i="4" s="1"/>
  <c r="J308" i="28"/>
  <c r="I308" i="28"/>
  <c r="AG307" i="4"/>
  <c r="AM308" i="4"/>
  <c r="BE309" i="4"/>
  <c r="BD309" i="4"/>
  <c r="B310" i="4"/>
  <c r="BC311" i="4"/>
  <c r="Q309" i="28"/>
  <c r="R309" i="28"/>
  <c r="S309" i="28"/>
  <c r="AE309" i="28"/>
  <c r="AD309" i="28"/>
  <c r="E310" i="28" l="1"/>
  <c r="T310" i="28"/>
  <c r="AM309" i="4"/>
  <c r="AG308" i="4"/>
  <c r="AX308" i="4"/>
  <c r="AH307" i="4"/>
  <c r="AU306" i="4"/>
  <c r="AV306" i="4" s="1"/>
  <c r="AN306" i="4"/>
  <c r="BC312" i="4"/>
  <c r="B311" i="4"/>
  <c r="S309" i="4"/>
  <c r="AA309" i="4" s="1"/>
  <c r="W309" i="4"/>
  <c r="AB309" i="4" s="1"/>
  <c r="Y309" i="4"/>
  <c r="AD309" i="4" s="1"/>
  <c r="U309" i="4"/>
  <c r="V309" i="4"/>
  <c r="AW309" i="4" s="1"/>
  <c r="R309" i="4"/>
  <c r="Z309" i="4" s="1"/>
  <c r="T309" i="4"/>
  <c r="X309" i="4"/>
  <c r="AC309" i="4" s="1"/>
  <c r="R310" i="28"/>
  <c r="Q310" i="28"/>
  <c r="S310" i="28"/>
  <c r="AE310" i="28"/>
  <c r="AD310" i="28"/>
  <c r="J309" i="28"/>
  <c r="I309" i="28"/>
  <c r="BD310" i="4"/>
  <c r="BE310" i="4"/>
  <c r="H310" i="4"/>
  <c r="E310" i="4"/>
  <c r="F310" i="4" s="1"/>
  <c r="N310" i="4"/>
  <c r="M310" i="4"/>
  <c r="AT310" i="4"/>
  <c r="AO310" i="4"/>
  <c r="I310" i="4"/>
  <c r="J310" i="4"/>
  <c r="AR310" i="4"/>
  <c r="AF310" i="4"/>
  <c r="L310" i="4"/>
  <c r="AP310" i="4"/>
  <c r="G310" i="4"/>
  <c r="AS310" i="4"/>
  <c r="AQ310" i="4"/>
  <c r="AL307" i="4"/>
  <c r="B311" i="28"/>
  <c r="AC312" i="28"/>
  <c r="T311" i="28" l="1"/>
  <c r="E311" i="28"/>
  <c r="AH308" i="4"/>
  <c r="AL308" i="4"/>
  <c r="AU308" i="4" s="1"/>
  <c r="AV308" i="4" s="1"/>
  <c r="B312" i="28"/>
  <c r="AC313" i="28"/>
  <c r="Q311" i="28"/>
  <c r="S311" i="28"/>
  <c r="R311" i="28"/>
  <c r="S310" i="4"/>
  <c r="AA310" i="4" s="1"/>
  <c r="Y310" i="4"/>
  <c r="AD310" i="4" s="1"/>
  <c r="U310" i="4"/>
  <c r="W310" i="4"/>
  <c r="AB310" i="4" s="1"/>
  <c r="X310" i="4"/>
  <c r="AC310" i="4" s="1"/>
  <c r="V310" i="4"/>
  <c r="AW310" i="4" s="1"/>
  <c r="T310" i="4"/>
  <c r="R310" i="4"/>
  <c r="Z310" i="4" s="1"/>
  <c r="J310" i="28"/>
  <c r="I310" i="28"/>
  <c r="M311" i="4"/>
  <c r="L311" i="4"/>
  <c r="H311" i="4"/>
  <c r="AR311" i="4"/>
  <c r="E311" i="4"/>
  <c r="J311" i="4"/>
  <c r="AQ311" i="4"/>
  <c r="AO311" i="4"/>
  <c r="N311" i="4"/>
  <c r="I311" i="4"/>
  <c r="AP311" i="4"/>
  <c r="G311" i="4"/>
  <c r="AF311" i="4"/>
  <c r="AS311" i="4"/>
  <c r="AT311" i="4"/>
  <c r="B312" i="4"/>
  <c r="BC313" i="4"/>
  <c r="AE311" i="28"/>
  <c r="AD311" i="28"/>
  <c r="AU307" i="4"/>
  <c r="AV307" i="4" s="1"/>
  <c r="AN307" i="4"/>
  <c r="AM310" i="4"/>
  <c r="AG309" i="4"/>
  <c r="AH309" i="4" s="1"/>
  <c r="AX309" i="4"/>
  <c r="BE311" i="4"/>
  <c r="BD311" i="4"/>
  <c r="AM311" i="4" l="1"/>
  <c r="T312" i="28"/>
  <c r="E312" i="28"/>
  <c r="AN308" i="4"/>
  <c r="I311" i="28"/>
  <c r="J311" i="28"/>
  <c r="AQ312" i="4"/>
  <c r="AR312" i="4"/>
  <c r="AT312" i="4"/>
  <c r="E312" i="4"/>
  <c r="L312" i="4"/>
  <c r="I312" i="4"/>
  <c r="AO312" i="4"/>
  <c r="N312" i="4"/>
  <c r="AS312" i="4"/>
  <c r="J312" i="4"/>
  <c r="AP312" i="4"/>
  <c r="H312" i="4"/>
  <c r="G312" i="4"/>
  <c r="AF312" i="4"/>
  <c r="M312" i="4"/>
  <c r="AL309" i="4"/>
  <c r="AX310" i="4"/>
  <c r="B313" i="28"/>
  <c r="AC314" i="28"/>
  <c r="AE312" i="28"/>
  <c r="AD312" i="28"/>
  <c r="T311" i="4"/>
  <c r="X311" i="4"/>
  <c r="AC311" i="4" s="1"/>
  <c r="V311" i="4"/>
  <c r="AW311" i="4" s="1"/>
  <c r="R311" i="4"/>
  <c r="Z311" i="4" s="1"/>
  <c r="Y311" i="4"/>
  <c r="AD311" i="4" s="1"/>
  <c r="U311" i="4"/>
  <c r="S311" i="4"/>
  <c r="AA311" i="4" s="1"/>
  <c r="AX311" i="4" s="1"/>
  <c r="W311" i="4"/>
  <c r="AB311" i="4" s="1"/>
  <c r="BE312" i="4"/>
  <c r="BD312" i="4"/>
  <c r="BC314" i="4"/>
  <c r="B313" i="4"/>
  <c r="AG310" i="4"/>
  <c r="AH310" i="4" s="1"/>
  <c r="S312" i="28"/>
  <c r="R312" i="28"/>
  <c r="Q312" i="28"/>
  <c r="E313" i="28" l="1"/>
  <c r="T313" i="28"/>
  <c r="AL310" i="4"/>
  <c r="AN310" i="4" s="1"/>
  <c r="AQ313" i="4"/>
  <c r="I313" i="4"/>
  <c r="AO313" i="4"/>
  <c r="AS313" i="4"/>
  <c r="E313" i="4"/>
  <c r="AF313" i="4"/>
  <c r="L313" i="4"/>
  <c r="H313" i="4"/>
  <c r="G313" i="4"/>
  <c r="AT313" i="4"/>
  <c r="AR313" i="4"/>
  <c r="J313" i="4"/>
  <c r="AP313" i="4"/>
  <c r="M313" i="4"/>
  <c r="N313" i="4"/>
  <c r="AG311" i="4"/>
  <c r="S313" i="28"/>
  <c r="R313" i="28"/>
  <c r="Q313" i="28"/>
  <c r="AU309" i="4"/>
  <c r="AV309" i="4" s="1"/>
  <c r="AN309" i="4"/>
  <c r="AM312" i="4"/>
  <c r="BE313" i="4"/>
  <c r="BD313" i="4"/>
  <c r="BC315" i="4"/>
  <c r="B314" i="4"/>
  <c r="Y312" i="4"/>
  <c r="AD312" i="4" s="1"/>
  <c r="W312" i="4"/>
  <c r="AB312" i="4" s="1"/>
  <c r="X312" i="4"/>
  <c r="AC312" i="4" s="1"/>
  <c r="V312" i="4"/>
  <c r="AW312" i="4" s="1"/>
  <c r="U312" i="4"/>
  <c r="R312" i="4"/>
  <c r="Z312" i="4" s="1"/>
  <c r="T312" i="4"/>
  <c r="S312" i="4"/>
  <c r="AA312" i="4" s="1"/>
  <c r="I312" i="28"/>
  <c r="J312" i="28"/>
  <c r="AC315" i="28"/>
  <c r="B314" i="28"/>
  <c r="AD313" i="28"/>
  <c r="AE313" i="28"/>
  <c r="AX312" i="4" l="1"/>
  <c r="E314" i="28"/>
  <c r="T314" i="28"/>
  <c r="AH311" i="4"/>
  <c r="AU310" i="4"/>
  <c r="AV310" i="4" s="1"/>
  <c r="AP314" i="4"/>
  <c r="AR314" i="4"/>
  <c r="L314" i="4"/>
  <c r="AT314" i="4"/>
  <c r="M314" i="4"/>
  <c r="H314" i="4"/>
  <c r="AQ314" i="4"/>
  <c r="AO314" i="4"/>
  <c r="J314" i="4"/>
  <c r="AF314" i="4"/>
  <c r="I314" i="4"/>
  <c r="G314" i="4"/>
  <c r="N314" i="4"/>
  <c r="E314" i="4"/>
  <c r="F314" i="4" s="1"/>
  <c r="AS314" i="4"/>
  <c r="BE314" i="4"/>
  <c r="BD314" i="4"/>
  <c r="AM313" i="4"/>
  <c r="I313" i="28"/>
  <c r="J313" i="28"/>
  <c r="B315" i="28"/>
  <c r="AC316" i="28"/>
  <c r="S314" i="28"/>
  <c r="R314" i="28"/>
  <c r="Q314" i="28"/>
  <c r="AD314" i="28"/>
  <c r="AE314" i="28"/>
  <c r="AG312" i="4"/>
  <c r="AH312" i="4" s="1"/>
  <c r="B315" i="4"/>
  <c r="BC316" i="4"/>
  <c r="R313" i="4"/>
  <c r="Z313" i="4" s="1"/>
  <c r="S313" i="4"/>
  <c r="AA313" i="4" s="1"/>
  <c r="W313" i="4"/>
  <c r="AB313" i="4" s="1"/>
  <c r="X313" i="4"/>
  <c r="AC313" i="4" s="1"/>
  <c r="T313" i="4"/>
  <c r="U313" i="4"/>
  <c r="Y313" i="4"/>
  <c r="AD313" i="4" s="1"/>
  <c r="V313" i="4"/>
  <c r="AW313" i="4" s="1"/>
  <c r="AL311" i="4"/>
  <c r="T315" i="28" l="1"/>
  <c r="E315" i="28"/>
  <c r="AU311" i="4"/>
  <c r="AV311" i="4" s="1"/>
  <c r="AN311" i="4"/>
  <c r="AG313" i="4"/>
  <c r="BD315" i="4"/>
  <c r="BE315" i="4"/>
  <c r="I315" i="4"/>
  <c r="AT315" i="4"/>
  <c r="J315" i="4"/>
  <c r="AP315" i="4"/>
  <c r="L315" i="4"/>
  <c r="N315" i="4"/>
  <c r="AQ315" i="4"/>
  <c r="AR315" i="4"/>
  <c r="AO315" i="4"/>
  <c r="E315" i="4"/>
  <c r="G315" i="4"/>
  <c r="M315" i="4"/>
  <c r="AF315" i="4"/>
  <c r="AS315" i="4"/>
  <c r="H315" i="4"/>
  <c r="J314" i="28"/>
  <c r="I314" i="28"/>
  <c r="B316" i="28"/>
  <c r="AC317" i="28"/>
  <c r="Q315" i="28"/>
  <c r="R315" i="28"/>
  <c r="S315" i="28"/>
  <c r="AM314" i="4"/>
  <c r="AL312" i="4"/>
  <c r="AX313" i="4"/>
  <c r="BC317" i="4"/>
  <c r="B316" i="4"/>
  <c r="AD315" i="28"/>
  <c r="AE315" i="28"/>
  <c r="S314" i="4"/>
  <c r="AA314" i="4" s="1"/>
  <c r="T314" i="4"/>
  <c r="R314" i="4"/>
  <c r="Z314" i="4" s="1"/>
  <c r="U314" i="4"/>
  <c r="X314" i="4"/>
  <c r="AC314" i="4" s="1"/>
  <c r="Y314" i="4"/>
  <c r="AD314" i="4" s="1"/>
  <c r="V314" i="4"/>
  <c r="AW314" i="4" s="1"/>
  <c r="W314" i="4"/>
  <c r="AB314" i="4" s="1"/>
  <c r="T316" i="28" l="1"/>
  <c r="E316" i="28"/>
  <c r="AH313" i="4"/>
  <c r="AE316" i="28"/>
  <c r="AD316" i="28"/>
  <c r="AM315" i="4"/>
  <c r="AL313" i="4"/>
  <c r="AX314" i="4"/>
  <c r="I315" i="28"/>
  <c r="J315" i="28"/>
  <c r="BD316" i="4"/>
  <c r="BE316" i="4"/>
  <c r="AU312" i="4"/>
  <c r="AV312" i="4" s="1"/>
  <c r="AN312" i="4"/>
  <c r="AG314" i="4"/>
  <c r="AL314" i="4" s="1"/>
  <c r="I316" i="4"/>
  <c r="AR316" i="4"/>
  <c r="L316" i="4"/>
  <c r="H316" i="4"/>
  <c r="AS316" i="4"/>
  <c r="AO316" i="4"/>
  <c r="M316" i="4"/>
  <c r="AQ316" i="4"/>
  <c r="E316" i="4"/>
  <c r="N316" i="4"/>
  <c r="AT316" i="4"/>
  <c r="AP316" i="4"/>
  <c r="G316" i="4"/>
  <c r="J316" i="4"/>
  <c r="AF316" i="4"/>
  <c r="BC318" i="4"/>
  <c r="B317" i="4"/>
  <c r="AC318" i="28"/>
  <c r="B317" i="28"/>
  <c r="R316" i="28"/>
  <c r="S316" i="28"/>
  <c r="Q316" i="28"/>
  <c r="W316" i="28"/>
  <c r="W315" i="4"/>
  <c r="AB315" i="4" s="1"/>
  <c r="T315" i="4"/>
  <c r="X315" i="4"/>
  <c r="AC315" i="4" s="1"/>
  <c r="R315" i="4"/>
  <c r="Z315" i="4" s="1"/>
  <c r="U315" i="4"/>
  <c r="S315" i="4"/>
  <c r="AA315" i="4" s="1"/>
  <c r="Y315" i="4"/>
  <c r="AD315" i="4" s="1"/>
  <c r="V315" i="4"/>
  <c r="AW315" i="4" s="1"/>
  <c r="E317" i="28" l="1"/>
  <c r="T317" i="28"/>
  <c r="AG315" i="4"/>
  <c r="AH314" i="4"/>
  <c r="AU314" i="4"/>
  <c r="AV314" i="4" s="1"/>
  <c r="AN314" i="4"/>
  <c r="AX315" i="4"/>
  <c r="AE317" i="28"/>
  <c r="AD317" i="28"/>
  <c r="H317" i="4"/>
  <c r="M317" i="4"/>
  <c r="AF317" i="4"/>
  <c r="AO317" i="4"/>
  <c r="AR317" i="4"/>
  <c r="J317" i="4"/>
  <c r="I317" i="4"/>
  <c r="E317" i="4"/>
  <c r="N317" i="4"/>
  <c r="AQ317" i="4"/>
  <c r="AP317" i="4"/>
  <c r="L317" i="4"/>
  <c r="G317" i="4"/>
  <c r="BE317" i="4"/>
  <c r="BD317" i="4"/>
  <c r="J316" i="28"/>
  <c r="Y316" i="28" s="1"/>
  <c r="I316" i="28"/>
  <c r="O316" i="28"/>
  <c r="S317" i="28"/>
  <c r="Q317" i="28"/>
  <c r="R317" i="28"/>
  <c r="B318" i="28"/>
  <c r="AC319" i="28"/>
  <c r="B318" i="4"/>
  <c r="BC319" i="4"/>
  <c r="AM316" i="4"/>
  <c r="X316" i="4"/>
  <c r="AC316" i="4" s="1"/>
  <c r="V316" i="4"/>
  <c r="AW316" i="4" s="1"/>
  <c r="W316" i="4"/>
  <c r="AB316" i="4" s="1"/>
  <c r="R316" i="4"/>
  <c r="Z316" i="4" s="1"/>
  <c r="U316" i="4"/>
  <c r="Y316" i="4"/>
  <c r="AD316" i="4" s="1"/>
  <c r="T316" i="4"/>
  <c r="S316" i="4"/>
  <c r="AA316" i="4" s="1"/>
  <c r="AU313" i="4"/>
  <c r="AV313" i="4" s="1"/>
  <c r="AN313" i="4"/>
  <c r="E318" i="28" l="1"/>
  <c r="T318" i="28"/>
  <c r="AX316" i="4"/>
  <c r="AL315" i="4"/>
  <c r="AG316" i="4"/>
  <c r="AP318" i="4"/>
  <c r="J318" i="4"/>
  <c r="L318" i="4"/>
  <c r="AT318" i="4"/>
  <c r="M318" i="4"/>
  <c r="E318" i="4"/>
  <c r="AQ318" i="4"/>
  <c r="AO318" i="4"/>
  <c r="AS318" i="4"/>
  <c r="AF318" i="4"/>
  <c r="I318" i="4"/>
  <c r="G318" i="4"/>
  <c r="N318" i="4"/>
  <c r="AR318" i="4"/>
  <c r="H318" i="4"/>
  <c r="B319" i="28"/>
  <c r="AC320" i="28"/>
  <c r="S318" i="28"/>
  <c r="Q318" i="28"/>
  <c r="R318" i="28"/>
  <c r="I317" i="28"/>
  <c r="J317" i="28"/>
  <c r="AH315" i="4"/>
  <c r="BD318" i="4"/>
  <c r="BE318" i="4"/>
  <c r="BC320" i="4"/>
  <c r="B319" i="4"/>
  <c r="AD318" i="28"/>
  <c r="AE318" i="28"/>
  <c r="Z316" i="28"/>
  <c r="W317" i="4"/>
  <c r="AB317" i="4" s="1"/>
  <c r="X317" i="4"/>
  <c r="AC317" i="4" s="1"/>
  <c r="Y317" i="4"/>
  <c r="AD317" i="4" s="1"/>
  <c r="S317" i="4"/>
  <c r="AA317" i="4" s="1"/>
  <c r="T317" i="4"/>
  <c r="U317" i="4"/>
  <c r="R317" i="4"/>
  <c r="Z317" i="4" s="1"/>
  <c r="V317" i="4"/>
  <c r="AW317" i="4" s="1"/>
  <c r="T319" i="28" l="1"/>
  <c r="E319" i="28"/>
  <c r="AN315" i="4"/>
  <c r="AU315" i="4"/>
  <c r="AV315" i="4" s="1"/>
  <c r="AH316" i="4"/>
  <c r="AL316" i="4"/>
  <c r="AU316" i="4" s="1"/>
  <c r="AV316" i="4" s="1"/>
  <c r="BD319" i="4"/>
  <c r="BE319" i="4"/>
  <c r="AG317" i="4"/>
  <c r="AL317" i="4" s="1"/>
  <c r="J318" i="28"/>
  <c r="I318" i="28"/>
  <c r="AR319" i="4"/>
  <c r="AS319" i="4"/>
  <c r="H319" i="4"/>
  <c r="AF319" i="4"/>
  <c r="L319" i="4"/>
  <c r="G319" i="4"/>
  <c r="AQ319" i="4"/>
  <c r="AP319" i="4"/>
  <c r="J319" i="4"/>
  <c r="AO319" i="4"/>
  <c r="M319" i="4"/>
  <c r="N319" i="4"/>
  <c r="E319" i="4"/>
  <c r="AT319" i="4"/>
  <c r="I319" i="4"/>
  <c r="B320" i="4"/>
  <c r="BC321" i="4"/>
  <c r="AC321" i="28"/>
  <c r="B320" i="28"/>
  <c r="S319" i="28"/>
  <c r="Q319" i="28"/>
  <c r="R319" i="28"/>
  <c r="AM318" i="4"/>
  <c r="AX317" i="4"/>
  <c r="W318" i="4"/>
  <c r="AB318" i="4" s="1"/>
  <c r="R318" i="4"/>
  <c r="Z318" i="4" s="1"/>
  <c r="Y318" i="4"/>
  <c r="AD318" i="4" s="1"/>
  <c r="S318" i="4"/>
  <c r="AA318" i="4" s="1"/>
  <c r="T318" i="4"/>
  <c r="V318" i="4"/>
  <c r="AW318" i="4" s="1"/>
  <c r="X318" i="4"/>
  <c r="AC318" i="4" s="1"/>
  <c r="U318" i="4"/>
  <c r="AD319" i="28"/>
  <c r="AE319" i="28"/>
  <c r="AN316" i="4" l="1"/>
  <c r="T320" i="28"/>
  <c r="E320" i="28"/>
  <c r="M320" i="28"/>
  <c r="L320" i="28"/>
  <c r="AM319" i="4"/>
  <c r="AE320" i="28"/>
  <c r="AD320" i="28"/>
  <c r="AQ320" i="4"/>
  <c r="L320" i="4"/>
  <c r="AS320" i="4"/>
  <c r="AR320" i="4"/>
  <c r="H320" i="4"/>
  <c r="J320" i="4"/>
  <c r="AP320" i="4"/>
  <c r="N320" i="4"/>
  <c r="M320" i="4"/>
  <c r="AO320" i="4"/>
  <c r="I320" i="4"/>
  <c r="AT320" i="4"/>
  <c r="G320" i="4"/>
  <c r="AF320" i="4"/>
  <c r="E320" i="4"/>
  <c r="BD320" i="4"/>
  <c r="BE320" i="4"/>
  <c r="V319" i="4"/>
  <c r="AW319" i="4" s="1"/>
  <c r="W319" i="4"/>
  <c r="AB319" i="4" s="1"/>
  <c r="X319" i="4"/>
  <c r="AC319" i="4" s="1"/>
  <c r="Y319" i="4"/>
  <c r="AD319" i="4" s="1"/>
  <c r="T319" i="4"/>
  <c r="S319" i="4"/>
  <c r="AA319" i="4" s="1"/>
  <c r="R319" i="4"/>
  <c r="Z319" i="4" s="1"/>
  <c r="U319" i="4"/>
  <c r="AX318" i="4"/>
  <c r="I319" i="28"/>
  <c r="J319" i="28"/>
  <c r="AG318" i="4"/>
  <c r="AH318" i="4" s="1"/>
  <c r="S320" i="28"/>
  <c r="R320" i="28"/>
  <c r="Q320" i="28"/>
  <c r="AC322" i="28"/>
  <c r="B321" i="28"/>
  <c r="B321" i="4"/>
  <c r="BC322" i="4"/>
  <c r="AH317" i="4"/>
  <c r="E321" i="28" l="1"/>
  <c r="T321" i="28"/>
  <c r="AM320" i="4"/>
  <c r="BD321" i="4"/>
  <c r="BE321" i="4"/>
  <c r="B322" i="28"/>
  <c r="AC323" i="28"/>
  <c r="J320" i="28"/>
  <c r="I320" i="28"/>
  <c r="AL318" i="4"/>
  <c r="U320" i="4"/>
  <c r="S320" i="4"/>
  <c r="AA320" i="4" s="1"/>
  <c r="T320" i="4"/>
  <c r="R320" i="4"/>
  <c r="Z320" i="4" s="1"/>
  <c r="Y320" i="4"/>
  <c r="AD320" i="4" s="1"/>
  <c r="V320" i="4"/>
  <c r="AW320" i="4" s="1"/>
  <c r="X320" i="4"/>
  <c r="AC320" i="4" s="1"/>
  <c r="W320" i="4"/>
  <c r="AB320" i="4" s="1"/>
  <c r="BC323" i="4"/>
  <c r="B322" i="4"/>
  <c r="AO321" i="4"/>
  <c r="AQ321" i="4"/>
  <c r="G321" i="4"/>
  <c r="AP321" i="4"/>
  <c r="L321" i="4"/>
  <c r="J321" i="4"/>
  <c r="I321" i="4"/>
  <c r="AS321" i="4"/>
  <c r="AR321" i="4"/>
  <c r="N321" i="4"/>
  <c r="H321" i="4"/>
  <c r="AF321" i="4"/>
  <c r="M321" i="4"/>
  <c r="E321" i="4"/>
  <c r="AT321" i="4"/>
  <c r="R321" i="28"/>
  <c r="Q321" i="28"/>
  <c r="S321" i="28"/>
  <c r="AE321" i="28"/>
  <c r="AD321" i="28"/>
  <c r="AX319" i="4"/>
  <c r="AG319" i="4"/>
  <c r="E322" i="28" l="1"/>
  <c r="T322" i="28"/>
  <c r="AM321" i="4"/>
  <c r="AL319" i="4"/>
  <c r="AS322" i="4"/>
  <c r="I322" i="4"/>
  <c r="J322" i="4"/>
  <c r="AQ322" i="4"/>
  <c r="M322" i="4"/>
  <c r="AP322" i="4"/>
  <c r="E322" i="4"/>
  <c r="G322" i="4"/>
  <c r="AT322" i="4"/>
  <c r="L322" i="4"/>
  <c r="AF322" i="4"/>
  <c r="H322" i="4"/>
  <c r="AO322" i="4"/>
  <c r="AR322" i="4"/>
  <c r="N322" i="4"/>
  <c r="AG320" i="4"/>
  <c r="AN318" i="4"/>
  <c r="AU318" i="4"/>
  <c r="AV318" i="4" s="1"/>
  <c r="Q322" i="28"/>
  <c r="S322" i="28"/>
  <c r="R322" i="28"/>
  <c r="I321" i="28"/>
  <c r="J321" i="28"/>
  <c r="AH319" i="4"/>
  <c r="BE322" i="4"/>
  <c r="BD322" i="4"/>
  <c r="B323" i="4"/>
  <c r="BC324" i="4"/>
  <c r="AX320" i="4"/>
  <c r="AC324" i="28"/>
  <c r="B323" i="28"/>
  <c r="AD322" i="28"/>
  <c r="AE322" i="28"/>
  <c r="U321" i="4"/>
  <c r="S321" i="4"/>
  <c r="AA321" i="4" s="1"/>
  <c r="R321" i="4"/>
  <c r="Z321" i="4" s="1"/>
  <c r="X321" i="4"/>
  <c r="AC321" i="4" s="1"/>
  <c r="Y321" i="4"/>
  <c r="AD321" i="4" s="1"/>
  <c r="W321" i="4"/>
  <c r="AB321" i="4" s="1"/>
  <c r="V321" i="4"/>
  <c r="AW321" i="4" s="1"/>
  <c r="T321" i="4"/>
  <c r="AL320" i="4" l="1"/>
  <c r="T323" i="28"/>
  <c r="E323" i="28"/>
  <c r="AU319" i="4"/>
  <c r="AV319" i="4" s="1"/>
  <c r="AN319" i="4"/>
  <c r="AG321" i="4"/>
  <c r="I322" i="28"/>
  <c r="J322" i="28"/>
  <c r="S323" i="28"/>
  <c r="R323" i="28"/>
  <c r="Q323" i="28"/>
  <c r="AN320" i="4"/>
  <c r="AU320" i="4"/>
  <c r="AV320" i="4" s="1"/>
  <c r="BC325" i="4"/>
  <c r="B324" i="4"/>
  <c r="BE323" i="4"/>
  <c r="BD323" i="4"/>
  <c r="X322" i="4"/>
  <c r="AC322" i="4" s="1"/>
  <c r="U322" i="4"/>
  <c r="Y322" i="4"/>
  <c r="AD322" i="4" s="1"/>
  <c r="T322" i="4"/>
  <c r="V322" i="4"/>
  <c r="AW322" i="4" s="1"/>
  <c r="S322" i="4"/>
  <c r="AA322" i="4" s="1"/>
  <c r="W322" i="4"/>
  <c r="AB322" i="4" s="1"/>
  <c r="R322" i="4"/>
  <c r="Z322" i="4" s="1"/>
  <c r="AH320" i="4"/>
  <c r="AX321" i="4"/>
  <c r="AE323" i="28"/>
  <c r="AD323" i="28"/>
  <c r="AC325" i="28"/>
  <c r="B324" i="28"/>
  <c r="E323" i="4"/>
  <c r="F323" i="4" s="1"/>
  <c r="J323" i="4"/>
  <c r="AS323" i="4"/>
  <c r="I323" i="4"/>
  <c r="N323" i="4"/>
  <c r="AF323" i="4"/>
  <c r="AT323" i="4"/>
  <c r="AQ323" i="4"/>
  <c r="AP323" i="4"/>
  <c r="H323" i="4"/>
  <c r="AR323" i="4"/>
  <c r="M323" i="4"/>
  <c r="L323" i="4"/>
  <c r="AO323" i="4"/>
  <c r="G323" i="4"/>
  <c r="AM322" i="4"/>
  <c r="T324" i="28" l="1"/>
  <c r="E324" i="28"/>
  <c r="AX322" i="4"/>
  <c r="AH321" i="4"/>
  <c r="AD324" i="28"/>
  <c r="AE324" i="28"/>
  <c r="I323" i="28"/>
  <c r="J323" i="28"/>
  <c r="AG322" i="4"/>
  <c r="AH322" i="4" s="1"/>
  <c r="I324" i="4"/>
  <c r="AT324" i="4"/>
  <c r="AS324" i="4"/>
  <c r="AR324" i="4"/>
  <c r="H324" i="4"/>
  <c r="AO324" i="4"/>
  <c r="N324" i="4"/>
  <c r="AF324" i="4"/>
  <c r="AP324" i="4"/>
  <c r="G324" i="4"/>
  <c r="J324" i="4"/>
  <c r="E324" i="4"/>
  <c r="AQ324" i="4"/>
  <c r="L324" i="4"/>
  <c r="M324" i="4"/>
  <c r="BC326" i="4"/>
  <c r="B325" i="4"/>
  <c r="AL321" i="4"/>
  <c r="AM323" i="4"/>
  <c r="R324" i="28"/>
  <c r="Q324" i="28"/>
  <c r="S324" i="28"/>
  <c r="AC326" i="28"/>
  <c r="B325" i="28"/>
  <c r="X323" i="4"/>
  <c r="AC323" i="4" s="1"/>
  <c r="T323" i="4"/>
  <c r="U323" i="4"/>
  <c r="Y323" i="4"/>
  <c r="AD323" i="4" s="1"/>
  <c r="V323" i="4"/>
  <c r="AW323" i="4" s="1"/>
  <c r="S323" i="4"/>
  <c r="AA323" i="4" s="1"/>
  <c r="R323" i="4"/>
  <c r="Z323" i="4" s="1"/>
  <c r="W323" i="4"/>
  <c r="AB323" i="4" s="1"/>
  <c r="BE324" i="4"/>
  <c r="BD324" i="4"/>
  <c r="E325" i="28" l="1"/>
  <c r="T325" i="28"/>
  <c r="AL322" i="4"/>
  <c r="AD325" i="28"/>
  <c r="AE325" i="28"/>
  <c r="Y324" i="4"/>
  <c r="AD324" i="4" s="1"/>
  <c r="W324" i="4"/>
  <c r="AB324" i="4" s="1"/>
  <c r="S324" i="4"/>
  <c r="AA324" i="4" s="1"/>
  <c r="U324" i="4"/>
  <c r="T324" i="4"/>
  <c r="R324" i="4"/>
  <c r="Z324" i="4" s="1"/>
  <c r="X324" i="4"/>
  <c r="AC324" i="4" s="1"/>
  <c r="V324" i="4"/>
  <c r="AW324" i="4" s="1"/>
  <c r="AX323" i="4"/>
  <c r="AG323" i="4"/>
  <c r="Q325" i="28"/>
  <c r="R325" i="28"/>
  <c r="S325" i="28"/>
  <c r="AC327" i="28"/>
  <c r="B326" i="28"/>
  <c r="BE325" i="4"/>
  <c r="BD325" i="4"/>
  <c r="B326" i="4"/>
  <c r="BC327" i="4"/>
  <c r="AM324" i="4"/>
  <c r="I324" i="28"/>
  <c r="J324" i="28"/>
  <c r="AU321" i="4"/>
  <c r="AV321" i="4" s="1"/>
  <c r="AN321" i="4"/>
  <c r="J325" i="4"/>
  <c r="AQ325" i="4"/>
  <c r="AO325" i="4"/>
  <c r="H325" i="4"/>
  <c r="I325" i="4"/>
  <c r="E325" i="4"/>
  <c r="L325" i="4"/>
  <c r="AF325" i="4"/>
  <c r="AR325" i="4"/>
  <c r="M325" i="4"/>
  <c r="G325" i="4"/>
  <c r="AS325" i="4"/>
  <c r="AP325" i="4"/>
  <c r="AT325" i="4"/>
  <c r="N325" i="4"/>
  <c r="E326" i="28" l="1"/>
  <c r="T326" i="28"/>
  <c r="J326" i="4"/>
  <c r="AT326" i="4"/>
  <c r="AU322" i="4"/>
  <c r="AV322" i="4" s="1"/>
  <c r="AN322" i="4"/>
  <c r="AL323" i="4"/>
  <c r="AU323" i="4" s="1"/>
  <c r="AV323" i="4" s="1"/>
  <c r="AM325" i="4"/>
  <c r="BE326" i="4"/>
  <c r="BD326" i="4"/>
  <c r="E326" i="4"/>
  <c r="G326" i="4"/>
  <c r="L326" i="4"/>
  <c r="AS326" i="4"/>
  <c r="AP326" i="4"/>
  <c r="N326" i="4"/>
  <c r="I326" i="4"/>
  <c r="AQ326" i="4"/>
  <c r="H326" i="4"/>
  <c r="M326" i="4"/>
  <c r="AF326" i="4"/>
  <c r="AR326" i="4"/>
  <c r="AO326" i="4"/>
  <c r="S325" i="4"/>
  <c r="AA325" i="4" s="1"/>
  <c r="W325" i="4"/>
  <c r="AB325" i="4" s="1"/>
  <c r="X325" i="4"/>
  <c r="AC325" i="4" s="1"/>
  <c r="V325" i="4"/>
  <c r="AW325" i="4" s="1"/>
  <c r="T325" i="4"/>
  <c r="U325" i="4"/>
  <c r="R325" i="4"/>
  <c r="Z325" i="4" s="1"/>
  <c r="Y325" i="4"/>
  <c r="AD325" i="4" s="1"/>
  <c r="AD326" i="28"/>
  <c r="AE326" i="28"/>
  <c r="B327" i="4"/>
  <c r="BC328" i="4"/>
  <c r="Q326" i="28"/>
  <c r="R326" i="28"/>
  <c r="S326" i="28"/>
  <c r="B327" i="28"/>
  <c r="AC328" i="28"/>
  <c r="AH323" i="4"/>
  <c r="AX324" i="4"/>
  <c r="AG324" i="4"/>
  <c r="I325" i="28"/>
  <c r="J325" i="28"/>
  <c r="T327" i="28" l="1"/>
  <c r="E327" i="28"/>
  <c r="AT327" i="4"/>
  <c r="J327" i="4"/>
  <c r="AN323" i="4"/>
  <c r="AG325" i="4"/>
  <c r="AL324" i="4"/>
  <c r="AH324" i="4"/>
  <c r="B328" i="4"/>
  <c r="BC329" i="4"/>
  <c r="AO327" i="4"/>
  <c r="AP327" i="4"/>
  <c r="I327" i="4"/>
  <c r="AS327" i="4"/>
  <c r="G327" i="4"/>
  <c r="H327" i="4"/>
  <c r="AF327" i="4"/>
  <c r="N327" i="4"/>
  <c r="E327" i="4"/>
  <c r="AR327" i="4"/>
  <c r="M327" i="4"/>
  <c r="AQ327" i="4"/>
  <c r="L327" i="4"/>
  <c r="J326" i="28"/>
  <c r="I326" i="28"/>
  <c r="T326" i="4"/>
  <c r="R326" i="4"/>
  <c r="Z326" i="4" s="1"/>
  <c r="X326" i="4"/>
  <c r="AC326" i="4" s="1"/>
  <c r="Y326" i="4"/>
  <c r="AD326" i="4" s="1"/>
  <c r="U326" i="4"/>
  <c r="S326" i="4"/>
  <c r="AA326" i="4" s="1"/>
  <c r="W326" i="4"/>
  <c r="AB326" i="4" s="1"/>
  <c r="V326" i="4"/>
  <c r="AW326" i="4" s="1"/>
  <c r="AE327" i="28"/>
  <c r="AD327" i="28"/>
  <c r="AC329" i="28"/>
  <c r="B328" i="28"/>
  <c r="Q327" i="28"/>
  <c r="S327" i="28"/>
  <c r="R327" i="28"/>
  <c r="BE327" i="4"/>
  <c r="BD327" i="4"/>
  <c r="AX325" i="4"/>
  <c r="AM326" i="4"/>
  <c r="T328" i="28" l="1"/>
  <c r="E328" i="28"/>
  <c r="AH325" i="4"/>
  <c r="AL325" i="4"/>
  <c r="AU325" i="4" s="1"/>
  <c r="AV325" i="4" s="1"/>
  <c r="AU324" i="4"/>
  <c r="AV324" i="4" s="1"/>
  <c r="AN324" i="4"/>
  <c r="Q328" i="28"/>
  <c r="R328" i="28"/>
  <c r="S328" i="28"/>
  <c r="AD328" i="28"/>
  <c r="AE328" i="28"/>
  <c r="AX326" i="4"/>
  <c r="AG326" i="4"/>
  <c r="BD328" i="4"/>
  <c r="BE328" i="4"/>
  <c r="B329" i="4"/>
  <c r="BC330" i="4"/>
  <c r="U327" i="4"/>
  <c r="S327" i="4"/>
  <c r="AA327" i="4" s="1"/>
  <c r="X327" i="4"/>
  <c r="AC327" i="4" s="1"/>
  <c r="R327" i="4"/>
  <c r="Z327" i="4" s="1"/>
  <c r="V327" i="4"/>
  <c r="AW327" i="4" s="1"/>
  <c r="T327" i="4"/>
  <c r="Y327" i="4"/>
  <c r="AD327" i="4" s="1"/>
  <c r="W327" i="4"/>
  <c r="AB327" i="4" s="1"/>
  <c r="AC330" i="28"/>
  <c r="B329" i="28"/>
  <c r="I327" i="28"/>
  <c r="J327" i="28"/>
  <c r="AM327" i="4"/>
  <c r="AP328" i="4"/>
  <c r="M328" i="4"/>
  <c r="AQ328" i="4"/>
  <c r="H328" i="4"/>
  <c r="G328" i="4"/>
  <c r="AO328" i="4"/>
  <c r="AS328" i="4"/>
  <c r="AF328" i="4"/>
  <c r="N328" i="4"/>
  <c r="AR328" i="4"/>
  <c r="AT328" i="4"/>
  <c r="J328" i="4"/>
  <c r="I328" i="4"/>
  <c r="E328" i="4"/>
  <c r="L328" i="4"/>
  <c r="E329" i="28" l="1"/>
  <c r="T329" i="28"/>
  <c r="AH326" i="4"/>
  <c r="AN325" i="4"/>
  <c r="AG327" i="4"/>
  <c r="Q329" i="28"/>
  <c r="R329" i="28"/>
  <c r="S329" i="28"/>
  <c r="AC331" i="28"/>
  <c r="B330" i="28"/>
  <c r="AM328" i="4"/>
  <c r="AD329" i="28"/>
  <c r="AE329" i="28"/>
  <c r="AX327" i="4"/>
  <c r="BC331" i="4"/>
  <c r="B330" i="4"/>
  <c r="BE329" i="4"/>
  <c r="BD329" i="4"/>
  <c r="AO329" i="4"/>
  <c r="AR329" i="4"/>
  <c r="AP329" i="4"/>
  <c r="M329" i="4"/>
  <c r="AS329" i="4"/>
  <c r="E329" i="4"/>
  <c r="L329" i="4"/>
  <c r="J329" i="4"/>
  <c r="H329" i="4"/>
  <c r="AT329" i="4"/>
  <c r="I329" i="4"/>
  <c r="AQ329" i="4"/>
  <c r="G329" i="4"/>
  <c r="N329" i="4"/>
  <c r="AF329" i="4"/>
  <c r="T328" i="4"/>
  <c r="Y328" i="4"/>
  <c r="AD328" i="4" s="1"/>
  <c r="X328" i="4"/>
  <c r="AC328" i="4" s="1"/>
  <c r="S328" i="4"/>
  <c r="AA328" i="4" s="1"/>
  <c r="U328" i="4"/>
  <c r="W328" i="4"/>
  <c r="AB328" i="4" s="1"/>
  <c r="V328" i="4"/>
  <c r="AW328" i="4" s="1"/>
  <c r="R328" i="4"/>
  <c r="Z328" i="4" s="1"/>
  <c r="AL326" i="4"/>
  <c r="I328" i="28"/>
  <c r="J328" i="28"/>
  <c r="E330" i="28" l="1"/>
  <c r="T330" i="28"/>
  <c r="AH327" i="4"/>
  <c r="AL327" i="4"/>
  <c r="AU327" i="4" s="1"/>
  <c r="AV327" i="4" s="1"/>
  <c r="AM329" i="4"/>
  <c r="AU326" i="4"/>
  <c r="AV326" i="4" s="1"/>
  <c r="AN326" i="4"/>
  <c r="AX328" i="4"/>
  <c r="AG328" i="4"/>
  <c r="R329" i="4"/>
  <c r="Z329" i="4" s="1"/>
  <c r="U329" i="4"/>
  <c r="X329" i="4"/>
  <c r="AC329" i="4" s="1"/>
  <c r="W329" i="4"/>
  <c r="AB329" i="4" s="1"/>
  <c r="V329" i="4"/>
  <c r="AW329" i="4" s="1"/>
  <c r="Y329" i="4"/>
  <c r="AD329" i="4" s="1"/>
  <c r="S329" i="4"/>
  <c r="AA329" i="4" s="1"/>
  <c r="T329" i="4"/>
  <c r="I330" i="4"/>
  <c r="AO330" i="4"/>
  <c r="AS330" i="4"/>
  <c r="AQ330" i="4"/>
  <c r="G330" i="4"/>
  <c r="AT330" i="4"/>
  <c r="N330" i="4"/>
  <c r="M330" i="4"/>
  <c r="AR330" i="4"/>
  <c r="AP330" i="4"/>
  <c r="H330" i="4"/>
  <c r="J330" i="4"/>
  <c r="E330" i="4"/>
  <c r="L330" i="4"/>
  <c r="AF330" i="4"/>
  <c r="B331" i="4"/>
  <c r="BC332" i="4"/>
  <c r="I329" i="28"/>
  <c r="J329" i="28"/>
  <c r="AC332" i="28"/>
  <c r="B331" i="28"/>
  <c r="BE330" i="4"/>
  <c r="BD330" i="4"/>
  <c r="R330" i="28"/>
  <c r="S330" i="28"/>
  <c r="Q330" i="28"/>
  <c r="AE330" i="28"/>
  <c r="AD330" i="28"/>
  <c r="T331" i="28" l="1"/>
  <c r="E331" i="28"/>
  <c r="AH328" i="4"/>
  <c r="AX329" i="4"/>
  <c r="AG329" i="4"/>
  <c r="AN327" i="4"/>
  <c r="S331" i="28"/>
  <c r="Q331" i="28"/>
  <c r="R331" i="28"/>
  <c r="AD331" i="28"/>
  <c r="AE331" i="28"/>
  <c r="B332" i="4"/>
  <c r="BC333" i="4"/>
  <c r="T330" i="4"/>
  <c r="U330" i="4"/>
  <c r="W330" i="4"/>
  <c r="AB330" i="4" s="1"/>
  <c r="Y330" i="4"/>
  <c r="AD330" i="4" s="1"/>
  <c r="S330" i="4"/>
  <c r="AA330" i="4" s="1"/>
  <c r="R330" i="4"/>
  <c r="Z330" i="4" s="1"/>
  <c r="V330" i="4"/>
  <c r="AW330" i="4" s="1"/>
  <c r="X330" i="4"/>
  <c r="AC330" i="4" s="1"/>
  <c r="AC333" i="28"/>
  <c r="B332" i="28"/>
  <c r="BE331" i="4"/>
  <c r="BD331" i="4"/>
  <c r="I331" i="4"/>
  <c r="AS331" i="4"/>
  <c r="AQ331" i="4"/>
  <c r="AP331" i="4"/>
  <c r="AT331" i="4"/>
  <c r="N331" i="4"/>
  <c r="AF331" i="4"/>
  <c r="H331" i="4"/>
  <c r="G331" i="4"/>
  <c r="AR331" i="4"/>
  <c r="E331" i="4"/>
  <c r="J331" i="4"/>
  <c r="M331" i="4"/>
  <c r="AO331" i="4"/>
  <c r="L331" i="4"/>
  <c r="J330" i="28"/>
  <c r="I330" i="28"/>
  <c r="AM330" i="4"/>
  <c r="AL328" i="4"/>
  <c r="T332" i="28" l="1"/>
  <c r="E332" i="28"/>
  <c r="AL329" i="4"/>
  <c r="AH329" i="4"/>
  <c r="T331" i="4"/>
  <c r="U331" i="4"/>
  <c r="R331" i="4"/>
  <c r="Z331" i="4" s="1"/>
  <c r="S331" i="4"/>
  <c r="AA331" i="4" s="1"/>
  <c r="W331" i="4"/>
  <c r="AB331" i="4" s="1"/>
  <c r="Y331" i="4"/>
  <c r="AD331" i="4" s="1"/>
  <c r="V331" i="4"/>
  <c r="AW331" i="4" s="1"/>
  <c r="X331" i="4"/>
  <c r="AC331" i="4" s="1"/>
  <c r="R332" i="28"/>
  <c r="S332" i="28"/>
  <c r="Q332" i="28"/>
  <c r="B333" i="28"/>
  <c r="AC334" i="28"/>
  <c r="AX330" i="4"/>
  <c r="J332" i="4"/>
  <c r="AS332" i="4"/>
  <c r="AO332" i="4"/>
  <c r="I332" i="4"/>
  <c r="M332" i="4"/>
  <c r="AF332" i="4"/>
  <c r="AT332" i="4"/>
  <c r="L332" i="4"/>
  <c r="G332" i="4"/>
  <c r="AQ332" i="4"/>
  <c r="E332" i="4"/>
  <c r="N332" i="4"/>
  <c r="AR332" i="4"/>
  <c r="H332" i="4"/>
  <c r="AP332" i="4"/>
  <c r="AU328" i="4"/>
  <c r="AV328" i="4" s="1"/>
  <c r="AN328" i="4"/>
  <c r="AM331" i="4"/>
  <c r="AE332" i="28"/>
  <c r="AD332" i="28"/>
  <c r="AG330" i="4"/>
  <c r="B333" i="4"/>
  <c r="BC334" i="4"/>
  <c r="BE332" i="4"/>
  <c r="BD332" i="4"/>
  <c r="J331" i="28"/>
  <c r="I331" i="28"/>
  <c r="E333" i="28" l="1"/>
  <c r="T333" i="28"/>
  <c r="AN329" i="4"/>
  <c r="AU329" i="4"/>
  <c r="AV329" i="4" s="1"/>
  <c r="AH330" i="4"/>
  <c r="U332" i="4"/>
  <c r="X332" i="4"/>
  <c r="AC332" i="4" s="1"/>
  <c r="V332" i="4"/>
  <c r="AW332" i="4" s="1"/>
  <c r="T332" i="4"/>
  <c r="R332" i="4"/>
  <c r="Z332" i="4" s="1"/>
  <c r="W332" i="4"/>
  <c r="AB332" i="4" s="1"/>
  <c r="Y332" i="4"/>
  <c r="AD332" i="4" s="1"/>
  <c r="S332" i="4"/>
  <c r="AA332" i="4" s="1"/>
  <c r="B334" i="4"/>
  <c r="BC335" i="4"/>
  <c r="AL330" i="4"/>
  <c r="J332" i="28"/>
  <c r="I332" i="28"/>
  <c r="AM332" i="4"/>
  <c r="B334" i="28"/>
  <c r="AC335" i="28"/>
  <c r="R333" i="28"/>
  <c r="Q333" i="28"/>
  <c r="S333" i="28"/>
  <c r="AG331" i="4"/>
  <c r="AX331" i="4"/>
  <c r="BD333" i="4"/>
  <c r="BE333" i="4"/>
  <c r="M333" i="4"/>
  <c r="L333" i="4"/>
  <c r="AQ333" i="4"/>
  <c r="G333" i="4"/>
  <c r="AP333" i="4"/>
  <c r="AR333" i="4"/>
  <c r="AO333" i="4"/>
  <c r="N333" i="4"/>
  <c r="AF333" i="4"/>
  <c r="AS333" i="4"/>
  <c r="AT333" i="4"/>
  <c r="E333" i="4"/>
  <c r="J333" i="4"/>
  <c r="I333" i="4"/>
  <c r="H333" i="4"/>
  <c r="AE333" i="28"/>
  <c r="AD333" i="28"/>
  <c r="AH331" i="4"/>
  <c r="AL331" i="4"/>
  <c r="E334" i="28" l="1"/>
  <c r="T334" i="28"/>
  <c r="AM333" i="4"/>
  <c r="AX332" i="4"/>
  <c r="AN331" i="4"/>
  <c r="AU331" i="4"/>
  <c r="AV331" i="4" s="1"/>
  <c r="I333" i="28"/>
  <c r="J333" i="28"/>
  <c r="X333" i="4"/>
  <c r="AC333" i="4" s="1"/>
  <c r="S333" i="4"/>
  <c r="AA333" i="4" s="1"/>
  <c r="W333" i="4"/>
  <c r="AB333" i="4" s="1"/>
  <c r="Y333" i="4"/>
  <c r="AD333" i="4" s="1"/>
  <c r="U333" i="4"/>
  <c r="R333" i="4"/>
  <c r="Z333" i="4" s="1"/>
  <c r="V333" i="4"/>
  <c r="AW333" i="4" s="1"/>
  <c r="T333" i="4"/>
  <c r="Q334" i="28"/>
  <c r="R334" i="28"/>
  <c r="S334" i="28"/>
  <c r="AU330" i="4"/>
  <c r="AV330" i="4" s="1"/>
  <c r="AN330" i="4"/>
  <c r="G334" i="4"/>
  <c r="N334" i="4"/>
  <c r="L334" i="4"/>
  <c r="AS334" i="4"/>
  <c r="AR334" i="4"/>
  <c r="AO334" i="4"/>
  <c r="H334" i="4"/>
  <c r="I334" i="4"/>
  <c r="M334" i="4"/>
  <c r="AF334" i="4"/>
  <c r="AQ334" i="4"/>
  <c r="J334" i="4"/>
  <c r="AT334" i="4"/>
  <c r="AP334" i="4"/>
  <c r="E334" i="4"/>
  <c r="B335" i="28"/>
  <c r="AC336" i="28"/>
  <c r="AD334" i="28"/>
  <c r="AE334" i="28"/>
  <c r="B335" i="4"/>
  <c r="BC336" i="4"/>
  <c r="BE334" i="4"/>
  <c r="BD334" i="4"/>
  <c r="AG332" i="4"/>
  <c r="AL332" i="4" s="1"/>
  <c r="T335" i="28" l="1"/>
  <c r="E335" i="28"/>
  <c r="AG333" i="4"/>
  <c r="AX333" i="4"/>
  <c r="AU332" i="4"/>
  <c r="AV332" i="4" s="1"/>
  <c r="AN332" i="4"/>
  <c r="G335" i="4"/>
  <c r="AQ335" i="4"/>
  <c r="AS335" i="4"/>
  <c r="H335" i="4"/>
  <c r="L335" i="4"/>
  <c r="M335" i="4"/>
  <c r="N335" i="4"/>
  <c r="E335" i="4"/>
  <c r="AR335" i="4"/>
  <c r="J335" i="4"/>
  <c r="AP335" i="4"/>
  <c r="AT335" i="4"/>
  <c r="AO335" i="4"/>
  <c r="AF335" i="4"/>
  <c r="I335" i="4"/>
  <c r="J334" i="28"/>
  <c r="I334" i="28"/>
  <c r="AE335" i="28"/>
  <c r="AD335" i="28"/>
  <c r="AH332" i="4"/>
  <c r="Y334" i="4"/>
  <c r="AD334" i="4" s="1"/>
  <c r="R334" i="4"/>
  <c r="Z334" i="4" s="1"/>
  <c r="X334" i="4"/>
  <c r="AC334" i="4" s="1"/>
  <c r="T334" i="4"/>
  <c r="S334" i="4"/>
  <c r="AA334" i="4" s="1"/>
  <c r="V334" i="4"/>
  <c r="AW334" i="4" s="1"/>
  <c r="U334" i="4"/>
  <c r="W334" i="4"/>
  <c r="AB334" i="4" s="1"/>
  <c r="B336" i="4"/>
  <c r="BC337" i="4"/>
  <c r="BE335" i="4"/>
  <c r="BD335" i="4"/>
  <c r="AC337" i="28"/>
  <c r="B336" i="28"/>
  <c r="R335" i="28"/>
  <c r="Q335" i="28"/>
  <c r="S335" i="28"/>
  <c r="AM334" i="4"/>
  <c r="T336" i="28" l="1"/>
  <c r="E336" i="28"/>
  <c r="AH333" i="4"/>
  <c r="AX334" i="4"/>
  <c r="AC338" i="28"/>
  <c r="B337" i="28"/>
  <c r="T335" i="4"/>
  <c r="R335" i="4"/>
  <c r="Z335" i="4" s="1"/>
  <c r="W335" i="4"/>
  <c r="AB335" i="4" s="1"/>
  <c r="X335" i="4"/>
  <c r="AC335" i="4" s="1"/>
  <c r="S335" i="4"/>
  <c r="AA335" i="4" s="1"/>
  <c r="U335" i="4"/>
  <c r="V335" i="4"/>
  <c r="AW335" i="4" s="1"/>
  <c r="Y335" i="4"/>
  <c r="AD335" i="4" s="1"/>
  <c r="BC338" i="4"/>
  <c r="B337" i="4"/>
  <c r="AG334" i="4"/>
  <c r="AL333" i="4"/>
  <c r="S336" i="28"/>
  <c r="Q336" i="28"/>
  <c r="R336" i="28"/>
  <c r="AE336" i="28"/>
  <c r="AD336" i="28"/>
  <c r="BD336" i="4"/>
  <c r="BE336" i="4"/>
  <c r="J336" i="4"/>
  <c r="E336" i="4"/>
  <c r="AF336" i="4"/>
  <c r="AQ336" i="4"/>
  <c r="L336" i="4"/>
  <c r="M336" i="4"/>
  <c r="AP336" i="4"/>
  <c r="G336" i="4"/>
  <c r="AR336" i="4"/>
  <c r="AO336" i="4"/>
  <c r="I336" i="4"/>
  <c r="AS336" i="4"/>
  <c r="N336" i="4"/>
  <c r="H336" i="4"/>
  <c r="AT336" i="4"/>
  <c r="I335" i="28"/>
  <c r="J335" i="28"/>
  <c r="AM335" i="4"/>
  <c r="E337" i="28" l="1"/>
  <c r="T337" i="28"/>
  <c r="AH334" i="4"/>
  <c r="AM336" i="4"/>
  <c r="I336" i="28"/>
  <c r="J336" i="28"/>
  <c r="AL334" i="4"/>
  <c r="BE337" i="4"/>
  <c r="BD337" i="4"/>
  <c r="B338" i="4"/>
  <c r="BC339" i="4"/>
  <c r="AX335" i="4"/>
  <c r="Q337" i="28"/>
  <c r="S337" i="28"/>
  <c r="R337" i="28"/>
  <c r="AE337" i="28"/>
  <c r="AD337" i="28"/>
  <c r="T336" i="4"/>
  <c r="W336" i="4"/>
  <c r="AB336" i="4" s="1"/>
  <c r="U336" i="4"/>
  <c r="R336" i="4"/>
  <c r="Z336" i="4" s="1"/>
  <c r="V336" i="4"/>
  <c r="AW336" i="4" s="1"/>
  <c r="X336" i="4"/>
  <c r="AC336" i="4" s="1"/>
  <c r="Y336" i="4"/>
  <c r="AD336" i="4" s="1"/>
  <c r="S336" i="4"/>
  <c r="AA336" i="4" s="1"/>
  <c r="AU333" i="4"/>
  <c r="AV333" i="4" s="1"/>
  <c r="AN333" i="4"/>
  <c r="AT337" i="4"/>
  <c r="AF337" i="4"/>
  <c r="N337" i="4"/>
  <c r="E337" i="4"/>
  <c r="J337" i="4"/>
  <c r="AS337" i="4"/>
  <c r="G337" i="4"/>
  <c r="I337" i="4"/>
  <c r="H337" i="4"/>
  <c r="L337" i="4"/>
  <c r="M337" i="4"/>
  <c r="AP337" i="4"/>
  <c r="AR337" i="4"/>
  <c r="AQ337" i="4"/>
  <c r="AO337" i="4"/>
  <c r="AG335" i="4"/>
  <c r="B338" i="28"/>
  <c r="AC339" i="28"/>
  <c r="E338" i="28" l="1"/>
  <c r="T338" i="28"/>
  <c r="AX336" i="4"/>
  <c r="AL335" i="4"/>
  <c r="AU335" i="4" s="1"/>
  <c r="AV335" i="4" s="1"/>
  <c r="AG336" i="4"/>
  <c r="AH335" i="4"/>
  <c r="B339" i="28"/>
  <c r="AC340" i="28"/>
  <c r="AD338" i="28"/>
  <c r="AE338" i="28"/>
  <c r="S338" i="28"/>
  <c r="R338" i="28"/>
  <c r="Q338" i="28"/>
  <c r="I337" i="28"/>
  <c r="J337" i="28"/>
  <c r="B339" i="4"/>
  <c r="BC340" i="4"/>
  <c r="Y337" i="4"/>
  <c r="AD337" i="4" s="1"/>
  <c r="W337" i="4"/>
  <c r="AB337" i="4" s="1"/>
  <c r="V337" i="4"/>
  <c r="AW337" i="4" s="1"/>
  <c r="U337" i="4"/>
  <c r="S337" i="4"/>
  <c r="AA337" i="4" s="1"/>
  <c r="R337" i="4"/>
  <c r="Z337" i="4" s="1"/>
  <c r="T337" i="4"/>
  <c r="X337" i="4"/>
  <c r="AC337" i="4" s="1"/>
  <c r="AU334" i="4"/>
  <c r="AV334" i="4" s="1"/>
  <c r="AN334" i="4"/>
  <c r="AM337" i="4"/>
  <c r="BD338" i="4"/>
  <c r="BE338" i="4"/>
  <c r="M338" i="4"/>
  <c r="AF338" i="4"/>
  <c r="AO338" i="4"/>
  <c r="AP338" i="4"/>
  <c r="AQ338" i="4"/>
  <c r="G338" i="4"/>
  <c r="H338" i="4"/>
  <c r="N338" i="4"/>
  <c r="L338" i="4"/>
  <c r="I338" i="4"/>
  <c r="AT338" i="4"/>
  <c r="AS338" i="4"/>
  <c r="E338" i="4"/>
  <c r="J338" i="4"/>
  <c r="AR338" i="4"/>
  <c r="T339" i="28" l="1"/>
  <c r="E339" i="28"/>
  <c r="AL336" i="4"/>
  <c r="AX337" i="4"/>
  <c r="AN335" i="4"/>
  <c r="AG337" i="4"/>
  <c r="X338" i="4"/>
  <c r="AC338" i="4" s="1"/>
  <c r="W338" i="4"/>
  <c r="AB338" i="4" s="1"/>
  <c r="Y338" i="4"/>
  <c r="AD338" i="4" s="1"/>
  <c r="V338" i="4"/>
  <c r="AW338" i="4" s="1"/>
  <c r="R338" i="4"/>
  <c r="Z338" i="4" s="1"/>
  <c r="T338" i="4"/>
  <c r="S338" i="4"/>
  <c r="AA338" i="4" s="1"/>
  <c r="U338" i="4"/>
  <c r="B340" i="4"/>
  <c r="BC341" i="4"/>
  <c r="AH336" i="4"/>
  <c r="J338" i="28"/>
  <c r="I338" i="28"/>
  <c r="AE339" i="28"/>
  <c r="AD339" i="28"/>
  <c r="AM338" i="4"/>
  <c r="BD339" i="4"/>
  <c r="BE339" i="4"/>
  <c r="AO339" i="4"/>
  <c r="AF339" i="4"/>
  <c r="AR339" i="4"/>
  <c r="AT339" i="4"/>
  <c r="AQ339" i="4"/>
  <c r="E339" i="4"/>
  <c r="L339" i="4"/>
  <c r="I339" i="4"/>
  <c r="M339" i="4"/>
  <c r="N339" i="4"/>
  <c r="G339" i="4"/>
  <c r="AS339" i="4"/>
  <c r="AP339" i="4"/>
  <c r="J339" i="4"/>
  <c r="H339" i="4"/>
  <c r="AC341" i="28"/>
  <c r="B340" i="28"/>
  <c r="Q339" i="28"/>
  <c r="R339" i="28"/>
  <c r="S339" i="28"/>
  <c r="AU336" i="4" l="1"/>
  <c r="AV336" i="4" s="1"/>
  <c r="Q585" i="7"/>
  <c r="AL337" i="4"/>
  <c r="AN337" i="4" s="1"/>
  <c r="T340" i="28"/>
  <c r="E340" i="28"/>
  <c r="AN336" i="4"/>
  <c r="AX338" i="4"/>
  <c r="AH337" i="4"/>
  <c r="Q340" i="28"/>
  <c r="S340" i="28"/>
  <c r="R340" i="28"/>
  <c r="AD340" i="28"/>
  <c r="AE340" i="28"/>
  <c r="R339" i="4"/>
  <c r="Z339" i="4" s="1"/>
  <c r="U339" i="4"/>
  <c r="W339" i="4"/>
  <c r="AB339" i="4" s="1"/>
  <c r="X339" i="4"/>
  <c r="AC339" i="4" s="1"/>
  <c r="V339" i="4"/>
  <c r="AW339" i="4" s="1"/>
  <c r="Y339" i="4"/>
  <c r="AD339" i="4" s="1"/>
  <c r="S339" i="4"/>
  <c r="AA339" i="4" s="1"/>
  <c r="T339" i="4"/>
  <c r="J339" i="28"/>
  <c r="I339" i="28"/>
  <c r="BE340" i="4"/>
  <c r="BD340" i="4"/>
  <c r="AC342" i="28"/>
  <c r="B341" i="28"/>
  <c r="AM339" i="4"/>
  <c r="BC342" i="4"/>
  <c r="B341" i="4"/>
  <c r="AQ340" i="4"/>
  <c r="AO340" i="4"/>
  <c r="AF340" i="4"/>
  <c r="G340" i="4"/>
  <c r="M340" i="4"/>
  <c r="E340" i="4"/>
  <c r="AT340" i="4"/>
  <c r="AR340" i="4"/>
  <c r="J340" i="4"/>
  <c r="L340" i="4"/>
  <c r="I340" i="4"/>
  <c r="AS340" i="4"/>
  <c r="N340" i="4"/>
  <c r="H340" i="4"/>
  <c r="AP340" i="4"/>
  <c r="AG338" i="4"/>
  <c r="AU337" i="4" l="1"/>
  <c r="AV337" i="4" s="1"/>
  <c r="E341" i="28"/>
  <c r="T341" i="28"/>
  <c r="AX339" i="4"/>
  <c r="AH338" i="4"/>
  <c r="AL338" i="4"/>
  <c r="AM340" i="4"/>
  <c r="BE341" i="4"/>
  <c r="BD341" i="4"/>
  <c r="AD341" i="28"/>
  <c r="AE341" i="28"/>
  <c r="AG339" i="4"/>
  <c r="I340" i="28"/>
  <c r="J340" i="28"/>
  <c r="AO341" i="4"/>
  <c r="H341" i="4"/>
  <c r="G341" i="4"/>
  <c r="N341" i="4"/>
  <c r="L341" i="4"/>
  <c r="I341" i="4"/>
  <c r="E341" i="4"/>
  <c r="AR341" i="4"/>
  <c r="J341" i="4"/>
  <c r="AQ341" i="4"/>
  <c r="AS341" i="4"/>
  <c r="AF341" i="4"/>
  <c r="M341" i="4"/>
  <c r="AT341" i="4"/>
  <c r="AP341" i="4"/>
  <c r="BC343" i="4"/>
  <c r="B342" i="4"/>
  <c r="W341" i="28"/>
  <c r="S341" i="28"/>
  <c r="Q341" i="28"/>
  <c r="R341" i="28"/>
  <c r="AC343" i="28"/>
  <c r="B342" i="28"/>
  <c r="U340" i="4"/>
  <c r="S340" i="4"/>
  <c r="AA340" i="4" s="1"/>
  <c r="R340" i="4"/>
  <c r="Z340" i="4" s="1"/>
  <c r="T340" i="4"/>
  <c r="Y340" i="4"/>
  <c r="AD340" i="4" s="1"/>
  <c r="W340" i="4"/>
  <c r="AB340" i="4" s="1"/>
  <c r="X340" i="4"/>
  <c r="AC340" i="4" s="1"/>
  <c r="V340" i="4"/>
  <c r="AW340" i="4" s="1"/>
  <c r="AN338" i="4" l="1"/>
  <c r="Q586" i="7"/>
  <c r="Q587" i="7" s="1"/>
  <c r="Q578" i="7" s="1"/>
  <c r="E342" i="28"/>
  <c r="T342" i="28"/>
  <c r="AU338" i="4"/>
  <c r="AV338" i="4" s="1"/>
  <c r="AM341" i="4"/>
  <c r="AL339" i="4"/>
  <c r="AN339" i="4" s="1"/>
  <c r="J342" i="4"/>
  <c r="H342" i="4"/>
  <c r="AF342" i="4"/>
  <c r="AO342" i="4"/>
  <c r="AT342" i="4"/>
  <c r="AS342" i="4"/>
  <c r="M342" i="4"/>
  <c r="AR342" i="4"/>
  <c r="E342" i="4"/>
  <c r="L342" i="4"/>
  <c r="I342" i="4"/>
  <c r="AP342" i="4"/>
  <c r="G342" i="4"/>
  <c r="AQ342" i="4"/>
  <c r="N342" i="4"/>
  <c r="BE342" i="4"/>
  <c r="BD342" i="4"/>
  <c r="J341" i="28"/>
  <c r="Y341" i="28" s="1"/>
  <c r="I341" i="28"/>
  <c r="AX340" i="4"/>
  <c r="B343" i="28"/>
  <c r="AC344" i="28"/>
  <c r="AG340" i="4"/>
  <c r="Q342" i="28"/>
  <c r="R342" i="28"/>
  <c r="S342" i="28"/>
  <c r="AD342" i="28"/>
  <c r="AE342" i="28"/>
  <c r="O341" i="28"/>
  <c r="B343" i="4"/>
  <c r="BC344" i="4"/>
  <c r="AH339" i="4"/>
  <c r="Y341" i="4"/>
  <c r="AD341" i="4" s="1"/>
  <c r="S341" i="4"/>
  <c r="AA341" i="4" s="1"/>
  <c r="R341" i="4"/>
  <c r="Z341" i="4" s="1"/>
  <c r="V341" i="4"/>
  <c r="AW341" i="4" s="1"/>
  <c r="U341" i="4"/>
  <c r="X341" i="4"/>
  <c r="AC341" i="4" s="1"/>
  <c r="W341" i="4"/>
  <c r="AB341" i="4" s="1"/>
  <c r="T341" i="4"/>
  <c r="T343" i="28" l="1"/>
  <c r="E343" i="28"/>
  <c r="AU339" i="4"/>
  <c r="AV339" i="4" s="1"/>
  <c r="AH340" i="4"/>
  <c r="AG341" i="4"/>
  <c r="BE343" i="4"/>
  <c r="BD343" i="4"/>
  <c r="J343" i="4"/>
  <c r="AP343" i="4"/>
  <c r="E343" i="4"/>
  <c r="L343" i="4"/>
  <c r="N343" i="4"/>
  <c r="AS343" i="4"/>
  <c r="H343" i="4"/>
  <c r="G343" i="4"/>
  <c r="AQ343" i="4"/>
  <c r="I343" i="4"/>
  <c r="AR343" i="4"/>
  <c r="M343" i="4"/>
  <c r="AF343" i="4"/>
  <c r="AT343" i="4"/>
  <c r="AO343" i="4"/>
  <c r="AC345" i="28"/>
  <c r="B344" i="28"/>
  <c r="AE343" i="28"/>
  <c r="AD343" i="28"/>
  <c r="AX341" i="4"/>
  <c r="B344" i="4"/>
  <c r="BC345" i="4"/>
  <c r="Z341" i="28"/>
  <c r="I342" i="28"/>
  <c r="J342" i="28"/>
  <c r="AL340" i="4"/>
  <c r="R343" i="28"/>
  <c r="S343" i="28"/>
  <c r="Q343" i="28"/>
  <c r="R342" i="4"/>
  <c r="Z342" i="4" s="1"/>
  <c r="W342" i="4"/>
  <c r="AB342" i="4" s="1"/>
  <c r="X342" i="4"/>
  <c r="AC342" i="4" s="1"/>
  <c r="V342" i="4"/>
  <c r="AW342" i="4" s="1"/>
  <c r="T342" i="4"/>
  <c r="U342" i="4"/>
  <c r="S342" i="4"/>
  <c r="AA342" i="4" s="1"/>
  <c r="Y342" i="4"/>
  <c r="AD342" i="4" s="1"/>
  <c r="AM342" i="4"/>
  <c r="T344" i="28" l="1"/>
  <c r="E344" i="28"/>
  <c r="AH341" i="4"/>
  <c r="BE344" i="4"/>
  <c r="BD344" i="4"/>
  <c r="I343" i="28"/>
  <c r="J343" i="28"/>
  <c r="S344" i="28"/>
  <c r="Q344" i="28"/>
  <c r="R344" i="28"/>
  <c r="B345" i="28"/>
  <c r="AC346" i="28"/>
  <c r="AX342" i="4"/>
  <c r="AU340" i="4"/>
  <c r="AV340" i="4" s="1"/>
  <c r="AN340" i="4"/>
  <c r="BC346" i="4"/>
  <c r="B345" i="4"/>
  <c r="G344" i="4"/>
  <c r="AT344" i="4"/>
  <c r="J344" i="4"/>
  <c r="H344" i="4"/>
  <c r="I344" i="4"/>
  <c r="AR344" i="4"/>
  <c r="L344" i="4"/>
  <c r="M344" i="4"/>
  <c r="AP344" i="4"/>
  <c r="E344" i="4"/>
  <c r="AO344" i="4"/>
  <c r="AQ344" i="4"/>
  <c r="AS344" i="4"/>
  <c r="N344" i="4"/>
  <c r="AF344" i="4"/>
  <c r="AD344" i="28"/>
  <c r="AE344" i="28"/>
  <c r="AM343" i="4"/>
  <c r="AL341" i="4"/>
  <c r="AG342" i="4"/>
  <c r="S343" i="4"/>
  <c r="AA343" i="4" s="1"/>
  <c r="R343" i="4"/>
  <c r="Z343" i="4" s="1"/>
  <c r="Y343" i="4"/>
  <c r="AD343" i="4" s="1"/>
  <c r="V343" i="4"/>
  <c r="AW343" i="4" s="1"/>
  <c r="T343" i="4"/>
  <c r="W343" i="4"/>
  <c r="AB343" i="4" s="1"/>
  <c r="U343" i="4"/>
  <c r="X343" i="4"/>
  <c r="AC343" i="4" s="1"/>
  <c r="E345" i="28" l="1"/>
  <c r="T345" i="28"/>
  <c r="M345" i="28"/>
  <c r="L345" i="28"/>
  <c r="AL342" i="4"/>
  <c r="AU342" i="4" s="1"/>
  <c r="AV342" i="4" s="1"/>
  <c r="G345" i="4"/>
  <c r="H345" i="4"/>
  <c r="M345" i="4"/>
  <c r="N345" i="4"/>
  <c r="AT345" i="4"/>
  <c r="I345" i="4"/>
  <c r="AR345" i="4"/>
  <c r="AQ345" i="4"/>
  <c r="AO345" i="4"/>
  <c r="AF345" i="4"/>
  <c r="L345" i="4"/>
  <c r="E345" i="4"/>
  <c r="AP345" i="4"/>
  <c r="AS345" i="4"/>
  <c r="J345" i="4"/>
  <c r="BC347" i="4"/>
  <c r="B346" i="4"/>
  <c r="S345" i="28"/>
  <c r="Q345" i="28"/>
  <c r="R345" i="28"/>
  <c r="V344" i="4"/>
  <c r="AW344" i="4" s="1"/>
  <c r="T344" i="4"/>
  <c r="S344" i="4"/>
  <c r="AA344" i="4" s="1"/>
  <c r="Y344" i="4"/>
  <c r="AD344" i="4" s="1"/>
  <c r="W344" i="4"/>
  <c r="AB344" i="4" s="1"/>
  <c r="R344" i="4"/>
  <c r="Z344" i="4" s="1"/>
  <c r="U344" i="4"/>
  <c r="X344" i="4"/>
  <c r="AC344" i="4" s="1"/>
  <c r="I344" i="28"/>
  <c r="J344" i="28"/>
  <c r="AG343" i="4"/>
  <c r="AL343" i="4" s="1"/>
  <c r="AX343" i="4"/>
  <c r="AH342" i="4"/>
  <c r="AU341" i="4"/>
  <c r="AV341" i="4" s="1"/>
  <c r="AN341" i="4"/>
  <c r="AM344" i="4"/>
  <c r="BD345" i="4"/>
  <c r="BE345" i="4"/>
  <c r="B346" i="28"/>
  <c r="AC347" i="28"/>
  <c r="AE345" i="28"/>
  <c r="AD345" i="28"/>
  <c r="E346" i="28" l="1"/>
  <c r="T346" i="28"/>
  <c r="AX344" i="4"/>
  <c r="AN342" i="4"/>
  <c r="AN343" i="4"/>
  <c r="AU343" i="4"/>
  <c r="AV343" i="4" s="1"/>
  <c r="I345" i="28"/>
  <c r="J345" i="28"/>
  <c r="AC348" i="28"/>
  <c r="B347" i="28"/>
  <c r="Q346" i="28"/>
  <c r="R346" i="28"/>
  <c r="S346" i="28"/>
  <c r="U345" i="4"/>
  <c r="W345" i="4"/>
  <c r="AB345" i="4" s="1"/>
  <c r="R345" i="4"/>
  <c r="Z345" i="4" s="1"/>
  <c r="X345" i="4"/>
  <c r="AC345" i="4" s="1"/>
  <c r="S345" i="4"/>
  <c r="AA345" i="4" s="1"/>
  <c r="V345" i="4"/>
  <c r="AW345" i="4" s="1"/>
  <c r="T345" i="4"/>
  <c r="Y345" i="4"/>
  <c r="AD345" i="4" s="1"/>
  <c r="AG344" i="4"/>
  <c r="L346" i="4"/>
  <c r="AP346" i="4"/>
  <c r="AR346" i="4"/>
  <c r="AT346" i="4"/>
  <c r="M346" i="4"/>
  <c r="AS346" i="4"/>
  <c r="I346" i="4"/>
  <c r="AF346" i="4"/>
  <c r="E346" i="4"/>
  <c r="AO346" i="4"/>
  <c r="J346" i="4"/>
  <c r="G346" i="4"/>
  <c r="N346" i="4"/>
  <c r="H346" i="4"/>
  <c r="AQ346" i="4"/>
  <c r="B347" i="4"/>
  <c r="BC348" i="4"/>
  <c r="AH343" i="4"/>
  <c r="AE346" i="28"/>
  <c r="AD346" i="28"/>
  <c r="BD346" i="4"/>
  <c r="BE346" i="4"/>
  <c r="AM345" i="4"/>
  <c r="T347" i="28" l="1"/>
  <c r="E347" i="28"/>
  <c r="AH344" i="4"/>
  <c r="I346" i="28"/>
  <c r="J346" i="28"/>
  <c r="B348" i="4"/>
  <c r="BC349" i="4"/>
  <c r="AX345" i="4"/>
  <c r="Q347" i="28"/>
  <c r="S347" i="28"/>
  <c r="R347" i="28"/>
  <c r="AD347" i="28"/>
  <c r="AE347" i="28"/>
  <c r="V346" i="4"/>
  <c r="AW346" i="4" s="1"/>
  <c r="R346" i="4"/>
  <c r="Z346" i="4" s="1"/>
  <c r="U346" i="4"/>
  <c r="X346" i="4"/>
  <c r="AC346" i="4" s="1"/>
  <c r="S346" i="4"/>
  <c r="AA346" i="4" s="1"/>
  <c r="AX346" i="4" s="1"/>
  <c r="Y346" i="4"/>
  <c r="AD346" i="4" s="1"/>
  <c r="T346" i="4"/>
  <c r="W346" i="4"/>
  <c r="AB346" i="4" s="1"/>
  <c r="BD347" i="4"/>
  <c r="BE347" i="4"/>
  <c r="L347" i="4"/>
  <c r="AF347" i="4"/>
  <c r="AS347" i="4"/>
  <c r="AQ347" i="4"/>
  <c r="H347" i="4"/>
  <c r="G347" i="4"/>
  <c r="J347" i="4"/>
  <c r="N347" i="4"/>
  <c r="M347" i="4"/>
  <c r="I347" i="4"/>
  <c r="E347" i="4"/>
  <c r="AO347" i="4"/>
  <c r="AT347" i="4"/>
  <c r="AP347" i="4"/>
  <c r="AR347" i="4"/>
  <c r="AM346" i="4"/>
  <c r="AL344" i="4"/>
  <c r="AG345" i="4"/>
  <c r="AC349" i="28"/>
  <c r="B348" i="28"/>
  <c r="T348" i="28" l="1"/>
  <c r="E348" i="28"/>
  <c r="AH345" i="4"/>
  <c r="AL345" i="4"/>
  <c r="Q348" i="28"/>
  <c r="R348" i="28"/>
  <c r="S348" i="28"/>
  <c r="AC350" i="28"/>
  <c r="B349" i="28"/>
  <c r="U347" i="4"/>
  <c r="Y347" i="4"/>
  <c r="AD347" i="4" s="1"/>
  <c r="R347" i="4"/>
  <c r="Z347" i="4" s="1"/>
  <c r="W347" i="4"/>
  <c r="AB347" i="4" s="1"/>
  <c r="S347" i="4"/>
  <c r="AA347" i="4" s="1"/>
  <c r="T347" i="4"/>
  <c r="V347" i="4"/>
  <c r="AW347" i="4" s="1"/>
  <c r="X347" i="4"/>
  <c r="AC347" i="4" s="1"/>
  <c r="AG346" i="4"/>
  <c r="BC350" i="4"/>
  <c r="B349" i="4"/>
  <c r="BD348" i="4"/>
  <c r="BE348" i="4"/>
  <c r="AD348" i="28"/>
  <c r="AE348" i="28"/>
  <c r="AN344" i="4"/>
  <c r="AU344" i="4"/>
  <c r="AV344" i="4" s="1"/>
  <c r="AM347" i="4"/>
  <c r="J347" i="28"/>
  <c r="I347" i="28"/>
  <c r="L348" i="4"/>
  <c r="AR348" i="4"/>
  <c r="I348" i="4"/>
  <c r="M348" i="4"/>
  <c r="AS348" i="4"/>
  <c r="AT348" i="4"/>
  <c r="H348" i="4"/>
  <c r="AF348" i="4"/>
  <c r="G348" i="4"/>
  <c r="AO348" i="4"/>
  <c r="AQ348" i="4"/>
  <c r="J348" i="4"/>
  <c r="N348" i="4"/>
  <c r="E348" i="4"/>
  <c r="F348" i="4" s="1"/>
  <c r="AP348" i="4"/>
  <c r="E349" i="28" l="1"/>
  <c r="T349" i="28"/>
  <c r="AL346" i="4"/>
  <c r="AN346" i="4" s="1"/>
  <c r="AU345" i="4"/>
  <c r="AV345" i="4" s="1"/>
  <c r="AN345" i="4"/>
  <c r="V348" i="4"/>
  <c r="AW348" i="4" s="1"/>
  <c r="X348" i="4"/>
  <c r="AC348" i="4" s="1"/>
  <c r="Y348" i="4"/>
  <c r="AD348" i="4" s="1"/>
  <c r="W348" i="4"/>
  <c r="AB348" i="4" s="1"/>
  <c r="R348" i="4"/>
  <c r="Z348" i="4" s="1"/>
  <c r="U348" i="4"/>
  <c r="S348" i="4"/>
  <c r="AA348" i="4" s="1"/>
  <c r="T348" i="4"/>
  <c r="N349" i="4"/>
  <c r="J349" i="4"/>
  <c r="AO349" i="4"/>
  <c r="M349" i="4"/>
  <c r="AT349" i="4"/>
  <c r="E349" i="4"/>
  <c r="G349" i="4"/>
  <c r="AS349" i="4"/>
  <c r="AF349" i="4"/>
  <c r="AP349" i="4"/>
  <c r="I349" i="4"/>
  <c r="L349" i="4"/>
  <c r="AR349" i="4"/>
  <c r="H349" i="4"/>
  <c r="AQ349" i="4"/>
  <c r="BC351" i="4"/>
  <c r="B350" i="4"/>
  <c r="AX347" i="4"/>
  <c r="Q349" i="28"/>
  <c r="R349" i="28"/>
  <c r="S349" i="28"/>
  <c r="AC351" i="28"/>
  <c r="B350" i="28"/>
  <c r="AM348" i="4"/>
  <c r="J348" i="28"/>
  <c r="I348" i="28"/>
  <c r="BE349" i="4"/>
  <c r="BD349" i="4"/>
  <c r="AH346" i="4"/>
  <c r="AG347" i="4"/>
  <c r="AD349" i="28"/>
  <c r="AE349" i="28"/>
  <c r="AU346" i="4" l="1"/>
  <c r="AV346" i="4" s="1"/>
  <c r="T350" i="28"/>
  <c r="E350" i="28"/>
  <c r="AX348" i="4"/>
  <c r="J349" i="28"/>
  <c r="I349" i="28"/>
  <c r="S350" i="28"/>
  <c r="R350" i="28"/>
  <c r="Q350" i="28"/>
  <c r="B351" i="28"/>
  <c r="AC352" i="28"/>
  <c r="BE350" i="4"/>
  <c r="BD350" i="4"/>
  <c r="AM349" i="4"/>
  <c r="AH347" i="4"/>
  <c r="W349" i="4"/>
  <c r="AB349" i="4" s="1"/>
  <c r="U349" i="4"/>
  <c r="X349" i="4"/>
  <c r="AC349" i="4" s="1"/>
  <c r="R349" i="4"/>
  <c r="Z349" i="4" s="1"/>
  <c r="T349" i="4"/>
  <c r="S349" i="4"/>
  <c r="AA349" i="4" s="1"/>
  <c r="V349" i="4"/>
  <c r="AW349" i="4" s="1"/>
  <c r="Y349" i="4"/>
  <c r="AD349" i="4" s="1"/>
  <c r="AD350" i="28"/>
  <c r="AE350" i="28"/>
  <c r="AL347" i="4"/>
  <c r="N350" i="4"/>
  <c r="L350" i="4"/>
  <c r="AP350" i="4"/>
  <c r="I350" i="4"/>
  <c r="H350" i="4"/>
  <c r="AR350" i="4"/>
  <c r="G350" i="4"/>
  <c r="AQ350" i="4"/>
  <c r="AF350" i="4"/>
  <c r="AO350" i="4"/>
  <c r="AS350" i="4"/>
  <c r="J350" i="4"/>
  <c r="AT350" i="4"/>
  <c r="M350" i="4"/>
  <c r="E350" i="4"/>
  <c r="B351" i="4"/>
  <c r="BC352" i="4"/>
  <c r="AG348" i="4"/>
  <c r="T351" i="28" l="1"/>
  <c r="E351" i="28"/>
  <c r="AG349" i="4"/>
  <c r="AM350" i="4"/>
  <c r="AL348" i="4"/>
  <c r="AN348" i="4" s="1"/>
  <c r="AX349" i="4"/>
  <c r="B352" i="4"/>
  <c r="BC353" i="4"/>
  <c r="BE351" i="4"/>
  <c r="BD351" i="4"/>
  <c r="AH348" i="4"/>
  <c r="AC353" i="28"/>
  <c r="B352" i="28"/>
  <c r="Q351" i="28"/>
  <c r="S351" i="28"/>
  <c r="R351" i="28"/>
  <c r="AO351" i="4"/>
  <c r="M351" i="4"/>
  <c r="AR351" i="4"/>
  <c r="AS351" i="4"/>
  <c r="G351" i="4"/>
  <c r="L351" i="4"/>
  <c r="I351" i="4"/>
  <c r="J351" i="4"/>
  <c r="H351" i="4"/>
  <c r="E351" i="4"/>
  <c r="N351" i="4"/>
  <c r="AT351" i="4"/>
  <c r="AP351" i="4"/>
  <c r="AF351" i="4"/>
  <c r="AQ351" i="4"/>
  <c r="AN347" i="4"/>
  <c r="AU347" i="4"/>
  <c r="AV347" i="4" s="1"/>
  <c r="I350" i="28"/>
  <c r="J350" i="28"/>
  <c r="AH349" i="4"/>
  <c r="T350" i="4"/>
  <c r="Y350" i="4"/>
  <c r="AD350" i="4" s="1"/>
  <c r="W350" i="4"/>
  <c r="AB350" i="4" s="1"/>
  <c r="U350" i="4"/>
  <c r="V350" i="4"/>
  <c r="AW350" i="4" s="1"/>
  <c r="R350" i="4"/>
  <c r="Z350" i="4" s="1"/>
  <c r="S350" i="4"/>
  <c r="AA350" i="4" s="1"/>
  <c r="X350" i="4"/>
  <c r="AC350" i="4" s="1"/>
  <c r="AD351" i="28"/>
  <c r="AE351" i="28"/>
  <c r="T352" i="28" l="1"/>
  <c r="E352" i="28"/>
  <c r="AX350" i="4"/>
  <c r="AU348" i="4"/>
  <c r="AV348" i="4" s="1"/>
  <c r="S352" i="28"/>
  <c r="R352" i="28"/>
  <c r="Q352" i="28"/>
  <c r="B353" i="28"/>
  <c r="AC354" i="28"/>
  <c r="B353" i="4"/>
  <c r="BC354" i="4"/>
  <c r="H352" i="4"/>
  <c r="AQ352" i="4"/>
  <c r="I352" i="4"/>
  <c r="M352" i="4"/>
  <c r="AF352" i="4"/>
  <c r="AS352" i="4"/>
  <c r="AP352" i="4"/>
  <c r="E352" i="4"/>
  <c r="F352" i="4" s="1"/>
  <c r="J352" i="4"/>
  <c r="L352" i="4"/>
  <c r="N352" i="4"/>
  <c r="AT352" i="4"/>
  <c r="G352" i="4"/>
  <c r="AR352" i="4"/>
  <c r="AO352" i="4"/>
  <c r="I351" i="28"/>
  <c r="J351" i="28"/>
  <c r="AG350" i="4"/>
  <c r="AH350" i="4" s="1"/>
  <c r="AM351" i="4"/>
  <c r="AD352" i="28"/>
  <c r="AE352" i="28"/>
  <c r="AL349" i="4"/>
  <c r="S351" i="4"/>
  <c r="AA351" i="4" s="1"/>
  <c r="U351" i="4"/>
  <c r="T351" i="4"/>
  <c r="X351" i="4"/>
  <c r="AC351" i="4" s="1"/>
  <c r="Y351" i="4"/>
  <c r="AD351" i="4" s="1"/>
  <c r="W351" i="4"/>
  <c r="AB351" i="4" s="1"/>
  <c r="R351" i="4"/>
  <c r="Z351" i="4" s="1"/>
  <c r="V351" i="4"/>
  <c r="AW351" i="4" s="1"/>
  <c r="BE352" i="4"/>
  <c r="BD352" i="4"/>
  <c r="E353" i="28" l="1"/>
  <c r="T353" i="28"/>
  <c r="AL350" i="4"/>
  <c r="AG351" i="4"/>
  <c r="AX351" i="4"/>
  <c r="AU349" i="4"/>
  <c r="AV349" i="4" s="1"/>
  <c r="AN349" i="4"/>
  <c r="BD353" i="4"/>
  <c r="BE353" i="4"/>
  <c r="G353" i="4"/>
  <c r="AO353" i="4"/>
  <c r="M353" i="4"/>
  <c r="AF353" i="4"/>
  <c r="I353" i="4"/>
  <c r="AP353" i="4"/>
  <c r="AQ353" i="4"/>
  <c r="J353" i="4"/>
  <c r="H353" i="4"/>
  <c r="N353" i="4"/>
  <c r="L353" i="4"/>
  <c r="E353" i="4"/>
  <c r="AT353" i="4"/>
  <c r="AS353" i="4"/>
  <c r="AR353" i="4"/>
  <c r="B354" i="28"/>
  <c r="AC355" i="28"/>
  <c r="Q353" i="28"/>
  <c r="R353" i="28"/>
  <c r="S353" i="28"/>
  <c r="S352" i="4"/>
  <c r="AA352" i="4" s="1"/>
  <c r="W352" i="4"/>
  <c r="AB352" i="4" s="1"/>
  <c r="V352" i="4"/>
  <c r="AW352" i="4" s="1"/>
  <c r="R352" i="4"/>
  <c r="Z352" i="4" s="1"/>
  <c r="X352" i="4"/>
  <c r="AC352" i="4" s="1"/>
  <c r="T352" i="4"/>
  <c r="U352" i="4"/>
  <c r="Y352" i="4"/>
  <c r="AD352" i="4" s="1"/>
  <c r="J352" i="28"/>
  <c r="I352" i="28"/>
  <c r="AM352" i="4"/>
  <c r="B354" i="4"/>
  <c r="BC355" i="4"/>
  <c r="AE353" i="28"/>
  <c r="AD353" i="28"/>
  <c r="E354" i="28" l="1"/>
  <c r="T354" i="28"/>
  <c r="AH351" i="4"/>
  <c r="AN350" i="4"/>
  <c r="AU350" i="4"/>
  <c r="AV350" i="4" s="1"/>
  <c r="R354" i="28"/>
  <c r="Q354" i="28"/>
  <c r="S354" i="28"/>
  <c r="J353" i="28"/>
  <c r="I353" i="28"/>
  <c r="B355" i="4"/>
  <c r="BC356" i="4"/>
  <c r="AX352" i="4"/>
  <c r="AC356" i="28"/>
  <c r="B355" i="28"/>
  <c r="AD354" i="28"/>
  <c r="AE354" i="28"/>
  <c r="V353" i="4"/>
  <c r="AW353" i="4" s="1"/>
  <c r="Y353" i="4"/>
  <c r="AD353" i="4" s="1"/>
  <c r="W353" i="4"/>
  <c r="AB353" i="4" s="1"/>
  <c r="X353" i="4"/>
  <c r="AC353" i="4" s="1"/>
  <c r="T353" i="4"/>
  <c r="S353" i="4"/>
  <c r="AA353" i="4" s="1"/>
  <c r="R353" i="4"/>
  <c r="Z353" i="4" s="1"/>
  <c r="U353" i="4"/>
  <c r="BE354" i="4"/>
  <c r="BD354" i="4"/>
  <c r="AQ354" i="4"/>
  <c r="AR354" i="4"/>
  <c r="E354" i="4"/>
  <c r="I354" i="4"/>
  <c r="AO354" i="4"/>
  <c r="AF354" i="4"/>
  <c r="L354" i="4"/>
  <c r="AT354" i="4"/>
  <c r="G354" i="4"/>
  <c r="H354" i="4"/>
  <c r="AS354" i="4"/>
  <c r="AP354" i="4"/>
  <c r="J354" i="4"/>
  <c r="N354" i="4"/>
  <c r="M354" i="4"/>
  <c r="AG352" i="4"/>
  <c r="AM353" i="4"/>
  <c r="AL351" i="4"/>
  <c r="T355" i="28" l="1"/>
  <c r="E355" i="28"/>
  <c r="AL352" i="4"/>
  <c r="AU352" i="4" s="1"/>
  <c r="AV352" i="4" s="1"/>
  <c r="AX353" i="4"/>
  <c r="AU351" i="4"/>
  <c r="AV351" i="4" s="1"/>
  <c r="AN351" i="4"/>
  <c r="AG353" i="4"/>
  <c r="J354" i="28"/>
  <c r="I354" i="28"/>
  <c r="B356" i="28"/>
  <c r="AC357" i="28"/>
  <c r="G355" i="4"/>
  <c r="M355" i="4"/>
  <c r="L355" i="4"/>
  <c r="J355" i="4"/>
  <c r="H355" i="4"/>
  <c r="AS355" i="4"/>
  <c r="E355" i="4"/>
  <c r="AT355" i="4"/>
  <c r="AF355" i="4"/>
  <c r="N355" i="4"/>
  <c r="AP355" i="4"/>
  <c r="AQ355" i="4"/>
  <c r="I355" i="4"/>
  <c r="AR355" i="4"/>
  <c r="AO355" i="4"/>
  <c r="AH352" i="4"/>
  <c r="AM354" i="4"/>
  <c r="V354" i="4"/>
  <c r="AW354" i="4" s="1"/>
  <c r="X354" i="4"/>
  <c r="AC354" i="4" s="1"/>
  <c r="U354" i="4"/>
  <c r="T354" i="4"/>
  <c r="Y354" i="4"/>
  <c r="AD354" i="4" s="1"/>
  <c r="W354" i="4"/>
  <c r="AB354" i="4" s="1"/>
  <c r="S354" i="4"/>
  <c r="AA354" i="4" s="1"/>
  <c r="R354" i="4"/>
  <c r="Z354" i="4" s="1"/>
  <c r="S355" i="28"/>
  <c r="Q355" i="28"/>
  <c r="R355" i="28"/>
  <c r="AE355" i="28"/>
  <c r="AD355" i="28"/>
  <c r="BE355" i="4"/>
  <c r="BD355" i="4"/>
  <c r="BC357" i="4"/>
  <c r="B356" i="4"/>
  <c r="AL353" i="4" l="1"/>
  <c r="E356" i="28"/>
  <c r="T356" i="28"/>
  <c r="AH353" i="4"/>
  <c r="AX354" i="4"/>
  <c r="AN352" i="4"/>
  <c r="AG354" i="4"/>
  <c r="BD356" i="4"/>
  <c r="BE356" i="4"/>
  <c r="S355" i="4"/>
  <c r="AA355" i="4" s="1"/>
  <c r="Y355" i="4"/>
  <c r="AD355" i="4" s="1"/>
  <c r="U355" i="4"/>
  <c r="T355" i="4"/>
  <c r="X355" i="4"/>
  <c r="AC355" i="4" s="1"/>
  <c r="V355" i="4"/>
  <c r="AW355" i="4" s="1"/>
  <c r="R355" i="4"/>
  <c r="Z355" i="4" s="1"/>
  <c r="W355" i="4"/>
  <c r="AB355" i="4" s="1"/>
  <c r="J355" i="28"/>
  <c r="I355" i="28"/>
  <c r="E356" i="4"/>
  <c r="J356" i="4"/>
  <c r="L356" i="4"/>
  <c r="M356" i="4"/>
  <c r="AR356" i="4"/>
  <c r="I356" i="4"/>
  <c r="AP356" i="4"/>
  <c r="AS356" i="4"/>
  <c r="AO356" i="4"/>
  <c r="AF356" i="4"/>
  <c r="G356" i="4"/>
  <c r="AQ356" i="4"/>
  <c r="N356" i="4"/>
  <c r="H356" i="4"/>
  <c r="AT356" i="4"/>
  <c r="B357" i="4"/>
  <c r="BC358" i="4"/>
  <c r="AM355" i="4"/>
  <c r="AC358" i="28"/>
  <c r="B357" i="28"/>
  <c r="R356" i="28"/>
  <c r="Q356" i="28"/>
  <c r="S356" i="28"/>
  <c r="AE356" i="28"/>
  <c r="AD356" i="28"/>
  <c r="AN353" i="4" l="1"/>
  <c r="AU353" i="4"/>
  <c r="AV353" i="4" s="1"/>
  <c r="E357" i="28"/>
  <c r="T357" i="28"/>
  <c r="AM356" i="4"/>
  <c r="AL354" i="4"/>
  <c r="AU354" i="4" s="1"/>
  <c r="AV354" i="4" s="1"/>
  <c r="AH354" i="4"/>
  <c r="S357" i="28"/>
  <c r="R357" i="28"/>
  <c r="Q357" i="28"/>
  <c r="B358" i="28"/>
  <c r="AC359" i="28"/>
  <c r="B358" i="4"/>
  <c r="BC359" i="4"/>
  <c r="AG355" i="4"/>
  <c r="AH355" i="4" s="1"/>
  <c r="J356" i="28"/>
  <c r="I356" i="28"/>
  <c r="AE357" i="28"/>
  <c r="AD357" i="28"/>
  <c r="BD357" i="4"/>
  <c r="BE357" i="4"/>
  <c r="AQ357" i="4"/>
  <c r="M357" i="4"/>
  <c r="J357" i="4"/>
  <c r="AR357" i="4"/>
  <c r="N357" i="4"/>
  <c r="E357" i="4"/>
  <c r="I357" i="4"/>
  <c r="AS357" i="4"/>
  <c r="G357" i="4"/>
  <c r="AT357" i="4"/>
  <c r="AP357" i="4"/>
  <c r="L357" i="4"/>
  <c r="AF357" i="4"/>
  <c r="AO357" i="4"/>
  <c r="H357" i="4"/>
  <c r="AX355" i="4"/>
  <c r="S356" i="4"/>
  <c r="AA356" i="4" s="1"/>
  <c r="X356" i="4"/>
  <c r="AC356" i="4" s="1"/>
  <c r="U356" i="4"/>
  <c r="V356" i="4"/>
  <c r="AW356" i="4" s="1"/>
  <c r="W356" i="4"/>
  <c r="AB356" i="4" s="1"/>
  <c r="T356" i="4"/>
  <c r="Y356" i="4"/>
  <c r="AD356" i="4" s="1"/>
  <c r="R356" i="4"/>
  <c r="Z356" i="4" s="1"/>
  <c r="E358" i="28" l="1"/>
  <c r="T358" i="28"/>
  <c r="AG356" i="4"/>
  <c r="AH356" i="4" s="1"/>
  <c r="AL355" i="4"/>
  <c r="AN354" i="4"/>
  <c r="AX356" i="4"/>
  <c r="AM357" i="4"/>
  <c r="Y357" i="4"/>
  <c r="AD357" i="4" s="1"/>
  <c r="U357" i="4"/>
  <c r="R357" i="4"/>
  <c r="Z357" i="4" s="1"/>
  <c r="W357" i="4"/>
  <c r="AB357" i="4" s="1"/>
  <c r="T357" i="4"/>
  <c r="S357" i="4"/>
  <c r="AA357" i="4" s="1"/>
  <c r="V357" i="4"/>
  <c r="AW357" i="4" s="1"/>
  <c r="X357" i="4"/>
  <c r="AC357" i="4" s="1"/>
  <c r="B359" i="4"/>
  <c r="BC360" i="4"/>
  <c r="L358" i="4"/>
  <c r="M358" i="4"/>
  <c r="AP358" i="4"/>
  <c r="AR358" i="4"/>
  <c r="AS358" i="4"/>
  <c r="I358" i="4"/>
  <c r="G358" i="4"/>
  <c r="E358" i="4"/>
  <c r="AF358" i="4"/>
  <c r="N358" i="4"/>
  <c r="AO358" i="4"/>
  <c r="J358" i="4"/>
  <c r="H358" i="4"/>
  <c r="AQ358" i="4"/>
  <c r="AT358" i="4"/>
  <c r="AD358" i="28"/>
  <c r="AE358" i="28"/>
  <c r="J357" i="28"/>
  <c r="I357" i="28"/>
  <c r="BD358" i="4"/>
  <c r="BE358" i="4"/>
  <c r="B359" i="28"/>
  <c r="AC360" i="28"/>
  <c r="R358" i="28"/>
  <c r="Q358" i="28"/>
  <c r="W358" i="28"/>
  <c r="S358" i="28"/>
  <c r="AL356" i="4" l="1"/>
  <c r="AU356" i="4" s="1"/>
  <c r="AV356" i="4" s="1"/>
  <c r="T359" i="28"/>
  <c r="E359" i="28"/>
  <c r="AM358" i="4"/>
  <c r="AU355" i="4"/>
  <c r="AV355" i="4" s="1"/>
  <c r="AN355" i="4"/>
  <c r="AX357" i="4"/>
  <c r="O358" i="28"/>
  <c r="B360" i="28"/>
  <c r="AC361" i="28"/>
  <c r="Q359" i="28"/>
  <c r="R359" i="28"/>
  <c r="S359" i="28"/>
  <c r="Y358" i="4"/>
  <c r="AD358" i="4" s="1"/>
  <c r="X358" i="4"/>
  <c r="AC358" i="4" s="1"/>
  <c r="S358" i="4"/>
  <c r="AA358" i="4" s="1"/>
  <c r="R358" i="4"/>
  <c r="Z358" i="4" s="1"/>
  <c r="W358" i="4"/>
  <c r="AB358" i="4" s="1"/>
  <c r="T358" i="4"/>
  <c r="U358" i="4"/>
  <c r="V358" i="4"/>
  <c r="AW358" i="4" s="1"/>
  <c r="I358" i="28"/>
  <c r="J358" i="28"/>
  <c r="Y358" i="28" s="1"/>
  <c r="BC361" i="4"/>
  <c r="B360" i="4"/>
  <c r="AO359" i="4"/>
  <c r="N359" i="4"/>
  <c r="G359" i="4"/>
  <c r="H359" i="4"/>
  <c r="E359" i="4"/>
  <c r="AR359" i="4"/>
  <c r="AF359" i="4"/>
  <c r="AP359" i="4"/>
  <c r="M359" i="4"/>
  <c r="L359" i="4"/>
  <c r="AT359" i="4"/>
  <c r="AQ359" i="4"/>
  <c r="AS359" i="4"/>
  <c r="I359" i="4"/>
  <c r="J359" i="4"/>
  <c r="AG357" i="4"/>
  <c r="AE359" i="28"/>
  <c r="AD359" i="28"/>
  <c r="BD359" i="4"/>
  <c r="BE359" i="4"/>
  <c r="AK462" i="4"/>
  <c r="AN356" i="4" l="1"/>
  <c r="E360" i="28"/>
  <c r="T360" i="28"/>
  <c r="AH357" i="4"/>
  <c r="AL357" i="4"/>
  <c r="AU357" i="4" s="1"/>
  <c r="AV357" i="4" s="1"/>
  <c r="V359" i="4"/>
  <c r="AW359" i="4" s="1"/>
  <c r="W359" i="4"/>
  <c r="AB359" i="4" s="1"/>
  <c r="X359" i="4"/>
  <c r="AC359" i="4" s="1"/>
  <c r="Y359" i="4"/>
  <c r="AD359" i="4" s="1"/>
  <c r="S359" i="4"/>
  <c r="AA359" i="4" s="1"/>
  <c r="AX359" i="4" s="1"/>
  <c r="U359" i="4"/>
  <c r="R359" i="4"/>
  <c r="Z359" i="4" s="1"/>
  <c r="T359" i="4"/>
  <c r="I359" i="28"/>
  <c r="J359" i="28"/>
  <c r="AM359" i="4"/>
  <c r="BC362" i="4"/>
  <c r="B361" i="4"/>
  <c r="AX358" i="4"/>
  <c r="AG358" i="4"/>
  <c r="AH358" i="4" s="1"/>
  <c r="AC362" i="28"/>
  <c r="B361" i="28"/>
  <c r="AD360" i="28"/>
  <c r="AE360" i="28"/>
  <c r="AT360" i="4"/>
  <c r="J360" i="4"/>
  <c r="L360" i="4"/>
  <c r="G360" i="4"/>
  <c r="AS360" i="4"/>
  <c r="N360" i="4"/>
  <c r="AQ360" i="4"/>
  <c r="AR360" i="4"/>
  <c r="AO360" i="4"/>
  <c r="AP360" i="4"/>
  <c r="AF360" i="4"/>
  <c r="M360" i="4"/>
  <c r="H360" i="4"/>
  <c r="E360" i="4"/>
  <c r="I360" i="4"/>
  <c r="BD360" i="4"/>
  <c r="BE360" i="4"/>
  <c r="S360" i="28"/>
  <c r="Q360" i="28"/>
  <c r="R360" i="28"/>
  <c r="Z358" i="28"/>
  <c r="E361" i="28" l="1"/>
  <c r="T361" i="28"/>
  <c r="AL358" i="4"/>
  <c r="AU358" i="4" s="1"/>
  <c r="AV358" i="4" s="1"/>
  <c r="AN357" i="4"/>
  <c r="Y360" i="4"/>
  <c r="AD360" i="4" s="1"/>
  <c r="W360" i="4"/>
  <c r="AB360" i="4" s="1"/>
  <c r="X360" i="4"/>
  <c r="AC360" i="4" s="1"/>
  <c r="T360" i="4"/>
  <c r="V360" i="4"/>
  <c r="AW360" i="4" s="1"/>
  <c r="U360" i="4"/>
  <c r="S360" i="4"/>
  <c r="AA360" i="4" s="1"/>
  <c r="R360" i="4"/>
  <c r="Z360" i="4" s="1"/>
  <c r="AM360" i="4"/>
  <c r="J360" i="28"/>
  <c r="I360" i="28"/>
  <c r="AE361" i="28"/>
  <c r="AD361" i="28"/>
  <c r="BD361" i="4"/>
  <c r="BE361" i="4"/>
  <c r="AG359" i="4"/>
  <c r="S361" i="28"/>
  <c r="Q361" i="28"/>
  <c r="R361" i="28"/>
  <c r="AC363" i="28"/>
  <c r="B362" i="28"/>
  <c r="J361" i="4"/>
  <c r="AO361" i="4"/>
  <c r="E361" i="4"/>
  <c r="F361" i="4" s="1"/>
  <c r="G361" i="4"/>
  <c r="N361" i="4"/>
  <c r="M361" i="4"/>
  <c r="AT361" i="4"/>
  <c r="AP361" i="4"/>
  <c r="I361" i="4"/>
  <c r="H361" i="4"/>
  <c r="AQ361" i="4"/>
  <c r="AS361" i="4"/>
  <c r="AF361" i="4"/>
  <c r="L361" i="4"/>
  <c r="AR361" i="4"/>
  <c r="BC363" i="4"/>
  <c r="B362" i="4"/>
  <c r="T362" i="28" l="1"/>
  <c r="E362" i="28"/>
  <c r="M362" i="28"/>
  <c r="L362" i="28"/>
  <c r="AN358" i="4"/>
  <c r="AX360" i="4"/>
  <c r="AL359" i="4"/>
  <c r="AU359" i="4" s="1"/>
  <c r="AV359" i="4" s="1"/>
  <c r="BD362" i="4"/>
  <c r="BE362" i="4"/>
  <c r="I362" i="4"/>
  <c r="AF362" i="4"/>
  <c r="AT362" i="4"/>
  <c r="E362" i="4"/>
  <c r="L362" i="4"/>
  <c r="AR362" i="4"/>
  <c r="H362" i="4"/>
  <c r="G362" i="4"/>
  <c r="AO362" i="4"/>
  <c r="M362" i="4"/>
  <c r="J362" i="4"/>
  <c r="AQ362" i="4"/>
  <c r="N362" i="4"/>
  <c r="AS362" i="4"/>
  <c r="AP362" i="4"/>
  <c r="B363" i="4"/>
  <c r="BC364" i="4"/>
  <c r="AM361" i="4"/>
  <c r="Q362" i="28"/>
  <c r="S362" i="28"/>
  <c r="R362" i="28"/>
  <c r="B363" i="28"/>
  <c r="AC364" i="28"/>
  <c r="AH359" i="4"/>
  <c r="X361" i="4"/>
  <c r="AC361" i="4" s="1"/>
  <c r="T361" i="4"/>
  <c r="V361" i="4"/>
  <c r="AW361" i="4" s="1"/>
  <c r="S361" i="4"/>
  <c r="AA361" i="4" s="1"/>
  <c r="W361" i="4"/>
  <c r="AB361" i="4" s="1"/>
  <c r="U361" i="4"/>
  <c r="R361" i="4"/>
  <c r="Z361" i="4" s="1"/>
  <c r="Y361" i="4"/>
  <c r="AD361" i="4" s="1"/>
  <c r="AG360" i="4"/>
  <c r="AL360" i="4" s="1"/>
  <c r="AD362" i="28"/>
  <c r="AE362" i="28"/>
  <c r="J361" i="28"/>
  <c r="I361" i="28"/>
  <c r="T363" i="28" l="1"/>
  <c r="E363" i="28"/>
  <c r="AN359" i="4"/>
  <c r="AH360" i="4"/>
  <c r="AU360" i="4"/>
  <c r="AV360" i="4" s="1"/>
  <c r="AN360" i="4"/>
  <c r="J362" i="28"/>
  <c r="I362" i="28"/>
  <c r="R363" i="28"/>
  <c r="Q363" i="28"/>
  <c r="S363" i="28"/>
  <c r="B364" i="4"/>
  <c r="BC365" i="4"/>
  <c r="L363" i="4"/>
  <c r="I363" i="4"/>
  <c r="AS363" i="4"/>
  <c r="AO363" i="4"/>
  <c r="G363" i="4"/>
  <c r="N363" i="4"/>
  <c r="AP363" i="4"/>
  <c r="H363" i="4"/>
  <c r="AF363" i="4"/>
  <c r="E363" i="4"/>
  <c r="AR363" i="4"/>
  <c r="AT363" i="4"/>
  <c r="AQ363" i="4"/>
  <c r="M363" i="4"/>
  <c r="J363" i="4"/>
  <c r="AM362" i="4"/>
  <c r="W362" i="4"/>
  <c r="AB362" i="4" s="1"/>
  <c r="X362" i="4"/>
  <c r="AC362" i="4" s="1"/>
  <c r="S362" i="4"/>
  <c r="AA362" i="4" s="1"/>
  <c r="U362" i="4"/>
  <c r="Y362" i="4"/>
  <c r="AD362" i="4" s="1"/>
  <c r="V362" i="4"/>
  <c r="AW362" i="4" s="1"/>
  <c r="R362" i="4"/>
  <c r="Z362" i="4" s="1"/>
  <c r="T362" i="4"/>
  <c r="AG361" i="4"/>
  <c r="AX361" i="4"/>
  <c r="B364" i="28"/>
  <c r="AC365" i="28"/>
  <c r="AE363" i="28"/>
  <c r="AD363" i="28"/>
  <c r="BD363" i="4"/>
  <c r="BE363" i="4"/>
  <c r="T364" i="28" l="1"/>
  <c r="E364" i="28"/>
  <c r="J364" i="4"/>
  <c r="AT364" i="4"/>
  <c r="AG362" i="4"/>
  <c r="AH361" i="4"/>
  <c r="AX362" i="4"/>
  <c r="AE364" i="28"/>
  <c r="AD364" i="28"/>
  <c r="AQ364" i="4"/>
  <c r="AF364" i="4"/>
  <c r="N364" i="4"/>
  <c r="AO364" i="4"/>
  <c r="AS364" i="4"/>
  <c r="H364" i="4"/>
  <c r="AR364" i="4"/>
  <c r="I364" i="4"/>
  <c r="M364" i="4"/>
  <c r="L364" i="4"/>
  <c r="G364" i="4"/>
  <c r="AP364" i="4"/>
  <c r="E364" i="4"/>
  <c r="AL361" i="4"/>
  <c r="S363" i="4"/>
  <c r="AA363" i="4" s="1"/>
  <c r="X363" i="4"/>
  <c r="AC363" i="4" s="1"/>
  <c r="W363" i="4"/>
  <c r="AB363" i="4" s="1"/>
  <c r="T363" i="4"/>
  <c r="R363" i="4"/>
  <c r="Z363" i="4" s="1"/>
  <c r="V363" i="4"/>
  <c r="AW363" i="4" s="1"/>
  <c r="Y363" i="4"/>
  <c r="AD363" i="4" s="1"/>
  <c r="U363" i="4"/>
  <c r="I363" i="28"/>
  <c r="J363" i="28"/>
  <c r="B365" i="28"/>
  <c r="AC366" i="28"/>
  <c r="W364" i="28"/>
  <c r="R364" i="28"/>
  <c r="S364" i="28"/>
  <c r="Q364" i="28"/>
  <c r="AH362" i="4"/>
  <c r="AM363" i="4"/>
  <c r="B365" i="4"/>
  <c r="BC366" i="4"/>
  <c r="BD364" i="4"/>
  <c r="BE364" i="4"/>
  <c r="E365" i="28" l="1"/>
  <c r="T365" i="28"/>
  <c r="AT365" i="4"/>
  <c r="J365" i="4"/>
  <c r="X364" i="4"/>
  <c r="AC364" i="4" s="1"/>
  <c r="V364" i="4"/>
  <c r="AW364" i="4" s="1"/>
  <c r="S364" i="4"/>
  <c r="AA364" i="4" s="1"/>
  <c r="R364" i="4"/>
  <c r="Z364" i="4" s="1"/>
  <c r="T364" i="4"/>
  <c r="U364" i="4"/>
  <c r="Y364" i="4"/>
  <c r="AD364" i="4" s="1"/>
  <c r="W364" i="4"/>
  <c r="AB364" i="4" s="1"/>
  <c r="BC367" i="4"/>
  <c r="B366" i="4"/>
  <c r="BD365" i="4"/>
  <c r="BE365" i="4"/>
  <c r="L365" i="4"/>
  <c r="AP365" i="4"/>
  <c r="AO365" i="4"/>
  <c r="H365" i="4"/>
  <c r="G365" i="4"/>
  <c r="AF365" i="4"/>
  <c r="AR365" i="4"/>
  <c r="M365" i="4"/>
  <c r="I365" i="4"/>
  <c r="AQ365" i="4"/>
  <c r="E365" i="4"/>
  <c r="N365" i="4"/>
  <c r="AS365" i="4"/>
  <c r="S365" i="28"/>
  <c r="Q365" i="28"/>
  <c r="R365" i="28"/>
  <c r="W365" i="28"/>
  <c r="AU361" i="4"/>
  <c r="AV361" i="4" s="1"/>
  <c r="AN361" i="4"/>
  <c r="AM364" i="4"/>
  <c r="AL362" i="4"/>
  <c r="I364" i="28"/>
  <c r="J364" i="28"/>
  <c r="Y364" i="28" s="1"/>
  <c r="O364" i="28"/>
  <c r="B366" i="28"/>
  <c r="AC367" i="28"/>
  <c r="AE365" i="28"/>
  <c r="AD365" i="28"/>
  <c r="AG363" i="4"/>
  <c r="AX363" i="4"/>
  <c r="T366" i="28" l="1"/>
  <c r="E366" i="28"/>
  <c r="O365" i="28"/>
  <c r="AH363" i="4"/>
  <c r="AX364" i="4"/>
  <c r="S365" i="4"/>
  <c r="AA365" i="4" s="1"/>
  <c r="U365" i="4"/>
  <c r="V365" i="4"/>
  <c r="AW365" i="4" s="1"/>
  <c r="W365" i="4"/>
  <c r="AB365" i="4" s="1"/>
  <c r="X365" i="4"/>
  <c r="AC365" i="4" s="1"/>
  <c r="Y365" i="4"/>
  <c r="AD365" i="4" s="1"/>
  <c r="R365" i="4"/>
  <c r="Z365" i="4" s="1"/>
  <c r="T365" i="4"/>
  <c r="AO366" i="4"/>
  <c r="AP366" i="4"/>
  <c r="H366" i="4"/>
  <c r="AS366" i="4"/>
  <c r="L366" i="4"/>
  <c r="N366" i="4"/>
  <c r="AR366" i="4"/>
  <c r="G366" i="4"/>
  <c r="I366" i="4"/>
  <c r="M366" i="4"/>
  <c r="E366" i="4"/>
  <c r="AQ366" i="4"/>
  <c r="AF366" i="4"/>
  <c r="J366" i="4"/>
  <c r="AT366" i="4"/>
  <c r="BD366" i="4"/>
  <c r="BE366" i="4"/>
  <c r="AD366" i="28"/>
  <c r="AE366" i="28"/>
  <c r="AL363" i="4"/>
  <c r="J365" i="28"/>
  <c r="Y365" i="28" s="1"/>
  <c r="I365" i="28"/>
  <c r="B367" i="28"/>
  <c r="AC368" i="28"/>
  <c r="S366" i="28"/>
  <c r="W366" i="28"/>
  <c r="R366" i="28"/>
  <c r="Q366" i="28"/>
  <c r="Z364" i="28"/>
  <c r="AN362" i="4"/>
  <c r="AU362" i="4"/>
  <c r="AV362" i="4" s="1"/>
  <c r="AM365" i="4"/>
  <c r="B367" i="4"/>
  <c r="BC368" i="4"/>
  <c r="AG364" i="4"/>
  <c r="T367" i="28" l="1"/>
  <c r="E367" i="28"/>
  <c r="Z365" i="28"/>
  <c r="AM366" i="4"/>
  <c r="AL364" i="4"/>
  <c r="B368" i="4"/>
  <c r="BC369" i="4"/>
  <c r="M367" i="4"/>
  <c r="AR367" i="4"/>
  <c r="AS367" i="4"/>
  <c r="AT367" i="4"/>
  <c r="AO367" i="4"/>
  <c r="AQ367" i="4"/>
  <c r="J367" i="4"/>
  <c r="N367" i="4"/>
  <c r="I367" i="4"/>
  <c r="E367" i="4"/>
  <c r="H367" i="4"/>
  <c r="AP367" i="4"/>
  <c r="L367" i="4"/>
  <c r="G367" i="4"/>
  <c r="AF367" i="4"/>
  <c r="B368" i="28"/>
  <c r="AC369" i="28"/>
  <c r="AE367" i="28"/>
  <c r="AD367" i="28"/>
  <c r="J366" i="28"/>
  <c r="Y366" i="28" s="1"/>
  <c r="I366" i="28"/>
  <c r="AG365" i="4"/>
  <c r="AH364" i="4"/>
  <c r="BD367" i="4"/>
  <c r="BE367" i="4"/>
  <c r="O366" i="28"/>
  <c r="Q367" i="28"/>
  <c r="W367" i="28"/>
  <c r="R367" i="28"/>
  <c r="S367" i="28"/>
  <c r="AU363" i="4"/>
  <c r="AV363" i="4" s="1"/>
  <c r="AN363" i="4"/>
  <c r="S366" i="4"/>
  <c r="AA366" i="4" s="1"/>
  <c r="R366" i="4"/>
  <c r="Z366" i="4" s="1"/>
  <c r="T366" i="4"/>
  <c r="V366" i="4"/>
  <c r="AW366" i="4" s="1"/>
  <c r="Y366" i="4"/>
  <c r="AD366" i="4" s="1"/>
  <c r="W366" i="4"/>
  <c r="AB366" i="4" s="1"/>
  <c r="X366" i="4"/>
  <c r="AC366" i="4" s="1"/>
  <c r="U366" i="4"/>
  <c r="AX365" i="4"/>
  <c r="T368" i="28" l="1"/>
  <c r="E368" i="28"/>
  <c r="M368" i="28"/>
  <c r="L368" i="28"/>
  <c r="AL365" i="4"/>
  <c r="AN365" i="4" s="1"/>
  <c r="AU364" i="4"/>
  <c r="AV364" i="4" s="1"/>
  <c r="AH365" i="4"/>
  <c r="AN364" i="4"/>
  <c r="AX366" i="4"/>
  <c r="J367" i="28"/>
  <c r="Y367" i="28" s="1"/>
  <c r="I367" i="28"/>
  <c r="B369" i="28"/>
  <c r="AC370" i="28"/>
  <c r="AE368" i="28"/>
  <c r="AD368" i="28"/>
  <c r="AQ368" i="4"/>
  <c r="J368" i="4"/>
  <c r="M368" i="4"/>
  <c r="AT368" i="4"/>
  <c r="AF368" i="4"/>
  <c r="AP368" i="4"/>
  <c r="AR368" i="4"/>
  <c r="AO368" i="4"/>
  <c r="I368" i="4"/>
  <c r="G368" i="4"/>
  <c r="AS368" i="4"/>
  <c r="L368" i="4"/>
  <c r="N368" i="4"/>
  <c r="E368" i="4"/>
  <c r="H368" i="4"/>
  <c r="BE368" i="4"/>
  <c r="BD368" i="4"/>
  <c r="AG366" i="4"/>
  <c r="O367" i="28"/>
  <c r="Z366" i="28"/>
  <c r="R367" i="4"/>
  <c r="Z367" i="4" s="1"/>
  <c r="U367" i="4"/>
  <c r="S367" i="4"/>
  <c r="AA367" i="4" s="1"/>
  <c r="T367" i="4"/>
  <c r="V367" i="4"/>
  <c r="AW367" i="4" s="1"/>
  <c r="W367" i="4"/>
  <c r="AB367" i="4" s="1"/>
  <c r="Y367" i="4"/>
  <c r="AD367" i="4" s="1"/>
  <c r="X367" i="4"/>
  <c r="AC367" i="4" s="1"/>
  <c r="S368" i="28"/>
  <c r="F368" i="28"/>
  <c r="R368" i="28"/>
  <c r="W368" i="28"/>
  <c r="Q368" i="28"/>
  <c r="AM367" i="4"/>
  <c r="BC370" i="4"/>
  <c r="B369" i="4"/>
  <c r="AH366" i="4" l="1"/>
  <c r="AU365" i="4"/>
  <c r="AV365" i="4" s="1"/>
  <c r="E369" i="28"/>
  <c r="T369" i="28"/>
  <c r="O368" i="28"/>
  <c r="M369" i="28"/>
  <c r="L369" i="28"/>
  <c r="H369" i="4"/>
  <c r="AS369" i="4"/>
  <c r="AF369" i="4"/>
  <c r="L369" i="4"/>
  <c r="I369" i="4"/>
  <c r="AP369" i="4"/>
  <c r="AO369" i="4"/>
  <c r="J369" i="4"/>
  <c r="G369" i="4"/>
  <c r="AQ369" i="4"/>
  <c r="N369" i="4"/>
  <c r="M369" i="4"/>
  <c r="AT369" i="4"/>
  <c r="E369" i="4"/>
  <c r="AR369" i="4"/>
  <c r="BD369" i="4"/>
  <c r="BE369" i="4"/>
  <c r="BC371" i="4"/>
  <c r="B370" i="4"/>
  <c r="Z367" i="28"/>
  <c r="X368" i="4"/>
  <c r="AC368" i="4" s="1"/>
  <c r="S368" i="4"/>
  <c r="AA368" i="4" s="1"/>
  <c r="R368" i="4"/>
  <c r="Z368" i="4" s="1"/>
  <c r="W368" i="4"/>
  <c r="AB368" i="4" s="1"/>
  <c r="U368" i="4"/>
  <c r="Y368" i="4"/>
  <c r="AD368" i="4" s="1"/>
  <c r="V368" i="4"/>
  <c r="AW368" i="4" s="1"/>
  <c r="T368" i="4"/>
  <c r="AM368" i="4"/>
  <c r="J368" i="28"/>
  <c r="Y368" i="28" s="1"/>
  <c r="I368" i="28"/>
  <c r="K368" i="28" s="1"/>
  <c r="N368" i="28" s="1"/>
  <c r="AC371" i="28"/>
  <c r="B370" i="28"/>
  <c r="Q369" i="28"/>
  <c r="F369" i="28"/>
  <c r="W369" i="28"/>
  <c r="R369" i="28"/>
  <c r="S369" i="28"/>
  <c r="AG367" i="4"/>
  <c r="AH367" i="4" s="1"/>
  <c r="AX367" i="4"/>
  <c r="AL366" i="4"/>
  <c r="AD369" i="28"/>
  <c r="AE369" i="28"/>
  <c r="AL367" i="4" l="1"/>
  <c r="Z368" i="28"/>
  <c r="E370" i="28"/>
  <c r="T370" i="28"/>
  <c r="M370" i="28"/>
  <c r="L370" i="28"/>
  <c r="AM369" i="4"/>
  <c r="J369" i="28"/>
  <c r="Y369" i="28" s="1"/>
  <c r="I369" i="28"/>
  <c r="K369" i="28" s="1"/>
  <c r="N369" i="28" s="1"/>
  <c r="AN366" i="4"/>
  <c r="AU366" i="4"/>
  <c r="AV366" i="4" s="1"/>
  <c r="O369" i="28"/>
  <c r="S370" i="28"/>
  <c r="F370" i="28"/>
  <c r="Q370" i="28"/>
  <c r="W370" i="28"/>
  <c r="R370" i="28"/>
  <c r="AD370" i="28"/>
  <c r="AE370" i="28"/>
  <c r="AF370" i="4"/>
  <c r="M370" i="4"/>
  <c r="E370" i="4"/>
  <c r="AQ370" i="4"/>
  <c r="AT370" i="4"/>
  <c r="AP370" i="4"/>
  <c r="N370" i="4"/>
  <c r="G370" i="4"/>
  <c r="L370" i="4"/>
  <c r="AS370" i="4"/>
  <c r="H370" i="4"/>
  <c r="AO370" i="4"/>
  <c r="I370" i="4"/>
  <c r="AR370" i="4"/>
  <c r="J370" i="4"/>
  <c r="AU367" i="4"/>
  <c r="AV367" i="4" s="1"/>
  <c r="AN367" i="4"/>
  <c r="B371" i="28"/>
  <c r="AC372" i="28"/>
  <c r="U368" i="28"/>
  <c r="V368" i="28" s="1"/>
  <c r="X368" i="28" s="1"/>
  <c r="P368" i="28"/>
  <c r="AG368" i="4"/>
  <c r="AH368" i="4" s="1"/>
  <c r="AX368" i="4"/>
  <c r="BD370" i="4"/>
  <c r="BE370" i="4"/>
  <c r="B371" i="4"/>
  <c r="BC372" i="4"/>
  <c r="S369" i="4"/>
  <c r="AA369" i="4" s="1"/>
  <c r="R369" i="4"/>
  <c r="Z369" i="4" s="1"/>
  <c r="W369" i="4"/>
  <c r="AB369" i="4" s="1"/>
  <c r="X369" i="4"/>
  <c r="AC369" i="4" s="1"/>
  <c r="Y369" i="4"/>
  <c r="AD369" i="4" s="1"/>
  <c r="V369" i="4"/>
  <c r="AW369" i="4" s="1"/>
  <c r="U369" i="4"/>
  <c r="T369" i="4"/>
  <c r="T371" i="28" l="1"/>
  <c r="E371" i="28"/>
  <c r="L371" i="28"/>
  <c r="M371" i="28"/>
  <c r="AX369" i="4"/>
  <c r="AG369" i="4"/>
  <c r="BD371" i="4"/>
  <c r="BE371" i="4"/>
  <c r="E371" i="4"/>
  <c r="AT371" i="4"/>
  <c r="N371" i="4"/>
  <c r="AQ371" i="4"/>
  <c r="J371" i="4"/>
  <c r="AS371" i="4"/>
  <c r="AO371" i="4"/>
  <c r="AF371" i="4"/>
  <c r="AR371" i="4"/>
  <c r="H371" i="4"/>
  <c r="L371" i="4"/>
  <c r="M371" i="4"/>
  <c r="I371" i="4"/>
  <c r="AP371" i="4"/>
  <c r="G371" i="4"/>
  <c r="S371" i="28"/>
  <c r="F371" i="28"/>
  <c r="W371" i="28"/>
  <c r="Q371" i="28"/>
  <c r="R371" i="28"/>
  <c r="B372" i="4"/>
  <c r="BC373" i="4"/>
  <c r="V370" i="4"/>
  <c r="AW370" i="4" s="1"/>
  <c r="R370" i="4"/>
  <c r="Z370" i="4" s="1"/>
  <c r="X370" i="4"/>
  <c r="AC370" i="4" s="1"/>
  <c r="W370" i="4"/>
  <c r="AB370" i="4" s="1"/>
  <c r="U370" i="4"/>
  <c r="T370" i="4"/>
  <c r="Y370" i="4"/>
  <c r="AD370" i="4" s="1"/>
  <c r="S370" i="4"/>
  <c r="AA370" i="4" s="1"/>
  <c r="AC373" i="28"/>
  <c r="B372" i="28"/>
  <c r="AD371" i="28"/>
  <c r="AE371" i="28"/>
  <c r="AM370" i="4"/>
  <c r="AL368" i="4"/>
  <c r="I370" i="28"/>
  <c r="K370" i="28" s="1"/>
  <c r="N370" i="28" s="1"/>
  <c r="J370" i="28"/>
  <c r="Y370" i="28" s="1"/>
  <c r="O370" i="28"/>
  <c r="Z369" i="28"/>
  <c r="U369" i="28"/>
  <c r="V369" i="28" s="1"/>
  <c r="X369" i="28" s="1"/>
  <c r="P369" i="28"/>
  <c r="E372" i="28" l="1"/>
  <c r="T372" i="28"/>
  <c r="M372" i="28"/>
  <c r="L372" i="28"/>
  <c r="AH369" i="4"/>
  <c r="AM371" i="4"/>
  <c r="V371" i="4"/>
  <c r="AW371" i="4" s="1"/>
  <c r="X371" i="4"/>
  <c r="AC371" i="4" s="1"/>
  <c r="W371" i="4"/>
  <c r="AB371" i="4" s="1"/>
  <c r="Y371" i="4"/>
  <c r="AD371" i="4" s="1"/>
  <c r="R371" i="4"/>
  <c r="Z371" i="4" s="1"/>
  <c r="S371" i="4"/>
  <c r="AA371" i="4" s="1"/>
  <c r="U371" i="4"/>
  <c r="T371" i="4"/>
  <c r="AL369" i="4"/>
  <c r="Z370" i="28"/>
  <c r="AU368" i="4"/>
  <c r="AV368" i="4" s="1"/>
  <c r="AN368" i="4"/>
  <c r="S372" i="28"/>
  <c r="F372" i="28"/>
  <c r="Q372" i="28"/>
  <c r="W372" i="28"/>
  <c r="R372" i="28"/>
  <c r="B373" i="28"/>
  <c r="AC374" i="28"/>
  <c r="AG370" i="4"/>
  <c r="H372" i="4"/>
  <c r="M372" i="4"/>
  <c r="AF372" i="4"/>
  <c r="AR372" i="4"/>
  <c r="AO372" i="4"/>
  <c r="J372" i="4"/>
  <c r="AT372" i="4"/>
  <c r="L372" i="4"/>
  <c r="AP372" i="4"/>
  <c r="I372" i="4"/>
  <c r="N372" i="4"/>
  <c r="G372" i="4"/>
  <c r="AQ372" i="4"/>
  <c r="E372" i="4"/>
  <c r="AS372" i="4"/>
  <c r="P370" i="28"/>
  <c r="U370" i="28"/>
  <c r="V370" i="28" s="1"/>
  <c r="X370" i="28" s="1"/>
  <c r="I371" i="28"/>
  <c r="K371" i="28" s="1"/>
  <c r="N371" i="28" s="1"/>
  <c r="J371" i="28"/>
  <c r="Y371" i="28" s="1"/>
  <c r="AE372" i="28"/>
  <c r="AD372" i="28"/>
  <c r="AX370" i="4"/>
  <c r="B373" i="4"/>
  <c r="BC374" i="4"/>
  <c r="BD372" i="4"/>
  <c r="BE372" i="4"/>
  <c r="O371" i="28"/>
  <c r="E373" i="28" l="1"/>
  <c r="T373" i="28"/>
  <c r="AH370" i="4"/>
  <c r="M373" i="28"/>
  <c r="L373" i="28"/>
  <c r="AX371" i="4"/>
  <c r="AM372" i="4"/>
  <c r="AL370" i="4"/>
  <c r="AC375" i="28"/>
  <c r="B374" i="28"/>
  <c r="AD373" i="28"/>
  <c r="AE373" i="28"/>
  <c r="O372" i="28"/>
  <c r="AG371" i="4"/>
  <c r="AH371" i="4" s="1"/>
  <c r="W372" i="4"/>
  <c r="AB372" i="4" s="1"/>
  <c r="U372" i="4"/>
  <c r="Y372" i="4"/>
  <c r="AD372" i="4" s="1"/>
  <c r="R372" i="4"/>
  <c r="Z372" i="4" s="1"/>
  <c r="S372" i="4"/>
  <c r="AA372" i="4" s="1"/>
  <c r="V372" i="4"/>
  <c r="AW372" i="4" s="1"/>
  <c r="T372" i="4"/>
  <c r="X372" i="4"/>
  <c r="AC372" i="4" s="1"/>
  <c r="B374" i="4"/>
  <c r="BC375" i="4"/>
  <c r="BD373" i="4"/>
  <c r="BE373" i="4"/>
  <c r="I372" i="28"/>
  <c r="K372" i="28" s="1"/>
  <c r="N372" i="28" s="1"/>
  <c r="J372" i="28"/>
  <c r="Y372" i="28" s="1"/>
  <c r="Z371" i="28"/>
  <c r="AS373" i="4"/>
  <c r="J373" i="4"/>
  <c r="G373" i="4"/>
  <c r="H373" i="4"/>
  <c r="N373" i="4"/>
  <c r="AF373" i="4"/>
  <c r="AT373" i="4"/>
  <c r="I373" i="4"/>
  <c r="E373" i="4"/>
  <c r="AR373" i="4"/>
  <c r="AQ373" i="4"/>
  <c r="AO373" i="4"/>
  <c r="L373" i="4"/>
  <c r="M373" i="4"/>
  <c r="AP373" i="4"/>
  <c r="U371" i="28"/>
  <c r="V371" i="28" s="1"/>
  <c r="X371" i="28" s="1"/>
  <c r="P371" i="28"/>
  <c r="R373" i="28"/>
  <c r="S373" i="28"/>
  <c r="F373" i="28"/>
  <c r="W373" i="28"/>
  <c r="Q373" i="28"/>
  <c r="AN369" i="4"/>
  <c r="AU369" i="4"/>
  <c r="AV369" i="4" s="1"/>
  <c r="AL371" i="4"/>
  <c r="E374" i="28" l="1"/>
  <c r="T374" i="28"/>
  <c r="M374" i="28"/>
  <c r="L374" i="28"/>
  <c r="AU371" i="4"/>
  <c r="AV371" i="4" s="1"/>
  <c r="AN371" i="4"/>
  <c r="O373" i="28"/>
  <c r="AM373" i="4"/>
  <c r="BD374" i="4"/>
  <c r="BE374" i="4"/>
  <c r="E374" i="4"/>
  <c r="H374" i="4"/>
  <c r="AT374" i="4"/>
  <c r="I374" i="4"/>
  <c r="J374" i="4"/>
  <c r="AF374" i="4"/>
  <c r="L374" i="4"/>
  <c r="AS374" i="4"/>
  <c r="AQ374" i="4"/>
  <c r="AO374" i="4"/>
  <c r="AP374" i="4"/>
  <c r="AR374" i="4"/>
  <c r="G374" i="4"/>
  <c r="N374" i="4"/>
  <c r="M374" i="4"/>
  <c r="AX372" i="4"/>
  <c r="AG372" i="4"/>
  <c r="AH372" i="4" s="1"/>
  <c r="J373" i="28"/>
  <c r="Y373" i="28" s="1"/>
  <c r="I373" i="28"/>
  <c r="K373" i="28" s="1"/>
  <c r="N373" i="28" s="1"/>
  <c r="B375" i="28"/>
  <c r="AC376" i="28"/>
  <c r="AN370" i="4"/>
  <c r="AU370" i="4"/>
  <c r="AV370" i="4" s="1"/>
  <c r="P372" i="28"/>
  <c r="U372" i="28"/>
  <c r="V372" i="28" s="1"/>
  <c r="X372" i="28" s="1"/>
  <c r="V373" i="4"/>
  <c r="AW373" i="4" s="1"/>
  <c r="X373" i="4"/>
  <c r="AC373" i="4" s="1"/>
  <c r="W373" i="4"/>
  <c r="AB373" i="4" s="1"/>
  <c r="Y373" i="4"/>
  <c r="AD373" i="4" s="1"/>
  <c r="T373" i="4"/>
  <c r="S373" i="4"/>
  <c r="U373" i="4"/>
  <c r="R373" i="4"/>
  <c r="Z373" i="4" s="1"/>
  <c r="B375" i="4"/>
  <c r="BC376" i="4"/>
  <c r="Z372" i="28"/>
  <c r="F374" i="28"/>
  <c r="R374" i="28"/>
  <c r="S374" i="28"/>
  <c r="Q374" i="28"/>
  <c r="W374" i="28"/>
  <c r="AE374" i="28"/>
  <c r="AD374" i="28"/>
  <c r="AL372" i="4" l="1"/>
  <c r="T375" i="28"/>
  <c r="E375" i="28"/>
  <c r="M375" i="28"/>
  <c r="L375" i="28"/>
  <c r="O374" i="28"/>
  <c r="AA373" i="4"/>
  <c r="AX373" i="4" s="1"/>
  <c r="I374" i="28"/>
  <c r="K374" i="28" s="1"/>
  <c r="N374" i="28" s="1"/>
  <c r="J374" i="28"/>
  <c r="Y374" i="28" s="1"/>
  <c r="B376" i="4"/>
  <c r="BC377" i="4"/>
  <c r="BD375" i="4"/>
  <c r="BE375" i="4"/>
  <c r="AD375" i="28"/>
  <c r="AE375" i="28"/>
  <c r="U373" i="28"/>
  <c r="V373" i="28" s="1"/>
  <c r="X373" i="28" s="1"/>
  <c r="P373" i="28"/>
  <c r="Z373" i="28"/>
  <c r="AN372" i="4"/>
  <c r="AU372" i="4"/>
  <c r="AV372" i="4" s="1"/>
  <c r="AP375" i="4"/>
  <c r="H375" i="4"/>
  <c r="I375" i="4"/>
  <c r="AR375" i="4"/>
  <c r="G375" i="4"/>
  <c r="AF375" i="4"/>
  <c r="L375" i="4"/>
  <c r="AT375" i="4"/>
  <c r="AO375" i="4"/>
  <c r="AS375" i="4"/>
  <c r="J375" i="4"/>
  <c r="AQ375" i="4"/>
  <c r="E375" i="4"/>
  <c r="N375" i="4"/>
  <c r="M375" i="4"/>
  <c r="AG373" i="4"/>
  <c r="AC377" i="28"/>
  <c r="B376" i="28"/>
  <c r="W375" i="28"/>
  <c r="Q375" i="28"/>
  <c r="R375" i="28"/>
  <c r="S375" i="28"/>
  <c r="F375" i="28"/>
  <c r="AM374" i="4"/>
  <c r="T374" i="4"/>
  <c r="U374" i="4"/>
  <c r="S374" i="4"/>
  <c r="AA374" i="4" s="1"/>
  <c r="R374" i="4"/>
  <c r="Z374" i="4" s="1"/>
  <c r="X374" i="4"/>
  <c r="AC374" i="4" s="1"/>
  <c r="Y374" i="4"/>
  <c r="AD374" i="4" s="1"/>
  <c r="V374" i="4"/>
  <c r="AW374" i="4" s="1"/>
  <c r="W374" i="4"/>
  <c r="AB374" i="4" s="1"/>
  <c r="E376" i="28" l="1"/>
  <c r="T376" i="28"/>
  <c r="M376" i="28"/>
  <c r="L376" i="28"/>
  <c r="Z374" i="28"/>
  <c r="AH373" i="4"/>
  <c r="AX374" i="4"/>
  <c r="AG374" i="4"/>
  <c r="O375" i="28"/>
  <c r="AE376" i="28"/>
  <c r="AD376" i="28"/>
  <c r="I375" i="28"/>
  <c r="K375" i="28" s="1"/>
  <c r="N375" i="28" s="1"/>
  <c r="J375" i="28"/>
  <c r="Y375" i="28" s="1"/>
  <c r="X375" i="4"/>
  <c r="AC375" i="4" s="1"/>
  <c r="T375" i="4"/>
  <c r="S375" i="4"/>
  <c r="AA375" i="4" s="1"/>
  <c r="W375" i="4"/>
  <c r="AB375" i="4" s="1"/>
  <c r="R375" i="4"/>
  <c r="Z375" i="4" s="1"/>
  <c r="V375" i="4"/>
  <c r="AW375" i="4" s="1"/>
  <c r="Y375" i="4"/>
  <c r="AD375" i="4" s="1"/>
  <c r="U375" i="4"/>
  <c r="H376" i="4"/>
  <c r="AS376" i="4"/>
  <c r="AO376" i="4"/>
  <c r="AQ376" i="4"/>
  <c r="L376" i="4"/>
  <c r="N376" i="4"/>
  <c r="G376" i="4"/>
  <c r="AP376" i="4"/>
  <c r="E376" i="4"/>
  <c r="M376" i="4"/>
  <c r="J376" i="4"/>
  <c r="AR376" i="4"/>
  <c r="AF376" i="4"/>
  <c r="I376" i="4"/>
  <c r="AT376" i="4"/>
  <c r="S376" i="28"/>
  <c r="Q376" i="28"/>
  <c r="F376" i="28"/>
  <c r="W376" i="28"/>
  <c r="R376" i="28"/>
  <c r="B377" i="28"/>
  <c r="AC378" i="28"/>
  <c r="AL373" i="4"/>
  <c r="AM375" i="4"/>
  <c r="B377" i="4"/>
  <c r="BC378" i="4"/>
  <c r="BD376" i="4"/>
  <c r="BE376" i="4"/>
  <c r="P374" i="28"/>
  <c r="U374" i="28"/>
  <c r="V374" i="28" s="1"/>
  <c r="X374" i="28" s="1"/>
  <c r="E377" i="28" l="1"/>
  <c r="T377" i="28"/>
  <c r="M377" i="28"/>
  <c r="L377" i="28"/>
  <c r="AM376" i="4"/>
  <c r="AH374" i="4"/>
  <c r="R376" i="4"/>
  <c r="Z376" i="4" s="1"/>
  <c r="U376" i="4"/>
  <c r="V376" i="4"/>
  <c r="AW376" i="4" s="1"/>
  <c r="Y376" i="4"/>
  <c r="AD376" i="4" s="1"/>
  <c r="S376" i="4"/>
  <c r="AA376" i="4" s="1"/>
  <c r="T376" i="4"/>
  <c r="X376" i="4"/>
  <c r="AC376" i="4" s="1"/>
  <c r="W376" i="4"/>
  <c r="AB376" i="4" s="1"/>
  <c r="BD377" i="4"/>
  <c r="BE377" i="4"/>
  <c r="AC379" i="28"/>
  <c r="B378" i="28"/>
  <c r="S377" i="28"/>
  <c r="W377" i="28"/>
  <c r="Q377" i="28"/>
  <c r="R377" i="28"/>
  <c r="F377" i="28"/>
  <c r="BC379" i="4"/>
  <c r="B378" i="4"/>
  <c r="E377" i="4"/>
  <c r="AP377" i="4"/>
  <c r="AR377" i="4"/>
  <c r="AQ377" i="4"/>
  <c r="N377" i="4"/>
  <c r="H377" i="4"/>
  <c r="G377" i="4"/>
  <c r="I377" i="4"/>
  <c r="AT377" i="4"/>
  <c r="AF377" i="4"/>
  <c r="J377" i="4"/>
  <c r="L377" i="4"/>
  <c r="M377" i="4"/>
  <c r="AO377" i="4"/>
  <c r="AS377" i="4"/>
  <c r="AN373" i="4"/>
  <c r="AU373" i="4"/>
  <c r="AV373" i="4" s="1"/>
  <c r="AE377" i="28"/>
  <c r="AD377" i="28"/>
  <c r="O376" i="28"/>
  <c r="AG375" i="4"/>
  <c r="AL375" i="4" s="1"/>
  <c r="AX375" i="4"/>
  <c r="P375" i="28"/>
  <c r="U375" i="28"/>
  <c r="V375" i="28" s="1"/>
  <c r="X375" i="28" s="1"/>
  <c r="I376" i="28"/>
  <c r="K376" i="28" s="1"/>
  <c r="N376" i="28" s="1"/>
  <c r="J376" i="28"/>
  <c r="Y376" i="28" s="1"/>
  <c r="Z375" i="28"/>
  <c r="AL374" i="4"/>
  <c r="Q655" i="7" s="1"/>
  <c r="AX376" i="4" l="1"/>
  <c r="T378" i="28"/>
  <c r="E378" i="28"/>
  <c r="M378" i="28"/>
  <c r="L378" i="28"/>
  <c r="O377" i="28"/>
  <c r="AN375" i="4"/>
  <c r="AU375" i="4"/>
  <c r="AV375" i="4" s="1"/>
  <c r="P376" i="28"/>
  <c r="U376" i="28"/>
  <c r="V376" i="28" s="1"/>
  <c r="X376" i="28" s="1"/>
  <c r="J377" i="28"/>
  <c r="Y377" i="28" s="1"/>
  <c r="I377" i="28"/>
  <c r="K377" i="28" s="1"/>
  <c r="N377" i="28" s="1"/>
  <c r="BE378" i="4"/>
  <c r="BD378" i="4"/>
  <c r="BC380" i="4"/>
  <c r="B379" i="4"/>
  <c r="AC380" i="28"/>
  <c r="B379" i="28"/>
  <c r="AG376" i="4"/>
  <c r="AH375" i="4"/>
  <c r="AN374" i="4"/>
  <c r="AU374" i="4"/>
  <c r="AV374" i="4" s="1"/>
  <c r="Z376" i="28"/>
  <c r="AM377" i="4"/>
  <c r="N378" i="4"/>
  <c r="AF378" i="4"/>
  <c r="I378" i="4"/>
  <c r="AT378" i="4"/>
  <c r="AS378" i="4"/>
  <c r="H378" i="4"/>
  <c r="J378" i="4"/>
  <c r="L378" i="4"/>
  <c r="E378" i="4"/>
  <c r="AO378" i="4"/>
  <c r="M378" i="4"/>
  <c r="AQ378" i="4"/>
  <c r="AP378" i="4"/>
  <c r="AR378" i="4"/>
  <c r="G378" i="4"/>
  <c r="W378" i="28"/>
  <c r="Q378" i="28"/>
  <c r="S378" i="28"/>
  <c r="F378" i="28"/>
  <c r="R378" i="28"/>
  <c r="AE378" i="28"/>
  <c r="AD378" i="28"/>
  <c r="U377" i="4"/>
  <c r="R377" i="4"/>
  <c r="Z377" i="4" s="1"/>
  <c r="S377" i="4"/>
  <c r="AA377" i="4" s="1"/>
  <c r="T377" i="4"/>
  <c r="W377" i="4"/>
  <c r="AB377" i="4" s="1"/>
  <c r="Y377" i="4"/>
  <c r="AD377" i="4" s="1"/>
  <c r="X377" i="4"/>
  <c r="AC377" i="4" s="1"/>
  <c r="V377" i="4"/>
  <c r="AW377" i="4" s="1"/>
  <c r="T379" i="28" l="1"/>
  <c r="E379" i="28"/>
  <c r="AL376" i="4"/>
  <c r="L379" i="28"/>
  <c r="M379" i="28"/>
  <c r="Z377" i="28"/>
  <c r="AH376" i="4"/>
  <c r="AG377" i="4"/>
  <c r="J378" i="28"/>
  <c r="Y378" i="28" s="1"/>
  <c r="I378" i="28"/>
  <c r="K378" i="28" s="1"/>
  <c r="N378" i="28" s="1"/>
  <c r="AX377" i="4"/>
  <c r="O378" i="28"/>
  <c r="AM378" i="4"/>
  <c r="AE379" i="28"/>
  <c r="AD379" i="28"/>
  <c r="BC381" i="4"/>
  <c r="B380" i="4"/>
  <c r="BE379" i="4"/>
  <c r="BD379" i="4"/>
  <c r="Y378" i="4"/>
  <c r="AD378" i="4" s="1"/>
  <c r="U378" i="4"/>
  <c r="R378" i="4"/>
  <c r="Z378" i="4" s="1"/>
  <c r="W378" i="4"/>
  <c r="AB378" i="4" s="1"/>
  <c r="T378" i="4"/>
  <c r="V378" i="4"/>
  <c r="AW378" i="4" s="1"/>
  <c r="X378" i="4"/>
  <c r="AC378" i="4" s="1"/>
  <c r="S378" i="4"/>
  <c r="AA378" i="4" s="1"/>
  <c r="S379" i="28"/>
  <c r="Q379" i="28"/>
  <c r="F379" i="28"/>
  <c r="W379" i="28"/>
  <c r="R379" i="28"/>
  <c r="B380" i="28"/>
  <c r="AC381" i="28"/>
  <c r="H379" i="4"/>
  <c r="AO379" i="4"/>
  <c r="AF379" i="4"/>
  <c r="M379" i="4"/>
  <c r="AR379" i="4"/>
  <c r="I379" i="4"/>
  <c r="AP379" i="4"/>
  <c r="J379" i="4"/>
  <c r="AQ379" i="4"/>
  <c r="AT379" i="4"/>
  <c r="L379" i="4"/>
  <c r="N379" i="4"/>
  <c r="AS379" i="4"/>
  <c r="E379" i="4"/>
  <c r="G379" i="4"/>
  <c r="U377" i="28"/>
  <c r="V377" i="28" s="1"/>
  <c r="X377" i="28" s="1"/>
  <c r="P377" i="28"/>
  <c r="AU376" i="4" l="1"/>
  <c r="AV376" i="4" s="1"/>
  <c r="Q656" i="7"/>
  <c r="Q657" i="7" s="1"/>
  <c r="Q648" i="7" s="1"/>
  <c r="AN376" i="4"/>
  <c r="T380" i="28"/>
  <c r="E380" i="28"/>
  <c r="M380" i="28"/>
  <c r="L380" i="28"/>
  <c r="AL377" i="4"/>
  <c r="AN377" i="4" s="1"/>
  <c r="AX378" i="4"/>
  <c r="AM379" i="4"/>
  <c r="AD380" i="28"/>
  <c r="AE380" i="28"/>
  <c r="V379" i="4"/>
  <c r="AW379" i="4" s="1"/>
  <c r="X379" i="4"/>
  <c r="AC379" i="4" s="1"/>
  <c r="W379" i="4"/>
  <c r="AB379" i="4" s="1"/>
  <c r="U379" i="4"/>
  <c r="R379" i="4"/>
  <c r="Z379" i="4" s="1"/>
  <c r="S379" i="4"/>
  <c r="AA379" i="4" s="1"/>
  <c r="T379" i="4"/>
  <c r="Y379" i="4"/>
  <c r="AD379" i="4" s="1"/>
  <c r="AS380" i="4"/>
  <c r="L380" i="4"/>
  <c r="N380" i="4"/>
  <c r="AT380" i="4"/>
  <c r="E380" i="4"/>
  <c r="AR380" i="4"/>
  <c r="AO380" i="4"/>
  <c r="J380" i="4"/>
  <c r="G380" i="4"/>
  <c r="AF380" i="4"/>
  <c r="M380" i="4"/>
  <c r="AP380" i="4"/>
  <c r="H380" i="4"/>
  <c r="AQ380" i="4"/>
  <c r="I380" i="4"/>
  <c r="BE380" i="4"/>
  <c r="BD380" i="4"/>
  <c r="Z378" i="28"/>
  <c r="B381" i="28"/>
  <c r="AC382" i="28"/>
  <c r="F380" i="28"/>
  <c r="R380" i="28"/>
  <c r="S380" i="28"/>
  <c r="Q380" i="28"/>
  <c r="W380" i="28"/>
  <c r="O379" i="28"/>
  <c r="AG378" i="4"/>
  <c r="BC382" i="4"/>
  <c r="B381" i="4"/>
  <c r="I379" i="28"/>
  <c r="K379" i="28" s="1"/>
  <c r="N379" i="28" s="1"/>
  <c r="J379" i="28"/>
  <c r="Y379" i="28" s="1"/>
  <c r="AH377" i="4"/>
  <c r="U378" i="28"/>
  <c r="V378" i="28" s="1"/>
  <c r="X378" i="28" s="1"/>
  <c r="P378" i="28"/>
  <c r="E381" i="28" l="1"/>
  <c r="T381" i="28"/>
  <c r="L381" i="28"/>
  <c r="M381" i="28"/>
  <c r="AU377" i="4"/>
  <c r="AV377" i="4" s="1"/>
  <c r="AH378" i="4"/>
  <c r="O380" i="28"/>
  <c r="AM380" i="4"/>
  <c r="I380" i="28"/>
  <c r="K380" i="28" s="1"/>
  <c r="N380" i="28" s="1"/>
  <c r="J380" i="28"/>
  <c r="Y380" i="28" s="1"/>
  <c r="U379" i="28"/>
  <c r="V379" i="28" s="1"/>
  <c r="X379" i="28" s="1"/>
  <c r="P379" i="28"/>
  <c r="BE381" i="4"/>
  <c r="BD381" i="4"/>
  <c r="Z379" i="28"/>
  <c r="B382" i="28"/>
  <c r="AC383" i="28"/>
  <c r="R381" i="28"/>
  <c r="S381" i="28"/>
  <c r="F381" i="28"/>
  <c r="W381" i="28"/>
  <c r="Q381" i="28"/>
  <c r="H381" i="4"/>
  <c r="M381" i="4"/>
  <c r="AR381" i="4"/>
  <c r="AS381" i="4"/>
  <c r="E381" i="4"/>
  <c r="AT381" i="4"/>
  <c r="L381" i="4"/>
  <c r="AO381" i="4"/>
  <c r="I381" i="4"/>
  <c r="G381" i="4"/>
  <c r="J381" i="4"/>
  <c r="AP381" i="4"/>
  <c r="AQ381" i="4"/>
  <c r="N381" i="4"/>
  <c r="AF381" i="4"/>
  <c r="BC383" i="4"/>
  <c r="B382" i="4"/>
  <c r="AL378" i="4"/>
  <c r="AD381" i="28"/>
  <c r="AE381" i="28"/>
  <c r="S380" i="4"/>
  <c r="AA380" i="4" s="1"/>
  <c r="V380" i="4"/>
  <c r="AW380" i="4" s="1"/>
  <c r="T380" i="4"/>
  <c r="X380" i="4"/>
  <c r="AC380" i="4" s="1"/>
  <c r="R380" i="4"/>
  <c r="Z380" i="4" s="1"/>
  <c r="W380" i="4"/>
  <c r="AB380" i="4" s="1"/>
  <c r="U380" i="4"/>
  <c r="Y380" i="4"/>
  <c r="AD380" i="4" s="1"/>
  <c r="AG379" i="4"/>
  <c r="AX379" i="4"/>
  <c r="T382" i="28" l="1"/>
  <c r="E382" i="28"/>
  <c r="M382" i="28"/>
  <c r="L382" i="28"/>
  <c r="Z380" i="28"/>
  <c r="AG380" i="4"/>
  <c r="AL379" i="4"/>
  <c r="BC384" i="4"/>
  <c r="B383" i="4"/>
  <c r="AM381" i="4"/>
  <c r="AC384" i="28"/>
  <c r="B383" i="28"/>
  <c r="R382" i="28"/>
  <c r="W382" i="28"/>
  <c r="F382" i="28"/>
  <c r="Q382" i="28"/>
  <c r="S382" i="28"/>
  <c r="W381" i="4"/>
  <c r="AB381" i="4" s="1"/>
  <c r="T381" i="4"/>
  <c r="X381" i="4"/>
  <c r="AC381" i="4" s="1"/>
  <c r="R381" i="4"/>
  <c r="Z381" i="4" s="1"/>
  <c r="V381" i="4"/>
  <c r="AW381" i="4" s="1"/>
  <c r="S381" i="4"/>
  <c r="AA381" i="4" s="1"/>
  <c r="Y381" i="4"/>
  <c r="AD381" i="4" s="1"/>
  <c r="U381" i="4"/>
  <c r="AH379" i="4"/>
  <c r="J381" i="28"/>
  <c r="Y381" i="28" s="1"/>
  <c r="I381" i="28"/>
  <c r="K381" i="28" s="1"/>
  <c r="N381" i="28" s="1"/>
  <c r="AU378" i="4"/>
  <c r="AV378" i="4" s="1"/>
  <c r="AN378" i="4"/>
  <c r="AX380" i="4"/>
  <c r="BE382" i="4"/>
  <c r="BD382" i="4"/>
  <c r="AP382" i="4"/>
  <c r="I382" i="4"/>
  <c r="AT382" i="4"/>
  <c r="AQ382" i="4"/>
  <c r="H382" i="4"/>
  <c r="AR382" i="4"/>
  <c r="M382" i="4"/>
  <c r="L382" i="4"/>
  <c r="AO382" i="4"/>
  <c r="AS382" i="4"/>
  <c r="G382" i="4"/>
  <c r="J382" i="4"/>
  <c r="E382" i="4"/>
  <c r="AF382" i="4"/>
  <c r="N382" i="4"/>
  <c r="O381" i="28"/>
  <c r="AD382" i="28"/>
  <c r="AE382" i="28"/>
  <c r="U380" i="28"/>
  <c r="V380" i="28" s="1"/>
  <c r="X380" i="28" s="1"/>
  <c r="P380" i="28"/>
  <c r="T383" i="28" l="1"/>
  <c r="E383" i="28"/>
  <c r="M383" i="28"/>
  <c r="L383" i="28"/>
  <c r="AH380" i="4"/>
  <c r="AG381" i="4"/>
  <c r="AL381" i="4" s="1"/>
  <c r="AU379" i="4"/>
  <c r="AV379" i="4" s="1"/>
  <c r="AN379" i="4"/>
  <c r="AX381" i="4"/>
  <c r="I382" i="28"/>
  <c r="K382" i="28" s="1"/>
  <c r="N382" i="28" s="1"/>
  <c r="J382" i="28"/>
  <c r="Y382" i="28" s="1"/>
  <c r="AM382" i="4"/>
  <c r="F383" i="28"/>
  <c r="W383" i="28"/>
  <c r="Q383" i="28"/>
  <c r="S383" i="28"/>
  <c r="R383" i="28"/>
  <c r="AD383" i="28"/>
  <c r="AE383" i="28"/>
  <c r="E383" i="4"/>
  <c r="J383" i="4"/>
  <c r="N383" i="4"/>
  <c r="AR383" i="4"/>
  <c r="AT383" i="4"/>
  <c r="AQ383" i="4"/>
  <c r="L383" i="4"/>
  <c r="AP383" i="4"/>
  <c r="I383" i="4"/>
  <c r="AS383" i="4"/>
  <c r="M383" i="4"/>
  <c r="H383" i="4"/>
  <c r="AO383" i="4"/>
  <c r="AF383" i="4"/>
  <c r="G383" i="4"/>
  <c r="AL380" i="4"/>
  <c r="Z381" i="28"/>
  <c r="S382" i="4"/>
  <c r="AA382" i="4" s="1"/>
  <c r="X382" i="4"/>
  <c r="AC382" i="4" s="1"/>
  <c r="T382" i="4"/>
  <c r="W382" i="4"/>
  <c r="AB382" i="4" s="1"/>
  <c r="U382" i="4"/>
  <c r="V382" i="4"/>
  <c r="AW382" i="4" s="1"/>
  <c r="R382" i="4"/>
  <c r="Z382" i="4" s="1"/>
  <c r="Y382" i="4"/>
  <c r="AD382" i="4" s="1"/>
  <c r="U381" i="28"/>
  <c r="V381" i="28" s="1"/>
  <c r="X381" i="28" s="1"/>
  <c r="P381" i="28"/>
  <c r="O382" i="28"/>
  <c r="AC385" i="28"/>
  <c r="B384" i="28"/>
  <c r="BE383" i="4"/>
  <c r="BD383" i="4"/>
  <c r="BC385" i="4"/>
  <c r="B384" i="4"/>
  <c r="AH381" i="4" l="1"/>
  <c r="T384" i="28"/>
  <c r="E384" i="28"/>
  <c r="M384" i="28"/>
  <c r="L384" i="28"/>
  <c r="AG382" i="4"/>
  <c r="O383" i="28"/>
  <c r="BD384" i="4"/>
  <c r="BE384" i="4"/>
  <c r="R383" i="4"/>
  <c r="Z383" i="4" s="1"/>
  <c r="V383" i="4"/>
  <c r="AW383" i="4" s="1"/>
  <c r="S383" i="4"/>
  <c r="AA383" i="4" s="1"/>
  <c r="T383" i="4"/>
  <c r="U383" i="4"/>
  <c r="X383" i="4"/>
  <c r="AC383" i="4" s="1"/>
  <c r="Y383" i="4"/>
  <c r="AD383" i="4" s="1"/>
  <c r="W383" i="4"/>
  <c r="AB383" i="4" s="1"/>
  <c r="B385" i="28"/>
  <c r="AC386" i="28"/>
  <c r="Z382" i="28"/>
  <c r="AT384" i="4"/>
  <c r="AR384" i="4"/>
  <c r="AO384" i="4"/>
  <c r="AP384" i="4"/>
  <c r="L384" i="4"/>
  <c r="J384" i="4"/>
  <c r="AF384" i="4"/>
  <c r="M384" i="4"/>
  <c r="E384" i="4"/>
  <c r="AQ384" i="4"/>
  <c r="G384" i="4"/>
  <c r="H384" i="4"/>
  <c r="AS384" i="4"/>
  <c r="I384" i="4"/>
  <c r="N384" i="4"/>
  <c r="B385" i="4"/>
  <c r="BC386" i="4"/>
  <c r="R384" i="28"/>
  <c r="W384" i="28"/>
  <c r="Q384" i="28"/>
  <c r="F384" i="28"/>
  <c r="S384" i="28"/>
  <c r="AE384" i="28"/>
  <c r="AD384" i="28"/>
  <c r="AN381" i="4"/>
  <c r="AU381" i="4"/>
  <c r="AV381" i="4" s="1"/>
  <c r="AX382" i="4"/>
  <c r="AN380" i="4"/>
  <c r="AU380" i="4"/>
  <c r="AV380" i="4" s="1"/>
  <c r="AM383" i="4"/>
  <c r="I383" i="28"/>
  <c r="K383" i="28" s="1"/>
  <c r="N383" i="28" s="1"/>
  <c r="J383" i="28"/>
  <c r="Y383" i="28" s="1"/>
  <c r="P382" i="28"/>
  <c r="U382" i="28"/>
  <c r="V382" i="28" s="1"/>
  <c r="X382" i="28" s="1"/>
  <c r="E385" i="28" l="1"/>
  <c r="T385" i="28"/>
  <c r="M385" i="28"/>
  <c r="L385" i="28"/>
  <c r="AH382" i="4"/>
  <c r="AL382" i="4"/>
  <c r="AU382" i="4" s="1"/>
  <c r="AV382" i="4" s="1"/>
  <c r="U383" i="28"/>
  <c r="V383" i="28" s="1"/>
  <c r="X383" i="28" s="1"/>
  <c r="P383" i="28"/>
  <c r="O384" i="28"/>
  <c r="BC387" i="4"/>
  <c r="B386" i="4"/>
  <c r="AM384" i="4"/>
  <c r="F385" i="28"/>
  <c r="R385" i="28"/>
  <c r="W385" i="28"/>
  <c r="Q385" i="28"/>
  <c r="S385" i="28"/>
  <c r="Z383" i="28"/>
  <c r="J384" i="28"/>
  <c r="Y384" i="28" s="1"/>
  <c r="I384" i="28"/>
  <c r="K384" i="28" s="1"/>
  <c r="N384" i="28" s="1"/>
  <c r="J385" i="4"/>
  <c r="E385" i="4"/>
  <c r="AF385" i="4"/>
  <c r="G385" i="4"/>
  <c r="AP385" i="4"/>
  <c r="N385" i="4"/>
  <c r="AO385" i="4"/>
  <c r="AS385" i="4"/>
  <c r="AR385" i="4"/>
  <c r="M385" i="4"/>
  <c r="AQ385" i="4"/>
  <c r="I385" i="4"/>
  <c r="L385" i="4"/>
  <c r="AT385" i="4"/>
  <c r="H385" i="4"/>
  <c r="BD385" i="4"/>
  <c r="BE385" i="4"/>
  <c r="B386" i="28"/>
  <c r="AC387" i="28"/>
  <c r="AD385" i="28"/>
  <c r="AE385" i="28"/>
  <c r="AG383" i="4"/>
  <c r="AH383" i="4" s="1"/>
  <c r="AX383" i="4"/>
  <c r="W384" i="4"/>
  <c r="AB384" i="4" s="1"/>
  <c r="T384" i="4"/>
  <c r="U384" i="4"/>
  <c r="R384" i="4"/>
  <c r="Z384" i="4" s="1"/>
  <c r="S384" i="4"/>
  <c r="AA384" i="4" s="1"/>
  <c r="V384" i="4"/>
  <c r="AW384" i="4" s="1"/>
  <c r="X384" i="4"/>
  <c r="AC384" i="4" s="1"/>
  <c r="Y384" i="4"/>
  <c r="AD384" i="4" s="1"/>
  <c r="AL383" i="4" l="1"/>
  <c r="AU383" i="4" s="1"/>
  <c r="AV383" i="4" s="1"/>
  <c r="E386" i="28"/>
  <c r="T386" i="28"/>
  <c r="M386" i="28"/>
  <c r="L386" i="28"/>
  <c r="AM385" i="4"/>
  <c r="AN382" i="4"/>
  <c r="AG384" i="4"/>
  <c r="AN383" i="4"/>
  <c r="I385" i="28"/>
  <c r="K385" i="28" s="1"/>
  <c r="N385" i="28" s="1"/>
  <c r="J385" i="28"/>
  <c r="Y385" i="28" s="1"/>
  <c r="AE386" i="28"/>
  <c r="AD386" i="28"/>
  <c r="W385" i="4"/>
  <c r="AB385" i="4" s="1"/>
  <c r="R385" i="4"/>
  <c r="Z385" i="4" s="1"/>
  <c r="T385" i="4"/>
  <c r="U385" i="4"/>
  <c r="X385" i="4"/>
  <c r="AC385" i="4" s="1"/>
  <c r="V385" i="4"/>
  <c r="AW385" i="4" s="1"/>
  <c r="Y385" i="4"/>
  <c r="AD385" i="4" s="1"/>
  <c r="S385" i="4"/>
  <c r="AA385" i="4" s="1"/>
  <c r="AX384" i="4"/>
  <c r="AC388" i="28"/>
  <c r="B387" i="28"/>
  <c r="S386" i="28"/>
  <c r="F386" i="28"/>
  <c r="W386" i="28"/>
  <c r="R386" i="28"/>
  <c r="Q386" i="28"/>
  <c r="U384" i="28"/>
  <c r="V384" i="28" s="1"/>
  <c r="X384" i="28" s="1"/>
  <c r="P384" i="28"/>
  <c r="O385" i="28"/>
  <c r="B387" i="4"/>
  <c r="BC388" i="4"/>
  <c r="Z384" i="28"/>
  <c r="I386" i="4"/>
  <c r="AP386" i="4"/>
  <c r="N386" i="4"/>
  <c r="AT386" i="4"/>
  <c r="H386" i="4"/>
  <c r="AF386" i="4"/>
  <c r="G386" i="4"/>
  <c r="AQ386" i="4"/>
  <c r="AR386" i="4"/>
  <c r="J386" i="4"/>
  <c r="L386" i="4"/>
  <c r="AS386" i="4"/>
  <c r="E386" i="4"/>
  <c r="F386" i="4" s="1"/>
  <c r="AO386" i="4"/>
  <c r="M386" i="4"/>
  <c r="BD386" i="4"/>
  <c r="BE386" i="4"/>
  <c r="T387" i="28" l="1"/>
  <c r="E387" i="28"/>
  <c r="L387" i="28"/>
  <c r="M387" i="28"/>
  <c r="AL384" i="4"/>
  <c r="AG385" i="4"/>
  <c r="AH385" i="4" s="1"/>
  <c r="AX385" i="4"/>
  <c r="O386" i="28"/>
  <c r="AD387" i="28"/>
  <c r="AE387" i="28"/>
  <c r="B388" i="28"/>
  <c r="AC389" i="28"/>
  <c r="I386" i="28"/>
  <c r="K386" i="28" s="1"/>
  <c r="N386" i="28" s="1"/>
  <c r="J386" i="28"/>
  <c r="Y386" i="28" s="1"/>
  <c r="AM386" i="4"/>
  <c r="Y386" i="4"/>
  <c r="AD386" i="4" s="1"/>
  <c r="W386" i="4"/>
  <c r="AB386" i="4" s="1"/>
  <c r="S386" i="4"/>
  <c r="AA386" i="4" s="1"/>
  <c r="U386" i="4"/>
  <c r="T386" i="4"/>
  <c r="R386" i="4"/>
  <c r="Z386" i="4" s="1"/>
  <c r="V386" i="4"/>
  <c r="AW386" i="4" s="1"/>
  <c r="X386" i="4"/>
  <c r="AC386" i="4" s="1"/>
  <c r="B388" i="4"/>
  <c r="BC389" i="4"/>
  <c r="I387" i="4"/>
  <c r="J387" i="4"/>
  <c r="E387" i="4"/>
  <c r="AS387" i="4"/>
  <c r="L387" i="4"/>
  <c r="AR387" i="4"/>
  <c r="AP387" i="4"/>
  <c r="AF387" i="4"/>
  <c r="AT387" i="4"/>
  <c r="AQ387" i="4"/>
  <c r="G387" i="4"/>
  <c r="AO387" i="4"/>
  <c r="N387" i="4"/>
  <c r="H387" i="4"/>
  <c r="M387" i="4"/>
  <c r="BE387" i="4"/>
  <c r="BD387" i="4"/>
  <c r="Z385" i="28"/>
  <c r="S387" i="28"/>
  <c r="R387" i="28"/>
  <c r="W387" i="28"/>
  <c r="Q387" i="28"/>
  <c r="F387" i="28"/>
  <c r="AH384" i="4"/>
  <c r="AL385" i="4"/>
  <c r="P385" i="28"/>
  <c r="U385" i="28"/>
  <c r="V385" i="28" s="1"/>
  <c r="X385" i="28" s="1"/>
  <c r="T388" i="28" l="1"/>
  <c r="E388" i="28"/>
  <c r="M388" i="28"/>
  <c r="L388" i="28"/>
  <c r="AU384" i="4"/>
  <c r="AV384" i="4" s="1"/>
  <c r="AN384" i="4"/>
  <c r="AM387" i="4"/>
  <c r="B389" i="4"/>
  <c r="BC390" i="4"/>
  <c r="AQ388" i="4"/>
  <c r="N388" i="4"/>
  <c r="H388" i="4"/>
  <c r="AT388" i="4"/>
  <c r="AS388" i="4"/>
  <c r="AO388" i="4"/>
  <c r="AF388" i="4"/>
  <c r="G388" i="4"/>
  <c r="M388" i="4"/>
  <c r="AR388" i="4"/>
  <c r="I388" i="4"/>
  <c r="AP388" i="4"/>
  <c r="E388" i="4"/>
  <c r="J388" i="4"/>
  <c r="L388" i="4"/>
  <c r="P386" i="28"/>
  <c r="U386" i="28"/>
  <c r="V386" i="28" s="1"/>
  <c r="X386" i="28" s="1"/>
  <c r="AE388" i="28"/>
  <c r="AD388" i="28"/>
  <c r="Z386" i="28"/>
  <c r="AN385" i="4"/>
  <c r="AU385" i="4"/>
  <c r="AV385" i="4" s="1"/>
  <c r="O387" i="28"/>
  <c r="Y387" i="4"/>
  <c r="AD387" i="4" s="1"/>
  <c r="U387" i="4"/>
  <c r="X387" i="4"/>
  <c r="AC387" i="4" s="1"/>
  <c r="W387" i="4"/>
  <c r="AB387" i="4" s="1"/>
  <c r="V387" i="4"/>
  <c r="AW387" i="4" s="1"/>
  <c r="T387" i="4"/>
  <c r="S387" i="4"/>
  <c r="AA387" i="4" s="1"/>
  <c r="R387" i="4"/>
  <c r="Z387" i="4" s="1"/>
  <c r="BE388" i="4"/>
  <c r="BD388" i="4"/>
  <c r="AX386" i="4"/>
  <c r="AG386" i="4"/>
  <c r="AC390" i="28"/>
  <c r="B389" i="28"/>
  <c r="S388" i="28"/>
  <c r="F388" i="28"/>
  <c r="W388" i="28"/>
  <c r="Q388" i="28"/>
  <c r="R388" i="28"/>
  <c r="J387" i="28"/>
  <c r="Y387" i="28" s="1"/>
  <c r="I387" i="28"/>
  <c r="K387" i="28" s="1"/>
  <c r="N387" i="28" s="1"/>
  <c r="E389" i="28" l="1"/>
  <c r="T389" i="28"/>
  <c r="M389" i="28"/>
  <c r="L389" i="28"/>
  <c r="AX387" i="4"/>
  <c r="AL386" i="4"/>
  <c r="AU386" i="4" s="1"/>
  <c r="AV386" i="4" s="1"/>
  <c r="F389" i="28"/>
  <c r="W389" i="28"/>
  <c r="Q389" i="28"/>
  <c r="R389" i="28"/>
  <c r="S389" i="28"/>
  <c r="AC391" i="28"/>
  <c r="B390" i="28"/>
  <c r="AH386" i="4"/>
  <c r="V388" i="4"/>
  <c r="AW388" i="4" s="1"/>
  <c r="T388" i="4"/>
  <c r="S388" i="4"/>
  <c r="AA388" i="4" s="1"/>
  <c r="Y388" i="4"/>
  <c r="AD388" i="4" s="1"/>
  <c r="W388" i="4"/>
  <c r="AB388" i="4" s="1"/>
  <c r="R388" i="4"/>
  <c r="Z388" i="4" s="1"/>
  <c r="X388" i="4"/>
  <c r="AC388" i="4" s="1"/>
  <c r="U388" i="4"/>
  <c r="AG387" i="4"/>
  <c r="Z387" i="28"/>
  <c r="J388" i="28"/>
  <c r="Y388" i="28" s="1"/>
  <c r="I388" i="28"/>
  <c r="K388" i="28" s="1"/>
  <c r="N388" i="28" s="1"/>
  <c r="BD389" i="4"/>
  <c r="BE389" i="4"/>
  <c r="I389" i="4"/>
  <c r="AF389" i="4"/>
  <c r="J389" i="4"/>
  <c r="E389" i="4"/>
  <c r="H389" i="4"/>
  <c r="AQ389" i="4"/>
  <c r="L389" i="4"/>
  <c r="AS389" i="4"/>
  <c r="AP389" i="4"/>
  <c r="M389" i="4"/>
  <c r="AR389" i="4"/>
  <c r="AT389" i="4"/>
  <c r="G389" i="4"/>
  <c r="AO389" i="4"/>
  <c r="N389" i="4"/>
  <c r="U387" i="28"/>
  <c r="V387" i="28" s="1"/>
  <c r="X387" i="28" s="1"/>
  <c r="P387" i="28"/>
  <c r="O388" i="28"/>
  <c r="AE389" i="28"/>
  <c r="AD389" i="28"/>
  <c r="AM388" i="4"/>
  <c r="B390" i="4"/>
  <c r="BC391" i="4"/>
  <c r="E390" i="28" l="1"/>
  <c r="T390" i="28"/>
  <c r="AL387" i="4"/>
  <c r="AN387" i="4" s="1"/>
  <c r="M390" i="28"/>
  <c r="L390" i="28"/>
  <c r="AX388" i="4"/>
  <c r="AN386" i="4"/>
  <c r="U388" i="28"/>
  <c r="V388" i="28" s="1"/>
  <c r="X388" i="28" s="1"/>
  <c r="P388" i="28"/>
  <c r="R390" i="28"/>
  <c r="W390" i="28"/>
  <c r="F390" i="28"/>
  <c r="Q390" i="28"/>
  <c r="S390" i="28"/>
  <c r="AE390" i="28"/>
  <c r="AD390" i="28"/>
  <c r="O389" i="28"/>
  <c r="BC392" i="4"/>
  <c r="B391" i="4"/>
  <c r="M390" i="4"/>
  <c r="E390" i="4"/>
  <c r="F390" i="4" s="1"/>
  <c r="AR390" i="4"/>
  <c r="L390" i="4"/>
  <c r="H390" i="4"/>
  <c r="G390" i="4"/>
  <c r="N390" i="4"/>
  <c r="AT390" i="4"/>
  <c r="AS390" i="4"/>
  <c r="J390" i="4"/>
  <c r="AF390" i="4"/>
  <c r="AQ390" i="4"/>
  <c r="AO390" i="4"/>
  <c r="I390" i="4"/>
  <c r="AP390" i="4"/>
  <c r="J389" i="28"/>
  <c r="Y389" i="28" s="1"/>
  <c r="I389" i="28"/>
  <c r="K389" i="28" s="1"/>
  <c r="N389" i="28" s="1"/>
  <c r="Z388" i="28"/>
  <c r="AM389" i="4"/>
  <c r="BE390" i="4"/>
  <c r="BD390" i="4"/>
  <c r="W389" i="4"/>
  <c r="AB389" i="4" s="1"/>
  <c r="T389" i="4"/>
  <c r="S389" i="4"/>
  <c r="AA389" i="4" s="1"/>
  <c r="R389" i="4"/>
  <c r="Z389" i="4" s="1"/>
  <c r="Y389" i="4"/>
  <c r="AD389" i="4" s="1"/>
  <c r="X389" i="4"/>
  <c r="AC389" i="4" s="1"/>
  <c r="U389" i="4"/>
  <c r="V389" i="4"/>
  <c r="AW389" i="4" s="1"/>
  <c r="AH387" i="4"/>
  <c r="AG388" i="4"/>
  <c r="B391" i="28"/>
  <c r="AC392" i="28"/>
  <c r="AU387" i="4" l="1"/>
  <c r="AV387" i="4" s="1"/>
  <c r="T391" i="28"/>
  <c r="E391" i="28"/>
  <c r="M391" i="28"/>
  <c r="L391" i="28"/>
  <c r="AL388" i="4"/>
  <c r="AN388" i="4" s="1"/>
  <c r="AG389" i="4"/>
  <c r="AX389" i="4"/>
  <c r="AH388" i="4"/>
  <c r="AE391" i="28"/>
  <c r="AD391" i="28"/>
  <c r="Y390" i="4"/>
  <c r="AD390" i="4" s="1"/>
  <c r="R390" i="4"/>
  <c r="Z390" i="4" s="1"/>
  <c r="S390" i="4"/>
  <c r="AA390" i="4" s="1"/>
  <c r="U390" i="4"/>
  <c r="W390" i="4"/>
  <c r="AB390" i="4" s="1"/>
  <c r="V390" i="4"/>
  <c r="AW390" i="4" s="1"/>
  <c r="X390" i="4"/>
  <c r="AC390" i="4" s="1"/>
  <c r="T390" i="4"/>
  <c r="U389" i="28"/>
  <c r="V389" i="28" s="1"/>
  <c r="X389" i="28" s="1"/>
  <c r="P389" i="28"/>
  <c r="E391" i="4"/>
  <c r="AQ391" i="4"/>
  <c r="AP391" i="4"/>
  <c r="L391" i="4"/>
  <c r="AS391" i="4"/>
  <c r="H391" i="4"/>
  <c r="AO391" i="4"/>
  <c r="I391" i="4"/>
  <c r="M391" i="4"/>
  <c r="J391" i="4"/>
  <c r="G391" i="4"/>
  <c r="N391" i="4"/>
  <c r="AF391" i="4"/>
  <c r="AT391" i="4"/>
  <c r="AR391" i="4"/>
  <c r="BC393" i="4"/>
  <c r="B392" i="4"/>
  <c r="Z389" i="28"/>
  <c r="J390" i="28"/>
  <c r="Y390" i="28" s="1"/>
  <c r="I390" i="28"/>
  <c r="K390" i="28" s="1"/>
  <c r="N390" i="28" s="1"/>
  <c r="B392" i="28"/>
  <c r="AC393" i="28"/>
  <c r="F391" i="28"/>
  <c r="Q391" i="28"/>
  <c r="S391" i="28"/>
  <c r="R391" i="28"/>
  <c r="W391" i="28"/>
  <c r="AM390" i="4"/>
  <c r="BE391" i="4"/>
  <c r="BD391" i="4"/>
  <c r="O390" i="28"/>
  <c r="AH389" i="4" l="1"/>
  <c r="AU388" i="4"/>
  <c r="AV388" i="4" s="1"/>
  <c r="T392" i="28"/>
  <c r="E392" i="28"/>
  <c r="M392" i="28"/>
  <c r="L392" i="28"/>
  <c r="AX390" i="4"/>
  <c r="U391" i="4"/>
  <c r="R391" i="4"/>
  <c r="Z391" i="4" s="1"/>
  <c r="X391" i="4"/>
  <c r="AC391" i="4" s="1"/>
  <c r="V391" i="4"/>
  <c r="AW391" i="4" s="1"/>
  <c r="W391" i="4"/>
  <c r="AB391" i="4" s="1"/>
  <c r="Y391" i="4"/>
  <c r="AD391" i="4" s="1"/>
  <c r="S391" i="4"/>
  <c r="AA391" i="4" s="1"/>
  <c r="T391" i="4"/>
  <c r="AC394" i="28"/>
  <c r="B393" i="28"/>
  <c r="AD392" i="28"/>
  <c r="AE392" i="28"/>
  <c r="P390" i="28"/>
  <c r="U390" i="28"/>
  <c r="V390" i="28" s="1"/>
  <c r="X390" i="28" s="1"/>
  <c r="N392" i="4"/>
  <c r="AT392" i="4"/>
  <c r="M392" i="4"/>
  <c r="AO392" i="4"/>
  <c r="E392" i="4"/>
  <c r="I392" i="4"/>
  <c r="AQ392" i="4"/>
  <c r="L392" i="4"/>
  <c r="AF392" i="4"/>
  <c r="AP392" i="4"/>
  <c r="G392" i="4"/>
  <c r="J392" i="4"/>
  <c r="AR392" i="4"/>
  <c r="AS392" i="4"/>
  <c r="H392" i="4"/>
  <c r="BE392" i="4"/>
  <c r="BD392" i="4"/>
  <c r="AG390" i="4"/>
  <c r="AL389" i="4"/>
  <c r="J391" i="28"/>
  <c r="Y391" i="28" s="1"/>
  <c r="I391" i="28"/>
  <c r="K391" i="28" s="1"/>
  <c r="N391" i="28" s="1"/>
  <c r="Z390" i="28"/>
  <c r="O391" i="28"/>
  <c r="F392" i="28"/>
  <c r="W392" i="28"/>
  <c r="Q392" i="28"/>
  <c r="R392" i="28"/>
  <c r="S392" i="28"/>
  <c r="B393" i="4"/>
  <c r="BC394" i="4"/>
  <c r="AM391" i="4"/>
  <c r="E393" i="28" l="1"/>
  <c r="T393" i="28"/>
  <c r="M393" i="28"/>
  <c r="L393" i="28"/>
  <c r="AL390" i="4"/>
  <c r="AN390" i="4" s="1"/>
  <c r="AX391" i="4"/>
  <c r="O392" i="28"/>
  <c r="Z391" i="28"/>
  <c r="P391" i="28"/>
  <c r="U391" i="28"/>
  <c r="V391" i="28" s="1"/>
  <c r="X391" i="28" s="1"/>
  <c r="AN389" i="4"/>
  <c r="AU389" i="4"/>
  <c r="AV389" i="4" s="1"/>
  <c r="AM392" i="4"/>
  <c r="I392" i="28"/>
  <c r="K392" i="28" s="1"/>
  <c r="N392" i="28" s="1"/>
  <c r="J392" i="28"/>
  <c r="Y392" i="28" s="1"/>
  <c r="B394" i="28"/>
  <c r="AC395" i="28"/>
  <c r="AS393" i="4"/>
  <c r="L393" i="4"/>
  <c r="N393" i="4"/>
  <c r="E393" i="4"/>
  <c r="I393" i="4"/>
  <c r="H393" i="4"/>
  <c r="AO393" i="4"/>
  <c r="AQ393" i="4"/>
  <c r="G393" i="4"/>
  <c r="AF393" i="4"/>
  <c r="M393" i="4"/>
  <c r="AT393" i="4"/>
  <c r="AP393" i="4"/>
  <c r="AR393" i="4"/>
  <c r="J393" i="4"/>
  <c r="B394" i="4"/>
  <c r="BC395" i="4"/>
  <c r="BE393" i="4"/>
  <c r="BD393" i="4"/>
  <c r="AH390" i="4"/>
  <c r="X392" i="4"/>
  <c r="AC392" i="4" s="1"/>
  <c r="U392" i="4"/>
  <c r="V392" i="4"/>
  <c r="AW392" i="4" s="1"/>
  <c r="S392" i="4"/>
  <c r="AA392" i="4" s="1"/>
  <c r="T392" i="4"/>
  <c r="W392" i="4"/>
  <c r="AB392" i="4" s="1"/>
  <c r="Y392" i="4"/>
  <c r="AD392" i="4" s="1"/>
  <c r="R392" i="4"/>
  <c r="Z392" i="4" s="1"/>
  <c r="W393" i="28"/>
  <c r="Q393" i="28"/>
  <c r="F393" i="28"/>
  <c r="S393" i="28"/>
  <c r="R393" i="28"/>
  <c r="AD393" i="28"/>
  <c r="AE393" i="28"/>
  <c r="AG391" i="4"/>
  <c r="AH391" i="4" s="1"/>
  <c r="E394" i="28" l="1"/>
  <c r="T394" i="28"/>
  <c r="M394" i="28"/>
  <c r="L394" i="28"/>
  <c r="AU390" i="4"/>
  <c r="AV390" i="4" s="1"/>
  <c r="AX392" i="4"/>
  <c r="AL391" i="4"/>
  <c r="AU391" i="4" s="1"/>
  <c r="AV391" i="4" s="1"/>
  <c r="J393" i="28"/>
  <c r="Y393" i="28" s="1"/>
  <c r="I393" i="28"/>
  <c r="K393" i="28" s="1"/>
  <c r="N393" i="28" s="1"/>
  <c r="O393" i="28"/>
  <c r="AO394" i="4"/>
  <c r="L394" i="4"/>
  <c r="AQ394" i="4"/>
  <c r="AR394" i="4"/>
  <c r="AS394" i="4"/>
  <c r="M394" i="4"/>
  <c r="I394" i="4"/>
  <c r="N394" i="4"/>
  <c r="J394" i="4"/>
  <c r="H394" i="4"/>
  <c r="AT394" i="4"/>
  <c r="G394" i="4"/>
  <c r="E394" i="4"/>
  <c r="AF394" i="4"/>
  <c r="AP394" i="4"/>
  <c r="AD394" i="28"/>
  <c r="AE394" i="28"/>
  <c r="AG392" i="4"/>
  <c r="AL392" i="4" s="1"/>
  <c r="R393" i="4"/>
  <c r="Z393" i="4" s="1"/>
  <c r="U393" i="4"/>
  <c r="V393" i="4"/>
  <c r="AW393" i="4" s="1"/>
  <c r="Y393" i="4"/>
  <c r="AD393" i="4" s="1"/>
  <c r="S393" i="4"/>
  <c r="AA393" i="4" s="1"/>
  <c r="T393" i="4"/>
  <c r="X393" i="4"/>
  <c r="AC393" i="4" s="1"/>
  <c r="W393" i="4"/>
  <c r="AB393" i="4" s="1"/>
  <c r="B395" i="4"/>
  <c r="BC396" i="4"/>
  <c r="BD394" i="4"/>
  <c r="BE394" i="4"/>
  <c r="AM393" i="4"/>
  <c r="AC396" i="28"/>
  <c r="B395" i="28"/>
  <c r="S394" i="28"/>
  <c r="Q394" i="28"/>
  <c r="R394" i="28"/>
  <c r="F394" i="28"/>
  <c r="W394" i="28"/>
  <c r="U392" i="28"/>
  <c r="V392" i="28" s="1"/>
  <c r="X392" i="28" s="1"/>
  <c r="P392" i="28"/>
  <c r="Z392" i="28"/>
  <c r="T395" i="28" l="1"/>
  <c r="E395" i="28"/>
  <c r="L395" i="28"/>
  <c r="M395" i="28"/>
  <c r="O394" i="28"/>
  <c r="AN391" i="4"/>
  <c r="AX393" i="4"/>
  <c r="AU392" i="4"/>
  <c r="AV392" i="4" s="1"/>
  <c r="AN392" i="4"/>
  <c r="AE395" i="28"/>
  <c r="AD395" i="28"/>
  <c r="W394" i="4"/>
  <c r="AB394" i="4" s="1"/>
  <c r="X394" i="4"/>
  <c r="AC394" i="4" s="1"/>
  <c r="V394" i="4"/>
  <c r="AW394" i="4" s="1"/>
  <c r="Y394" i="4"/>
  <c r="AD394" i="4" s="1"/>
  <c r="T394" i="4"/>
  <c r="R394" i="4"/>
  <c r="Z394" i="4" s="1"/>
  <c r="S394" i="4"/>
  <c r="AA394" i="4" s="1"/>
  <c r="AX394" i="4" s="1"/>
  <c r="U394" i="4"/>
  <c r="BC397" i="4"/>
  <c r="B396" i="4"/>
  <c r="AF395" i="4"/>
  <c r="L395" i="4"/>
  <c r="AS395" i="4"/>
  <c r="E395" i="4"/>
  <c r="G395" i="4"/>
  <c r="AQ395" i="4"/>
  <c r="AT395" i="4"/>
  <c r="N395" i="4"/>
  <c r="M395" i="4"/>
  <c r="I395" i="4"/>
  <c r="AR395" i="4"/>
  <c r="J395" i="4"/>
  <c r="AP395" i="4"/>
  <c r="AO395" i="4"/>
  <c r="H395" i="4"/>
  <c r="AG393" i="4"/>
  <c r="AM394" i="4"/>
  <c r="AH392" i="4"/>
  <c r="Z393" i="28"/>
  <c r="W395" i="28"/>
  <c r="R395" i="28"/>
  <c r="Q395" i="28"/>
  <c r="S395" i="28"/>
  <c r="F395" i="28"/>
  <c r="B396" i="28"/>
  <c r="AC397" i="28"/>
  <c r="BE395" i="4"/>
  <c r="BD395" i="4"/>
  <c r="I394" i="28"/>
  <c r="K394" i="28" s="1"/>
  <c r="N394" i="28" s="1"/>
  <c r="J394" i="28"/>
  <c r="Y394" i="28" s="1"/>
  <c r="U393" i="28"/>
  <c r="V393" i="28" s="1"/>
  <c r="X393" i="28" s="1"/>
  <c r="P393" i="28"/>
  <c r="Z394" i="28" l="1"/>
  <c r="T396" i="28"/>
  <c r="E396" i="28"/>
  <c r="M396" i="28"/>
  <c r="L396" i="28"/>
  <c r="AL393" i="4"/>
  <c r="AH393" i="4"/>
  <c r="BD396" i="4"/>
  <c r="BE396" i="4"/>
  <c r="AG394" i="4"/>
  <c r="P394" i="28"/>
  <c r="U394" i="28"/>
  <c r="V394" i="28" s="1"/>
  <c r="X394" i="28" s="1"/>
  <c r="U395" i="4"/>
  <c r="V395" i="4"/>
  <c r="AW395" i="4" s="1"/>
  <c r="T395" i="4"/>
  <c r="X395" i="4"/>
  <c r="AC395" i="4" s="1"/>
  <c r="R395" i="4"/>
  <c r="Z395" i="4" s="1"/>
  <c r="Y395" i="4"/>
  <c r="AD395" i="4" s="1"/>
  <c r="S395" i="4"/>
  <c r="AA395" i="4" s="1"/>
  <c r="W395" i="4"/>
  <c r="AB395" i="4" s="1"/>
  <c r="AE396" i="28"/>
  <c r="AD396" i="28"/>
  <c r="AC398" i="28"/>
  <c r="B397" i="28"/>
  <c r="S396" i="28"/>
  <c r="R396" i="28"/>
  <c r="Q396" i="28"/>
  <c r="W396" i="28"/>
  <c r="F396" i="28"/>
  <c r="O395" i="28"/>
  <c r="AM395" i="4"/>
  <c r="AT396" i="4"/>
  <c r="AO396" i="4"/>
  <c r="J396" i="4"/>
  <c r="I396" i="4"/>
  <c r="AF396" i="4"/>
  <c r="N396" i="4"/>
  <c r="AR396" i="4"/>
  <c r="H396" i="4"/>
  <c r="G396" i="4"/>
  <c r="M396" i="4"/>
  <c r="AS396" i="4"/>
  <c r="AQ396" i="4"/>
  <c r="L396" i="4"/>
  <c r="E396" i="4"/>
  <c r="AP396" i="4"/>
  <c r="BC398" i="4"/>
  <c r="B397" i="4"/>
  <c r="J395" i="28"/>
  <c r="Y395" i="28" s="1"/>
  <c r="I395" i="28"/>
  <c r="K395" i="28" s="1"/>
  <c r="N395" i="28" s="1"/>
  <c r="AU393" i="4" l="1"/>
  <c r="AV393" i="4" s="1"/>
  <c r="AN393" i="4"/>
  <c r="E397" i="28"/>
  <c r="T397" i="28"/>
  <c r="M397" i="28"/>
  <c r="L397" i="28"/>
  <c r="AX395" i="4"/>
  <c r="AL394" i="4"/>
  <c r="AN394" i="4" s="1"/>
  <c r="Z395" i="28"/>
  <c r="AC399" i="28"/>
  <c r="B398" i="28"/>
  <c r="AH394" i="4"/>
  <c r="V396" i="4"/>
  <c r="AW396" i="4" s="1"/>
  <c r="X396" i="4"/>
  <c r="AC396" i="4" s="1"/>
  <c r="S396" i="4"/>
  <c r="AA396" i="4" s="1"/>
  <c r="T396" i="4"/>
  <c r="W396" i="4"/>
  <c r="AB396" i="4" s="1"/>
  <c r="Y396" i="4"/>
  <c r="AD396" i="4" s="1"/>
  <c r="R396" i="4"/>
  <c r="Z396" i="4" s="1"/>
  <c r="U396" i="4"/>
  <c r="E397" i="4"/>
  <c r="AP397" i="4"/>
  <c r="L397" i="4"/>
  <c r="M397" i="4"/>
  <c r="AQ397" i="4"/>
  <c r="AO397" i="4"/>
  <c r="J397" i="4"/>
  <c r="I397" i="4"/>
  <c r="G397" i="4"/>
  <c r="N397" i="4"/>
  <c r="AF397" i="4"/>
  <c r="H397" i="4"/>
  <c r="AS397" i="4"/>
  <c r="AR397" i="4"/>
  <c r="AT397" i="4"/>
  <c r="P395" i="28"/>
  <c r="U395" i="28"/>
  <c r="V395" i="28" s="1"/>
  <c r="X395" i="28" s="1"/>
  <c r="BE397" i="4"/>
  <c r="BD397" i="4"/>
  <c r="BC399" i="4"/>
  <c r="B398" i="4"/>
  <c r="AM396" i="4"/>
  <c r="O396" i="28"/>
  <c r="Q397" i="28"/>
  <c r="R397" i="28"/>
  <c r="S397" i="28"/>
  <c r="F397" i="28"/>
  <c r="W397" i="28"/>
  <c r="AD397" i="28"/>
  <c r="AE397" i="28"/>
  <c r="J396" i="28"/>
  <c r="Y396" i="28" s="1"/>
  <c r="I396" i="28"/>
  <c r="K396" i="28" s="1"/>
  <c r="N396" i="28" s="1"/>
  <c r="AG395" i="4"/>
  <c r="E398" i="28" l="1"/>
  <c r="T398" i="28"/>
  <c r="M398" i="28"/>
  <c r="L398" i="28"/>
  <c r="AX396" i="4"/>
  <c r="AM397" i="4"/>
  <c r="AH395" i="4"/>
  <c r="AU394" i="4"/>
  <c r="AV394" i="4" s="1"/>
  <c r="AL395" i="4"/>
  <c r="AN395" i="4" s="1"/>
  <c r="B399" i="4"/>
  <c r="BC400" i="4"/>
  <c r="T397" i="4"/>
  <c r="Y397" i="4"/>
  <c r="AD397" i="4" s="1"/>
  <c r="X397" i="4"/>
  <c r="AC397" i="4" s="1"/>
  <c r="S397" i="4"/>
  <c r="AA397" i="4" s="1"/>
  <c r="U397" i="4"/>
  <c r="V397" i="4"/>
  <c r="AW397" i="4" s="1"/>
  <c r="W397" i="4"/>
  <c r="AB397" i="4" s="1"/>
  <c r="R397" i="4"/>
  <c r="Z397" i="4" s="1"/>
  <c r="AG396" i="4"/>
  <c r="B399" i="28"/>
  <c r="AC400" i="28"/>
  <c r="P396" i="28"/>
  <c r="U396" i="28"/>
  <c r="V396" i="28" s="1"/>
  <c r="X396" i="28" s="1"/>
  <c r="J397" i="28"/>
  <c r="Y397" i="28" s="1"/>
  <c r="I397" i="28"/>
  <c r="K397" i="28" s="1"/>
  <c r="N397" i="28" s="1"/>
  <c r="O397" i="28"/>
  <c r="Z396" i="28"/>
  <c r="AR398" i="4"/>
  <c r="I398" i="4"/>
  <c r="G398" i="4"/>
  <c r="AO398" i="4"/>
  <c r="AQ398" i="4"/>
  <c r="E398" i="4"/>
  <c r="M398" i="4"/>
  <c r="L398" i="4"/>
  <c r="AT398" i="4"/>
  <c r="J398" i="4"/>
  <c r="H398" i="4"/>
  <c r="AP398" i="4"/>
  <c r="AS398" i="4"/>
  <c r="AF398" i="4"/>
  <c r="N398" i="4"/>
  <c r="BD398" i="4"/>
  <c r="BE398" i="4"/>
  <c r="Q398" i="28"/>
  <c r="R398" i="28"/>
  <c r="S398" i="28"/>
  <c r="F398" i="28"/>
  <c r="W398" i="28"/>
  <c r="AE398" i="28"/>
  <c r="AD398" i="28"/>
  <c r="T399" i="28" l="1"/>
  <c r="E399" i="28"/>
  <c r="M399" i="28"/>
  <c r="L399" i="28"/>
  <c r="AL396" i="4"/>
  <c r="O398" i="28"/>
  <c r="AH396" i="4"/>
  <c r="AU395" i="4"/>
  <c r="AV395" i="4" s="1"/>
  <c r="AG397" i="4"/>
  <c r="AH397" i="4" s="1"/>
  <c r="J398" i="28"/>
  <c r="Y398" i="28" s="1"/>
  <c r="I398" i="28"/>
  <c r="K398" i="28" s="1"/>
  <c r="N398" i="28" s="1"/>
  <c r="Z397" i="28"/>
  <c r="AE399" i="28"/>
  <c r="AD399" i="28"/>
  <c r="BD399" i="4"/>
  <c r="BE399" i="4"/>
  <c r="V398" i="4"/>
  <c r="AW398" i="4" s="1"/>
  <c r="S398" i="4"/>
  <c r="AA398" i="4" s="1"/>
  <c r="U398" i="4"/>
  <c r="Y398" i="4"/>
  <c r="AD398" i="4" s="1"/>
  <c r="W398" i="4"/>
  <c r="AB398" i="4" s="1"/>
  <c r="R398" i="4"/>
  <c r="Z398" i="4" s="1"/>
  <c r="X398" i="4"/>
  <c r="AC398" i="4" s="1"/>
  <c r="T398" i="4"/>
  <c r="AM398" i="4"/>
  <c r="P397" i="28"/>
  <c r="U397" i="28"/>
  <c r="V397" i="28" s="1"/>
  <c r="X397" i="28" s="1"/>
  <c r="AC401" i="28"/>
  <c r="B400" i="28"/>
  <c r="R399" i="28"/>
  <c r="S399" i="28"/>
  <c r="Q399" i="28"/>
  <c r="F399" i="28"/>
  <c r="W399" i="28"/>
  <c r="AX397" i="4"/>
  <c r="B400" i="4"/>
  <c r="BC401" i="4"/>
  <c r="AO399" i="4"/>
  <c r="AP399" i="4"/>
  <c r="L399" i="4"/>
  <c r="AQ399" i="4"/>
  <c r="AS399" i="4"/>
  <c r="I399" i="4"/>
  <c r="AT399" i="4"/>
  <c r="H399" i="4"/>
  <c r="E399" i="4"/>
  <c r="F399" i="4" s="1"/>
  <c r="N399" i="4"/>
  <c r="M399" i="4"/>
  <c r="AR399" i="4"/>
  <c r="G399" i="4"/>
  <c r="AF399" i="4"/>
  <c r="J399" i="4"/>
  <c r="AU396" i="4" l="1"/>
  <c r="AV396" i="4" s="1"/>
  <c r="AN396" i="4"/>
  <c r="T400" i="28"/>
  <c r="E400" i="28"/>
  <c r="M400" i="28"/>
  <c r="L400" i="28"/>
  <c r="O399" i="28"/>
  <c r="Z398" i="28"/>
  <c r="AL397" i="4"/>
  <c r="AG398" i="4"/>
  <c r="AX398" i="4"/>
  <c r="AM399" i="4"/>
  <c r="B401" i="4"/>
  <c r="BC402" i="4"/>
  <c r="BE400" i="4"/>
  <c r="BD400" i="4"/>
  <c r="Q400" i="28"/>
  <c r="F400" i="28"/>
  <c r="W400" i="28"/>
  <c r="R400" i="28"/>
  <c r="S400" i="28"/>
  <c r="AC402" i="28"/>
  <c r="B401" i="28"/>
  <c r="T399" i="4"/>
  <c r="U399" i="4"/>
  <c r="W399" i="4"/>
  <c r="AB399" i="4" s="1"/>
  <c r="Y399" i="4"/>
  <c r="AD399" i="4" s="1"/>
  <c r="S399" i="4"/>
  <c r="AA399" i="4" s="1"/>
  <c r="X399" i="4"/>
  <c r="AC399" i="4" s="1"/>
  <c r="R399" i="4"/>
  <c r="Z399" i="4" s="1"/>
  <c r="V399" i="4"/>
  <c r="AW399" i="4" s="1"/>
  <c r="M400" i="4"/>
  <c r="AQ400" i="4"/>
  <c r="AT400" i="4"/>
  <c r="E400" i="4"/>
  <c r="AO400" i="4"/>
  <c r="AS400" i="4"/>
  <c r="L400" i="4"/>
  <c r="AR400" i="4"/>
  <c r="I400" i="4"/>
  <c r="H400" i="4"/>
  <c r="AP400" i="4"/>
  <c r="J400" i="4"/>
  <c r="G400" i="4"/>
  <c r="N400" i="4"/>
  <c r="AF400" i="4"/>
  <c r="AD400" i="28"/>
  <c r="AE400" i="28"/>
  <c r="J399" i="28"/>
  <c r="Y399" i="28" s="1"/>
  <c r="I399" i="28"/>
  <c r="K399" i="28" s="1"/>
  <c r="N399" i="28" s="1"/>
  <c r="AH398" i="4"/>
  <c r="U398" i="28"/>
  <c r="V398" i="28" s="1"/>
  <c r="X398" i="28" s="1"/>
  <c r="P398" i="28"/>
  <c r="Z399" i="28" l="1"/>
  <c r="E401" i="28"/>
  <c r="T401" i="28"/>
  <c r="M401" i="28"/>
  <c r="L401" i="28"/>
  <c r="AN397" i="4"/>
  <c r="AU397" i="4"/>
  <c r="AV397" i="4" s="1"/>
  <c r="I400" i="28"/>
  <c r="K400" i="28" s="1"/>
  <c r="N400" i="28" s="1"/>
  <c r="J400" i="28"/>
  <c r="Y400" i="28" s="1"/>
  <c r="AX399" i="4"/>
  <c r="AL398" i="4"/>
  <c r="AE401" i="28"/>
  <c r="AD401" i="28"/>
  <c r="W400" i="4"/>
  <c r="AB400" i="4" s="1"/>
  <c r="R400" i="4"/>
  <c r="Z400" i="4" s="1"/>
  <c r="S400" i="4"/>
  <c r="AA400" i="4" s="1"/>
  <c r="V400" i="4"/>
  <c r="AW400" i="4" s="1"/>
  <c r="X400" i="4"/>
  <c r="AC400" i="4" s="1"/>
  <c r="T400" i="4"/>
  <c r="U400" i="4"/>
  <c r="Y400" i="4"/>
  <c r="AD400" i="4" s="1"/>
  <c r="B402" i="4"/>
  <c r="BC403" i="4"/>
  <c r="U399" i="28"/>
  <c r="V399" i="28" s="1"/>
  <c r="X399" i="28" s="1"/>
  <c r="P399" i="28"/>
  <c r="AM400" i="4"/>
  <c r="AG399" i="4"/>
  <c r="AL399" i="4" s="1"/>
  <c r="S401" i="28"/>
  <c r="F401" i="28"/>
  <c r="Q401" i="28"/>
  <c r="R401" i="28"/>
  <c r="W401" i="28"/>
  <c r="AC403" i="28"/>
  <c r="B402" i="28"/>
  <c r="O400" i="28"/>
  <c r="BE401" i="4"/>
  <c r="BD401" i="4"/>
  <c r="M401" i="4"/>
  <c r="J401" i="4"/>
  <c r="G401" i="4"/>
  <c r="AS401" i="4"/>
  <c r="AT401" i="4"/>
  <c r="I401" i="4"/>
  <c r="L401" i="4"/>
  <c r="AR401" i="4"/>
  <c r="AO401" i="4"/>
  <c r="AQ401" i="4"/>
  <c r="H401" i="4"/>
  <c r="AP401" i="4"/>
  <c r="E401" i="4"/>
  <c r="N401" i="4"/>
  <c r="AF401" i="4"/>
  <c r="E402" i="28" l="1"/>
  <c r="T402" i="28"/>
  <c r="AT402" i="4"/>
  <c r="J402" i="4"/>
  <c r="M402" i="28"/>
  <c r="L402" i="28"/>
  <c r="O401" i="28"/>
  <c r="AX400" i="4"/>
  <c r="AN399" i="4"/>
  <c r="AU399" i="4"/>
  <c r="AV399" i="4" s="1"/>
  <c r="V401" i="4"/>
  <c r="AW401" i="4" s="1"/>
  <c r="X401" i="4"/>
  <c r="AC401" i="4" s="1"/>
  <c r="U401" i="4"/>
  <c r="T401" i="4"/>
  <c r="S401" i="4"/>
  <c r="AA401" i="4" s="1"/>
  <c r="AX401" i="4" s="1"/>
  <c r="R401" i="4"/>
  <c r="Z401" i="4" s="1"/>
  <c r="Y401" i="4"/>
  <c r="AD401" i="4" s="1"/>
  <c r="W401" i="4"/>
  <c r="AB401" i="4" s="1"/>
  <c r="Z400" i="28"/>
  <c r="W402" i="28"/>
  <c r="R402" i="28"/>
  <c r="F402" i="28"/>
  <c r="Q402" i="28"/>
  <c r="S402" i="28"/>
  <c r="AE402" i="28"/>
  <c r="AD402" i="28"/>
  <c r="BE402" i="4"/>
  <c r="BD402" i="4"/>
  <c r="N402" i="4"/>
  <c r="M402" i="4"/>
  <c r="AO402" i="4"/>
  <c r="AP402" i="4"/>
  <c r="AF402" i="4"/>
  <c r="G402" i="4"/>
  <c r="I402" i="4"/>
  <c r="AS402" i="4"/>
  <c r="L402" i="4"/>
  <c r="AR402" i="4"/>
  <c r="AQ402" i="4"/>
  <c r="E402" i="4"/>
  <c r="H402" i="4"/>
  <c r="AG400" i="4"/>
  <c r="AH400" i="4" s="1"/>
  <c r="AH399" i="4"/>
  <c r="AM401" i="4"/>
  <c r="AC404" i="28"/>
  <c r="B403" i="28"/>
  <c r="B403" i="4"/>
  <c r="BC404" i="4"/>
  <c r="I401" i="28"/>
  <c r="K401" i="28" s="1"/>
  <c r="N401" i="28" s="1"/>
  <c r="J401" i="28"/>
  <c r="Y401" i="28" s="1"/>
  <c r="AN398" i="4"/>
  <c r="AU398" i="4"/>
  <c r="AV398" i="4" s="1"/>
  <c r="P400" i="28"/>
  <c r="U400" i="28"/>
  <c r="V400" i="28" s="1"/>
  <c r="X400" i="28" s="1"/>
  <c r="T403" i="28" l="1"/>
  <c r="E403" i="28"/>
  <c r="Z401" i="28"/>
  <c r="J403" i="4"/>
  <c r="AT403" i="4"/>
  <c r="L403" i="28"/>
  <c r="M403" i="28"/>
  <c r="O402" i="28"/>
  <c r="E403" i="4"/>
  <c r="H403" i="4"/>
  <c r="N403" i="4"/>
  <c r="AO403" i="4"/>
  <c r="G403" i="4"/>
  <c r="AR403" i="4"/>
  <c r="AP403" i="4"/>
  <c r="I403" i="4"/>
  <c r="AF403" i="4"/>
  <c r="AQ403" i="4"/>
  <c r="L403" i="4"/>
  <c r="M403" i="4"/>
  <c r="AS403" i="4"/>
  <c r="AD403" i="28"/>
  <c r="AE403" i="28"/>
  <c r="P401" i="28"/>
  <c r="U401" i="28"/>
  <c r="V401" i="28" s="1"/>
  <c r="X401" i="28" s="1"/>
  <c r="B404" i="4"/>
  <c r="BC405" i="4"/>
  <c r="BE403" i="4"/>
  <c r="BD403" i="4"/>
  <c r="S403" i="28"/>
  <c r="Q403" i="28"/>
  <c r="R403" i="28"/>
  <c r="F403" i="28"/>
  <c r="W403" i="28"/>
  <c r="B404" i="28"/>
  <c r="AC405" i="28"/>
  <c r="AL400" i="4"/>
  <c r="AM402" i="4"/>
  <c r="T402" i="4"/>
  <c r="Y402" i="4"/>
  <c r="AD402" i="4" s="1"/>
  <c r="W402" i="4"/>
  <c r="AB402" i="4" s="1"/>
  <c r="U402" i="4"/>
  <c r="R402" i="4"/>
  <c r="Z402" i="4" s="1"/>
  <c r="X402" i="4"/>
  <c r="AC402" i="4" s="1"/>
  <c r="V402" i="4"/>
  <c r="AW402" i="4" s="1"/>
  <c r="S402" i="4"/>
  <c r="AA402" i="4" s="1"/>
  <c r="J402" i="28"/>
  <c r="Y402" i="28" s="1"/>
  <c r="I402" i="28"/>
  <c r="K402" i="28" s="1"/>
  <c r="N402" i="28" s="1"/>
  <c r="AG401" i="4"/>
  <c r="AH401" i="4" s="1"/>
  <c r="T404" i="28" l="1"/>
  <c r="E404" i="28"/>
  <c r="M404" i="28"/>
  <c r="L404" i="28"/>
  <c r="AM403" i="4"/>
  <c r="AX402" i="4"/>
  <c r="U402" i="28"/>
  <c r="V402" i="28" s="1"/>
  <c r="X402" i="28" s="1"/>
  <c r="P402" i="28"/>
  <c r="AG402" i="4"/>
  <c r="B405" i="28"/>
  <c r="AC406" i="28"/>
  <c r="W404" i="28"/>
  <c r="S404" i="28"/>
  <c r="F404" i="28"/>
  <c r="R404" i="28"/>
  <c r="Q404" i="28"/>
  <c r="AU400" i="4"/>
  <c r="AV400" i="4" s="1"/>
  <c r="AN400" i="4"/>
  <c r="AL401" i="4"/>
  <c r="AD404" i="28"/>
  <c r="AE404" i="28"/>
  <c r="O403" i="28"/>
  <c r="W403" i="4"/>
  <c r="AB403" i="4" s="1"/>
  <c r="X403" i="4"/>
  <c r="AC403" i="4" s="1"/>
  <c r="S403" i="4"/>
  <c r="AA403" i="4" s="1"/>
  <c r="Y403" i="4"/>
  <c r="AD403" i="4" s="1"/>
  <c r="T403" i="4"/>
  <c r="R403" i="4"/>
  <c r="Z403" i="4" s="1"/>
  <c r="U403" i="4"/>
  <c r="V403" i="4"/>
  <c r="AW403" i="4" s="1"/>
  <c r="BC406" i="4"/>
  <c r="B405" i="4"/>
  <c r="BE404" i="4"/>
  <c r="BD404" i="4"/>
  <c r="I403" i="28"/>
  <c r="K403" i="28" s="1"/>
  <c r="N403" i="28" s="1"/>
  <c r="J403" i="28"/>
  <c r="Y403" i="28" s="1"/>
  <c r="AQ404" i="4"/>
  <c r="AR404" i="4"/>
  <c r="L404" i="4"/>
  <c r="E404" i="4"/>
  <c r="AO404" i="4"/>
  <c r="AP404" i="4"/>
  <c r="AS404" i="4"/>
  <c r="N404" i="4"/>
  <c r="I404" i="4"/>
  <c r="H404" i="4"/>
  <c r="AF404" i="4"/>
  <c r="J404" i="4"/>
  <c r="AT404" i="4"/>
  <c r="G404" i="4"/>
  <c r="M404" i="4"/>
  <c r="Z402" i="28"/>
  <c r="E405" i="28" l="1"/>
  <c r="T405" i="28"/>
  <c r="M405" i="28"/>
  <c r="L405" i="28"/>
  <c r="AH402" i="4"/>
  <c r="AL402" i="4"/>
  <c r="AX403" i="4"/>
  <c r="U403" i="28"/>
  <c r="V403" i="28" s="1"/>
  <c r="X403" i="28" s="1"/>
  <c r="P403" i="28"/>
  <c r="W404" i="4"/>
  <c r="AB404" i="4" s="1"/>
  <c r="S404" i="4"/>
  <c r="AA404" i="4" s="1"/>
  <c r="U404" i="4"/>
  <c r="X404" i="4"/>
  <c r="AC404" i="4" s="1"/>
  <c r="Y404" i="4"/>
  <c r="AD404" i="4" s="1"/>
  <c r="T404" i="4"/>
  <c r="R404" i="4"/>
  <c r="Z404" i="4" s="1"/>
  <c r="V404" i="4"/>
  <c r="AW404" i="4" s="1"/>
  <c r="L405" i="4"/>
  <c r="M405" i="4"/>
  <c r="AO405" i="4"/>
  <c r="AR405" i="4"/>
  <c r="J405" i="4"/>
  <c r="I405" i="4"/>
  <c r="AT405" i="4"/>
  <c r="AF405" i="4"/>
  <c r="N405" i="4"/>
  <c r="G405" i="4"/>
  <c r="AQ405" i="4"/>
  <c r="AS405" i="4"/>
  <c r="H405" i="4"/>
  <c r="AP405" i="4"/>
  <c r="E405" i="4"/>
  <c r="BE405" i="4"/>
  <c r="BD405" i="4"/>
  <c r="J404" i="28"/>
  <c r="Y404" i="28" s="1"/>
  <c r="I404" i="28"/>
  <c r="K404" i="28" s="1"/>
  <c r="N404" i="28" s="1"/>
  <c r="O404" i="28"/>
  <c r="S405" i="28"/>
  <c r="F405" i="28"/>
  <c r="Q405" i="28"/>
  <c r="R405" i="28"/>
  <c r="W405" i="28"/>
  <c r="AM404" i="4"/>
  <c r="BC407" i="4"/>
  <c r="B406" i="4"/>
  <c r="AG403" i="4"/>
  <c r="AH403" i="4" s="1"/>
  <c r="Z403" i="28"/>
  <c r="AN401" i="4"/>
  <c r="AU401" i="4"/>
  <c r="AV401" i="4" s="1"/>
  <c r="AC407" i="28"/>
  <c r="B406" i="28"/>
  <c r="AD405" i="28"/>
  <c r="AE405" i="28"/>
  <c r="AN402" i="4" l="1"/>
  <c r="E406" i="28"/>
  <c r="T406" i="28"/>
  <c r="O405" i="28"/>
  <c r="M406" i="28"/>
  <c r="L406" i="28"/>
  <c r="AU402" i="4"/>
  <c r="AV402" i="4" s="1"/>
  <c r="AG404" i="4"/>
  <c r="AH404" i="4" s="1"/>
  <c r="AL403" i="4"/>
  <c r="R406" i="28"/>
  <c r="S406" i="28"/>
  <c r="Q406" i="28"/>
  <c r="W406" i="28"/>
  <c r="F406" i="28"/>
  <c r="AD406" i="28"/>
  <c r="AE406" i="28"/>
  <c r="BE406" i="4"/>
  <c r="BD406" i="4"/>
  <c r="BC408" i="4"/>
  <c r="B407" i="4"/>
  <c r="Z404" i="28"/>
  <c r="AL404" i="4"/>
  <c r="I405" i="28"/>
  <c r="K405" i="28" s="1"/>
  <c r="N405" i="28" s="1"/>
  <c r="J405" i="28"/>
  <c r="Y405" i="28" s="1"/>
  <c r="AC408" i="28"/>
  <c r="B407" i="28"/>
  <c r="AR406" i="4"/>
  <c r="G406" i="4"/>
  <c r="I406" i="4"/>
  <c r="AO406" i="4"/>
  <c r="L406" i="4"/>
  <c r="AP406" i="4"/>
  <c r="N406" i="4"/>
  <c r="H406" i="4"/>
  <c r="E406" i="4"/>
  <c r="AF406" i="4"/>
  <c r="AQ406" i="4"/>
  <c r="J406" i="4"/>
  <c r="AS406" i="4"/>
  <c r="M406" i="4"/>
  <c r="AT406" i="4"/>
  <c r="P404" i="28"/>
  <c r="U404" i="28"/>
  <c r="V404" i="28" s="1"/>
  <c r="X404" i="28" s="1"/>
  <c r="R405" i="4"/>
  <c r="Z405" i="4" s="1"/>
  <c r="S405" i="4"/>
  <c r="AA405" i="4" s="1"/>
  <c r="T405" i="4"/>
  <c r="U405" i="4"/>
  <c r="X405" i="4"/>
  <c r="AC405" i="4" s="1"/>
  <c r="W405" i="4"/>
  <c r="AB405" i="4" s="1"/>
  <c r="V405" i="4"/>
  <c r="AW405" i="4" s="1"/>
  <c r="Y405" i="4"/>
  <c r="AD405" i="4" s="1"/>
  <c r="AM405" i="4"/>
  <c r="AX404" i="4"/>
  <c r="T407" i="28" l="1"/>
  <c r="E407" i="28"/>
  <c r="Z405" i="28"/>
  <c r="M407" i="28"/>
  <c r="L407" i="28"/>
  <c r="AN403" i="4"/>
  <c r="AU403" i="4"/>
  <c r="AV403" i="4" s="1"/>
  <c r="AM406" i="4"/>
  <c r="S407" i="28"/>
  <c r="R407" i="28"/>
  <c r="W407" i="28"/>
  <c r="Q407" i="28"/>
  <c r="F407" i="28"/>
  <c r="AD407" i="28"/>
  <c r="AE407" i="28"/>
  <c r="U405" i="28"/>
  <c r="V405" i="28" s="1"/>
  <c r="X405" i="28" s="1"/>
  <c r="P405" i="28"/>
  <c r="AN404" i="4"/>
  <c r="AU404" i="4"/>
  <c r="AV404" i="4" s="1"/>
  <c r="AT407" i="4"/>
  <c r="N407" i="4"/>
  <c r="G407" i="4"/>
  <c r="AR407" i="4"/>
  <c r="J407" i="4"/>
  <c r="AF407" i="4"/>
  <c r="E407" i="4"/>
  <c r="AS407" i="4"/>
  <c r="AP407" i="4"/>
  <c r="AQ407" i="4"/>
  <c r="I407" i="4"/>
  <c r="H407" i="4"/>
  <c r="AO407" i="4"/>
  <c r="L407" i="4"/>
  <c r="M407" i="4"/>
  <c r="BE407" i="4"/>
  <c r="BD407" i="4"/>
  <c r="S406" i="4"/>
  <c r="AA406" i="4" s="1"/>
  <c r="Y406" i="4"/>
  <c r="AD406" i="4" s="1"/>
  <c r="V406" i="4"/>
  <c r="AW406" i="4" s="1"/>
  <c r="U406" i="4"/>
  <c r="R406" i="4"/>
  <c r="Z406" i="4" s="1"/>
  <c r="X406" i="4"/>
  <c r="AC406" i="4" s="1"/>
  <c r="W406" i="4"/>
  <c r="AB406" i="4" s="1"/>
  <c r="T406" i="4"/>
  <c r="I406" i="28"/>
  <c r="K406" i="28" s="1"/>
  <c r="N406" i="28" s="1"/>
  <c r="J406" i="28"/>
  <c r="Y406" i="28" s="1"/>
  <c r="AG405" i="4"/>
  <c r="AL405" i="4" s="1"/>
  <c r="AX405" i="4"/>
  <c r="AC409" i="28"/>
  <c r="B408" i="28"/>
  <c r="B408" i="4"/>
  <c r="BC409" i="4"/>
  <c r="O406" i="28"/>
  <c r="T408" i="28" l="1"/>
  <c r="E408" i="28"/>
  <c r="M408" i="28"/>
  <c r="L408" i="28"/>
  <c r="BE408" i="4"/>
  <c r="BD408" i="4"/>
  <c r="J408" i="4"/>
  <c r="AO408" i="4"/>
  <c r="L408" i="4"/>
  <c r="AS408" i="4"/>
  <c r="AQ408" i="4"/>
  <c r="AR408" i="4"/>
  <c r="AT408" i="4"/>
  <c r="I408" i="4"/>
  <c r="E408" i="4"/>
  <c r="M408" i="4"/>
  <c r="AF408" i="4"/>
  <c r="N408" i="4"/>
  <c r="H408" i="4"/>
  <c r="G408" i="4"/>
  <c r="AP408" i="4"/>
  <c r="B409" i="28"/>
  <c r="AC410" i="28"/>
  <c r="AN405" i="4"/>
  <c r="AU405" i="4"/>
  <c r="AV405" i="4" s="1"/>
  <c r="U406" i="28"/>
  <c r="V406" i="28" s="1"/>
  <c r="X406" i="28" s="1"/>
  <c r="P406" i="28"/>
  <c r="AX406" i="4"/>
  <c r="Z406" i="28"/>
  <c r="B409" i="4"/>
  <c r="BC410" i="4"/>
  <c r="F408" i="28"/>
  <c r="W408" i="28"/>
  <c r="R408" i="28"/>
  <c r="Q408" i="28"/>
  <c r="S408" i="28"/>
  <c r="AE408" i="28"/>
  <c r="AD408" i="28"/>
  <c r="AH405" i="4"/>
  <c r="AG406" i="4"/>
  <c r="Y407" i="4"/>
  <c r="AD407" i="4" s="1"/>
  <c r="X407" i="4"/>
  <c r="AC407" i="4" s="1"/>
  <c r="V407" i="4"/>
  <c r="AW407" i="4" s="1"/>
  <c r="W407" i="4"/>
  <c r="AB407" i="4" s="1"/>
  <c r="S407" i="4"/>
  <c r="AA407" i="4" s="1"/>
  <c r="R407" i="4"/>
  <c r="Z407" i="4" s="1"/>
  <c r="T407" i="4"/>
  <c r="U407" i="4"/>
  <c r="O407" i="28"/>
  <c r="AM407" i="4"/>
  <c r="J407" i="28"/>
  <c r="Y407" i="28" s="1"/>
  <c r="I407" i="28"/>
  <c r="K407" i="28" s="1"/>
  <c r="N407" i="28" s="1"/>
  <c r="E409" i="28" l="1"/>
  <c r="T409" i="28"/>
  <c r="M409" i="28"/>
  <c r="L409" i="28"/>
  <c r="AX407" i="4"/>
  <c r="AG407" i="4"/>
  <c r="AL406" i="4"/>
  <c r="AN406" i="4" s="1"/>
  <c r="Z407" i="28"/>
  <c r="AH406" i="4"/>
  <c r="O408" i="28"/>
  <c r="BE409" i="4"/>
  <c r="BD409" i="4"/>
  <c r="Q409" i="28"/>
  <c r="W409" i="28"/>
  <c r="F409" i="28"/>
  <c r="R409" i="28"/>
  <c r="S409" i="28"/>
  <c r="AM408" i="4"/>
  <c r="U407" i="28"/>
  <c r="V407" i="28" s="1"/>
  <c r="X407" i="28" s="1"/>
  <c r="P407" i="28"/>
  <c r="J408" i="28"/>
  <c r="Y408" i="28" s="1"/>
  <c r="I408" i="28"/>
  <c r="K408" i="28" s="1"/>
  <c r="N408" i="28" s="1"/>
  <c r="B410" i="4"/>
  <c r="BC411" i="4"/>
  <c r="N409" i="4"/>
  <c r="AF409" i="4"/>
  <c r="AP409" i="4"/>
  <c r="AR409" i="4"/>
  <c r="AO409" i="4"/>
  <c r="G409" i="4"/>
  <c r="I409" i="4"/>
  <c r="E409" i="4"/>
  <c r="L409" i="4"/>
  <c r="AT409" i="4"/>
  <c r="M409" i="4"/>
  <c r="AQ409" i="4"/>
  <c r="H409" i="4"/>
  <c r="AS409" i="4"/>
  <c r="J409" i="4"/>
  <c r="AC411" i="28"/>
  <c r="B410" i="28"/>
  <c r="AD409" i="28"/>
  <c r="AE409" i="28"/>
  <c r="R408" i="4"/>
  <c r="Z408" i="4" s="1"/>
  <c r="U408" i="4"/>
  <c r="V408" i="4"/>
  <c r="AW408" i="4" s="1"/>
  <c r="Y408" i="4"/>
  <c r="AD408" i="4" s="1"/>
  <c r="W408" i="4"/>
  <c r="AB408" i="4" s="1"/>
  <c r="X408" i="4"/>
  <c r="AC408" i="4" s="1"/>
  <c r="S408" i="4"/>
  <c r="AA408" i="4" s="1"/>
  <c r="AX408" i="4" s="1"/>
  <c r="T408" i="4"/>
  <c r="E410" i="28" l="1"/>
  <c r="T410" i="28"/>
  <c r="M410" i="28"/>
  <c r="L410" i="28"/>
  <c r="AL407" i="4"/>
  <c r="AN407" i="4" s="1"/>
  <c r="AU406" i="4"/>
  <c r="AV406" i="4" s="1"/>
  <c r="AH407" i="4"/>
  <c r="AM409" i="4"/>
  <c r="J409" i="28"/>
  <c r="Y409" i="28" s="1"/>
  <c r="I409" i="28"/>
  <c r="K409" i="28" s="1"/>
  <c r="N409" i="28" s="1"/>
  <c r="AE410" i="28"/>
  <c r="AD410" i="28"/>
  <c r="BE410" i="4"/>
  <c r="BD410" i="4"/>
  <c r="AG408" i="4"/>
  <c r="R410" i="28"/>
  <c r="S410" i="28"/>
  <c r="Q410" i="28"/>
  <c r="F410" i="28"/>
  <c r="W410" i="28"/>
  <c r="B411" i="28"/>
  <c r="AC412" i="28"/>
  <c r="BC412" i="4"/>
  <c r="B411" i="4"/>
  <c r="L410" i="4"/>
  <c r="AO410" i="4"/>
  <c r="M410" i="4"/>
  <c r="E410" i="4"/>
  <c r="G410" i="4"/>
  <c r="AT410" i="4"/>
  <c r="AS410" i="4"/>
  <c r="N410" i="4"/>
  <c r="AF410" i="4"/>
  <c r="AQ410" i="4"/>
  <c r="I410" i="4"/>
  <c r="AR410" i="4"/>
  <c r="J410" i="4"/>
  <c r="AP410" i="4"/>
  <c r="H410" i="4"/>
  <c r="P408" i="28"/>
  <c r="U408" i="28"/>
  <c r="V408" i="28" s="1"/>
  <c r="X408" i="28" s="1"/>
  <c r="O409" i="28"/>
  <c r="U409" i="4"/>
  <c r="S409" i="4"/>
  <c r="AA409" i="4" s="1"/>
  <c r="X409" i="4"/>
  <c r="AC409" i="4" s="1"/>
  <c r="Y409" i="4"/>
  <c r="AD409" i="4" s="1"/>
  <c r="T409" i="4"/>
  <c r="R409" i="4"/>
  <c r="Z409" i="4" s="1"/>
  <c r="W409" i="4"/>
  <c r="AB409" i="4" s="1"/>
  <c r="V409" i="4"/>
  <c r="AW409" i="4" s="1"/>
  <c r="Z408" i="28"/>
  <c r="T411" i="28" l="1"/>
  <c r="E411" i="28"/>
  <c r="L411" i="28"/>
  <c r="M411" i="28"/>
  <c r="O410" i="28"/>
  <c r="AU407" i="4"/>
  <c r="AV407" i="4" s="1"/>
  <c r="AH408" i="4"/>
  <c r="AM410" i="4"/>
  <c r="BE411" i="4"/>
  <c r="BD411" i="4"/>
  <c r="AD411" i="28"/>
  <c r="AE411" i="28"/>
  <c r="J410" i="28"/>
  <c r="Y410" i="28" s="1"/>
  <c r="I410" i="28"/>
  <c r="K410" i="28" s="1"/>
  <c r="N410" i="28" s="1"/>
  <c r="U409" i="28"/>
  <c r="V409" i="28" s="1"/>
  <c r="X409" i="28" s="1"/>
  <c r="P409" i="28"/>
  <c r="AL408" i="4"/>
  <c r="AG409" i="4"/>
  <c r="AH409" i="4" s="1"/>
  <c r="AX409" i="4"/>
  <c r="Z409" i="28"/>
  <c r="E411" i="4"/>
  <c r="AT411" i="4"/>
  <c r="J411" i="4"/>
  <c r="H411" i="4"/>
  <c r="L411" i="4"/>
  <c r="AR411" i="4"/>
  <c r="M411" i="4"/>
  <c r="AQ411" i="4"/>
  <c r="I411" i="4"/>
  <c r="G411" i="4"/>
  <c r="AO411" i="4"/>
  <c r="AF411" i="4"/>
  <c r="N411" i="4"/>
  <c r="AS411" i="4"/>
  <c r="AP411" i="4"/>
  <c r="BC413" i="4"/>
  <c r="B412" i="4"/>
  <c r="B412" i="28"/>
  <c r="AC413" i="28"/>
  <c r="S411" i="28"/>
  <c r="F411" i="28"/>
  <c r="R411" i="28"/>
  <c r="W411" i="28"/>
  <c r="Q411" i="28"/>
  <c r="Y410" i="4"/>
  <c r="AD410" i="4" s="1"/>
  <c r="W410" i="4"/>
  <c r="AB410" i="4" s="1"/>
  <c r="R410" i="4"/>
  <c r="Z410" i="4" s="1"/>
  <c r="S410" i="4"/>
  <c r="X410" i="4"/>
  <c r="AC410" i="4" s="1"/>
  <c r="V410" i="4"/>
  <c r="AW410" i="4" s="1"/>
  <c r="T410" i="4"/>
  <c r="U410" i="4"/>
  <c r="T412" i="28" l="1"/>
  <c r="E412" i="28"/>
  <c r="M412" i="28"/>
  <c r="L412" i="28"/>
  <c r="Z410" i="28"/>
  <c r="AA410" i="4"/>
  <c r="AX410" i="4" s="1"/>
  <c r="AG410" i="4"/>
  <c r="O411" i="28"/>
  <c r="AE412" i="28"/>
  <c r="AD412" i="28"/>
  <c r="B413" i="4"/>
  <c r="BC414" i="4"/>
  <c r="AM411" i="4"/>
  <c r="AN408" i="4"/>
  <c r="AU408" i="4"/>
  <c r="AV408" i="4" s="1"/>
  <c r="I411" i="28"/>
  <c r="K411" i="28" s="1"/>
  <c r="N411" i="28" s="1"/>
  <c r="J411" i="28"/>
  <c r="Y411" i="28" s="1"/>
  <c r="B413" i="28"/>
  <c r="AC414" i="28"/>
  <c r="F412" i="28"/>
  <c r="W412" i="28"/>
  <c r="Q412" i="28"/>
  <c r="R412" i="28"/>
  <c r="S412" i="28"/>
  <c r="BD412" i="4"/>
  <c r="BE412" i="4"/>
  <c r="AO412" i="4"/>
  <c r="E412" i="4"/>
  <c r="M412" i="4"/>
  <c r="AF412" i="4"/>
  <c r="AS412" i="4"/>
  <c r="G412" i="4"/>
  <c r="H412" i="4"/>
  <c r="AP412" i="4"/>
  <c r="I412" i="4"/>
  <c r="AQ412" i="4"/>
  <c r="L412" i="4"/>
  <c r="N412" i="4"/>
  <c r="J412" i="4"/>
  <c r="AT412" i="4"/>
  <c r="AR412" i="4"/>
  <c r="AL409" i="4"/>
  <c r="AL410" i="4"/>
  <c r="U410" i="28"/>
  <c r="V410" i="28" s="1"/>
  <c r="X410" i="28" s="1"/>
  <c r="P410" i="28"/>
  <c r="S411" i="4"/>
  <c r="AA411" i="4" s="1"/>
  <c r="V411" i="4"/>
  <c r="AW411" i="4" s="1"/>
  <c r="W411" i="4"/>
  <c r="AB411" i="4" s="1"/>
  <c r="Y411" i="4"/>
  <c r="AD411" i="4" s="1"/>
  <c r="X411" i="4"/>
  <c r="AC411" i="4" s="1"/>
  <c r="T411" i="4"/>
  <c r="R411" i="4"/>
  <c r="Z411" i="4" s="1"/>
  <c r="U411" i="4"/>
  <c r="E413" i="28" l="1"/>
  <c r="T413" i="28"/>
  <c r="M413" i="28"/>
  <c r="L413" i="28"/>
  <c r="AM412" i="4"/>
  <c r="AX411" i="4"/>
  <c r="AN410" i="4"/>
  <c r="AU410" i="4"/>
  <c r="AV410" i="4" s="1"/>
  <c r="R412" i="4"/>
  <c r="Z412" i="4" s="1"/>
  <c r="U412" i="4"/>
  <c r="W412" i="4"/>
  <c r="AB412" i="4" s="1"/>
  <c r="X412" i="4"/>
  <c r="AC412" i="4" s="1"/>
  <c r="S412" i="4"/>
  <c r="AA412" i="4" s="1"/>
  <c r="T412" i="4"/>
  <c r="V412" i="4"/>
  <c r="AW412" i="4" s="1"/>
  <c r="Y412" i="4"/>
  <c r="AD412" i="4" s="1"/>
  <c r="O412" i="28"/>
  <c r="B414" i="28"/>
  <c r="AC415" i="28"/>
  <c r="AD413" i="28"/>
  <c r="AE413" i="28"/>
  <c r="AF413" i="4"/>
  <c r="AS413" i="4"/>
  <c r="AO413" i="4"/>
  <c r="H413" i="4"/>
  <c r="J413" i="4"/>
  <c r="AT413" i="4"/>
  <c r="N413" i="4"/>
  <c r="I413" i="4"/>
  <c r="L413" i="4"/>
  <c r="M413" i="4"/>
  <c r="AQ413" i="4"/>
  <c r="AR413" i="4"/>
  <c r="AP413" i="4"/>
  <c r="G413" i="4"/>
  <c r="E413" i="4"/>
  <c r="J412" i="28"/>
  <c r="Y412" i="28" s="1"/>
  <c r="I412" i="28"/>
  <c r="K412" i="28" s="1"/>
  <c r="N412" i="28" s="1"/>
  <c r="Z411" i="28"/>
  <c r="AG411" i="4"/>
  <c r="AH411" i="4" s="1"/>
  <c r="AN409" i="4"/>
  <c r="AU409" i="4"/>
  <c r="AV409" i="4" s="1"/>
  <c r="R413" i="28"/>
  <c r="S413" i="28"/>
  <c r="Q413" i="28"/>
  <c r="F413" i="28"/>
  <c r="W413" i="28"/>
  <c r="P411" i="28"/>
  <c r="U411" i="28"/>
  <c r="V411" i="28" s="1"/>
  <c r="X411" i="28" s="1"/>
  <c r="BC415" i="4"/>
  <c r="B414" i="4"/>
  <c r="BE413" i="4"/>
  <c r="BD413" i="4"/>
  <c r="AH410" i="4"/>
  <c r="E414" i="28" l="1"/>
  <c r="T414" i="28"/>
  <c r="AG412" i="4"/>
  <c r="M414" i="28"/>
  <c r="L414" i="28"/>
  <c r="BD414" i="4"/>
  <c r="BE414" i="4"/>
  <c r="B415" i="4"/>
  <c r="BC416" i="4"/>
  <c r="T413" i="4"/>
  <c r="Y413" i="4"/>
  <c r="AD413" i="4" s="1"/>
  <c r="S413" i="4"/>
  <c r="AA413" i="4" s="1"/>
  <c r="X413" i="4"/>
  <c r="AC413" i="4" s="1"/>
  <c r="R413" i="4"/>
  <c r="Z413" i="4" s="1"/>
  <c r="V413" i="4"/>
  <c r="AW413" i="4" s="1"/>
  <c r="U413" i="4"/>
  <c r="W413" i="4"/>
  <c r="AB413" i="4" s="1"/>
  <c r="AF414" i="4"/>
  <c r="M414" i="4"/>
  <c r="J414" i="4"/>
  <c r="N414" i="4"/>
  <c r="H414" i="4"/>
  <c r="AP414" i="4"/>
  <c r="AR414" i="4"/>
  <c r="I414" i="4"/>
  <c r="AS414" i="4"/>
  <c r="AO414" i="4"/>
  <c r="E414" i="4"/>
  <c r="L414" i="4"/>
  <c r="AT414" i="4"/>
  <c r="AQ414" i="4"/>
  <c r="G414" i="4"/>
  <c r="AL411" i="4"/>
  <c r="P412" i="28"/>
  <c r="U412" i="28"/>
  <c r="V412" i="28" s="1"/>
  <c r="X412" i="28" s="1"/>
  <c r="B415" i="28"/>
  <c r="AC416" i="28"/>
  <c r="R414" i="28"/>
  <c r="S414" i="28"/>
  <c r="Q414" i="28"/>
  <c r="F414" i="28"/>
  <c r="W414" i="28"/>
  <c r="O413" i="28"/>
  <c r="AM413" i="4"/>
  <c r="J413" i="28"/>
  <c r="Y413" i="28" s="1"/>
  <c r="I413" i="28"/>
  <c r="K413" i="28" s="1"/>
  <c r="N413" i="28" s="1"/>
  <c r="AE414" i="28"/>
  <c r="AD414" i="28"/>
  <c r="Z412" i="28"/>
  <c r="AX412" i="4"/>
  <c r="AL412" i="4"/>
  <c r="T415" i="28" l="1"/>
  <c r="E415" i="28"/>
  <c r="O414" i="28"/>
  <c r="M415" i="28"/>
  <c r="L415" i="28"/>
  <c r="AM414" i="4"/>
  <c r="AU412" i="4"/>
  <c r="AV412" i="4" s="1"/>
  <c r="AN412" i="4"/>
  <c r="AD415" i="28"/>
  <c r="AE415" i="28"/>
  <c r="AN411" i="4"/>
  <c r="AU411" i="4"/>
  <c r="AV411" i="4" s="1"/>
  <c r="AG413" i="4"/>
  <c r="AF415" i="4"/>
  <c r="J415" i="4"/>
  <c r="AQ415" i="4"/>
  <c r="I415" i="4"/>
  <c r="AS415" i="4"/>
  <c r="L415" i="4"/>
  <c r="AO415" i="4"/>
  <c r="AP415" i="4"/>
  <c r="H415" i="4"/>
  <c r="AT415" i="4"/>
  <c r="E415" i="4"/>
  <c r="M415" i="4"/>
  <c r="N415" i="4"/>
  <c r="G415" i="4"/>
  <c r="AR415" i="4"/>
  <c r="BD415" i="4"/>
  <c r="BE415" i="4"/>
  <c r="Z413" i="28"/>
  <c r="AH412" i="4"/>
  <c r="J414" i="28"/>
  <c r="Y414" i="28" s="1"/>
  <c r="I414" i="28"/>
  <c r="K414" i="28" s="1"/>
  <c r="N414" i="28" s="1"/>
  <c r="P413" i="28"/>
  <c r="U413" i="28"/>
  <c r="V413" i="28" s="1"/>
  <c r="X413" i="28" s="1"/>
  <c r="AC417" i="28"/>
  <c r="B416" i="28"/>
  <c r="Q415" i="28"/>
  <c r="W415" i="28"/>
  <c r="R415" i="28"/>
  <c r="S415" i="28"/>
  <c r="F415" i="28"/>
  <c r="AX413" i="4"/>
  <c r="B416" i="4"/>
  <c r="BC417" i="4"/>
  <c r="Y414" i="4"/>
  <c r="AD414" i="4" s="1"/>
  <c r="U414" i="4"/>
  <c r="S414" i="4"/>
  <c r="AA414" i="4" s="1"/>
  <c r="W414" i="4"/>
  <c r="AB414" i="4" s="1"/>
  <c r="X414" i="4"/>
  <c r="AC414" i="4" s="1"/>
  <c r="R414" i="4"/>
  <c r="Z414" i="4" s="1"/>
  <c r="T414" i="4"/>
  <c r="V414" i="4"/>
  <c r="AW414" i="4" s="1"/>
  <c r="T416" i="28" l="1"/>
  <c r="E416" i="28"/>
  <c r="Z414" i="28"/>
  <c r="M416" i="28"/>
  <c r="L416" i="28"/>
  <c r="AM415" i="4"/>
  <c r="AL413" i="4"/>
  <c r="AC418" i="28"/>
  <c r="B417" i="28"/>
  <c r="P414" i="28"/>
  <c r="U414" i="28"/>
  <c r="V414" i="28" s="1"/>
  <c r="X414" i="28" s="1"/>
  <c r="V415" i="4"/>
  <c r="AW415" i="4" s="1"/>
  <c r="T415" i="4"/>
  <c r="S415" i="4"/>
  <c r="AA415" i="4" s="1"/>
  <c r="X415" i="4"/>
  <c r="AC415" i="4" s="1"/>
  <c r="Y415" i="4"/>
  <c r="AD415" i="4" s="1"/>
  <c r="U415" i="4"/>
  <c r="R415" i="4"/>
  <c r="Z415" i="4" s="1"/>
  <c r="W415" i="4"/>
  <c r="AB415" i="4" s="1"/>
  <c r="AH413" i="4"/>
  <c r="BC418" i="4"/>
  <c r="B417" i="4"/>
  <c r="E416" i="4"/>
  <c r="AQ416" i="4"/>
  <c r="L416" i="4"/>
  <c r="M416" i="4"/>
  <c r="AT416" i="4"/>
  <c r="AO416" i="4"/>
  <c r="G416" i="4"/>
  <c r="H416" i="4"/>
  <c r="I416" i="4"/>
  <c r="N416" i="4"/>
  <c r="AF416" i="4"/>
  <c r="J416" i="4"/>
  <c r="AP416" i="4"/>
  <c r="AS416" i="4"/>
  <c r="AR416" i="4"/>
  <c r="AX414" i="4"/>
  <c r="AG414" i="4"/>
  <c r="BE416" i="4"/>
  <c r="BD416" i="4"/>
  <c r="O415" i="28"/>
  <c r="Q416" i="28"/>
  <c r="S416" i="28"/>
  <c r="F416" i="28"/>
  <c r="R416" i="28"/>
  <c r="W416" i="28"/>
  <c r="AE416" i="28"/>
  <c r="AD416" i="28"/>
  <c r="J415" i="28"/>
  <c r="Y415" i="28" s="1"/>
  <c r="I415" i="28"/>
  <c r="K415" i="28" s="1"/>
  <c r="N415" i="28" s="1"/>
  <c r="E417" i="28" l="1"/>
  <c r="T417" i="28"/>
  <c r="M417" i="28"/>
  <c r="L417" i="28"/>
  <c r="AN413" i="4"/>
  <c r="AU413" i="4"/>
  <c r="AV413" i="4" s="1"/>
  <c r="AX415" i="4"/>
  <c r="AL414" i="4"/>
  <c r="Z415" i="28"/>
  <c r="AF417" i="4"/>
  <c r="L417" i="4"/>
  <c r="AQ417" i="4"/>
  <c r="AP417" i="4"/>
  <c r="AS417" i="4"/>
  <c r="J417" i="4"/>
  <c r="G417" i="4"/>
  <c r="AR417" i="4"/>
  <c r="N417" i="4"/>
  <c r="AT417" i="4"/>
  <c r="M417" i="4"/>
  <c r="H417" i="4"/>
  <c r="AO417" i="4"/>
  <c r="E417" i="4"/>
  <c r="I417" i="4"/>
  <c r="B418" i="4"/>
  <c r="BC419" i="4"/>
  <c r="F417" i="28"/>
  <c r="Q417" i="28"/>
  <c r="S417" i="28"/>
  <c r="R417" i="28"/>
  <c r="W417" i="28"/>
  <c r="AD417" i="28"/>
  <c r="AE417" i="28"/>
  <c r="P415" i="28"/>
  <c r="U415" i="28"/>
  <c r="V415" i="28" s="1"/>
  <c r="X415" i="28" s="1"/>
  <c r="I416" i="28"/>
  <c r="K416" i="28" s="1"/>
  <c r="N416" i="28" s="1"/>
  <c r="J416" i="28"/>
  <c r="Y416" i="28" s="1"/>
  <c r="O416" i="28"/>
  <c r="X416" i="4"/>
  <c r="AC416" i="4" s="1"/>
  <c r="V416" i="4"/>
  <c r="AW416" i="4" s="1"/>
  <c r="Y416" i="4"/>
  <c r="AD416" i="4" s="1"/>
  <c r="W416" i="4"/>
  <c r="AB416" i="4" s="1"/>
  <c r="T416" i="4"/>
  <c r="R416" i="4"/>
  <c r="Z416" i="4" s="1"/>
  <c r="U416" i="4"/>
  <c r="S416" i="4"/>
  <c r="AA416" i="4" s="1"/>
  <c r="AH414" i="4"/>
  <c r="AM416" i="4"/>
  <c r="BE417" i="4"/>
  <c r="BD417" i="4"/>
  <c r="AG415" i="4"/>
  <c r="AL415" i="4" s="1"/>
  <c r="AC419" i="28"/>
  <c r="B418" i="28"/>
  <c r="E418" i="28" l="1"/>
  <c r="T418" i="28"/>
  <c r="M418" i="28"/>
  <c r="L418" i="28"/>
  <c r="AX416" i="4"/>
  <c r="AM417" i="4"/>
  <c r="AG416" i="4"/>
  <c r="AL416" i="4" s="1"/>
  <c r="AU414" i="4"/>
  <c r="AV414" i="4" s="1"/>
  <c r="AN414" i="4"/>
  <c r="AC420" i="28"/>
  <c r="B419" i="28"/>
  <c r="AN415" i="4"/>
  <c r="AU415" i="4"/>
  <c r="AV415" i="4" s="1"/>
  <c r="Z416" i="28"/>
  <c r="P416" i="28"/>
  <c r="U416" i="28"/>
  <c r="V416" i="28" s="1"/>
  <c r="X416" i="28" s="1"/>
  <c r="I417" i="28"/>
  <c r="K417" i="28" s="1"/>
  <c r="N417" i="28" s="1"/>
  <c r="J417" i="28"/>
  <c r="Y417" i="28" s="1"/>
  <c r="F418" i="28"/>
  <c r="R418" i="28"/>
  <c r="Q418" i="28"/>
  <c r="S418" i="28"/>
  <c r="W418" i="28"/>
  <c r="AD418" i="28"/>
  <c r="AE418" i="28"/>
  <c r="U417" i="4"/>
  <c r="X417" i="4"/>
  <c r="AC417" i="4" s="1"/>
  <c r="Y417" i="4"/>
  <c r="AD417" i="4" s="1"/>
  <c r="R417" i="4"/>
  <c r="Z417" i="4" s="1"/>
  <c r="V417" i="4"/>
  <c r="AW417" i="4" s="1"/>
  <c r="T417" i="4"/>
  <c r="S417" i="4"/>
  <c r="AA417" i="4" s="1"/>
  <c r="W417" i="4"/>
  <c r="AB417" i="4" s="1"/>
  <c r="O417" i="28"/>
  <c r="BC420" i="4"/>
  <c r="B419" i="4"/>
  <c r="BD418" i="4"/>
  <c r="BE418" i="4"/>
  <c r="AH415" i="4"/>
  <c r="M418" i="4"/>
  <c r="AF418" i="4"/>
  <c r="AR418" i="4"/>
  <c r="J418" i="4"/>
  <c r="AP418" i="4"/>
  <c r="G418" i="4"/>
  <c r="AO418" i="4"/>
  <c r="AT418" i="4"/>
  <c r="L418" i="4"/>
  <c r="AQ418" i="4"/>
  <c r="E418" i="4"/>
  <c r="I418" i="4"/>
  <c r="H418" i="4"/>
  <c r="N418" i="4"/>
  <c r="AS418" i="4"/>
  <c r="T419" i="28" l="1"/>
  <c r="E419" i="28"/>
  <c r="L419" i="28"/>
  <c r="M419" i="28"/>
  <c r="AX417" i="4"/>
  <c r="AH416" i="4"/>
  <c r="O418" i="28"/>
  <c r="R418" i="4"/>
  <c r="Z418" i="4" s="1"/>
  <c r="Y418" i="4"/>
  <c r="AD418" i="4" s="1"/>
  <c r="W418" i="4"/>
  <c r="AB418" i="4" s="1"/>
  <c r="S418" i="4"/>
  <c r="AA418" i="4" s="1"/>
  <c r="X418" i="4"/>
  <c r="AC418" i="4" s="1"/>
  <c r="V418" i="4"/>
  <c r="AW418" i="4" s="1"/>
  <c r="T418" i="4"/>
  <c r="U418" i="4"/>
  <c r="BD419" i="4"/>
  <c r="BE419" i="4"/>
  <c r="B420" i="4"/>
  <c r="BC421" i="4"/>
  <c r="Z417" i="28"/>
  <c r="AU416" i="4"/>
  <c r="AV416" i="4" s="1"/>
  <c r="AN416" i="4"/>
  <c r="B420" i="28"/>
  <c r="AC421" i="28"/>
  <c r="AM418" i="4"/>
  <c r="H419" i="4"/>
  <c r="AT419" i="4"/>
  <c r="G419" i="4"/>
  <c r="AO419" i="4"/>
  <c r="AR419" i="4"/>
  <c r="M419" i="4"/>
  <c r="L419" i="4"/>
  <c r="I419" i="4"/>
  <c r="AF419" i="4"/>
  <c r="E419" i="4"/>
  <c r="AQ419" i="4"/>
  <c r="N419" i="4"/>
  <c r="AS419" i="4"/>
  <c r="AP419" i="4"/>
  <c r="J419" i="4"/>
  <c r="AG417" i="4"/>
  <c r="I418" i="28"/>
  <c r="K418" i="28" s="1"/>
  <c r="N418" i="28" s="1"/>
  <c r="J418" i="28"/>
  <c r="Y418" i="28" s="1"/>
  <c r="U417" i="28"/>
  <c r="V417" i="28" s="1"/>
  <c r="X417" i="28" s="1"/>
  <c r="P417" i="28"/>
  <c r="W419" i="28"/>
  <c r="R419" i="28"/>
  <c r="Q419" i="28"/>
  <c r="F419" i="28"/>
  <c r="S419" i="28"/>
  <c r="AE419" i="28"/>
  <c r="AD419" i="28"/>
  <c r="T420" i="28" l="1"/>
  <c r="E420" i="28"/>
  <c r="M420" i="28"/>
  <c r="L420" i="28"/>
  <c r="Z418" i="28"/>
  <c r="AL417" i="4"/>
  <c r="AN417" i="4" s="1"/>
  <c r="AH417" i="4"/>
  <c r="AM419" i="4"/>
  <c r="AC422" i="28"/>
  <c r="B421" i="28"/>
  <c r="AE420" i="28"/>
  <c r="AD420" i="28"/>
  <c r="B421" i="4"/>
  <c r="BC422" i="4"/>
  <c r="V419" i="4"/>
  <c r="AW419" i="4" s="1"/>
  <c r="Y419" i="4"/>
  <c r="AD419" i="4" s="1"/>
  <c r="R419" i="4"/>
  <c r="Z419" i="4" s="1"/>
  <c r="S419" i="4"/>
  <c r="AA419" i="4" s="1"/>
  <c r="W419" i="4"/>
  <c r="AB419" i="4" s="1"/>
  <c r="X419" i="4"/>
  <c r="AC419" i="4" s="1"/>
  <c r="T419" i="4"/>
  <c r="U419" i="4"/>
  <c r="I419" i="28"/>
  <c r="K419" i="28" s="1"/>
  <c r="N419" i="28" s="1"/>
  <c r="J419" i="28"/>
  <c r="Y419" i="28" s="1"/>
  <c r="O419" i="28"/>
  <c r="P418" i="28"/>
  <c r="U418" i="28"/>
  <c r="V418" i="28" s="1"/>
  <c r="X418" i="28" s="1"/>
  <c r="R420" i="28"/>
  <c r="S420" i="28"/>
  <c r="F420" i="28"/>
  <c r="W420" i="28"/>
  <c r="Q420" i="28"/>
  <c r="I420" i="4"/>
  <c r="N420" i="4"/>
  <c r="AF420" i="4"/>
  <c r="J420" i="4"/>
  <c r="G420" i="4"/>
  <c r="AP420" i="4"/>
  <c r="AR420" i="4"/>
  <c r="E420" i="4"/>
  <c r="AQ420" i="4"/>
  <c r="L420" i="4"/>
  <c r="M420" i="4"/>
  <c r="AS420" i="4"/>
  <c r="AO420" i="4"/>
  <c r="H420" i="4"/>
  <c r="AT420" i="4"/>
  <c r="BE420" i="4"/>
  <c r="BD420" i="4"/>
  <c r="AX418" i="4"/>
  <c r="AG418" i="4"/>
  <c r="E421" i="28" l="1"/>
  <c r="T421" i="28"/>
  <c r="M421" i="28"/>
  <c r="L421" i="28"/>
  <c r="AM420" i="4"/>
  <c r="AH418" i="4"/>
  <c r="AU417" i="4"/>
  <c r="AV417" i="4" s="1"/>
  <c r="R420" i="4"/>
  <c r="Z420" i="4" s="1"/>
  <c r="W420" i="4"/>
  <c r="AB420" i="4" s="1"/>
  <c r="T420" i="4"/>
  <c r="X420" i="4"/>
  <c r="AC420" i="4" s="1"/>
  <c r="V420" i="4"/>
  <c r="AW420" i="4" s="1"/>
  <c r="U420" i="4"/>
  <c r="S420" i="4"/>
  <c r="AA420" i="4" s="1"/>
  <c r="Y420" i="4"/>
  <c r="AD420" i="4" s="1"/>
  <c r="AL418" i="4"/>
  <c r="U419" i="28"/>
  <c r="V419" i="28" s="1"/>
  <c r="X419" i="28" s="1"/>
  <c r="P419" i="28"/>
  <c r="BC423" i="4"/>
  <c r="B422" i="4"/>
  <c r="I420" i="28"/>
  <c r="K420" i="28" s="1"/>
  <c r="N420" i="28" s="1"/>
  <c r="J420" i="28"/>
  <c r="Y420" i="28" s="1"/>
  <c r="R421" i="28"/>
  <c r="S421" i="28"/>
  <c r="Q421" i="28"/>
  <c r="F421" i="28"/>
  <c r="W421" i="28"/>
  <c r="B422" i="28"/>
  <c r="AC423" i="28"/>
  <c r="O420" i="28"/>
  <c r="Z419" i="28"/>
  <c r="AX419" i="4"/>
  <c r="AG419" i="4"/>
  <c r="BE421" i="4"/>
  <c r="BD421" i="4"/>
  <c r="L421" i="4"/>
  <c r="J421" i="4"/>
  <c r="N421" i="4"/>
  <c r="I421" i="4"/>
  <c r="AQ421" i="4"/>
  <c r="E421" i="4"/>
  <c r="AP421" i="4"/>
  <c r="H421" i="4"/>
  <c r="M421" i="4"/>
  <c r="AR421" i="4"/>
  <c r="AO421" i="4"/>
  <c r="AF421" i="4"/>
  <c r="AT421" i="4"/>
  <c r="AS421" i="4"/>
  <c r="G421" i="4"/>
  <c r="AE421" i="28"/>
  <c r="AD421" i="28"/>
  <c r="E422" i="28" l="1"/>
  <c r="T422" i="28"/>
  <c r="M422" i="28"/>
  <c r="L422" i="28"/>
  <c r="AG420" i="4"/>
  <c r="AX420" i="4"/>
  <c r="AM421" i="4"/>
  <c r="AH419" i="4"/>
  <c r="AL419" i="4"/>
  <c r="J421" i="28"/>
  <c r="Y421" i="28" s="1"/>
  <c r="I421" i="28"/>
  <c r="K421" i="28" s="1"/>
  <c r="N421" i="28" s="1"/>
  <c r="X421" i="4"/>
  <c r="AC421" i="4" s="1"/>
  <c r="S421" i="4"/>
  <c r="AA421" i="4" s="1"/>
  <c r="W421" i="4"/>
  <c r="AB421" i="4" s="1"/>
  <c r="T421" i="4"/>
  <c r="U421" i="4"/>
  <c r="R421" i="4"/>
  <c r="Z421" i="4" s="1"/>
  <c r="Y421" i="4"/>
  <c r="AD421" i="4" s="1"/>
  <c r="V421" i="4"/>
  <c r="AW421" i="4" s="1"/>
  <c r="AE422" i="28"/>
  <c r="AD422" i="28"/>
  <c r="O421" i="28"/>
  <c r="U420" i="28"/>
  <c r="V420" i="28" s="1"/>
  <c r="X420" i="28" s="1"/>
  <c r="P420" i="28"/>
  <c r="B423" i="4"/>
  <c r="BC424" i="4"/>
  <c r="AN418" i="4"/>
  <c r="AU418" i="4"/>
  <c r="AV418" i="4" s="1"/>
  <c r="Z420" i="28"/>
  <c r="AC424" i="28"/>
  <c r="B423" i="28"/>
  <c r="F422" i="28"/>
  <c r="W422" i="28"/>
  <c r="S422" i="28"/>
  <c r="Q422" i="28"/>
  <c r="R422" i="28"/>
  <c r="E422" i="4"/>
  <c r="AO422" i="4"/>
  <c r="I422" i="4"/>
  <c r="M422" i="4"/>
  <c r="N422" i="4"/>
  <c r="AS422" i="4"/>
  <c r="AP422" i="4"/>
  <c r="AT422" i="4"/>
  <c r="G422" i="4"/>
  <c r="AF422" i="4"/>
  <c r="H422" i="4"/>
  <c r="J422" i="4"/>
  <c r="L422" i="4"/>
  <c r="AR422" i="4"/>
  <c r="AQ422" i="4"/>
  <c r="BE422" i="4"/>
  <c r="BD422" i="4"/>
  <c r="T423" i="28" l="1"/>
  <c r="E423" i="28"/>
  <c r="M423" i="28"/>
  <c r="L423" i="28"/>
  <c r="AL420" i="4"/>
  <c r="AN420" i="4" s="1"/>
  <c r="AH420" i="4"/>
  <c r="AN419" i="4"/>
  <c r="AU419" i="4"/>
  <c r="AV419" i="4" s="1"/>
  <c r="V422" i="4"/>
  <c r="AW422" i="4" s="1"/>
  <c r="Y422" i="4"/>
  <c r="AD422" i="4" s="1"/>
  <c r="X422" i="4"/>
  <c r="AC422" i="4" s="1"/>
  <c r="W422" i="4"/>
  <c r="AB422" i="4" s="1"/>
  <c r="R422" i="4"/>
  <c r="Z422" i="4" s="1"/>
  <c r="U422" i="4"/>
  <c r="S422" i="4"/>
  <c r="AA422" i="4" s="1"/>
  <c r="T422" i="4"/>
  <c r="AM422" i="4"/>
  <c r="AD423" i="28"/>
  <c r="AE423" i="28"/>
  <c r="BC425" i="4"/>
  <c r="B424" i="4"/>
  <c r="AO423" i="4"/>
  <c r="G423" i="4"/>
  <c r="L423" i="4"/>
  <c r="H423" i="4"/>
  <c r="AS423" i="4"/>
  <c r="N423" i="4"/>
  <c r="AP423" i="4"/>
  <c r="E423" i="4"/>
  <c r="AQ423" i="4"/>
  <c r="J423" i="4"/>
  <c r="AF423" i="4"/>
  <c r="M423" i="4"/>
  <c r="AT423" i="4"/>
  <c r="I423" i="4"/>
  <c r="AR423" i="4"/>
  <c r="AG421" i="4"/>
  <c r="O422" i="28"/>
  <c r="R423" i="28"/>
  <c r="S423" i="28"/>
  <c r="Q423" i="28"/>
  <c r="F423" i="28"/>
  <c r="W423" i="28"/>
  <c r="B424" i="28"/>
  <c r="AC425" i="28"/>
  <c r="BD423" i="4"/>
  <c r="BE423" i="4"/>
  <c r="Z421" i="28"/>
  <c r="I422" i="28"/>
  <c r="K422" i="28" s="1"/>
  <c r="N422" i="28" s="1"/>
  <c r="J422" i="28"/>
  <c r="Y422" i="28" s="1"/>
  <c r="AX421" i="4"/>
  <c r="U421" i="28"/>
  <c r="V421" i="28" s="1"/>
  <c r="X421" i="28" s="1"/>
  <c r="P421" i="28"/>
  <c r="AU420" i="4" l="1"/>
  <c r="AV420" i="4" s="1"/>
  <c r="T424" i="28"/>
  <c r="E424" i="28"/>
  <c r="M424" i="28"/>
  <c r="L424" i="28"/>
  <c r="O423" i="28"/>
  <c r="AX422" i="4"/>
  <c r="AL421" i="4"/>
  <c r="AU421" i="4" s="1"/>
  <c r="AV421" i="4" s="1"/>
  <c r="X423" i="4"/>
  <c r="AC423" i="4" s="1"/>
  <c r="T423" i="4"/>
  <c r="U423" i="4"/>
  <c r="V423" i="4"/>
  <c r="AW423" i="4" s="1"/>
  <c r="Y423" i="4"/>
  <c r="AD423" i="4" s="1"/>
  <c r="R423" i="4"/>
  <c r="Z423" i="4" s="1"/>
  <c r="S423" i="4"/>
  <c r="AA423" i="4" s="1"/>
  <c r="W423" i="4"/>
  <c r="AB423" i="4" s="1"/>
  <c r="R424" i="28"/>
  <c r="S424" i="28"/>
  <c r="Q424" i="28"/>
  <c r="F424" i="28"/>
  <c r="W424" i="28"/>
  <c r="Z422" i="28"/>
  <c r="L424" i="4"/>
  <c r="AS424" i="4"/>
  <c r="AO424" i="4"/>
  <c r="G424" i="4"/>
  <c r="AT424" i="4"/>
  <c r="E424" i="4"/>
  <c r="F424" i="4" s="1"/>
  <c r="AQ424" i="4"/>
  <c r="N424" i="4"/>
  <c r="AF424" i="4"/>
  <c r="M424" i="4"/>
  <c r="J424" i="4"/>
  <c r="H424" i="4"/>
  <c r="AP424" i="4"/>
  <c r="AR424" i="4"/>
  <c r="I424" i="4"/>
  <c r="AG422" i="4"/>
  <c r="AL422" i="4" s="1"/>
  <c r="U422" i="28"/>
  <c r="V422" i="28" s="1"/>
  <c r="X422" i="28" s="1"/>
  <c r="P422" i="28"/>
  <c r="AC426" i="28"/>
  <c r="B425" i="28"/>
  <c r="AD424" i="28"/>
  <c r="AE424" i="28"/>
  <c r="AH421" i="4"/>
  <c r="AM423" i="4"/>
  <c r="BE424" i="4"/>
  <c r="BD424" i="4"/>
  <c r="B425" i="4"/>
  <c r="BC426" i="4"/>
  <c r="I423" i="28"/>
  <c r="K423" i="28" s="1"/>
  <c r="N423" i="28" s="1"/>
  <c r="J423" i="28"/>
  <c r="Y423" i="28" s="1"/>
  <c r="Z423" i="28" l="1"/>
  <c r="E425" i="28"/>
  <c r="T425" i="28"/>
  <c r="O424" i="28"/>
  <c r="M425" i="28"/>
  <c r="L425" i="28"/>
  <c r="AN421" i="4"/>
  <c r="AH422" i="4"/>
  <c r="AM424" i="4"/>
  <c r="U423" i="28"/>
  <c r="V423" i="28" s="1"/>
  <c r="X423" i="28" s="1"/>
  <c r="P423" i="28"/>
  <c r="BC427" i="4"/>
  <c r="B426" i="4"/>
  <c r="T424" i="4"/>
  <c r="U424" i="4"/>
  <c r="Y424" i="4"/>
  <c r="AD424" i="4" s="1"/>
  <c r="R424" i="4"/>
  <c r="Z424" i="4" s="1"/>
  <c r="S424" i="4"/>
  <c r="AA424" i="4" s="1"/>
  <c r="X424" i="4"/>
  <c r="AC424" i="4" s="1"/>
  <c r="W424" i="4"/>
  <c r="AB424" i="4" s="1"/>
  <c r="V424" i="4"/>
  <c r="AW424" i="4" s="1"/>
  <c r="R425" i="28"/>
  <c r="S425" i="28"/>
  <c r="Q425" i="28"/>
  <c r="F425" i="28"/>
  <c r="W425" i="28"/>
  <c r="AD425" i="28"/>
  <c r="AE425" i="28"/>
  <c r="BD425" i="4"/>
  <c r="BE425" i="4"/>
  <c r="AQ425" i="4"/>
  <c r="G425" i="4"/>
  <c r="N425" i="4"/>
  <c r="AF425" i="4"/>
  <c r="AS425" i="4"/>
  <c r="E425" i="4"/>
  <c r="AP425" i="4"/>
  <c r="H425" i="4"/>
  <c r="AO425" i="4"/>
  <c r="M425" i="4"/>
  <c r="L425" i="4"/>
  <c r="J425" i="4"/>
  <c r="I425" i="4"/>
  <c r="AT425" i="4"/>
  <c r="AR425" i="4"/>
  <c r="J424" i="28"/>
  <c r="Y424" i="28" s="1"/>
  <c r="I424" i="28"/>
  <c r="K424" i="28" s="1"/>
  <c r="N424" i="28" s="1"/>
  <c r="AC427" i="28"/>
  <c r="B426" i="28"/>
  <c r="AU422" i="4"/>
  <c r="AV422" i="4" s="1"/>
  <c r="AN422" i="4"/>
  <c r="AX423" i="4"/>
  <c r="AG423" i="4"/>
  <c r="AH423" i="4" s="1"/>
  <c r="Z424" i="28" l="1"/>
  <c r="E426" i="28"/>
  <c r="T426" i="28"/>
  <c r="M426" i="28"/>
  <c r="L426" i="28"/>
  <c r="O425" i="28"/>
  <c r="AM425" i="4"/>
  <c r="AX424" i="4"/>
  <c r="R426" i="28"/>
  <c r="W426" i="28"/>
  <c r="Q426" i="28"/>
  <c r="F426" i="28"/>
  <c r="S426" i="28"/>
  <c r="AE426" i="28"/>
  <c r="AD426" i="28"/>
  <c r="I425" i="28"/>
  <c r="K425" i="28" s="1"/>
  <c r="N425" i="28" s="1"/>
  <c r="J425" i="28"/>
  <c r="Y425" i="28" s="1"/>
  <c r="M426" i="4"/>
  <c r="L426" i="4"/>
  <c r="AR426" i="4"/>
  <c r="AP426" i="4"/>
  <c r="H426" i="4"/>
  <c r="AO426" i="4"/>
  <c r="AS426" i="4"/>
  <c r="G426" i="4"/>
  <c r="N426" i="4"/>
  <c r="AT426" i="4"/>
  <c r="E426" i="4"/>
  <c r="I426" i="4"/>
  <c r="AQ426" i="4"/>
  <c r="AF426" i="4"/>
  <c r="J426" i="4"/>
  <c r="BC428" i="4"/>
  <c r="B427" i="4"/>
  <c r="AL423" i="4"/>
  <c r="B427" i="28"/>
  <c r="AC428" i="28"/>
  <c r="P424" i="28"/>
  <c r="U424" i="28"/>
  <c r="V424" i="28" s="1"/>
  <c r="X424" i="28" s="1"/>
  <c r="W425" i="4"/>
  <c r="AB425" i="4" s="1"/>
  <c r="S425" i="4"/>
  <c r="AA425" i="4" s="1"/>
  <c r="Y425" i="4"/>
  <c r="AD425" i="4" s="1"/>
  <c r="X425" i="4"/>
  <c r="AC425" i="4" s="1"/>
  <c r="V425" i="4"/>
  <c r="AW425" i="4" s="1"/>
  <c r="U425" i="4"/>
  <c r="T425" i="4"/>
  <c r="R425" i="4"/>
  <c r="Z425" i="4" s="1"/>
  <c r="AG424" i="4"/>
  <c r="AL424" i="4" s="1"/>
  <c r="BE426" i="4"/>
  <c r="BD426" i="4"/>
  <c r="T427" i="28" l="1"/>
  <c r="E427" i="28"/>
  <c r="Z425" i="28"/>
  <c r="L427" i="28"/>
  <c r="M427" i="28"/>
  <c r="AH424" i="4"/>
  <c r="AG425" i="4"/>
  <c r="B428" i="28"/>
  <c r="AC429" i="28"/>
  <c r="W427" i="28"/>
  <c r="F427" i="28"/>
  <c r="S427" i="28"/>
  <c r="Q427" i="28"/>
  <c r="R427" i="28"/>
  <c r="AN423" i="4"/>
  <c r="AU423" i="4"/>
  <c r="AV423" i="4" s="1"/>
  <c r="H427" i="4"/>
  <c r="AR427" i="4"/>
  <c r="E427" i="4"/>
  <c r="AT427" i="4"/>
  <c r="L427" i="4"/>
  <c r="M427" i="4"/>
  <c r="G427" i="4"/>
  <c r="AO427" i="4"/>
  <c r="AQ427" i="4"/>
  <c r="AS427" i="4"/>
  <c r="I427" i="4"/>
  <c r="N427" i="4"/>
  <c r="AF427" i="4"/>
  <c r="J427" i="4"/>
  <c r="AP427" i="4"/>
  <c r="B428" i="4"/>
  <c r="BC429" i="4"/>
  <c r="U426" i="4"/>
  <c r="R426" i="4"/>
  <c r="Z426" i="4" s="1"/>
  <c r="X426" i="4"/>
  <c r="AC426" i="4" s="1"/>
  <c r="V426" i="4"/>
  <c r="AW426" i="4" s="1"/>
  <c r="T426" i="4"/>
  <c r="S426" i="4"/>
  <c r="AA426" i="4" s="1"/>
  <c r="Y426" i="4"/>
  <c r="AD426" i="4" s="1"/>
  <c r="W426" i="4"/>
  <c r="AB426" i="4" s="1"/>
  <c r="AN424" i="4"/>
  <c r="AU424" i="4"/>
  <c r="AV424" i="4" s="1"/>
  <c r="AX425" i="4"/>
  <c r="AL425" i="4"/>
  <c r="AD427" i="28"/>
  <c r="AE427" i="28"/>
  <c r="BD427" i="4"/>
  <c r="BE427" i="4"/>
  <c r="AM426" i="4"/>
  <c r="J426" i="28"/>
  <c r="Y426" i="28" s="1"/>
  <c r="I426" i="28"/>
  <c r="K426" i="28" s="1"/>
  <c r="N426" i="28" s="1"/>
  <c r="P425" i="28"/>
  <c r="U425" i="28"/>
  <c r="V425" i="28" s="1"/>
  <c r="X425" i="28" s="1"/>
  <c r="O426" i="28"/>
  <c r="T428" i="28" l="1"/>
  <c r="E428" i="28"/>
  <c r="M428" i="28"/>
  <c r="L428" i="28"/>
  <c r="AX426" i="4"/>
  <c r="AG426" i="4"/>
  <c r="AH426" i="4" s="1"/>
  <c r="AN425" i="4"/>
  <c r="AU425" i="4"/>
  <c r="AV425" i="4" s="1"/>
  <c r="Z426" i="28"/>
  <c r="U426" i="28"/>
  <c r="V426" i="28" s="1"/>
  <c r="X426" i="28" s="1"/>
  <c r="P426" i="28"/>
  <c r="AL426" i="4"/>
  <c r="B429" i="4"/>
  <c r="BC430" i="4"/>
  <c r="AM427" i="4"/>
  <c r="O427" i="28"/>
  <c r="AC430" i="28"/>
  <c r="B429" i="28"/>
  <c r="W428" i="28"/>
  <c r="Q428" i="28"/>
  <c r="S428" i="28"/>
  <c r="F428" i="28"/>
  <c r="R428" i="28"/>
  <c r="AH425" i="4"/>
  <c r="W427" i="4"/>
  <c r="AB427" i="4" s="1"/>
  <c r="X427" i="4"/>
  <c r="AC427" i="4" s="1"/>
  <c r="Y427" i="4"/>
  <c r="AD427" i="4" s="1"/>
  <c r="V427" i="4"/>
  <c r="AW427" i="4" s="1"/>
  <c r="S427" i="4"/>
  <c r="AA427" i="4" s="1"/>
  <c r="U427" i="4"/>
  <c r="T427" i="4"/>
  <c r="R427" i="4"/>
  <c r="Z427" i="4" s="1"/>
  <c r="I427" i="28"/>
  <c r="K427" i="28" s="1"/>
  <c r="N427" i="28" s="1"/>
  <c r="J427" i="28"/>
  <c r="Y427" i="28" s="1"/>
  <c r="BE428" i="4"/>
  <c r="BD428" i="4"/>
  <c r="AT428" i="4"/>
  <c r="G428" i="4"/>
  <c r="J428" i="4"/>
  <c r="AS428" i="4"/>
  <c r="E428" i="4"/>
  <c r="F428" i="4" s="1"/>
  <c r="I428" i="4"/>
  <c r="AF428" i="4"/>
  <c r="L428" i="4"/>
  <c r="AO428" i="4"/>
  <c r="M428" i="4"/>
  <c r="H428" i="4"/>
  <c r="AP428" i="4"/>
  <c r="AQ428" i="4"/>
  <c r="AR428" i="4"/>
  <c r="N428" i="4"/>
  <c r="AD428" i="28"/>
  <c r="AE428" i="28"/>
  <c r="E429" i="28" l="1"/>
  <c r="T429" i="28"/>
  <c r="M429" i="28"/>
  <c r="L429" i="28"/>
  <c r="U428" i="4"/>
  <c r="Y428" i="4"/>
  <c r="AD428" i="4" s="1"/>
  <c r="V428" i="4"/>
  <c r="AW428" i="4" s="1"/>
  <c r="S428" i="4"/>
  <c r="AA428" i="4" s="1"/>
  <c r="X428" i="4"/>
  <c r="AC428" i="4" s="1"/>
  <c r="W428" i="4"/>
  <c r="AB428" i="4" s="1"/>
  <c r="T428" i="4"/>
  <c r="R428" i="4"/>
  <c r="Z428" i="4" s="1"/>
  <c r="U427" i="28"/>
  <c r="V427" i="28" s="1"/>
  <c r="X427" i="28" s="1"/>
  <c r="P427" i="28"/>
  <c r="AE429" i="28"/>
  <c r="AD429" i="28"/>
  <c r="Z427" i="28"/>
  <c r="E429" i="4"/>
  <c r="AR429" i="4"/>
  <c r="AQ429" i="4"/>
  <c r="G429" i="4"/>
  <c r="L429" i="4"/>
  <c r="N429" i="4"/>
  <c r="AP429" i="4"/>
  <c r="J429" i="4"/>
  <c r="AT429" i="4"/>
  <c r="H429" i="4"/>
  <c r="AO429" i="4"/>
  <c r="I429" i="4"/>
  <c r="AF429" i="4"/>
  <c r="M429" i="4"/>
  <c r="AS429" i="4"/>
  <c r="AU426" i="4"/>
  <c r="AV426" i="4" s="1"/>
  <c r="AN426" i="4"/>
  <c r="J428" i="28"/>
  <c r="Y428" i="28" s="1"/>
  <c r="I428" i="28"/>
  <c r="K428" i="28" s="1"/>
  <c r="N428" i="28" s="1"/>
  <c r="AM428" i="4"/>
  <c r="AX427" i="4"/>
  <c r="AG427" i="4"/>
  <c r="O428" i="28"/>
  <c r="S429" i="28"/>
  <c r="R429" i="28"/>
  <c r="W429" i="28"/>
  <c r="Q429" i="28"/>
  <c r="F429" i="28"/>
  <c r="B430" i="28"/>
  <c r="AC431" i="28"/>
  <c r="BC431" i="4"/>
  <c r="B430" i="4"/>
  <c r="BD429" i="4"/>
  <c r="BE429" i="4"/>
  <c r="E430" i="28" l="1"/>
  <c r="T430" i="28"/>
  <c r="M430" i="28"/>
  <c r="L430" i="28"/>
  <c r="AH427" i="4"/>
  <c r="AL427" i="4"/>
  <c r="Z428" i="28"/>
  <c r="P428" i="28"/>
  <c r="U428" i="28"/>
  <c r="V428" i="28" s="1"/>
  <c r="X428" i="28" s="1"/>
  <c r="AX428" i="4"/>
  <c r="AG428" i="4"/>
  <c r="T429" i="4"/>
  <c r="Y429" i="4"/>
  <c r="AD429" i="4" s="1"/>
  <c r="R429" i="4"/>
  <c r="Z429" i="4" s="1"/>
  <c r="W429" i="4"/>
  <c r="AB429" i="4" s="1"/>
  <c r="S429" i="4"/>
  <c r="AA429" i="4" s="1"/>
  <c r="V429" i="4"/>
  <c r="AW429" i="4" s="1"/>
  <c r="U429" i="4"/>
  <c r="X429" i="4"/>
  <c r="AC429" i="4" s="1"/>
  <c r="BC432" i="4"/>
  <c r="B431" i="4"/>
  <c r="AC432" i="28"/>
  <c r="B431" i="28"/>
  <c r="S430" i="28"/>
  <c r="F430" i="28"/>
  <c r="R430" i="28"/>
  <c r="W430" i="28"/>
  <c r="Q430" i="28"/>
  <c r="BE430" i="4"/>
  <c r="BD430" i="4"/>
  <c r="AT430" i="4"/>
  <c r="AO430" i="4"/>
  <c r="L430" i="4"/>
  <c r="AS430" i="4"/>
  <c r="M430" i="4"/>
  <c r="AR430" i="4"/>
  <c r="I430" i="4"/>
  <c r="G430" i="4"/>
  <c r="E430" i="4"/>
  <c r="AF430" i="4"/>
  <c r="N430" i="4"/>
  <c r="AQ430" i="4"/>
  <c r="J430" i="4"/>
  <c r="H430" i="4"/>
  <c r="AP430" i="4"/>
  <c r="AE430" i="28"/>
  <c r="AD430" i="28"/>
  <c r="O429" i="28"/>
  <c r="AM429" i="4"/>
  <c r="J429" i="28"/>
  <c r="Y429" i="28" s="1"/>
  <c r="I429" i="28"/>
  <c r="K429" i="28" s="1"/>
  <c r="N429" i="28" s="1"/>
  <c r="T431" i="28" l="1"/>
  <c r="E431" i="28"/>
  <c r="M431" i="28"/>
  <c r="L431" i="28"/>
  <c r="AU427" i="4"/>
  <c r="AV427" i="4" s="1"/>
  <c r="AN427" i="4"/>
  <c r="AH428" i="4"/>
  <c r="AM430" i="4"/>
  <c r="AD431" i="28"/>
  <c r="AE431" i="28"/>
  <c r="N431" i="4"/>
  <c r="AQ431" i="4"/>
  <c r="AS431" i="4"/>
  <c r="AP431" i="4"/>
  <c r="M431" i="4"/>
  <c r="AO431" i="4"/>
  <c r="I431" i="4"/>
  <c r="J431" i="4"/>
  <c r="H431" i="4"/>
  <c r="AF431" i="4"/>
  <c r="G431" i="4"/>
  <c r="AT431" i="4"/>
  <c r="L431" i="4"/>
  <c r="AR431" i="4"/>
  <c r="E431" i="4"/>
  <c r="AX429" i="4"/>
  <c r="AL428" i="4"/>
  <c r="P429" i="28"/>
  <c r="U429" i="28"/>
  <c r="V429" i="28" s="1"/>
  <c r="X429" i="28" s="1"/>
  <c r="Z429" i="28"/>
  <c r="I430" i="28"/>
  <c r="K430" i="28" s="1"/>
  <c r="N430" i="28" s="1"/>
  <c r="J430" i="28"/>
  <c r="Y430" i="28" s="1"/>
  <c r="U430" i="4"/>
  <c r="T430" i="4"/>
  <c r="Y430" i="4"/>
  <c r="AD430" i="4" s="1"/>
  <c r="V430" i="4"/>
  <c r="AW430" i="4" s="1"/>
  <c r="R430" i="4"/>
  <c r="Z430" i="4" s="1"/>
  <c r="S430" i="4"/>
  <c r="AA430" i="4" s="1"/>
  <c r="W430" i="4"/>
  <c r="AB430" i="4" s="1"/>
  <c r="X430" i="4"/>
  <c r="AC430" i="4" s="1"/>
  <c r="O430" i="28"/>
  <c r="F431" i="28"/>
  <c r="R431" i="28"/>
  <c r="S431" i="28"/>
  <c r="Q431" i="28"/>
  <c r="W431" i="28"/>
  <c r="B432" i="28"/>
  <c r="AC433" i="28"/>
  <c r="BE431" i="4"/>
  <c r="BD431" i="4"/>
  <c r="B432" i="4"/>
  <c r="BC433" i="4"/>
  <c r="AG429" i="4"/>
  <c r="AL429" i="4" s="1"/>
  <c r="T432" i="28" l="1"/>
  <c r="E432" i="28"/>
  <c r="AX430" i="4"/>
  <c r="M432" i="28"/>
  <c r="L432" i="28"/>
  <c r="O431" i="28"/>
  <c r="AH429" i="4"/>
  <c r="AN429" i="4"/>
  <c r="AU429" i="4"/>
  <c r="AV429" i="4" s="1"/>
  <c r="AM431" i="4"/>
  <c r="I431" i="28"/>
  <c r="K431" i="28" s="1"/>
  <c r="N431" i="28" s="1"/>
  <c r="J431" i="28"/>
  <c r="Y431" i="28" s="1"/>
  <c r="BE432" i="4"/>
  <c r="BD432" i="4"/>
  <c r="AP432" i="4"/>
  <c r="AO432" i="4"/>
  <c r="J432" i="4"/>
  <c r="AR432" i="4"/>
  <c r="AT432" i="4"/>
  <c r="AQ432" i="4"/>
  <c r="L432" i="4"/>
  <c r="AS432" i="4"/>
  <c r="E432" i="4"/>
  <c r="I432" i="4"/>
  <c r="N432" i="4"/>
  <c r="H432" i="4"/>
  <c r="G432" i="4"/>
  <c r="M432" i="4"/>
  <c r="AF432" i="4"/>
  <c r="S431" i="4"/>
  <c r="AA431" i="4" s="1"/>
  <c r="W431" i="4"/>
  <c r="AB431" i="4" s="1"/>
  <c r="U431" i="4"/>
  <c r="Y431" i="4"/>
  <c r="AD431" i="4" s="1"/>
  <c r="X431" i="4"/>
  <c r="AC431" i="4" s="1"/>
  <c r="R431" i="4"/>
  <c r="Z431" i="4" s="1"/>
  <c r="V431" i="4"/>
  <c r="AW431" i="4" s="1"/>
  <c r="T431" i="4"/>
  <c r="B433" i="28"/>
  <c r="AC434" i="28"/>
  <c r="AE432" i="28"/>
  <c r="AD432" i="28"/>
  <c r="B433" i="4"/>
  <c r="BC434" i="4"/>
  <c r="BC447" i="4" s="1"/>
  <c r="F432" i="28"/>
  <c r="W432" i="28"/>
  <c r="Q432" i="28"/>
  <c r="R432" i="28"/>
  <c r="S432" i="28"/>
  <c r="Z430" i="28"/>
  <c r="AG430" i="4"/>
  <c r="AH430" i="4" s="1"/>
  <c r="U430" i="28"/>
  <c r="V430" i="28" s="1"/>
  <c r="X430" i="28" s="1"/>
  <c r="P430" i="28"/>
  <c r="AU428" i="4"/>
  <c r="AV428" i="4" s="1"/>
  <c r="AN428" i="4"/>
  <c r="E433" i="28" l="1"/>
  <c r="T433" i="28"/>
  <c r="M433" i="28"/>
  <c r="L433" i="28"/>
  <c r="B447" i="4"/>
  <c r="Z431" i="28"/>
  <c r="AL430" i="4"/>
  <c r="BD433" i="4"/>
  <c r="BE433" i="4"/>
  <c r="N433" i="4"/>
  <c r="G433" i="4"/>
  <c r="M433" i="4"/>
  <c r="I433" i="4"/>
  <c r="AQ433" i="4"/>
  <c r="E433" i="4"/>
  <c r="H433" i="4"/>
  <c r="AR433" i="4"/>
  <c r="AT433" i="4"/>
  <c r="AF433" i="4"/>
  <c r="L433" i="4"/>
  <c r="AS433" i="4"/>
  <c r="AO433" i="4"/>
  <c r="J433" i="4"/>
  <c r="AP433" i="4"/>
  <c r="F433" i="28"/>
  <c r="W433" i="28"/>
  <c r="Q433" i="28"/>
  <c r="R433" i="28"/>
  <c r="S433" i="28"/>
  <c r="AG431" i="4"/>
  <c r="AM432" i="4"/>
  <c r="T432" i="4"/>
  <c r="V432" i="4"/>
  <c r="AW432" i="4" s="1"/>
  <c r="W432" i="4"/>
  <c r="AB432" i="4" s="1"/>
  <c r="R432" i="4"/>
  <c r="Z432" i="4" s="1"/>
  <c r="U432" i="4"/>
  <c r="X432" i="4"/>
  <c r="AC432" i="4" s="1"/>
  <c r="Y432" i="4"/>
  <c r="AD432" i="4" s="1"/>
  <c r="S432" i="4"/>
  <c r="AA432" i="4" s="1"/>
  <c r="P431" i="28"/>
  <c r="U431" i="28"/>
  <c r="V431" i="28" s="1"/>
  <c r="X431" i="28" s="1"/>
  <c r="O432" i="28"/>
  <c r="B434" i="4"/>
  <c r="BC435" i="4"/>
  <c r="BC448" i="4" s="1"/>
  <c r="J432" i="28"/>
  <c r="Y432" i="28" s="1"/>
  <c r="I432" i="28"/>
  <c r="K432" i="28" s="1"/>
  <c r="N432" i="28" s="1"/>
  <c r="AC435" i="28"/>
  <c r="B434" i="28"/>
  <c r="AE433" i="28"/>
  <c r="AD433" i="28"/>
  <c r="AX431" i="4"/>
  <c r="E434" i="28" l="1"/>
  <c r="T434" i="28"/>
  <c r="M434" i="28"/>
  <c r="L434" i="28"/>
  <c r="B448" i="4"/>
  <c r="AT447" i="4"/>
  <c r="AP447" i="4"/>
  <c r="J447" i="4"/>
  <c r="E447" i="4"/>
  <c r="AS447" i="4"/>
  <c r="AO447" i="4"/>
  <c r="N447" i="4"/>
  <c r="I447" i="4"/>
  <c r="AR447" i="4"/>
  <c r="M447" i="4"/>
  <c r="H447" i="4"/>
  <c r="AQ447" i="4"/>
  <c r="AF447" i="4"/>
  <c r="L447" i="4"/>
  <c r="G447" i="4"/>
  <c r="BE447" i="4"/>
  <c r="BD447" i="4"/>
  <c r="AN430" i="4"/>
  <c r="AX432" i="4"/>
  <c r="AU430" i="4"/>
  <c r="AV430" i="4" s="1"/>
  <c r="AL431" i="4"/>
  <c r="B435" i="28"/>
  <c r="AC436" i="28"/>
  <c r="U432" i="28"/>
  <c r="V432" i="28" s="1"/>
  <c r="X432" i="28" s="1"/>
  <c r="P432" i="28"/>
  <c r="BC436" i="4"/>
  <c r="BC449" i="4" s="1"/>
  <c r="B435" i="4"/>
  <c r="BD434" i="4"/>
  <c r="BE434" i="4"/>
  <c r="J433" i="28"/>
  <c r="Y433" i="28" s="1"/>
  <c r="I433" i="28"/>
  <c r="K433" i="28" s="1"/>
  <c r="N433" i="28" s="1"/>
  <c r="W434" i="28"/>
  <c r="Q434" i="28"/>
  <c r="F434" i="28"/>
  <c r="S434" i="28"/>
  <c r="R434" i="28"/>
  <c r="AE434" i="28"/>
  <c r="AD434" i="28"/>
  <c r="H434" i="4"/>
  <c r="AR434" i="4"/>
  <c r="E434" i="4"/>
  <c r="I434" i="4"/>
  <c r="N434" i="4"/>
  <c r="M434" i="4"/>
  <c r="J434" i="4"/>
  <c r="G434" i="4"/>
  <c r="AP434" i="4"/>
  <c r="AQ434" i="4"/>
  <c r="AO434" i="4"/>
  <c r="AF434" i="4"/>
  <c r="L434" i="4"/>
  <c r="AT434" i="4"/>
  <c r="AS434" i="4"/>
  <c r="Z432" i="28"/>
  <c r="AG432" i="4"/>
  <c r="AH431" i="4"/>
  <c r="O433" i="28"/>
  <c r="AM433" i="4"/>
  <c r="R433" i="4"/>
  <c r="Z433" i="4" s="1"/>
  <c r="T433" i="4"/>
  <c r="S433" i="4"/>
  <c r="AA433" i="4" s="1"/>
  <c r="U433" i="4"/>
  <c r="X433" i="4"/>
  <c r="AC433" i="4" s="1"/>
  <c r="Y433" i="4"/>
  <c r="AD433" i="4" s="1"/>
  <c r="V433" i="4"/>
  <c r="AW433" i="4" s="1"/>
  <c r="W433" i="4"/>
  <c r="AB433" i="4" s="1"/>
  <c r="T435" i="28" l="1"/>
  <c r="E435" i="28"/>
  <c r="L435" i="28"/>
  <c r="M435" i="28"/>
  <c r="AM447" i="4"/>
  <c r="BD448" i="4"/>
  <c r="BE448" i="4"/>
  <c r="B449" i="4"/>
  <c r="V447" i="4"/>
  <c r="R447" i="4"/>
  <c r="Z447" i="4" s="1"/>
  <c r="Y447" i="4"/>
  <c r="AD447" i="4" s="1"/>
  <c r="U447" i="4"/>
  <c r="X447" i="4"/>
  <c r="AC447" i="4" s="1"/>
  <c r="W447" i="4"/>
  <c r="AB447" i="4" s="1"/>
  <c r="T447" i="4"/>
  <c r="S447" i="4"/>
  <c r="AA447" i="4" s="1"/>
  <c r="AW447" i="4"/>
  <c r="AR448" i="4"/>
  <c r="M448" i="4"/>
  <c r="H448" i="4"/>
  <c r="AQ448" i="4"/>
  <c r="AF448" i="4"/>
  <c r="L448" i="4"/>
  <c r="G448" i="4"/>
  <c r="AP448" i="4"/>
  <c r="J448" i="4"/>
  <c r="AT448" i="4"/>
  <c r="E448" i="4"/>
  <c r="AO448" i="4"/>
  <c r="I448" i="4"/>
  <c r="AS448" i="4"/>
  <c r="N448" i="4"/>
  <c r="AN431" i="4"/>
  <c r="AM434" i="4"/>
  <c r="AU431" i="4"/>
  <c r="AV431" i="4" s="1"/>
  <c r="AH432" i="4"/>
  <c r="AL432" i="4"/>
  <c r="I434" i="28"/>
  <c r="K434" i="28" s="1"/>
  <c r="N434" i="28" s="1"/>
  <c r="J434" i="28"/>
  <c r="Y434" i="28" s="1"/>
  <c r="AO435" i="4"/>
  <c r="G435" i="4"/>
  <c r="AR435" i="4"/>
  <c r="AT435" i="4"/>
  <c r="E435" i="4"/>
  <c r="H435" i="4"/>
  <c r="M435" i="4"/>
  <c r="L435" i="4"/>
  <c r="AP435" i="4"/>
  <c r="J435" i="4"/>
  <c r="I435" i="4"/>
  <c r="AS435" i="4"/>
  <c r="AQ435" i="4"/>
  <c r="AF435" i="4"/>
  <c r="N435" i="4"/>
  <c r="B436" i="4"/>
  <c r="BC437" i="4"/>
  <c r="BC450" i="4" s="1"/>
  <c r="S435" i="28"/>
  <c r="F435" i="28"/>
  <c r="Q435" i="28"/>
  <c r="R435" i="28"/>
  <c r="W435" i="28"/>
  <c r="AG433" i="4"/>
  <c r="Z433" i="28"/>
  <c r="AX433" i="4"/>
  <c r="O434" i="28"/>
  <c r="U433" i="28"/>
  <c r="V433" i="28" s="1"/>
  <c r="X433" i="28" s="1"/>
  <c r="P433" i="28"/>
  <c r="V434" i="4"/>
  <c r="AW434" i="4" s="1"/>
  <c r="U434" i="4"/>
  <c r="R434" i="4"/>
  <c r="Z434" i="4" s="1"/>
  <c r="Y434" i="4"/>
  <c r="AD434" i="4" s="1"/>
  <c r="W434" i="4"/>
  <c r="AB434" i="4" s="1"/>
  <c r="S434" i="4"/>
  <c r="AA434" i="4" s="1"/>
  <c r="T434" i="4"/>
  <c r="X434" i="4"/>
  <c r="AC434" i="4" s="1"/>
  <c r="BD435" i="4"/>
  <c r="BE435" i="4"/>
  <c r="B436" i="28"/>
  <c r="AC437" i="28"/>
  <c r="AE435" i="28"/>
  <c r="AD435" i="28"/>
  <c r="T436" i="28" l="1"/>
  <c r="E436" i="28"/>
  <c r="AX447" i="4"/>
  <c r="M436" i="28"/>
  <c r="L436" i="28"/>
  <c r="AG447" i="4"/>
  <c r="AH447" i="4" s="1"/>
  <c r="BE449" i="4"/>
  <c r="BD449" i="4"/>
  <c r="AM448" i="4"/>
  <c r="X448" i="4"/>
  <c r="AC448" i="4" s="1"/>
  <c r="T448" i="4"/>
  <c r="W448" i="4"/>
  <c r="AB448" i="4" s="1"/>
  <c r="S448" i="4"/>
  <c r="AA448" i="4" s="1"/>
  <c r="V448" i="4"/>
  <c r="AW448" i="4" s="1"/>
  <c r="U448" i="4"/>
  <c r="R448" i="4"/>
  <c r="Z448" i="4" s="1"/>
  <c r="Y448" i="4"/>
  <c r="AD448" i="4" s="1"/>
  <c r="B450" i="4"/>
  <c r="AT449" i="4"/>
  <c r="AP449" i="4"/>
  <c r="J449" i="4"/>
  <c r="E449" i="4"/>
  <c r="AS449" i="4"/>
  <c r="AO449" i="4"/>
  <c r="N449" i="4"/>
  <c r="I449" i="4"/>
  <c r="H449" i="4"/>
  <c r="AR449" i="4"/>
  <c r="M449" i="4"/>
  <c r="G449" i="4"/>
  <c r="AQ449" i="4"/>
  <c r="L449" i="4"/>
  <c r="AF449" i="4"/>
  <c r="O435" i="28"/>
  <c r="AN432" i="4"/>
  <c r="AU432" i="4"/>
  <c r="AV432" i="4" s="1"/>
  <c r="AX434" i="4"/>
  <c r="R436" i="28"/>
  <c r="S436" i="28"/>
  <c r="Q436" i="28"/>
  <c r="F436" i="28"/>
  <c r="W436" i="28"/>
  <c r="AG434" i="4"/>
  <c r="Z434" i="28"/>
  <c r="BC438" i="4"/>
  <c r="BC451" i="4" s="1"/>
  <c r="B437" i="4"/>
  <c r="BD436" i="4"/>
  <c r="BE436" i="4"/>
  <c r="P434" i="28"/>
  <c r="U434" i="28"/>
  <c r="V434" i="28" s="1"/>
  <c r="X434" i="28" s="1"/>
  <c r="I435" i="28"/>
  <c r="K435" i="28" s="1"/>
  <c r="N435" i="28" s="1"/>
  <c r="J435" i="28"/>
  <c r="Y435" i="28" s="1"/>
  <c r="B437" i="28"/>
  <c r="AC438" i="28"/>
  <c r="AE436" i="28"/>
  <c r="AD436" i="28"/>
  <c r="R435" i="4"/>
  <c r="Z435" i="4" s="1"/>
  <c r="T435" i="4"/>
  <c r="Y435" i="4"/>
  <c r="AD435" i="4" s="1"/>
  <c r="X435" i="4"/>
  <c r="AC435" i="4" s="1"/>
  <c r="V435" i="4"/>
  <c r="AW435" i="4" s="1"/>
  <c r="W435" i="4"/>
  <c r="AB435" i="4" s="1"/>
  <c r="S435" i="4"/>
  <c r="AA435" i="4" s="1"/>
  <c r="U435" i="4"/>
  <c r="AL433" i="4"/>
  <c r="AH433" i="4"/>
  <c r="AF436" i="4"/>
  <c r="N436" i="4"/>
  <c r="I436" i="4"/>
  <c r="AQ436" i="4"/>
  <c r="AO436" i="4"/>
  <c r="J436" i="4"/>
  <c r="H436" i="4"/>
  <c r="AP436" i="4"/>
  <c r="L436" i="4"/>
  <c r="M436" i="4"/>
  <c r="AR436" i="4"/>
  <c r="E436" i="4"/>
  <c r="AS436" i="4"/>
  <c r="G436" i="4"/>
  <c r="AT436" i="4"/>
  <c r="AM435" i="4"/>
  <c r="Z435" i="28" l="1"/>
  <c r="AG448" i="4"/>
  <c r="L437" i="28"/>
  <c r="E437" i="28"/>
  <c r="T437" i="28"/>
  <c r="O436" i="28"/>
  <c r="AX448" i="4"/>
  <c r="AM449" i="4"/>
  <c r="B451" i="4"/>
  <c r="BD450" i="4"/>
  <c r="BE450" i="4"/>
  <c r="AL447" i="4"/>
  <c r="AR450" i="4"/>
  <c r="M450" i="4"/>
  <c r="H450" i="4"/>
  <c r="AQ450" i="4"/>
  <c r="AF450" i="4"/>
  <c r="L450" i="4"/>
  <c r="G450" i="4"/>
  <c r="AT450" i="4"/>
  <c r="E450" i="4"/>
  <c r="AS450" i="4"/>
  <c r="N450" i="4"/>
  <c r="AP450" i="4"/>
  <c r="J450" i="4"/>
  <c r="AO450" i="4"/>
  <c r="I450" i="4"/>
  <c r="V449" i="4"/>
  <c r="AW449" i="4" s="1"/>
  <c r="R449" i="4"/>
  <c r="Z449" i="4" s="1"/>
  <c r="Y449" i="4"/>
  <c r="AD449" i="4" s="1"/>
  <c r="U449" i="4"/>
  <c r="T449" i="4"/>
  <c r="X449" i="4"/>
  <c r="AC449" i="4" s="1"/>
  <c r="S449" i="4"/>
  <c r="AA449" i="4" s="1"/>
  <c r="W449" i="4"/>
  <c r="AB449" i="4" s="1"/>
  <c r="AL434" i="4"/>
  <c r="AX435" i="4"/>
  <c r="AM436" i="4"/>
  <c r="AU433" i="4"/>
  <c r="AV433" i="4" s="1"/>
  <c r="AN433" i="4"/>
  <c r="I436" i="28"/>
  <c r="K436" i="28" s="1"/>
  <c r="N436" i="28" s="1"/>
  <c r="J436" i="28"/>
  <c r="Y436" i="28" s="1"/>
  <c r="AC439" i="28"/>
  <c r="B438" i="28"/>
  <c r="AE437" i="28"/>
  <c r="AD437" i="28"/>
  <c r="P435" i="28"/>
  <c r="U435" i="28"/>
  <c r="V435" i="28" s="1"/>
  <c r="X435" i="28" s="1"/>
  <c r="AF437" i="4"/>
  <c r="L437" i="4"/>
  <c r="J437" i="4"/>
  <c r="I437" i="4"/>
  <c r="AP437" i="4"/>
  <c r="AR437" i="4"/>
  <c r="E437" i="4"/>
  <c r="F437" i="4" s="1"/>
  <c r="N437" i="4"/>
  <c r="M437" i="4"/>
  <c r="AO437" i="4"/>
  <c r="AQ437" i="4"/>
  <c r="AT437" i="4"/>
  <c r="H437" i="4"/>
  <c r="G437" i="4"/>
  <c r="AS437" i="4"/>
  <c r="BC439" i="4"/>
  <c r="BC452" i="4" s="1"/>
  <c r="B438" i="4"/>
  <c r="AG435" i="4"/>
  <c r="S437" i="28"/>
  <c r="R437" i="28"/>
  <c r="Q437" i="28"/>
  <c r="W437" i="28"/>
  <c r="F437" i="28"/>
  <c r="X436" i="4"/>
  <c r="AC436" i="4" s="1"/>
  <c r="Y436" i="4"/>
  <c r="AD436" i="4" s="1"/>
  <c r="V436" i="4"/>
  <c r="AW436" i="4" s="1"/>
  <c r="W436" i="4"/>
  <c r="AB436" i="4" s="1"/>
  <c r="U436" i="4"/>
  <c r="S436" i="4"/>
  <c r="AA436" i="4" s="1"/>
  <c r="R436" i="4"/>
  <c r="Z436" i="4" s="1"/>
  <c r="T436" i="4"/>
  <c r="BE437" i="4"/>
  <c r="BD437" i="4"/>
  <c r="AH434" i="4"/>
  <c r="AH448" i="4" l="1"/>
  <c r="F462" i="4"/>
  <c r="L438" i="28"/>
  <c r="E438" i="28"/>
  <c r="T438" i="28"/>
  <c r="AG449" i="4"/>
  <c r="Z436" i="28"/>
  <c r="O437" i="28"/>
  <c r="AX449" i="4"/>
  <c r="AM450" i="4"/>
  <c r="X450" i="4"/>
  <c r="AC450" i="4" s="1"/>
  <c r="T450" i="4"/>
  <c r="W450" i="4"/>
  <c r="AB450" i="4" s="1"/>
  <c r="S450" i="4"/>
  <c r="AA450" i="4" s="1"/>
  <c r="R450" i="4"/>
  <c r="Z450" i="4" s="1"/>
  <c r="Y450" i="4"/>
  <c r="AD450" i="4" s="1"/>
  <c r="V450" i="4"/>
  <c r="U450" i="4"/>
  <c r="AN447" i="4"/>
  <c r="AU447" i="4"/>
  <c r="AV447" i="4" s="1"/>
  <c r="AT451" i="4"/>
  <c r="AP451" i="4"/>
  <c r="J451" i="4"/>
  <c r="E451" i="4"/>
  <c r="AS451" i="4"/>
  <c r="AO451" i="4"/>
  <c r="N451" i="4"/>
  <c r="I451" i="4"/>
  <c r="AR451" i="4"/>
  <c r="M451" i="4"/>
  <c r="AQ451" i="4"/>
  <c r="AF451" i="4"/>
  <c r="L451" i="4"/>
  <c r="G451" i="4"/>
  <c r="H451" i="4"/>
  <c r="AL448" i="4"/>
  <c r="B452" i="4"/>
  <c r="AW450" i="4"/>
  <c r="BE451" i="4"/>
  <c r="BD451" i="4"/>
  <c r="AU434" i="4"/>
  <c r="AV434" i="4" s="1"/>
  <c r="AN434" i="4"/>
  <c r="AX436" i="4"/>
  <c r="AL435" i="4"/>
  <c r="AN435" i="4" s="1"/>
  <c r="AH435" i="4"/>
  <c r="N438" i="4"/>
  <c r="AF438" i="4"/>
  <c r="AQ438" i="4"/>
  <c r="E438" i="4"/>
  <c r="AT438" i="4"/>
  <c r="J438" i="4"/>
  <c r="I438" i="4"/>
  <c r="AR438" i="4"/>
  <c r="L438" i="4"/>
  <c r="H438" i="4"/>
  <c r="AO438" i="4"/>
  <c r="M438" i="4"/>
  <c r="G438" i="4"/>
  <c r="AS438" i="4"/>
  <c r="AP438" i="4"/>
  <c r="BD438" i="4"/>
  <c r="BE438" i="4"/>
  <c r="AM437" i="4"/>
  <c r="AC440" i="28"/>
  <c r="B439" i="28"/>
  <c r="Y437" i="4"/>
  <c r="AD437" i="4" s="1"/>
  <c r="V437" i="4"/>
  <c r="AW437" i="4" s="1"/>
  <c r="U437" i="4"/>
  <c r="R437" i="4"/>
  <c r="Z437" i="4" s="1"/>
  <c r="X437" i="4"/>
  <c r="AC437" i="4" s="1"/>
  <c r="W437" i="4"/>
  <c r="AB437" i="4" s="1"/>
  <c r="S437" i="4"/>
  <c r="AA437" i="4" s="1"/>
  <c r="T437" i="4"/>
  <c r="AG436" i="4"/>
  <c r="BC440" i="4"/>
  <c r="BC453" i="4" s="1"/>
  <c r="B439" i="4"/>
  <c r="J437" i="28"/>
  <c r="Y437" i="28" s="1"/>
  <c r="I437" i="28"/>
  <c r="K437" i="28" s="1"/>
  <c r="N437" i="28" s="1"/>
  <c r="S438" i="28"/>
  <c r="F438" i="28"/>
  <c r="Q438" i="28"/>
  <c r="W438" i="28"/>
  <c r="R438" i="28"/>
  <c r="AE438" i="28"/>
  <c r="AD438" i="28"/>
  <c r="P436" i="28"/>
  <c r="U436" i="28"/>
  <c r="V436" i="28" s="1"/>
  <c r="X436" i="28" s="1"/>
  <c r="AL449" i="4" l="1"/>
  <c r="AU449" i="4" s="1"/>
  <c r="AV449" i="4" s="1"/>
  <c r="L439" i="28"/>
  <c r="T439" i="28"/>
  <c r="E439" i="28"/>
  <c r="O438" i="28"/>
  <c r="Z437" i="28"/>
  <c r="AG450" i="4"/>
  <c r="AN449" i="4"/>
  <c r="AM451" i="4"/>
  <c r="AN448" i="4"/>
  <c r="AU448" i="4"/>
  <c r="AV448" i="4" s="1"/>
  <c r="AR452" i="4"/>
  <c r="M452" i="4"/>
  <c r="H452" i="4"/>
  <c r="AQ452" i="4"/>
  <c r="AF452" i="4"/>
  <c r="AP452" i="4"/>
  <c r="J452" i="4"/>
  <c r="AO452" i="4"/>
  <c r="I452" i="4"/>
  <c r="AS452" i="4"/>
  <c r="L452" i="4"/>
  <c r="E452" i="4"/>
  <c r="AT452" i="4"/>
  <c r="N452" i="4"/>
  <c r="G452" i="4"/>
  <c r="B453" i="4"/>
  <c r="AX450" i="4"/>
  <c r="AH449" i="4"/>
  <c r="V451" i="4"/>
  <c r="AW451" i="4" s="1"/>
  <c r="R451" i="4"/>
  <c r="Z451" i="4" s="1"/>
  <c r="Y451" i="4"/>
  <c r="AD451" i="4" s="1"/>
  <c r="U451" i="4"/>
  <c r="X451" i="4"/>
  <c r="AC451" i="4" s="1"/>
  <c r="W451" i="4"/>
  <c r="AB451" i="4" s="1"/>
  <c r="S451" i="4"/>
  <c r="T451" i="4"/>
  <c r="BD452" i="4"/>
  <c r="BE452" i="4"/>
  <c r="AA451" i="4"/>
  <c r="AX437" i="4"/>
  <c r="AU435" i="4"/>
  <c r="AV435" i="4" s="1"/>
  <c r="AL436" i="4"/>
  <c r="U437" i="28"/>
  <c r="V437" i="28" s="1"/>
  <c r="X437" i="28" s="1"/>
  <c r="P437" i="28"/>
  <c r="AR439" i="4"/>
  <c r="H439" i="4"/>
  <c r="J439" i="4"/>
  <c r="M439" i="4"/>
  <c r="L439" i="4"/>
  <c r="AS439" i="4"/>
  <c r="I439" i="4"/>
  <c r="AF439" i="4"/>
  <c r="AP439" i="4"/>
  <c r="G439" i="4"/>
  <c r="AO439" i="4"/>
  <c r="AQ439" i="4"/>
  <c r="N439" i="4"/>
  <c r="E439" i="4"/>
  <c r="AT439" i="4"/>
  <c r="BE439" i="4"/>
  <c r="BD439" i="4"/>
  <c r="AG437" i="4"/>
  <c r="S439" i="28"/>
  <c r="M439" i="28"/>
  <c r="W439" i="28"/>
  <c r="Q439" i="28"/>
  <c r="F439" i="28"/>
  <c r="R439" i="28"/>
  <c r="B440" i="28"/>
  <c r="AC441" i="28"/>
  <c r="R438" i="4"/>
  <c r="Z438" i="4" s="1"/>
  <c r="W438" i="4"/>
  <c r="AB438" i="4" s="1"/>
  <c r="T438" i="4"/>
  <c r="X438" i="4"/>
  <c r="AC438" i="4" s="1"/>
  <c r="S438" i="4"/>
  <c r="AA438" i="4" s="1"/>
  <c r="V438" i="4"/>
  <c r="AW438" i="4" s="1"/>
  <c r="U438" i="4"/>
  <c r="Y438" i="4"/>
  <c r="AD438" i="4" s="1"/>
  <c r="AM438" i="4"/>
  <c r="I438" i="28"/>
  <c r="K438" i="28" s="1"/>
  <c r="N438" i="28" s="1"/>
  <c r="J438" i="28"/>
  <c r="Y438" i="28" s="1"/>
  <c r="B440" i="4"/>
  <c r="BC441" i="4"/>
  <c r="BC454" i="4" s="1"/>
  <c r="AH436" i="4"/>
  <c r="AD439" i="28"/>
  <c r="AE439" i="28"/>
  <c r="E62" i="61" l="1"/>
  <c r="AH450" i="4"/>
  <c r="Z438" i="28"/>
  <c r="AL450" i="4"/>
  <c r="AU450" i="4" s="1"/>
  <c r="AV450" i="4" s="1"/>
  <c r="L440" i="28"/>
  <c r="T440" i="28"/>
  <c r="E440" i="28"/>
  <c r="AT440" i="4"/>
  <c r="J440" i="4"/>
  <c r="AN436" i="4"/>
  <c r="AX451" i="4"/>
  <c r="AG451" i="4"/>
  <c r="B454" i="4"/>
  <c r="X452" i="4"/>
  <c r="AC452" i="4" s="1"/>
  <c r="T452" i="4"/>
  <c r="Y452" i="4"/>
  <c r="AD452" i="4" s="1"/>
  <c r="S452" i="4"/>
  <c r="AA452" i="4" s="1"/>
  <c r="W452" i="4"/>
  <c r="AB452" i="4" s="1"/>
  <c r="R452" i="4"/>
  <c r="Z452" i="4" s="1"/>
  <c r="U452" i="4"/>
  <c r="V452" i="4"/>
  <c r="AW452" i="4" s="1"/>
  <c r="AT453" i="4"/>
  <c r="AP453" i="4"/>
  <c r="J453" i="4"/>
  <c r="E453" i="4"/>
  <c r="AQ453" i="4"/>
  <c r="N453" i="4"/>
  <c r="H453" i="4"/>
  <c r="AO453" i="4"/>
  <c r="M453" i="4"/>
  <c r="G453" i="4"/>
  <c r="AR453" i="4"/>
  <c r="AF453" i="4"/>
  <c r="L453" i="4"/>
  <c r="I453" i="4"/>
  <c r="AS453" i="4"/>
  <c r="BE453" i="4"/>
  <c r="BD453" i="4"/>
  <c r="AM452" i="4"/>
  <c r="AG438" i="4"/>
  <c r="AU436" i="4"/>
  <c r="AV436" i="4" s="1"/>
  <c r="AH437" i="4"/>
  <c r="AM439" i="4"/>
  <c r="J439" i="28"/>
  <c r="Y439" i="28" s="1"/>
  <c r="I439" i="28"/>
  <c r="K439" i="28" s="1"/>
  <c r="N439" i="28" s="1"/>
  <c r="AL437" i="4"/>
  <c r="B441" i="4"/>
  <c r="BC442" i="4"/>
  <c r="BC455" i="4" s="1"/>
  <c r="E440" i="4"/>
  <c r="AP440" i="4"/>
  <c r="G440" i="4"/>
  <c r="L440" i="4"/>
  <c r="AQ440" i="4"/>
  <c r="M440" i="4"/>
  <c r="AO440" i="4"/>
  <c r="AS440" i="4"/>
  <c r="H440" i="4"/>
  <c r="AF440" i="4"/>
  <c r="N440" i="4"/>
  <c r="I440" i="4"/>
  <c r="AR440" i="4"/>
  <c r="P438" i="28"/>
  <c r="U438" i="28"/>
  <c r="V438" i="28" s="1"/>
  <c r="X438" i="28" s="1"/>
  <c r="B441" i="28"/>
  <c r="AC442" i="28"/>
  <c r="W440" i="28"/>
  <c r="F440" i="28"/>
  <c r="R440" i="28"/>
  <c r="S440" i="28"/>
  <c r="Q440" i="28"/>
  <c r="O439" i="28"/>
  <c r="S439" i="4"/>
  <c r="AA439" i="4" s="1"/>
  <c r="Y439" i="4"/>
  <c r="AD439" i="4" s="1"/>
  <c r="W439" i="4"/>
  <c r="AB439" i="4" s="1"/>
  <c r="U439" i="4"/>
  <c r="T439" i="4"/>
  <c r="V439" i="4"/>
  <c r="AW439" i="4" s="1"/>
  <c r="R439" i="4"/>
  <c r="Z439" i="4" s="1"/>
  <c r="X439" i="4"/>
  <c r="AC439" i="4" s="1"/>
  <c r="BE440" i="4"/>
  <c r="BD440" i="4"/>
  <c r="AX438" i="4"/>
  <c r="AD440" i="28"/>
  <c r="AE440" i="28"/>
  <c r="G62" i="61"/>
  <c r="AH438" i="4" l="1"/>
  <c r="AN450" i="4"/>
  <c r="AH451" i="4"/>
  <c r="AL438" i="4"/>
  <c r="AU438" i="4" s="1"/>
  <c r="AV438" i="4" s="1"/>
  <c r="L441" i="28"/>
  <c r="E441" i="28"/>
  <c r="T441" i="28"/>
  <c r="J441" i="4"/>
  <c r="AT441" i="4"/>
  <c r="AX452" i="4"/>
  <c r="V453" i="4"/>
  <c r="R453" i="4"/>
  <c r="W453" i="4"/>
  <c r="AB453" i="4" s="1"/>
  <c r="U453" i="4"/>
  <c r="S453" i="4"/>
  <c r="X453" i="4"/>
  <c r="AC453" i="4" s="1"/>
  <c r="Y453" i="4"/>
  <c r="AD453" i="4" s="1"/>
  <c r="T453" i="4"/>
  <c r="AW453" i="4"/>
  <c r="AG452" i="4"/>
  <c r="AH452" i="4" s="1"/>
  <c r="AR454" i="4"/>
  <c r="M454" i="4"/>
  <c r="H454" i="4"/>
  <c r="AQ454" i="4"/>
  <c r="AF454" i="4"/>
  <c r="L454" i="4"/>
  <c r="G454" i="4"/>
  <c r="AO454" i="4"/>
  <c r="I454" i="4"/>
  <c r="AP454" i="4"/>
  <c r="AT454" i="4"/>
  <c r="E454" i="4"/>
  <c r="AS454" i="4"/>
  <c r="N454" i="4"/>
  <c r="J454" i="4"/>
  <c r="AL452" i="4"/>
  <c r="AA453" i="4"/>
  <c r="B455" i="4"/>
  <c r="AM453" i="4"/>
  <c r="AL451" i="4"/>
  <c r="Z453" i="4"/>
  <c r="BD454" i="4"/>
  <c r="BE454" i="4"/>
  <c r="T440" i="4"/>
  <c r="V440" i="4"/>
  <c r="AW440" i="4" s="1"/>
  <c r="Y440" i="4"/>
  <c r="AD440" i="4" s="1"/>
  <c r="R440" i="4"/>
  <c r="Z440" i="4" s="1"/>
  <c r="X440" i="4"/>
  <c r="AC440" i="4" s="1"/>
  <c r="U440" i="4"/>
  <c r="W440" i="4"/>
  <c r="AB440" i="4" s="1"/>
  <c r="S440" i="4"/>
  <c r="AA440" i="4" s="1"/>
  <c r="AG439" i="4"/>
  <c r="Z439" i="28"/>
  <c r="I440" i="28"/>
  <c r="K440" i="28" s="1"/>
  <c r="N440" i="28" s="1"/>
  <c r="J440" i="28"/>
  <c r="Y440" i="28" s="1"/>
  <c r="AX439" i="4"/>
  <c r="O440" i="28"/>
  <c r="AC443" i="28"/>
  <c r="B442" i="28"/>
  <c r="AE441" i="28"/>
  <c r="AD441" i="28"/>
  <c r="AR441" i="4"/>
  <c r="I441" i="4"/>
  <c r="AP441" i="4"/>
  <c r="AF441" i="4"/>
  <c r="E441" i="4"/>
  <c r="M441" i="4"/>
  <c r="H441" i="4"/>
  <c r="AQ441" i="4"/>
  <c r="AO441" i="4"/>
  <c r="L441" i="4"/>
  <c r="N441" i="4"/>
  <c r="AS441" i="4"/>
  <c r="G441" i="4"/>
  <c r="BE441" i="4"/>
  <c r="BD441" i="4"/>
  <c r="AU437" i="4"/>
  <c r="AV437" i="4" s="1"/>
  <c r="AN437" i="4"/>
  <c r="Q441" i="28"/>
  <c r="W441" i="28"/>
  <c r="R441" i="28"/>
  <c r="S441" i="28"/>
  <c r="F441" i="28"/>
  <c r="AM440" i="4"/>
  <c r="BC443" i="4"/>
  <c r="BC456" i="4" s="1"/>
  <c r="B442" i="4"/>
  <c r="P439" i="28"/>
  <c r="U439" i="28"/>
  <c r="V439" i="28" s="1"/>
  <c r="X439" i="28" s="1"/>
  <c r="AX453" i="4" l="1"/>
  <c r="AN438" i="4"/>
  <c r="L442" i="28"/>
  <c r="E442" i="28"/>
  <c r="T442" i="28"/>
  <c r="B456" i="4"/>
  <c r="AN451" i="4"/>
  <c r="AU451" i="4"/>
  <c r="AV451" i="4" s="1"/>
  <c r="AT455" i="4"/>
  <c r="AP455" i="4"/>
  <c r="J455" i="4"/>
  <c r="E455" i="4"/>
  <c r="AS455" i="4"/>
  <c r="N455" i="4"/>
  <c r="I455" i="4"/>
  <c r="AO455" i="4"/>
  <c r="G455" i="4"/>
  <c r="AF455" i="4"/>
  <c r="L455" i="4"/>
  <c r="H455" i="4"/>
  <c r="AR455" i="4"/>
  <c r="M455" i="4"/>
  <c r="AQ455" i="4"/>
  <c r="AN452" i="4"/>
  <c r="AU452" i="4"/>
  <c r="AV452" i="4" s="1"/>
  <c r="AG453" i="4"/>
  <c r="AH453" i="4" s="1"/>
  <c r="X454" i="4"/>
  <c r="AC454" i="4" s="1"/>
  <c r="T454" i="4"/>
  <c r="W454" i="4"/>
  <c r="AB454" i="4" s="1"/>
  <c r="S454" i="4"/>
  <c r="U454" i="4"/>
  <c r="V454" i="4"/>
  <c r="AW454" i="4" s="1"/>
  <c r="R454" i="4"/>
  <c r="Z454" i="4" s="1"/>
  <c r="Y454" i="4"/>
  <c r="AD454" i="4" s="1"/>
  <c r="BE455" i="4"/>
  <c r="BD455" i="4"/>
  <c r="AM454" i="4"/>
  <c r="AA454" i="4"/>
  <c r="AX440" i="4"/>
  <c r="AH439" i="4"/>
  <c r="AL439" i="4"/>
  <c r="BD442" i="4"/>
  <c r="BE442" i="4"/>
  <c r="BC444" i="4"/>
  <c r="BC457" i="4" s="1"/>
  <c r="B443" i="4"/>
  <c r="B443" i="28"/>
  <c r="AC444" i="28"/>
  <c r="Z440" i="28"/>
  <c r="P440" i="28"/>
  <c r="U440" i="28"/>
  <c r="V440" i="28" s="1"/>
  <c r="X440" i="28" s="1"/>
  <c r="N442" i="4"/>
  <c r="AQ442" i="4"/>
  <c r="AR442" i="4"/>
  <c r="AF442" i="4"/>
  <c r="L442" i="4"/>
  <c r="I442" i="4"/>
  <c r="AS442" i="4"/>
  <c r="AT442" i="4"/>
  <c r="H442" i="4"/>
  <c r="E442" i="4"/>
  <c r="AO442" i="4"/>
  <c r="G442" i="4"/>
  <c r="M442" i="4"/>
  <c r="J442" i="4"/>
  <c r="AP442" i="4"/>
  <c r="O441" i="28"/>
  <c r="T441" i="4"/>
  <c r="U441" i="4"/>
  <c r="Y441" i="4"/>
  <c r="AD441" i="4" s="1"/>
  <c r="V441" i="4"/>
  <c r="AW441" i="4" s="1"/>
  <c r="W441" i="4"/>
  <c r="AB441" i="4" s="1"/>
  <c r="S441" i="4"/>
  <c r="AA441" i="4" s="1"/>
  <c r="R441" i="4"/>
  <c r="Z441" i="4" s="1"/>
  <c r="X441" i="4"/>
  <c r="AC441" i="4" s="1"/>
  <c r="AM441" i="4"/>
  <c r="I441" i="28"/>
  <c r="K441" i="28" s="1"/>
  <c r="N441" i="28" s="1"/>
  <c r="J441" i="28"/>
  <c r="Y441" i="28" s="1"/>
  <c r="R442" i="28"/>
  <c r="S442" i="28"/>
  <c r="Q442" i="28"/>
  <c r="F442" i="28"/>
  <c r="W442" i="28"/>
  <c r="AD442" i="28"/>
  <c r="AE442" i="28"/>
  <c r="AG440" i="4"/>
  <c r="L443" i="28" l="1"/>
  <c r="T443" i="28"/>
  <c r="E443" i="28"/>
  <c r="AL453" i="4"/>
  <c r="AU453" i="4" s="1"/>
  <c r="AV453" i="4" s="1"/>
  <c r="AG454" i="4"/>
  <c r="AL454" i="4" s="1"/>
  <c r="B457" i="4"/>
  <c r="AX454" i="4"/>
  <c r="V455" i="4"/>
  <c r="AW455" i="4" s="1"/>
  <c r="R455" i="4"/>
  <c r="Z455" i="4" s="1"/>
  <c r="Y455" i="4"/>
  <c r="AD455" i="4" s="1"/>
  <c r="U455" i="4"/>
  <c r="S455" i="4"/>
  <c r="X455" i="4"/>
  <c r="AC455" i="4" s="1"/>
  <c r="W455" i="4"/>
  <c r="AB455" i="4" s="1"/>
  <c r="T455" i="4"/>
  <c r="AA455" i="4"/>
  <c r="AM455" i="4"/>
  <c r="BD456" i="4"/>
  <c r="BE456" i="4"/>
  <c r="AR456" i="4"/>
  <c r="M456" i="4"/>
  <c r="H456" i="4"/>
  <c r="AQ456" i="4"/>
  <c r="G456" i="4"/>
  <c r="AF456" i="4"/>
  <c r="L456" i="4"/>
  <c r="AS456" i="4"/>
  <c r="N456" i="4"/>
  <c r="AT456" i="4"/>
  <c r="E456" i="4"/>
  <c r="AP456" i="4"/>
  <c r="J456" i="4"/>
  <c r="AO456" i="4"/>
  <c r="I456" i="4"/>
  <c r="AN439" i="4"/>
  <c r="AX441" i="4"/>
  <c r="AU439" i="4"/>
  <c r="AV439" i="4" s="1"/>
  <c r="AH440" i="4"/>
  <c r="O442" i="28"/>
  <c r="AG441" i="4"/>
  <c r="Z441" i="28"/>
  <c r="AM442" i="4"/>
  <c r="AC445" i="28"/>
  <c r="B444" i="28"/>
  <c r="R443" i="28"/>
  <c r="W443" i="28"/>
  <c r="Q443" i="28"/>
  <c r="F443" i="28"/>
  <c r="S443" i="28"/>
  <c r="BD443" i="4"/>
  <c r="BE443" i="4"/>
  <c r="BC445" i="4"/>
  <c r="BC458" i="4" s="1"/>
  <c r="B444" i="4"/>
  <c r="AL440" i="4"/>
  <c r="J442" i="28"/>
  <c r="Y442" i="28" s="1"/>
  <c r="I442" i="28"/>
  <c r="K442" i="28" s="1"/>
  <c r="N442" i="28" s="1"/>
  <c r="U441" i="28"/>
  <c r="V441" i="28" s="1"/>
  <c r="X441" i="28" s="1"/>
  <c r="P441" i="28"/>
  <c r="AE443" i="28"/>
  <c r="AD443" i="28"/>
  <c r="M443" i="4"/>
  <c r="AQ443" i="4"/>
  <c r="AR443" i="4"/>
  <c r="I443" i="4"/>
  <c r="AT443" i="4"/>
  <c r="G443" i="4"/>
  <c r="N443" i="4"/>
  <c r="AP443" i="4"/>
  <c r="L443" i="4"/>
  <c r="AS443" i="4"/>
  <c r="H443" i="4"/>
  <c r="AO443" i="4"/>
  <c r="E443" i="4"/>
  <c r="AF443" i="4"/>
  <c r="J443" i="4"/>
  <c r="W442" i="4"/>
  <c r="AB442" i="4" s="1"/>
  <c r="T442" i="4"/>
  <c r="R442" i="4"/>
  <c r="Z442" i="4" s="1"/>
  <c r="V442" i="4"/>
  <c r="AW442" i="4" s="1"/>
  <c r="U442" i="4"/>
  <c r="Y442" i="4"/>
  <c r="AD442" i="4" s="1"/>
  <c r="X442" i="4"/>
  <c r="AC442" i="4" s="1"/>
  <c r="S442" i="4"/>
  <c r="AA442" i="4" s="1"/>
  <c r="AX442" i="4" s="1"/>
  <c r="AN453" i="4" l="1"/>
  <c r="L444" i="28"/>
  <c r="T444" i="28"/>
  <c r="E444" i="28"/>
  <c r="AN454" i="4"/>
  <c r="AU454" i="4"/>
  <c r="AV454" i="4" s="1"/>
  <c r="AM456" i="4"/>
  <c r="X456" i="4"/>
  <c r="AC456" i="4" s="1"/>
  <c r="T456" i="4"/>
  <c r="S456" i="4"/>
  <c r="AA456" i="4" s="1"/>
  <c r="W456" i="4"/>
  <c r="AB456" i="4" s="1"/>
  <c r="Y456" i="4"/>
  <c r="AD456" i="4" s="1"/>
  <c r="R456" i="4"/>
  <c r="Z456" i="4" s="1"/>
  <c r="V456" i="4"/>
  <c r="AW456" i="4" s="1"/>
  <c r="U456" i="4"/>
  <c r="AG455" i="4"/>
  <c r="AT457" i="4"/>
  <c r="AP457" i="4"/>
  <c r="J457" i="4"/>
  <c r="E457" i="4"/>
  <c r="AO457" i="4"/>
  <c r="N457" i="4"/>
  <c r="AS457" i="4"/>
  <c r="I457" i="4"/>
  <c r="AQ457" i="4"/>
  <c r="AF457" i="4"/>
  <c r="L457" i="4"/>
  <c r="AR457" i="4"/>
  <c r="H457" i="4"/>
  <c r="G457" i="4"/>
  <c r="M457" i="4"/>
  <c r="BE457" i="4"/>
  <c r="BD457" i="4"/>
  <c r="AH454" i="4"/>
  <c r="AX455" i="4"/>
  <c r="B458" i="4"/>
  <c r="AH441" i="4"/>
  <c r="AG442" i="4"/>
  <c r="I443" i="28"/>
  <c r="K443" i="28" s="1"/>
  <c r="N443" i="28" s="1"/>
  <c r="J443" i="28"/>
  <c r="Y443" i="28" s="1"/>
  <c r="AU440" i="4"/>
  <c r="AV440" i="4" s="1"/>
  <c r="AN440" i="4"/>
  <c r="AP444" i="4"/>
  <c r="AQ444" i="4"/>
  <c r="L444" i="4"/>
  <c r="M444" i="4"/>
  <c r="G444" i="4"/>
  <c r="J444" i="4"/>
  <c r="I444" i="4"/>
  <c r="E444" i="4"/>
  <c r="H444" i="4"/>
  <c r="AF444" i="4"/>
  <c r="N444" i="4"/>
  <c r="AS444" i="4"/>
  <c r="AO444" i="4"/>
  <c r="AT444" i="4"/>
  <c r="AR444" i="4"/>
  <c r="B445" i="4"/>
  <c r="BC446" i="4"/>
  <c r="X443" i="4"/>
  <c r="AC443" i="4" s="1"/>
  <c r="W443" i="4"/>
  <c r="AB443" i="4" s="1"/>
  <c r="S443" i="4"/>
  <c r="AA443" i="4" s="1"/>
  <c r="R443" i="4"/>
  <c r="Z443" i="4" s="1"/>
  <c r="V443" i="4"/>
  <c r="AW443" i="4" s="1"/>
  <c r="T443" i="4"/>
  <c r="U443" i="4"/>
  <c r="Y443" i="4"/>
  <c r="AD443" i="4" s="1"/>
  <c r="AD444" i="28"/>
  <c r="AE444" i="28"/>
  <c r="Z442" i="28"/>
  <c r="AM443" i="4"/>
  <c r="P442" i="28"/>
  <c r="U442" i="28"/>
  <c r="V442" i="28" s="1"/>
  <c r="X442" i="28" s="1"/>
  <c r="BE444" i="4"/>
  <c r="BD444" i="4"/>
  <c r="O443" i="28"/>
  <c r="F444" i="28"/>
  <c r="W444" i="28"/>
  <c r="R444" i="28"/>
  <c r="S444" i="28"/>
  <c r="Q444" i="28"/>
  <c r="B445" i="28"/>
  <c r="AC446" i="28"/>
  <c r="AL441" i="4"/>
  <c r="AL455" i="4" l="1"/>
  <c r="L445" i="28"/>
  <c r="E445" i="28"/>
  <c r="T445" i="28"/>
  <c r="AG456" i="4"/>
  <c r="AL456" i="4" s="1"/>
  <c r="AH455" i="4"/>
  <c r="AM457" i="4"/>
  <c r="AU455" i="4"/>
  <c r="AV455" i="4" s="1"/>
  <c r="AN455" i="4"/>
  <c r="V457" i="4"/>
  <c r="AW457" i="4" s="1"/>
  <c r="R457" i="4"/>
  <c r="Z457" i="4" s="1"/>
  <c r="Y457" i="4"/>
  <c r="AD457" i="4" s="1"/>
  <c r="U457" i="4"/>
  <c r="W457" i="4"/>
  <c r="AB457" i="4" s="1"/>
  <c r="S457" i="4"/>
  <c r="AA457" i="4" s="1"/>
  <c r="X457" i="4"/>
  <c r="AC457" i="4" s="1"/>
  <c r="T457" i="4"/>
  <c r="AX456" i="4"/>
  <c r="BE458" i="4"/>
  <c r="BD458" i="4"/>
  <c r="AS458" i="4"/>
  <c r="AO458" i="4"/>
  <c r="N458" i="4"/>
  <c r="I458" i="4"/>
  <c r="AQ458" i="4"/>
  <c r="AF458" i="4"/>
  <c r="L458" i="4"/>
  <c r="G458" i="4"/>
  <c r="AT458" i="4"/>
  <c r="AR458" i="4"/>
  <c r="M458" i="4"/>
  <c r="H458" i="4"/>
  <c r="AP458" i="4"/>
  <c r="J458" i="4"/>
  <c r="E458" i="4"/>
  <c r="AH442" i="4"/>
  <c r="AL442" i="4"/>
  <c r="AM444" i="4"/>
  <c r="AN441" i="4"/>
  <c r="AU441" i="4"/>
  <c r="AV441" i="4" s="1"/>
  <c r="R445" i="28"/>
  <c r="W445" i="28"/>
  <c r="Q445" i="28"/>
  <c r="S445" i="28"/>
  <c r="F445" i="28"/>
  <c r="O444" i="28"/>
  <c r="Z443" i="28"/>
  <c r="J444" i="28"/>
  <c r="Y444" i="28" s="1"/>
  <c r="I444" i="28"/>
  <c r="K444" i="28" s="1"/>
  <c r="N444" i="28" s="1"/>
  <c r="AX443" i="4"/>
  <c r="BE445" i="4"/>
  <c r="BD445" i="4"/>
  <c r="H445" i="4"/>
  <c r="AP445" i="4"/>
  <c r="G445" i="4"/>
  <c r="M445" i="4"/>
  <c r="AO445" i="4"/>
  <c r="J445" i="4"/>
  <c r="AF445" i="4"/>
  <c r="L445" i="4"/>
  <c r="AT445" i="4"/>
  <c r="AQ445" i="4"/>
  <c r="E445" i="4"/>
  <c r="AR445" i="4"/>
  <c r="I445" i="4"/>
  <c r="N445" i="4"/>
  <c r="AS445" i="4"/>
  <c r="AC447" i="28"/>
  <c r="B446" i="28"/>
  <c r="AE445" i="28"/>
  <c r="AD445" i="28"/>
  <c r="R444" i="4"/>
  <c r="Z444" i="4" s="1"/>
  <c r="V444" i="4"/>
  <c r="AW444" i="4" s="1"/>
  <c r="U444" i="4"/>
  <c r="X444" i="4"/>
  <c r="AC444" i="4" s="1"/>
  <c r="T444" i="4"/>
  <c r="W444" i="4"/>
  <c r="AB444" i="4" s="1"/>
  <c r="S444" i="4"/>
  <c r="AA444" i="4" s="1"/>
  <c r="Y444" i="4"/>
  <c r="AD444" i="4" s="1"/>
  <c r="AG443" i="4"/>
  <c r="B446" i="4"/>
  <c r="BC459" i="4"/>
  <c r="U443" i="28"/>
  <c r="V443" i="28" s="1"/>
  <c r="X443" i="28" s="1"/>
  <c r="P443" i="28"/>
  <c r="AH456" i="4" l="1"/>
  <c r="L446" i="28"/>
  <c r="E446" i="28"/>
  <c r="T446" i="28"/>
  <c r="AX457" i="4"/>
  <c r="AG457" i="4"/>
  <c r="AL457" i="4" s="1"/>
  <c r="AN456" i="4"/>
  <c r="AU456" i="4"/>
  <c r="AV456" i="4" s="1"/>
  <c r="AM458" i="4"/>
  <c r="Y458" i="4"/>
  <c r="AD458" i="4" s="1"/>
  <c r="U458" i="4"/>
  <c r="W458" i="4"/>
  <c r="AB458" i="4" s="1"/>
  <c r="S458" i="4"/>
  <c r="AA458" i="4" s="1"/>
  <c r="X458" i="4"/>
  <c r="AC458" i="4" s="1"/>
  <c r="T458" i="4"/>
  <c r="V458" i="4"/>
  <c r="AW458" i="4" s="1"/>
  <c r="R458" i="4"/>
  <c r="Z458" i="4" s="1"/>
  <c r="AN442" i="4"/>
  <c r="AU442" i="4"/>
  <c r="AV442" i="4" s="1"/>
  <c r="AG444" i="4"/>
  <c r="AH443" i="4"/>
  <c r="AL443" i="4"/>
  <c r="AN443" i="4" s="1"/>
  <c r="B459" i="4"/>
  <c r="E446" i="4"/>
  <c r="AQ446" i="4"/>
  <c r="AF446" i="4"/>
  <c r="N446" i="4"/>
  <c r="AT446" i="4"/>
  <c r="J446" i="4"/>
  <c r="AR446" i="4"/>
  <c r="I446" i="4"/>
  <c r="AO446" i="4"/>
  <c r="H446" i="4"/>
  <c r="L446" i="4"/>
  <c r="AS446" i="4"/>
  <c r="M446" i="4"/>
  <c r="AP446" i="4"/>
  <c r="G446" i="4"/>
  <c r="X56" i="61"/>
  <c r="U56" i="61"/>
  <c r="R56" i="61"/>
  <c r="R57" i="61"/>
  <c r="V57" i="61"/>
  <c r="V56" i="61"/>
  <c r="AX444" i="4"/>
  <c r="J445" i="28"/>
  <c r="Y445" i="28" s="1"/>
  <c r="I445" i="28"/>
  <c r="K445" i="28" s="1"/>
  <c r="N445" i="28" s="1"/>
  <c r="R446" i="28"/>
  <c r="S446" i="28"/>
  <c r="Q446" i="28"/>
  <c r="W446" i="28"/>
  <c r="F446" i="28"/>
  <c r="AD446" i="28"/>
  <c r="AE446" i="28"/>
  <c r="T57" i="61"/>
  <c r="U57" i="61"/>
  <c r="S57" i="61"/>
  <c r="T56" i="61"/>
  <c r="S56" i="61"/>
  <c r="W56" i="61"/>
  <c r="BE446" i="4"/>
  <c r="BD446" i="4"/>
  <c r="B447" i="28"/>
  <c r="AC448" i="28"/>
  <c r="AM445" i="4"/>
  <c r="V445" i="4"/>
  <c r="AW445" i="4" s="1"/>
  <c r="X445" i="4"/>
  <c r="AC445" i="4" s="1"/>
  <c r="U445" i="4"/>
  <c r="R445" i="4"/>
  <c r="Z445" i="4" s="1"/>
  <c r="Y445" i="4"/>
  <c r="AD445" i="4" s="1"/>
  <c r="W445" i="4"/>
  <c r="AB445" i="4" s="1"/>
  <c r="S445" i="4"/>
  <c r="AA445" i="4" s="1"/>
  <c r="T445" i="4"/>
  <c r="P444" i="28"/>
  <c r="U444" i="28"/>
  <c r="V444" i="28" s="1"/>
  <c r="X444" i="28" s="1"/>
  <c r="Z444" i="28"/>
  <c r="O445" i="28"/>
  <c r="AL444" i="4" l="1"/>
  <c r="AL507" i="4"/>
  <c r="P915" i="28" s="1"/>
  <c r="O508" i="4"/>
  <c r="AM501" i="4"/>
  <c r="Q909" i="28" s="1"/>
  <c r="AM505" i="4"/>
  <c r="Q913" i="28" s="1"/>
  <c r="K503" i="4"/>
  <c r="L497" i="4"/>
  <c r="N502" i="4"/>
  <c r="O502" i="4"/>
  <c r="AM498" i="4"/>
  <c r="Q906" i="28" s="1"/>
  <c r="L502" i="4"/>
  <c r="AL500" i="4"/>
  <c r="P908" i="28" s="1"/>
  <c r="K501" i="4"/>
  <c r="L505" i="4"/>
  <c r="N503" i="4"/>
  <c r="O507" i="4"/>
  <c r="AM500" i="4"/>
  <c r="Q908" i="28" s="1"/>
  <c r="K502" i="4"/>
  <c r="M502" i="4" s="1"/>
  <c r="J910" i="28" s="1"/>
  <c r="AL508" i="4"/>
  <c r="P916" i="28" s="1"/>
  <c r="K506" i="4"/>
  <c r="O503" i="4"/>
  <c r="N507" i="4"/>
  <c r="L501" i="4"/>
  <c r="AM504" i="4"/>
  <c r="Q912" i="28" s="1"/>
  <c r="K507" i="4"/>
  <c r="AL501" i="4"/>
  <c r="P909" i="28" s="1"/>
  <c r="N498" i="4"/>
  <c r="L507" i="4"/>
  <c r="AM503" i="4"/>
  <c r="Q911" i="28" s="1"/>
  <c r="L506" i="4"/>
  <c r="AM497" i="4"/>
  <c r="Q905" i="28" s="1"/>
  <c r="K497" i="4"/>
  <c r="L504" i="4"/>
  <c r="N506" i="4"/>
  <c r="L500" i="4"/>
  <c r="AL502" i="4"/>
  <c r="P910" i="28" s="1"/>
  <c r="O506" i="4"/>
  <c r="AL497" i="4"/>
  <c r="P905" i="28" s="1"/>
  <c r="K505" i="4"/>
  <c r="L499" i="4"/>
  <c r="K508" i="4"/>
  <c r="L508" i="4"/>
  <c r="AM506" i="4"/>
  <c r="Q914" i="28" s="1"/>
  <c r="N497" i="4"/>
  <c r="AL499" i="4"/>
  <c r="P907" i="28" s="1"/>
  <c r="N508" i="4"/>
  <c r="P508" i="4" s="1"/>
  <c r="K916" i="28" s="1"/>
  <c r="L503" i="4"/>
  <c r="AM507" i="4"/>
  <c r="Q915" i="28" s="1"/>
  <c r="O497" i="4"/>
  <c r="AM508" i="4"/>
  <c r="Q916" i="28" s="1"/>
  <c r="K499" i="4"/>
  <c r="AL503" i="4"/>
  <c r="P911" i="28" s="1"/>
  <c r="K500" i="4"/>
  <c r="M500" i="4" s="1"/>
  <c r="J908" i="28" s="1"/>
  <c r="O498" i="4"/>
  <c r="AL498" i="4"/>
  <c r="P906" i="28" s="1"/>
  <c r="L498" i="4"/>
  <c r="N500" i="4"/>
  <c r="O505" i="4"/>
  <c r="K504" i="4"/>
  <c r="M504" i="4" s="1"/>
  <c r="J912" i="28" s="1"/>
  <c r="O504" i="4"/>
  <c r="AL506" i="4"/>
  <c r="P914" i="28" s="1"/>
  <c r="N501" i="4"/>
  <c r="AL504" i="4"/>
  <c r="P912" i="28" s="1"/>
  <c r="N504" i="4"/>
  <c r="P504" i="4" s="1"/>
  <c r="K912" i="28" s="1"/>
  <c r="O499" i="4"/>
  <c r="N499" i="4"/>
  <c r="O501" i="4"/>
  <c r="AM502" i="4"/>
  <c r="Q910" i="28" s="1"/>
  <c r="N505" i="4"/>
  <c r="AL505" i="4"/>
  <c r="P913" i="28" s="1"/>
  <c r="K498" i="4"/>
  <c r="O500" i="4"/>
  <c r="AM499" i="4"/>
  <c r="Q907" i="28" s="1"/>
  <c r="AU443" i="4"/>
  <c r="AV443" i="4" s="1"/>
  <c r="AH444" i="4"/>
  <c r="L447" i="28"/>
  <c r="T447" i="28"/>
  <c r="E447" i="28"/>
  <c r="AN457" i="4"/>
  <c r="AU457" i="4"/>
  <c r="AV457" i="4" s="1"/>
  <c r="AH457" i="4"/>
  <c r="AX458" i="4"/>
  <c r="AG458" i="4"/>
  <c r="AL458" i="4" s="1"/>
  <c r="AG445" i="4"/>
  <c r="Z445" i="28"/>
  <c r="AD447" i="28"/>
  <c r="AE447" i="28"/>
  <c r="T446" i="4"/>
  <c r="X446" i="4"/>
  <c r="AC446" i="4" s="1"/>
  <c r="R446" i="4"/>
  <c r="Z446" i="4" s="1"/>
  <c r="W446" i="4"/>
  <c r="AB446" i="4" s="1"/>
  <c r="S446" i="4"/>
  <c r="AA446" i="4" s="1"/>
  <c r="Y446" i="4"/>
  <c r="AD446" i="4" s="1"/>
  <c r="U446" i="4"/>
  <c r="V446" i="4"/>
  <c r="AW446" i="4" s="1"/>
  <c r="O446" i="28"/>
  <c r="P445" i="28"/>
  <c r="U445" i="28"/>
  <c r="V445" i="28" s="1"/>
  <c r="X445" i="28" s="1"/>
  <c r="G459" i="4"/>
  <c r="E19" i="19" s="1"/>
  <c r="AO459" i="4"/>
  <c r="AS459" i="4"/>
  <c r="AP459" i="4"/>
  <c r="H100" i="19" s="1"/>
  <c r="L459" i="4"/>
  <c r="N459" i="4"/>
  <c r="AF459" i="4"/>
  <c r="M459" i="4"/>
  <c r="J459" i="4"/>
  <c r="H459" i="4"/>
  <c r="E20" i="19" s="1"/>
  <c r="E459" i="4"/>
  <c r="C54" i="19" s="1"/>
  <c r="AT459" i="4"/>
  <c r="C26" i="73" s="1"/>
  <c r="I459" i="4"/>
  <c r="AQ459" i="4"/>
  <c r="AR459" i="4"/>
  <c r="AX445" i="4"/>
  <c r="B448" i="28"/>
  <c r="AC449" i="28"/>
  <c r="F447" i="28"/>
  <c r="W447" i="28"/>
  <c r="S447" i="28"/>
  <c r="Q447" i="28"/>
  <c r="R447" i="28"/>
  <c r="J446" i="28"/>
  <c r="Y446" i="28" s="1"/>
  <c r="I446" i="28"/>
  <c r="K446" i="28" s="1"/>
  <c r="N446" i="28" s="1"/>
  <c r="AU444" i="4"/>
  <c r="AV444" i="4" s="1"/>
  <c r="AN444" i="4"/>
  <c r="AM446" i="4"/>
  <c r="BE459" i="4"/>
  <c r="BD459" i="4"/>
  <c r="G19" i="60" l="1"/>
  <c r="F15" i="73"/>
  <c r="F10" i="73"/>
  <c r="M505" i="4"/>
  <c r="J913" i="28" s="1"/>
  <c r="F46" i="73"/>
  <c r="H353" i="19" s="1"/>
  <c r="E56" i="19"/>
  <c r="P497" i="4"/>
  <c r="K905" i="28" s="1"/>
  <c r="M501" i="4"/>
  <c r="J909" i="28" s="1"/>
  <c r="M498" i="4"/>
  <c r="J906" i="28" s="1"/>
  <c r="M499" i="4"/>
  <c r="J907" i="28" s="1"/>
  <c r="M507" i="4"/>
  <c r="J915" i="28" s="1"/>
  <c r="M506" i="4"/>
  <c r="J914" i="28" s="1"/>
  <c r="P507" i="4"/>
  <c r="K915" i="28" s="1"/>
  <c r="P502" i="4"/>
  <c r="K910" i="28" s="1"/>
  <c r="P498" i="4"/>
  <c r="K906" i="28" s="1"/>
  <c r="P503" i="4"/>
  <c r="K911" i="28" s="1"/>
  <c r="M497" i="4"/>
  <c r="J905" i="28" s="1"/>
  <c r="P499" i="4"/>
  <c r="K907" i="28" s="1"/>
  <c r="P501" i="4"/>
  <c r="K909" i="28" s="1"/>
  <c r="P505" i="4"/>
  <c r="K913" i="28" s="1"/>
  <c r="M508" i="4"/>
  <c r="J916" i="28" s="1"/>
  <c r="P506" i="4"/>
  <c r="K914" i="28" s="1"/>
  <c r="M503" i="4"/>
  <c r="J911" i="28" s="1"/>
  <c r="P500" i="4"/>
  <c r="K908" i="28" s="1"/>
  <c r="F26" i="73"/>
  <c r="H173" i="19" s="1"/>
  <c r="F28" i="73"/>
  <c r="H210" i="19" s="1"/>
  <c r="H54" i="19"/>
  <c r="D16" i="73"/>
  <c r="D26" i="73"/>
  <c r="H171" i="19" s="1"/>
  <c r="D49" i="73"/>
  <c r="H380" i="19" s="1"/>
  <c r="D45" i="73"/>
  <c r="H316" i="19" s="1"/>
  <c r="C11" i="73"/>
  <c r="G11" i="60" s="1"/>
  <c r="G15" i="73"/>
  <c r="G20" i="73"/>
  <c r="G16" i="73"/>
  <c r="G26" i="73"/>
  <c r="G30" i="73"/>
  <c r="G49" i="73"/>
  <c r="G51" i="73"/>
  <c r="G10" i="73"/>
  <c r="G11" i="73"/>
  <c r="G35" i="73"/>
  <c r="G36" i="73"/>
  <c r="G28" i="73"/>
  <c r="G46" i="73"/>
  <c r="G40" i="73"/>
  <c r="G41" i="73"/>
  <c r="G45" i="73"/>
  <c r="G33" i="73"/>
  <c r="H21" i="19"/>
  <c r="H20" i="19"/>
  <c r="D303" i="19"/>
  <c r="E18" i="61"/>
  <c r="E23" i="61"/>
  <c r="E30" i="61"/>
  <c r="E44" i="61"/>
  <c r="E37" i="61"/>
  <c r="D338" i="19"/>
  <c r="E57" i="61"/>
  <c r="E51" i="61"/>
  <c r="D15" i="73"/>
  <c r="D20" i="73"/>
  <c r="D22" i="73"/>
  <c r="D30" i="73"/>
  <c r="H245" i="19" s="1"/>
  <c r="D51" i="73"/>
  <c r="H409" i="19" s="1"/>
  <c r="D10" i="73"/>
  <c r="D11" i="73"/>
  <c r="D35" i="73"/>
  <c r="D36" i="73"/>
  <c r="D28" i="73"/>
  <c r="H208" i="19" s="1"/>
  <c r="D40" i="73"/>
  <c r="D41" i="73"/>
  <c r="D33" i="73"/>
  <c r="H281" i="19" s="1"/>
  <c r="D46" i="73"/>
  <c r="H351" i="19" s="1"/>
  <c r="E300" i="19"/>
  <c r="H300" i="19" s="1"/>
  <c r="D10" i="61"/>
  <c r="E370" i="19"/>
  <c r="E399" i="19"/>
  <c r="H399" i="19" s="1"/>
  <c r="E335" i="19"/>
  <c r="E28" i="61"/>
  <c r="E42" i="61"/>
  <c r="E35" i="61"/>
  <c r="E49" i="61"/>
  <c r="C15" i="73"/>
  <c r="G15" i="60"/>
  <c r="C16" i="73"/>
  <c r="C30" i="73"/>
  <c r="G23" i="60" s="1"/>
  <c r="C49" i="73"/>
  <c r="G31" i="60" s="1"/>
  <c r="C51" i="73"/>
  <c r="G33" i="60" s="1"/>
  <c r="C10" i="73"/>
  <c r="G9" i="60" s="1"/>
  <c r="C35" i="73"/>
  <c r="C36" i="73"/>
  <c r="C28" i="73"/>
  <c r="C46" i="73"/>
  <c r="C40" i="73"/>
  <c r="C41" i="73"/>
  <c r="C45" i="73"/>
  <c r="C33" i="73"/>
  <c r="G25" i="60" s="1"/>
  <c r="D305" i="19"/>
  <c r="E17" i="61"/>
  <c r="E22" i="61"/>
  <c r="E43" i="61"/>
  <c r="E36" i="61"/>
  <c r="D340" i="19"/>
  <c r="E56" i="61"/>
  <c r="E50" i="61"/>
  <c r="E15" i="73"/>
  <c r="E22" i="73"/>
  <c r="E16" i="73"/>
  <c r="E26" i="73"/>
  <c r="H172" i="19" s="1"/>
  <c r="E49" i="73"/>
  <c r="H381" i="19" s="1"/>
  <c r="E10" i="73"/>
  <c r="E35" i="73"/>
  <c r="E36" i="73"/>
  <c r="E28" i="73"/>
  <c r="H209" i="19" s="1"/>
  <c r="E40" i="73"/>
  <c r="E41" i="73"/>
  <c r="E45" i="73"/>
  <c r="H317" i="19" s="1"/>
  <c r="E33" i="73"/>
  <c r="H282" i="19" s="1"/>
  <c r="E30" i="73"/>
  <c r="H246" i="19" s="1"/>
  <c r="E51" i="73"/>
  <c r="H410" i="19" s="1"/>
  <c r="E11" i="73"/>
  <c r="E46" i="73"/>
  <c r="H352" i="19" s="1"/>
  <c r="F20" i="73"/>
  <c r="F22" i="73"/>
  <c r="F16" i="73"/>
  <c r="F30" i="73"/>
  <c r="H247" i="19" s="1"/>
  <c r="F49" i="73"/>
  <c r="H382" i="19" s="1"/>
  <c r="F51" i="73"/>
  <c r="H411" i="19" s="1"/>
  <c r="F11" i="73"/>
  <c r="F35" i="73"/>
  <c r="F36" i="73"/>
  <c r="F40" i="73"/>
  <c r="F41" i="73"/>
  <c r="F45" i="73"/>
  <c r="H318" i="19" s="1"/>
  <c r="F33" i="73"/>
  <c r="H283" i="19" s="1"/>
  <c r="C298" i="19"/>
  <c r="C368" i="19"/>
  <c r="C397" i="19"/>
  <c r="C333" i="19"/>
  <c r="H308" i="19"/>
  <c r="H343" i="19"/>
  <c r="C189" i="19"/>
  <c r="H189" i="19" s="1"/>
  <c r="C226" i="19"/>
  <c r="C262" i="19"/>
  <c r="E191" i="19"/>
  <c r="E264" i="19"/>
  <c r="H264" i="19" s="1"/>
  <c r="E228" i="19"/>
  <c r="H228" i="19" s="1"/>
  <c r="D196" i="19"/>
  <c r="D233" i="19"/>
  <c r="D269" i="19"/>
  <c r="D235" i="19"/>
  <c r="D271" i="19"/>
  <c r="D231" i="19"/>
  <c r="D267" i="19"/>
  <c r="D198" i="19"/>
  <c r="D159" i="19"/>
  <c r="D155" i="19"/>
  <c r="D194" i="19"/>
  <c r="H101" i="19"/>
  <c r="H135" i="19"/>
  <c r="H125" i="19"/>
  <c r="H162" i="19"/>
  <c r="D86" i="19"/>
  <c r="D120" i="19"/>
  <c r="H99" i="19"/>
  <c r="H133" i="19"/>
  <c r="E117" i="19"/>
  <c r="E152" i="19"/>
  <c r="C81" i="19"/>
  <c r="C150" i="19"/>
  <c r="C115" i="19"/>
  <c r="D88" i="19"/>
  <c r="D122" i="19"/>
  <c r="D157" i="19"/>
  <c r="H134" i="19"/>
  <c r="E83" i="19"/>
  <c r="H91" i="19"/>
  <c r="C49" i="19"/>
  <c r="C58" i="19" s="1"/>
  <c r="E11" i="19"/>
  <c r="E14" i="19" s="1"/>
  <c r="E51" i="19"/>
  <c r="C9" i="19"/>
  <c r="C17" i="19"/>
  <c r="E23" i="19"/>
  <c r="E11" i="60" s="1"/>
  <c r="F11" i="60" s="1"/>
  <c r="H19" i="19"/>
  <c r="L448" i="28"/>
  <c r="T448" i="28"/>
  <c r="E448" i="28"/>
  <c r="D21" i="61"/>
  <c r="D16" i="61"/>
  <c r="D11" i="61"/>
  <c r="D64" i="61"/>
  <c r="D5" i="61"/>
  <c r="D27" i="61"/>
  <c r="D41" i="61"/>
  <c r="D65" i="61"/>
  <c r="D6" i="61"/>
  <c r="D34" i="61"/>
  <c r="D61" i="61"/>
  <c r="D55" i="61"/>
  <c r="D48" i="61"/>
  <c r="AN458" i="4"/>
  <c r="AU458" i="4"/>
  <c r="AV458" i="4" s="1"/>
  <c r="AH458" i="4"/>
  <c r="AL445" i="4"/>
  <c r="AN445" i="4" s="1"/>
  <c r="AH445" i="4"/>
  <c r="O447" i="28"/>
  <c r="W459" i="4"/>
  <c r="AB459" i="4" s="1"/>
  <c r="S459" i="4"/>
  <c r="U459" i="4"/>
  <c r="X459" i="4"/>
  <c r="AC459" i="4" s="1"/>
  <c r="T459" i="4"/>
  <c r="V459" i="4"/>
  <c r="AW459" i="4" s="1"/>
  <c r="Y459" i="4"/>
  <c r="AD459" i="4" s="1"/>
  <c r="R459" i="4"/>
  <c r="Z459" i="4" s="1"/>
  <c r="P446" i="28"/>
  <c r="U446" i="28"/>
  <c r="V446" i="28" s="1"/>
  <c r="X446" i="28" s="1"/>
  <c r="AD448" i="28"/>
  <c r="AE448" i="28"/>
  <c r="Z446" i="28"/>
  <c r="AX446" i="4"/>
  <c r="I447" i="28"/>
  <c r="K447" i="28" s="1"/>
  <c r="N447" i="28" s="1"/>
  <c r="J447" i="28"/>
  <c r="Y447" i="28" s="1"/>
  <c r="B449" i="28"/>
  <c r="AC450" i="28"/>
  <c r="Q448" i="28"/>
  <c r="R448" i="28"/>
  <c r="S448" i="28"/>
  <c r="F448" i="28"/>
  <c r="W448" i="28"/>
  <c r="AM459" i="4"/>
  <c r="AG446" i="4"/>
  <c r="H25" i="60" l="1"/>
  <c r="C15" i="79"/>
  <c r="H9" i="60"/>
  <c r="C7" i="79"/>
  <c r="H33" i="60"/>
  <c r="C19" i="79"/>
  <c r="H21" i="60"/>
  <c r="C13" i="79"/>
  <c r="H23" i="60"/>
  <c r="C14" i="79"/>
  <c r="H31" i="60"/>
  <c r="C18" i="79"/>
  <c r="H11" i="60"/>
  <c r="C8" i="79"/>
  <c r="H19" i="60"/>
  <c r="C12" i="79"/>
  <c r="H15" i="60"/>
  <c r="C10" i="79"/>
  <c r="E201" i="19"/>
  <c r="H191" i="19"/>
  <c r="H152" i="19"/>
  <c r="E25" i="19"/>
  <c r="E58" i="19"/>
  <c r="H56" i="19"/>
  <c r="L10" i="73"/>
  <c r="E309" i="19"/>
  <c r="D7" i="61"/>
  <c r="L45" i="73"/>
  <c r="L46" i="73"/>
  <c r="H303" i="19"/>
  <c r="AU445" i="4"/>
  <c r="AV445" i="4" s="1"/>
  <c r="H15" i="73"/>
  <c r="H20" i="73"/>
  <c r="H16" i="73"/>
  <c r="H26" i="73"/>
  <c r="H30" i="73"/>
  <c r="H49" i="73"/>
  <c r="H51" i="73"/>
  <c r="H10" i="73"/>
  <c r="H11" i="73"/>
  <c r="H35" i="73"/>
  <c r="H36" i="73"/>
  <c r="H28" i="73"/>
  <c r="H46" i="73"/>
  <c r="H40" i="73"/>
  <c r="H41" i="73"/>
  <c r="H45" i="73"/>
  <c r="H33" i="73"/>
  <c r="H157" i="19"/>
  <c r="H194" i="19"/>
  <c r="H233" i="19"/>
  <c r="H412" i="19"/>
  <c r="H305" i="19"/>
  <c r="H86" i="19"/>
  <c r="H198" i="19"/>
  <c r="H269" i="19"/>
  <c r="D309" i="19"/>
  <c r="H298" i="19"/>
  <c r="H368" i="19"/>
  <c r="C373" i="19"/>
  <c r="E373" i="19"/>
  <c r="H370" i="19"/>
  <c r="H354" i="19"/>
  <c r="H383" i="19"/>
  <c r="H49" i="19"/>
  <c r="H122" i="19"/>
  <c r="H81" i="19"/>
  <c r="H271" i="19"/>
  <c r="H196" i="19"/>
  <c r="H333" i="19"/>
  <c r="C344" i="19"/>
  <c r="E344" i="19"/>
  <c r="H335" i="19"/>
  <c r="H338" i="19"/>
  <c r="H150" i="19"/>
  <c r="E202" i="19"/>
  <c r="C309" i="19"/>
  <c r="H88" i="19"/>
  <c r="H159" i="19"/>
  <c r="H235" i="19"/>
  <c r="C402" i="19"/>
  <c r="H397" i="19"/>
  <c r="D344" i="19"/>
  <c r="H340" i="19"/>
  <c r="G35" i="61"/>
  <c r="E38" i="61"/>
  <c r="E402" i="19"/>
  <c r="H174" i="19"/>
  <c r="H319" i="19"/>
  <c r="H284" i="19"/>
  <c r="H211" i="19"/>
  <c r="E274" i="19"/>
  <c r="C201" i="19"/>
  <c r="H248" i="19"/>
  <c r="H262" i="19"/>
  <c r="C274" i="19"/>
  <c r="H267" i="19"/>
  <c r="D274" i="19"/>
  <c r="H231" i="19"/>
  <c r="D238" i="19"/>
  <c r="E238" i="19"/>
  <c r="H226" i="19"/>
  <c r="C238" i="19"/>
  <c r="D92" i="19"/>
  <c r="D201" i="19"/>
  <c r="H11" i="19"/>
  <c r="C92" i="19"/>
  <c r="H155" i="19"/>
  <c r="H115" i="19"/>
  <c r="C126" i="19"/>
  <c r="H136" i="19"/>
  <c r="H120" i="19"/>
  <c r="D126" i="19"/>
  <c r="E126" i="19"/>
  <c r="H117" i="19"/>
  <c r="H102" i="19"/>
  <c r="E92" i="19"/>
  <c r="H83" i="19"/>
  <c r="D23" i="73"/>
  <c r="H51" i="19"/>
  <c r="H17" i="19"/>
  <c r="H23" i="19" s="1"/>
  <c r="C23" i="19"/>
  <c r="H9" i="19"/>
  <c r="C14" i="19"/>
  <c r="G47" i="73"/>
  <c r="D42" i="73"/>
  <c r="C47" i="73"/>
  <c r="G27" i="60" s="1"/>
  <c r="G42" i="73"/>
  <c r="G37" i="73"/>
  <c r="E47" i="73"/>
  <c r="D17" i="73"/>
  <c r="H65" i="19" s="1"/>
  <c r="L449" i="28"/>
  <c r="E449" i="28"/>
  <c r="T449" i="28"/>
  <c r="D37" i="73"/>
  <c r="D47" i="73"/>
  <c r="D12" i="73"/>
  <c r="H32" i="19" s="1"/>
  <c r="D31" i="73"/>
  <c r="E42" i="73"/>
  <c r="L36" i="73"/>
  <c r="F23" i="73"/>
  <c r="E12" i="73"/>
  <c r="E17" i="73"/>
  <c r="H66" i="19" s="1"/>
  <c r="L51" i="73"/>
  <c r="L20" i="73"/>
  <c r="F47" i="73"/>
  <c r="F12" i="73"/>
  <c r="H34" i="19" s="1"/>
  <c r="F31" i="73"/>
  <c r="F17" i="73"/>
  <c r="H67" i="19" s="1"/>
  <c r="E37" i="73"/>
  <c r="L40" i="73"/>
  <c r="C42" i="73"/>
  <c r="G29" i="60" s="1"/>
  <c r="L28" i="73"/>
  <c r="L15" i="73"/>
  <c r="C17" i="73"/>
  <c r="G13" i="60" s="1"/>
  <c r="G12" i="73"/>
  <c r="G31" i="73"/>
  <c r="G17" i="73"/>
  <c r="E23" i="73"/>
  <c r="L33" i="73"/>
  <c r="L41" i="73"/>
  <c r="L35" i="73"/>
  <c r="C37" i="73"/>
  <c r="L49" i="73"/>
  <c r="C31" i="73"/>
  <c r="L26" i="73"/>
  <c r="L16" i="73"/>
  <c r="F42" i="73"/>
  <c r="F37" i="73"/>
  <c r="E31" i="73"/>
  <c r="L30" i="73"/>
  <c r="L11" i="73"/>
  <c r="C12" i="73"/>
  <c r="AA459" i="4"/>
  <c r="AX459" i="4" s="1"/>
  <c r="O448" i="28"/>
  <c r="AH446" i="4"/>
  <c r="AL446" i="4"/>
  <c r="AE449" i="28"/>
  <c r="AD449" i="28"/>
  <c r="U447" i="28"/>
  <c r="V447" i="28" s="1"/>
  <c r="X447" i="28" s="1"/>
  <c r="P447" i="28"/>
  <c r="J448" i="28"/>
  <c r="Y448" i="28" s="1"/>
  <c r="I448" i="28"/>
  <c r="K448" i="28" s="1"/>
  <c r="N448" i="28" s="1"/>
  <c r="B450" i="28"/>
  <c r="AC451" i="28"/>
  <c r="Q449" i="28"/>
  <c r="W449" i="28"/>
  <c r="S449" i="28"/>
  <c r="R449" i="28"/>
  <c r="F449" i="28"/>
  <c r="AG459" i="4"/>
  <c r="Z447" i="28"/>
  <c r="H29" i="60" l="1"/>
  <c r="C17" i="79"/>
  <c r="H13" i="60"/>
  <c r="C9" i="79"/>
  <c r="H27" i="60"/>
  <c r="C16" i="79"/>
  <c r="H33" i="19"/>
  <c r="H35" i="19"/>
  <c r="M45" i="73"/>
  <c r="M46" i="73"/>
  <c r="H68" i="19"/>
  <c r="C25" i="19"/>
  <c r="H58" i="19"/>
  <c r="M41" i="73"/>
  <c r="M36" i="73"/>
  <c r="M51" i="73"/>
  <c r="M16" i="73"/>
  <c r="M40" i="73"/>
  <c r="M35" i="73"/>
  <c r="M49" i="73"/>
  <c r="M20" i="73"/>
  <c r="M33" i="73"/>
  <c r="M11" i="73"/>
  <c r="M30" i="73"/>
  <c r="M15" i="73"/>
  <c r="M28" i="73"/>
  <c r="M26" i="73"/>
  <c r="M10" i="73"/>
  <c r="E93" i="19"/>
  <c r="E127" i="19"/>
  <c r="E165" i="19"/>
  <c r="H373" i="19"/>
  <c r="H309" i="19"/>
  <c r="H201" i="19"/>
  <c r="H344" i="19"/>
  <c r="E403" i="19"/>
  <c r="H164" i="19"/>
  <c r="H402" i="19"/>
  <c r="H92" i="19"/>
  <c r="E374" i="19"/>
  <c r="E345" i="19"/>
  <c r="H274" i="19"/>
  <c r="H238" i="19"/>
  <c r="H14" i="19"/>
  <c r="H25" i="19" s="1"/>
  <c r="H126" i="19"/>
  <c r="H47" i="73"/>
  <c r="J40" i="73"/>
  <c r="J41" i="73"/>
  <c r="L450" i="28"/>
  <c r="E450" i="28"/>
  <c r="T450" i="28"/>
  <c r="H37" i="73"/>
  <c r="J35" i="73"/>
  <c r="J36" i="73"/>
  <c r="H42" i="73"/>
  <c r="H17" i="73"/>
  <c r="H12" i="73"/>
  <c r="H31" i="73"/>
  <c r="O449" i="28"/>
  <c r="Z448" i="28"/>
  <c r="AN446" i="4"/>
  <c r="AH459" i="4"/>
  <c r="AU446" i="4"/>
  <c r="AV446" i="4" s="1"/>
  <c r="AL459" i="4"/>
  <c r="AC452" i="28"/>
  <c r="B451" i="28"/>
  <c r="AE450" i="28"/>
  <c r="AD450" i="28"/>
  <c r="I449" i="28"/>
  <c r="K449" i="28" s="1"/>
  <c r="N449" i="28" s="1"/>
  <c r="J449" i="28"/>
  <c r="Y449" i="28" s="1"/>
  <c r="R450" i="28"/>
  <c r="W450" i="28"/>
  <c r="Q450" i="28"/>
  <c r="F450" i="28"/>
  <c r="S450" i="28"/>
  <c r="P448" i="28"/>
  <c r="U448" i="28"/>
  <c r="V448" i="28" s="1"/>
  <c r="X448" i="28" s="1"/>
  <c r="H403" i="19" l="1"/>
  <c r="H345" i="19"/>
  <c r="H93" i="19"/>
  <c r="H165" i="19"/>
  <c r="H374" i="19"/>
  <c r="I28" i="73"/>
  <c r="I15" i="73"/>
  <c r="I20" i="73"/>
  <c r="I22" i="73"/>
  <c r="I16" i="73"/>
  <c r="I49" i="73"/>
  <c r="J49" i="73" s="1"/>
  <c r="H375" i="19" s="1"/>
  <c r="I51" i="73"/>
  <c r="J51" i="73" s="1"/>
  <c r="H404" i="19" s="1"/>
  <c r="I10" i="73"/>
  <c r="I11" i="73"/>
  <c r="I35" i="73"/>
  <c r="I36" i="73"/>
  <c r="I26" i="73"/>
  <c r="I46" i="73"/>
  <c r="I40" i="73"/>
  <c r="I33" i="73"/>
  <c r="I45" i="73"/>
  <c r="I30" i="73"/>
  <c r="I41" i="73"/>
  <c r="T451" i="28"/>
  <c r="E451" i="28"/>
  <c r="J42" i="73"/>
  <c r="J37" i="73"/>
  <c r="L451" i="28"/>
  <c r="Z449" i="28"/>
  <c r="AN459" i="4"/>
  <c r="AU459" i="4"/>
  <c r="AV459" i="4" s="1"/>
  <c r="P449" i="28"/>
  <c r="U449" i="28"/>
  <c r="V449" i="28" s="1"/>
  <c r="X449" i="28" s="1"/>
  <c r="B452" i="28"/>
  <c r="AC453" i="28"/>
  <c r="O450" i="28"/>
  <c r="J450" i="28"/>
  <c r="Y450" i="28" s="1"/>
  <c r="I450" i="28"/>
  <c r="K450" i="28" s="1"/>
  <c r="N450" i="28" s="1"/>
  <c r="R451" i="28"/>
  <c r="S451" i="28"/>
  <c r="F451" i="28"/>
  <c r="W451" i="28"/>
  <c r="Q451" i="28"/>
  <c r="AE451" i="28"/>
  <c r="AD451" i="28"/>
  <c r="J45" i="73" l="1"/>
  <c r="H311" i="19" s="1"/>
  <c r="J46" i="73"/>
  <c r="H346" i="19" s="1"/>
  <c r="I42" i="73"/>
  <c r="J28" i="73"/>
  <c r="H203" i="19" s="1"/>
  <c r="T452" i="28"/>
  <c r="E452" i="28"/>
  <c r="I47" i="73"/>
  <c r="I37" i="73"/>
  <c r="J33" i="73"/>
  <c r="J10" i="73"/>
  <c r="I12" i="73"/>
  <c r="J11" i="73"/>
  <c r="J20" i="73"/>
  <c r="I23" i="73"/>
  <c r="J30" i="73"/>
  <c r="I31" i="73"/>
  <c r="J26" i="73"/>
  <c r="I17" i="73"/>
  <c r="J15" i="73"/>
  <c r="J16" i="73"/>
  <c r="L452" i="28"/>
  <c r="O451" i="28"/>
  <c r="J451" i="28"/>
  <c r="Y451" i="28" s="1"/>
  <c r="I451" i="28"/>
  <c r="K451" i="28" s="1"/>
  <c r="N451" i="28" s="1"/>
  <c r="P450" i="28"/>
  <c r="U450" i="28"/>
  <c r="V450" i="28" s="1"/>
  <c r="X450" i="28" s="1"/>
  <c r="Z450" i="28"/>
  <c r="B453" i="28"/>
  <c r="AC454" i="28"/>
  <c r="W452" i="28"/>
  <c r="Q452" i="28"/>
  <c r="S452" i="28"/>
  <c r="F452" i="28"/>
  <c r="R452" i="28"/>
  <c r="AD452" i="28"/>
  <c r="AE452" i="28"/>
  <c r="H348" i="19" l="1"/>
  <c r="H356" i="19" s="1"/>
  <c r="J47" i="73"/>
  <c r="H205" i="19"/>
  <c r="H213" i="19" s="1"/>
  <c r="H313" i="19"/>
  <c r="H276" i="19"/>
  <c r="H278" i="19" s="1"/>
  <c r="H286" i="19" s="1"/>
  <c r="H240" i="19"/>
  <c r="H166" i="19"/>
  <c r="H168" i="19" s="1"/>
  <c r="H176" i="19" s="1"/>
  <c r="H94" i="19"/>
  <c r="E453" i="28"/>
  <c r="T453" i="28"/>
  <c r="O452" i="28"/>
  <c r="Z451" i="28"/>
  <c r="J31" i="73"/>
  <c r="J12" i="73"/>
  <c r="J17" i="73"/>
  <c r="H60" i="19" s="1"/>
  <c r="H62" i="19" s="1"/>
  <c r="L453" i="28"/>
  <c r="AC455" i="28"/>
  <c r="B454" i="28"/>
  <c r="R453" i="28"/>
  <c r="Q453" i="28"/>
  <c r="W453" i="28"/>
  <c r="F453" i="28"/>
  <c r="S453" i="28"/>
  <c r="J452" i="28"/>
  <c r="Y452" i="28" s="1"/>
  <c r="I452" i="28"/>
  <c r="K452" i="28" s="1"/>
  <c r="N452" i="28" s="1"/>
  <c r="AE453" i="28"/>
  <c r="AD453" i="28"/>
  <c r="P451" i="28"/>
  <c r="U451" i="28"/>
  <c r="V451" i="28" s="1"/>
  <c r="X451" i="28" s="1"/>
  <c r="H96" i="19" l="1"/>
  <c r="H104" i="19" s="1"/>
  <c r="H242" i="19"/>
  <c r="H250" i="19" s="1"/>
  <c r="H321" i="19"/>
  <c r="H27" i="19"/>
  <c r="H29" i="19" s="1"/>
  <c r="H37" i="19" s="1"/>
  <c r="E454" i="28"/>
  <c r="T454" i="28"/>
  <c r="Z452" i="28"/>
  <c r="L454" i="28"/>
  <c r="J453" i="28"/>
  <c r="Y453" i="28" s="1"/>
  <c r="I453" i="28"/>
  <c r="K453" i="28" s="1"/>
  <c r="N453" i="28" s="1"/>
  <c r="P452" i="28"/>
  <c r="U452" i="28"/>
  <c r="V452" i="28" s="1"/>
  <c r="X452" i="28" s="1"/>
  <c r="B455" i="28"/>
  <c r="AC456" i="28"/>
  <c r="O453" i="28"/>
  <c r="R454" i="28"/>
  <c r="S454" i="28"/>
  <c r="Q454" i="28"/>
  <c r="F454" i="28"/>
  <c r="W454" i="28"/>
  <c r="AE454" i="28"/>
  <c r="AD454" i="28"/>
  <c r="H70" i="19" l="1"/>
  <c r="T455" i="28"/>
  <c r="E455" i="28"/>
  <c r="L455" i="28"/>
  <c r="O454" i="28"/>
  <c r="Z453" i="28"/>
  <c r="AD455" i="28"/>
  <c r="AE455" i="28"/>
  <c r="J454" i="28"/>
  <c r="Y454" i="28" s="1"/>
  <c r="I454" i="28"/>
  <c r="K454" i="28" s="1"/>
  <c r="N454" i="28" s="1"/>
  <c r="AC457" i="28"/>
  <c r="B456" i="28"/>
  <c r="S455" i="28"/>
  <c r="F455" i="28"/>
  <c r="Q455" i="28"/>
  <c r="W455" i="28"/>
  <c r="R455" i="28"/>
  <c r="U453" i="28"/>
  <c r="V453" i="28" s="1"/>
  <c r="X453" i="28" s="1"/>
  <c r="P453" i="28"/>
  <c r="T456" i="28" l="1"/>
  <c r="E456" i="28"/>
  <c r="L456" i="28"/>
  <c r="O455" i="28"/>
  <c r="AE456" i="28"/>
  <c r="AD456" i="28"/>
  <c r="U454" i="28"/>
  <c r="V454" i="28" s="1"/>
  <c r="X454" i="28" s="1"/>
  <c r="P454" i="28"/>
  <c r="J455" i="28"/>
  <c r="Y455" i="28" s="1"/>
  <c r="I455" i="28"/>
  <c r="K455" i="28" s="1"/>
  <c r="N455" i="28" s="1"/>
  <c r="Q456" i="28"/>
  <c r="W456" i="28"/>
  <c r="S456" i="28"/>
  <c r="F456" i="28"/>
  <c r="R456" i="28"/>
  <c r="AC458" i="28"/>
  <c r="B457" i="28"/>
  <c r="Z454" i="28"/>
  <c r="L457" i="28" l="1"/>
  <c r="E457" i="28"/>
  <c r="T457" i="28"/>
  <c r="Z455" i="28"/>
  <c r="B458" i="28"/>
  <c r="AC459" i="28"/>
  <c r="R457" i="28"/>
  <c r="S457" i="28"/>
  <c r="F457" i="28"/>
  <c r="W457" i="28"/>
  <c r="Q457" i="28"/>
  <c r="AD457" i="28"/>
  <c r="AE457" i="28"/>
  <c r="O456" i="28"/>
  <c r="U455" i="28"/>
  <c r="V455" i="28" s="1"/>
  <c r="X455" i="28" s="1"/>
  <c r="P455" i="28"/>
  <c r="J456" i="28"/>
  <c r="Y456" i="28" s="1"/>
  <c r="I456" i="28"/>
  <c r="K456" i="28" s="1"/>
  <c r="N456" i="28" s="1"/>
  <c r="L458" i="28" l="1"/>
  <c r="E458" i="28"/>
  <c r="T458" i="28"/>
  <c r="P456" i="28"/>
  <c r="U456" i="28"/>
  <c r="V456" i="28" s="1"/>
  <c r="X456" i="28" s="1"/>
  <c r="Z456" i="28"/>
  <c r="J457" i="28"/>
  <c r="Y457" i="28" s="1"/>
  <c r="I457" i="28"/>
  <c r="K457" i="28" s="1"/>
  <c r="N457" i="28" s="1"/>
  <c r="AE458" i="28"/>
  <c r="AD458" i="28"/>
  <c r="O457" i="28"/>
  <c r="B459" i="28"/>
  <c r="AC460" i="28"/>
  <c r="Q458" i="28"/>
  <c r="R458" i="28"/>
  <c r="S458" i="28"/>
  <c r="F458" i="28"/>
  <c r="W458" i="28"/>
  <c r="T459" i="28" l="1"/>
  <c r="E459" i="28"/>
  <c r="L459" i="28"/>
  <c r="AC461" i="28"/>
  <c r="B460" i="28"/>
  <c r="AD459" i="28"/>
  <c r="AE459" i="28"/>
  <c r="J458" i="28"/>
  <c r="Y458" i="28" s="1"/>
  <c r="I458" i="28"/>
  <c r="K458" i="28" s="1"/>
  <c r="N458" i="28" s="1"/>
  <c r="U457" i="28"/>
  <c r="V457" i="28" s="1"/>
  <c r="X457" i="28" s="1"/>
  <c r="P457" i="28"/>
  <c r="O458" i="28"/>
  <c r="W459" i="28"/>
  <c r="F459" i="28"/>
  <c r="R459" i="28"/>
  <c r="S459" i="28"/>
  <c r="Q459" i="28"/>
  <c r="Z457" i="28"/>
  <c r="T460" i="28" l="1"/>
  <c r="E460" i="28"/>
  <c r="L460" i="28"/>
  <c r="J459" i="28"/>
  <c r="Y459" i="28" s="1"/>
  <c r="I459" i="28"/>
  <c r="K459" i="28" s="1"/>
  <c r="N459" i="28" s="1"/>
  <c r="AD460" i="28"/>
  <c r="AE460" i="28"/>
  <c r="O459" i="28"/>
  <c r="Z458" i="28"/>
  <c r="P458" i="28"/>
  <c r="U458" i="28"/>
  <c r="V458" i="28" s="1"/>
  <c r="X458" i="28" s="1"/>
  <c r="F460" i="28"/>
  <c r="W460" i="28"/>
  <c r="Q460" i="28"/>
  <c r="S460" i="28"/>
  <c r="R460" i="28"/>
  <c r="AC462" i="28"/>
  <c r="B461" i="28"/>
  <c r="E461" i="28" l="1"/>
  <c r="T461" i="28"/>
  <c r="L461" i="28"/>
  <c r="O460" i="28"/>
  <c r="R461" i="28"/>
  <c r="S461" i="28"/>
  <c r="F461" i="28"/>
  <c r="W461" i="28"/>
  <c r="Q461" i="28"/>
  <c r="AE461" i="28"/>
  <c r="AD461" i="28"/>
  <c r="Z459" i="28"/>
  <c r="J460" i="28"/>
  <c r="Y460" i="28" s="1"/>
  <c r="I460" i="28"/>
  <c r="K460" i="28" s="1"/>
  <c r="N460" i="28" s="1"/>
  <c r="B462" i="28"/>
  <c r="AC463" i="28"/>
  <c r="U459" i="28"/>
  <c r="V459" i="28" s="1"/>
  <c r="X459" i="28" s="1"/>
  <c r="P459" i="28"/>
  <c r="E462" i="28" l="1"/>
  <c r="T462" i="28"/>
  <c r="Z460" i="28"/>
  <c r="L462" i="28"/>
  <c r="O461" i="28"/>
  <c r="B463" i="28"/>
  <c r="AC464" i="28"/>
  <c r="R462" i="28"/>
  <c r="S462" i="28"/>
  <c r="Q462" i="28"/>
  <c r="F462" i="28"/>
  <c r="W462" i="28"/>
  <c r="I461" i="28"/>
  <c r="K461" i="28" s="1"/>
  <c r="N461" i="28" s="1"/>
  <c r="J461" i="28"/>
  <c r="Y461" i="28" s="1"/>
  <c r="AD462" i="28"/>
  <c r="AE462" i="28"/>
  <c r="U460" i="28"/>
  <c r="V460" i="28" s="1"/>
  <c r="X460" i="28" s="1"/>
  <c r="P460" i="28"/>
  <c r="T463" i="28" l="1"/>
  <c r="E463" i="28"/>
  <c r="L463" i="28"/>
  <c r="O462" i="28"/>
  <c r="J462" i="28"/>
  <c r="Y462" i="28" s="1"/>
  <c r="I462" i="28"/>
  <c r="K462" i="28" s="1"/>
  <c r="N462" i="28" s="1"/>
  <c r="U461" i="28"/>
  <c r="V461" i="28" s="1"/>
  <c r="X461" i="28" s="1"/>
  <c r="P461" i="28"/>
  <c r="AD463" i="28"/>
  <c r="AE463" i="28"/>
  <c r="B464" i="28"/>
  <c r="AC465" i="28"/>
  <c r="F463" i="28"/>
  <c r="W463" i="28"/>
  <c r="R463" i="28"/>
  <c r="Q463" i="28"/>
  <c r="S463" i="28"/>
  <c r="Z461" i="28"/>
  <c r="T464" i="28" l="1"/>
  <c r="E464" i="28"/>
  <c r="L464" i="28"/>
  <c r="Z462" i="28"/>
  <c r="O463" i="28"/>
  <c r="B465" i="28"/>
  <c r="AC466" i="28"/>
  <c r="R464" i="28"/>
  <c r="S464" i="28"/>
  <c r="F464" i="28"/>
  <c r="Q464" i="28"/>
  <c r="W464" i="28"/>
  <c r="AD464" i="28"/>
  <c r="AE464" i="28"/>
  <c r="J463" i="28"/>
  <c r="Y463" i="28" s="1"/>
  <c r="I463" i="28"/>
  <c r="K463" i="28" s="1"/>
  <c r="N463" i="28" s="1"/>
  <c r="U462" i="28"/>
  <c r="V462" i="28" s="1"/>
  <c r="X462" i="28" s="1"/>
  <c r="P462" i="28"/>
  <c r="L465" i="28" l="1"/>
  <c r="E465" i="28"/>
  <c r="T465" i="28"/>
  <c r="W465" i="28"/>
  <c r="F465" i="28"/>
  <c r="R465" i="28"/>
  <c r="S465" i="28"/>
  <c r="Q465" i="28"/>
  <c r="J464" i="28"/>
  <c r="Y464" i="28" s="1"/>
  <c r="I464" i="28"/>
  <c r="K464" i="28" s="1"/>
  <c r="N464" i="28" s="1"/>
  <c r="U463" i="28"/>
  <c r="V463" i="28" s="1"/>
  <c r="X463" i="28" s="1"/>
  <c r="P463" i="28"/>
  <c r="O464" i="28"/>
  <c r="AC467" i="28"/>
  <c r="B466" i="28"/>
  <c r="AE465" i="28"/>
  <c r="AD465" i="28"/>
  <c r="Z463" i="28"/>
  <c r="L466" i="28" l="1"/>
  <c r="E466" i="28"/>
  <c r="T466" i="28"/>
  <c r="AE466" i="28"/>
  <c r="AD466" i="28"/>
  <c r="Z464" i="28"/>
  <c r="J465" i="28"/>
  <c r="Y465" i="28" s="1"/>
  <c r="I465" i="28"/>
  <c r="K465" i="28" s="1"/>
  <c r="N465" i="28" s="1"/>
  <c r="Q466" i="28"/>
  <c r="F466" i="28"/>
  <c r="W466" i="28"/>
  <c r="R466" i="28"/>
  <c r="S466" i="28"/>
  <c r="AC468" i="28"/>
  <c r="B467" i="28"/>
  <c r="P464" i="28"/>
  <c r="U464" i="28"/>
  <c r="V464" i="28" s="1"/>
  <c r="X464" i="28" s="1"/>
  <c r="O465" i="28"/>
  <c r="T467" i="28" l="1"/>
  <c r="E467" i="28"/>
  <c r="L467" i="28"/>
  <c r="P465" i="28"/>
  <c r="U465" i="28"/>
  <c r="V465" i="28" s="1"/>
  <c r="X465" i="28" s="1"/>
  <c r="Z465" i="28"/>
  <c r="B468" i="28"/>
  <c r="AC469" i="28"/>
  <c r="R467" i="28"/>
  <c r="S467" i="28"/>
  <c r="Q467" i="28"/>
  <c r="F467" i="28"/>
  <c r="W467" i="28"/>
  <c r="AD467" i="28"/>
  <c r="AE467" i="28"/>
  <c r="O466" i="28"/>
  <c r="I466" i="28"/>
  <c r="K466" i="28" s="1"/>
  <c r="N466" i="28" s="1"/>
  <c r="J466" i="28"/>
  <c r="Y466" i="28" s="1"/>
  <c r="T468" i="28" l="1"/>
  <c r="E468" i="28"/>
  <c r="O467" i="28"/>
  <c r="L468" i="28"/>
  <c r="AE468" i="28"/>
  <c r="AD468" i="28"/>
  <c r="Z466" i="28"/>
  <c r="P466" i="28"/>
  <c r="U466" i="28"/>
  <c r="V466" i="28" s="1"/>
  <c r="X466" i="28" s="1"/>
  <c r="I467" i="28"/>
  <c r="K467" i="28" s="1"/>
  <c r="N467" i="28" s="1"/>
  <c r="J467" i="28"/>
  <c r="Y467" i="28" s="1"/>
  <c r="B469" i="28"/>
  <c r="AC470" i="28"/>
  <c r="R468" i="28"/>
  <c r="S468" i="28"/>
  <c r="F468" i="28"/>
  <c r="Q468" i="28"/>
  <c r="W468" i="28"/>
  <c r="E469" i="28" l="1"/>
  <c r="T469" i="28"/>
  <c r="Z467" i="28"/>
  <c r="L469" i="28"/>
  <c r="O468" i="28"/>
  <c r="B470" i="28"/>
  <c r="AC471" i="28"/>
  <c r="AE469" i="28"/>
  <c r="AD469" i="28"/>
  <c r="J468" i="28"/>
  <c r="Y468" i="28" s="1"/>
  <c r="I468" i="28"/>
  <c r="K468" i="28" s="1"/>
  <c r="N468" i="28" s="1"/>
  <c r="F469" i="28"/>
  <c r="R469" i="28"/>
  <c r="S469" i="28"/>
  <c r="Q469" i="28"/>
  <c r="W469" i="28"/>
  <c r="P467" i="28"/>
  <c r="U467" i="28"/>
  <c r="V467" i="28" s="1"/>
  <c r="X467" i="28" s="1"/>
  <c r="E470" i="28" l="1"/>
  <c r="T470" i="28"/>
  <c r="L470" i="28"/>
  <c r="Z468" i="28"/>
  <c r="O469" i="28"/>
  <c r="U468" i="28"/>
  <c r="V468" i="28" s="1"/>
  <c r="X468" i="28" s="1"/>
  <c r="P468" i="28"/>
  <c r="I469" i="28"/>
  <c r="K469" i="28" s="1"/>
  <c r="N469" i="28" s="1"/>
  <c r="J469" i="28"/>
  <c r="Y469" i="28" s="1"/>
  <c r="AC472" i="28"/>
  <c r="B471" i="28"/>
  <c r="AE470" i="28"/>
  <c r="AD470" i="28"/>
  <c r="F470" i="28"/>
  <c r="W470" i="28"/>
  <c r="Q470" i="28"/>
  <c r="R470" i="28"/>
  <c r="S470" i="28"/>
  <c r="T471" i="28" l="1"/>
  <c r="E471" i="28"/>
  <c r="L471" i="28"/>
  <c r="Z469" i="28"/>
  <c r="AC473" i="28"/>
  <c r="B472" i="28"/>
  <c r="O470" i="28"/>
  <c r="J470" i="28"/>
  <c r="Y470" i="28" s="1"/>
  <c r="I470" i="28"/>
  <c r="K470" i="28" s="1"/>
  <c r="N470" i="28" s="1"/>
  <c r="R471" i="28"/>
  <c r="S471" i="28"/>
  <c r="Q471" i="28"/>
  <c r="F471" i="28"/>
  <c r="W471" i="28"/>
  <c r="AD471" i="28"/>
  <c r="AE471" i="28"/>
  <c r="P469" i="28"/>
  <c r="U469" i="28"/>
  <c r="V469" i="28" s="1"/>
  <c r="X469" i="28" s="1"/>
  <c r="L472" i="28" l="1"/>
  <c r="T472" i="28"/>
  <c r="E472" i="28"/>
  <c r="O471" i="28"/>
  <c r="P470" i="28"/>
  <c r="U470" i="28"/>
  <c r="V470" i="28" s="1"/>
  <c r="X470" i="28" s="1"/>
  <c r="Z470" i="28"/>
  <c r="Q472" i="28"/>
  <c r="F472" i="28"/>
  <c r="W472" i="28"/>
  <c r="S472" i="28"/>
  <c r="R472" i="28"/>
  <c r="AE472" i="28"/>
  <c r="AD472" i="28"/>
  <c r="I471" i="28"/>
  <c r="K471" i="28" s="1"/>
  <c r="N471" i="28" s="1"/>
  <c r="J471" i="28"/>
  <c r="Y471" i="28" s="1"/>
  <c r="B473" i="28"/>
  <c r="AC474" i="28"/>
  <c r="L473" i="28" l="1"/>
  <c r="E473" i="28"/>
  <c r="T473" i="28"/>
  <c r="Z471" i="28"/>
  <c r="AD473" i="28"/>
  <c r="AE473" i="28"/>
  <c r="I472" i="28"/>
  <c r="K472" i="28" s="1"/>
  <c r="N472" i="28" s="1"/>
  <c r="J472" i="28"/>
  <c r="Y472" i="28" s="1"/>
  <c r="AC475" i="28"/>
  <c r="B474" i="28"/>
  <c r="S473" i="28"/>
  <c r="F473" i="28"/>
  <c r="W473" i="28"/>
  <c r="Q473" i="28"/>
  <c r="R473" i="28"/>
  <c r="P471" i="28"/>
  <c r="U471" i="28"/>
  <c r="V471" i="28" s="1"/>
  <c r="X471" i="28" s="1"/>
  <c r="O472" i="28"/>
  <c r="E474" i="28" l="1"/>
  <c r="T474" i="28"/>
  <c r="L474" i="28"/>
  <c r="W474" i="28"/>
  <c r="R474" i="28"/>
  <c r="S474" i="28"/>
  <c r="F474" i="28"/>
  <c r="Q474" i="28"/>
  <c r="AD474" i="28"/>
  <c r="AE474" i="28"/>
  <c r="U472" i="28"/>
  <c r="V472" i="28" s="1"/>
  <c r="X472" i="28" s="1"/>
  <c r="P472" i="28"/>
  <c r="Z472" i="28"/>
  <c r="O473" i="28"/>
  <c r="B475" i="28"/>
  <c r="AC476" i="28"/>
  <c r="J473" i="28"/>
  <c r="Y473" i="28" s="1"/>
  <c r="I473" i="28"/>
  <c r="K473" i="28" s="1"/>
  <c r="N473" i="28" s="1"/>
  <c r="T475" i="28" l="1"/>
  <c r="E475" i="28"/>
  <c r="L475" i="28"/>
  <c r="O474" i="28"/>
  <c r="P473" i="28"/>
  <c r="U473" i="28"/>
  <c r="V473" i="28" s="1"/>
  <c r="X473" i="28" s="1"/>
  <c r="AE475" i="28"/>
  <c r="AD475" i="28"/>
  <c r="Z473" i="28"/>
  <c r="B476" i="28"/>
  <c r="AC477" i="28"/>
  <c r="W475" i="28"/>
  <c r="F475" i="28"/>
  <c r="S475" i="28"/>
  <c r="R475" i="28"/>
  <c r="Q475" i="28"/>
  <c r="J474" i="28"/>
  <c r="Y474" i="28" s="1"/>
  <c r="I474" i="28"/>
  <c r="K474" i="28" s="1"/>
  <c r="N474" i="28" s="1"/>
  <c r="L476" i="28" l="1"/>
  <c r="T476" i="28"/>
  <c r="E476" i="28"/>
  <c r="R476" i="28"/>
  <c r="Q476" i="28"/>
  <c r="W476" i="28"/>
  <c r="S476" i="28"/>
  <c r="F476" i="28"/>
  <c r="J475" i="28"/>
  <c r="Y475" i="28" s="1"/>
  <c r="I475" i="28"/>
  <c r="K475" i="28" s="1"/>
  <c r="N475" i="28" s="1"/>
  <c r="Z474" i="28"/>
  <c r="U474" i="28"/>
  <c r="V474" i="28" s="1"/>
  <c r="X474" i="28" s="1"/>
  <c r="P474" i="28"/>
  <c r="O475" i="28"/>
  <c r="B477" i="28"/>
  <c r="AC478" i="28"/>
  <c r="AE476" i="28"/>
  <c r="AD476" i="28"/>
  <c r="E477" i="28" l="1"/>
  <c r="T477" i="28"/>
  <c r="L477" i="28"/>
  <c r="W477" i="28"/>
  <c r="Q477" i="28"/>
  <c r="F477" i="28"/>
  <c r="S477" i="28"/>
  <c r="R477" i="28"/>
  <c r="Z475" i="28"/>
  <c r="O476" i="28"/>
  <c r="J476" i="28"/>
  <c r="Y476" i="28" s="1"/>
  <c r="I476" i="28"/>
  <c r="K476" i="28" s="1"/>
  <c r="N476" i="28" s="1"/>
  <c r="B478" i="28"/>
  <c r="AC479" i="28"/>
  <c r="AD477" i="28"/>
  <c r="AE477" i="28"/>
  <c r="U475" i="28"/>
  <c r="V475" i="28" s="1"/>
  <c r="X475" i="28" s="1"/>
  <c r="P475" i="28"/>
  <c r="E478" i="28" l="1"/>
  <c r="T478" i="28"/>
  <c r="L478" i="28"/>
  <c r="O477" i="28"/>
  <c r="J477" i="28"/>
  <c r="Y477" i="28" s="1"/>
  <c r="I477" i="28"/>
  <c r="K477" i="28" s="1"/>
  <c r="N477" i="28" s="1"/>
  <c r="AE478" i="28"/>
  <c r="AD478" i="28"/>
  <c r="U476" i="28"/>
  <c r="V476" i="28" s="1"/>
  <c r="X476" i="28" s="1"/>
  <c r="P476" i="28"/>
  <c r="B479" i="28"/>
  <c r="AC480" i="28"/>
  <c r="W478" i="28"/>
  <c r="R478" i="28"/>
  <c r="S478" i="28"/>
  <c r="F478" i="28"/>
  <c r="Q478" i="28"/>
  <c r="Z476" i="28"/>
  <c r="T479" i="28" l="1"/>
  <c r="E479" i="28"/>
  <c r="Z477" i="28"/>
  <c r="L479" i="28"/>
  <c r="AC481" i="28"/>
  <c r="B480" i="28"/>
  <c r="S479" i="28"/>
  <c r="Q479" i="28"/>
  <c r="F479" i="28"/>
  <c r="W479" i="28"/>
  <c r="R479" i="28"/>
  <c r="O478" i="28"/>
  <c r="AD479" i="28"/>
  <c r="AE479" i="28"/>
  <c r="J478" i="28"/>
  <c r="Y478" i="28" s="1"/>
  <c r="I478" i="28"/>
  <c r="K478" i="28" s="1"/>
  <c r="N478" i="28" s="1"/>
  <c r="U477" i="28"/>
  <c r="V477" i="28" s="1"/>
  <c r="X477" i="28" s="1"/>
  <c r="P477" i="28"/>
  <c r="L480" i="28" l="1"/>
  <c r="T480" i="28"/>
  <c r="E480" i="28"/>
  <c r="O479" i="28"/>
  <c r="I479" i="28"/>
  <c r="K479" i="28" s="1"/>
  <c r="N479" i="28" s="1"/>
  <c r="J479" i="28"/>
  <c r="Y479" i="28" s="1"/>
  <c r="Q480" i="28"/>
  <c r="F480" i="28"/>
  <c r="W480" i="28"/>
  <c r="R480" i="28"/>
  <c r="S480" i="28"/>
  <c r="B481" i="28"/>
  <c r="AC482" i="28"/>
  <c r="P478" i="28"/>
  <c r="U478" i="28"/>
  <c r="V478" i="28" s="1"/>
  <c r="X478" i="28" s="1"/>
  <c r="Z478" i="28"/>
  <c r="AE480" i="28"/>
  <c r="AD480" i="28"/>
  <c r="E481" i="28" l="1"/>
  <c r="T481" i="28"/>
  <c r="Z479" i="28"/>
  <c r="L481" i="28"/>
  <c r="O480" i="28"/>
  <c r="W481" i="28"/>
  <c r="Q481" i="28"/>
  <c r="F481" i="28"/>
  <c r="R481" i="28"/>
  <c r="S481" i="28"/>
  <c r="I480" i="28"/>
  <c r="K480" i="28" s="1"/>
  <c r="N480" i="28" s="1"/>
  <c r="J480" i="28"/>
  <c r="Y480" i="28" s="1"/>
  <c r="B482" i="28"/>
  <c r="AC483" i="28"/>
  <c r="AE481" i="28"/>
  <c r="AD481" i="28"/>
  <c r="U479" i="28"/>
  <c r="V479" i="28" s="1"/>
  <c r="X479" i="28" s="1"/>
  <c r="P479" i="28"/>
  <c r="E482" i="28" l="1"/>
  <c r="T482" i="28"/>
  <c r="L482" i="28"/>
  <c r="AE482" i="28"/>
  <c r="AD482" i="28"/>
  <c r="J481" i="28"/>
  <c r="Y481" i="28" s="1"/>
  <c r="I481" i="28"/>
  <c r="K481" i="28" s="1"/>
  <c r="N481" i="28" s="1"/>
  <c r="B483" i="28"/>
  <c r="AC484" i="28"/>
  <c r="S482" i="28"/>
  <c r="Q482" i="28"/>
  <c r="F482" i="28"/>
  <c r="W482" i="28"/>
  <c r="R482" i="28"/>
  <c r="P480" i="28"/>
  <c r="U480" i="28"/>
  <c r="V480" i="28" s="1"/>
  <c r="X480" i="28" s="1"/>
  <c r="O481" i="28"/>
  <c r="Z480" i="28"/>
  <c r="T483" i="28" l="1"/>
  <c r="E483" i="28"/>
  <c r="L483" i="28"/>
  <c r="B484" i="28"/>
  <c r="AC485" i="28"/>
  <c r="R483" i="28"/>
  <c r="S483" i="28"/>
  <c r="F483" i="28"/>
  <c r="Q483" i="28"/>
  <c r="W483" i="28"/>
  <c r="J482" i="28"/>
  <c r="Y482" i="28" s="1"/>
  <c r="I482" i="28"/>
  <c r="K482" i="28" s="1"/>
  <c r="N482" i="28" s="1"/>
  <c r="Z481" i="28"/>
  <c r="O482" i="28"/>
  <c r="AE483" i="28"/>
  <c r="AD483" i="28"/>
  <c r="P481" i="28"/>
  <c r="U481" i="28"/>
  <c r="V481" i="28" s="1"/>
  <c r="X481" i="28" s="1"/>
  <c r="E29" i="61"/>
  <c r="L484" i="28" l="1"/>
  <c r="T484" i="28"/>
  <c r="E484" i="28"/>
  <c r="Z482" i="28"/>
  <c r="P482" i="28"/>
  <c r="U482" i="28"/>
  <c r="V482" i="28" s="1"/>
  <c r="X482" i="28" s="1"/>
  <c r="O483" i="28"/>
  <c r="AD484" i="28"/>
  <c r="AE484" i="28"/>
  <c r="J483" i="28"/>
  <c r="Y483" i="28" s="1"/>
  <c r="I483" i="28"/>
  <c r="K483" i="28" s="1"/>
  <c r="N483" i="28" s="1"/>
  <c r="B485" i="28"/>
  <c r="AC486" i="28"/>
  <c r="S484" i="28"/>
  <c r="Q484" i="28"/>
  <c r="F484" i="28"/>
  <c r="W484" i="28"/>
  <c r="R484" i="28"/>
  <c r="G65" i="61"/>
  <c r="G5" i="61"/>
  <c r="G64" i="61"/>
  <c r="G11" i="61"/>
  <c r="G10" i="61"/>
  <c r="D12" i="61"/>
  <c r="G6" i="61"/>
  <c r="G29" i="61"/>
  <c r="G50" i="61"/>
  <c r="G43" i="61"/>
  <c r="G28" i="61"/>
  <c r="E31" i="61"/>
  <c r="G49" i="61"/>
  <c r="E52" i="61"/>
  <c r="G42" i="61"/>
  <c r="E45" i="61"/>
  <c r="G30" i="61"/>
  <c r="G51" i="61"/>
  <c r="G44" i="61"/>
  <c r="G7" i="61" l="1"/>
  <c r="E485" i="28"/>
  <c r="T485" i="28"/>
  <c r="L485" i="28"/>
  <c r="O484" i="28"/>
  <c r="AD485" i="28"/>
  <c r="AE485" i="28"/>
  <c r="Z483" i="28"/>
  <c r="B486" i="28"/>
  <c r="AC487" i="28"/>
  <c r="S485" i="28"/>
  <c r="R485" i="28"/>
  <c r="Q485" i="28"/>
  <c r="F485" i="28"/>
  <c r="W485" i="28"/>
  <c r="U483" i="28"/>
  <c r="V483" i="28" s="1"/>
  <c r="X483" i="28" s="1"/>
  <c r="P483" i="28"/>
  <c r="J484" i="28"/>
  <c r="Y484" i="28" s="1"/>
  <c r="I484" i="28"/>
  <c r="K484" i="28" s="1"/>
  <c r="N484" i="28" s="1"/>
  <c r="AR462" i="4"/>
  <c r="G23" i="61"/>
  <c r="E58" i="61"/>
  <c r="G56" i="61"/>
  <c r="G57" i="61"/>
  <c r="AP462" i="4"/>
  <c r="E462" i="4"/>
  <c r="L462" i="4"/>
  <c r="G36" i="61"/>
  <c r="AF462" i="4"/>
  <c r="I462" i="4"/>
  <c r="G462" i="4"/>
  <c r="AO462" i="4"/>
  <c r="AB462" i="4"/>
  <c r="AC462" i="4"/>
  <c r="G17" i="61"/>
  <c r="E19" i="61"/>
  <c r="G22" i="61"/>
  <c r="E24" i="61"/>
  <c r="M462" i="4"/>
  <c r="J462" i="4"/>
  <c r="N462" i="4"/>
  <c r="G18" i="61"/>
  <c r="G37" i="61"/>
  <c r="H462" i="4"/>
  <c r="AQ462" i="4"/>
  <c r="G45" i="61"/>
  <c r="G52" i="61"/>
  <c r="G31" i="61"/>
  <c r="G12" i="61"/>
  <c r="E486" i="28" l="1"/>
  <c r="T486" i="28"/>
  <c r="L486" i="28"/>
  <c r="O485" i="28"/>
  <c r="B487" i="28"/>
  <c r="AC488" i="28"/>
  <c r="W486" i="28"/>
  <c r="R486" i="28"/>
  <c r="S486" i="28"/>
  <c r="F486" i="28"/>
  <c r="Q486" i="28"/>
  <c r="Z484" i="28"/>
  <c r="U484" i="28"/>
  <c r="V484" i="28" s="1"/>
  <c r="X484" i="28" s="1"/>
  <c r="P484" i="28"/>
  <c r="AE486" i="28"/>
  <c r="AD486" i="28"/>
  <c r="J485" i="28"/>
  <c r="Y485" i="28" s="1"/>
  <c r="I485" i="28"/>
  <c r="K485" i="28" s="1"/>
  <c r="N485" i="28" s="1"/>
  <c r="G38" i="61"/>
  <c r="AO491" i="4"/>
  <c r="G24" i="61"/>
  <c r="G19" i="61"/>
  <c r="Z462" i="4"/>
  <c r="AG462" i="4"/>
  <c r="AA462" i="4"/>
  <c r="G58" i="61"/>
  <c r="T487" i="28" l="1"/>
  <c r="E487" i="28"/>
  <c r="L487" i="28"/>
  <c r="Z485" i="28"/>
  <c r="J486" i="28"/>
  <c r="Y486" i="28" s="1"/>
  <c r="I486" i="28"/>
  <c r="K486" i="28" s="1"/>
  <c r="N486" i="28" s="1"/>
  <c r="P485" i="28"/>
  <c r="U485" i="28"/>
  <c r="V485" i="28" s="1"/>
  <c r="X485" i="28" s="1"/>
  <c r="O486" i="28"/>
  <c r="AE487" i="28"/>
  <c r="AD487" i="28"/>
  <c r="AC489" i="28"/>
  <c r="B488" i="28"/>
  <c r="Q487" i="28"/>
  <c r="W487" i="28"/>
  <c r="F487" i="28"/>
  <c r="S487" i="28"/>
  <c r="R487" i="28"/>
  <c r="AD462" i="4"/>
  <c r="AL462" i="4"/>
  <c r="L488" i="28" l="1"/>
  <c r="T488" i="28"/>
  <c r="E488" i="28"/>
  <c r="O487" i="28"/>
  <c r="AD488" i="28"/>
  <c r="AE488" i="28"/>
  <c r="P486" i="28"/>
  <c r="U486" i="28"/>
  <c r="V486" i="28" s="1"/>
  <c r="X486" i="28" s="1"/>
  <c r="W488" i="28"/>
  <c r="Q488" i="28"/>
  <c r="R488" i="28"/>
  <c r="S488" i="28"/>
  <c r="F488" i="28"/>
  <c r="B489" i="28"/>
  <c r="AC490" i="28"/>
  <c r="I487" i="28"/>
  <c r="K487" i="28" s="1"/>
  <c r="N487" i="28" s="1"/>
  <c r="J487" i="28"/>
  <c r="Y487" i="28" s="1"/>
  <c r="Z486" i="28"/>
  <c r="AH462" i="4"/>
  <c r="L489" i="28" l="1"/>
  <c r="E489" i="28"/>
  <c r="T489" i="28"/>
  <c r="O488" i="28"/>
  <c r="Z487" i="28"/>
  <c r="P487" i="28"/>
  <c r="U487" i="28"/>
  <c r="V487" i="28" s="1"/>
  <c r="X487" i="28" s="1"/>
  <c r="W489" i="28"/>
  <c r="R489" i="28"/>
  <c r="S489" i="28"/>
  <c r="Q489" i="28"/>
  <c r="F489" i="28"/>
  <c r="B490" i="28"/>
  <c r="AC491" i="28"/>
  <c r="AE489" i="28"/>
  <c r="AD489" i="28"/>
  <c r="I488" i="28"/>
  <c r="K488" i="28" s="1"/>
  <c r="N488" i="28" s="1"/>
  <c r="J488" i="28"/>
  <c r="Y488" i="28" s="1"/>
  <c r="L490" i="28" l="1"/>
  <c r="E490" i="28"/>
  <c r="T490" i="28"/>
  <c r="Z488" i="28"/>
  <c r="U488" i="28"/>
  <c r="V488" i="28" s="1"/>
  <c r="X488" i="28" s="1"/>
  <c r="P488" i="28"/>
  <c r="I489" i="28"/>
  <c r="K489" i="28" s="1"/>
  <c r="N489" i="28" s="1"/>
  <c r="J489" i="28"/>
  <c r="Y489" i="28" s="1"/>
  <c r="B491" i="28"/>
  <c r="AC492" i="28"/>
  <c r="AE490" i="28"/>
  <c r="AD490" i="28"/>
  <c r="R490" i="28"/>
  <c r="S490" i="28"/>
  <c r="Q490" i="28"/>
  <c r="F490" i="28"/>
  <c r="W490" i="28"/>
  <c r="O489" i="28"/>
  <c r="L491" i="28" l="1"/>
  <c r="T491" i="28"/>
  <c r="E491" i="28"/>
  <c r="O490" i="28"/>
  <c r="AD491" i="28"/>
  <c r="AE491" i="28"/>
  <c r="Z489" i="28"/>
  <c r="I490" i="28"/>
  <c r="K490" i="28" s="1"/>
  <c r="N490" i="28" s="1"/>
  <c r="J490" i="28"/>
  <c r="Y490" i="28" s="1"/>
  <c r="B492" i="28"/>
  <c r="AC493" i="28"/>
  <c r="F491" i="28"/>
  <c r="R491" i="28"/>
  <c r="S491" i="28"/>
  <c r="Q491" i="28"/>
  <c r="W491" i="28"/>
  <c r="P489" i="28"/>
  <c r="U489" i="28"/>
  <c r="V489" i="28" s="1"/>
  <c r="X489" i="28" s="1"/>
  <c r="L492" i="28" l="1"/>
  <c r="T492" i="28"/>
  <c r="E492" i="28"/>
  <c r="Z490" i="28"/>
  <c r="O491" i="28"/>
  <c r="B493" i="28"/>
  <c r="AC494" i="28"/>
  <c r="F492" i="28"/>
  <c r="W492" i="28"/>
  <c r="Q492" i="28"/>
  <c r="S492" i="28"/>
  <c r="R492" i="28"/>
  <c r="P490" i="28"/>
  <c r="U490" i="28"/>
  <c r="V490" i="28" s="1"/>
  <c r="X490" i="28" s="1"/>
  <c r="AD492" i="28"/>
  <c r="AE492" i="28"/>
  <c r="I491" i="28"/>
  <c r="K491" i="28" s="1"/>
  <c r="N491" i="28" s="1"/>
  <c r="J491" i="28"/>
  <c r="Y491" i="28" s="1"/>
  <c r="L493" i="28" l="1"/>
  <c r="E493" i="28"/>
  <c r="T493" i="28"/>
  <c r="Z491" i="28"/>
  <c r="O492" i="28"/>
  <c r="AC495" i="28"/>
  <c r="B494" i="28"/>
  <c r="W493" i="28"/>
  <c r="R493" i="28"/>
  <c r="S493" i="28"/>
  <c r="F493" i="28"/>
  <c r="Q493" i="28"/>
  <c r="U491" i="28"/>
  <c r="V491" i="28" s="1"/>
  <c r="X491" i="28" s="1"/>
  <c r="P491" i="28"/>
  <c r="J492" i="28"/>
  <c r="Y492" i="28" s="1"/>
  <c r="I492" i="28"/>
  <c r="K492" i="28" s="1"/>
  <c r="N492" i="28" s="1"/>
  <c r="AE493" i="28"/>
  <c r="AD493" i="28"/>
  <c r="E494" i="28" l="1"/>
  <c r="T494" i="28"/>
  <c r="L494" i="28"/>
  <c r="P492" i="28"/>
  <c r="U492" i="28"/>
  <c r="V492" i="28" s="1"/>
  <c r="X492" i="28" s="1"/>
  <c r="I493" i="28"/>
  <c r="K493" i="28" s="1"/>
  <c r="N493" i="28" s="1"/>
  <c r="J493" i="28"/>
  <c r="Y493" i="28" s="1"/>
  <c r="R494" i="28"/>
  <c r="S494" i="28"/>
  <c r="Q494" i="28"/>
  <c r="F494" i="28"/>
  <c r="W494" i="28"/>
  <c r="B495" i="28"/>
  <c r="AC496" i="28"/>
  <c r="Z492" i="28"/>
  <c r="O493" i="28"/>
  <c r="AD494" i="28"/>
  <c r="AE494" i="28"/>
  <c r="T495" i="28" l="1"/>
  <c r="E495" i="28"/>
  <c r="L495" i="28"/>
  <c r="O494" i="28"/>
  <c r="J494" i="28"/>
  <c r="Y494" i="28" s="1"/>
  <c r="I494" i="28"/>
  <c r="K494" i="28" s="1"/>
  <c r="N494" i="28" s="1"/>
  <c r="Q495" i="28"/>
  <c r="W495" i="28"/>
  <c r="F495" i="28"/>
  <c r="R495" i="28"/>
  <c r="S495" i="28"/>
  <c r="Z493" i="28"/>
  <c r="AC497" i="28"/>
  <c r="B496" i="28"/>
  <c r="AD495" i="28"/>
  <c r="AE495" i="28"/>
  <c r="U493" i="28"/>
  <c r="V493" i="28" s="1"/>
  <c r="X493" i="28" s="1"/>
  <c r="P493" i="28"/>
  <c r="T496" i="28" l="1"/>
  <c r="E496" i="28"/>
  <c r="L496" i="28"/>
  <c r="Z494" i="28"/>
  <c r="O495" i="28"/>
  <c r="P494" i="28"/>
  <c r="U494" i="28"/>
  <c r="V494" i="28" s="1"/>
  <c r="X494" i="28" s="1"/>
  <c r="R496" i="28"/>
  <c r="S496" i="28"/>
  <c r="Q496" i="28"/>
  <c r="F496" i="28"/>
  <c r="W496" i="28"/>
  <c r="AD496" i="28"/>
  <c r="AE496" i="28"/>
  <c r="I495" i="28"/>
  <c r="K495" i="28" s="1"/>
  <c r="N495" i="28" s="1"/>
  <c r="J495" i="28"/>
  <c r="Y495" i="28" s="1"/>
  <c r="AC498" i="28"/>
  <c r="B497" i="28"/>
  <c r="L497" i="28" l="1"/>
  <c r="E497" i="28"/>
  <c r="T497" i="28"/>
  <c r="O496" i="28"/>
  <c r="Z495" i="28"/>
  <c r="AD497" i="28"/>
  <c r="AE497" i="28"/>
  <c r="Q497" i="28"/>
  <c r="F497" i="28"/>
  <c r="R497" i="28"/>
  <c r="S497" i="28"/>
  <c r="W497" i="28"/>
  <c r="AC499" i="28"/>
  <c r="B498" i="28"/>
  <c r="U495" i="28"/>
  <c r="V495" i="28" s="1"/>
  <c r="X495" i="28" s="1"/>
  <c r="P495" i="28"/>
  <c r="I496" i="28"/>
  <c r="K496" i="28" s="1"/>
  <c r="N496" i="28" s="1"/>
  <c r="J496" i="28"/>
  <c r="Y496" i="28" s="1"/>
  <c r="E498" i="28" l="1"/>
  <c r="T498" i="28"/>
  <c r="Z496" i="28"/>
  <c r="L498" i="28"/>
  <c r="O497" i="28"/>
  <c r="I497" i="28"/>
  <c r="K497" i="28" s="1"/>
  <c r="N497" i="28" s="1"/>
  <c r="J497" i="28"/>
  <c r="Y497" i="28" s="1"/>
  <c r="B499" i="28"/>
  <c r="AC500" i="28"/>
  <c r="U496" i="28"/>
  <c r="V496" i="28" s="1"/>
  <c r="X496" i="28" s="1"/>
  <c r="P496" i="28"/>
  <c r="Q498" i="28"/>
  <c r="W498" i="28"/>
  <c r="R498" i="28"/>
  <c r="S498" i="28"/>
  <c r="F498" i="28"/>
  <c r="AE498" i="28"/>
  <c r="AD498" i="28"/>
  <c r="T499" i="28" l="1"/>
  <c r="E499" i="28"/>
  <c r="L499" i="28"/>
  <c r="Z497" i="28"/>
  <c r="I498" i="28"/>
  <c r="K498" i="28" s="1"/>
  <c r="N498" i="28" s="1"/>
  <c r="J498" i="28"/>
  <c r="Y498" i="28" s="1"/>
  <c r="AD499" i="28"/>
  <c r="AE499" i="28"/>
  <c r="U497" i="28"/>
  <c r="V497" i="28" s="1"/>
  <c r="X497" i="28" s="1"/>
  <c r="P497" i="28"/>
  <c r="O498" i="28"/>
  <c r="B500" i="28"/>
  <c r="AC501" i="28"/>
  <c r="S499" i="28"/>
  <c r="W499" i="28"/>
  <c r="F499" i="28"/>
  <c r="Q499" i="28"/>
  <c r="R499" i="28"/>
  <c r="L500" i="28" l="1"/>
  <c r="T500" i="28"/>
  <c r="E500" i="28"/>
  <c r="O499" i="28"/>
  <c r="AC502" i="28"/>
  <c r="B501" i="28"/>
  <c r="F500" i="28"/>
  <c r="S500" i="28"/>
  <c r="R500" i="28"/>
  <c r="Q500" i="28"/>
  <c r="W500" i="28"/>
  <c r="Z498" i="28"/>
  <c r="I499" i="28"/>
  <c r="K499" i="28" s="1"/>
  <c r="N499" i="28" s="1"/>
  <c r="J499" i="28"/>
  <c r="Y499" i="28" s="1"/>
  <c r="U498" i="28"/>
  <c r="V498" i="28" s="1"/>
  <c r="X498" i="28" s="1"/>
  <c r="P498" i="28"/>
  <c r="AE500" i="28"/>
  <c r="AD500" i="28"/>
  <c r="E501" i="28" l="1"/>
  <c r="T501" i="28"/>
  <c r="L501" i="28"/>
  <c r="J500" i="28"/>
  <c r="Y500" i="28" s="1"/>
  <c r="I500" i="28"/>
  <c r="K500" i="28" s="1"/>
  <c r="N500" i="28" s="1"/>
  <c r="U499" i="28"/>
  <c r="V499" i="28" s="1"/>
  <c r="X499" i="28" s="1"/>
  <c r="P499" i="28"/>
  <c r="AD501" i="28"/>
  <c r="AE501" i="28"/>
  <c r="Z499" i="28"/>
  <c r="O500" i="28"/>
  <c r="S501" i="28"/>
  <c r="F501" i="28"/>
  <c r="R501" i="28"/>
  <c r="Q501" i="28"/>
  <c r="W501" i="28"/>
  <c r="B502" i="28"/>
  <c r="AC503" i="28"/>
  <c r="E502" i="28" l="1"/>
  <c r="T502" i="28"/>
  <c r="L502" i="28"/>
  <c r="O501" i="28"/>
  <c r="AC504" i="28"/>
  <c r="B503" i="28"/>
  <c r="W502" i="28"/>
  <c r="Q502" i="28"/>
  <c r="F502" i="28"/>
  <c r="S502" i="28"/>
  <c r="R502" i="28"/>
  <c r="AD502" i="28"/>
  <c r="AE502" i="28"/>
  <c r="Z500" i="28"/>
  <c r="I501" i="28"/>
  <c r="K501" i="28" s="1"/>
  <c r="N501" i="28" s="1"/>
  <c r="J501" i="28"/>
  <c r="Y501" i="28" s="1"/>
  <c r="U500" i="28"/>
  <c r="V500" i="28" s="1"/>
  <c r="X500" i="28" s="1"/>
  <c r="P500" i="28"/>
  <c r="T503" i="28" l="1"/>
  <c r="E503" i="28"/>
  <c r="O502" i="28"/>
  <c r="L503" i="28"/>
  <c r="Z501" i="28"/>
  <c r="U501" i="28"/>
  <c r="V501" i="28" s="1"/>
  <c r="X501" i="28" s="1"/>
  <c r="P501" i="28"/>
  <c r="Q503" i="28"/>
  <c r="F503" i="28"/>
  <c r="S503" i="28"/>
  <c r="R503" i="28"/>
  <c r="W503" i="28"/>
  <c r="B504" i="28"/>
  <c r="AC505" i="28"/>
  <c r="J502" i="28"/>
  <c r="Y502" i="28" s="1"/>
  <c r="I502" i="28"/>
  <c r="K502" i="28" s="1"/>
  <c r="N502" i="28" s="1"/>
  <c r="AD503" i="28"/>
  <c r="AE503" i="28"/>
  <c r="Z502" i="28" l="1"/>
  <c r="T504" i="28"/>
  <c r="E504" i="28"/>
  <c r="L504" i="28"/>
  <c r="O503" i="28"/>
  <c r="J503" i="28"/>
  <c r="Y503" i="28" s="1"/>
  <c r="I503" i="28"/>
  <c r="K503" i="28" s="1"/>
  <c r="N503" i="28" s="1"/>
  <c r="AD504" i="28"/>
  <c r="AE504" i="28"/>
  <c r="P502" i="28"/>
  <c r="U502" i="28"/>
  <c r="V502" i="28" s="1"/>
  <c r="X502" i="28" s="1"/>
  <c r="B505" i="28"/>
  <c r="AC506" i="28"/>
  <c r="Q504" i="28"/>
  <c r="F504" i="28"/>
  <c r="W504" i="28"/>
  <c r="R504" i="28"/>
  <c r="S504" i="28"/>
  <c r="E505" i="28" l="1"/>
  <c r="T505" i="28"/>
  <c r="L505" i="28"/>
  <c r="Z503" i="28"/>
  <c r="W505" i="28"/>
  <c r="F505" i="28"/>
  <c r="S505" i="28"/>
  <c r="R505" i="28"/>
  <c r="Q505" i="28"/>
  <c r="J504" i="28"/>
  <c r="Y504" i="28" s="1"/>
  <c r="I504" i="28"/>
  <c r="K504" i="28" s="1"/>
  <c r="N504" i="28" s="1"/>
  <c r="O504" i="28"/>
  <c r="AC507" i="28"/>
  <c r="B506" i="28"/>
  <c r="AD505" i="28"/>
  <c r="AE505" i="28"/>
  <c r="U503" i="28"/>
  <c r="V503" i="28" s="1"/>
  <c r="X503" i="28" s="1"/>
  <c r="P503" i="28"/>
  <c r="E506" i="28" l="1"/>
  <c r="T506" i="28"/>
  <c r="L506" i="28"/>
  <c r="I505" i="28"/>
  <c r="K505" i="28" s="1"/>
  <c r="N505" i="28" s="1"/>
  <c r="J505" i="28"/>
  <c r="Y505" i="28" s="1"/>
  <c r="AE506" i="28"/>
  <c r="AD506" i="28"/>
  <c r="P504" i="28"/>
  <c r="U504" i="28"/>
  <c r="V504" i="28" s="1"/>
  <c r="X504" i="28" s="1"/>
  <c r="O505" i="28"/>
  <c r="Q506" i="28"/>
  <c r="F506" i="28"/>
  <c r="W506" i="28"/>
  <c r="S506" i="28"/>
  <c r="R506" i="28"/>
  <c r="B507" i="28"/>
  <c r="AC508" i="28"/>
  <c r="Z504" i="28"/>
  <c r="T507" i="28" l="1"/>
  <c r="E507" i="28"/>
  <c r="L507" i="28"/>
  <c r="W507" i="28"/>
  <c r="Q507" i="28"/>
  <c r="R507" i="28"/>
  <c r="S507" i="28"/>
  <c r="F507" i="28"/>
  <c r="B508" i="28"/>
  <c r="AC509" i="28"/>
  <c r="AD507" i="28"/>
  <c r="AE507" i="28"/>
  <c r="O506" i="28"/>
  <c r="I506" i="28"/>
  <c r="K506" i="28" s="1"/>
  <c r="N506" i="28" s="1"/>
  <c r="J506" i="28"/>
  <c r="Y506" i="28" s="1"/>
  <c r="Z505" i="28"/>
  <c r="U505" i="28"/>
  <c r="V505" i="28" s="1"/>
  <c r="X505" i="28" s="1"/>
  <c r="P505" i="28"/>
  <c r="T508" i="28" l="1"/>
  <c r="E508" i="28"/>
  <c r="L508" i="28"/>
  <c r="O507" i="28"/>
  <c r="U506" i="28"/>
  <c r="V506" i="28" s="1"/>
  <c r="X506" i="28" s="1"/>
  <c r="P506" i="28"/>
  <c r="Z506" i="28"/>
  <c r="I507" i="28"/>
  <c r="K507" i="28" s="1"/>
  <c r="N507" i="28" s="1"/>
  <c r="J507" i="28"/>
  <c r="Y507" i="28" s="1"/>
  <c r="AE508" i="28"/>
  <c r="AD508" i="28"/>
  <c r="B509" i="28"/>
  <c r="AC510" i="28"/>
  <c r="F508" i="28"/>
  <c r="W508" i="28"/>
  <c r="Q508" i="28"/>
  <c r="S508" i="28"/>
  <c r="R508" i="28"/>
  <c r="E509" i="28" l="1"/>
  <c r="T509" i="28"/>
  <c r="L509" i="28"/>
  <c r="O508" i="28"/>
  <c r="Z507" i="28"/>
  <c r="AC511" i="28"/>
  <c r="B510" i="28"/>
  <c r="R509" i="28"/>
  <c r="S509" i="28"/>
  <c r="F509" i="28"/>
  <c r="Q509" i="28"/>
  <c r="W509" i="28"/>
  <c r="I508" i="28"/>
  <c r="K508" i="28" s="1"/>
  <c r="N508" i="28" s="1"/>
  <c r="J508" i="28"/>
  <c r="Y508" i="28" s="1"/>
  <c r="AD509" i="28"/>
  <c r="AE509" i="28"/>
  <c r="P507" i="28"/>
  <c r="U507" i="28"/>
  <c r="V507" i="28" s="1"/>
  <c r="X507" i="28" s="1"/>
  <c r="E510" i="28" l="1"/>
  <c r="T510" i="28"/>
  <c r="Z508" i="28"/>
  <c r="L510" i="28"/>
  <c r="R510" i="28"/>
  <c r="Q510" i="28"/>
  <c r="W510" i="28"/>
  <c r="F510" i="28"/>
  <c r="S510" i="28"/>
  <c r="B511" i="28"/>
  <c r="AC512" i="28"/>
  <c r="I509" i="28"/>
  <c r="K509" i="28" s="1"/>
  <c r="N509" i="28" s="1"/>
  <c r="J509" i="28"/>
  <c r="Y509" i="28" s="1"/>
  <c r="P508" i="28"/>
  <c r="U508" i="28"/>
  <c r="V508" i="28" s="1"/>
  <c r="X508" i="28" s="1"/>
  <c r="O509" i="28"/>
  <c r="AE510" i="28"/>
  <c r="AD510" i="28"/>
  <c r="T511" i="28" l="1"/>
  <c r="E511" i="28"/>
  <c r="L511" i="28"/>
  <c r="O510" i="28"/>
  <c r="U509" i="28"/>
  <c r="V509" i="28" s="1"/>
  <c r="X509" i="28" s="1"/>
  <c r="P509" i="28"/>
  <c r="F511" i="28"/>
  <c r="W511" i="28"/>
  <c r="R511" i="28"/>
  <c r="S511" i="28"/>
  <c r="Q511" i="28"/>
  <c r="I510" i="28"/>
  <c r="K510" i="28" s="1"/>
  <c r="N510" i="28" s="1"/>
  <c r="J510" i="28"/>
  <c r="Y510" i="28" s="1"/>
  <c r="Z509" i="28"/>
  <c r="AC513" i="28"/>
  <c r="B512" i="28"/>
  <c r="AE511" i="28"/>
  <c r="AD511" i="28"/>
  <c r="L512" i="28" l="1"/>
  <c r="T512" i="28"/>
  <c r="E512" i="28"/>
  <c r="AD512" i="28"/>
  <c r="AE512" i="28"/>
  <c r="J511" i="28"/>
  <c r="Y511" i="28" s="1"/>
  <c r="I511" i="28"/>
  <c r="K511" i="28" s="1"/>
  <c r="N511" i="28" s="1"/>
  <c r="R512" i="28"/>
  <c r="S512" i="28"/>
  <c r="F512" i="28"/>
  <c r="Q512" i="28"/>
  <c r="W512" i="28"/>
  <c r="B513" i="28"/>
  <c r="AC514" i="28"/>
  <c r="U510" i="28"/>
  <c r="V510" i="28" s="1"/>
  <c r="X510" i="28" s="1"/>
  <c r="P510" i="28"/>
  <c r="Z510" i="28"/>
  <c r="O511" i="28"/>
  <c r="E513" i="28" l="1"/>
  <c r="T513" i="28"/>
  <c r="O512" i="28"/>
  <c r="L513" i="28"/>
  <c r="Z511" i="28"/>
  <c r="R513" i="28"/>
  <c r="S513" i="28"/>
  <c r="Q513" i="28"/>
  <c r="F513" i="28"/>
  <c r="W513" i="28"/>
  <c r="B514" i="28"/>
  <c r="AC515" i="28"/>
  <c r="AE513" i="28"/>
  <c r="AD513" i="28"/>
  <c r="U511" i="28"/>
  <c r="V511" i="28" s="1"/>
  <c r="X511" i="28" s="1"/>
  <c r="P511" i="28"/>
  <c r="I512" i="28"/>
  <c r="K512" i="28" s="1"/>
  <c r="N512" i="28" s="1"/>
  <c r="J512" i="28"/>
  <c r="Y512" i="28" s="1"/>
  <c r="E514" i="28" l="1"/>
  <c r="T514" i="28"/>
  <c r="Z512" i="28"/>
  <c r="L514" i="28"/>
  <c r="O513" i="28"/>
  <c r="I513" i="28"/>
  <c r="K513" i="28" s="1"/>
  <c r="N513" i="28" s="1"/>
  <c r="J513" i="28"/>
  <c r="Y513" i="28" s="1"/>
  <c r="B515" i="28"/>
  <c r="AC516" i="28"/>
  <c r="AE514" i="28"/>
  <c r="AD514" i="28"/>
  <c r="P512" i="28"/>
  <c r="U512" i="28"/>
  <c r="V512" i="28" s="1"/>
  <c r="X512" i="28" s="1"/>
  <c r="Q514" i="28"/>
  <c r="S514" i="28"/>
  <c r="R514" i="28"/>
  <c r="F514" i="28"/>
  <c r="W514" i="28"/>
  <c r="L515" i="28" l="1"/>
  <c r="T515" i="28"/>
  <c r="E515" i="28"/>
  <c r="Z513" i="28"/>
  <c r="O514" i="28"/>
  <c r="I514" i="28"/>
  <c r="K514" i="28" s="1"/>
  <c r="N514" i="28" s="1"/>
  <c r="J514" i="28"/>
  <c r="Y514" i="28" s="1"/>
  <c r="B516" i="28"/>
  <c r="AC517" i="28"/>
  <c r="AE515" i="28"/>
  <c r="AD515" i="28"/>
  <c r="U513" i="28"/>
  <c r="V513" i="28" s="1"/>
  <c r="X513" i="28" s="1"/>
  <c r="P513" i="28"/>
  <c r="W515" i="28"/>
  <c r="F515" i="28"/>
  <c r="S515" i="28"/>
  <c r="R515" i="28"/>
  <c r="Q515" i="28"/>
  <c r="L516" i="28" l="1"/>
  <c r="T516" i="28"/>
  <c r="E516" i="28"/>
  <c r="Z514" i="28"/>
  <c r="I515" i="28"/>
  <c r="K515" i="28" s="1"/>
  <c r="N515" i="28" s="1"/>
  <c r="J515" i="28"/>
  <c r="Y515" i="28" s="1"/>
  <c r="B517" i="28"/>
  <c r="AC518" i="28"/>
  <c r="AE516" i="28"/>
  <c r="AD516" i="28"/>
  <c r="P514" i="28"/>
  <c r="U514" i="28"/>
  <c r="V514" i="28" s="1"/>
  <c r="X514" i="28" s="1"/>
  <c r="O515" i="28"/>
  <c r="S516" i="28"/>
  <c r="Q516" i="28"/>
  <c r="F516" i="28"/>
  <c r="W516" i="28"/>
  <c r="R516" i="28"/>
  <c r="E517" i="28" l="1"/>
  <c r="T517" i="28"/>
  <c r="L517" i="28"/>
  <c r="O516" i="28"/>
  <c r="AE517" i="28"/>
  <c r="AD517" i="28"/>
  <c r="Z515" i="28"/>
  <c r="J516" i="28"/>
  <c r="Y516" i="28" s="1"/>
  <c r="I516" i="28"/>
  <c r="K516" i="28" s="1"/>
  <c r="N516" i="28" s="1"/>
  <c r="AC519" i="28"/>
  <c r="B518" i="28"/>
  <c r="Q517" i="28"/>
  <c r="W517" i="28"/>
  <c r="R517" i="28"/>
  <c r="S517" i="28"/>
  <c r="F517" i="28"/>
  <c r="U515" i="28"/>
  <c r="V515" i="28" s="1"/>
  <c r="X515" i="28" s="1"/>
  <c r="P515" i="28"/>
  <c r="E518" i="28" l="1"/>
  <c r="T518" i="28"/>
  <c r="Z516" i="28"/>
  <c r="L518" i="28"/>
  <c r="O517" i="28"/>
  <c r="Q518" i="28"/>
  <c r="S518" i="28"/>
  <c r="R518" i="28"/>
  <c r="F518" i="28"/>
  <c r="W518" i="28"/>
  <c r="B519" i="28"/>
  <c r="AC520" i="28"/>
  <c r="AD518" i="28"/>
  <c r="AE518" i="28"/>
  <c r="P516" i="28"/>
  <c r="U516" i="28"/>
  <c r="V516" i="28" s="1"/>
  <c r="X516" i="28" s="1"/>
  <c r="I517" i="28"/>
  <c r="K517" i="28" s="1"/>
  <c r="N517" i="28" s="1"/>
  <c r="J517" i="28"/>
  <c r="Y517" i="28" s="1"/>
  <c r="T519" i="28" l="1"/>
  <c r="E519" i="28"/>
  <c r="Z517" i="28"/>
  <c r="L519" i="28"/>
  <c r="O518" i="28"/>
  <c r="J518" i="28"/>
  <c r="Y518" i="28" s="1"/>
  <c r="I518" i="28"/>
  <c r="K518" i="28" s="1"/>
  <c r="N518" i="28" s="1"/>
  <c r="B520" i="28"/>
  <c r="AC521" i="28"/>
  <c r="AD519" i="28"/>
  <c r="AE519" i="28"/>
  <c r="U517" i="28"/>
  <c r="V517" i="28" s="1"/>
  <c r="X517" i="28" s="1"/>
  <c r="P517" i="28"/>
  <c r="S519" i="28"/>
  <c r="R519" i="28"/>
  <c r="Q519" i="28"/>
  <c r="F519" i="28"/>
  <c r="W519" i="28"/>
  <c r="T520" i="28" l="1"/>
  <c r="E520" i="28"/>
  <c r="L520" i="28"/>
  <c r="Z518" i="28"/>
  <c r="O519" i="28"/>
  <c r="B521" i="28"/>
  <c r="AC522" i="28"/>
  <c r="AE520" i="28"/>
  <c r="AD520" i="28"/>
  <c r="P518" i="28"/>
  <c r="U518" i="28"/>
  <c r="V518" i="28" s="1"/>
  <c r="X518" i="28" s="1"/>
  <c r="J519" i="28"/>
  <c r="Y519" i="28" s="1"/>
  <c r="I519" i="28"/>
  <c r="K519" i="28" s="1"/>
  <c r="N519" i="28" s="1"/>
  <c r="Q520" i="28"/>
  <c r="S520" i="28"/>
  <c r="R520" i="28"/>
  <c r="F520" i="28"/>
  <c r="W520" i="28"/>
  <c r="L521" i="28" l="1"/>
  <c r="E521" i="28"/>
  <c r="T521" i="28"/>
  <c r="O520" i="28"/>
  <c r="Z519" i="28"/>
  <c r="U519" i="28"/>
  <c r="V519" i="28" s="1"/>
  <c r="X519" i="28" s="1"/>
  <c r="P519" i="28"/>
  <c r="W521" i="28"/>
  <c r="R521" i="28"/>
  <c r="S521" i="28"/>
  <c r="F521" i="28"/>
  <c r="Q521" i="28"/>
  <c r="J520" i="28"/>
  <c r="Y520" i="28" s="1"/>
  <c r="I520" i="28"/>
  <c r="K520" i="28" s="1"/>
  <c r="N520" i="28" s="1"/>
  <c r="B522" i="28"/>
  <c r="AC523" i="28"/>
  <c r="AD521" i="28"/>
  <c r="AE521" i="28"/>
  <c r="E522" i="28" l="1"/>
  <c r="T522" i="28"/>
  <c r="Z520" i="28"/>
  <c r="L522" i="28"/>
  <c r="B523" i="28"/>
  <c r="AC524" i="28"/>
  <c r="AD522" i="28"/>
  <c r="AE522" i="28"/>
  <c r="I521" i="28"/>
  <c r="K521" i="28" s="1"/>
  <c r="N521" i="28" s="1"/>
  <c r="J521" i="28"/>
  <c r="Y521" i="28" s="1"/>
  <c r="R522" i="28"/>
  <c r="S522" i="28"/>
  <c r="Q522" i="28"/>
  <c r="F522" i="28"/>
  <c r="W522" i="28"/>
  <c r="P520" i="28"/>
  <c r="U520" i="28"/>
  <c r="V520" i="28" s="1"/>
  <c r="X520" i="28" s="1"/>
  <c r="O521" i="28"/>
  <c r="T523" i="28" l="1"/>
  <c r="E523" i="28"/>
  <c r="L523" i="28"/>
  <c r="O522" i="28"/>
  <c r="P521" i="28"/>
  <c r="U521" i="28"/>
  <c r="V521" i="28" s="1"/>
  <c r="X521" i="28" s="1"/>
  <c r="J522" i="28"/>
  <c r="Y522" i="28" s="1"/>
  <c r="I522" i="28"/>
  <c r="K522" i="28" s="1"/>
  <c r="N522" i="28" s="1"/>
  <c r="AE523" i="28"/>
  <c r="AD523" i="28"/>
  <c r="Z521" i="28"/>
  <c r="B524" i="28"/>
  <c r="AC525" i="28"/>
  <c r="F523" i="28"/>
  <c r="Q523" i="28"/>
  <c r="W523" i="28"/>
  <c r="R523" i="28"/>
  <c r="S523" i="28"/>
  <c r="T524" i="28" l="1"/>
  <c r="E524" i="28"/>
  <c r="L524" i="28"/>
  <c r="Z522" i="28"/>
  <c r="O523" i="28"/>
  <c r="AC526" i="28"/>
  <c r="B525" i="28"/>
  <c r="W524" i="28"/>
  <c r="R524" i="28"/>
  <c r="S524" i="28"/>
  <c r="F524" i="28"/>
  <c r="Q524" i="28"/>
  <c r="AD524" i="28"/>
  <c r="AE524" i="28"/>
  <c r="I523" i="28"/>
  <c r="K523" i="28" s="1"/>
  <c r="N523" i="28" s="1"/>
  <c r="J523" i="28"/>
  <c r="Y523" i="28" s="1"/>
  <c r="P522" i="28"/>
  <c r="U522" i="28"/>
  <c r="V522" i="28" s="1"/>
  <c r="X522" i="28" s="1"/>
  <c r="E525" i="28" l="1"/>
  <c r="T525" i="28"/>
  <c r="L525" i="28"/>
  <c r="P523" i="28"/>
  <c r="U523" i="28"/>
  <c r="V523" i="28" s="1"/>
  <c r="X523" i="28" s="1"/>
  <c r="I524" i="28"/>
  <c r="K524" i="28" s="1"/>
  <c r="N524" i="28" s="1"/>
  <c r="J524" i="28"/>
  <c r="Y524" i="28" s="1"/>
  <c r="O524" i="28"/>
  <c r="B526" i="28"/>
  <c r="AC527" i="28"/>
  <c r="Q525" i="28"/>
  <c r="R525" i="28"/>
  <c r="S525" i="28"/>
  <c r="F525" i="28"/>
  <c r="W525" i="28"/>
  <c r="AE525" i="28"/>
  <c r="AD525" i="28"/>
  <c r="Z523" i="28"/>
  <c r="E526" i="28" l="1"/>
  <c r="T526" i="28"/>
  <c r="L526" i="28"/>
  <c r="O525" i="28"/>
  <c r="B527" i="28"/>
  <c r="AC528" i="28"/>
  <c r="F526" i="28"/>
  <c r="W526" i="28"/>
  <c r="R526" i="28"/>
  <c r="S526" i="28"/>
  <c r="Q526" i="28"/>
  <c r="I525" i="28"/>
  <c r="K525" i="28" s="1"/>
  <c r="N525" i="28" s="1"/>
  <c r="J525" i="28"/>
  <c r="Y525" i="28" s="1"/>
  <c r="AE526" i="28"/>
  <c r="AD526" i="28"/>
  <c r="Z524" i="28"/>
  <c r="P524" i="28"/>
  <c r="U524" i="28"/>
  <c r="V524" i="28" s="1"/>
  <c r="X524" i="28" s="1"/>
  <c r="T527" i="28" l="1"/>
  <c r="E527" i="28"/>
  <c r="L527" i="28"/>
  <c r="Z525" i="28"/>
  <c r="J526" i="28"/>
  <c r="Y526" i="28" s="1"/>
  <c r="I526" i="28"/>
  <c r="K526" i="28" s="1"/>
  <c r="N526" i="28" s="1"/>
  <c r="U525" i="28"/>
  <c r="V525" i="28" s="1"/>
  <c r="X525" i="28" s="1"/>
  <c r="P525" i="28"/>
  <c r="B528" i="28"/>
  <c r="AC529" i="28"/>
  <c r="W527" i="28"/>
  <c r="R527" i="28"/>
  <c r="S527" i="28"/>
  <c r="F527" i="28"/>
  <c r="Q527" i="28"/>
  <c r="O526" i="28"/>
  <c r="AD527" i="28"/>
  <c r="AE527" i="28"/>
  <c r="T528" i="28" l="1"/>
  <c r="E528" i="28"/>
  <c r="L528" i="28"/>
  <c r="Z526" i="28"/>
  <c r="J527" i="28"/>
  <c r="Y527" i="28" s="1"/>
  <c r="I527" i="28"/>
  <c r="K527" i="28" s="1"/>
  <c r="N527" i="28" s="1"/>
  <c r="O527" i="28"/>
  <c r="W528" i="28"/>
  <c r="F528" i="28"/>
  <c r="S528" i="28"/>
  <c r="R528" i="28"/>
  <c r="Q528" i="28"/>
  <c r="P526" i="28"/>
  <c r="U526" i="28"/>
  <c r="V526" i="28" s="1"/>
  <c r="X526" i="28" s="1"/>
  <c r="B529" i="28"/>
  <c r="AC530" i="28"/>
  <c r="AE528" i="28"/>
  <c r="AD528" i="28"/>
  <c r="E529" i="28" l="1"/>
  <c r="T529" i="28"/>
  <c r="L529" i="28"/>
  <c r="J528" i="28"/>
  <c r="Y528" i="28" s="1"/>
  <c r="I528" i="28"/>
  <c r="K528" i="28" s="1"/>
  <c r="N528" i="28" s="1"/>
  <c r="B530" i="28"/>
  <c r="AC531" i="28"/>
  <c r="Q529" i="28"/>
  <c r="W529" i="28"/>
  <c r="F529" i="28"/>
  <c r="R529" i="28"/>
  <c r="S529" i="28"/>
  <c r="O528" i="28"/>
  <c r="Z527" i="28"/>
  <c r="AD529" i="28"/>
  <c r="AE529" i="28"/>
  <c r="U527" i="28"/>
  <c r="V527" i="28" s="1"/>
  <c r="X527" i="28" s="1"/>
  <c r="P527" i="28"/>
  <c r="E530" i="28" l="1"/>
  <c r="T530" i="28"/>
  <c r="L530" i="28"/>
  <c r="S530" i="28"/>
  <c r="Q530" i="28"/>
  <c r="F530" i="28"/>
  <c r="W530" i="28"/>
  <c r="R530" i="28"/>
  <c r="U528" i="28"/>
  <c r="V528" i="28" s="1"/>
  <c r="X528" i="28" s="1"/>
  <c r="P528" i="28"/>
  <c r="I529" i="28"/>
  <c r="K529" i="28" s="1"/>
  <c r="N529" i="28" s="1"/>
  <c r="J529" i="28"/>
  <c r="Y529" i="28" s="1"/>
  <c r="Z528" i="28"/>
  <c r="O529" i="28"/>
  <c r="AC532" i="28"/>
  <c r="B531" i="28"/>
  <c r="AD530" i="28"/>
  <c r="AE530" i="28"/>
  <c r="T531" i="28" l="1"/>
  <c r="E531" i="28"/>
  <c r="L531" i="28"/>
  <c r="O530" i="28"/>
  <c r="Q531" i="28"/>
  <c r="W531" i="28"/>
  <c r="R531" i="28"/>
  <c r="F531" i="28"/>
  <c r="S531" i="28"/>
  <c r="B532" i="28"/>
  <c r="AC533" i="28"/>
  <c r="U529" i="28"/>
  <c r="V529" i="28" s="1"/>
  <c r="X529" i="28" s="1"/>
  <c r="P529" i="28"/>
  <c r="I530" i="28"/>
  <c r="K530" i="28" s="1"/>
  <c r="N530" i="28" s="1"/>
  <c r="J530" i="28"/>
  <c r="Y530" i="28" s="1"/>
  <c r="AD531" i="28"/>
  <c r="AE531" i="28"/>
  <c r="Z529" i="28"/>
  <c r="T532" i="28" l="1"/>
  <c r="E532" i="28"/>
  <c r="L532" i="28"/>
  <c r="AE532" i="28"/>
  <c r="AD532" i="28"/>
  <c r="J531" i="28"/>
  <c r="Y531" i="28" s="1"/>
  <c r="I531" i="28"/>
  <c r="K531" i="28" s="1"/>
  <c r="N531" i="28" s="1"/>
  <c r="U530" i="28"/>
  <c r="V530" i="28" s="1"/>
  <c r="X530" i="28" s="1"/>
  <c r="P530" i="28"/>
  <c r="B533" i="28"/>
  <c r="AC534" i="28"/>
  <c r="R532" i="28"/>
  <c r="S532" i="28"/>
  <c r="F532" i="28"/>
  <c r="Q532" i="28"/>
  <c r="W532" i="28"/>
  <c r="O531" i="28"/>
  <c r="Z530" i="28"/>
  <c r="E533" i="28" l="1"/>
  <c r="T533" i="28"/>
  <c r="L533" i="28"/>
  <c r="Z531" i="28"/>
  <c r="S533" i="28"/>
  <c r="Q533" i="28"/>
  <c r="F533" i="28"/>
  <c r="W533" i="28"/>
  <c r="R533" i="28"/>
  <c r="J532" i="28"/>
  <c r="Y532" i="28" s="1"/>
  <c r="I532" i="28"/>
  <c r="K532" i="28" s="1"/>
  <c r="N532" i="28" s="1"/>
  <c r="O532" i="28"/>
  <c r="AC535" i="28"/>
  <c r="B534" i="28"/>
  <c r="AE533" i="28"/>
  <c r="AD533" i="28"/>
  <c r="U531" i="28"/>
  <c r="V531" i="28" s="1"/>
  <c r="X531" i="28" s="1"/>
  <c r="P531" i="28"/>
  <c r="E534" i="28" l="1"/>
  <c r="T534" i="28"/>
  <c r="L534" i="28"/>
  <c r="AE534" i="28"/>
  <c r="AD534" i="28"/>
  <c r="Z532" i="28"/>
  <c r="P532" i="28"/>
  <c r="U532" i="28"/>
  <c r="V532" i="28" s="1"/>
  <c r="X532" i="28" s="1"/>
  <c r="O533" i="28"/>
  <c r="I533" i="28"/>
  <c r="K533" i="28" s="1"/>
  <c r="N533" i="28" s="1"/>
  <c r="J533" i="28"/>
  <c r="Y533" i="28" s="1"/>
  <c r="R534" i="28"/>
  <c r="S534" i="28"/>
  <c r="F534" i="28"/>
  <c r="Q534" i="28"/>
  <c r="W534" i="28"/>
  <c r="AC536" i="28"/>
  <c r="B535" i="28"/>
  <c r="T535" i="28" l="1"/>
  <c r="E535" i="28"/>
  <c r="L535" i="28"/>
  <c r="O534" i="28"/>
  <c r="R535" i="28"/>
  <c r="S535" i="28"/>
  <c r="Q535" i="28"/>
  <c r="F535" i="28"/>
  <c r="W535" i="28"/>
  <c r="AE535" i="28"/>
  <c r="AD535" i="28"/>
  <c r="P533" i="28"/>
  <c r="U533" i="28"/>
  <c r="V533" i="28" s="1"/>
  <c r="X533" i="28" s="1"/>
  <c r="J534" i="28"/>
  <c r="Y534" i="28" s="1"/>
  <c r="I534" i="28"/>
  <c r="K534" i="28" s="1"/>
  <c r="N534" i="28" s="1"/>
  <c r="B536" i="28"/>
  <c r="AC537" i="28"/>
  <c r="Z533" i="28"/>
  <c r="T536" i="28" l="1"/>
  <c r="E536" i="28"/>
  <c r="Z534" i="28"/>
  <c r="L536" i="28"/>
  <c r="O535" i="28"/>
  <c r="AC538" i="28"/>
  <c r="B537" i="28"/>
  <c r="R536" i="28"/>
  <c r="S536" i="28"/>
  <c r="Q536" i="28"/>
  <c r="F536" i="28"/>
  <c r="W536" i="28"/>
  <c r="I535" i="28"/>
  <c r="K535" i="28" s="1"/>
  <c r="N535" i="28" s="1"/>
  <c r="J535" i="28"/>
  <c r="Y535" i="28" s="1"/>
  <c r="AD536" i="28"/>
  <c r="AE536" i="28"/>
  <c r="U534" i="28"/>
  <c r="V534" i="28" s="1"/>
  <c r="X534" i="28" s="1"/>
  <c r="P534" i="28"/>
  <c r="L537" i="28" l="1"/>
  <c r="E537" i="28"/>
  <c r="T537" i="28"/>
  <c r="Z535" i="28"/>
  <c r="O536" i="28"/>
  <c r="I536" i="28"/>
  <c r="K536" i="28" s="1"/>
  <c r="N536" i="28" s="1"/>
  <c r="J536" i="28"/>
  <c r="Y536" i="28" s="1"/>
  <c r="P535" i="28"/>
  <c r="U535" i="28"/>
  <c r="V535" i="28" s="1"/>
  <c r="X535" i="28" s="1"/>
  <c r="AD537" i="28"/>
  <c r="AE537" i="28"/>
  <c r="W537" i="28"/>
  <c r="F537" i="28"/>
  <c r="R537" i="28"/>
  <c r="S537" i="28"/>
  <c r="Q537" i="28"/>
  <c r="AC539" i="28"/>
  <c r="B538" i="28"/>
  <c r="E538" i="28" l="1"/>
  <c r="T538" i="28"/>
  <c r="L538" i="28"/>
  <c r="Z536" i="28"/>
  <c r="J537" i="28"/>
  <c r="Y537" i="28" s="1"/>
  <c r="I537" i="28"/>
  <c r="K537" i="28" s="1"/>
  <c r="N537" i="28" s="1"/>
  <c r="U536" i="28"/>
  <c r="V536" i="28" s="1"/>
  <c r="X536" i="28" s="1"/>
  <c r="P536" i="28"/>
  <c r="AD538" i="28"/>
  <c r="AE538" i="28"/>
  <c r="Q538" i="28"/>
  <c r="F538" i="28"/>
  <c r="W538" i="28"/>
  <c r="R538" i="28"/>
  <c r="S538" i="28"/>
  <c r="B539" i="28"/>
  <c r="AC540" i="28"/>
  <c r="O537" i="28"/>
  <c r="T539" i="28" l="1"/>
  <c r="E539" i="28"/>
  <c r="L539" i="28"/>
  <c r="Z537" i="28"/>
  <c r="B540" i="28"/>
  <c r="AC541" i="28"/>
  <c r="Q539" i="28"/>
  <c r="R539" i="28"/>
  <c r="S539" i="28"/>
  <c r="F539" i="28"/>
  <c r="W539" i="28"/>
  <c r="AE539" i="28"/>
  <c r="AD539" i="28"/>
  <c r="O538" i="28"/>
  <c r="I538" i="28"/>
  <c r="K538" i="28" s="1"/>
  <c r="N538" i="28" s="1"/>
  <c r="J538" i="28"/>
  <c r="Y538" i="28" s="1"/>
  <c r="U537" i="28"/>
  <c r="V537" i="28" s="1"/>
  <c r="X537" i="28" s="1"/>
  <c r="P537" i="28"/>
  <c r="T540" i="28" l="1"/>
  <c r="E540" i="28"/>
  <c r="L540" i="28"/>
  <c r="AC542" i="28"/>
  <c r="B541" i="28"/>
  <c r="S540" i="28"/>
  <c r="F540" i="28"/>
  <c r="R540" i="28"/>
  <c r="Q540" i="28"/>
  <c r="W540" i="28"/>
  <c r="U538" i="28"/>
  <c r="V538" i="28" s="1"/>
  <c r="X538" i="28" s="1"/>
  <c r="P538" i="28"/>
  <c r="Z538" i="28"/>
  <c r="J539" i="28"/>
  <c r="Y539" i="28" s="1"/>
  <c r="I539" i="28"/>
  <c r="K539" i="28" s="1"/>
  <c r="N539" i="28" s="1"/>
  <c r="O539" i="28"/>
  <c r="AE540" i="28"/>
  <c r="AD540" i="28"/>
  <c r="E541" i="28" l="1"/>
  <c r="T541" i="28"/>
  <c r="L541" i="28"/>
  <c r="O540" i="28"/>
  <c r="J540" i="28"/>
  <c r="Y540" i="28" s="1"/>
  <c r="I540" i="28"/>
  <c r="K540" i="28" s="1"/>
  <c r="N540" i="28" s="1"/>
  <c r="Z539" i="28"/>
  <c r="U539" i="28"/>
  <c r="V539" i="28" s="1"/>
  <c r="X539" i="28" s="1"/>
  <c r="P539" i="28"/>
  <c r="W541" i="28"/>
  <c r="Q541" i="28"/>
  <c r="R541" i="28"/>
  <c r="S541" i="28"/>
  <c r="F541" i="28"/>
  <c r="AE541" i="28"/>
  <c r="AD541" i="28"/>
  <c r="AC543" i="28"/>
  <c r="B542" i="28"/>
  <c r="E542" i="28" l="1"/>
  <c r="T542" i="28"/>
  <c r="L542" i="28"/>
  <c r="Z540" i="28"/>
  <c r="O541" i="28"/>
  <c r="P540" i="28"/>
  <c r="U540" i="28"/>
  <c r="V540" i="28" s="1"/>
  <c r="X540" i="28" s="1"/>
  <c r="F542" i="28"/>
  <c r="R542" i="28"/>
  <c r="S542" i="28"/>
  <c r="Q542" i="28"/>
  <c r="W542" i="28"/>
  <c r="AE542" i="28"/>
  <c r="AD542" i="28"/>
  <c r="J541" i="28"/>
  <c r="Y541" i="28" s="1"/>
  <c r="I541" i="28"/>
  <c r="K541" i="28" s="1"/>
  <c r="N541" i="28" s="1"/>
  <c r="B543" i="28"/>
  <c r="AC544" i="28"/>
  <c r="T543" i="28" l="1"/>
  <c r="E543" i="28"/>
  <c r="L543" i="28"/>
  <c r="O542" i="28"/>
  <c r="B544" i="28"/>
  <c r="AC545" i="28"/>
  <c r="AE543" i="28"/>
  <c r="AD543" i="28"/>
  <c r="J542" i="28"/>
  <c r="Y542" i="28" s="1"/>
  <c r="I542" i="28"/>
  <c r="K542" i="28" s="1"/>
  <c r="N542" i="28" s="1"/>
  <c r="Q543" i="28"/>
  <c r="R543" i="28"/>
  <c r="S543" i="28"/>
  <c r="F543" i="28"/>
  <c r="W543" i="28"/>
  <c r="U541" i="28"/>
  <c r="V541" i="28" s="1"/>
  <c r="X541" i="28" s="1"/>
  <c r="P541" i="28"/>
  <c r="Z541" i="28"/>
  <c r="T544" i="28" l="1"/>
  <c r="E544" i="28"/>
  <c r="L544" i="28"/>
  <c r="Z542" i="28"/>
  <c r="O543" i="28"/>
  <c r="U542" i="28"/>
  <c r="V542" i="28" s="1"/>
  <c r="X542" i="28" s="1"/>
  <c r="P542" i="28"/>
  <c r="I543" i="28"/>
  <c r="K543" i="28" s="1"/>
  <c r="N543" i="28" s="1"/>
  <c r="J543" i="28"/>
  <c r="Y543" i="28" s="1"/>
  <c r="B545" i="28"/>
  <c r="AC546" i="28"/>
  <c r="W544" i="28"/>
  <c r="R544" i="28"/>
  <c r="S544" i="28"/>
  <c r="F544" i="28"/>
  <c r="Q544" i="28"/>
  <c r="AD544" i="28"/>
  <c r="AE544" i="28"/>
  <c r="E545" i="28" l="1"/>
  <c r="T545" i="28"/>
  <c r="L545" i="28"/>
  <c r="J544" i="28"/>
  <c r="Y544" i="28" s="1"/>
  <c r="I544" i="28"/>
  <c r="K544" i="28" s="1"/>
  <c r="N544" i="28" s="1"/>
  <c r="AC547" i="28"/>
  <c r="B546" i="28"/>
  <c r="AD545" i="28"/>
  <c r="AE545" i="28"/>
  <c r="P543" i="28"/>
  <c r="U543" i="28"/>
  <c r="V543" i="28" s="1"/>
  <c r="X543" i="28" s="1"/>
  <c r="O544" i="28"/>
  <c r="F545" i="28"/>
  <c r="W545" i="28"/>
  <c r="R545" i="28"/>
  <c r="S545" i="28"/>
  <c r="Q545" i="28"/>
  <c r="Z543" i="28"/>
  <c r="E546" i="28" l="1"/>
  <c r="T546" i="28"/>
  <c r="L546" i="28"/>
  <c r="J545" i="28"/>
  <c r="Y545" i="28" s="1"/>
  <c r="I545" i="28"/>
  <c r="K545" i="28" s="1"/>
  <c r="N545" i="28" s="1"/>
  <c r="AE546" i="28"/>
  <c r="AD546" i="28"/>
  <c r="U544" i="28"/>
  <c r="V544" i="28" s="1"/>
  <c r="X544" i="28" s="1"/>
  <c r="P544" i="28"/>
  <c r="O545" i="28"/>
  <c r="Z544" i="28"/>
  <c r="Q546" i="28"/>
  <c r="F546" i="28"/>
  <c r="W546" i="28"/>
  <c r="R546" i="28"/>
  <c r="S546" i="28"/>
  <c r="B547" i="28"/>
  <c r="AC548" i="28"/>
  <c r="T547" i="28" l="1"/>
  <c r="E547" i="28"/>
  <c r="L547" i="28"/>
  <c r="AE547" i="28"/>
  <c r="AD547" i="28"/>
  <c r="B548" i="28"/>
  <c r="AC549" i="28"/>
  <c r="W547" i="28"/>
  <c r="R547" i="28"/>
  <c r="S547" i="28"/>
  <c r="F547" i="28"/>
  <c r="Q547" i="28"/>
  <c r="Z545" i="28"/>
  <c r="O546" i="28"/>
  <c r="I546" i="28"/>
  <c r="K546" i="28" s="1"/>
  <c r="N546" i="28" s="1"/>
  <c r="J546" i="28"/>
  <c r="Y546" i="28" s="1"/>
  <c r="U545" i="28"/>
  <c r="V545" i="28" s="1"/>
  <c r="X545" i="28" s="1"/>
  <c r="P545" i="28"/>
  <c r="T548" i="28" l="1"/>
  <c r="E548" i="28"/>
  <c r="L548" i="28"/>
  <c r="P546" i="28"/>
  <c r="U546" i="28"/>
  <c r="V546" i="28" s="1"/>
  <c r="X546" i="28" s="1"/>
  <c r="Z546" i="28"/>
  <c r="AC550" i="28"/>
  <c r="B549" i="28"/>
  <c r="F548" i="28"/>
  <c r="R548" i="28"/>
  <c r="S548" i="28"/>
  <c r="Q548" i="28"/>
  <c r="W548" i="28"/>
  <c r="J547" i="28"/>
  <c r="Y547" i="28" s="1"/>
  <c r="I547" i="28"/>
  <c r="K547" i="28" s="1"/>
  <c r="N547" i="28" s="1"/>
  <c r="O547" i="28"/>
  <c r="AD548" i="28"/>
  <c r="AE548" i="28"/>
  <c r="E549" i="28" l="1"/>
  <c r="T549" i="28"/>
  <c r="O548" i="28"/>
  <c r="L549" i="28"/>
  <c r="I548" i="28"/>
  <c r="K548" i="28" s="1"/>
  <c r="N548" i="28" s="1"/>
  <c r="J548" i="28"/>
  <c r="Y548" i="28" s="1"/>
  <c r="W549" i="28"/>
  <c r="F549" i="28"/>
  <c r="R549" i="28"/>
  <c r="S549" i="28"/>
  <c r="Q549" i="28"/>
  <c r="B550" i="28"/>
  <c r="AC551" i="28"/>
  <c r="Z547" i="28"/>
  <c r="P547" i="28"/>
  <c r="U547" i="28"/>
  <c r="V547" i="28" s="1"/>
  <c r="X547" i="28" s="1"/>
  <c r="AE549" i="28"/>
  <c r="AD549" i="28"/>
  <c r="E550" i="28" l="1"/>
  <c r="T550" i="28"/>
  <c r="Z548" i="28"/>
  <c r="L550" i="28"/>
  <c r="B551" i="28"/>
  <c r="AC552" i="28"/>
  <c r="AE550" i="28"/>
  <c r="AD550" i="28"/>
  <c r="I549" i="28"/>
  <c r="K549" i="28" s="1"/>
  <c r="N549" i="28" s="1"/>
  <c r="J549" i="28"/>
  <c r="Y549" i="28" s="1"/>
  <c r="R550" i="28"/>
  <c r="S550" i="28"/>
  <c r="F550" i="28"/>
  <c r="W550" i="28"/>
  <c r="Q550" i="28"/>
  <c r="O549" i="28"/>
  <c r="U548" i="28"/>
  <c r="V548" i="28" s="1"/>
  <c r="X548" i="28" s="1"/>
  <c r="P548" i="28"/>
  <c r="T551" i="28" l="1"/>
  <c r="E551" i="28"/>
  <c r="L551" i="28"/>
  <c r="O550" i="28"/>
  <c r="I550" i="28"/>
  <c r="K550" i="28" s="1"/>
  <c r="N550" i="28" s="1"/>
  <c r="J550" i="28"/>
  <c r="Y550" i="28" s="1"/>
  <c r="AC553" i="28"/>
  <c r="B552" i="28"/>
  <c r="Q551" i="28"/>
  <c r="W551" i="28"/>
  <c r="F551" i="28"/>
  <c r="S551" i="28"/>
  <c r="R551" i="28"/>
  <c r="Z549" i="28"/>
  <c r="P549" i="28"/>
  <c r="U549" i="28"/>
  <c r="V549" i="28" s="1"/>
  <c r="X549" i="28" s="1"/>
  <c r="AE551" i="28"/>
  <c r="AD551" i="28"/>
  <c r="T552" i="28" l="1"/>
  <c r="E552" i="28"/>
  <c r="L552" i="28"/>
  <c r="W552" i="28"/>
  <c r="R552" i="28"/>
  <c r="S552" i="28"/>
  <c r="F552" i="28"/>
  <c r="Q552" i="28"/>
  <c r="B553" i="28"/>
  <c r="AC554" i="28"/>
  <c r="U550" i="28"/>
  <c r="V550" i="28" s="1"/>
  <c r="X550" i="28" s="1"/>
  <c r="P550" i="28"/>
  <c r="J551" i="28"/>
  <c r="Y551" i="28" s="1"/>
  <c r="I551" i="28"/>
  <c r="K551" i="28" s="1"/>
  <c r="N551" i="28" s="1"/>
  <c r="O551" i="28"/>
  <c r="AE552" i="28"/>
  <c r="AD552" i="28"/>
  <c r="Z550" i="28"/>
  <c r="E553" i="28" l="1"/>
  <c r="T553" i="28"/>
  <c r="L553" i="28"/>
  <c r="I552" i="28"/>
  <c r="K552" i="28" s="1"/>
  <c r="N552" i="28" s="1"/>
  <c r="J552" i="28"/>
  <c r="Y552" i="28" s="1"/>
  <c r="Z551" i="28"/>
  <c r="AC555" i="28"/>
  <c r="B554" i="28"/>
  <c r="AD553" i="28"/>
  <c r="AE553" i="28"/>
  <c r="P551" i="28"/>
  <c r="U551" i="28"/>
  <c r="V551" i="28" s="1"/>
  <c r="X551" i="28" s="1"/>
  <c r="S553" i="28"/>
  <c r="R553" i="28"/>
  <c r="Q553" i="28"/>
  <c r="W553" i="28"/>
  <c r="F553" i="28"/>
  <c r="O552" i="28"/>
  <c r="E554" i="28" l="1"/>
  <c r="T554" i="28"/>
  <c r="L554" i="28"/>
  <c r="O553" i="28"/>
  <c r="Q554" i="28"/>
  <c r="W554" i="28"/>
  <c r="F554" i="28"/>
  <c r="R554" i="28"/>
  <c r="S554" i="28"/>
  <c r="B555" i="28"/>
  <c r="AC556" i="28"/>
  <c r="Z552" i="28"/>
  <c r="I553" i="28"/>
  <c r="K553" i="28" s="1"/>
  <c r="N553" i="28" s="1"/>
  <c r="J553" i="28"/>
  <c r="Y553" i="28" s="1"/>
  <c r="AD554" i="28"/>
  <c r="AE554" i="28"/>
  <c r="U552" i="28"/>
  <c r="V552" i="28" s="1"/>
  <c r="X552" i="28" s="1"/>
  <c r="P552" i="28"/>
  <c r="T555" i="28" l="1"/>
  <c r="E555" i="28"/>
  <c r="L555" i="28"/>
  <c r="Z553" i="28"/>
  <c r="J554" i="28"/>
  <c r="Y554" i="28" s="1"/>
  <c r="I554" i="28"/>
  <c r="K554" i="28" s="1"/>
  <c r="N554" i="28" s="1"/>
  <c r="U553" i="28"/>
  <c r="V553" i="28" s="1"/>
  <c r="X553" i="28" s="1"/>
  <c r="P553" i="28"/>
  <c r="AE555" i="28"/>
  <c r="AD555" i="28"/>
  <c r="AC557" i="28"/>
  <c r="B556" i="28"/>
  <c r="Q555" i="28"/>
  <c r="W555" i="28"/>
  <c r="F555" i="28"/>
  <c r="R555" i="28"/>
  <c r="S555" i="28"/>
  <c r="O554" i="28"/>
  <c r="T556" i="28" l="1"/>
  <c r="E556" i="28"/>
  <c r="L556" i="28"/>
  <c r="O555" i="28"/>
  <c r="Q556" i="28"/>
  <c r="F556" i="28"/>
  <c r="W556" i="28"/>
  <c r="R556" i="28"/>
  <c r="S556" i="28"/>
  <c r="AD556" i="28"/>
  <c r="AE556" i="28"/>
  <c r="Z554" i="28"/>
  <c r="AC558" i="28"/>
  <c r="B557" i="28"/>
  <c r="I555" i="28"/>
  <c r="K555" i="28" s="1"/>
  <c r="N555" i="28" s="1"/>
  <c r="J555" i="28"/>
  <c r="Y555" i="28" s="1"/>
  <c r="P554" i="28"/>
  <c r="U554" i="28"/>
  <c r="V554" i="28" s="1"/>
  <c r="X554" i="28" s="1"/>
  <c r="E557" i="28" l="1"/>
  <c r="T557" i="28"/>
  <c r="L557" i="28"/>
  <c r="P555" i="28"/>
  <c r="U555" i="28"/>
  <c r="V555" i="28" s="1"/>
  <c r="X555" i="28" s="1"/>
  <c r="AD557" i="28"/>
  <c r="AE557" i="28"/>
  <c r="O556" i="28"/>
  <c r="Z555" i="28"/>
  <c r="S557" i="28"/>
  <c r="Q557" i="28"/>
  <c r="F557" i="28"/>
  <c r="W557" i="28"/>
  <c r="R557" i="28"/>
  <c r="AC559" i="28"/>
  <c r="B558" i="28"/>
  <c r="I556" i="28"/>
  <c r="K556" i="28" s="1"/>
  <c r="N556" i="28" s="1"/>
  <c r="J556" i="28"/>
  <c r="Y556" i="28" s="1"/>
  <c r="E558" i="28" l="1"/>
  <c r="T558" i="28"/>
  <c r="L558" i="28"/>
  <c r="O557" i="28"/>
  <c r="U556" i="28"/>
  <c r="V556" i="28" s="1"/>
  <c r="X556" i="28" s="1"/>
  <c r="P556" i="28"/>
  <c r="S558" i="28"/>
  <c r="F558" i="28"/>
  <c r="Q558" i="28"/>
  <c r="W558" i="28"/>
  <c r="R558" i="28"/>
  <c r="AC560" i="28"/>
  <c r="B559" i="28"/>
  <c r="AD558" i="28"/>
  <c r="AE558" i="28"/>
  <c r="Z556" i="28"/>
  <c r="I557" i="28"/>
  <c r="K557" i="28" s="1"/>
  <c r="N557" i="28" s="1"/>
  <c r="J557" i="28"/>
  <c r="Y557" i="28" s="1"/>
  <c r="T559" i="28" l="1"/>
  <c r="E559" i="28"/>
  <c r="Z557" i="28"/>
  <c r="L559" i="28"/>
  <c r="O558" i="28"/>
  <c r="U557" i="28"/>
  <c r="V557" i="28" s="1"/>
  <c r="X557" i="28" s="1"/>
  <c r="P557" i="28"/>
  <c r="I558" i="28"/>
  <c r="K558" i="28" s="1"/>
  <c r="N558" i="28" s="1"/>
  <c r="J558" i="28"/>
  <c r="Y558" i="28" s="1"/>
  <c r="F559" i="28"/>
  <c r="W559" i="28"/>
  <c r="S559" i="28"/>
  <c r="R559" i="28"/>
  <c r="Q559" i="28"/>
  <c r="B560" i="28"/>
  <c r="AC561" i="28"/>
  <c r="AD559" i="28"/>
  <c r="AE559" i="28"/>
  <c r="T560" i="28" l="1"/>
  <c r="E560" i="28"/>
  <c r="L560" i="28"/>
  <c r="Z558" i="28"/>
  <c r="O559" i="28"/>
  <c r="J559" i="28"/>
  <c r="Y559" i="28" s="1"/>
  <c r="I559" i="28"/>
  <c r="K559" i="28" s="1"/>
  <c r="N559" i="28" s="1"/>
  <c r="B561" i="28"/>
  <c r="AC562" i="28"/>
  <c r="F560" i="28"/>
  <c r="W560" i="28"/>
  <c r="R560" i="28"/>
  <c r="S560" i="28"/>
  <c r="Q560" i="28"/>
  <c r="AE560" i="28"/>
  <c r="AD560" i="28"/>
  <c r="U558" i="28"/>
  <c r="V558" i="28" s="1"/>
  <c r="X558" i="28" s="1"/>
  <c r="P558" i="28"/>
  <c r="E561" i="28" l="1"/>
  <c r="T561" i="28"/>
  <c r="L561" i="28"/>
  <c r="I560" i="28"/>
  <c r="K560" i="28" s="1"/>
  <c r="N560" i="28" s="1"/>
  <c r="J560" i="28"/>
  <c r="Y560" i="28" s="1"/>
  <c r="O560" i="28"/>
  <c r="AD561" i="28"/>
  <c r="AE561" i="28"/>
  <c r="P559" i="28"/>
  <c r="U559" i="28"/>
  <c r="V559" i="28" s="1"/>
  <c r="X559" i="28" s="1"/>
  <c r="Z559" i="28"/>
  <c r="B562" i="28"/>
  <c r="AC563" i="28"/>
  <c r="S561" i="28"/>
  <c r="Q561" i="28"/>
  <c r="W561" i="28"/>
  <c r="F561" i="28"/>
  <c r="R561" i="28"/>
  <c r="E562" i="28" l="1"/>
  <c r="T562" i="28"/>
  <c r="L562" i="28"/>
  <c r="R562" i="28"/>
  <c r="S562" i="28"/>
  <c r="F562" i="28"/>
  <c r="Q562" i="28"/>
  <c r="W562" i="28"/>
  <c r="J561" i="28"/>
  <c r="Y561" i="28" s="1"/>
  <c r="I561" i="28"/>
  <c r="K561" i="28" s="1"/>
  <c r="N561" i="28" s="1"/>
  <c r="P560" i="28"/>
  <c r="U560" i="28"/>
  <c r="V560" i="28" s="1"/>
  <c r="X560" i="28" s="1"/>
  <c r="O561" i="28"/>
  <c r="AC564" i="28"/>
  <c r="B563" i="28"/>
  <c r="AD562" i="28"/>
  <c r="AE562" i="28"/>
  <c r="Z560" i="28"/>
  <c r="T563" i="28" l="1"/>
  <c r="E563" i="28"/>
  <c r="O562" i="28"/>
  <c r="L563" i="28"/>
  <c r="R563" i="28"/>
  <c r="S563" i="28"/>
  <c r="F563" i="28"/>
  <c r="Q563" i="28"/>
  <c r="W563" i="28"/>
  <c r="AD563" i="28"/>
  <c r="AE563" i="28"/>
  <c r="J562" i="28"/>
  <c r="Y562" i="28" s="1"/>
  <c r="I562" i="28"/>
  <c r="K562" i="28" s="1"/>
  <c r="N562" i="28" s="1"/>
  <c r="B564" i="28"/>
  <c r="AC565" i="28"/>
  <c r="Z561" i="28"/>
  <c r="U561" i="28"/>
  <c r="V561" i="28" s="1"/>
  <c r="X561" i="28" s="1"/>
  <c r="P561" i="28"/>
  <c r="T564" i="28" l="1"/>
  <c r="E564" i="28"/>
  <c r="Z562" i="28"/>
  <c r="L564" i="28"/>
  <c r="O563" i="28"/>
  <c r="AE564" i="28"/>
  <c r="AD564" i="28"/>
  <c r="U562" i="28"/>
  <c r="V562" i="28" s="1"/>
  <c r="X562" i="28" s="1"/>
  <c r="P562" i="28"/>
  <c r="AC566" i="28"/>
  <c r="B565" i="28"/>
  <c r="R564" i="28"/>
  <c r="S564" i="28"/>
  <c r="F564" i="28"/>
  <c r="W564" i="28"/>
  <c r="Q564" i="28"/>
  <c r="J563" i="28"/>
  <c r="Y563" i="28" s="1"/>
  <c r="I563" i="28"/>
  <c r="K563" i="28" s="1"/>
  <c r="N563" i="28" s="1"/>
  <c r="L565" i="28" l="1"/>
  <c r="E565" i="28"/>
  <c r="T565" i="28"/>
  <c r="Z563" i="28"/>
  <c r="U563" i="28"/>
  <c r="V563" i="28" s="1"/>
  <c r="X563" i="28" s="1"/>
  <c r="P563" i="28"/>
  <c r="O564" i="28"/>
  <c r="F565" i="28"/>
  <c r="Q565" i="28"/>
  <c r="W565" i="28"/>
  <c r="R565" i="28"/>
  <c r="S565" i="28"/>
  <c r="AC567" i="28"/>
  <c r="B566" i="28"/>
  <c r="AE565" i="28"/>
  <c r="AD565" i="28"/>
  <c r="I564" i="28"/>
  <c r="K564" i="28" s="1"/>
  <c r="N564" i="28" s="1"/>
  <c r="J564" i="28"/>
  <c r="Y564" i="28" s="1"/>
  <c r="E566" i="28" l="1"/>
  <c r="T566" i="28"/>
  <c r="L566" i="28"/>
  <c r="O565" i="28"/>
  <c r="U564" i="28"/>
  <c r="V564" i="28" s="1"/>
  <c r="X564" i="28" s="1"/>
  <c r="P564" i="28"/>
  <c r="R566" i="28"/>
  <c r="S566" i="28"/>
  <c r="Q566" i="28"/>
  <c r="F566" i="28"/>
  <c r="W566" i="28"/>
  <c r="B567" i="28"/>
  <c r="AC568" i="28"/>
  <c r="Z564" i="28"/>
  <c r="I565" i="28"/>
  <c r="K565" i="28" s="1"/>
  <c r="N565" i="28" s="1"/>
  <c r="J565" i="28"/>
  <c r="Y565" i="28" s="1"/>
  <c r="AD566" i="28"/>
  <c r="AE566" i="28"/>
  <c r="T567" i="28" l="1"/>
  <c r="E567" i="28"/>
  <c r="Z565" i="28"/>
  <c r="L567" i="28"/>
  <c r="O566" i="28"/>
  <c r="I566" i="28"/>
  <c r="K566" i="28" s="1"/>
  <c r="N566" i="28" s="1"/>
  <c r="J566" i="28"/>
  <c r="Y566" i="28" s="1"/>
  <c r="U565" i="28"/>
  <c r="V565" i="28" s="1"/>
  <c r="X565" i="28" s="1"/>
  <c r="P565" i="28"/>
  <c r="S567" i="28"/>
  <c r="W567" i="28"/>
  <c r="Q567" i="28"/>
  <c r="F567" i="28"/>
  <c r="R567" i="28"/>
  <c r="B568" i="28"/>
  <c r="AC569" i="28"/>
  <c r="AE567" i="28"/>
  <c r="AD567" i="28"/>
  <c r="T568" i="28" l="1"/>
  <c r="E568" i="28"/>
  <c r="L568" i="28"/>
  <c r="Z566" i="28"/>
  <c r="U566" i="28"/>
  <c r="V566" i="28" s="1"/>
  <c r="X566" i="28" s="1"/>
  <c r="P566" i="28"/>
  <c r="AE568" i="28"/>
  <c r="AD568" i="28"/>
  <c r="J567" i="28"/>
  <c r="Y567" i="28" s="1"/>
  <c r="I567" i="28"/>
  <c r="K567" i="28" s="1"/>
  <c r="N567" i="28" s="1"/>
  <c r="B569" i="28"/>
  <c r="AC570" i="28"/>
  <c r="W568" i="28"/>
  <c r="Q568" i="28"/>
  <c r="F568" i="28"/>
  <c r="R568" i="28"/>
  <c r="S568" i="28"/>
  <c r="O567" i="28"/>
  <c r="E569" i="28" l="1"/>
  <c r="T569" i="28"/>
  <c r="L569" i="28"/>
  <c r="O568" i="28"/>
  <c r="Z567" i="28"/>
  <c r="AC571" i="28"/>
  <c r="B570" i="28"/>
  <c r="AD569" i="28"/>
  <c r="AE569" i="28"/>
  <c r="I568" i="28"/>
  <c r="K568" i="28" s="1"/>
  <c r="N568" i="28" s="1"/>
  <c r="J568" i="28"/>
  <c r="Y568" i="28" s="1"/>
  <c r="W569" i="28"/>
  <c r="R569" i="28"/>
  <c r="S569" i="28"/>
  <c r="Q569" i="28"/>
  <c r="F569" i="28"/>
  <c r="P567" i="28"/>
  <c r="U567" i="28"/>
  <c r="V567" i="28" s="1"/>
  <c r="X567" i="28" s="1"/>
  <c r="E570" i="28" l="1"/>
  <c r="T570" i="28"/>
  <c r="L570" i="28"/>
  <c r="Z568" i="28"/>
  <c r="P568" i="28"/>
  <c r="U568" i="28"/>
  <c r="V568" i="28" s="1"/>
  <c r="X568" i="28" s="1"/>
  <c r="I569" i="28"/>
  <c r="K569" i="28" s="1"/>
  <c r="N569" i="28" s="1"/>
  <c r="J569" i="28"/>
  <c r="Y569" i="28" s="1"/>
  <c r="AE570" i="28"/>
  <c r="AD570" i="28"/>
  <c r="O569" i="28"/>
  <c r="W570" i="28"/>
  <c r="R570" i="28"/>
  <c r="S570" i="28"/>
  <c r="Q570" i="28"/>
  <c r="F570" i="28"/>
  <c r="AC572" i="28"/>
  <c r="B571" i="28"/>
  <c r="T571" i="28" l="1"/>
  <c r="E571" i="28"/>
  <c r="L571" i="28"/>
  <c r="B572" i="28"/>
  <c r="AC573" i="28"/>
  <c r="Q571" i="28"/>
  <c r="W571" i="28"/>
  <c r="R571" i="28"/>
  <c r="S571" i="28"/>
  <c r="F571" i="28"/>
  <c r="AE571" i="28"/>
  <c r="AD571" i="28"/>
  <c r="Z569" i="28"/>
  <c r="U569" i="28"/>
  <c r="V569" i="28" s="1"/>
  <c r="X569" i="28" s="1"/>
  <c r="P569" i="28"/>
  <c r="O570" i="28"/>
  <c r="J570" i="28"/>
  <c r="Y570" i="28" s="1"/>
  <c r="I570" i="28"/>
  <c r="K570" i="28" s="1"/>
  <c r="N570" i="28" s="1"/>
  <c r="T572" i="28" l="1"/>
  <c r="E572" i="28"/>
  <c r="L572" i="28"/>
  <c r="O571" i="28"/>
  <c r="AC574" i="28"/>
  <c r="B573" i="28"/>
  <c r="AD572" i="28"/>
  <c r="AE572" i="28"/>
  <c r="P570" i="28"/>
  <c r="U570" i="28"/>
  <c r="V570" i="28" s="1"/>
  <c r="X570" i="28" s="1"/>
  <c r="J571" i="28"/>
  <c r="Y571" i="28" s="1"/>
  <c r="I571" i="28"/>
  <c r="K571" i="28" s="1"/>
  <c r="N571" i="28" s="1"/>
  <c r="Z570" i="28"/>
  <c r="R572" i="28"/>
  <c r="S572" i="28"/>
  <c r="F572" i="28"/>
  <c r="Q572" i="28"/>
  <c r="W572" i="28"/>
  <c r="E573" i="28" l="1"/>
  <c r="T573" i="28"/>
  <c r="L573" i="28"/>
  <c r="O572" i="28"/>
  <c r="I572" i="28"/>
  <c r="K572" i="28" s="1"/>
  <c r="N572" i="28" s="1"/>
  <c r="J572" i="28"/>
  <c r="Y572" i="28" s="1"/>
  <c r="AE573" i="28"/>
  <c r="AD573" i="28"/>
  <c r="Z571" i="28"/>
  <c r="P571" i="28"/>
  <c r="U571" i="28"/>
  <c r="V571" i="28" s="1"/>
  <c r="X571" i="28" s="1"/>
  <c r="Q573" i="28"/>
  <c r="F573" i="28"/>
  <c r="W573" i="28"/>
  <c r="R573" i="28"/>
  <c r="S573" i="28"/>
  <c r="B574" i="28"/>
  <c r="AC575" i="28"/>
  <c r="E574" i="28" l="1"/>
  <c r="T574" i="28"/>
  <c r="L574" i="28"/>
  <c r="Z572" i="28"/>
  <c r="O573" i="28"/>
  <c r="P572" i="28"/>
  <c r="U572" i="28"/>
  <c r="V572" i="28" s="1"/>
  <c r="X572" i="28" s="1"/>
  <c r="S574" i="28"/>
  <c r="Q574" i="28"/>
  <c r="F574" i="28"/>
  <c r="W574" i="28"/>
  <c r="R574" i="28"/>
  <c r="B575" i="28"/>
  <c r="AC576" i="28"/>
  <c r="AD574" i="28"/>
  <c r="AE574" i="28"/>
  <c r="J573" i="28"/>
  <c r="Y573" i="28" s="1"/>
  <c r="I573" i="28"/>
  <c r="K573" i="28" s="1"/>
  <c r="N573" i="28" s="1"/>
  <c r="T575" i="28" l="1"/>
  <c r="E575" i="28"/>
  <c r="L575" i="28"/>
  <c r="P573" i="28"/>
  <c r="U573" i="28"/>
  <c r="V573" i="28" s="1"/>
  <c r="X573" i="28" s="1"/>
  <c r="AC577" i="28"/>
  <c r="B576" i="28"/>
  <c r="W575" i="28"/>
  <c r="F575" i="28"/>
  <c r="S575" i="28"/>
  <c r="R575" i="28"/>
  <c r="Q575" i="28"/>
  <c r="J574" i="28"/>
  <c r="Y574" i="28" s="1"/>
  <c r="I574" i="28"/>
  <c r="K574" i="28" s="1"/>
  <c r="N574" i="28" s="1"/>
  <c r="AE575" i="28"/>
  <c r="AD575" i="28"/>
  <c r="O574" i="28"/>
  <c r="Z573" i="28"/>
  <c r="T576" i="28" l="1"/>
  <c r="E576" i="28"/>
  <c r="L576" i="28"/>
  <c r="AD576" i="28"/>
  <c r="AE576" i="28"/>
  <c r="Z574" i="28"/>
  <c r="I575" i="28"/>
  <c r="K575" i="28" s="1"/>
  <c r="N575" i="28" s="1"/>
  <c r="J575" i="28"/>
  <c r="Y575" i="28" s="1"/>
  <c r="U574" i="28"/>
  <c r="V574" i="28" s="1"/>
  <c r="X574" i="28" s="1"/>
  <c r="P574" i="28"/>
  <c r="O575" i="28"/>
  <c r="Q576" i="28"/>
  <c r="F576" i="28"/>
  <c r="W576" i="28"/>
  <c r="R576" i="28"/>
  <c r="S576" i="28"/>
  <c r="B577" i="28"/>
  <c r="AC578" i="28"/>
  <c r="E577" i="28" l="1"/>
  <c r="T577" i="28"/>
  <c r="L577" i="28"/>
  <c r="O576" i="28"/>
  <c r="Z575" i="28"/>
  <c r="I576" i="28"/>
  <c r="K576" i="28" s="1"/>
  <c r="N576" i="28" s="1"/>
  <c r="J576" i="28"/>
  <c r="Y576" i="28" s="1"/>
  <c r="S577" i="28"/>
  <c r="F577" i="28"/>
  <c r="Q577" i="28"/>
  <c r="W577" i="28"/>
  <c r="R577" i="28"/>
  <c r="B578" i="28"/>
  <c r="AC579" i="28"/>
  <c r="AD577" i="28"/>
  <c r="AE577" i="28"/>
  <c r="P575" i="28"/>
  <c r="U575" i="28"/>
  <c r="V575" i="28" s="1"/>
  <c r="X575" i="28" s="1"/>
  <c r="E578" i="28" l="1"/>
  <c r="T578" i="28"/>
  <c r="L578" i="28"/>
  <c r="O577" i="28"/>
  <c r="AC580" i="28"/>
  <c r="B579" i="28"/>
  <c r="AE578" i="28"/>
  <c r="AD578" i="28"/>
  <c r="J577" i="28"/>
  <c r="Y577" i="28" s="1"/>
  <c r="I577" i="28"/>
  <c r="K577" i="28" s="1"/>
  <c r="N577" i="28" s="1"/>
  <c r="Q578" i="28"/>
  <c r="R578" i="28"/>
  <c r="S578" i="28"/>
  <c r="F578" i="28"/>
  <c r="W578" i="28"/>
  <c r="P576" i="28"/>
  <c r="U576" i="28"/>
  <c r="V576" i="28" s="1"/>
  <c r="X576" i="28" s="1"/>
  <c r="Z576" i="28"/>
  <c r="T579" i="28" l="1"/>
  <c r="E579" i="28"/>
  <c r="L579" i="28"/>
  <c r="Z577" i="28"/>
  <c r="U577" i="28"/>
  <c r="V577" i="28" s="1"/>
  <c r="X577" i="28" s="1"/>
  <c r="P577" i="28"/>
  <c r="J578" i="28"/>
  <c r="Y578" i="28" s="1"/>
  <c r="I578" i="28"/>
  <c r="K578" i="28" s="1"/>
  <c r="N578" i="28" s="1"/>
  <c r="F579" i="28"/>
  <c r="Q579" i="28"/>
  <c r="R579" i="28"/>
  <c r="S579" i="28"/>
  <c r="W579" i="28"/>
  <c r="AC581" i="28"/>
  <c r="B580" i="28"/>
  <c r="O578" i="28"/>
  <c r="AE579" i="28"/>
  <c r="AD579" i="28"/>
  <c r="T580" i="28" l="1"/>
  <c r="E580" i="28"/>
  <c r="L580" i="28"/>
  <c r="O579" i="28"/>
  <c r="J579" i="28"/>
  <c r="Y579" i="28" s="1"/>
  <c r="I579" i="28"/>
  <c r="K579" i="28" s="1"/>
  <c r="N579" i="28" s="1"/>
  <c r="Z578" i="28"/>
  <c r="B581" i="28"/>
  <c r="AC582" i="28"/>
  <c r="Q580" i="28"/>
  <c r="W580" i="28"/>
  <c r="R580" i="28"/>
  <c r="S580" i="28"/>
  <c r="F580" i="28"/>
  <c r="AE580" i="28"/>
  <c r="AD580" i="28"/>
  <c r="U578" i="28"/>
  <c r="V578" i="28" s="1"/>
  <c r="X578" i="28" s="1"/>
  <c r="P578" i="28"/>
  <c r="E581" i="28" l="1"/>
  <c r="T581" i="28"/>
  <c r="L581" i="28"/>
  <c r="Z579" i="28"/>
  <c r="O580" i="28"/>
  <c r="S581" i="28"/>
  <c r="R581" i="28"/>
  <c r="Q581" i="28"/>
  <c r="W581" i="28"/>
  <c r="F581" i="28"/>
  <c r="U579" i="28"/>
  <c r="V579" i="28" s="1"/>
  <c r="X579" i="28" s="1"/>
  <c r="P579" i="28"/>
  <c r="I580" i="28"/>
  <c r="K580" i="28" s="1"/>
  <c r="N580" i="28" s="1"/>
  <c r="J580" i="28"/>
  <c r="Y580" i="28" s="1"/>
  <c r="B582" i="28"/>
  <c r="AC583" i="28"/>
  <c r="AE581" i="28"/>
  <c r="AD581" i="28"/>
  <c r="E582" i="28" l="1"/>
  <c r="T582" i="28"/>
  <c r="L582" i="28"/>
  <c r="I581" i="28"/>
  <c r="K581" i="28" s="1"/>
  <c r="N581" i="28" s="1"/>
  <c r="J581" i="28"/>
  <c r="Y581" i="28" s="1"/>
  <c r="AC584" i="28"/>
  <c r="B583" i="28"/>
  <c r="AE582" i="28"/>
  <c r="AD582" i="28"/>
  <c r="U580" i="28"/>
  <c r="V580" i="28" s="1"/>
  <c r="X580" i="28" s="1"/>
  <c r="P580" i="28"/>
  <c r="W582" i="28"/>
  <c r="Q582" i="28"/>
  <c r="F582" i="28"/>
  <c r="S582" i="28"/>
  <c r="R582" i="28"/>
  <c r="O581" i="28"/>
  <c r="Z580" i="28"/>
  <c r="T583" i="28" l="1"/>
  <c r="E583" i="28"/>
  <c r="L583" i="28"/>
  <c r="O582" i="28"/>
  <c r="B584" i="28"/>
  <c r="AC585" i="28"/>
  <c r="Z581" i="28"/>
  <c r="I582" i="28"/>
  <c r="K582" i="28" s="1"/>
  <c r="N582" i="28" s="1"/>
  <c r="J582" i="28"/>
  <c r="Y582" i="28" s="1"/>
  <c r="R583" i="28"/>
  <c r="Q583" i="28"/>
  <c r="F583" i="28"/>
  <c r="W583" i="28"/>
  <c r="S583" i="28"/>
  <c r="AE583" i="28"/>
  <c r="AD583" i="28"/>
  <c r="P581" i="28"/>
  <c r="U581" i="28"/>
  <c r="V581" i="28" s="1"/>
  <c r="X581" i="28" s="1"/>
  <c r="T584" i="28" l="1"/>
  <c r="E584" i="28"/>
  <c r="L584" i="28"/>
  <c r="O583" i="28"/>
  <c r="U582" i="28"/>
  <c r="V582" i="28" s="1"/>
  <c r="X582" i="28" s="1"/>
  <c r="P582" i="28"/>
  <c r="AC586" i="28"/>
  <c r="B585" i="28"/>
  <c r="AE584" i="28"/>
  <c r="AD584" i="28"/>
  <c r="J583" i="28"/>
  <c r="Y583" i="28" s="1"/>
  <c r="I583" i="28"/>
  <c r="K583" i="28" s="1"/>
  <c r="N583" i="28" s="1"/>
  <c r="W584" i="28"/>
  <c r="F584" i="28"/>
  <c r="R584" i="28"/>
  <c r="S584" i="28"/>
  <c r="Q584" i="28"/>
  <c r="Z582" i="28"/>
  <c r="E585" i="28" l="1"/>
  <c r="T585" i="28"/>
  <c r="Z583" i="28"/>
  <c r="L585" i="28"/>
  <c r="O584" i="28"/>
  <c r="AD585" i="28"/>
  <c r="AE585" i="28"/>
  <c r="P583" i="28"/>
  <c r="U583" i="28"/>
  <c r="V583" i="28" s="1"/>
  <c r="X583" i="28" s="1"/>
  <c r="I584" i="28"/>
  <c r="K584" i="28" s="1"/>
  <c r="N584" i="28" s="1"/>
  <c r="J584" i="28"/>
  <c r="Y584" i="28" s="1"/>
  <c r="Q585" i="28"/>
  <c r="S585" i="28"/>
  <c r="F585" i="28"/>
  <c r="W585" i="28"/>
  <c r="R585" i="28"/>
  <c r="AC587" i="28"/>
  <c r="B586" i="28"/>
  <c r="E586" i="28" l="1"/>
  <c r="T586" i="28"/>
  <c r="L586" i="28"/>
  <c r="O585" i="28"/>
  <c r="I585" i="28"/>
  <c r="K585" i="28" s="1"/>
  <c r="N585" i="28" s="1"/>
  <c r="J585" i="28"/>
  <c r="Y585" i="28" s="1"/>
  <c r="Z584" i="28"/>
  <c r="B587" i="28"/>
  <c r="AC588" i="28"/>
  <c r="S586" i="28"/>
  <c r="R586" i="28"/>
  <c r="W586" i="28"/>
  <c r="Q586" i="28"/>
  <c r="F586" i="28"/>
  <c r="AD586" i="28"/>
  <c r="AE586" i="28"/>
  <c r="U584" i="28"/>
  <c r="V584" i="28" s="1"/>
  <c r="X584" i="28" s="1"/>
  <c r="P584" i="28"/>
  <c r="T587" i="28" l="1"/>
  <c r="E587" i="28"/>
  <c r="L587" i="28"/>
  <c r="O586" i="28"/>
  <c r="AC589" i="28"/>
  <c r="B588" i="28"/>
  <c r="AD587" i="28"/>
  <c r="AE587" i="28"/>
  <c r="I586" i="28"/>
  <c r="K586" i="28" s="1"/>
  <c r="N586" i="28" s="1"/>
  <c r="J586" i="28"/>
  <c r="Y586" i="28" s="1"/>
  <c r="W587" i="28"/>
  <c r="R587" i="28"/>
  <c r="S587" i="28"/>
  <c r="F587" i="28"/>
  <c r="Q587" i="28"/>
  <c r="P585" i="28"/>
  <c r="U585" i="28"/>
  <c r="V585" i="28" s="1"/>
  <c r="X585" i="28" s="1"/>
  <c r="Z585" i="28"/>
  <c r="T588" i="28" l="1"/>
  <c r="E588" i="28"/>
  <c r="I587" i="28"/>
  <c r="K587" i="28" s="1"/>
  <c r="N587" i="28" s="1"/>
  <c r="J587" i="28"/>
  <c r="Y587" i="28" s="1"/>
  <c r="B589" i="28"/>
  <c r="AC590" i="28"/>
  <c r="O587" i="28"/>
  <c r="U586" i="28"/>
  <c r="V586" i="28" s="1"/>
  <c r="X586" i="28" s="1"/>
  <c r="P586" i="28"/>
  <c r="W588" i="28"/>
  <c r="R588" i="28"/>
  <c r="S588" i="28"/>
  <c r="Q588" i="28"/>
  <c r="AE588" i="28"/>
  <c r="AD588" i="28"/>
  <c r="Z586" i="28"/>
  <c r="E589" i="28" l="1"/>
  <c r="T589" i="28"/>
  <c r="B590" i="28"/>
  <c r="AC591" i="28"/>
  <c r="Q589" i="28"/>
  <c r="W589" i="28"/>
  <c r="S589" i="28"/>
  <c r="R589" i="28"/>
  <c r="P587" i="28"/>
  <c r="U587" i="28"/>
  <c r="V587" i="28" s="1"/>
  <c r="X587" i="28" s="1"/>
  <c r="I588" i="28"/>
  <c r="K588" i="28" s="1"/>
  <c r="N588" i="28" s="1"/>
  <c r="J588" i="28"/>
  <c r="Y588" i="28" s="1"/>
  <c r="O588" i="28"/>
  <c r="Z587" i="28"/>
  <c r="AE589" i="28"/>
  <c r="AD589" i="28"/>
  <c r="E590" i="28" l="1"/>
  <c r="T590" i="28"/>
  <c r="AC592" i="28"/>
  <c r="B591" i="28"/>
  <c r="S590" i="28"/>
  <c r="Q590" i="28"/>
  <c r="W590" i="28"/>
  <c r="R590" i="28"/>
  <c r="I589" i="28"/>
  <c r="K589" i="28" s="1"/>
  <c r="N589" i="28" s="1"/>
  <c r="J589" i="28"/>
  <c r="Y589" i="28" s="1"/>
  <c r="Z588" i="28"/>
  <c r="P588" i="28"/>
  <c r="U588" i="28"/>
  <c r="V588" i="28" s="1"/>
  <c r="X588" i="28" s="1"/>
  <c r="O589" i="28"/>
  <c r="AE590" i="28"/>
  <c r="AD590" i="28"/>
  <c r="T591" i="28" l="1"/>
  <c r="E591" i="28"/>
  <c r="Q591" i="28"/>
  <c r="S591" i="28"/>
  <c r="W591" i="28"/>
  <c r="R591" i="28"/>
  <c r="AD591" i="28"/>
  <c r="AE591" i="28"/>
  <c r="I590" i="28"/>
  <c r="K590" i="28" s="1"/>
  <c r="N590" i="28" s="1"/>
  <c r="J590" i="28"/>
  <c r="Y590" i="28" s="1"/>
  <c r="Z589" i="28"/>
  <c r="U589" i="28"/>
  <c r="V589" i="28" s="1"/>
  <c r="X589" i="28" s="1"/>
  <c r="P589" i="28"/>
  <c r="O590" i="28"/>
  <c r="AC593" i="28"/>
  <c r="B592" i="28"/>
  <c r="T592" i="28" l="1"/>
  <c r="E592" i="28"/>
  <c r="O591" i="28"/>
  <c r="B593" i="28"/>
  <c r="AC594" i="28"/>
  <c r="Q592" i="28"/>
  <c r="W592" i="28"/>
  <c r="R592" i="28"/>
  <c r="S592" i="28"/>
  <c r="AE592" i="28"/>
  <c r="AD592" i="28"/>
  <c r="Z590" i="28"/>
  <c r="U590" i="28"/>
  <c r="V590" i="28" s="1"/>
  <c r="X590" i="28" s="1"/>
  <c r="P590" i="28"/>
  <c r="J591" i="28"/>
  <c r="Y591" i="28" s="1"/>
  <c r="I591" i="28"/>
  <c r="K591" i="28" s="1"/>
  <c r="N591" i="28" s="1"/>
  <c r="E593" i="28" l="1"/>
  <c r="T593" i="28"/>
  <c r="Q593" i="28"/>
  <c r="S593" i="28"/>
  <c r="R593" i="28"/>
  <c r="W593" i="28"/>
  <c r="Z591" i="28"/>
  <c r="P591" i="28"/>
  <c r="U591" i="28"/>
  <c r="V591" i="28" s="1"/>
  <c r="X591" i="28" s="1"/>
  <c r="J592" i="28"/>
  <c r="Y592" i="28" s="1"/>
  <c r="I592" i="28"/>
  <c r="K592" i="28" s="1"/>
  <c r="N592" i="28" s="1"/>
  <c r="O592" i="28"/>
  <c r="AC595" i="28"/>
  <c r="B594" i="28"/>
  <c r="AE593" i="28"/>
  <c r="AD593" i="28"/>
  <c r="E594" i="28" l="1"/>
  <c r="T594" i="28"/>
  <c r="O593" i="28"/>
  <c r="AE594" i="28"/>
  <c r="AD594" i="28"/>
  <c r="P592" i="28"/>
  <c r="U592" i="28"/>
  <c r="V592" i="28" s="1"/>
  <c r="X592" i="28" s="1"/>
  <c r="I593" i="28"/>
  <c r="K593" i="28" s="1"/>
  <c r="N593" i="28" s="1"/>
  <c r="J593" i="28"/>
  <c r="Y593" i="28" s="1"/>
  <c r="W594" i="28"/>
  <c r="Q594" i="28"/>
  <c r="R594" i="28"/>
  <c r="S594" i="28"/>
  <c r="AC596" i="28"/>
  <c r="B595" i="28"/>
  <c r="Z592" i="28"/>
  <c r="T595" i="28" l="1"/>
  <c r="E595" i="28"/>
  <c r="Z593" i="28"/>
  <c r="O594" i="28"/>
  <c r="AD595" i="28"/>
  <c r="AE595" i="28"/>
  <c r="R595" i="28"/>
  <c r="S595" i="28"/>
  <c r="Q595" i="28"/>
  <c r="W595" i="28"/>
  <c r="AC597" i="28"/>
  <c r="B596" i="28"/>
  <c r="U593" i="28"/>
  <c r="V593" i="28" s="1"/>
  <c r="X593" i="28" s="1"/>
  <c r="P593" i="28"/>
  <c r="J594" i="28"/>
  <c r="Y594" i="28" s="1"/>
  <c r="I594" i="28"/>
  <c r="K594" i="28" s="1"/>
  <c r="N594" i="28" s="1"/>
  <c r="T596" i="28" l="1"/>
  <c r="E596" i="28"/>
  <c r="Z594" i="28"/>
  <c r="O595" i="28"/>
  <c r="P594" i="28"/>
  <c r="U594" i="28"/>
  <c r="V594" i="28" s="1"/>
  <c r="X594" i="28" s="1"/>
  <c r="B597" i="28"/>
  <c r="AC598" i="28"/>
  <c r="I595" i="28"/>
  <c r="K595" i="28" s="1"/>
  <c r="N595" i="28" s="1"/>
  <c r="J595" i="28"/>
  <c r="Y595" i="28" s="1"/>
  <c r="R596" i="28"/>
  <c r="S596" i="28"/>
  <c r="Q596" i="28"/>
  <c r="W596" i="28"/>
  <c r="AD596" i="28"/>
  <c r="AE596" i="28"/>
  <c r="E597" i="28" l="1"/>
  <c r="T597" i="28"/>
  <c r="Z595" i="28"/>
  <c r="J596" i="28"/>
  <c r="Y596" i="28" s="1"/>
  <c r="I596" i="28"/>
  <c r="K596" i="28" s="1"/>
  <c r="N596" i="28" s="1"/>
  <c r="O596" i="28"/>
  <c r="R597" i="28"/>
  <c r="S597" i="28"/>
  <c r="W597" i="28"/>
  <c r="Q597" i="28"/>
  <c r="P595" i="28"/>
  <c r="U595" i="28"/>
  <c r="V595" i="28" s="1"/>
  <c r="X595" i="28" s="1"/>
  <c r="B598" i="28"/>
  <c r="AC599" i="28"/>
  <c r="AE597" i="28"/>
  <c r="AD597" i="28"/>
  <c r="E598" i="28" l="1"/>
  <c r="T598" i="28"/>
  <c r="O597" i="28"/>
  <c r="Z596" i="28"/>
  <c r="S598" i="28"/>
  <c r="Q598" i="28"/>
  <c r="W598" i="28"/>
  <c r="R598" i="28"/>
  <c r="I597" i="28"/>
  <c r="K597" i="28" s="1"/>
  <c r="N597" i="28" s="1"/>
  <c r="J597" i="28"/>
  <c r="Y597" i="28" s="1"/>
  <c r="B599" i="28"/>
  <c r="AC600" i="28"/>
  <c r="AD598" i="28"/>
  <c r="AE598" i="28"/>
  <c r="P596" i="28"/>
  <c r="U596" i="28"/>
  <c r="V596" i="28" s="1"/>
  <c r="X596" i="28" s="1"/>
  <c r="T599" i="28" l="1"/>
  <c r="E599" i="28"/>
  <c r="O598" i="28"/>
  <c r="J598" i="28"/>
  <c r="Y598" i="28" s="1"/>
  <c r="I598" i="28"/>
  <c r="K598" i="28" s="1"/>
  <c r="N598" i="28" s="1"/>
  <c r="AD599" i="28"/>
  <c r="AE599" i="28"/>
  <c r="AC601" i="28"/>
  <c r="B600" i="28"/>
  <c r="S599" i="28"/>
  <c r="R599" i="28"/>
  <c r="Q599" i="28"/>
  <c r="W599" i="28"/>
  <c r="U597" i="28"/>
  <c r="V597" i="28" s="1"/>
  <c r="X597" i="28" s="1"/>
  <c r="P597" i="28"/>
  <c r="Z597" i="28"/>
  <c r="T600" i="28" l="1"/>
  <c r="E600" i="28"/>
  <c r="O599" i="28"/>
  <c r="Z598" i="28"/>
  <c r="R600" i="28"/>
  <c r="S600" i="28"/>
  <c r="Q600" i="28"/>
  <c r="W600" i="28"/>
  <c r="AD600" i="28"/>
  <c r="AE600" i="28"/>
  <c r="U598" i="28"/>
  <c r="V598" i="28" s="1"/>
  <c r="X598" i="28" s="1"/>
  <c r="P598" i="28"/>
  <c r="AC602" i="28"/>
  <c r="B601" i="28"/>
  <c r="I599" i="28"/>
  <c r="K599" i="28" s="1"/>
  <c r="N599" i="28" s="1"/>
  <c r="J599" i="28"/>
  <c r="Y599" i="28" s="1"/>
  <c r="E601" i="28" l="1"/>
  <c r="T601" i="28"/>
  <c r="Z599" i="28"/>
  <c r="P599" i="28"/>
  <c r="U599" i="28"/>
  <c r="V599" i="28" s="1"/>
  <c r="X599" i="28" s="1"/>
  <c r="R601" i="28"/>
  <c r="S601" i="28"/>
  <c r="W601" i="28"/>
  <c r="Q601" i="28"/>
  <c r="B602" i="28"/>
  <c r="AC603" i="28"/>
  <c r="AD601" i="28"/>
  <c r="AE601" i="28"/>
  <c r="J600" i="28"/>
  <c r="Y600" i="28" s="1"/>
  <c r="I600" i="28"/>
  <c r="K600" i="28" s="1"/>
  <c r="N600" i="28" s="1"/>
  <c r="O600" i="28"/>
  <c r="E602" i="28" l="1"/>
  <c r="T602" i="28"/>
  <c r="O601" i="28"/>
  <c r="Z600" i="28"/>
  <c r="I601" i="28"/>
  <c r="K601" i="28" s="1"/>
  <c r="N601" i="28" s="1"/>
  <c r="J601" i="28"/>
  <c r="Y601" i="28" s="1"/>
  <c r="W602" i="28"/>
  <c r="R602" i="28"/>
  <c r="S602" i="28"/>
  <c r="Q602" i="28"/>
  <c r="U600" i="28"/>
  <c r="V600" i="28" s="1"/>
  <c r="X600" i="28" s="1"/>
  <c r="P600" i="28"/>
  <c r="B603" i="28"/>
  <c r="AC604" i="28"/>
  <c r="AD602" i="28"/>
  <c r="AE602" i="28"/>
  <c r="T603" i="28" l="1"/>
  <c r="E603" i="28"/>
  <c r="AC605" i="28"/>
  <c r="B604" i="28"/>
  <c r="S603" i="28"/>
  <c r="R603" i="28"/>
  <c r="Q603" i="28"/>
  <c r="W603" i="28"/>
  <c r="I602" i="28"/>
  <c r="K602" i="28" s="1"/>
  <c r="N602" i="28" s="1"/>
  <c r="J602" i="28"/>
  <c r="Y602" i="28" s="1"/>
  <c r="AD603" i="28"/>
  <c r="AE603" i="28"/>
  <c r="O602" i="28"/>
  <c r="U601" i="28"/>
  <c r="V601" i="28" s="1"/>
  <c r="X601" i="28" s="1"/>
  <c r="P601" i="28"/>
  <c r="Z601" i="28"/>
  <c r="T604" i="28" l="1"/>
  <c r="E604" i="28"/>
  <c r="O603" i="28"/>
  <c r="W604" i="28"/>
  <c r="R604" i="28"/>
  <c r="S604" i="28"/>
  <c r="Q604" i="28"/>
  <c r="AD604" i="28"/>
  <c r="AE604" i="28"/>
  <c r="I603" i="28"/>
  <c r="K603" i="28" s="1"/>
  <c r="N603" i="28" s="1"/>
  <c r="J603" i="28"/>
  <c r="Y603" i="28" s="1"/>
  <c r="P602" i="28"/>
  <c r="U602" i="28"/>
  <c r="V602" i="28" s="1"/>
  <c r="X602" i="28" s="1"/>
  <c r="Z602" i="28"/>
  <c r="AC606" i="28"/>
  <c r="B605" i="28"/>
  <c r="E605" i="28" l="1"/>
  <c r="T605" i="28"/>
  <c r="Z603" i="28"/>
  <c r="AD605" i="28"/>
  <c r="AE605" i="28"/>
  <c r="P603" i="28"/>
  <c r="U603" i="28"/>
  <c r="V603" i="28" s="1"/>
  <c r="X603" i="28" s="1"/>
  <c r="I604" i="28"/>
  <c r="K604" i="28" s="1"/>
  <c r="N604" i="28" s="1"/>
  <c r="J604" i="28"/>
  <c r="Y604" i="28" s="1"/>
  <c r="R605" i="28"/>
  <c r="S605" i="28"/>
  <c r="Q605" i="28"/>
  <c r="W605" i="28"/>
  <c r="AC607" i="28"/>
  <c r="B606" i="28"/>
  <c r="O604" i="28"/>
  <c r="E606" i="28" l="1"/>
  <c r="T606" i="28"/>
  <c r="O605" i="28"/>
  <c r="Z604" i="28"/>
  <c r="AC608" i="28"/>
  <c r="B607" i="28"/>
  <c r="R606" i="28"/>
  <c r="S606" i="28"/>
  <c r="Q606" i="28"/>
  <c r="W606" i="28"/>
  <c r="AE606" i="28"/>
  <c r="AD606" i="28"/>
  <c r="U604" i="28"/>
  <c r="V604" i="28" s="1"/>
  <c r="X604" i="28" s="1"/>
  <c r="P604" i="28"/>
  <c r="J605" i="28"/>
  <c r="Y605" i="28" s="1"/>
  <c r="I605" i="28"/>
  <c r="K605" i="28" s="1"/>
  <c r="N605" i="28" s="1"/>
  <c r="T607" i="28" l="1"/>
  <c r="E607" i="28"/>
  <c r="Z605" i="28"/>
  <c r="O606" i="28"/>
  <c r="B608" i="28"/>
  <c r="AC609" i="28"/>
  <c r="U605" i="28"/>
  <c r="V605" i="28" s="1"/>
  <c r="X605" i="28" s="1"/>
  <c r="P605" i="28"/>
  <c r="I606" i="28"/>
  <c r="K606" i="28" s="1"/>
  <c r="N606" i="28" s="1"/>
  <c r="J606" i="28"/>
  <c r="Y606" i="28" s="1"/>
  <c r="Q607" i="28"/>
  <c r="W607" i="28"/>
  <c r="R607" i="28"/>
  <c r="S607" i="28"/>
  <c r="AD607" i="28"/>
  <c r="AE607" i="28"/>
  <c r="T608" i="28" l="1"/>
  <c r="E608" i="28"/>
  <c r="Z606" i="28"/>
  <c r="J607" i="28"/>
  <c r="Y607" i="28" s="1"/>
  <c r="I607" i="28"/>
  <c r="K607" i="28" s="1"/>
  <c r="N607" i="28" s="1"/>
  <c r="O607" i="28"/>
  <c r="U606" i="28"/>
  <c r="V606" i="28" s="1"/>
  <c r="X606" i="28" s="1"/>
  <c r="P606" i="28"/>
  <c r="R608" i="28"/>
  <c r="S608" i="28"/>
  <c r="Q608" i="28"/>
  <c r="W608" i="28"/>
  <c r="AC610" i="28"/>
  <c r="B609" i="28"/>
  <c r="AD608" i="28"/>
  <c r="AE608" i="28"/>
  <c r="E609" i="28" l="1"/>
  <c r="T609" i="28"/>
  <c r="S609" i="28"/>
  <c r="R609" i="28"/>
  <c r="Q609" i="28"/>
  <c r="W609" i="28"/>
  <c r="AC611" i="28"/>
  <c r="B610" i="28"/>
  <c r="I608" i="28"/>
  <c r="K608" i="28" s="1"/>
  <c r="N608" i="28" s="1"/>
  <c r="J608" i="28"/>
  <c r="Y608" i="28" s="1"/>
  <c r="AD609" i="28"/>
  <c r="AE609" i="28"/>
  <c r="P607" i="28"/>
  <c r="U607" i="28"/>
  <c r="V607" i="28" s="1"/>
  <c r="X607" i="28" s="1"/>
  <c r="O608" i="28"/>
  <c r="Z607" i="28"/>
  <c r="E610" i="28" l="1"/>
  <c r="T610" i="28"/>
  <c r="O609" i="28"/>
  <c r="Z608" i="28"/>
  <c r="J609" i="28"/>
  <c r="Y609" i="28" s="1"/>
  <c r="I609" i="28"/>
  <c r="K609" i="28" s="1"/>
  <c r="N609" i="28" s="1"/>
  <c r="P608" i="28"/>
  <c r="U608" i="28"/>
  <c r="V608" i="28" s="1"/>
  <c r="X608" i="28" s="1"/>
  <c r="S610" i="28"/>
  <c r="R610" i="28"/>
  <c r="Q610" i="28"/>
  <c r="W610" i="28"/>
  <c r="AD610" i="28"/>
  <c r="AE610" i="28"/>
  <c r="AC612" i="28"/>
  <c r="B611" i="28"/>
  <c r="T611" i="28" l="1"/>
  <c r="E611" i="28"/>
  <c r="Z609" i="28"/>
  <c r="O610" i="28"/>
  <c r="U609" i="28"/>
  <c r="V609" i="28" s="1"/>
  <c r="X609" i="28" s="1"/>
  <c r="P609" i="28"/>
  <c r="R611" i="28"/>
  <c r="S611" i="28"/>
  <c r="Q611" i="28"/>
  <c r="W611" i="28"/>
  <c r="B612" i="28"/>
  <c r="AC613" i="28"/>
  <c r="AD611" i="28"/>
  <c r="AE611" i="28"/>
  <c r="J610" i="28"/>
  <c r="Y610" i="28" s="1"/>
  <c r="I610" i="28"/>
  <c r="K610" i="28" s="1"/>
  <c r="N610" i="28" s="1"/>
  <c r="T612" i="28" l="1"/>
  <c r="E612" i="28"/>
  <c r="O611" i="28"/>
  <c r="Z610" i="28"/>
  <c r="AD612" i="28"/>
  <c r="AE612" i="28"/>
  <c r="U610" i="28"/>
  <c r="V610" i="28" s="1"/>
  <c r="X610" i="28" s="1"/>
  <c r="P610" i="28"/>
  <c r="J611" i="28"/>
  <c r="Y611" i="28" s="1"/>
  <c r="I611" i="28"/>
  <c r="K611" i="28" s="1"/>
  <c r="N611" i="28" s="1"/>
  <c r="AC614" i="28"/>
  <c r="B613" i="28"/>
  <c r="W612" i="28"/>
  <c r="R612" i="28"/>
  <c r="S612" i="28"/>
  <c r="Q612" i="28"/>
  <c r="E613" i="28" l="1"/>
  <c r="T613" i="28"/>
  <c r="Z611" i="28"/>
  <c r="O612" i="28"/>
  <c r="W613" i="28"/>
  <c r="Q613" i="28"/>
  <c r="R613" i="28"/>
  <c r="S613" i="28"/>
  <c r="AD613" i="28"/>
  <c r="AE613" i="28"/>
  <c r="I612" i="28"/>
  <c r="K612" i="28" s="1"/>
  <c r="N612" i="28" s="1"/>
  <c r="J612" i="28"/>
  <c r="Y612" i="28" s="1"/>
  <c r="AC615" i="28"/>
  <c r="B614" i="28"/>
  <c r="P611" i="28"/>
  <c r="U611" i="28"/>
  <c r="V611" i="28" s="1"/>
  <c r="X611" i="28" s="1"/>
  <c r="E614" i="28" l="1"/>
  <c r="T614" i="28"/>
  <c r="O613" i="28"/>
  <c r="B615" i="28"/>
  <c r="AC616" i="28"/>
  <c r="U612" i="28"/>
  <c r="V612" i="28" s="1"/>
  <c r="X612" i="28" s="1"/>
  <c r="P612" i="28"/>
  <c r="J613" i="28"/>
  <c r="Y613" i="28" s="1"/>
  <c r="I613" i="28"/>
  <c r="K613" i="28" s="1"/>
  <c r="N613" i="28" s="1"/>
  <c r="S614" i="28"/>
  <c r="R614" i="28"/>
  <c r="Q614" i="28"/>
  <c r="W614" i="28"/>
  <c r="AD614" i="28"/>
  <c r="AE614" i="28"/>
  <c r="Z612" i="28"/>
  <c r="T615" i="28" l="1"/>
  <c r="E615" i="28"/>
  <c r="Z613" i="28"/>
  <c r="O614" i="28"/>
  <c r="J614" i="28"/>
  <c r="Y614" i="28" s="1"/>
  <c r="I614" i="28"/>
  <c r="K614" i="28" s="1"/>
  <c r="N614" i="28" s="1"/>
  <c r="U613" i="28"/>
  <c r="V613" i="28" s="1"/>
  <c r="X613" i="28" s="1"/>
  <c r="P613" i="28"/>
  <c r="AC617" i="28"/>
  <c r="B616" i="28"/>
  <c r="AD615" i="28"/>
  <c r="AE615" i="28"/>
  <c r="S615" i="28"/>
  <c r="W615" i="28"/>
  <c r="Q615" i="28"/>
  <c r="R615" i="28"/>
  <c r="T616" i="28" l="1"/>
  <c r="E616" i="28"/>
  <c r="Z614" i="28"/>
  <c r="O615" i="28"/>
  <c r="J615" i="28"/>
  <c r="Y615" i="28" s="1"/>
  <c r="I615" i="28"/>
  <c r="K615" i="28" s="1"/>
  <c r="N615" i="28" s="1"/>
  <c r="AD616" i="28"/>
  <c r="AE616" i="28"/>
  <c r="W616" i="28"/>
  <c r="Q616" i="28"/>
  <c r="R616" i="28"/>
  <c r="S616" i="28"/>
  <c r="B617" i="28"/>
  <c r="AC618" i="28"/>
  <c r="U614" i="28"/>
  <c r="V614" i="28" s="1"/>
  <c r="X614" i="28" s="1"/>
  <c r="P614" i="28"/>
  <c r="E617" i="28" l="1"/>
  <c r="T617" i="28"/>
  <c r="Z615" i="28"/>
  <c r="B618" i="28"/>
  <c r="AC619" i="28"/>
  <c r="AE617" i="28"/>
  <c r="AD617" i="28"/>
  <c r="R617" i="28"/>
  <c r="S617" i="28"/>
  <c r="Q617" i="28"/>
  <c r="W617" i="28"/>
  <c r="O616" i="28"/>
  <c r="U615" i="28"/>
  <c r="V615" i="28" s="1"/>
  <c r="X615" i="28" s="1"/>
  <c r="P615" i="28"/>
  <c r="I616" i="28"/>
  <c r="K616" i="28" s="1"/>
  <c r="N616" i="28" s="1"/>
  <c r="J616" i="28"/>
  <c r="Y616" i="28" s="1"/>
  <c r="E618" i="28" l="1"/>
  <c r="T618" i="28"/>
  <c r="O617" i="28"/>
  <c r="P616" i="28"/>
  <c r="U616" i="28"/>
  <c r="V616" i="28" s="1"/>
  <c r="X616" i="28" s="1"/>
  <c r="Z616" i="28"/>
  <c r="W618" i="28"/>
  <c r="S618" i="28"/>
  <c r="R618" i="28"/>
  <c r="Q618" i="28"/>
  <c r="J617" i="28"/>
  <c r="Y617" i="28" s="1"/>
  <c r="I617" i="28"/>
  <c r="K617" i="28" s="1"/>
  <c r="N617" i="28" s="1"/>
  <c r="AC620" i="28"/>
  <c r="B619" i="28"/>
  <c r="AD618" i="28"/>
  <c r="AE618" i="28"/>
  <c r="T619" i="28" l="1"/>
  <c r="E619" i="28"/>
  <c r="Z617" i="28"/>
  <c r="O618" i="28"/>
  <c r="I618" i="28"/>
  <c r="K618" i="28" s="1"/>
  <c r="N618" i="28" s="1"/>
  <c r="J618" i="28"/>
  <c r="Y618" i="28" s="1"/>
  <c r="AC621" i="28"/>
  <c r="B620" i="28"/>
  <c r="P617" i="28"/>
  <c r="U617" i="28"/>
  <c r="V617" i="28" s="1"/>
  <c r="X617" i="28" s="1"/>
  <c r="W619" i="28"/>
  <c r="R619" i="28"/>
  <c r="S619" i="28"/>
  <c r="Q619" i="28"/>
  <c r="AE619" i="28"/>
  <c r="AD619" i="28"/>
  <c r="T620" i="28" l="1"/>
  <c r="E620" i="28"/>
  <c r="O619" i="28"/>
  <c r="AD620" i="28"/>
  <c r="AE620" i="28"/>
  <c r="J619" i="28"/>
  <c r="Y619" i="28" s="1"/>
  <c r="I619" i="28"/>
  <c r="K619" i="28" s="1"/>
  <c r="N619" i="28" s="1"/>
  <c r="W620" i="28"/>
  <c r="Q620" i="28"/>
  <c r="S620" i="28"/>
  <c r="R620" i="28"/>
  <c r="B621" i="28"/>
  <c r="AC622" i="28"/>
  <c r="U618" i="28"/>
  <c r="V618" i="28" s="1"/>
  <c r="X618" i="28" s="1"/>
  <c r="P618" i="28"/>
  <c r="Z618" i="28"/>
  <c r="E621" i="28" l="1"/>
  <c r="T621" i="28"/>
  <c r="O620" i="28"/>
  <c r="Q621" i="28"/>
  <c r="W621" i="28"/>
  <c r="R621" i="28"/>
  <c r="S621" i="28"/>
  <c r="AC623" i="28"/>
  <c r="B622" i="28"/>
  <c r="AD621" i="28"/>
  <c r="AE621" i="28"/>
  <c r="I620" i="28"/>
  <c r="K620" i="28" s="1"/>
  <c r="N620" i="28" s="1"/>
  <c r="J620" i="28"/>
  <c r="Y620" i="28" s="1"/>
  <c r="Z619" i="28"/>
  <c r="P619" i="28"/>
  <c r="U619" i="28"/>
  <c r="V619" i="28" s="1"/>
  <c r="X619" i="28" s="1"/>
  <c r="E622" i="28" l="1"/>
  <c r="T622" i="28"/>
  <c r="Z620" i="28"/>
  <c r="I621" i="28"/>
  <c r="K621" i="28" s="1"/>
  <c r="N621" i="28" s="1"/>
  <c r="J621" i="28"/>
  <c r="Y621" i="28" s="1"/>
  <c r="AE622" i="28"/>
  <c r="AD622" i="28"/>
  <c r="O621" i="28"/>
  <c r="U620" i="28"/>
  <c r="V620" i="28" s="1"/>
  <c r="X620" i="28" s="1"/>
  <c r="P620" i="28"/>
  <c r="Q622" i="28"/>
  <c r="W622" i="28"/>
  <c r="S622" i="28"/>
  <c r="R622" i="28"/>
  <c r="B623" i="28"/>
  <c r="AC624" i="28"/>
  <c r="T623" i="28" l="1"/>
  <c r="E623" i="28"/>
  <c r="W623" i="28"/>
  <c r="Q623" i="28"/>
  <c r="R623" i="28"/>
  <c r="S623" i="28"/>
  <c r="AC625" i="28"/>
  <c r="B624" i="28"/>
  <c r="AE623" i="28"/>
  <c r="AD623" i="28"/>
  <c r="U621" i="28"/>
  <c r="V621" i="28" s="1"/>
  <c r="X621" i="28" s="1"/>
  <c r="P621" i="28"/>
  <c r="O622" i="28"/>
  <c r="Z621" i="28"/>
  <c r="I622" i="28"/>
  <c r="K622" i="28" s="1"/>
  <c r="N622" i="28" s="1"/>
  <c r="J622" i="28"/>
  <c r="Y622" i="28" s="1"/>
  <c r="T624" i="28" l="1"/>
  <c r="E624" i="28"/>
  <c r="O623" i="28"/>
  <c r="U622" i="28"/>
  <c r="V622" i="28" s="1"/>
  <c r="X622" i="28" s="1"/>
  <c r="P622" i="28"/>
  <c r="Z622" i="28"/>
  <c r="J623" i="28"/>
  <c r="Y623" i="28" s="1"/>
  <c r="I623" i="28"/>
  <c r="K623" i="28" s="1"/>
  <c r="N623" i="28" s="1"/>
  <c r="W624" i="28"/>
  <c r="R624" i="28"/>
  <c r="S624" i="28"/>
  <c r="Q624" i="28"/>
  <c r="AC626" i="28"/>
  <c r="B625" i="28"/>
  <c r="AE624" i="28"/>
  <c r="AD624" i="28"/>
  <c r="E625" i="28" l="1"/>
  <c r="T625" i="28"/>
  <c r="Z623" i="28"/>
  <c r="U623" i="28"/>
  <c r="V623" i="28" s="1"/>
  <c r="X623" i="28" s="1"/>
  <c r="P623" i="28"/>
  <c r="I624" i="28"/>
  <c r="K624" i="28" s="1"/>
  <c r="N624" i="28" s="1"/>
  <c r="J624" i="28"/>
  <c r="Y624" i="28" s="1"/>
  <c r="AC627" i="28"/>
  <c r="B626" i="28"/>
  <c r="W625" i="28"/>
  <c r="R625" i="28"/>
  <c r="S625" i="28"/>
  <c r="Q625" i="28"/>
  <c r="AE625" i="28"/>
  <c r="AD625" i="28"/>
  <c r="O624" i="28"/>
  <c r="E626" i="28" l="1"/>
  <c r="T626" i="28"/>
  <c r="I625" i="28"/>
  <c r="K625" i="28" s="1"/>
  <c r="N625" i="28" s="1"/>
  <c r="J625" i="28"/>
  <c r="Y625" i="28" s="1"/>
  <c r="Z624" i="28"/>
  <c r="O625" i="28"/>
  <c r="W626" i="28"/>
  <c r="S626" i="28"/>
  <c r="R626" i="28"/>
  <c r="Q626" i="28"/>
  <c r="AC628" i="28"/>
  <c r="B627" i="28"/>
  <c r="P624" i="28"/>
  <c r="U624" i="28"/>
  <c r="V624" i="28" s="1"/>
  <c r="X624" i="28" s="1"/>
  <c r="AE626" i="28"/>
  <c r="AD626" i="28"/>
  <c r="T627" i="28" l="1"/>
  <c r="E627" i="28"/>
  <c r="O626" i="28"/>
  <c r="J626" i="28"/>
  <c r="Y626" i="28" s="1"/>
  <c r="I626" i="28"/>
  <c r="K626" i="28" s="1"/>
  <c r="N626" i="28" s="1"/>
  <c r="S627" i="28"/>
  <c r="Q627" i="28"/>
  <c r="W627" i="28"/>
  <c r="R627" i="28"/>
  <c r="AE627" i="28"/>
  <c r="AD627" i="28"/>
  <c r="AC629" i="28"/>
  <c r="B628" i="28"/>
  <c r="Z625" i="28"/>
  <c r="U625" i="28"/>
  <c r="V625" i="28" s="1"/>
  <c r="X625" i="28" s="1"/>
  <c r="P625" i="28"/>
  <c r="T628" i="28" l="1"/>
  <c r="E628" i="28"/>
  <c r="O627" i="28"/>
  <c r="Q628" i="28"/>
  <c r="W628" i="28"/>
  <c r="R628" i="28"/>
  <c r="S628" i="28"/>
  <c r="AC630" i="28"/>
  <c r="B629" i="28"/>
  <c r="J627" i="28"/>
  <c r="Y627" i="28" s="1"/>
  <c r="I627" i="28"/>
  <c r="K627" i="28" s="1"/>
  <c r="N627" i="28" s="1"/>
  <c r="U626" i="28"/>
  <c r="V626" i="28" s="1"/>
  <c r="X626" i="28" s="1"/>
  <c r="P626" i="28"/>
  <c r="Z626" i="28"/>
  <c r="AE628" i="28"/>
  <c r="AD628" i="28"/>
  <c r="E629" i="28" l="1"/>
  <c r="T629" i="28"/>
  <c r="Z627" i="28"/>
  <c r="O628" i="28"/>
  <c r="AD629" i="28"/>
  <c r="AE629" i="28"/>
  <c r="I628" i="28"/>
  <c r="K628" i="28" s="1"/>
  <c r="N628" i="28" s="1"/>
  <c r="J628" i="28"/>
  <c r="Y628" i="28" s="1"/>
  <c r="P627" i="28"/>
  <c r="U627" i="28"/>
  <c r="V627" i="28" s="1"/>
  <c r="X627" i="28" s="1"/>
  <c r="W629" i="28"/>
  <c r="R629" i="28"/>
  <c r="S629" i="28"/>
  <c r="Q629" i="28"/>
  <c r="AC631" i="28"/>
  <c r="B630" i="28"/>
  <c r="E630" i="28" l="1"/>
  <c r="T630" i="28"/>
  <c r="O629" i="28"/>
  <c r="U628" i="28"/>
  <c r="V628" i="28" s="1"/>
  <c r="X628" i="28" s="1"/>
  <c r="P628" i="28"/>
  <c r="J629" i="28"/>
  <c r="Y629" i="28" s="1"/>
  <c r="I629" i="28"/>
  <c r="K629" i="28" s="1"/>
  <c r="N629" i="28" s="1"/>
  <c r="Z628" i="28"/>
  <c r="AE630" i="28"/>
  <c r="AD630" i="28"/>
  <c r="W630" i="28"/>
  <c r="Q630" i="28"/>
  <c r="R630" i="28"/>
  <c r="S630" i="28"/>
  <c r="AC632" i="28"/>
  <c r="B631" i="28"/>
  <c r="T631" i="28" l="1"/>
  <c r="E631" i="28"/>
  <c r="O630" i="28"/>
  <c r="W631" i="28"/>
  <c r="Q631" i="28"/>
  <c r="R631" i="28"/>
  <c r="S631" i="28"/>
  <c r="B632" i="28"/>
  <c r="AC633" i="28"/>
  <c r="U629" i="28"/>
  <c r="V629" i="28" s="1"/>
  <c r="X629" i="28" s="1"/>
  <c r="P629" i="28"/>
  <c r="AD631" i="28"/>
  <c r="AE631" i="28"/>
  <c r="J630" i="28"/>
  <c r="Y630" i="28" s="1"/>
  <c r="I630" i="28"/>
  <c r="K630" i="28" s="1"/>
  <c r="N630" i="28" s="1"/>
  <c r="Z629" i="28"/>
  <c r="T632" i="28" l="1"/>
  <c r="E632" i="28"/>
  <c r="Z630" i="28"/>
  <c r="P630" i="28"/>
  <c r="U630" i="28"/>
  <c r="V630" i="28" s="1"/>
  <c r="X630" i="28" s="1"/>
  <c r="J631" i="28"/>
  <c r="Y631" i="28" s="1"/>
  <c r="I631" i="28"/>
  <c r="K631" i="28" s="1"/>
  <c r="N631" i="28" s="1"/>
  <c r="AD632" i="28"/>
  <c r="AE632" i="28"/>
  <c r="AC634" i="28"/>
  <c r="B633" i="28"/>
  <c r="R632" i="28"/>
  <c r="S632" i="28"/>
  <c r="Q632" i="28"/>
  <c r="W632" i="28"/>
  <c r="O631" i="28"/>
  <c r="E633" i="28" l="1"/>
  <c r="T633" i="28"/>
  <c r="O632" i="28"/>
  <c r="Q633" i="28"/>
  <c r="W633" i="28"/>
  <c r="R633" i="28"/>
  <c r="S633" i="28"/>
  <c r="B634" i="28"/>
  <c r="AC635" i="28"/>
  <c r="I632" i="28"/>
  <c r="K632" i="28" s="1"/>
  <c r="N632" i="28" s="1"/>
  <c r="J632" i="28"/>
  <c r="Y632" i="28" s="1"/>
  <c r="P631" i="28"/>
  <c r="U631" i="28"/>
  <c r="V631" i="28" s="1"/>
  <c r="X631" i="28" s="1"/>
  <c r="Z631" i="28"/>
  <c r="AE633" i="28"/>
  <c r="AD633" i="28"/>
  <c r="E634" i="28" l="1"/>
  <c r="T634" i="28"/>
  <c r="J633" i="28"/>
  <c r="Y633" i="28" s="1"/>
  <c r="I633" i="28"/>
  <c r="K633" i="28" s="1"/>
  <c r="N633" i="28" s="1"/>
  <c r="P632" i="28"/>
  <c r="U632" i="28"/>
  <c r="V632" i="28" s="1"/>
  <c r="X632" i="28" s="1"/>
  <c r="R634" i="28"/>
  <c r="Q634" i="28"/>
  <c r="W634" i="28"/>
  <c r="S634" i="28"/>
  <c r="O633" i="28"/>
  <c r="Z632" i="28"/>
  <c r="B635" i="28"/>
  <c r="AC636" i="28"/>
  <c r="AD634" i="28"/>
  <c r="AE634" i="28"/>
  <c r="T635" i="28" l="1"/>
  <c r="E635" i="28"/>
  <c r="B636" i="28"/>
  <c r="AC637" i="28"/>
  <c r="W635" i="28"/>
  <c r="Q635" i="28"/>
  <c r="R635" i="28"/>
  <c r="S635" i="28"/>
  <c r="I634" i="28"/>
  <c r="K634" i="28" s="1"/>
  <c r="N634" i="28" s="1"/>
  <c r="J634" i="28"/>
  <c r="Y634" i="28" s="1"/>
  <c r="AD635" i="28"/>
  <c r="AE635" i="28"/>
  <c r="Z633" i="28"/>
  <c r="O634" i="28"/>
  <c r="U633" i="28"/>
  <c r="V633" i="28" s="1"/>
  <c r="X633" i="28" s="1"/>
  <c r="P633" i="28"/>
  <c r="T636" i="28" l="1"/>
  <c r="E636" i="28"/>
  <c r="I635" i="28"/>
  <c r="K635" i="28" s="1"/>
  <c r="N635" i="28" s="1"/>
  <c r="J635" i="28"/>
  <c r="Y635" i="28" s="1"/>
  <c r="U634" i="28"/>
  <c r="V634" i="28" s="1"/>
  <c r="X634" i="28" s="1"/>
  <c r="P634" i="28"/>
  <c r="AE636" i="28"/>
  <c r="AD636" i="28"/>
  <c r="Z634" i="28"/>
  <c r="O635" i="28"/>
  <c r="AC638" i="28"/>
  <c r="B637" i="28"/>
  <c r="W636" i="28"/>
  <c r="Q636" i="28"/>
  <c r="R636" i="28"/>
  <c r="S636" i="28"/>
  <c r="E637" i="28" l="1"/>
  <c r="T637" i="28"/>
  <c r="O636" i="28"/>
  <c r="W637" i="28"/>
  <c r="R637" i="28"/>
  <c r="Q637" i="28"/>
  <c r="S637" i="28"/>
  <c r="AC639" i="28"/>
  <c r="B638" i="28"/>
  <c r="U635" i="28"/>
  <c r="V635" i="28" s="1"/>
  <c r="X635" i="28" s="1"/>
  <c r="P635" i="28"/>
  <c r="AD637" i="28"/>
  <c r="AE637" i="28"/>
  <c r="Z635" i="28"/>
  <c r="I636" i="28"/>
  <c r="K636" i="28" s="1"/>
  <c r="N636" i="28" s="1"/>
  <c r="J636" i="28"/>
  <c r="Y636" i="28" s="1"/>
  <c r="E638" i="28" l="1"/>
  <c r="T638" i="28"/>
  <c r="AE638" i="28"/>
  <c r="AD638" i="28"/>
  <c r="P636" i="28"/>
  <c r="U636" i="28"/>
  <c r="V636" i="28" s="1"/>
  <c r="X636" i="28" s="1"/>
  <c r="J637" i="28"/>
  <c r="Y637" i="28" s="1"/>
  <c r="I637" i="28"/>
  <c r="K637" i="28" s="1"/>
  <c r="N637" i="28" s="1"/>
  <c r="S638" i="28"/>
  <c r="W638" i="28"/>
  <c r="R638" i="28"/>
  <c r="Q638" i="28"/>
  <c r="AC640" i="28"/>
  <c r="B639" i="28"/>
  <c r="O637" i="28"/>
  <c r="Z636" i="28"/>
  <c r="T639" i="28" l="1"/>
  <c r="E639" i="28"/>
  <c r="O638" i="28"/>
  <c r="I638" i="28"/>
  <c r="K638" i="28" s="1"/>
  <c r="N638" i="28" s="1"/>
  <c r="J638" i="28"/>
  <c r="Y638" i="28" s="1"/>
  <c r="Z637" i="28"/>
  <c r="AE639" i="28"/>
  <c r="AD639" i="28"/>
  <c r="R639" i="28"/>
  <c r="S639" i="28"/>
  <c r="Q639" i="28"/>
  <c r="W639" i="28"/>
  <c r="AC641" i="28"/>
  <c r="B640" i="28"/>
  <c r="P637" i="28"/>
  <c r="U637" i="28"/>
  <c r="V637" i="28" s="1"/>
  <c r="X637" i="28" s="1"/>
  <c r="T640" i="28" l="1"/>
  <c r="E640" i="28"/>
  <c r="O639" i="28"/>
  <c r="AC642" i="28"/>
  <c r="B641" i="28"/>
  <c r="P638" i="28"/>
  <c r="U638" i="28"/>
  <c r="V638" i="28" s="1"/>
  <c r="X638" i="28" s="1"/>
  <c r="Z638" i="28"/>
  <c r="S640" i="28"/>
  <c r="R640" i="28"/>
  <c r="W640" i="28"/>
  <c r="Q640" i="28"/>
  <c r="AD640" i="28"/>
  <c r="AE640" i="28"/>
  <c r="I639" i="28"/>
  <c r="K639" i="28" s="1"/>
  <c r="N639" i="28" s="1"/>
  <c r="J639" i="28"/>
  <c r="Y639" i="28" s="1"/>
  <c r="E641" i="28" l="1"/>
  <c r="T641" i="28"/>
  <c r="Z639" i="28"/>
  <c r="U639" i="28"/>
  <c r="V639" i="28" s="1"/>
  <c r="X639" i="28" s="1"/>
  <c r="P639" i="28"/>
  <c r="J640" i="28"/>
  <c r="Y640" i="28" s="1"/>
  <c r="I640" i="28"/>
  <c r="K640" i="28" s="1"/>
  <c r="N640" i="28" s="1"/>
  <c r="S641" i="28"/>
  <c r="R641" i="28"/>
  <c r="W641" i="28"/>
  <c r="Q641" i="28"/>
  <c r="AE641" i="28"/>
  <c r="AD641" i="28"/>
  <c r="O640" i="28"/>
  <c r="AC643" i="28"/>
  <c r="B642" i="28"/>
  <c r="E642" i="28" l="1"/>
  <c r="T642" i="28"/>
  <c r="O641" i="28"/>
  <c r="U640" i="28"/>
  <c r="V640" i="28" s="1"/>
  <c r="X640" i="28" s="1"/>
  <c r="P640" i="28"/>
  <c r="R642" i="28"/>
  <c r="Q642" i="28"/>
  <c r="W642" i="28"/>
  <c r="S642" i="28"/>
  <c r="AE642" i="28"/>
  <c r="AD642" i="28"/>
  <c r="Z640" i="28"/>
  <c r="I641" i="28"/>
  <c r="K641" i="28" s="1"/>
  <c r="N641" i="28" s="1"/>
  <c r="J641" i="28"/>
  <c r="Y641" i="28" s="1"/>
  <c r="B643" i="28"/>
  <c r="AC644" i="28"/>
  <c r="E643" i="28" l="1"/>
  <c r="T643" i="28"/>
  <c r="Z641" i="28"/>
  <c r="B644" i="28"/>
  <c r="AC645" i="28"/>
  <c r="W643" i="28"/>
  <c r="S643" i="28"/>
  <c r="R643" i="28"/>
  <c r="Q643" i="28"/>
  <c r="P641" i="28"/>
  <c r="U641" i="28"/>
  <c r="V641" i="28" s="1"/>
  <c r="X641" i="28" s="1"/>
  <c r="AE643" i="28"/>
  <c r="AD643" i="28"/>
  <c r="I642" i="28"/>
  <c r="K642" i="28" s="1"/>
  <c r="N642" i="28" s="1"/>
  <c r="J642" i="28"/>
  <c r="Y642" i="28" s="1"/>
  <c r="O642" i="28"/>
  <c r="T644" i="28" l="1"/>
  <c r="E644" i="28"/>
  <c r="P642" i="28"/>
  <c r="U642" i="28"/>
  <c r="V642" i="28" s="1"/>
  <c r="X642" i="28" s="1"/>
  <c r="J643" i="28"/>
  <c r="Y643" i="28" s="1"/>
  <c r="I643" i="28"/>
  <c r="K643" i="28" s="1"/>
  <c r="N643" i="28" s="1"/>
  <c r="Q644" i="28"/>
  <c r="R644" i="28"/>
  <c r="S644" i="28"/>
  <c r="W644" i="28"/>
  <c r="Z642" i="28"/>
  <c r="O643" i="28"/>
  <c r="B645" i="28"/>
  <c r="AC646" i="28"/>
  <c r="AE644" i="28"/>
  <c r="AD644" i="28"/>
  <c r="E645" i="28" l="1"/>
  <c r="T645" i="28"/>
  <c r="O644" i="28"/>
  <c r="I644" i="28"/>
  <c r="K644" i="28" s="1"/>
  <c r="N644" i="28" s="1"/>
  <c r="J644" i="28"/>
  <c r="Y644" i="28" s="1"/>
  <c r="B646" i="28"/>
  <c r="AC647" i="28"/>
  <c r="AD645" i="28"/>
  <c r="AE645" i="28"/>
  <c r="W645" i="28"/>
  <c r="Q645" i="28"/>
  <c r="R645" i="28"/>
  <c r="S645" i="28"/>
  <c r="Z643" i="28"/>
  <c r="P643" i="28"/>
  <c r="U643" i="28"/>
  <c r="V643" i="28" s="1"/>
  <c r="X643" i="28" s="1"/>
  <c r="E646" i="28" l="1"/>
  <c r="T646" i="28"/>
  <c r="O645" i="28"/>
  <c r="Z644" i="28"/>
  <c r="I645" i="28"/>
  <c r="K645" i="28" s="1"/>
  <c r="N645" i="28" s="1"/>
  <c r="J645" i="28"/>
  <c r="Y645" i="28" s="1"/>
  <c r="S646" i="28"/>
  <c r="W646" i="28"/>
  <c r="Q646" i="28"/>
  <c r="R646" i="28"/>
  <c r="AC648" i="28"/>
  <c r="B647" i="28"/>
  <c r="AE646" i="28"/>
  <c r="AD646" i="28"/>
  <c r="P644" i="28"/>
  <c r="U644" i="28"/>
  <c r="V644" i="28" s="1"/>
  <c r="X644" i="28" s="1"/>
  <c r="E647" i="28" l="1"/>
  <c r="T647" i="28"/>
  <c r="Z645" i="28"/>
  <c r="O646" i="28"/>
  <c r="B648" i="28"/>
  <c r="AC649" i="28"/>
  <c r="I646" i="28"/>
  <c r="K646" i="28" s="1"/>
  <c r="N646" i="28" s="1"/>
  <c r="J646" i="28"/>
  <c r="Y646" i="28" s="1"/>
  <c r="R647" i="28"/>
  <c r="S647" i="28"/>
  <c r="Q647" i="28"/>
  <c r="W647" i="28"/>
  <c r="AD647" i="28"/>
  <c r="AE647" i="28"/>
  <c r="P645" i="28"/>
  <c r="U645" i="28"/>
  <c r="V645" i="28" s="1"/>
  <c r="X645" i="28" s="1"/>
  <c r="T648" i="28" l="1"/>
  <c r="E648" i="28"/>
  <c r="O647" i="28"/>
  <c r="AC650" i="28"/>
  <c r="B649" i="28"/>
  <c r="S648" i="28"/>
  <c r="R648" i="28"/>
  <c r="W648" i="28"/>
  <c r="Q648" i="28"/>
  <c r="Z646" i="28"/>
  <c r="I647" i="28"/>
  <c r="K647" i="28" s="1"/>
  <c r="N647" i="28" s="1"/>
  <c r="J647" i="28"/>
  <c r="Y647" i="28" s="1"/>
  <c r="P646" i="28"/>
  <c r="U646" i="28"/>
  <c r="V646" i="28" s="1"/>
  <c r="X646" i="28" s="1"/>
  <c r="AD648" i="28"/>
  <c r="AE648" i="28"/>
  <c r="T649" i="28" l="1"/>
  <c r="E649" i="28"/>
  <c r="I648" i="28"/>
  <c r="K648" i="28" s="1"/>
  <c r="N648" i="28" s="1"/>
  <c r="J648" i="28"/>
  <c r="Y648" i="28" s="1"/>
  <c r="P647" i="28"/>
  <c r="U647" i="28"/>
  <c r="V647" i="28" s="1"/>
  <c r="X647" i="28" s="1"/>
  <c r="O648" i="28"/>
  <c r="AE649" i="28"/>
  <c r="AD649" i="28"/>
  <c r="Z647" i="28"/>
  <c r="R649" i="28"/>
  <c r="S649" i="28"/>
  <c r="Q649" i="28"/>
  <c r="W649" i="28"/>
  <c r="AC651" i="28"/>
  <c r="B650" i="28"/>
  <c r="E650" i="28" l="1"/>
  <c r="T650" i="28"/>
  <c r="O649" i="28"/>
  <c r="I649" i="28"/>
  <c r="K649" i="28" s="1"/>
  <c r="N649" i="28" s="1"/>
  <c r="J649" i="28"/>
  <c r="Y649" i="28" s="1"/>
  <c r="AD650" i="28"/>
  <c r="AE650" i="28"/>
  <c r="W650" i="28"/>
  <c r="Q650" i="28"/>
  <c r="S650" i="28"/>
  <c r="R650" i="28"/>
  <c r="B651" i="28"/>
  <c r="AC652" i="28"/>
  <c r="Z648" i="28"/>
  <c r="P648" i="28"/>
  <c r="U648" i="28"/>
  <c r="V648" i="28" s="1"/>
  <c r="X648" i="28" s="1"/>
  <c r="T651" i="28" l="1"/>
  <c r="E651" i="28"/>
  <c r="O650" i="28"/>
  <c r="J650" i="28"/>
  <c r="Y650" i="28" s="1"/>
  <c r="I650" i="28"/>
  <c r="K650" i="28" s="1"/>
  <c r="N650" i="28" s="1"/>
  <c r="Z649" i="28"/>
  <c r="R651" i="28"/>
  <c r="S651" i="28"/>
  <c r="Q651" i="28"/>
  <c r="W651" i="28"/>
  <c r="AC653" i="28"/>
  <c r="B652" i="28"/>
  <c r="AE651" i="28"/>
  <c r="AD651" i="28"/>
  <c r="U649" i="28"/>
  <c r="V649" i="28" s="1"/>
  <c r="X649" i="28" s="1"/>
  <c r="P649" i="28"/>
  <c r="T652" i="28" l="1"/>
  <c r="E652" i="28"/>
  <c r="O651" i="28"/>
  <c r="U650" i="28"/>
  <c r="V650" i="28" s="1"/>
  <c r="X650" i="28" s="1"/>
  <c r="P650" i="28"/>
  <c r="J651" i="28"/>
  <c r="Y651" i="28" s="1"/>
  <c r="I651" i="28"/>
  <c r="K651" i="28" s="1"/>
  <c r="N651" i="28" s="1"/>
  <c r="W652" i="28"/>
  <c r="R652" i="28"/>
  <c r="S652" i="28"/>
  <c r="Q652" i="28"/>
  <c r="AD652" i="28"/>
  <c r="AE652" i="28"/>
  <c r="AC654" i="28"/>
  <c r="B653" i="28"/>
  <c r="Z650" i="28"/>
  <c r="T653" i="28" l="1"/>
  <c r="E653" i="28"/>
  <c r="Q653" i="28"/>
  <c r="W653" i="28"/>
  <c r="R653" i="28"/>
  <c r="S653" i="28"/>
  <c r="AE653" i="28"/>
  <c r="AD653" i="28"/>
  <c r="O652" i="28"/>
  <c r="U651" i="28"/>
  <c r="V651" i="28" s="1"/>
  <c r="X651" i="28" s="1"/>
  <c r="P651" i="28"/>
  <c r="Z651" i="28"/>
  <c r="AC655" i="28"/>
  <c r="B654" i="28"/>
  <c r="J652" i="28"/>
  <c r="Y652" i="28" s="1"/>
  <c r="I652" i="28"/>
  <c r="K652" i="28" s="1"/>
  <c r="N652" i="28" s="1"/>
  <c r="E654" i="28" l="1"/>
  <c r="T654" i="28"/>
  <c r="O653" i="28"/>
  <c r="P652" i="28"/>
  <c r="U652" i="28"/>
  <c r="V652" i="28" s="1"/>
  <c r="X652" i="28" s="1"/>
  <c r="S654" i="28"/>
  <c r="R654" i="28"/>
  <c r="Q654" i="28"/>
  <c r="W654" i="28"/>
  <c r="AE654" i="28"/>
  <c r="AD654" i="28"/>
  <c r="Z652" i="28"/>
  <c r="J653" i="28"/>
  <c r="Y653" i="28" s="1"/>
  <c r="I653" i="28"/>
  <c r="K653" i="28" s="1"/>
  <c r="N653" i="28" s="1"/>
  <c r="B655" i="28"/>
  <c r="AC656" i="28"/>
  <c r="E655" i="28" l="1"/>
  <c r="T655" i="28"/>
  <c r="B656" i="28"/>
  <c r="AC657" i="28"/>
  <c r="S655" i="28"/>
  <c r="Q655" i="28"/>
  <c r="W655" i="28"/>
  <c r="R655" i="28"/>
  <c r="I654" i="28"/>
  <c r="K654" i="28" s="1"/>
  <c r="N654" i="28" s="1"/>
  <c r="J654" i="28"/>
  <c r="Y654" i="28" s="1"/>
  <c r="AD655" i="28"/>
  <c r="AE655" i="28"/>
  <c r="U653" i="28"/>
  <c r="V653" i="28" s="1"/>
  <c r="X653" i="28" s="1"/>
  <c r="P653" i="28"/>
  <c r="O654" i="28"/>
  <c r="Z653" i="28"/>
  <c r="T656" i="28" l="1"/>
  <c r="E656" i="28"/>
  <c r="Z654" i="28"/>
  <c r="AC658" i="28"/>
  <c r="B657" i="28"/>
  <c r="AD656" i="28"/>
  <c r="AE656" i="28"/>
  <c r="I655" i="28"/>
  <c r="K655" i="28" s="1"/>
  <c r="N655" i="28" s="1"/>
  <c r="J655" i="28"/>
  <c r="Y655" i="28" s="1"/>
  <c r="U654" i="28"/>
  <c r="V654" i="28" s="1"/>
  <c r="X654" i="28" s="1"/>
  <c r="P654" i="28"/>
  <c r="O655" i="28"/>
  <c r="W656" i="28"/>
  <c r="R656" i="28"/>
  <c r="S656" i="28"/>
  <c r="Q656" i="28"/>
  <c r="E657" i="28" l="1"/>
  <c r="T657" i="28"/>
  <c r="Z655" i="28"/>
  <c r="S657" i="28"/>
  <c r="Q657" i="28"/>
  <c r="W657" i="28"/>
  <c r="R657" i="28"/>
  <c r="AE657" i="28"/>
  <c r="AD657" i="28"/>
  <c r="O656" i="28"/>
  <c r="U655" i="28"/>
  <c r="V655" i="28" s="1"/>
  <c r="X655" i="28" s="1"/>
  <c r="P655" i="28"/>
  <c r="J656" i="28"/>
  <c r="Y656" i="28" s="1"/>
  <c r="I656" i="28"/>
  <c r="K656" i="28" s="1"/>
  <c r="N656" i="28" s="1"/>
  <c r="B658" i="28"/>
  <c r="AC659" i="28"/>
  <c r="E658" i="28" l="1"/>
  <c r="T658" i="28"/>
  <c r="W658" i="28"/>
  <c r="S658" i="28"/>
  <c r="R658" i="28"/>
  <c r="Q658" i="28"/>
  <c r="P656" i="28"/>
  <c r="U656" i="28"/>
  <c r="V656" i="28" s="1"/>
  <c r="X656" i="28" s="1"/>
  <c r="AC660" i="28"/>
  <c r="B659" i="28"/>
  <c r="AD658" i="28"/>
  <c r="AE658" i="28"/>
  <c r="Z656" i="28"/>
  <c r="J657" i="28"/>
  <c r="Y657" i="28" s="1"/>
  <c r="I657" i="28"/>
  <c r="K657" i="28" s="1"/>
  <c r="N657" i="28" s="1"/>
  <c r="O657" i="28"/>
  <c r="E659" i="28" l="1"/>
  <c r="T659" i="28"/>
  <c r="J658" i="28"/>
  <c r="Y658" i="28" s="1"/>
  <c r="I658" i="28"/>
  <c r="K658" i="28" s="1"/>
  <c r="N658" i="28" s="1"/>
  <c r="B660" i="28"/>
  <c r="AC661" i="28"/>
  <c r="Z657" i="28"/>
  <c r="P657" i="28"/>
  <c r="U657" i="28"/>
  <c r="V657" i="28" s="1"/>
  <c r="X657" i="28" s="1"/>
  <c r="Q659" i="28"/>
  <c r="W659" i="28"/>
  <c r="R659" i="28"/>
  <c r="S659" i="28"/>
  <c r="AE659" i="28"/>
  <c r="AD659" i="28"/>
  <c r="O658" i="28"/>
  <c r="T660" i="28" l="1"/>
  <c r="E660" i="28"/>
  <c r="J659" i="28"/>
  <c r="Y659" i="28" s="1"/>
  <c r="I659" i="28"/>
  <c r="K659" i="28" s="1"/>
  <c r="N659" i="28" s="1"/>
  <c r="O659" i="28"/>
  <c r="W660" i="28"/>
  <c r="R660" i="28"/>
  <c r="S660" i="28"/>
  <c r="Q660" i="28"/>
  <c r="P658" i="28"/>
  <c r="U658" i="28"/>
  <c r="V658" i="28" s="1"/>
  <c r="X658" i="28" s="1"/>
  <c r="Z658" i="28"/>
  <c r="AC662" i="28"/>
  <c r="B661" i="28"/>
  <c r="AE660" i="28"/>
  <c r="AD660" i="28"/>
  <c r="E661" i="28" l="1"/>
  <c r="T661" i="28"/>
  <c r="AC663" i="28"/>
  <c r="B662" i="28"/>
  <c r="I660" i="28"/>
  <c r="K660" i="28" s="1"/>
  <c r="N660" i="28" s="1"/>
  <c r="J660" i="28"/>
  <c r="Y660" i="28" s="1"/>
  <c r="Q661" i="28"/>
  <c r="W661" i="28"/>
  <c r="R661" i="28"/>
  <c r="S661" i="28"/>
  <c r="AE661" i="28"/>
  <c r="AD661" i="28"/>
  <c r="U659" i="28"/>
  <c r="V659" i="28" s="1"/>
  <c r="X659" i="28" s="1"/>
  <c r="P659" i="28"/>
  <c r="O660" i="28"/>
  <c r="Q577" i="7" s="1"/>
  <c r="Q579" i="7" s="1"/>
  <c r="Q581" i="7" s="1"/>
  <c r="Q583" i="7" s="1"/>
  <c r="Z659" i="28"/>
  <c r="O645" i="7" l="1"/>
  <c r="O641" i="7"/>
  <c r="O637" i="7"/>
  <c r="O633" i="7"/>
  <c r="O629" i="7"/>
  <c r="O625" i="7"/>
  <c r="O621" i="7"/>
  <c r="O617" i="7"/>
  <c r="O613" i="7"/>
  <c r="O609" i="7"/>
  <c r="O605" i="7"/>
  <c r="O601" i="7"/>
  <c r="O597" i="7"/>
  <c r="O593" i="7"/>
  <c r="O589" i="7"/>
  <c r="O585" i="7"/>
  <c r="O581" i="7"/>
  <c r="O577" i="7"/>
  <c r="O639" i="7"/>
  <c r="O635" i="7"/>
  <c r="O631" i="7"/>
  <c r="O623" i="7"/>
  <c r="O615" i="7"/>
  <c r="O607" i="7"/>
  <c r="O599" i="7"/>
  <c r="O591" i="7"/>
  <c r="O583" i="7"/>
  <c r="O642" i="7"/>
  <c r="O630" i="7"/>
  <c r="O622" i="7"/>
  <c r="O614" i="7"/>
  <c r="O606" i="7"/>
  <c r="O598" i="7"/>
  <c r="O590" i="7"/>
  <c r="O582" i="7"/>
  <c r="O644" i="7"/>
  <c r="O640" i="7"/>
  <c r="O636" i="7"/>
  <c r="O632" i="7"/>
  <c r="O628" i="7"/>
  <c r="O624" i="7"/>
  <c r="O620" i="7"/>
  <c r="O616" i="7"/>
  <c r="O612" i="7"/>
  <c r="O608" i="7"/>
  <c r="O604" i="7"/>
  <c r="O600" i="7"/>
  <c r="O596" i="7"/>
  <c r="O592" i="7"/>
  <c r="O588" i="7"/>
  <c r="O584" i="7"/>
  <c r="O580" i="7"/>
  <c r="O643" i="7"/>
  <c r="O627" i="7"/>
  <c r="O619" i="7"/>
  <c r="O611" i="7"/>
  <c r="O603" i="7"/>
  <c r="O595" i="7"/>
  <c r="O587" i="7"/>
  <c r="O579" i="7"/>
  <c r="O638" i="7"/>
  <c r="O634" i="7"/>
  <c r="O626" i="7"/>
  <c r="O618" i="7"/>
  <c r="O610" i="7"/>
  <c r="O602" i="7"/>
  <c r="O594" i="7"/>
  <c r="O586" i="7"/>
  <c r="O578" i="7"/>
  <c r="L635" i="7"/>
  <c r="M635" i="7" s="1"/>
  <c r="L599" i="7"/>
  <c r="M599" i="7" s="1"/>
  <c r="L619" i="7"/>
  <c r="M619" i="7" s="1"/>
  <c r="L595" i="7"/>
  <c r="M595" i="7" s="1"/>
  <c r="L583" i="7"/>
  <c r="M583" i="7" s="1"/>
  <c r="L604" i="7"/>
  <c r="M604" i="7" s="1"/>
  <c r="L582" i="7"/>
  <c r="M582" i="7" s="1"/>
  <c r="L637" i="7"/>
  <c r="M637" i="7" s="1"/>
  <c r="L641" i="7"/>
  <c r="M641" i="7" s="1"/>
  <c r="L602" i="7"/>
  <c r="M602" i="7" s="1"/>
  <c r="L581" i="7"/>
  <c r="M581" i="7" s="1"/>
  <c r="L588" i="7"/>
  <c r="M588" i="7" s="1"/>
  <c r="L628" i="7"/>
  <c r="M628" i="7" s="1"/>
  <c r="L622" i="7"/>
  <c r="M622" i="7" s="1"/>
  <c r="L630" i="7"/>
  <c r="M630" i="7" s="1"/>
  <c r="L586" i="7"/>
  <c r="M586" i="7" s="1"/>
  <c r="L618" i="7"/>
  <c r="M618" i="7" s="1"/>
  <c r="L613" i="7"/>
  <c r="M613" i="7" s="1"/>
  <c r="L623" i="7"/>
  <c r="M623" i="7" s="1"/>
  <c r="L607" i="7"/>
  <c r="M607" i="7" s="1"/>
  <c r="L579" i="7"/>
  <c r="M579" i="7" s="1"/>
  <c r="L636" i="7"/>
  <c r="M636" i="7" s="1"/>
  <c r="L601" i="7"/>
  <c r="M601" i="7" s="1"/>
  <c r="L638" i="7"/>
  <c r="M638" i="7" s="1"/>
  <c r="L594" i="7"/>
  <c r="M594" i="7" s="1"/>
  <c r="L577" i="7"/>
  <c r="M577" i="7" s="1"/>
  <c r="L634" i="7"/>
  <c r="M634" i="7" s="1"/>
  <c r="L611" i="7"/>
  <c r="M611" i="7" s="1"/>
  <c r="L631" i="7"/>
  <c r="M631" i="7" s="1"/>
  <c r="L603" i="7"/>
  <c r="M603" i="7" s="1"/>
  <c r="L591" i="7"/>
  <c r="M591" i="7" s="1"/>
  <c r="L596" i="7"/>
  <c r="M596" i="7" s="1"/>
  <c r="L584" i="7"/>
  <c r="M584" i="7" s="1"/>
  <c r="L589" i="7"/>
  <c r="M589" i="7" s="1"/>
  <c r="L621" i="7"/>
  <c r="M621" i="7" s="1"/>
  <c r="L614" i="7"/>
  <c r="M614" i="7" s="1"/>
  <c r="L612" i="7"/>
  <c r="M612" i="7" s="1"/>
  <c r="L617" i="7"/>
  <c r="M617" i="7" s="1"/>
  <c r="L632" i="7"/>
  <c r="M632" i="7" s="1"/>
  <c r="L627" i="7"/>
  <c r="M627" i="7" s="1"/>
  <c r="L643" i="7"/>
  <c r="M643" i="7" s="1"/>
  <c r="L615" i="7"/>
  <c r="M615" i="7" s="1"/>
  <c r="L587" i="7"/>
  <c r="M587" i="7" s="1"/>
  <c r="L633" i="7"/>
  <c r="M633" i="7" s="1"/>
  <c r="L620" i="7"/>
  <c r="M620" i="7" s="1"/>
  <c r="L598" i="7"/>
  <c r="M598" i="7" s="1"/>
  <c r="L642" i="7"/>
  <c r="M642" i="7" s="1"/>
  <c r="L608" i="7"/>
  <c r="M608" i="7" s="1"/>
  <c r="L606" i="7"/>
  <c r="M606" i="7" s="1"/>
  <c r="L605" i="7"/>
  <c r="M605" i="7" s="1"/>
  <c r="L578" i="7"/>
  <c r="M578" i="7" s="1"/>
  <c r="L644" i="7"/>
  <c r="M644" i="7" s="1"/>
  <c r="L610" i="7"/>
  <c r="M610" i="7" s="1"/>
  <c r="L593" i="7"/>
  <c r="M593" i="7" s="1"/>
  <c r="L600" i="7"/>
  <c r="M600" i="7" s="1"/>
  <c r="L585" i="7"/>
  <c r="M585" i="7" s="1"/>
  <c r="L639" i="7"/>
  <c r="M639" i="7" s="1"/>
  <c r="L580" i="7"/>
  <c r="M580" i="7" s="1"/>
  <c r="L626" i="7"/>
  <c r="M626" i="7" s="1"/>
  <c r="L624" i="7"/>
  <c r="M624" i="7" s="1"/>
  <c r="L625" i="7"/>
  <c r="M625" i="7" s="1"/>
  <c r="L592" i="7"/>
  <c r="M592" i="7" s="1"/>
  <c r="L609" i="7"/>
  <c r="M609" i="7" s="1"/>
  <c r="L616" i="7"/>
  <c r="M616" i="7" s="1"/>
  <c r="L640" i="7"/>
  <c r="M640" i="7" s="1"/>
  <c r="L645" i="7"/>
  <c r="M645" i="7" s="1"/>
  <c r="L590" i="7"/>
  <c r="M590" i="7" s="1"/>
  <c r="L629" i="7"/>
  <c r="M629" i="7" s="1"/>
  <c r="L597" i="7"/>
  <c r="M597" i="7" s="1"/>
  <c r="E662" i="28"/>
  <c r="T662" i="28"/>
  <c r="J661" i="28"/>
  <c r="Y661" i="28" s="1"/>
  <c r="I661" i="28"/>
  <c r="K661" i="28" s="1"/>
  <c r="N661" i="28" s="1"/>
  <c r="O661" i="28"/>
  <c r="B663" i="28"/>
  <c r="AC664" i="28"/>
  <c r="Z660" i="28"/>
  <c r="U660" i="28"/>
  <c r="V660" i="28" s="1"/>
  <c r="X660" i="28" s="1"/>
  <c r="P660" i="28"/>
  <c r="Q662" i="28"/>
  <c r="W662" i="28"/>
  <c r="S662" i="28"/>
  <c r="R662" i="28"/>
  <c r="AE662" i="28"/>
  <c r="AD662" i="28"/>
  <c r="E663" i="28" l="1"/>
  <c r="T663" i="28"/>
  <c r="AD663" i="28"/>
  <c r="AE663" i="28"/>
  <c r="Z661" i="28"/>
  <c r="U661" i="28"/>
  <c r="V661" i="28" s="1"/>
  <c r="X661" i="28" s="1"/>
  <c r="P661" i="28"/>
  <c r="J662" i="28"/>
  <c r="Y662" i="28" s="1"/>
  <c r="I662" i="28"/>
  <c r="K662" i="28" s="1"/>
  <c r="N662" i="28" s="1"/>
  <c r="O662" i="28"/>
  <c r="B664" i="28"/>
  <c r="AC665" i="28"/>
  <c r="Q663" i="28"/>
  <c r="W663" i="28"/>
  <c r="R663" i="28"/>
  <c r="S663" i="28"/>
  <c r="T664" i="28" l="1"/>
  <c r="E664" i="28"/>
  <c r="AD664" i="28"/>
  <c r="AE664" i="28"/>
  <c r="Z662" i="28"/>
  <c r="O663" i="28"/>
  <c r="B665" i="28"/>
  <c r="AC666" i="28"/>
  <c r="R664" i="28"/>
  <c r="S664" i="28"/>
  <c r="Q664" i="28"/>
  <c r="W664" i="28"/>
  <c r="P662" i="28"/>
  <c r="U662" i="28"/>
  <c r="V662" i="28" s="1"/>
  <c r="X662" i="28" s="1"/>
  <c r="J663" i="28"/>
  <c r="Y663" i="28" s="1"/>
  <c r="I663" i="28"/>
  <c r="K663" i="28" s="1"/>
  <c r="N663" i="28" s="1"/>
  <c r="T665" i="28" l="1"/>
  <c r="E665" i="28"/>
  <c r="O664" i="28"/>
  <c r="P663" i="28"/>
  <c r="U663" i="28"/>
  <c r="V663" i="28" s="1"/>
  <c r="X663" i="28" s="1"/>
  <c r="W665" i="28"/>
  <c r="Q665" i="28"/>
  <c r="R665" i="28"/>
  <c r="S665" i="28"/>
  <c r="Z663" i="28"/>
  <c r="I664" i="28"/>
  <c r="K664" i="28" s="1"/>
  <c r="N664" i="28" s="1"/>
  <c r="J664" i="28"/>
  <c r="Y664" i="28" s="1"/>
  <c r="B666" i="28"/>
  <c r="AC667" i="28"/>
  <c r="AE665" i="28"/>
  <c r="AD665" i="28"/>
  <c r="E666" i="28" l="1"/>
  <c r="T666" i="28"/>
  <c r="O665" i="28"/>
  <c r="Z664" i="28"/>
  <c r="AD666" i="28"/>
  <c r="AE666" i="28"/>
  <c r="P664" i="28"/>
  <c r="U664" i="28"/>
  <c r="V664" i="28" s="1"/>
  <c r="X664" i="28" s="1"/>
  <c r="I665" i="28"/>
  <c r="K665" i="28" s="1"/>
  <c r="N665" i="28" s="1"/>
  <c r="J665" i="28"/>
  <c r="Y665" i="28" s="1"/>
  <c r="AC668" i="28"/>
  <c r="B667" i="28"/>
  <c r="R666" i="28"/>
  <c r="S666" i="28"/>
  <c r="Q666" i="28"/>
  <c r="W666" i="28"/>
  <c r="T667" i="28" l="1"/>
  <c r="E667" i="28"/>
  <c r="O666" i="28"/>
  <c r="Z665" i="28"/>
  <c r="B668" i="28"/>
  <c r="AC669" i="28"/>
  <c r="W667" i="28"/>
  <c r="Q667" i="28"/>
  <c r="R667" i="28"/>
  <c r="S667" i="28"/>
  <c r="AE667" i="28"/>
  <c r="AD667" i="28"/>
  <c r="U665" i="28"/>
  <c r="V665" i="28" s="1"/>
  <c r="X665" i="28" s="1"/>
  <c r="P665" i="28"/>
  <c r="J666" i="28"/>
  <c r="Y666" i="28" s="1"/>
  <c r="I666" i="28"/>
  <c r="K666" i="28" s="1"/>
  <c r="N666" i="28" s="1"/>
  <c r="T668" i="28" l="1"/>
  <c r="E668" i="28"/>
  <c r="O667" i="28"/>
  <c r="Z666" i="28"/>
  <c r="P666" i="28"/>
  <c r="U666" i="28"/>
  <c r="V666" i="28" s="1"/>
  <c r="X666" i="28" s="1"/>
  <c r="J667" i="28"/>
  <c r="Y667" i="28" s="1"/>
  <c r="I667" i="28"/>
  <c r="K667" i="28" s="1"/>
  <c r="N667" i="28" s="1"/>
  <c r="AE668" i="28"/>
  <c r="AD668" i="28"/>
  <c r="AC670" i="28"/>
  <c r="B669" i="28"/>
  <c r="W668" i="28"/>
  <c r="R668" i="28"/>
  <c r="S668" i="28"/>
  <c r="Q668" i="28"/>
  <c r="T669" i="28" l="1"/>
  <c r="E669" i="28"/>
  <c r="Z667" i="28"/>
  <c r="O668" i="28"/>
  <c r="W669" i="28"/>
  <c r="R669" i="28"/>
  <c r="S669" i="28"/>
  <c r="Q669" i="28"/>
  <c r="AD669" i="28"/>
  <c r="AE669" i="28"/>
  <c r="I668" i="28"/>
  <c r="K668" i="28" s="1"/>
  <c r="N668" i="28" s="1"/>
  <c r="J668" i="28"/>
  <c r="Y668" i="28" s="1"/>
  <c r="U667" i="28"/>
  <c r="V667" i="28" s="1"/>
  <c r="X667" i="28" s="1"/>
  <c r="P667" i="28"/>
  <c r="AC671" i="28"/>
  <c r="B670" i="28"/>
  <c r="E670" i="28" l="1"/>
  <c r="T670" i="28"/>
  <c r="R670" i="28"/>
  <c r="Q670" i="28"/>
  <c r="W670" i="28"/>
  <c r="S670" i="28"/>
  <c r="AC672" i="28"/>
  <c r="B671" i="28"/>
  <c r="P668" i="28"/>
  <c r="U668" i="28"/>
  <c r="V668" i="28" s="1"/>
  <c r="X668" i="28" s="1"/>
  <c r="I669" i="28"/>
  <c r="K669" i="28" s="1"/>
  <c r="N669" i="28" s="1"/>
  <c r="J669" i="28"/>
  <c r="Y669" i="28" s="1"/>
  <c r="O669" i="28"/>
  <c r="Z668" i="28"/>
  <c r="AD670" i="28"/>
  <c r="AE670" i="28"/>
  <c r="E671" i="28" l="1"/>
  <c r="T671" i="28"/>
  <c r="O670" i="28"/>
  <c r="U669" i="28"/>
  <c r="V669" i="28" s="1"/>
  <c r="X669" i="28" s="1"/>
  <c r="P669" i="28"/>
  <c r="W671" i="28"/>
  <c r="Q671" i="28"/>
  <c r="R671" i="28"/>
  <c r="S671" i="28"/>
  <c r="AE671" i="28"/>
  <c r="AD671" i="28"/>
  <c r="I670" i="28"/>
  <c r="K670" i="28" s="1"/>
  <c r="N670" i="28" s="1"/>
  <c r="J670" i="28"/>
  <c r="Y670" i="28" s="1"/>
  <c r="Z669" i="28"/>
  <c r="AC673" i="28"/>
  <c r="B672" i="28"/>
  <c r="Z670" i="28" l="1"/>
  <c r="T672" i="28"/>
  <c r="E672" i="28"/>
  <c r="B673" i="28"/>
  <c r="AC674" i="28"/>
  <c r="P670" i="28"/>
  <c r="U670" i="28"/>
  <c r="V670" i="28" s="1"/>
  <c r="X670" i="28" s="1"/>
  <c r="I671" i="28"/>
  <c r="K671" i="28" s="1"/>
  <c r="N671" i="28" s="1"/>
  <c r="J671" i="28"/>
  <c r="Y671" i="28" s="1"/>
  <c r="O671" i="28"/>
  <c r="Q672" i="28"/>
  <c r="W672" i="28"/>
  <c r="R672" i="28"/>
  <c r="S672" i="28"/>
  <c r="AE672" i="28"/>
  <c r="AD672" i="28"/>
  <c r="E673" i="28" l="1"/>
  <c r="T673" i="28"/>
  <c r="O672" i="28"/>
  <c r="Q673" i="28"/>
  <c r="W673" i="28"/>
  <c r="R673" i="28"/>
  <c r="S673" i="28"/>
  <c r="I672" i="28"/>
  <c r="K672" i="28" s="1"/>
  <c r="N672" i="28" s="1"/>
  <c r="J672" i="28"/>
  <c r="Y672" i="28" s="1"/>
  <c r="Z671" i="28"/>
  <c r="P671" i="28"/>
  <c r="U671" i="28"/>
  <c r="V671" i="28" s="1"/>
  <c r="X671" i="28" s="1"/>
  <c r="B674" i="28"/>
  <c r="AC675" i="28"/>
  <c r="AE673" i="28"/>
  <c r="AD673" i="28"/>
  <c r="E674" i="28" l="1"/>
  <c r="T674" i="28"/>
  <c r="O673" i="28"/>
  <c r="I673" i="28"/>
  <c r="K673" i="28" s="1"/>
  <c r="N673" i="28" s="1"/>
  <c r="J673" i="28"/>
  <c r="Y673" i="28" s="1"/>
  <c r="B675" i="28"/>
  <c r="AC676" i="28"/>
  <c r="AE674" i="28"/>
  <c r="AD674" i="28"/>
  <c r="U672" i="28"/>
  <c r="V672" i="28" s="1"/>
  <c r="X672" i="28" s="1"/>
  <c r="P672" i="28"/>
  <c r="S674" i="28"/>
  <c r="R674" i="28"/>
  <c r="Q674" i="28"/>
  <c r="W674" i="28"/>
  <c r="Z672" i="28"/>
  <c r="E675" i="28" l="1"/>
  <c r="T675" i="28"/>
  <c r="O674" i="28"/>
  <c r="W675" i="28"/>
  <c r="Q675" i="28"/>
  <c r="R675" i="28"/>
  <c r="S675" i="28"/>
  <c r="Z673" i="28"/>
  <c r="J674" i="28"/>
  <c r="Y674" i="28" s="1"/>
  <c r="I674" i="28"/>
  <c r="K674" i="28" s="1"/>
  <c r="N674" i="28" s="1"/>
  <c r="B676" i="28"/>
  <c r="AC677" i="28"/>
  <c r="AD675" i="28"/>
  <c r="AE675" i="28"/>
  <c r="P673" i="28"/>
  <c r="U673" i="28"/>
  <c r="V673" i="28" s="1"/>
  <c r="X673" i="28" s="1"/>
  <c r="T676" i="28" l="1"/>
  <c r="E676" i="28"/>
  <c r="Z674" i="28"/>
  <c r="AC678" i="28"/>
  <c r="B677" i="28"/>
  <c r="AD676" i="28"/>
  <c r="AE676" i="28"/>
  <c r="O675" i="28"/>
  <c r="J675" i="28"/>
  <c r="Y675" i="28" s="1"/>
  <c r="I675" i="28"/>
  <c r="K675" i="28" s="1"/>
  <c r="N675" i="28" s="1"/>
  <c r="Q676" i="28"/>
  <c r="W676" i="28"/>
  <c r="R676" i="28"/>
  <c r="S676" i="28"/>
  <c r="P674" i="28"/>
  <c r="U674" i="28"/>
  <c r="V674" i="28" s="1"/>
  <c r="X674" i="28" s="1"/>
  <c r="E677" i="28" l="1"/>
  <c r="T677" i="28"/>
  <c r="O676" i="28"/>
  <c r="U675" i="28"/>
  <c r="V675" i="28" s="1"/>
  <c r="X675" i="28" s="1"/>
  <c r="P675" i="28"/>
  <c r="Z675" i="28"/>
  <c r="J676" i="28"/>
  <c r="Y676" i="28" s="1"/>
  <c r="I676" i="28"/>
  <c r="K676" i="28" s="1"/>
  <c r="N676" i="28" s="1"/>
  <c r="B678" i="28"/>
  <c r="AC679" i="28"/>
  <c r="R677" i="28"/>
  <c r="S677" i="28"/>
  <c r="Q677" i="28"/>
  <c r="W677" i="28"/>
  <c r="AE677" i="28"/>
  <c r="AD677" i="28"/>
  <c r="E678" i="28" l="1"/>
  <c r="T678" i="28"/>
  <c r="Z676" i="28"/>
  <c r="O677" i="28"/>
  <c r="B679" i="28"/>
  <c r="AC680" i="28"/>
  <c r="AE678" i="28"/>
  <c r="AD678" i="28"/>
  <c r="J677" i="28"/>
  <c r="Y677" i="28" s="1"/>
  <c r="I677" i="28"/>
  <c r="K677" i="28" s="1"/>
  <c r="N677" i="28" s="1"/>
  <c r="S678" i="28"/>
  <c r="R678" i="28"/>
  <c r="Q678" i="28"/>
  <c r="W678" i="28"/>
  <c r="P676" i="28"/>
  <c r="U676" i="28"/>
  <c r="V676" i="28" s="1"/>
  <c r="X676" i="28" s="1"/>
  <c r="T679" i="28" l="1"/>
  <c r="E679" i="28"/>
  <c r="Z677" i="28"/>
  <c r="O678" i="28"/>
  <c r="AE679" i="28"/>
  <c r="AD679" i="28"/>
  <c r="P677" i="28"/>
  <c r="U677" i="28"/>
  <c r="V677" i="28" s="1"/>
  <c r="X677" i="28" s="1"/>
  <c r="I678" i="28"/>
  <c r="K678" i="28" s="1"/>
  <c r="N678" i="28" s="1"/>
  <c r="J678" i="28"/>
  <c r="Y678" i="28" s="1"/>
  <c r="B680" i="28"/>
  <c r="AC681" i="28"/>
  <c r="R679" i="28"/>
  <c r="S679" i="28"/>
  <c r="Q679" i="28"/>
  <c r="W679" i="28"/>
  <c r="T680" i="28" l="1"/>
  <c r="E680" i="28"/>
  <c r="O679" i="28"/>
  <c r="AE680" i="28"/>
  <c r="AD680" i="28"/>
  <c r="J679" i="28"/>
  <c r="Y679" i="28" s="1"/>
  <c r="I679" i="28"/>
  <c r="K679" i="28" s="1"/>
  <c r="N679" i="28" s="1"/>
  <c r="Z678" i="28"/>
  <c r="B681" i="28"/>
  <c r="AC682" i="28"/>
  <c r="S680" i="28"/>
  <c r="Q680" i="28"/>
  <c r="R680" i="28"/>
  <c r="W680" i="28"/>
  <c r="U678" i="28"/>
  <c r="V678" i="28" s="1"/>
  <c r="X678" i="28" s="1"/>
  <c r="P678" i="28"/>
  <c r="T681" i="28" l="1"/>
  <c r="E681" i="28"/>
  <c r="Z679" i="28"/>
  <c r="O680" i="28"/>
  <c r="W681" i="28"/>
  <c r="R681" i="28"/>
  <c r="S681" i="28"/>
  <c r="Q681" i="28"/>
  <c r="J680" i="28"/>
  <c r="Y680" i="28" s="1"/>
  <c r="I680" i="28"/>
  <c r="K680" i="28" s="1"/>
  <c r="N680" i="28" s="1"/>
  <c r="B682" i="28"/>
  <c r="AC683" i="28"/>
  <c r="AD681" i="28"/>
  <c r="AE681" i="28"/>
  <c r="U679" i="28"/>
  <c r="V679" i="28" s="1"/>
  <c r="X679" i="28" s="1"/>
  <c r="P679" i="28"/>
  <c r="E682" i="28" l="1"/>
  <c r="T682" i="28"/>
  <c r="Z680" i="28"/>
  <c r="I681" i="28"/>
  <c r="K681" i="28" s="1"/>
  <c r="N681" i="28" s="1"/>
  <c r="J681" i="28"/>
  <c r="Y681" i="28" s="1"/>
  <c r="W682" i="28"/>
  <c r="Q682" i="28"/>
  <c r="S682" i="28"/>
  <c r="R682" i="28"/>
  <c r="B683" i="28"/>
  <c r="AC684" i="28"/>
  <c r="AE682" i="28"/>
  <c r="AD682" i="28"/>
  <c r="U680" i="28"/>
  <c r="V680" i="28" s="1"/>
  <c r="X680" i="28" s="1"/>
  <c r="P680" i="28"/>
  <c r="O681" i="28"/>
  <c r="T683" i="28" l="1"/>
  <c r="E683" i="28"/>
  <c r="Z681" i="28"/>
  <c r="I682" i="28"/>
  <c r="K682" i="28" s="1"/>
  <c r="N682" i="28" s="1"/>
  <c r="J682" i="28"/>
  <c r="Y682" i="28" s="1"/>
  <c r="B684" i="28"/>
  <c r="AC685" i="28"/>
  <c r="S683" i="28"/>
  <c r="Q683" i="28"/>
  <c r="W683" i="28"/>
  <c r="R683" i="28"/>
  <c r="AE683" i="28"/>
  <c r="AD683" i="28"/>
  <c r="U681" i="28"/>
  <c r="V681" i="28" s="1"/>
  <c r="X681" i="28" s="1"/>
  <c r="P681" i="28"/>
  <c r="O682" i="28"/>
  <c r="T684" i="28" l="1"/>
  <c r="E684" i="28"/>
  <c r="J683" i="28"/>
  <c r="Y683" i="28" s="1"/>
  <c r="I683" i="28"/>
  <c r="K683" i="28" s="1"/>
  <c r="N683" i="28" s="1"/>
  <c r="O683" i="28"/>
  <c r="Q684" i="28"/>
  <c r="R684" i="28"/>
  <c r="S684" i="28"/>
  <c r="W684" i="28"/>
  <c r="Z682" i="28"/>
  <c r="AC686" i="28"/>
  <c r="B685" i="28"/>
  <c r="AE684" i="28"/>
  <c r="AD684" i="28"/>
  <c r="U682" i="28"/>
  <c r="V682" i="28" s="1"/>
  <c r="X682" i="28" s="1"/>
  <c r="P682" i="28"/>
  <c r="T685" i="28" l="1"/>
  <c r="E685" i="28"/>
  <c r="J684" i="28"/>
  <c r="Y684" i="28" s="1"/>
  <c r="I684" i="28"/>
  <c r="K684" i="28" s="1"/>
  <c r="N684" i="28" s="1"/>
  <c r="S685" i="28"/>
  <c r="Q685" i="28"/>
  <c r="W685" i="28"/>
  <c r="R685" i="28"/>
  <c r="AC687" i="28"/>
  <c r="B686" i="28"/>
  <c r="O684" i="28"/>
  <c r="AE685" i="28"/>
  <c r="AD685" i="28"/>
  <c r="Z683" i="28"/>
  <c r="P683" i="28"/>
  <c r="U683" i="28"/>
  <c r="V683" i="28" s="1"/>
  <c r="X683" i="28" s="1"/>
  <c r="E686" i="28" l="1"/>
  <c r="T686" i="28"/>
  <c r="P684" i="28"/>
  <c r="U684" i="28"/>
  <c r="V684" i="28" s="1"/>
  <c r="X684" i="28" s="1"/>
  <c r="Z684" i="28"/>
  <c r="AD686" i="28"/>
  <c r="AE686" i="28"/>
  <c r="J685" i="28"/>
  <c r="Y685" i="28" s="1"/>
  <c r="I685" i="28"/>
  <c r="K685" i="28" s="1"/>
  <c r="N685" i="28" s="1"/>
  <c r="R686" i="28"/>
  <c r="S686" i="28"/>
  <c r="Q686" i="28"/>
  <c r="W686" i="28"/>
  <c r="AC688" i="28"/>
  <c r="B687" i="28"/>
  <c r="O685" i="28"/>
  <c r="E687" i="28" l="1"/>
  <c r="T687" i="28"/>
  <c r="O686" i="28"/>
  <c r="Z685" i="28"/>
  <c r="S687" i="28"/>
  <c r="Q687" i="28"/>
  <c r="W687" i="28"/>
  <c r="R687" i="28"/>
  <c r="B688" i="28"/>
  <c r="AC689" i="28"/>
  <c r="AE687" i="28"/>
  <c r="AD687" i="28"/>
  <c r="P685" i="28"/>
  <c r="U685" i="28"/>
  <c r="V685" i="28" s="1"/>
  <c r="X685" i="28" s="1"/>
  <c r="I686" i="28"/>
  <c r="K686" i="28" s="1"/>
  <c r="N686" i="28" s="1"/>
  <c r="J686" i="28"/>
  <c r="Y686" i="28" s="1"/>
  <c r="T688" i="28" l="1"/>
  <c r="E688" i="28"/>
  <c r="Z686" i="28"/>
  <c r="AC690" i="28"/>
  <c r="B689" i="28"/>
  <c r="AD688" i="28"/>
  <c r="AE688" i="28"/>
  <c r="O687" i="28"/>
  <c r="P686" i="28"/>
  <c r="U686" i="28"/>
  <c r="V686" i="28" s="1"/>
  <c r="X686" i="28" s="1"/>
  <c r="J687" i="28"/>
  <c r="Y687" i="28" s="1"/>
  <c r="I687" i="28"/>
  <c r="K687" i="28" s="1"/>
  <c r="N687" i="28" s="1"/>
  <c r="S688" i="28"/>
  <c r="R688" i="28"/>
  <c r="W688" i="28"/>
  <c r="Q688" i="28"/>
  <c r="E689" i="28" l="1"/>
  <c r="T689" i="28"/>
  <c r="O688" i="28"/>
  <c r="U687" i="28"/>
  <c r="V687" i="28" s="1"/>
  <c r="X687" i="28" s="1"/>
  <c r="P687" i="28"/>
  <c r="I688" i="28"/>
  <c r="K688" i="28" s="1"/>
  <c r="N688" i="28" s="1"/>
  <c r="J688" i="28"/>
  <c r="Y688" i="28" s="1"/>
  <c r="AC691" i="28"/>
  <c r="B690" i="28"/>
  <c r="Z687" i="28"/>
  <c r="S689" i="28"/>
  <c r="R689" i="28"/>
  <c r="W689" i="28"/>
  <c r="Q689" i="28"/>
  <c r="AD689" i="28"/>
  <c r="AE689" i="28"/>
  <c r="E690" i="28" l="1"/>
  <c r="T690" i="28"/>
  <c r="O689" i="28"/>
  <c r="Q690" i="28"/>
  <c r="W690" i="28"/>
  <c r="S690" i="28"/>
  <c r="R690" i="28"/>
  <c r="AE690" i="28"/>
  <c r="AD690" i="28"/>
  <c r="P688" i="28"/>
  <c r="U688" i="28"/>
  <c r="V688" i="28" s="1"/>
  <c r="X688" i="28" s="1"/>
  <c r="J689" i="28"/>
  <c r="Y689" i="28" s="1"/>
  <c r="I689" i="28"/>
  <c r="K689" i="28" s="1"/>
  <c r="N689" i="28" s="1"/>
  <c r="AC692" i="28"/>
  <c r="B691" i="28"/>
  <c r="Z688" i="28"/>
  <c r="E691" i="28" l="1"/>
  <c r="T691" i="28"/>
  <c r="Z689" i="28"/>
  <c r="R691" i="28"/>
  <c r="S691" i="28"/>
  <c r="Q691" i="28"/>
  <c r="W691" i="28"/>
  <c r="B692" i="28"/>
  <c r="AC693" i="28"/>
  <c r="P689" i="28"/>
  <c r="U689" i="28"/>
  <c r="V689" i="28" s="1"/>
  <c r="X689" i="28" s="1"/>
  <c r="AE691" i="28"/>
  <c r="AD691" i="28"/>
  <c r="J690" i="28"/>
  <c r="Y690" i="28" s="1"/>
  <c r="I690" i="28"/>
  <c r="K690" i="28" s="1"/>
  <c r="N690" i="28" s="1"/>
  <c r="O690" i="28"/>
  <c r="T692" i="28" l="1"/>
  <c r="E692" i="28"/>
  <c r="O691" i="28"/>
  <c r="Z690" i="28"/>
  <c r="AD692" i="28"/>
  <c r="AE692" i="28"/>
  <c r="U690" i="28"/>
  <c r="V690" i="28" s="1"/>
  <c r="X690" i="28" s="1"/>
  <c r="P690" i="28"/>
  <c r="J691" i="28"/>
  <c r="Y691" i="28" s="1"/>
  <c r="I691" i="28"/>
  <c r="K691" i="28" s="1"/>
  <c r="N691" i="28" s="1"/>
  <c r="B693" i="28"/>
  <c r="AC694" i="28"/>
  <c r="Q692" i="28"/>
  <c r="W692" i="28"/>
  <c r="R692" i="28"/>
  <c r="S692" i="28"/>
  <c r="E693" i="28" l="1"/>
  <c r="T693" i="28"/>
  <c r="Z691" i="28"/>
  <c r="W693" i="28"/>
  <c r="Q693" i="28"/>
  <c r="R693" i="28"/>
  <c r="S693" i="28"/>
  <c r="I692" i="28"/>
  <c r="K692" i="28" s="1"/>
  <c r="N692" i="28" s="1"/>
  <c r="J692" i="28"/>
  <c r="Y692" i="28" s="1"/>
  <c r="O692" i="28"/>
  <c r="AC695" i="28"/>
  <c r="B694" i="28"/>
  <c r="AD693" i="28"/>
  <c r="AE693" i="28"/>
  <c r="U691" i="28"/>
  <c r="V691" i="28" s="1"/>
  <c r="X691" i="28" s="1"/>
  <c r="P691" i="28"/>
  <c r="E694" i="28" l="1"/>
  <c r="T694" i="28"/>
  <c r="O693" i="28"/>
  <c r="J693" i="28"/>
  <c r="Y693" i="28" s="1"/>
  <c r="I693" i="28"/>
  <c r="K693" i="28" s="1"/>
  <c r="N693" i="28" s="1"/>
  <c r="B695" i="28"/>
  <c r="AC696" i="28"/>
  <c r="U692" i="28"/>
  <c r="V692" i="28" s="1"/>
  <c r="X692" i="28" s="1"/>
  <c r="P692" i="28"/>
  <c r="S694" i="28"/>
  <c r="R694" i="28"/>
  <c r="Q694" i="28"/>
  <c r="W694" i="28"/>
  <c r="AE694" i="28"/>
  <c r="AD694" i="28"/>
  <c r="Z692" i="28"/>
  <c r="Z693" i="28" l="1"/>
  <c r="E695" i="28"/>
  <c r="T695" i="28"/>
  <c r="O694" i="28"/>
  <c r="I694" i="28"/>
  <c r="K694" i="28" s="1"/>
  <c r="N694" i="28" s="1"/>
  <c r="J694" i="28"/>
  <c r="Y694" i="28" s="1"/>
  <c r="R695" i="28"/>
  <c r="S695" i="28"/>
  <c r="Q695" i="28"/>
  <c r="W695" i="28"/>
  <c r="P693" i="28"/>
  <c r="U693" i="28"/>
  <c r="V693" i="28" s="1"/>
  <c r="X693" i="28" s="1"/>
  <c r="B696" i="28"/>
  <c r="AC697" i="28"/>
  <c r="AD695" i="28"/>
  <c r="AE695" i="28"/>
  <c r="T696" i="28" l="1"/>
  <c r="E696" i="28"/>
  <c r="Z694" i="28"/>
  <c r="O695" i="28"/>
  <c r="J695" i="28"/>
  <c r="Y695" i="28" s="1"/>
  <c r="I695" i="28"/>
  <c r="K695" i="28" s="1"/>
  <c r="N695" i="28" s="1"/>
  <c r="AE696" i="28"/>
  <c r="AD696" i="28"/>
  <c r="AC698" i="28"/>
  <c r="B697" i="28"/>
  <c r="Q696" i="28"/>
  <c r="W696" i="28"/>
  <c r="S696" i="28"/>
  <c r="R696" i="28"/>
  <c r="P694" i="28"/>
  <c r="U694" i="28"/>
  <c r="V694" i="28" s="1"/>
  <c r="X694" i="28" s="1"/>
  <c r="T697" i="28" l="1"/>
  <c r="E697" i="28"/>
  <c r="Z695" i="28"/>
  <c r="S697" i="28"/>
  <c r="R697" i="28"/>
  <c r="Q697" i="28"/>
  <c r="W697" i="28"/>
  <c r="AD697" i="28"/>
  <c r="AE697" i="28"/>
  <c r="O696" i="28"/>
  <c r="AC699" i="28"/>
  <c r="B698" i="28"/>
  <c r="J696" i="28"/>
  <c r="Y696" i="28" s="1"/>
  <c r="I696" i="28"/>
  <c r="K696" i="28" s="1"/>
  <c r="N696" i="28" s="1"/>
  <c r="U695" i="28"/>
  <c r="V695" i="28" s="1"/>
  <c r="X695" i="28" s="1"/>
  <c r="P695" i="28"/>
  <c r="E698" i="28" l="1"/>
  <c r="T698" i="28"/>
  <c r="O697" i="28"/>
  <c r="B699" i="28"/>
  <c r="AC700" i="28"/>
  <c r="Z696" i="28"/>
  <c r="J697" i="28"/>
  <c r="Y697" i="28" s="1"/>
  <c r="I697" i="28"/>
  <c r="K697" i="28" s="1"/>
  <c r="N697" i="28" s="1"/>
  <c r="U696" i="28"/>
  <c r="V696" i="28" s="1"/>
  <c r="X696" i="28" s="1"/>
  <c r="P696" i="28"/>
  <c r="R698" i="28"/>
  <c r="S698" i="28"/>
  <c r="W698" i="28"/>
  <c r="Q698" i="28"/>
  <c r="AE698" i="28"/>
  <c r="AD698" i="28"/>
  <c r="T699" i="28" l="1"/>
  <c r="E699" i="28"/>
  <c r="Z697" i="28"/>
  <c r="O698" i="28"/>
  <c r="P697" i="28"/>
  <c r="U697" i="28"/>
  <c r="V697" i="28" s="1"/>
  <c r="X697" i="28" s="1"/>
  <c r="AC701" i="28"/>
  <c r="B700" i="28"/>
  <c r="AE699" i="28"/>
  <c r="AD699" i="28"/>
  <c r="J698" i="28"/>
  <c r="Y698" i="28" s="1"/>
  <c r="I698" i="28"/>
  <c r="K698" i="28" s="1"/>
  <c r="N698" i="28" s="1"/>
  <c r="S699" i="28"/>
  <c r="Q699" i="28"/>
  <c r="W699" i="28"/>
  <c r="R699" i="28"/>
  <c r="T700" i="28" l="1"/>
  <c r="E700" i="28"/>
  <c r="O699" i="28"/>
  <c r="AE700" i="28"/>
  <c r="AD700" i="28"/>
  <c r="U698" i="28"/>
  <c r="V698" i="28" s="1"/>
  <c r="X698" i="28" s="1"/>
  <c r="P698" i="28"/>
  <c r="J699" i="28"/>
  <c r="Y699" i="28" s="1"/>
  <c r="I699" i="28"/>
  <c r="K699" i="28" s="1"/>
  <c r="N699" i="28" s="1"/>
  <c r="R700" i="28"/>
  <c r="S700" i="28"/>
  <c r="Q700" i="28"/>
  <c r="W700" i="28"/>
  <c r="AC702" i="28"/>
  <c r="B701" i="28"/>
  <c r="Z698" i="28"/>
  <c r="T701" i="28" l="1"/>
  <c r="E701" i="28"/>
  <c r="O700" i="28"/>
  <c r="U699" i="28"/>
  <c r="V699" i="28" s="1"/>
  <c r="X699" i="28" s="1"/>
  <c r="P699" i="28"/>
  <c r="AE701" i="28"/>
  <c r="AD701" i="28"/>
  <c r="R701" i="28"/>
  <c r="S701" i="28"/>
  <c r="Q701" i="28"/>
  <c r="W701" i="28"/>
  <c r="AC703" i="28"/>
  <c r="B702" i="28"/>
  <c r="J700" i="28"/>
  <c r="Y700" i="28" s="1"/>
  <c r="I700" i="28"/>
  <c r="K700" i="28" s="1"/>
  <c r="N700" i="28" s="1"/>
  <c r="Z699" i="28"/>
  <c r="E702" i="28" l="1"/>
  <c r="T702" i="28"/>
  <c r="O701" i="28"/>
  <c r="Z700" i="28"/>
  <c r="P700" i="28"/>
  <c r="U700" i="28"/>
  <c r="V700" i="28" s="1"/>
  <c r="X700" i="28" s="1"/>
  <c r="AD702" i="28"/>
  <c r="AE702" i="28"/>
  <c r="Q702" i="28"/>
  <c r="W702" i="28"/>
  <c r="S702" i="28"/>
  <c r="R702" i="28"/>
  <c r="B703" i="28"/>
  <c r="AC704" i="28"/>
  <c r="I701" i="28"/>
  <c r="K701" i="28" s="1"/>
  <c r="N701" i="28" s="1"/>
  <c r="J701" i="28"/>
  <c r="Y701" i="28" s="1"/>
  <c r="E703" i="28" l="1"/>
  <c r="T703" i="28"/>
  <c r="O702" i="28"/>
  <c r="I702" i="28"/>
  <c r="K702" i="28" s="1"/>
  <c r="N702" i="28" s="1"/>
  <c r="J702" i="28"/>
  <c r="Y702" i="28" s="1"/>
  <c r="Z701" i="28"/>
  <c r="AD703" i="28"/>
  <c r="AE703" i="28"/>
  <c r="U701" i="28"/>
  <c r="V701" i="28" s="1"/>
  <c r="X701" i="28" s="1"/>
  <c r="P701" i="28"/>
  <c r="AC705" i="28"/>
  <c r="B704" i="28"/>
  <c r="W703" i="28"/>
  <c r="Q703" i="28"/>
  <c r="S703" i="28"/>
  <c r="R703" i="28"/>
  <c r="T704" i="28" l="1"/>
  <c r="E704" i="28"/>
  <c r="AE704" i="28"/>
  <c r="AD704" i="28"/>
  <c r="U702" i="28"/>
  <c r="V702" i="28" s="1"/>
  <c r="X702" i="28" s="1"/>
  <c r="P702" i="28"/>
  <c r="Z702" i="28"/>
  <c r="O703" i="28"/>
  <c r="Q704" i="28"/>
  <c r="R704" i="28"/>
  <c r="S704" i="28"/>
  <c r="W704" i="28"/>
  <c r="B705" i="28"/>
  <c r="AC706" i="28"/>
  <c r="I703" i="28"/>
  <c r="K703" i="28" s="1"/>
  <c r="N703" i="28" s="1"/>
  <c r="J703" i="28"/>
  <c r="Y703" i="28" s="1"/>
  <c r="E705" i="28" l="1"/>
  <c r="T705" i="28"/>
  <c r="O704" i="28"/>
  <c r="Z703" i="28"/>
  <c r="P703" i="28"/>
  <c r="U703" i="28"/>
  <c r="V703" i="28" s="1"/>
  <c r="X703" i="28" s="1"/>
  <c r="S705" i="28"/>
  <c r="Q705" i="28"/>
  <c r="W705" i="28"/>
  <c r="R705" i="28"/>
  <c r="AC707" i="28"/>
  <c r="B706" i="28"/>
  <c r="AD705" i="28"/>
  <c r="AE705" i="28"/>
  <c r="J704" i="28"/>
  <c r="Y704" i="28" s="1"/>
  <c r="I704" i="28"/>
  <c r="K704" i="28" s="1"/>
  <c r="N704" i="28" s="1"/>
  <c r="E706" i="28" l="1"/>
  <c r="T706" i="28"/>
  <c r="Z704" i="28"/>
  <c r="O705" i="28"/>
  <c r="S706" i="28"/>
  <c r="R706" i="28"/>
  <c r="Q706" i="28"/>
  <c r="W706" i="28"/>
  <c r="AE706" i="28"/>
  <c r="AD706" i="28"/>
  <c r="U704" i="28"/>
  <c r="V704" i="28" s="1"/>
  <c r="X704" i="28" s="1"/>
  <c r="P704" i="28"/>
  <c r="I705" i="28"/>
  <c r="K705" i="28" s="1"/>
  <c r="N705" i="28" s="1"/>
  <c r="J705" i="28"/>
  <c r="Y705" i="28" s="1"/>
  <c r="B707" i="28"/>
  <c r="AC708" i="28"/>
  <c r="E707" i="28" l="1"/>
  <c r="T707" i="28"/>
  <c r="Z705" i="28"/>
  <c r="O706" i="28"/>
  <c r="Q707" i="28"/>
  <c r="W707" i="28"/>
  <c r="R707" i="28"/>
  <c r="S707" i="28"/>
  <c r="I706" i="28"/>
  <c r="K706" i="28" s="1"/>
  <c r="N706" i="28" s="1"/>
  <c r="J706" i="28"/>
  <c r="Y706" i="28" s="1"/>
  <c r="AC709" i="28"/>
  <c r="B708" i="28"/>
  <c r="AE707" i="28"/>
  <c r="AD707" i="28"/>
  <c r="U705" i="28"/>
  <c r="V705" i="28" s="1"/>
  <c r="X705" i="28" s="1"/>
  <c r="P705" i="28"/>
  <c r="T708" i="28" l="1"/>
  <c r="E708" i="28"/>
  <c r="Z706" i="28"/>
  <c r="O707" i="28"/>
  <c r="J707" i="28"/>
  <c r="Y707" i="28" s="1"/>
  <c r="I707" i="28"/>
  <c r="K707" i="28" s="1"/>
  <c r="N707" i="28" s="1"/>
  <c r="W708" i="28"/>
  <c r="Q708" i="28"/>
  <c r="R708" i="28"/>
  <c r="S708" i="28"/>
  <c r="AE708" i="28"/>
  <c r="AD708" i="28"/>
  <c r="P706" i="28"/>
  <c r="U706" i="28"/>
  <c r="V706" i="28" s="1"/>
  <c r="X706" i="28" s="1"/>
  <c r="B709" i="28"/>
  <c r="AC710" i="28"/>
  <c r="T709" i="28" l="1"/>
  <c r="E709" i="28"/>
  <c r="S709" i="28"/>
  <c r="Q709" i="28"/>
  <c r="W709" i="28"/>
  <c r="R709" i="28"/>
  <c r="B710" i="28"/>
  <c r="AC711" i="28"/>
  <c r="AD709" i="28"/>
  <c r="AE709" i="28"/>
  <c r="I708" i="28"/>
  <c r="K708" i="28" s="1"/>
  <c r="N708" i="28" s="1"/>
  <c r="J708" i="28"/>
  <c r="Y708" i="28" s="1"/>
  <c r="O708" i="28"/>
  <c r="U707" i="28"/>
  <c r="V707" i="28" s="1"/>
  <c r="X707" i="28" s="1"/>
  <c r="P707" i="28"/>
  <c r="Z707" i="28"/>
  <c r="E710" i="28" l="1"/>
  <c r="T710" i="28"/>
  <c r="I709" i="28"/>
  <c r="K709" i="28" s="1"/>
  <c r="N709" i="28" s="1"/>
  <c r="J709" i="28"/>
  <c r="Y709" i="28" s="1"/>
  <c r="Q710" i="28"/>
  <c r="R710" i="28"/>
  <c r="S710" i="28"/>
  <c r="W710" i="28"/>
  <c r="O709" i="28"/>
  <c r="Z708" i="28"/>
  <c r="P708" i="28"/>
  <c r="U708" i="28"/>
  <c r="V708" i="28" s="1"/>
  <c r="X708" i="28" s="1"/>
  <c r="AC712" i="28"/>
  <c r="B711" i="28"/>
  <c r="AD710" i="28"/>
  <c r="AE710" i="28"/>
  <c r="E711" i="28" l="1"/>
  <c r="T711" i="28"/>
  <c r="O710" i="28"/>
  <c r="I710" i="28"/>
  <c r="K710" i="28" s="1"/>
  <c r="N710" i="28" s="1"/>
  <c r="J710" i="28"/>
  <c r="Y710" i="28" s="1"/>
  <c r="AD711" i="28"/>
  <c r="AE711" i="28"/>
  <c r="Z709" i="28"/>
  <c r="S711" i="28"/>
  <c r="Q711" i="28"/>
  <c r="W711" i="28"/>
  <c r="R711" i="28"/>
  <c r="B712" i="28"/>
  <c r="AC713" i="28"/>
  <c r="P709" i="28"/>
  <c r="U709" i="28"/>
  <c r="V709" i="28" s="1"/>
  <c r="X709" i="28" s="1"/>
  <c r="T712" i="28" l="1"/>
  <c r="E712" i="28"/>
  <c r="Z710" i="28"/>
  <c r="W712" i="28"/>
  <c r="R712" i="28"/>
  <c r="S712" i="28"/>
  <c r="Q712" i="28"/>
  <c r="AC714" i="28"/>
  <c r="B713" i="28"/>
  <c r="AD712" i="28"/>
  <c r="AE712" i="28"/>
  <c r="O711" i="28"/>
  <c r="I711" i="28"/>
  <c r="K711" i="28" s="1"/>
  <c r="N711" i="28" s="1"/>
  <c r="J711" i="28"/>
  <c r="Y711" i="28" s="1"/>
  <c r="P710" i="28"/>
  <c r="U710" i="28"/>
  <c r="V710" i="28" s="1"/>
  <c r="X710" i="28" s="1"/>
  <c r="T713" i="28" l="1"/>
  <c r="E713" i="28"/>
  <c r="P711" i="28"/>
  <c r="U711" i="28"/>
  <c r="V711" i="28" s="1"/>
  <c r="X711" i="28" s="1"/>
  <c r="Z711" i="28"/>
  <c r="W713" i="28"/>
  <c r="Q713" i="28"/>
  <c r="R713" i="28"/>
  <c r="S713" i="28"/>
  <c r="AE713" i="28"/>
  <c r="AD713" i="28"/>
  <c r="I712" i="28"/>
  <c r="K712" i="28" s="1"/>
  <c r="N712" i="28" s="1"/>
  <c r="J712" i="28"/>
  <c r="Y712" i="28" s="1"/>
  <c r="B714" i="28"/>
  <c r="AC715" i="28"/>
  <c r="O712" i="28"/>
  <c r="E714" i="28" l="1"/>
  <c r="T714" i="28"/>
  <c r="AE714" i="28"/>
  <c r="AD714" i="28"/>
  <c r="J713" i="28"/>
  <c r="Y713" i="28" s="1"/>
  <c r="I713" i="28"/>
  <c r="K713" i="28" s="1"/>
  <c r="N713" i="28" s="1"/>
  <c r="Z712" i="28"/>
  <c r="B715" i="28"/>
  <c r="AC716" i="28"/>
  <c r="S714" i="28"/>
  <c r="R714" i="28"/>
  <c r="Q714" i="28"/>
  <c r="W714" i="28"/>
  <c r="U712" i="28"/>
  <c r="V712" i="28" s="1"/>
  <c r="X712" i="28" s="1"/>
  <c r="P712" i="28"/>
  <c r="O713" i="28"/>
  <c r="E715" i="28" l="1"/>
  <c r="T715" i="28"/>
  <c r="O714" i="28"/>
  <c r="AC717" i="28"/>
  <c r="B716" i="28"/>
  <c r="R715" i="28"/>
  <c r="S715" i="28"/>
  <c r="Q715" i="28"/>
  <c r="W715" i="28"/>
  <c r="P713" i="28"/>
  <c r="U713" i="28"/>
  <c r="V713" i="28" s="1"/>
  <c r="X713" i="28" s="1"/>
  <c r="J714" i="28"/>
  <c r="Y714" i="28" s="1"/>
  <c r="I714" i="28"/>
  <c r="K714" i="28" s="1"/>
  <c r="N714" i="28" s="1"/>
  <c r="Z713" i="28"/>
  <c r="AE715" i="28"/>
  <c r="AD715" i="28"/>
  <c r="T716" i="28" l="1"/>
  <c r="E716" i="28"/>
  <c r="O715" i="28"/>
  <c r="U714" i="28"/>
  <c r="V714" i="28" s="1"/>
  <c r="X714" i="28" s="1"/>
  <c r="P714" i="28"/>
  <c r="B717" i="28"/>
  <c r="AC718" i="28"/>
  <c r="Z714" i="28"/>
  <c r="J715" i="28"/>
  <c r="Y715" i="28" s="1"/>
  <c r="I715" i="28"/>
  <c r="K715" i="28" s="1"/>
  <c r="N715" i="28" s="1"/>
  <c r="R716" i="28"/>
  <c r="S716" i="28"/>
  <c r="Q716" i="28"/>
  <c r="W716" i="28"/>
  <c r="AE716" i="28"/>
  <c r="AD716" i="28"/>
  <c r="T717" i="28" l="1"/>
  <c r="E717" i="28"/>
  <c r="Z715" i="28"/>
  <c r="O716" i="28"/>
  <c r="AC719" i="28"/>
  <c r="B718" i="28"/>
  <c r="AE717" i="28"/>
  <c r="AD717" i="28"/>
  <c r="I716" i="28"/>
  <c r="K716" i="28" s="1"/>
  <c r="N716" i="28" s="1"/>
  <c r="J716" i="28"/>
  <c r="Y716" i="28" s="1"/>
  <c r="U715" i="28"/>
  <c r="V715" i="28" s="1"/>
  <c r="X715" i="28" s="1"/>
  <c r="P715" i="28"/>
  <c r="S717" i="28"/>
  <c r="Q717" i="28"/>
  <c r="W717" i="28"/>
  <c r="R717" i="28"/>
  <c r="E718" i="28" l="1"/>
  <c r="T718" i="28"/>
  <c r="Z716" i="28"/>
  <c r="P716" i="28"/>
  <c r="U716" i="28"/>
  <c r="V716" i="28" s="1"/>
  <c r="X716" i="28" s="1"/>
  <c r="AD718" i="28"/>
  <c r="AE718" i="28"/>
  <c r="O717" i="28"/>
  <c r="J717" i="28"/>
  <c r="Y717" i="28" s="1"/>
  <c r="I717" i="28"/>
  <c r="K717" i="28" s="1"/>
  <c r="N717" i="28" s="1"/>
  <c r="R718" i="28"/>
  <c r="Q718" i="28"/>
  <c r="W718" i="28"/>
  <c r="S718" i="28"/>
  <c r="B719" i="28"/>
  <c r="AC720" i="28"/>
  <c r="E719" i="28" l="1"/>
  <c r="T719" i="28"/>
  <c r="AD719" i="28"/>
  <c r="AE719" i="28"/>
  <c r="P717" i="28"/>
  <c r="U717" i="28"/>
  <c r="V717" i="28" s="1"/>
  <c r="X717" i="28" s="1"/>
  <c r="I718" i="28"/>
  <c r="K718" i="28" s="1"/>
  <c r="N718" i="28" s="1"/>
  <c r="J718" i="28"/>
  <c r="Y718" i="28" s="1"/>
  <c r="AC721" i="28"/>
  <c r="B720" i="28"/>
  <c r="R719" i="28"/>
  <c r="S719" i="28"/>
  <c r="Q719" i="28"/>
  <c r="W719" i="28"/>
  <c r="O718" i="28"/>
  <c r="Z717" i="28"/>
  <c r="T720" i="28" l="1"/>
  <c r="E720" i="28"/>
  <c r="O719" i="28"/>
  <c r="W720" i="28"/>
  <c r="R720" i="28"/>
  <c r="S720" i="28"/>
  <c r="Q720" i="28"/>
  <c r="AD720" i="28"/>
  <c r="AE720" i="28"/>
  <c r="Z718" i="28"/>
  <c r="B721" i="28"/>
  <c r="AC722" i="28"/>
  <c r="U718" i="28"/>
  <c r="V718" i="28" s="1"/>
  <c r="X718" i="28" s="1"/>
  <c r="P718" i="28"/>
  <c r="J719" i="28"/>
  <c r="Y719" i="28" s="1"/>
  <c r="I719" i="28"/>
  <c r="K719" i="28" s="1"/>
  <c r="N719" i="28" s="1"/>
  <c r="T721" i="28" l="1"/>
  <c r="E721" i="28"/>
  <c r="Z719" i="28"/>
  <c r="O720" i="28"/>
  <c r="U719" i="28"/>
  <c r="V719" i="28" s="1"/>
  <c r="X719" i="28" s="1"/>
  <c r="P719" i="28"/>
  <c r="AC723" i="28"/>
  <c r="B722" i="28"/>
  <c r="Q721" i="28"/>
  <c r="S721" i="28"/>
  <c r="R721" i="28"/>
  <c r="W721" i="28"/>
  <c r="AE721" i="28"/>
  <c r="AD721" i="28"/>
  <c r="I720" i="28"/>
  <c r="K720" i="28" s="1"/>
  <c r="N720" i="28" s="1"/>
  <c r="J720" i="28"/>
  <c r="Y720" i="28" s="1"/>
  <c r="E722" i="28" l="1"/>
  <c r="T722" i="28"/>
  <c r="O721" i="28"/>
  <c r="Q722" i="28"/>
  <c r="R722" i="28"/>
  <c r="S722" i="28"/>
  <c r="W722" i="28"/>
  <c r="AE722" i="28"/>
  <c r="AD722" i="28"/>
  <c r="Z720" i="28"/>
  <c r="P720" i="28"/>
  <c r="U720" i="28"/>
  <c r="V720" i="28" s="1"/>
  <c r="X720" i="28" s="1"/>
  <c r="J721" i="28"/>
  <c r="Y721" i="28" s="1"/>
  <c r="I721" i="28"/>
  <c r="K721" i="28" s="1"/>
  <c r="N721" i="28" s="1"/>
  <c r="AC724" i="28"/>
  <c r="B723" i="28"/>
  <c r="E723" i="28" l="1"/>
  <c r="T723" i="28"/>
  <c r="Z721" i="28"/>
  <c r="O722" i="28"/>
  <c r="AE723" i="28"/>
  <c r="AD723" i="28"/>
  <c r="P721" i="28"/>
  <c r="U721" i="28"/>
  <c r="V721" i="28" s="1"/>
  <c r="X721" i="28" s="1"/>
  <c r="J722" i="28"/>
  <c r="Y722" i="28" s="1"/>
  <c r="I722" i="28"/>
  <c r="K722" i="28" s="1"/>
  <c r="N722" i="28" s="1"/>
  <c r="S723" i="28"/>
  <c r="R723" i="28"/>
  <c r="W723" i="28"/>
  <c r="Q723" i="28"/>
  <c r="AC725" i="28"/>
  <c r="B724" i="28"/>
  <c r="T724" i="28" l="1"/>
  <c r="E724" i="28"/>
  <c r="O723" i="28"/>
  <c r="Z722" i="28"/>
  <c r="AD724" i="28"/>
  <c r="AE724" i="28"/>
  <c r="U722" i="28"/>
  <c r="V722" i="28" s="1"/>
  <c r="X722" i="28" s="1"/>
  <c r="P722" i="28"/>
  <c r="I723" i="28"/>
  <c r="K723" i="28" s="1"/>
  <c r="N723" i="28" s="1"/>
  <c r="J723" i="28"/>
  <c r="Y723" i="28" s="1"/>
  <c r="Q724" i="28"/>
  <c r="W724" i="28"/>
  <c r="R724" i="28"/>
  <c r="S724" i="28"/>
  <c r="B725" i="28"/>
  <c r="AC726" i="28"/>
  <c r="T725" i="28" l="1"/>
  <c r="E725" i="28"/>
  <c r="Z723" i="28"/>
  <c r="Q725" i="28"/>
  <c r="W725" i="28"/>
  <c r="R725" i="28"/>
  <c r="S725" i="28"/>
  <c r="B726" i="28"/>
  <c r="AC727" i="28"/>
  <c r="AD725" i="28"/>
  <c r="AE725" i="28"/>
  <c r="P723" i="28"/>
  <c r="U723" i="28"/>
  <c r="V723" i="28" s="1"/>
  <c r="X723" i="28" s="1"/>
  <c r="O724" i="28"/>
  <c r="I724" i="28"/>
  <c r="K724" i="28" s="1"/>
  <c r="N724" i="28" s="1"/>
  <c r="J724" i="28"/>
  <c r="Y724" i="28" s="1"/>
  <c r="E726" i="28" l="1"/>
  <c r="T726" i="28"/>
  <c r="U724" i="28"/>
  <c r="V724" i="28" s="1"/>
  <c r="X724" i="28" s="1"/>
  <c r="P724" i="28"/>
  <c r="B727" i="28"/>
  <c r="AC728" i="28"/>
  <c r="S726" i="28"/>
  <c r="Q726" i="28"/>
  <c r="W726" i="28"/>
  <c r="R726" i="28"/>
  <c r="O725" i="28"/>
  <c r="Z724" i="28"/>
  <c r="J725" i="28"/>
  <c r="Y725" i="28" s="1"/>
  <c r="I725" i="28"/>
  <c r="K725" i="28" s="1"/>
  <c r="N725" i="28" s="1"/>
  <c r="AE726" i="28"/>
  <c r="AD726" i="28"/>
  <c r="E727" i="28" l="1"/>
  <c r="T727" i="28"/>
  <c r="Z725" i="28"/>
  <c r="O726" i="28"/>
  <c r="B728" i="28"/>
  <c r="AC729" i="28"/>
  <c r="AD727" i="28"/>
  <c r="AE727" i="28"/>
  <c r="I726" i="28"/>
  <c r="K726" i="28" s="1"/>
  <c r="N726" i="28" s="1"/>
  <c r="J726" i="28"/>
  <c r="Y726" i="28" s="1"/>
  <c r="U725" i="28"/>
  <c r="V725" i="28" s="1"/>
  <c r="X725" i="28" s="1"/>
  <c r="P725" i="28"/>
  <c r="S727" i="28"/>
  <c r="R727" i="28"/>
  <c r="Q727" i="28"/>
  <c r="W727" i="28"/>
  <c r="T728" i="28" l="1"/>
  <c r="E728" i="28"/>
  <c r="P726" i="28"/>
  <c r="U726" i="28"/>
  <c r="V726" i="28" s="1"/>
  <c r="X726" i="28" s="1"/>
  <c r="B729" i="28"/>
  <c r="AC730" i="28"/>
  <c r="R728" i="28"/>
  <c r="S728" i="28"/>
  <c r="Q728" i="28"/>
  <c r="W728" i="28"/>
  <c r="O727" i="28"/>
  <c r="I727" i="28"/>
  <c r="K727" i="28" s="1"/>
  <c r="N727" i="28" s="1"/>
  <c r="J727" i="28"/>
  <c r="Y727" i="28" s="1"/>
  <c r="AE728" i="28"/>
  <c r="AD728" i="28"/>
  <c r="Z726" i="28"/>
  <c r="T729" i="28" l="1"/>
  <c r="E729" i="28"/>
  <c r="P727" i="28"/>
  <c r="U727" i="28"/>
  <c r="V727" i="28" s="1"/>
  <c r="X727" i="28" s="1"/>
  <c r="Z727" i="28"/>
  <c r="AC731" i="28"/>
  <c r="B730" i="28"/>
  <c r="AD729" i="28"/>
  <c r="AE729" i="28"/>
  <c r="J728" i="28"/>
  <c r="Y728" i="28" s="1"/>
  <c r="I728" i="28"/>
  <c r="K728" i="28" s="1"/>
  <c r="N728" i="28" s="1"/>
  <c r="O728" i="28"/>
  <c r="S729" i="28"/>
  <c r="R729" i="28"/>
  <c r="Q729" i="28"/>
  <c r="W729" i="28"/>
  <c r="E730" i="28" l="1"/>
  <c r="T730" i="28"/>
  <c r="O729" i="28"/>
  <c r="S730" i="28"/>
  <c r="R730" i="28"/>
  <c r="Q730" i="28"/>
  <c r="W730" i="28"/>
  <c r="AC732" i="28"/>
  <c r="B731" i="28"/>
  <c r="Z728" i="28"/>
  <c r="U728" i="28"/>
  <c r="V728" i="28" s="1"/>
  <c r="X728" i="28" s="1"/>
  <c r="P728" i="28"/>
  <c r="I729" i="28"/>
  <c r="K729" i="28" s="1"/>
  <c r="N729" i="28" s="1"/>
  <c r="J729" i="28"/>
  <c r="Y729" i="28" s="1"/>
  <c r="AD730" i="28"/>
  <c r="AE730" i="28"/>
  <c r="E731" i="28" l="1"/>
  <c r="T731" i="28"/>
  <c r="O730" i="28"/>
  <c r="Z729" i="28"/>
  <c r="AC733" i="28"/>
  <c r="B732" i="28"/>
  <c r="J730" i="28"/>
  <c r="Y730" i="28" s="1"/>
  <c r="I730" i="28"/>
  <c r="K730" i="28" s="1"/>
  <c r="N730" i="28" s="1"/>
  <c r="U729" i="28"/>
  <c r="V729" i="28" s="1"/>
  <c r="X729" i="28" s="1"/>
  <c r="P729" i="28"/>
  <c r="Q731" i="28"/>
  <c r="W731" i="28"/>
  <c r="S731" i="28"/>
  <c r="R731" i="28"/>
  <c r="AD731" i="28"/>
  <c r="AE731" i="28"/>
  <c r="T732" i="28" l="1"/>
  <c r="E732" i="28"/>
  <c r="O731" i="28"/>
  <c r="I731" i="28"/>
  <c r="K731" i="28" s="1"/>
  <c r="N731" i="28" s="1"/>
  <c r="J731" i="28"/>
  <c r="Y731" i="28" s="1"/>
  <c r="U730" i="28"/>
  <c r="V730" i="28" s="1"/>
  <c r="X730" i="28" s="1"/>
  <c r="P730" i="28"/>
  <c r="AC734" i="28"/>
  <c r="B733" i="28"/>
  <c r="S732" i="28"/>
  <c r="Q732" i="28"/>
  <c r="W732" i="28"/>
  <c r="R732" i="28"/>
  <c r="AE732" i="28"/>
  <c r="AD732" i="28"/>
  <c r="Z730" i="28"/>
  <c r="T733" i="28" l="1"/>
  <c r="E733" i="28"/>
  <c r="Z731" i="28"/>
  <c r="O732" i="28"/>
  <c r="B734" i="28"/>
  <c r="AC735" i="28"/>
  <c r="I732" i="28"/>
  <c r="K732" i="28" s="1"/>
  <c r="N732" i="28" s="1"/>
  <c r="J732" i="28"/>
  <c r="Y732" i="28" s="1"/>
  <c r="Q733" i="28"/>
  <c r="W733" i="28"/>
  <c r="S733" i="28"/>
  <c r="R733" i="28"/>
  <c r="AD733" i="28"/>
  <c r="AE733" i="28"/>
  <c r="U731" i="28"/>
  <c r="V731" i="28" s="1"/>
  <c r="X731" i="28" s="1"/>
  <c r="P731" i="28"/>
  <c r="E734" i="28" l="1"/>
  <c r="T734" i="28"/>
  <c r="J733" i="28"/>
  <c r="Y733" i="28" s="1"/>
  <c r="I733" i="28"/>
  <c r="K733" i="28" s="1"/>
  <c r="N733" i="28" s="1"/>
  <c r="P732" i="28"/>
  <c r="U732" i="28"/>
  <c r="V732" i="28" s="1"/>
  <c r="X732" i="28" s="1"/>
  <c r="B735" i="28"/>
  <c r="AC736" i="28"/>
  <c r="AE734" i="28"/>
  <c r="AD734" i="28"/>
  <c r="Z732" i="28"/>
  <c r="O733" i="28"/>
  <c r="Q647" i="7" s="1"/>
  <c r="Q649" i="7" s="1"/>
  <c r="Q651" i="7" s="1"/>
  <c r="Q653" i="7" s="1"/>
  <c r="R734" i="28"/>
  <c r="Q734" i="28"/>
  <c r="W734" i="28"/>
  <c r="S734" i="28"/>
  <c r="O712" i="7" l="1"/>
  <c r="O708" i="7"/>
  <c r="O704" i="7"/>
  <c r="O700" i="7"/>
  <c r="O696" i="7"/>
  <c r="O692" i="7"/>
  <c r="O688" i="7"/>
  <c r="O684" i="7"/>
  <c r="O680" i="7"/>
  <c r="O676" i="7"/>
  <c r="O672" i="7"/>
  <c r="O668" i="7"/>
  <c r="O664" i="7"/>
  <c r="O660" i="7"/>
  <c r="O656" i="7"/>
  <c r="O652" i="7"/>
  <c r="O648" i="7"/>
  <c r="O710" i="7"/>
  <c r="O690" i="7"/>
  <c r="O682" i="7"/>
  <c r="O674" i="7"/>
  <c r="O666" i="7"/>
  <c r="O658" i="7"/>
  <c r="O650" i="7"/>
  <c r="O709" i="7"/>
  <c r="O701" i="7"/>
  <c r="O693" i="7"/>
  <c r="O685" i="7"/>
  <c r="O677" i="7"/>
  <c r="O669" i="7"/>
  <c r="O661" i="7"/>
  <c r="O653" i="7"/>
  <c r="O715" i="7"/>
  <c r="O711" i="7"/>
  <c r="O707" i="7"/>
  <c r="O703" i="7"/>
  <c r="O699" i="7"/>
  <c r="O695" i="7"/>
  <c r="O691" i="7"/>
  <c r="O687" i="7"/>
  <c r="O683" i="7"/>
  <c r="O679" i="7"/>
  <c r="O675" i="7"/>
  <c r="O671" i="7"/>
  <c r="O667" i="7"/>
  <c r="O663" i="7"/>
  <c r="O659" i="7"/>
  <c r="O655" i="7"/>
  <c r="O651" i="7"/>
  <c r="O647" i="7"/>
  <c r="O714" i="7"/>
  <c r="O706" i="7"/>
  <c r="O702" i="7"/>
  <c r="O698" i="7"/>
  <c r="O694" i="7"/>
  <c r="O686" i="7"/>
  <c r="O678" i="7"/>
  <c r="O670" i="7"/>
  <c r="O662" i="7"/>
  <c r="O654" i="7"/>
  <c r="O713" i="7"/>
  <c r="O705" i="7"/>
  <c r="O697" i="7"/>
  <c r="O689" i="7"/>
  <c r="O681" i="7"/>
  <c r="O673" i="7"/>
  <c r="O665" i="7"/>
  <c r="O657" i="7"/>
  <c r="O649" i="7"/>
  <c r="L647" i="7"/>
  <c r="M647" i="7" s="1"/>
  <c r="L684" i="7"/>
  <c r="M684" i="7" s="1"/>
  <c r="L652" i="7"/>
  <c r="M652" i="7" s="1"/>
  <c r="L680" i="7"/>
  <c r="M680" i="7" s="1"/>
  <c r="L697" i="7"/>
  <c r="M697" i="7" s="1"/>
  <c r="L665" i="7"/>
  <c r="M665" i="7" s="1"/>
  <c r="L688" i="7"/>
  <c r="M688" i="7" s="1"/>
  <c r="L679" i="7"/>
  <c r="M679" i="7" s="1"/>
  <c r="L690" i="7"/>
  <c r="M690" i="7" s="1"/>
  <c r="L667" i="7"/>
  <c r="M667" i="7" s="1"/>
  <c r="L703" i="7"/>
  <c r="M703" i="7" s="1"/>
  <c r="L655" i="7"/>
  <c r="M655" i="7" s="1"/>
  <c r="L675" i="7"/>
  <c r="M675" i="7" s="1"/>
  <c r="L663" i="7"/>
  <c r="M663" i="7" s="1"/>
  <c r="L682" i="7"/>
  <c r="M682" i="7" s="1"/>
  <c r="L651" i="7"/>
  <c r="M651" i="7" s="1"/>
  <c r="L702" i="7"/>
  <c r="M702" i="7" s="1"/>
  <c r="L710" i="7"/>
  <c r="M710" i="7" s="1"/>
  <c r="L708" i="7"/>
  <c r="M708" i="7" s="1"/>
  <c r="L705" i="7"/>
  <c r="M705" i="7" s="1"/>
  <c r="L689" i="7"/>
  <c r="M689" i="7" s="1"/>
  <c r="L672" i="7"/>
  <c r="M672" i="7" s="1"/>
  <c r="L706" i="7"/>
  <c r="M706" i="7" s="1"/>
  <c r="L685" i="7"/>
  <c r="M685" i="7" s="1"/>
  <c r="L707" i="7"/>
  <c r="M707" i="7" s="1"/>
  <c r="L698" i="7"/>
  <c r="M698" i="7" s="1"/>
  <c r="L671" i="7"/>
  <c r="M671" i="7" s="1"/>
  <c r="L700" i="7"/>
  <c r="M700" i="7" s="1"/>
  <c r="L649" i="7"/>
  <c r="M649" i="7" s="1"/>
  <c r="L712" i="7"/>
  <c r="M712" i="7" s="1"/>
  <c r="L658" i="7"/>
  <c r="M658" i="7" s="1"/>
  <c r="L654" i="7"/>
  <c r="M654" i="7" s="1"/>
  <c r="L669" i="7"/>
  <c r="M669" i="7" s="1"/>
  <c r="L650" i="7"/>
  <c r="M650" i="7" s="1"/>
  <c r="L715" i="7"/>
  <c r="M715" i="7" s="1"/>
  <c r="L692" i="7"/>
  <c r="M692" i="7" s="1"/>
  <c r="L660" i="7"/>
  <c r="M660" i="7" s="1"/>
  <c r="L704" i="7"/>
  <c r="M704" i="7" s="1"/>
  <c r="L713" i="7"/>
  <c r="M713" i="7" s="1"/>
  <c r="L673" i="7"/>
  <c r="M673" i="7" s="1"/>
  <c r="L696" i="7"/>
  <c r="M696" i="7" s="1"/>
  <c r="L709" i="7"/>
  <c r="M709" i="7" s="1"/>
  <c r="L674" i="7"/>
  <c r="M674" i="7" s="1"/>
  <c r="L693" i="7"/>
  <c r="M693" i="7" s="1"/>
  <c r="L686" i="7"/>
  <c r="M686" i="7" s="1"/>
  <c r="L678" i="7"/>
  <c r="M678" i="7" s="1"/>
  <c r="L701" i="7"/>
  <c r="M701" i="7" s="1"/>
  <c r="L694" i="7"/>
  <c r="M694" i="7" s="1"/>
  <c r="L666" i="7"/>
  <c r="M666" i="7" s="1"/>
  <c r="L677" i="7"/>
  <c r="M677" i="7" s="1"/>
  <c r="L670" i="7"/>
  <c r="M670" i="7" s="1"/>
  <c r="L659" i="7"/>
  <c r="M659" i="7" s="1"/>
  <c r="L676" i="7"/>
  <c r="M676" i="7" s="1"/>
  <c r="L664" i="7"/>
  <c r="M664" i="7" s="1"/>
  <c r="L657" i="7"/>
  <c r="M657" i="7" s="1"/>
  <c r="L711" i="7"/>
  <c r="M711" i="7" s="1"/>
  <c r="L699" i="7"/>
  <c r="M699" i="7" s="1"/>
  <c r="L687" i="7"/>
  <c r="M687" i="7" s="1"/>
  <c r="L695" i="7"/>
  <c r="M695" i="7" s="1"/>
  <c r="L683" i="7"/>
  <c r="M683" i="7" s="1"/>
  <c r="L668" i="7"/>
  <c r="M668" i="7" s="1"/>
  <c r="L648" i="7"/>
  <c r="M648" i="7" s="1"/>
  <c r="L681" i="7"/>
  <c r="M681" i="7" s="1"/>
  <c r="L656" i="7"/>
  <c r="M656" i="7" s="1"/>
  <c r="L661" i="7"/>
  <c r="M661" i="7" s="1"/>
  <c r="L691" i="7"/>
  <c r="M691" i="7" s="1"/>
  <c r="L662" i="7"/>
  <c r="M662" i="7" s="1"/>
  <c r="L714" i="7"/>
  <c r="M714" i="7" s="1"/>
  <c r="L653" i="7"/>
  <c r="M653" i="7" s="1"/>
  <c r="E735" i="28"/>
  <c r="T735" i="28"/>
  <c r="O734" i="28"/>
  <c r="J734" i="28"/>
  <c r="Y734" i="28" s="1"/>
  <c r="I734" i="28"/>
  <c r="K734" i="28" s="1"/>
  <c r="N734" i="28" s="1"/>
  <c r="AC737" i="28"/>
  <c r="B736" i="28"/>
  <c r="S735" i="28"/>
  <c r="Q735" i="28"/>
  <c r="W735" i="28"/>
  <c r="R735" i="28"/>
  <c r="U733" i="28"/>
  <c r="V733" i="28" s="1"/>
  <c r="X733" i="28" s="1"/>
  <c r="P733" i="28"/>
  <c r="Z733" i="28"/>
  <c r="AE735" i="28"/>
  <c r="AD735" i="28"/>
  <c r="T736" i="28" l="1"/>
  <c r="E736" i="28"/>
  <c r="Z734" i="28"/>
  <c r="I735" i="28"/>
  <c r="K735" i="28" s="1"/>
  <c r="N735" i="28" s="1"/>
  <c r="J735" i="28"/>
  <c r="Y735" i="28" s="1"/>
  <c r="O735" i="28"/>
  <c r="R736" i="28"/>
  <c r="Q736" i="28"/>
  <c r="W736" i="28"/>
  <c r="S736" i="28"/>
  <c r="AE736" i="28"/>
  <c r="AD736" i="28"/>
  <c r="AC738" i="28"/>
  <c r="B737" i="28"/>
  <c r="U734" i="28"/>
  <c r="V734" i="28" s="1"/>
  <c r="X734" i="28" s="1"/>
  <c r="P734" i="28"/>
  <c r="T737" i="28" l="1"/>
  <c r="E737" i="28"/>
  <c r="W737" i="28"/>
  <c r="R737" i="28"/>
  <c r="S737" i="28"/>
  <c r="Q737" i="28"/>
  <c r="AC739" i="28"/>
  <c r="B738" i="28"/>
  <c r="AE737" i="28"/>
  <c r="AD737" i="28"/>
  <c r="I736" i="28"/>
  <c r="K736" i="28" s="1"/>
  <c r="N736" i="28" s="1"/>
  <c r="J736" i="28"/>
  <c r="Y736" i="28" s="1"/>
  <c r="O736" i="28"/>
  <c r="Z735" i="28"/>
  <c r="U735" i="28"/>
  <c r="V735" i="28" s="1"/>
  <c r="X735" i="28" s="1"/>
  <c r="P735" i="28"/>
  <c r="E738" i="28" l="1"/>
  <c r="T738" i="28"/>
  <c r="P736" i="28"/>
  <c r="U736" i="28"/>
  <c r="V736" i="28" s="1"/>
  <c r="X736" i="28" s="1"/>
  <c r="J737" i="28"/>
  <c r="Y737" i="28" s="1"/>
  <c r="I737" i="28"/>
  <c r="K737" i="28" s="1"/>
  <c r="N737" i="28" s="1"/>
  <c r="R738" i="28"/>
  <c r="Q738" i="28"/>
  <c r="W738" i="28"/>
  <c r="S738" i="28"/>
  <c r="B739" i="28"/>
  <c r="AC740" i="28"/>
  <c r="Z736" i="28"/>
  <c r="AD738" i="28"/>
  <c r="AE738" i="28"/>
  <c r="O737" i="28"/>
  <c r="E739" i="28" l="1"/>
  <c r="T739" i="28"/>
  <c r="Z737" i="28"/>
  <c r="AD739" i="28"/>
  <c r="AE739" i="28"/>
  <c r="O738" i="28"/>
  <c r="J738" i="28"/>
  <c r="Y738" i="28" s="1"/>
  <c r="I738" i="28"/>
  <c r="K738" i="28" s="1"/>
  <c r="N738" i="28" s="1"/>
  <c r="B740" i="28"/>
  <c r="AC741" i="28"/>
  <c r="R739" i="28"/>
  <c r="S739" i="28"/>
  <c r="Q739" i="28"/>
  <c r="W739" i="28"/>
  <c r="P737" i="28"/>
  <c r="U737" i="28"/>
  <c r="V737" i="28" s="1"/>
  <c r="X737" i="28" s="1"/>
  <c r="T740" i="28" l="1"/>
  <c r="E740" i="28"/>
  <c r="AC742" i="28"/>
  <c r="B741" i="28"/>
  <c r="AE740" i="28"/>
  <c r="AD740" i="28"/>
  <c r="U738" i="28"/>
  <c r="V738" i="28" s="1"/>
  <c r="X738" i="28" s="1"/>
  <c r="P738" i="28"/>
  <c r="O739" i="28"/>
  <c r="Q740" i="28"/>
  <c r="W740" i="28"/>
  <c r="S740" i="28"/>
  <c r="R740" i="28"/>
  <c r="Z738" i="28"/>
  <c r="J739" i="28"/>
  <c r="Y739" i="28" s="1"/>
  <c r="I739" i="28"/>
  <c r="K739" i="28" s="1"/>
  <c r="N739" i="28" s="1"/>
  <c r="T741" i="28" l="1"/>
  <c r="E741" i="28"/>
  <c r="O740" i="28"/>
  <c r="U739" i="28"/>
  <c r="V739" i="28" s="1"/>
  <c r="X739" i="28" s="1"/>
  <c r="P739" i="28"/>
  <c r="Z739" i="28"/>
  <c r="AD741" i="28"/>
  <c r="AE741" i="28"/>
  <c r="I740" i="28"/>
  <c r="K740" i="28" s="1"/>
  <c r="N740" i="28" s="1"/>
  <c r="J740" i="28"/>
  <c r="Y740" i="28" s="1"/>
  <c r="Q741" i="28"/>
  <c r="W741" i="28"/>
  <c r="S741" i="28"/>
  <c r="R741" i="28"/>
  <c r="B742" i="28"/>
  <c r="AC743" i="28"/>
  <c r="E742" i="28" l="1"/>
  <c r="T742" i="28"/>
  <c r="Z740" i="28"/>
  <c r="R742" i="28"/>
  <c r="Q742" i="28"/>
  <c r="W742" i="28"/>
  <c r="S742" i="28"/>
  <c r="B743" i="28"/>
  <c r="AC744" i="28"/>
  <c r="AD742" i="28"/>
  <c r="AE742" i="28"/>
  <c r="O741" i="28"/>
  <c r="U740" i="28"/>
  <c r="V740" i="28" s="1"/>
  <c r="X740" i="28" s="1"/>
  <c r="P740" i="28"/>
  <c r="I741" i="28"/>
  <c r="K741" i="28" s="1"/>
  <c r="N741" i="28" s="1"/>
  <c r="J741" i="28"/>
  <c r="Y741" i="28" s="1"/>
  <c r="E743" i="28" l="1"/>
  <c r="T743" i="28"/>
  <c r="O742" i="28"/>
  <c r="U741" i="28"/>
  <c r="V741" i="28" s="1"/>
  <c r="X741" i="28" s="1"/>
  <c r="P741" i="28"/>
  <c r="Z741" i="28"/>
  <c r="J742" i="28"/>
  <c r="Y742" i="28" s="1"/>
  <c r="I742" i="28"/>
  <c r="K742" i="28" s="1"/>
  <c r="N742" i="28" s="1"/>
  <c r="AD743" i="28"/>
  <c r="AE743" i="28"/>
  <c r="B744" i="28"/>
  <c r="AC745" i="28"/>
  <c r="R743" i="28"/>
  <c r="S743" i="28"/>
  <c r="Q743" i="28"/>
  <c r="W743" i="28"/>
  <c r="T744" i="28" l="1"/>
  <c r="E744" i="28"/>
  <c r="Z742" i="28"/>
  <c r="O743" i="28"/>
  <c r="AC746" i="28"/>
  <c r="B745" i="28"/>
  <c r="R744" i="28"/>
  <c r="Q744" i="28"/>
  <c r="W744" i="28"/>
  <c r="S744" i="28"/>
  <c r="J743" i="28"/>
  <c r="Y743" i="28" s="1"/>
  <c r="I743" i="28"/>
  <c r="K743" i="28" s="1"/>
  <c r="N743" i="28" s="1"/>
  <c r="AE744" i="28"/>
  <c r="AD744" i="28"/>
  <c r="P742" i="28"/>
  <c r="U742" i="28"/>
  <c r="V742" i="28" s="1"/>
  <c r="X742" i="28" s="1"/>
  <c r="T745" i="28" l="1"/>
  <c r="E745" i="28"/>
  <c r="I744" i="28"/>
  <c r="K744" i="28" s="1"/>
  <c r="N744" i="28" s="1"/>
  <c r="J744" i="28"/>
  <c r="Y744" i="28" s="1"/>
  <c r="P743" i="28"/>
  <c r="U743" i="28"/>
  <c r="V743" i="28" s="1"/>
  <c r="X743" i="28" s="1"/>
  <c r="O744" i="28"/>
  <c r="S745" i="28"/>
  <c r="R745" i="28"/>
  <c r="Q745" i="28"/>
  <c r="W745" i="28"/>
  <c r="B746" i="28"/>
  <c r="AC747" i="28"/>
  <c r="AE745" i="28"/>
  <c r="AD745" i="28"/>
  <c r="Z743" i="28"/>
  <c r="E746" i="28" l="1"/>
  <c r="T746" i="28"/>
  <c r="O745" i="28"/>
  <c r="Z744" i="28"/>
  <c r="I745" i="28"/>
  <c r="K745" i="28" s="1"/>
  <c r="N745" i="28" s="1"/>
  <c r="J745" i="28"/>
  <c r="Y745" i="28" s="1"/>
  <c r="R746" i="28"/>
  <c r="Q746" i="28"/>
  <c r="W746" i="28"/>
  <c r="S746" i="28"/>
  <c r="AC748" i="28"/>
  <c r="B747" i="28"/>
  <c r="AE746" i="28"/>
  <c r="AD746" i="28"/>
  <c r="P744" i="28"/>
  <c r="U744" i="28"/>
  <c r="V744" i="28" s="1"/>
  <c r="X744" i="28" s="1"/>
  <c r="E747" i="28" l="1"/>
  <c r="T747" i="28"/>
  <c r="O746" i="28"/>
  <c r="J746" i="28"/>
  <c r="Y746" i="28" s="1"/>
  <c r="I746" i="28"/>
  <c r="K746" i="28" s="1"/>
  <c r="N746" i="28" s="1"/>
  <c r="R747" i="28"/>
  <c r="Q747" i="28"/>
  <c r="W747" i="28"/>
  <c r="S747" i="28"/>
  <c r="B748" i="28"/>
  <c r="AC749" i="28"/>
  <c r="AE747" i="28"/>
  <c r="AD747" i="28"/>
  <c r="U745" i="28"/>
  <c r="V745" i="28" s="1"/>
  <c r="X745" i="28" s="1"/>
  <c r="P745" i="28"/>
  <c r="Z745" i="28"/>
  <c r="T748" i="28" l="1"/>
  <c r="E748" i="28"/>
  <c r="O747" i="28"/>
  <c r="R748" i="28"/>
  <c r="Q748" i="28"/>
  <c r="W748" i="28"/>
  <c r="S748" i="28"/>
  <c r="J747" i="28"/>
  <c r="Y747" i="28" s="1"/>
  <c r="I747" i="28"/>
  <c r="K747" i="28" s="1"/>
  <c r="N747" i="28" s="1"/>
  <c r="AC750" i="28"/>
  <c r="B749" i="28"/>
  <c r="AE748" i="28"/>
  <c r="AD748" i="28"/>
  <c r="U746" i="28"/>
  <c r="V746" i="28" s="1"/>
  <c r="X746" i="28" s="1"/>
  <c r="P746" i="28"/>
  <c r="Z746" i="28"/>
  <c r="T749" i="28" l="1"/>
  <c r="E749" i="28"/>
  <c r="O748" i="28"/>
  <c r="Z747" i="28"/>
  <c r="AC751" i="28"/>
  <c r="B750" i="28"/>
  <c r="U747" i="28"/>
  <c r="V747" i="28" s="1"/>
  <c r="X747" i="28" s="1"/>
  <c r="P747" i="28"/>
  <c r="I748" i="28"/>
  <c r="K748" i="28" s="1"/>
  <c r="N748" i="28" s="1"/>
  <c r="J748" i="28"/>
  <c r="Y748" i="28" s="1"/>
  <c r="Q749" i="28"/>
  <c r="W749" i="28"/>
  <c r="R749" i="28"/>
  <c r="S749" i="28"/>
  <c r="AE749" i="28"/>
  <c r="AD749" i="28"/>
  <c r="E750" i="28" l="1"/>
  <c r="T750" i="28"/>
  <c r="Z748" i="28"/>
  <c r="I749" i="28"/>
  <c r="K749" i="28" s="1"/>
  <c r="N749" i="28" s="1"/>
  <c r="J749" i="28"/>
  <c r="Y749" i="28" s="1"/>
  <c r="O749" i="28"/>
  <c r="B751" i="28"/>
  <c r="AC752" i="28"/>
  <c r="U748" i="28"/>
  <c r="V748" i="28" s="1"/>
  <c r="X748" i="28" s="1"/>
  <c r="P748" i="28"/>
  <c r="Q750" i="28"/>
  <c r="W750" i="28"/>
  <c r="R750" i="28"/>
  <c r="S750" i="28"/>
  <c r="AD750" i="28"/>
  <c r="AE750" i="28"/>
  <c r="E751" i="28" l="1"/>
  <c r="T751" i="28"/>
  <c r="O750" i="28"/>
  <c r="J750" i="28"/>
  <c r="Y750" i="28" s="1"/>
  <c r="I750" i="28"/>
  <c r="K750" i="28" s="1"/>
  <c r="N750" i="28" s="1"/>
  <c r="AE751" i="28"/>
  <c r="AD751" i="28"/>
  <c r="AC753" i="28"/>
  <c r="B752" i="28"/>
  <c r="Q751" i="28"/>
  <c r="W751" i="28"/>
  <c r="S751" i="28"/>
  <c r="R751" i="28"/>
  <c r="Z749" i="28"/>
  <c r="U749" i="28"/>
  <c r="V749" i="28" s="1"/>
  <c r="X749" i="28" s="1"/>
  <c r="P749" i="28"/>
  <c r="T752" i="28" l="1"/>
  <c r="E752" i="28"/>
  <c r="Z750" i="28"/>
  <c r="O751" i="28"/>
  <c r="R752" i="28"/>
  <c r="Q752" i="28"/>
  <c r="W752" i="28"/>
  <c r="S752" i="28"/>
  <c r="AE752" i="28"/>
  <c r="AD752" i="28"/>
  <c r="I751" i="28"/>
  <c r="K751" i="28" s="1"/>
  <c r="N751" i="28" s="1"/>
  <c r="J751" i="28"/>
  <c r="Y751" i="28" s="1"/>
  <c r="P750" i="28"/>
  <c r="U750" i="28"/>
  <c r="V750" i="28" s="1"/>
  <c r="X750" i="28" s="1"/>
  <c r="AC754" i="28"/>
  <c r="B753" i="28"/>
  <c r="T753" i="28" l="1"/>
  <c r="E753" i="28"/>
  <c r="Q753" i="28"/>
  <c r="W753" i="28"/>
  <c r="S753" i="28"/>
  <c r="R753" i="28"/>
  <c r="B754" i="28"/>
  <c r="AC755" i="28"/>
  <c r="Z751" i="28"/>
  <c r="AD753" i="28"/>
  <c r="AE753" i="28"/>
  <c r="P751" i="28"/>
  <c r="U751" i="28"/>
  <c r="V751" i="28" s="1"/>
  <c r="X751" i="28" s="1"/>
  <c r="I752" i="28"/>
  <c r="K752" i="28" s="1"/>
  <c r="N752" i="28" s="1"/>
  <c r="J752" i="28"/>
  <c r="Y752" i="28" s="1"/>
  <c r="O752" i="28"/>
  <c r="E754" i="28" l="1"/>
  <c r="T754" i="28"/>
  <c r="P752" i="28"/>
  <c r="U752" i="28"/>
  <c r="V752" i="28" s="1"/>
  <c r="X752" i="28" s="1"/>
  <c r="J753" i="28"/>
  <c r="Y753" i="28" s="1"/>
  <c r="I753" i="28"/>
  <c r="K753" i="28" s="1"/>
  <c r="N753" i="28" s="1"/>
  <c r="AD754" i="28"/>
  <c r="AE754" i="28"/>
  <c r="O753" i="28"/>
  <c r="Z752" i="28"/>
  <c r="AC756" i="28"/>
  <c r="B755" i="28"/>
  <c r="S754" i="28"/>
  <c r="R754" i="28"/>
  <c r="Q754" i="28"/>
  <c r="W754" i="28"/>
  <c r="E755" i="28" l="1"/>
  <c r="T755" i="28"/>
  <c r="AC757" i="28"/>
  <c r="B756" i="28"/>
  <c r="P753" i="28"/>
  <c r="U753" i="28"/>
  <c r="V753" i="28" s="1"/>
  <c r="X753" i="28" s="1"/>
  <c r="O754" i="28"/>
  <c r="Q755" i="28"/>
  <c r="W755" i="28"/>
  <c r="S755" i="28"/>
  <c r="R755" i="28"/>
  <c r="AD755" i="28"/>
  <c r="AE755" i="28"/>
  <c r="Z753" i="28"/>
  <c r="I754" i="28"/>
  <c r="K754" i="28" s="1"/>
  <c r="N754" i="28" s="1"/>
  <c r="J754" i="28"/>
  <c r="Y754" i="28" s="1"/>
  <c r="T756" i="28" l="1"/>
  <c r="E756" i="28"/>
  <c r="I755" i="28"/>
  <c r="K755" i="28" s="1"/>
  <c r="N755" i="28" s="1"/>
  <c r="J755" i="28"/>
  <c r="Y755" i="28" s="1"/>
  <c r="AD756" i="28"/>
  <c r="AE756" i="28"/>
  <c r="U754" i="28"/>
  <c r="V754" i="28" s="1"/>
  <c r="X754" i="28" s="1"/>
  <c r="P754" i="28"/>
  <c r="O755" i="28"/>
  <c r="Z754" i="28"/>
  <c r="Q756" i="28"/>
  <c r="W756" i="28"/>
  <c r="S756" i="28"/>
  <c r="R756" i="28"/>
  <c r="AC758" i="28"/>
  <c r="B757" i="28"/>
  <c r="T757" i="28" l="1"/>
  <c r="E757" i="28"/>
  <c r="O756" i="28"/>
  <c r="Z755" i="28"/>
  <c r="J756" i="28"/>
  <c r="Y756" i="28" s="1"/>
  <c r="I756" i="28"/>
  <c r="K756" i="28" s="1"/>
  <c r="N756" i="28" s="1"/>
  <c r="AE757" i="28"/>
  <c r="AD757" i="28"/>
  <c r="Q757" i="28"/>
  <c r="W757" i="28"/>
  <c r="S757" i="28"/>
  <c r="R757" i="28"/>
  <c r="B758" i="28"/>
  <c r="AC759" i="28"/>
  <c r="P755" i="28"/>
  <c r="U755" i="28"/>
  <c r="V755" i="28" s="1"/>
  <c r="X755" i="28" s="1"/>
  <c r="E758" i="28" l="1"/>
  <c r="T758" i="28"/>
  <c r="O757" i="28"/>
  <c r="U756" i="28"/>
  <c r="V756" i="28" s="1"/>
  <c r="X756" i="28" s="1"/>
  <c r="P756" i="28"/>
  <c r="Z756" i="28"/>
  <c r="AC760" i="28"/>
  <c r="B759" i="28"/>
  <c r="AD758" i="28"/>
  <c r="AE758" i="28"/>
  <c r="S758" i="28"/>
  <c r="Q758" i="28"/>
  <c r="W758" i="28"/>
  <c r="R758" i="28"/>
  <c r="I757" i="28"/>
  <c r="K757" i="28" s="1"/>
  <c r="N757" i="28" s="1"/>
  <c r="J757" i="28"/>
  <c r="Y757" i="28" s="1"/>
  <c r="E759" i="28" l="1"/>
  <c r="T759" i="28"/>
  <c r="O758" i="28"/>
  <c r="R759" i="28"/>
  <c r="Q759" i="28"/>
  <c r="W759" i="28"/>
  <c r="S759" i="28"/>
  <c r="B760" i="28"/>
  <c r="AC761" i="28"/>
  <c r="P757" i="28"/>
  <c r="U757" i="28"/>
  <c r="V757" i="28" s="1"/>
  <c r="X757" i="28" s="1"/>
  <c r="J758" i="28"/>
  <c r="Y758" i="28" s="1"/>
  <c r="I758" i="28"/>
  <c r="K758" i="28" s="1"/>
  <c r="N758" i="28" s="1"/>
  <c r="AE759" i="28"/>
  <c r="AD759" i="28"/>
  <c r="Z757" i="28"/>
  <c r="T760" i="28" l="1"/>
  <c r="E760" i="28"/>
  <c r="O759" i="28"/>
  <c r="Z758" i="28"/>
  <c r="AE760" i="28"/>
  <c r="AD760" i="28"/>
  <c r="I759" i="28"/>
  <c r="K759" i="28" s="1"/>
  <c r="N759" i="28" s="1"/>
  <c r="J759" i="28"/>
  <c r="Y759" i="28" s="1"/>
  <c r="P758" i="28"/>
  <c r="U758" i="28"/>
  <c r="V758" i="28" s="1"/>
  <c r="X758" i="28" s="1"/>
  <c r="B761" i="28"/>
  <c r="AC762" i="28"/>
  <c r="Q760" i="28"/>
  <c r="W760" i="28"/>
  <c r="S760" i="28"/>
  <c r="R760" i="28"/>
  <c r="T761" i="28" l="1"/>
  <c r="E761" i="28"/>
  <c r="Z759" i="28"/>
  <c r="O760" i="28"/>
  <c r="B762" i="28"/>
  <c r="AC763" i="28"/>
  <c r="AE761" i="28"/>
  <c r="AD761" i="28"/>
  <c r="U759" i="28"/>
  <c r="V759" i="28" s="1"/>
  <c r="X759" i="28" s="1"/>
  <c r="P759" i="28"/>
  <c r="I760" i="28"/>
  <c r="K760" i="28" s="1"/>
  <c r="N760" i="28" s="1"/>
  <c r="J760" i="28"/>
  <c r="Y760" i="28" s="1"/>
  <c r="S761" i="28"/>
  <c r="Q761" i="28"/>
  <c r="W761" i="28"/>
  <c r="R761" i="28"/>
  <c r="E762" i="28" l="1"/>
  <c r="T762" i="28"/>
  <c r="J761" i="28"/>
  <c r="Y761" i="28" s="1"/>
  <c r="I761" i="28"/>
  <c r="K761" i="28" s="1"/>
  <c r="N761" i="28" s="1"/>
  <c r="B763" i="28"/>
  <c r="AC764" i="28"/>
  <c r="AD762" i="28"/>
  <c r="AE762" i="28"/>
  <c r="Z760" i="28"/>
  <c r="O761" i="28"/>
  <c r="P760" i="28"/>
  <c r="U760" i="28"/>
  <c r="V760" i="28" s="1"/>
  <c r="X760" i="28" s="1"/>
  <c r="Q762" i="28"/>
  <c r="W762" i="28"/>
  <c r="S762" i="28"/>
  <c r="R762" i="28"/>
  <c r="E763" i="28" l="1"/>
  <c r="T763" i="28"/>
  <c r="O762" i="28"/>
  <c r="Z761" i="28"/>
  <c r="I762" i="28"/>
  <c r="K762" i="28" s="1"/>
  <c r="N762" i="28" s="1"/>
  <c r="J762" i="28"/>
  <c r="Y762" i="28" s="1"/>
  <c r="AD763" i="28"/>
  <c r="AE763" i="28"/>
  <c r="P761" i="28"/>
  <c r="U761" i="28"/>
  <c r="V761" i="28" s="1"/>
  <c r="X761" i="28" s="1"/>
  <c r="AC765" i="28"/>
  <c r="B764" i="28"/>
  <c r="Q763" i="28"/>
  <c r="W763" i="28"/>
  <c r="S763" i="28"/>
  <c r="R763" i="28"/>
  <c r="T764" i="28" l="1"/>
  <c r="E764" i="28"/>
  <c r="O763" i="28"/>
  <c r="AE764" i="28"/>
  <c r="AD764" i="28"/>
  <c r="I763" i="28"/>
  <c r="K763" i="28" s="1"/>
  <c r="N763" i="28" s="1"/>
  <c r="J763" i="28"/>
  <c r="Y763" i="28" s="1"/>
  <c r="U762" i="28"/>
  <c r="V762" i="28" s="1"/>
  <c r="X762" i="28" s="1"/>
  <c r="P762" i="28"/>
  <c r="S764" i="28"/>
  <c r="R764" i="28"/>
  <c r="Q764" i="28"/>
  <c r="W764" i="28"/>
  <c r="B765" i="28"/>
  <c r="AC766" i="28"/>
  <c r="Z762" i="28"/>
  <c r="T765" i="28" l="1"/>
  <c r="E765" i="28"/>
  <c r="R765" i="28"/>
  <c r="Q765" i="28"/>
  <c r="W765" i="28"/>
  <c r="S765" i="28"/>
  <c r="AC767" i="28"/>
  <c r="B766" i="28"/>
  <c r="AE765" i="28"/>
  <c r="AD765" i="28"/>
  <c r="I764" i="28"/>
  <c r="K764" i="28" s="1"/>
  <c r="N764" i="28" s="1"/>
  <c r="J764" i="28"/>
  <c r="Y764" i="28" s="1"/>
  <c r="Z763" i="28"/>
  <c r="O764" i="28"/>
  <c r="U763" i="28"/>
  <c r="V763" i="28" s="1"/>
  <c r="X763" i="28" s="1"/>
  <c r="P763" i="28"/>
  <c r="E766" i="28" l="1"/>
  <c r="T766" i="28"/>
  <c r="Z764" i="28"/>
  <c r="J765" i="28"/>
  <c r="Y765" i="28" s="1"/>
  <c r="I765" i="28"/>
  <c r="K765" i="28" s="1"/>
  <c r="N765" i="28" s="1"/>
  <c r="S766" i="28"/>
  <c r="R766" i="28"/>
  <c r="Q766" i="28"/>
  <c r="W766" i="28"/>
  <c r="AE766" i="28"/>
  <c r="AD766" i="28"/>
  <c r="O765" i="28"/>
  <c r="P764" i="28"/>
  <c r="U764" i="28"/>
  <c r="V764" i="28" s="1"/>
  <c r="X764" i="28" s="1"/>
  <c r="AC768" i="28"/>
  <c r="B767" i="28"/>
  <c r="E767" i="28" l="1"/>
  <c r="T767" i="28"/>
  <c r="U765" i="28"/>
  <c r="V765" i="28" s="1"/>
  <c r="X765" i="28" s="1"/>
  <c r="P765" i="28"/>
  <c r="R767" i="28"/>
  <c r="S767" i="28"/>
  <c r="Q767" i="28"/>
  <c r="W767" i="28"/>
  <c r="AD767" i="28"/>
  <c r="AE767" i="28"/>
  <c r="I766" i="28"/>
  <c r="K766" i="28" s="1"/>
  <c r="N766" i="28" s="1"/>
  <c r="J766" i="28"/>
  <c r="Y766" i="28" s="1"/>
  <c r="AC769" i="28"/>
  <c r="B768" i="28"/>
  <c r="Z765" i="28"/>
  <c r="O766" i="28"/>
  <c r="T768" i="28" l="1"/>
  <c r="E768" i="28"/>
  <c r="AD768" i="28"/>
  <c r="AE768" i="28"/>
  <c r="U766" i="28"/>
  <c r="V766" i="28" s="1"/>
  <c r="X766" i="28" s="1"/>
  <c r="P766" i="28"/>
  <c r="J767" i="28"/>
  <c r="Y767" i="28" s="1"/>
  <c r="I767" i="28"/>
  <c r="K767" i="28" s="1"/>
  <c r="N767" i="28" s="1"/>
  <c r="O767" i="28"/>
  <c r="Z766" i="28"/>
  <c r="Q768" i="28"/>
  <c r="W768" i="28"/>
  <c r="S768" i="28"/>
  <c r="R768" i="28"/>
  <c r="B769" i="28"/>
  <c r="AC770" i="28"/>
  <c r="T769" i="28" l="1"/>
  <c r="E769" i="28"/>
  <c r="R769" i="28"/>
  <c r="S769" i="28"/>
  <c r="Q769" i="28"/>
  <c r="W769" i="28"/>
  <c r="AC771" i="28"/>
  <c r="B770" i="28"/>
  <c r="AE769" i="28"/>
  <c r="AD769" i="28"/>
  <c r="Z767" i="28"/>
  <c r="U767" i="28"/>
  <c r="V767" i="28" s="1"/>
  <c r="X767" i="28" s="1"/>
  <c r="P767" i="28"/>
  <c r="O768" i="28"/>
  <c r="I768" i="28"/>
  <c r="K768" i="28" s="1"/>
  <c r="N768" i="28" s="1"/>
  <c r="J768" i="28"/>
  <c r="Y768" i="28" s="1"/>
  <c r="E770" i="28" l="1"/>
  <c r="T770" i="28"/>
  <c r="U768" i="28"/>
  <c r="V768" i="28" s="1"/>
  <c r="X768" i="28" s="1"/>
  <c r="P768" i="28"/>
  <c r="Z768" i="28"/>
  <c r="J769" i="28"/>
  <c r="Y769" i="28" s="1"/>
  <c r="I769" i="28"/>
  <c r="K769" i="28" s="1"/>
  <c r="N769" i="28" s="1"/>
  <c r="Q770" i="28"/>
  <c r="W770" i="28"/>
  <c r="R770" i="28"/>
  <c r="S770" i="28"/>
  <c r="AE770" i="28"/>
  <c r="AD770" i="28"/>
  <c r="B771" i="28"/>
  <c r="AC772" i="28"/>
  <c r="O769" i="28"/>
  <c r="E771" i="28" l="1"/>
  <c r="T771" i="28"/>
  <c r="O770" i="28"/>
  <c r="P769" i="28"/>
  <c r="U769" i="28"/>
  <c r="V769" i="28" s="1"/>
  <c r="X769" i="28" s="1"/>
  <c r="AC773" i="28"/>
  <c r="B772" i="28"/>
  <c r="Q771" i="28"/>
  <c r="W771" i="28"/>
  <c r="S771" i="28"/>
  <c r="R771" i="28"/>
  <c r="J770" i="28"/>
  <c r="Y770" i="28" s="1"/>
  <c r="I770" i="28"/>
  <c r="K770" i="28" s="1"/>
  <c r="N770" i="28" s="1"/>
  <c r="Z769" i="28"/>
  <c r="AE771" i="28"/>
  <c r="AD771" i="28"/>
  <c r="T772" i="28" l="1"/>
  <c r="E772" i="28"/>
  <c r="Z770" i="28"/>
  <c r="I771" i="28"/>
  <c r="K771" i="28" s="1"/>
  <c r="N771" i="28" s="1"/>
  <c r="J771" i="28"/>
  <c r="Y771" i="28" s="1"/>
  <c r="O771" i="28"/>
  <c r="AD772" i="28"/>
  <c r="AE772" i="28"/>
  <c r="U770" i="28"/>
  <c r="V770" i="28" s="1"/>
  <c r="X770" i="28" s="1"/>
  <c r="P770" i="28"/>
  <c r="R772" i="28"/>
  <c r="Q772" i="28"/>
  <c r="W772" i="28"/>
  <c r="S772" i="28"/>
  <c r="AC774" i="28"/>
  <c r="B773" i="28"/>
  <c r="T773" i="28" l="1"/>
  <c r="E773" i="28"/>
  <c r="O772" i="28"/>
  <c r="Z771" i="28"/>
  <c r="AD773" i="28"/>
  <c r="AE773" i="28"/>
  <c r="R773" i="28"/>
  <c r="Q773" i="28"/>
  <c r="W773" i="28"/>
  <c r="S773" i="28"/>
  <c r="B774" i="28"/>
  <c r="AC775" i="28"/>
  <c r="I772" i="28"/>
  <c r="K772" i="28" s="1"/>
  <c r="N772" i="28" s="1"/>
  <c r="J772" i="28"/>
  <c r="Y772" i="28" s="1"/>
  <c r="P771" i="28"/>
  <c r="U771" i="28"/>
  <c r="V771" i="28" s="1"/>
  <c r="X771" i="28" s="1"/>
  <c r="E774" i="28" l="1"/>
  <c r="T774" i="28"/>
  <c r="O773" i="28"/>
  <c r="I773" i="28"/>
  <c r="K773" i="28" s="1"/>
  <c r="N773" i="28" s="1"/>
  <c r="J773" i="28"/>
  <c r="Y773" i="28" s="1"/>
  <c r="P772" i="28"/>
  <c r="U772" i="28"/>
  <c r="V772" i="28" s="1"/>
  <c r="X772" i="28" s="1"/>
  <c r="Q774" i="28"/>
  <c r="W774" i="28"/>
  <c r="S774" i="28"/>
  <c r="R774" i="28"/>
  <c r="B775" i="28"/>
  <c r="AC776" i="28"/>
  <c r="AD774" i="28"/>
  <c r="AE774" i="28"/>
  <c r="Z772" i="28"/>
  <c r="E775" i="28" l="1"/>
  <c r="T775" i="28"/>
  <c r="Z773" i="28"/>
  <c r="O774" i="28"/>
  <c r="J774" i="28"/>
  <c r="Y774" i="28" s="1"/>
  <c r="I774" i="28"/>
  <c r="K774" i="28" s="1"/>
  <c r="N774" i="28" s="1"/>
  <c r="AE775" i="28"/>
  <c r="AD775" i="28"/>
  <c r="B776" i="28"/>
  <c r="AC777" i="28"/>
  <c r="Q775" i="28"/>
  <c r="W775" i="28"/>
  <c r="S775" i="28"/>
  <c r="R775" i="28"/>
  <c r="U773" i="28"/>
  <c r="V773" i="28" s="1"/>
  <c r="X773" i="28" s="1"/>
  <c r="P773" i="28"/>
  <c r="T776" i="28" l="1"/>
  <c r="E776" i="28"/>
  <c r="Z774" i="28"/>
  <c r="AD776" i="28"/>
  <c r="AE776" i="28"/>
  <c r="I775" i="28"/>
  <c r="K775" i="28" s="1"/>
  <c r="N775" i="28" s="1"/>
  <c r="J775" i="28"/>
  <c r="Y775" i="28" s="1"/>
  <c r="U774" i="28"/>
  <c r="V774" i="28" s="1"/>
  <c r="X774" i="28" s="1"/>
  <c r="P774" i="28"/>
  <c r="O775" i="28"/>
  <c r="B777" i="28"/>
  <c r="AC778" i="28"/>
  <c r="S776" i="28"/>
  <c r="Q776" i="28"/>
  <c r="W776" i="28"/>
  <c r="R776" i="28"/>
  <c r="T777" i="28" l="1"/>
  <c r="E777" i="28"/>
  <c r="O776" i="28"/>
  <c r="AD777" i="28"/>
  <c r="AE777" i="28"/>
  <c r="P775" i="28"/>
  <c r="U775" i="28"/>
  <c r="V775" i="28" s="1"/>
  <c r="X775" i="28" s="1"/>
  <c r="J776" i="28"/>
  <c r="Y776" i="28" s="1"/>
  <c r="I776" i="28"/>
  <c r="K776" i="28" s="1"/>
  <c r="N776" i="28" s="1"/>
  <c r="B778" i="28"/>
  <c r="AC779" i="28"/>
  <c r="R777" i="28"/>
  <c r="Q777" i="28"/>
  <c r="W777" i="28"/>
  <c r="S777" i="28"/>
  <c r="Z775" i="28"/>
  <c r="E778" i="28" l="1"/>
  <c r="T778" i="28"/>
  <c r="Z776" i="28"/>
  <c r="R778" i="28"/>
  <c r="Q778" i="28"/>
  <c r="W778" i="28"/>
  <c r="S778" i="28"/>
  <c r="P776" i="28"/>
  <c r="U776" i="28"/>
  <c r="V776" i="28" s="1"/>
  <c r="X776" i="28" s="1"/>
  <c r="O777" i="28"/>
  <c r="AC780" i="28"/>
  <c r="B779" i="28"/>
  <c r="AD778" i="28"/>
  <c r="AE778" i="28"/>
  <c r="J777" i="28"/>
  <c r="Y777" i="28" s="1"/>
  <c r="I777" i="28"/>
  <c r="K777" i="28" s="1"/>
  <c r="N777" i="28" s="1"/>
  <c r="E779" i="28" l="1"/>
  <c r="T779" i="28"/>
  <c r="I778" i="28"/>
  <c r="K778" i="28" s="1"/>
  <c r="N778" i="28" s="1"/>
  <c r="J778" i="28"/>
  <c r="Y778" i="28" s="1"/>
  <c r="B780" i="28"/>
  <c r="AC781" i="28"/>
  <c r="P777" i="28"/>
  <c r="U777" i="28"/>
  <c r="V777" i="28" s="1"/>
  <c r="X777" i="28" s="1"/>
  <c r="S779" i="28"/>
  <c r="Q779" i="28"/>
  <c r="W779" i="28"/>
  <c r="R779" i="28"/>
  <c r="AD779" i="28"/>
  <c r="AE779" i="28"/>
  <c r="Z777" i="28"/>
  <c r="O778" i="28"/>
  <c r="T780" i="28" l="1"/>
  <c r="E780" i="28"/>
  <c r="O779" i="28"/>
  <c r="R780" i="28"/>
  <c r="Q780" i="28"/>
  <c r="W780" i="28"/>
  <c r="S780" i="28"/>
  <c r="Z778" i="28"/>
  <c r="J779" i="28"/>
  <c r="Y779" i="28" s="1"/>
  <c r="I779" i="28"/>
  <c r="K779" i="28" s="1"/>
  <c r="N779" i="28" s="1"/>
  <c r="AC782" i="28"/>
  <c r="AC795" i="28" s="1"/>
  <c r="B781" i="28"/>
  <c r="AE780" i="28"/>
  <c r="AD780" i="28"/>
  <c r="U778" i="28"/>
  <c r="V778" i="28" s="1"/>
  <c r="X778" i="28" s="1"/>
  <c r="P778" i="28"/>
  <c r="B795" i="28" l="1"/>
  <c r="AC796" i="28"/>
  <c r="T781" i="28"/>
  <c r="E781" i="28"/>
  <c r="Z779" i="28"/>
  <c r="O780" i="28"/>
  <c r="AD781" i="28"/>
  <c r="AE781" i="28"/>
  <c r="J780" i="28"/>
  <c r="Y780" i="28" s="1"/>
  <c r="I780" i="28"/>
  <c r="K780" i="28" s="1"/>
  <c r="N780" i="28" s="1"/>
  <c r="S781" i="28"/>
  <c r="Q781" i="28"/>
  <c r="W781" i="28"/>
  <c r="R781" i="28"/>
  <c r="AC783" i="28"/>
  <c r="B782" i="28"/>
  <c r="U779" i="28"/>
  <c r="V779" i="28" s="1"/>
  <c r="X779" i="28" s="1"/>
  <c r="P779" i="28"/>
  <c r="B796" i="28" l="1"/>
  <c r="AC797" i="28"/>
  <c r="R795" i="28"/>
  <c r="W795" i="28"/>
  <c r="S795" i="28"/>
  <c r="T795" i="28"/>
  <c r="Q795" i="28"/>
  <c r="E795" i="28"/>
  <c r="E782" i="28"/>
  <c r="T782" i="28"/>
  <c r="Z780" i="28"/>
  <c r="O781" i="28"/>
  <c r="U780" i="28"/>
  <c r="V780" i="28" s="1"/>
  <c r="X780" i="28" s="1"/>
  <c r="P780" i="28"/>
  <c r="AD782" i="28"/>
  <c r="AE782" i="28"/>
  <c r="Q782" i="28"/>
  <c r="W782" i="28"/>
  <c r="R782" i="28"/>
  <c r="S782" i="28"/>
  <c r="B783" i="28"/>
  <c r="AC784" i="28"/>
  <c r="I781" i="28"/>
  <c r="K781" i="28" s="1"/>
  <c r="N781" i="28" s="1"/>
  <c r="J781" i="28"/>
  <c r="Y781" i="28" s="1"/>
  <c r="O795" i="28" l="1"/>
  <c r="K795" i="28"/>
  <c r="N795" i="28" s="1"/>
  <c r="Y795" i="28"/>
  <c r="B797" i="28"/>
  <c r="AC798" i="28"/>
  <c r="Q796" i="28"/>
  <c r="E796" i="28"/>
  <c r="R796" i="28"/>
  <c r="W796" i="28"/>
  <c r="T796" i="28"/>
  <c r="S796" i="28"/>
  <c r="E783" i="28"/>
  <c r="T783" i="28"/>
  <c r="O782" i="28"/>
  <c r="I782" i="28"/>
  <c r="K782" i="28" s="1"/>
  <c r="N782" i="28" s="1"/>
  <c r="J782" i="28"/>
  <c r="Y782" i="28" s="1"/>
  <c r="P781" i="28"/>
  <c r="U781" i="28"/>
  <c r="V781" i="28" s="1"/>
  <c r="X781" i="28" s="1"/>
  <c r="Q783" i="28"/>
  <c r="W783" i="28"/>
  <c r="S783" i="28"/>
  <c r="R783" i="28"/>
  <c r="AC785" i="28"/>
  <c r="B784" i="28"/>
  <c r="AD783" i="28"/>
  <c r="AE783" i="28"/>
  <c r="Z781" i="28"/>
  <c r="Z795" i="28" l="1"/>
  <c r="Y796" i="28"/>
  <c r="K796" i="28"/>
  <c r="N796" i="28" s="1"/>
  <c r="U795" i="28"/>
  <c r="V795" i="28" s="1"/>
  <c r="X795" i="28" s="1"/>
  <c r="P795" i="28"/>
  <c r="O796" i="28"/>
  <c r="B798" i="28"/>
  <c r="AC799" i="28"/>
  <c r="T797" i="28"/>
  <c r="Q797" i="28"/>
  <c r="E797" i="28"/>
  <c r="W797" i="28"/>
  <c r="S797" i="28"/>
  <c r="R797" i="28"/>
  <c r="T784" i="28"/>
  <c r="E784" i="28"/>
  <c r="I783" i="28"/>
  <c r="K783" i="28" s="1"/>
  <c r="N783" i="28" s="1"/>
  <c r="J783" i="28"/>
  <c r="Y783" i="28" s="1"/>
  <c r="AD784" i="28"/>
  <c r="AE784" i="28"/>
  <c r="R784" i="28"/>
  <c r="Q784" i="28"/>
  <c r="W784" i="28"/>
  <c r="S784" i="28"/>
  <c r="AC786" i="28"/>
  <c r="B785" i="28"/>
  <c r="U782" i="28"/>
  <c r="V782" i="28" s="1"/>
  <c r="X782" i="28" s="1"/>
  <c r="P782" i="28"/>
  <c r="O783" i="28"/>
  <c r="Z782" i="28"/>
  <c r="Z796" i="28" l="1"/>
  <c r="Y797" i="28"/>
  <c r="K797" i="28"/>
  <c r="N797" i="28" s="1"/>
  <c r="B799" i="28"/>
  <c r="AC800" i="28"/>
  <c r="W798" i="28"/>
  <c r="S798" i="28"/>
  <c r="T798" i="28"/>
  <c r="R798" i="28"/>
  <c r="Q798" i="28"/>
  <c r="E798" i="28"/>
  <c r="U796" i="28"/>
  <c r="V796" i="28" s="1"/>
  <c r="X796" i="28" s="1"/>
  <c r="P796" i="28"/>
  <c r="O797" i="28"/>
  <c r="T785" i="28"/>
  <c r="E785" i="28"/>
  <c r="R785" i="28"/>
  <c r="Q785" i="28"/>
  <c r="W785" i="28"/>
  <c r="S785" i="28"/>
  <c r="B786" i="28"/>
  <c r="AC787" i="28"/>
  <c r="I784" i="28"/>
  <c r="K784" i="28" s="1"/>
  <c r="N784" i="28" s="1"/>
  <c r="J784" i="28"/>
  <c r="Y784" i="28" s="1"/>
  <c r="U783" i="28"/>
  <c r="V783" i="28" s="1"/>
  <c r="X783" i="28" s="1"/>
  <c r="P783" i="28"/>
  <c r="Z783" i="28"/>
  <c r="AE785" i="28"/>
  <c r="AD785" i="28"/>
  <c r="O784" i="28"/>
  <c r="Z797" i="28" l="1"/>
  <c r="O798" i="28"/>
  <c r="B800" i="28"/>
  <c r="AC801" i="28"/>
  <c r="T799" i="28"/>
  <c r="R799" i="28"/>
  <c r="W799" i="28"/>
  <c r="Q799" i="28"/>
  <c r="E799" i="28"/>
  <c r="S799" i="28"/>
  <c r="P797" i="28"/>
  <c r="U797" i="28"/>
  <c r="V797" i="28" s="1"/>
  <c r="X797" i="28" s="1"/>
  <c r="K798" i="28"/>
  <c r="N798" i="28" s="1"/>
  <c r="Y798" i="28"/>
  <c r="E786" i="28"/>
  <c r="T786" i="28"/>
  <c r="Z784" i="28"/>
  <c r="I785" i="28"/>
  <c r="K785" i="28" s="1"/>
  <c r="N785" i="28" s="1"/>
  <c r="J785" i="28"/>
  <c r="Y785" i="28" s="1"/>
  <c r="B787" i="28"/>
  <c r="AC788" i="28"/>
  <c r="S786" i="28"/>
  <c r="Q786" i="28"/>
  <c r="W786" i="28"/>
  <c r="R786" i="28"/>
  <c r="O785" i="28"/>
  <c r="P784" i="28"/>
  <c r="U784" i="28"/>
  <c r="V784" i="28" s="1"/>
  <c r="X784" i="28" s="1"/>
  <c r="AD786" i="28"/>
  <c r="AE786" i="28"/>
  <c r="B801" i="28" l="1"/>
  <c r="AC802" i="28"/>
  <c r="K799" i="28"/>
  <c r="N799" i="28" s="1"/>
  <c r="Y799" i="28"/>
  <c r="W800" i="28"/>
  <c r="S800" i="28"/>
  <c r="Q800" i="28"/>
  <c r="E800" i="28"/>
  <c r="T800" i="28"/>
  <c r="R800" i="28"/>
  <c r="P798" i="28"/>
  <c r="U798" i="28"/>
  <c r="V798" i="28" s="1"/>
  <c r="X798" i="28" s="1"/>
  <c r="O799" i="28"/>
  <c r="Z798" i="28"/>
  <c r="E787" i="28"/>
  <c r="T787" i="28"/>
  <c r="Z785" i="28"/>
  <c r="O786" i="28"/>
  <c r="B788" i="28"/>
  <c r="AC789" i="28"/>
  <c r="AE787" i="28"/>
  <c r="AD787" i="28"/>
  <c r="J786" i="28"/>
  <c r="Y786" i="28" s="1"/>
  <c r="I786" i="28"/>
  <c r="K786" i="28" s="1"/>
  <c r="N786" i="28" s="1"/>
  <c r="S787" i="28"/>
  <c r="R787" i="28"/>
  <c r="Q787" i="28"/>
  <c r="W787" i="28"/>
  <c r="U785" i="28"/>
  <c r="V785" i="28" s="1"/>
  <c r="X785" i="28" s="1"/>
  <c r="P785" i="28"/>
  <c r="Z799" i="28" l="1"/>
  <c r="P799" i="28"/>
  <c r="U799" i="28"/>
  <c r="V799" i="28" s="1"/>
  <c r="X799" i="28" s="1"/>
  <c r="O800" i="28"/>
  <c r="B802" i="28"/>
  <c r="AC803" i="28"/>
  <c r="K800" i="28"/>
  <c r="N800" i="28" s="1"/>
  <c r="Y800" i="28"/>
  <c r="R801" i="28"/>
  <c r="T801" i="28"/>
  <c r="Q801" i="28"/>
  <c r="S801" i="28"/>
  <c r="W801" i="28"/>
  <c r="E801" i="28"/>
  <c r="T788" i="28"/>
  <c r="E788" i="28"/>
  <c r="O787" i="28"/>
  <c r="P786" i="28"/>
  <c r="U786" i="28"/>
  <c r="V786" i="28" s="1"/>
  <c r="X786" i="28" s="1"/>
  <c r="J787" i="28"/>
  <c r="Y787" i="28" s="1"/>
  <c r="I787" i="28"/>
  <c r="K787" i="28" s="1"/>
  <c r="N787" i="28" s="1"/>
  <c r="AC790" i="28"/>
  <c r="B789" i="28"/>
  <c r="Q788" i="28"/>
  <c r="W788" i="28"/>
  <c r="S788" i="28"/>
  <c r="R788" i="28"/>
  <c r="AE788" i="28"/>
  <c r="AD788" i="28"/>
  <c r="Z786" i="28"/>
  <c r="Z800" i="28" l="1"/>
  <c r="Y801" i="28"/>
  <c r="K801" i="28"/>
  <c r="N801" i="28" s="1"/>
  <c r="O801" i="28"/>
  <c r="U800" i="28"/>
  <c r="V800" i="28" s="1"/>
  <c r="X800" i="28" s="1"/>
  <c r="P800" i="28"/>
  <c r="B803" i="28"/>
  <c r="AC804" i="28"/>
  <c r="Q802" i="28"/>
  <c r="E802" i="28"/>
  <c r="W802" i="28"/>
  <c r="S802" i="28"/>
  <c r="R802" i="28"/>
  <c r="T802" i="28"/>
  <c r="T789" i="28"/>
  <c r="E789" i="28"/>
  <c r="O788" i="28"/>
  <c r="AD789" i="28"/>
  <c r="AE789" i="28"/>
  <c r="U787" i="28"/>
  <c r="V787" i="28" s="1"/>
  <c r="X787" i="28" s="1"/>
  <c r="P787" i="28"/>
  <c r="J788" i="28"/>
  <c r="Y788" i="28" s="1"/>
  <c r="I788" i="28"/>
  <c r="K788" i="28" s="1"/>
  <c r="N788" i="28" s="1"/>
  <c r="R789" i="28"/>
  <c r="S789" i="28"/>
  <c r="Q789" i="28"/>
  <c r="W789" i="28"/>
  <c r="B790" i="28"/>
  <c r="AC791" i="28"/>
  <c r="Z787" i="28"/>
  <c r="Z801" i="28" l="1"/>
  <c r="B804" i="28"/>
  <c r="AC805" i="28"/>
  <c r="T803" i="28"/>
  <c r="R803" i="28"/>
  <c r="E803" i="28"/>
  <c r="W803" i="28"/>
  <c r="Q803" i="28"/>
  <c r="S803" i="28"/>
  <c r="Y802" i="28"/>
  <c r="K802" i="28"/>
  <c r="N802" i="28" s="1"/>
  <c r="P801" i="28"/>
  <c r="U801" i="28"/>
  <c r="V801" i="28" s="1"/>
  <c r="X801" i="28" s="1"/>
  <c r="O802" i="28"/>
  <c r="E790" i="28"/>
  <c r="T790" i="28"/>
  <c r="O789" i="28"/>
  <c r="Z788" i="28"/>
  <c r="Q790" i="28"/>
  <c r="W790" i="28"/>
  <c r="S790" i="28"/>
  <c r="R790" i="28"/>
  <c r="B791" i="28"/>
  <c r="AC792" i="28"/>
  <c r="AD790" i="28"/>
  <c r="AE790" i="28"/>
  <c r="U788" i="28"/>
  <c r="V788" i="28" s="1"/>
  <c r="X788" i="28" s="1"/>
  <c r="P788" i="28"/>
  <c r="I789" i="28"/>
  <c r="K789" i="28" s="1"/>
  <c r="N789" i="28" s="1"/>
  <c r="J789" i="28"/>
  <c r="Y789" i="28" s="1"/>
  <c r="Z802" i="28" l="1"/>
  <c r="U802" i="28"/>
  <c r="V802" i="28" s="1"/>
  <c r="X802" i="28" s="1"/>
  <c r="P802" i="28"/>
  <c r="K803" i="28"/>
  <c r="N803" i="28" s="1"/>
  <c r="Y803" i="28"/>
  <c r="O803" i="28"/>
  <c r="B805" i="28"/>
  <c r="AC806" i="28"/>
  <c r="B806" i="28" s="1"/>
  <c r="W804" i="28"/>
  <c r="S804" i="28"/>
  <c r="Q804" i="28"/>
  <c r="E804" i="28"/>
  <c r="T804" i="28"/>
  <c r="R804" i="28"/>
  <c r="E791" i="28"/>
  <c r="T791" i="28"/>
  <c r="Z789" i="28"/>
  <c r="O790" i="28"/>
  <c r="B792" i="28"/>
  <c r="AC793" i="28"/>
  <c r="AD791" i="28"/>
  <c r="AE791" i="28"/>
  <c r="P789" i="28"/>
  <c r="U789" i="28"/>
  <c r="V789" i="28" s="1"/>
  <c r="X789" i="28" s="1"/>
  <c r="I790" i="28"/>
  <c r="K790" i="28" s="1"/>
  <c r="N790" i="28" s="1"/>
  <c r="J790" i="28"/>
  <c r="Y790" i="28" s="1"/>
  <c r="Q791" i="28"/>
  <c r="W791" i="28"/>
  <c r="S791" i="28"/>
  <c r="R791" i="28"/>
  <c r="Z803" i="28" l="1"/>
  <c r="Q806" i="28"/>
  <c r="E806" i="28"/>
  <c r="W806" i="28"/>
  <c r="S806" i="28"/>
  <c r="R806" i="28"/>
  <c r="T806" i="28"/>
  <c r="R805" i="28"/>
  <c r="T805" i="28"/>
  <c r="Q805" i="28"/>
  <c r="S805" i="28"/>
  <c r="W805" i="28"/>
  <c r="E805" i="28"/>
  <c r="P803" i="28"/>
  <c r="U803" i="28"/>
  <c r="V803" i="28" s="1"/>
  <c r="X803" i="28" s="1"/>
  <c r="O804" i="28"/>
  <c r="K804" i="28"/>
  <c r="N804" i="28" s="1"/>
  <c r="Y804" i="28"/>
  <c r="T792" i="28"/>
  <c r="E792" i="28"/>
  <c r="O791" i="28"/>
  <c r="I791" i="28"/>
  <c r="K791" i="28" s="1"/>
  <c r="N791" i="28" s="1"/>
  <c r="J791" i="28"/>
  <c r="Y791" i="28" s="1"/>
  <c r="R792" i="28"/>
  <c r="Q792" i="28"/>
  <c r="W792" i="28"/>
  <c r="S792" i="28"/>
  <c r="U790" i="28"/>
  <c r="V790" i="28" s="1"/>
  <c r="X790" i="28" s="1"/>
  <c r="P790" i="28"/>
  <c r="AC794" i="28"/>
  <c r="B793" i="28"/>
  <c r="AE792" i="28"/>
  <c r="AD792" i="28"/>
  <c r="Z790" i="28"/>
  <c r="Z804" i="28" l="1"/>
  <c r="Y805" i="28"/>
  <c r="K805" i="28"/>
  <c r="N805" i="28" s="1"/>
  <c r="U804" i="28"/>
  <c r="V804" i="28" s="1"/>
  <c r="X804" i="28" s="1"/>
  <c r="P804" i="28"/>
  <c r="O805" i="28"/>
  <c r="Y806" i="28"/>
  <c r="K806" i="28"/>
  <c r="N806" i="28" s="1"/>
  <c r="O806" i="28"/>
  <c r="T793" i="28"/>
  <c r="E793" i="28"/>
  <c r="O792" i="28"/>
  <c r="I792" i="28"/>
  <c r="K792" i="28" s="1"/>
  <c r="N792" i="28" s="1"/>
  <c r="J792" i="28"/>
  <c r="Y792" i="28" s="1"/>
  <c r="R793" i="28"/>
  <c r="Q793" i="28"/>
  <c r="W793" i="28"/>
  <c r="S793" i="28"/>
  <c r="AC807" i="28"/>
  <c r="B794" i="28"/>
  <c r="AD793" i="28"/>
  <c r="AE793" i="28"/>
  <c r="U791" i="28"/>
  <c r="V791" i="28" s="1"/>
  <c r="X791" i="28" s="1"/>
  <c r="P791" i="28"/>
  <c r="Z791" i="28"/>
  <c r="Z805" i="28" l="1"/>
  <c r="Z806" i="28"/>
  <c r="U806" i="28"/>
  <c r="V806" i="28" s="1"/>
  <c r="X806" i="28" s="1"/>
  <c r="P806" i="28"/>
  <c r="P805" i="28"/>
  <c r="U805" i="28"/>
  <c r="V805" i="28" s="1"/>
  <c r="X805" i="28" s="1"/>
  <c r="E794" i="28"/>
  <c r="T794" i="28"/>
  <c r="I793" i="28"/>
  <c r="K793" i="28" s="1"/>
  <c r="N793" i="28" s="1"/>
  <c r="J793" i="28"/>
  <c r="Y793" i="28" s="1"/>
  <c r="AC808" i="28"/>
  <c r="B807" i="28"/>
  <c r="O793" i="28"/>
  <c r="Q794" i="28"/>
  <c r="W794" i="28"/>
  <c r="R794" i="28"/>
  <c r="S794" i="28"/>
  <c r="AD794" i="28"/>
  <c r="AE794" i="28"/>
  <c r="P792" i="28"/>
  <c r="U792" i="28"/>
  <c r="V792" i="28" s="1"/>
  <c r="X792" i="28" s="1"/>
  <c r="Z792" i="28"/>
  <c r="E807" i="28" l="1"/>
  <c r="T807" i="28"/>
  <c r="O794" i="28"/>
  <c r="Z793" i="28"/>
  <c r="Q807" i="28"/>
  <c r="W807" i="28"/>
  <c r="R807" i="28"/>
  <c r="S807" i="28"/>
  <c r="AD807" i="28"/>
  <c r="AE807" i="28"/>
  <c r="J794" i="28"/>
  <c r="Y794" i="28" s="1"/>
  <c r="I794" i="28"/>
  <c r="K794" i="28" s="1"/>
  <c r="N794" i="28" s="1"/>
  <c r="AC809" i="28"/>
  <c r="B808" i="28"/>
  <c r="P793" i="28"/>
  <c r="U793" i="28"/>
  <c r="V793" i="28" s="1"/>
  <c r="X793" i="28" s="1"/>
  <c r="T808" i="28" l="1"/>
  <c r="E808" i="28"/>
  <c r="Z794" i="28"/>
  <c r="O807" i="28"/>
  <c r="R808" i="28"/>
  <c r="Q808" i="28"/>
  <c r="S808" i="28"/>
  <c r="AC810" i="28"/>
  <c r="B809" i="28"/>
  <c r="I807" i="28"/>
  <c r="K807" i="28" s="1"/>
  <c r="N807" i="28" s="1"/>
  <c r="J807" i="28"/>
  <c r="Y807" i="28" s="1"/>
  <c r="AD808" i="28"/>
  <c r="AE808" i="28"/>
  <c r="P794" i="28"/>
  <c r="U794" i="28"/>
  <c r="V794" i="28" s="1"/>
  <c r="X794" i="28" s="1"/>
  <c r="T809" i="28" l="1"/>
  <c r="E809" i="28"/>
  <c r="Z807" i="28"/>
  <c r="P807" i="28"/>
  <c r="U807" i="28"/>
  <c r="V807" i="28" s="1"/>
  <c r="X807" i="28" s="1"/>
  <c r="AE809" i="28"/>
  <c r="AD809" i="28"/>
  <c r="I808" i="28"/>
  <c r="J808" i="28"/>
  <c r="R809" i="28"/>
  <c r="Q809" i="28"/>
  <c r="S809" i="28"/>
  <c r="AC811" i="28"/>
  <c r="B810" i="28"/>
  <c r="E810" i="28" l="1"/>
  <c r="T810" i="28"/>
  <c r="R810" i="28"/>
  <c r="Q810" i="28"/>
  <c r="S810" i="28"/>
  <c r="AC812" i="28"/>
  <c r="B811" i="28"/>
  <c r="AE810" i="28"/>
  <c r="AD810" i="28"/>
  <c r="J809" i="28"/>
  <c r="I809" i="28"/>
  <c r="E811" i="28" l="1"/>
  <c r="T811" i="28"/>
  <c r="J810" i="28"/>
  <c r="I810" i="28"/>
  <c r="R811" i="28"/>
  <c r="S811" i="28"/>
  <c r="Q811" i="28"/>
  <c r="AD811" i="28"/>
  <c r="AE811" i="28"/>
  <c r="AC813" i="28"/>
  <c r="B812" i="28"/>
  <c r="T812" i="28" l="1"/>
  <c r="E812" i="28"/>
  <c r="AC814" i="28"/>
  <c r="B813" i="28"/>
  <c r="I811" i="28"/>
  <c r="J811" i="28"/>
  <c r="S812" i="28"/>
  <c r="R812" i="28"/>
  <c r="Q812" i="28"/>
  <c r="AD812" i="28"/>
  <c r="AE812" i="28"/>
  <c r="T813" i="28" l="1"/>
  <c r="E813" i="28"/>
  <c r="S813" i="28"/>
  <c r="R813" i="28"/>
  <c r="Q813" i="28"/>
  <c r="I812" i="28"/>
  <c r="J812" i="28"/>
  <c r="AD813" i="28"/>
  <c r="AE813" i="28"/>
  <c r="B814" i="28"/>
  <c r="AC815" i="28"/>
  <c r="E814" i="28" l="1"/>
  <c r="T814" i="28"/>
  <c r="AC816" i="28"/>
  <c r="B815" i="28"/>
  <c r="AD814" i="28"/>
  <c r="AE814" i="28"/>
  <c r="I813" i="28"/>
  <c r="J813" i="28"/>
  <c r="S814" i="28"/>
  <c r="Q814" i="28"/>
  <c r="R814" i="28"/>
  <c r="E815" i="28" l="1"/>
  <c r="T815" i="28"/>
  <c r="I814" i="28"/>
  <c r="J814" i="28"/>
  <c r="AC817" i="28"/>
  <c r="B816" i="28"/>
  <c r="Q815" i="28"/>
  <c r="S815" i="28"/>
  <c r="R815" i="28"/>
  <c r="AD815" i="28"/>
  <c r="AE815" i="28"/>
  <c r="T816" i="28" l="1"/>
  <c r="E816" i="28"/>
  <c r="B817" i="28"/>
  <c r="AC818" i="28"/>
  <c r="J815" i="28"/>
  <c r="I815" i="28"/>
  <c r="Q816" i="28"/>
  <c r="S816" i="28"/>
  <c r="R816" i="28"/>
  <c r="AE816" i="28"/>
  <c r="AD816" i="28"/>
  <c r="T817" i="28" l="1"/>
  <c r="E817" i="28"/>
  <c r="I816" i="28"/>
  <c r="J816" i="28"/>
  <c r="B818" i="28"/>
  <c r="AC819" i="28"/>
  <c r="AD817" i="28"/>
  <c r="AE817" i="28"/>
  <c r="R817" i="28"/>
  <c r="Q817" i="28"/>
  <c r="S817" i="28"/>
  <c r="E818" i="28" l="1"/>
  <c r="T818" i="28"/>
  <c r="J817" i="28"/>
  <c r="I817" i="28"/>
  <c r="AD818" i="28"/>
  <c r="AE818" i="28"/>
  <c r="B819" i="28"/>
  <c r="AC820" i="28"/>
  <c r="R818" i="28"/>
  <c r="S818" i="28"/>
  <c r="Q818" i="28"/>
  <c r="E819" i="28" l="1"/>
  <c r="T819" i="28"/>
  <c r="AC821" i="28"/>
  <c r="B820" i="28"/>
  <c r="R819" i="28"/>
  <c r="S819" i="28"/>
  <c r="Q819" i="28"/>
  <c r="I818" i="28"/>
  <c r="J818" i="28"/>
  <c r="AD819" i="28"/>
  <c r="AE819" i="28"/>
  <c r="T820" i="28" l="1"/>
  <c r="E820" i="28"/>
  <c r="AC822" i="28"/>
  <c r="B821" i="28"/>
  <c r="J819" i="28"/>
  <c r="I819" i="28"/>
  <c r="Q820" i="28"/>
  <c r="S820" i="28"/>
  <c r="R820" i="28"/>
  <c r="AE820" i="28"/>
  <c r="AD820" i="28"/>
  <c r="T821" i="28" l="1"/>
  <c r="E821" i="28"/>
  <c r="J820" i="28"/>
  <c r="I820" i="28"/>
  <c r="AD821" i="28"/>
  <c r="AE821" i="28"/>
  <c r="Q821" i="28"/>
  <c r="S821" i="28"/>
  <c r="R821" i="28"/>
  <c r="AC823" i="28"/>
  <c r="B822" i="28"/>
  <c r="E822" i="28" l="1"/>
  <c r="T822" i="28"/>
  <c r="I821" i="28"/>
  <c r="J821" i="28"/>
  <c r="S822" i="28"/>
  <c r="Q822" i="28"/>
  <c r="R822" i="28"/>
  <c r="B823" i="28"/>
  <c r="AC824" i="28"/>
  <c r="AE822" i="28"/>
  <c r="AD822" i="28"/>
  <c r="E823" i="28" l="1"/>
  <c r="T823" i="28"/>
  <c r="J822" i="28"/>
  <c r="I822" i="28"/>
  <c r="B824" i="28"/>
  <c r="AC825" i="28"/>
  <c r="S823" i="28"/>
  <c r="R823" i="28"/>
  <c r="Q823" i="28"/>
  <c r="AD823" i="28"/>
  <c r="AE823" i="28"/>
  <c r="T824" i="28" l="1"/>
  <c r="E824" i="28"/>
  <c r="AD824" i="28"/>
  <c r="AE824" i="28"/>
  <c r="J823" i="28"/>
  <c r="I823" i="28"/>
  <c r="B825" i="28"/>
  <c r="AC826" i="28"/>
  <c r="S824" i="28"/>
  <c r="Q824" i="28"/>
  <c r="R824" i="28"/>
  <c r="E825" i="28" l="1"/>
  <c r="T825" i="28"/>
  <c r="B826" i="28"/>
  <c r="AC827" i="28"/>
  <c r="AD825" i="28"/>
  <c r="AE825" i="28"/>
  <c r="S825" i="28"/>
  <c r="Q825" i="28"/>
  <c r="R825" i="28"/>
  <c r="I824" i="28"/>
  <c r="J824" i="28"/>
  <c r="T826" i="28" l="1"/>
  <c r="E826" i="28"/>
  <c r="I825" i="28"/>
  <c r="J825" i="28"/>
  <c r="S826" i="28"/>
  <c r="Q826" i="28"/>
  <c r="R826" i="28"/>
  <c r="AC828" i="28"/>
  <c r="B827" i="28"/>
  <c r="AD826" i="28"/>
  <c r="AE826" i="28"/>
  <c r="T827" i="28" l="1"/>
  <c r="E827" i="28"/>
  <c r="J826" i="28"/>
  <c r="I826" i="28"/>
  <c r="AC829" i="28"/>
  <c r="B828" i="28"/>
  <c r="S827" i="28"/>
  <c r="R827" i="28"/>
  <c r="Q827" i="28"/>
  <c r="AE827" i="28"/>
  <c r="AD827" i="28"/>
  <c r="E828" i="28" l="1"/>
  <c r="T828" i="28"/>
  <c r="AC830" i="28"/>
  <c r="B829" i="28"/>
  <c r="I827" i="28"/>
  <c r="J827" i="28"/>
  <c r="S828" i="28"/>
  <c r="Q828" i="28"/>
  <c r="R828" i="28"/>
  <c r="AD828" i="28"/>
  <c r="AE828" i="28"/>
  <c r="T829" i="28" l="1"/>
  <c r="E829" i="28"/>
  <c r="J828" i="28"/>
  <c r="I828" i="28"/>
  <c r="S829" i="28"/>
  <c r="Q829" i="28"/>
  <c r="R829" i="28"/>
  <c r="B830" i="28"/>
  <c r="AC831" i="28"/>
  <c r="AD829" i="28"/>
  <c r="AE829" i="28"/>
  <c r="T830" i="28" l="1"/>
  <c r="E830" i="28"/>
  <c r="I829" i="28"/>
  <c r="J829" i="28"/>
  <c r="Q830" i="28"/>
  <c r="R830" i="28"/>
  <c r="S830" i="28"/>
  <c r="AC832" i="28"/>
  <c r="B831" i="28"/>
  <c r="AD830" i="28"/>
  <c r="AE830" i="28"/>
  <c r="T831" i="28" l="1"/>
  <c r="E831" i="28"/>
  <c r="Q831" i="28"/>
  <c r="R831" i="28"/>
  <c r="S831" i="28"/>
  <c r="B832" i="28"/>
  <c r="AC833" i="28"/>
  <c r="I830" i="28"/>
  <c r="J830" i="28"/>
  <c r="AD831" i="28"/>
  <c r="AE831" i="28"/>
  <c r="E832" i="28" l="1"/>
  <c r="T832" i="28"/>
  <c r="I831" i="28"/>
  <c r="J831" i="28"/>
  <c r="AD832" i="28"/>
  <c r="AE832" i="28"/>
  <c r="AC834" i="28"/>
  <c r="B833" i="28"/>
  <c r="S832" i="28"/>
  <c r="Q832" i="28"/>
  <c r="W832" i="28"/>
  <c r="R832" i="28"/>
  <c r="E833" i="28" l="1"/>
  <c r="T833" i="28"/>
  <c r="O832" i="28"/>
  <c r="R833" i="28"/>
  <c r="S833" i="28"/>
  <c r="Q833" i="28"/>
  <c r="AD833" i="28"/>
  <c r="AE833" i="28"/>
  <c r="AC835" i="28"/>
  <c r="B834" i="28"/>
  <c r="I832" i="28"/>
  <c r="J832" i="28"/>
  <c r="Y832" i="28" s="1"/>
  <c r="T834" i="28" l="1"/>
  <c r="E834" i="28"/>
  <c r="Z832" i="28"/>
  <c r="AE834" i="28"/>
  <c r="AD834" i="28"/>
  <c r="R834" i="28"/>
  <c r="S834" i="28"/>
  <c r="Q834" i="28"/>
  <c r="B835" i="28"/>
  <c r="AC836" i="28"/>
  <c r="I833" i="28"/>
  <c r="J833" i="28"/>
  <c r="E835" i="28" l="1"/>
  <c r="T835" i="28"/>
  <c r="AE835" i="28"/>
  <c r="AD835" i="28"/>
  <c r="AC837" i="28"/>
  <c r="B836" i="28"/>
  <c r="Q835" i="28"/>
  <c r="R835" i="28"/>
  <c r="S835" i="28"/>
  <c r="J834" i="28"/>
  <c r="I834" i="28"/>
  <c r="E836" i="28" l="1"/>
  <c r="T836" i="28"/>
  <c r="B837" i="28"/>
  <c r="AC838" i="28"/>
  <c r="I835" i="28"/>
  <c r="J835" i="28"/>
  <c r="Q836" i="28"/>
  <c r="R836" i="28"/>
  <c r="S836" i="28"/>
  <c r="AD836" i="28"/>
  <c r="AE836" i="28"/>
  <c r="E837" i="28" l="1"/>
  <c r="T837" i="28"/>
  <c r="R837" i="28"/>
  <c r="S837" i="28"/>
  <c r="Q837" i="28"/>
  <c r="I836" i="28"/>
  <c r="J836" i="28"/>
  <c r="B838" i="28"/>
  <c r="AC839" i="28"/>
  <c r="AE837" i="28"/>
  <c r="AD837" i="28"/>
  <c r="T838" i="28" l="1"/>
  <c r="E838" i="28"/>
  <c r="I837" i="28"/>
  <c r="J837" i="28"/>
  <c r="AC840" i="28"/>
  <c r="B839" i="28"/>
  <c r="AD838" i="28"/>
  <c r="AE838" i="28"/>
  <c r="S838" i="28"/>
  <c r="Q838" i="28"/>
  <c r="R838" i="28"/>
  <c r="E839" i="28" l="1"/>
  <c r="T839" i="28"/>
  <c r="I838" i="28"/>
  <c r="J838" i="28"/>
  <c r="AD839" i="28"/>
  <c r="AE839" i="28"/>
  <c r="Q839" i="28"/>
  <c r="S839" i="28"/>
  <c r="R839" i="28"/>
  <c r="B840" i="28"/>
  <c r="AC841" i="28"/>
  <c r="E840" i="28" l="1"/>
  <c r="T840" i="28"/>
  <c r="AC842" i="28"/>
  <c r="B841" i="28"/>
  <c r="AE840" i="28"/>
  <c r="AD840" i="28"/>
  <c r="Q840" i="28"/>
  <c r="S840" i="28"/>
  <c r="R840" i="28"/>
  <c r="J839" i="28"/>
  <c r="I839" i="28"/>
  <c r="T841" i="28" l="1"/>
  <c r="E841" i="28"/>
  <c r="B842" i="28"/>
  <c r="AC843" i="28"/>
  <c r="I840" i="28"/>
  <c r="J840" i="28"/>
  <c r="S841" i="28"/>
  <c r="Q841" i="28"/>
  <c r="R841" i="28"/>
  <c r="AE841" i="28"/>
  <c r="AD841" i="28"/>
  <c r="T842" i="28" l="1"/>
  <c r="E842" i="28"/>
  <c r="I841" i="28"/>
  <c r="J841" i="28"/>
  <c r="Q842" i="28"/>
  <c r="R842" i="28"/>
  <c r="S842" i="28"/>
  <c r="B843" i="28"/>
  <c r="AC844" i="28"/>
  <c r="AD842" i="28"/>
  <c r="AE842" i="28"/>
  <c r="T843" i="28" l="1"/>
  <c r="E843" i="28"/>
  <c r="AC845" i="28"/>
  <c r="B844" i="28"/>
  <c r="Q843" i="28"/>
  <c r="S843" i="28"/>
  <c r="R843" i="28"/>
  <c r="I842" i="28"/>
  <c r="J842" i="28"/>
  <c r="AE843" i="28"/>
  <c r="AD843" i="28"/>
  <c r="E844" i="28" l="1"/>
  <c r="T844" i="28"/>
  <c r="I843" i="28"/>
  <c r="J843" i="28"/>
  <c r="Q844" i="28"/>
  <c r="S844" i="28"/>
  <c r="R844" i="28"/>
  <c r="AE844" i="28"/>
  <c r="AD844" i="28"/>
  <c r="AC846" i="28"/>
  <c r="B845" i="28"/>
  <c r="T845" i="28" l="1"/>
  <c r="E845" i="28"/>
  <c r="Q845" i="28"/>
  <c r="S845" i="28"/>
  <c r="R845" i="28"/>
  <c r="B846" i="28"/>
  <c r="AC847" i="28"/>
  <c r="AE845" i="28"/>
  <c r="AD845" i="28"/>
  <c r="J844" i="28"/>
  <c r="I844" i="28"/>
  <c r="T846" i="28" l="1"/>
  <c r="E846" i="28"/>
  <c r="I845" i="28"/>
  <c r="J845" i="28"/>
  <c r="AE846" i="28"/>
  <c r="AD846" i="28"/>
  <c r="AC848" i="28"/>
  <c r="B847" i="28"/>
  <c r="Q846" i="28"/>
  <c r="R846" i="28"/>
  <c r="S846" i="28"/>
  <c r="T847" i="28" l="1"/>
  <c r="E847" i="28"/>
  <c r="S847" i="28"/>
  <c r="R847" i="28"/>
  <c r="Q847" i="28"/>
  <c r="AE847" i="28"/>
  <c r="AD847" i="28"/>
  <c r="B848" i="28"/>
  <c r="AC849" i="28"/>
  <c r="J846" i="28"/>
  <c r="I846" i="28"/>
  <c r="E848" i="28" l="1"/>
  <c r="T848" i="28"/>
  <c r="R848" i="28"/>
  <c r="Q848" i="28"/>
  <c r="S848" i="28"/>
  <c r="J847" i="28"/>
  <c r="I847" i="28"/>
  <c r="AC850" i="28"/>
  <c r="B849" i="28"/>
  <c r="AE848" i="28"/>
  <c r="AD848" i="28"/>
  <c r="E849" i="28" l="1"/>
  <c r="T849" i="28"/>
  <c r="J848" i="28"/>
  <c r="I848" i="28"/>
  <c r="R849" i="28"/>
  <c r="S849" i="28"/>
  <c r="Q849" i="28"/>
  <c r="B850" i="28"/>
  <c r="AC851" i="28"/>
  <c r="AD849" i="28"/>
  <c r="AE849" i="28"/>
  <c r="T850" i="28" l="1"/>
  <c r="E850" i="28"/>
  <c r="I849" i="28"/>
  <c r="J849" i="28"/>
  <c r="Q850" i="28"/>
  <c r="R850" i="28"/>
  <c r="S850" i="28"/>
  <c r="AC852" i="28"/>
  <c r="B851" i="28"/>
  <c r="AD850" i="28"/>
  <c r="AE850" i="28"/>
  <c r="E851" i="28" l="1"/>
  <c r="T851" i="28"/>
  <c r="J850" i="28"/>
  <c r="I850" i="28"/>
  <c r="AC853" i="28"/>
  <c r="B852" i="28"/>
  <c r="R851" i="28"/>
  <c r="S851" i="28"/>
  <c r="Q851" i="28"/>
  <c r="AE851" i="28"/>
  <c r="AD851" i="28"/>
  <c r="E852" i="28" l="1"/>
  <c r="T852" i="28"/>
  <c r="AE852" i="28"/>
  <c r="AD852" i="28"/>
  <c r="J851" i="28"/>
  <c r="I851" i="28"/>
  <c r="R852" i="28"/>
  <c r="S852" i="28"/>
  <c r="Q852" i="28"/>
  <c r="B853" i="28"/>
  <c r="AC854" i="28"/>
  <c r="E853" i="28" l="1"/>
  <c r="T853" i="28"/>
  <c r="AC855" i="28"/>
  <c r="B854" i="28"/>
  <c r="AE853" i="28"/>
  <c r="AD853" i="28"/>
  <c r="S853" i="28"/>
  <c r="Q853" i="28"/>
  <c r="R853" i="28"/>
  <c r="I852" i="28"/>
  <c r="J852" i="28"/>
  <c r="T854" i="28" l="1"/>
  <c r="E854" i="28"/>
  <c r="AD854" i="28"/>
  <c r="AE854" i="28"/>
  <c r="I853" i="28"/>
  <c r="J853" i="28"/>
  <c r="R854" i="28"/>
  <c r="S854" i="28"/>
  <c r="Q854" i="28"/>
  <c r="B855" i="28"/>
  <c r="AC856" i="28"/>
  <c r="E855" i="28" l="1"/>
  <c r="T855" i="28"/>
  <c r="I854" i="28"/>
  <c r="J854" i="28"/>
  <c r="AC857" i="28"/>
  <c r="B856" i="28"/>
  <c r="R855" i="28"/>
  <c r="S855" i="28"/>
  <c r="Q855" i="28"/>
  <c r="AE855" i="28"/>
  <c r="AD855" i="28"/>
  <c r="E856" i="28" l="1"/>
  <c r="T856" i="28"/>
  <c r="AC858" i="28"/>
  <c r="B857" i="28"/>
  <c r="J855" i="28"/>
  <c r="I855" i="28"/>
  <c r="S856" i="28"/>
  <c r="R856" i="28"/>
  <c r="Q856" i="28"/>
  <c r="AD856" i="28"/>
  <c r="AE856" i="28"/>
  <c r="E857" i="28" l="1"/>
  <c r="T857" i="28"/>
  <c r="I856" i="28"/>
  <c r="J856" i="28"/>
  <c r="B858" i="28"/>
  <c r="AC859" i="28"/>
  <c r="R857" i="28"/>
  <c r="S857" i="28"/>
  <c r="Q857" i="28"/>
  <c r="W857" i="28"/>
  <c r="AE857" i="28"/>
  <c r="AD857" i="28"/>
  <c r="T858" i="28" l="1"/>
  <c r="E858" i="28"/>
  <c r="O857" i="28"/>
  <c r="R858" i="28"/>
  <c r="Q858" i="28"/>
  <c r="S858" i="28"/>
  <c r="I857" i="28"/>
  <c r="J857" i="28"/>
  <c r="Y857" i="28" s="1"/>
  <c r="B859" i="28"/>
  <c r="AC860" i="28"/>
  <c r="AD858" i="28"/>
  <c r="AE858" i="28"/>
  <c r="T859" i="28" l="1"/>
  <c r="E859" i="28"/>
  <c r="I858" i="28"/>
  <c r="J858" i="28"/>
  <c r="AE859" i="28"/>
  <c r="AD859" i="28"/>
  <c r="AC861" i="28"/>
  <c r="B860" i="28"/>
  <c r="R859" i="28"/>
  <c r="S859" i="28"/>
  <c r="Q859" i="28"/>
  <c r="Z857" i="28"/>
  <c r="E860" i="28" l="1"/>
  <c r="T860" i="28"/>
  <c r="Q860" i="28"/>
  <c r="S860" i="28"/>
  <c r="R860" i="28"/>
  <c r="AE860" i="28"/>
  <c r="AD860" i="28"/>
  <c r="J859" i="28"/>
  <c r="I859" i="28"/>
  <c r="AC862" i="28"/>
  <c r="B861" i="28"/>
  <c r="E861" i="28" l="1"/>
  <c r="T861" i="28"/>
  <c r="R861" i="28"/>
  <c r="S861" i="28"/>
  <c r="Q861" i="28"/>
  <c r="B862" i="28"/>
  <c r="AC863" i="28"/>
  <c r="AD861" i="28"/>
  <c r="AE861" i="28"/>
  <c r="I860" i="28"/>
  <c r="J860" i="28"/>
  <c r="T862" i="28" l="1"/>
  <c r="E862" i="28"/>
  <c r="B863" i="28"/>
  <c r="AC864" i="28"/>
  <c r="R862" i="28"/>
  <c r="Q862" i="28"/>
  <c r="S862" i="28"/>
  <c r="J861" i="28"/>
  <c r="I861" i="28"/>
  <c r="AD862" i="28"/>
  <c r="AE862" i="28"/>
  <c r="T863" i="28" l="1"/>
  <c r="E863" i="28"/>
  <c r="Q863" i="28"/>
  <c r="S863" i="28"/>
  <c r="R863" i="28"/>
  <c r="I862" i="28"/>
  <c r="J862" i="28"/>
  <c r="B864" i="28"/>
  <c r="AC865" i="28"/>
  <c r="AE863" i="28"/>
  <c r="AD863" i="28"/>
  <c r="E864" i="28" l="1"/>
  <c r="T864" i="28"/>
  <c r="AD864" i="28"/>
  <c r="AE864" i="28"/>
  <c r="I863" i="28"/>
  <c r="J863" i="28"/>
  <c r="B865" i="28"/>
  <c r="AC866" i="28"/>
  <c r="Q864" i="28"/>
  <c r="S864" i="28"/>
  <c r="R864" i="28"/>
  <c r="E865" i="28" l="1"/>
  <c r="T865" i="28"/>
  <c r="R865" i="28"/>
  <c r="S865" i="28"/>
  <c r="Q865" i="28"/>
  <c r="AC867" i="28"/>
  <c r="B866" i="28"/>
  <c r="AE865" i="28"/>
  <c r="AD865" i="28"/>
  <c r="J864" i="28"/>
  <c r="I864" i="28"/>
  <c r="T866" i="28" l="1"/>
  <c r="E866" i="28"/>
  <c r="I865" i="28"/>
  <c r="J865" i="28"/>
  <c r="Q866" i="28"/>
  <c r="R866" i="28"/>
  <c r="S866" i="28"/>
  <c r="B867" i="28"/>
  <c r="AC868" i="28"/>
  <c r="AD866" i="28"/>
  <c r="AE866" i="28"/>
  <c r="T867" i="28" l="1"/>
  <c r="E867" i="28"/>
  <c r="B868" i="28"/>
  <c r="AC869" i="28"/>
  <c r="S867" i="28"/>
  <c r="R867" i="28"/>
  <c r="Q867" i="28"/>
  <c r="J866" i="28"/>
  <c r="I866" i="28"/>
  <c r="AE867" i="28"/>
  <c r="AD867" i="28"/>
  <c r="E868" i="28" l="1"/>
  <c r="T868" i="28"/>
  <c r="AE868" i="28"/>
  <c r="AD868" i="28"/>
  <c r="J867" i="28"/>
  <c r="I867" i="28"/>
  <c r="AC870" i="28"/>
  <c r="B869" i="28"/>
  <c r="R868" i="28"/>
  <c r="Q868" i="28"/>
  <c r="S868" i="28"/>
  <c r="E869" i="28" l="1"/>
  <c r="T869" i="28"/>
  <c r="Q869" i="28"/>
  <c r="S869" i="28"/>
  <c r="R869" i="28"/>
  <c r="B870" i="28"/>
  <c r="AC871" i="28"/>
  <c r="AE869" i="28"/>
  <c r="AD869" i="28"/>
  <c r="I868" i="28"/>
  <c r="J868" i="28"/>
  <c r="T870" i="28" l="1"/>
  <c r="E870" i="28"/>
  <c r="AC872" i="28"/>
  <c r="B871" i="28"/>
  <c r="AE870" i="28"/>
  <c r="AD870" i="28"/>
  <c r="J869" i="28"/>
  <c r="I869" i="28"/>
  <c r="S870" i="28"/>
  <c r="R870" i="28"/>
  <c r="Q870" i="28"/>
  <c r="T871" i="28" l="1"/>
  <c r="E871" i="28"/>
  <c r="J870" i="28"/>
  <c r="I870" i="28"/>
  <c r="R871" i="28"/>
  <c r="S871" i="28"/>
  <c r="Q871" i="28"/>
  <c r="AD871" i="28"/>
  <c r="AE871" i="28"/>
  <c r="AC873" i="28"/>
  <c r="B872" i="28"/>
  <c r="E872" i="28" l="1"/>
  <c r="T872" i="28"/>
  <c r="B873" i="28"/>
  <c r="AC874" i="28"/>
  <c r="R872" i="28"/>
  <c r="Q872" i="28"/>
  <c r="S872" i="28"/>
  <c r="AD872" i="28"/>
  <c r="AE872" i="28"/>
  <c r="I871" i="28"/>
  <c r="J871" i="28"/>
  <c r="E873" i="28" l="1"/>
  <c r="T873" i="28"/>
  <c r="AC875" i="28"/>
  <c r="B874" i="28"/>
  <c r="AE873" i="28"/>
  <c r="AD873" i="28"/>
  <c r="J872" i="28"/>
  <c r="I872" i="28"/>
  <c r="Q873" i="28"/>
  <c r="S873" i="28"/>
  <c r="R873" i="28"/>
  <c r="T874" i="28" l="1"/>
  <c r="E874" i="28"/>
  <c r="B875" i="28"/>
  <c r="AC876" i="28"/>
  <c r="I873" i="28"/>
  <c r="J873" i="28"/>
  <c r="Q874" i="28"/>
  <c r="W874" i="28"/>
  <c r="R874" i="28"/>
  <c r="S874" i="28"/>
  <c r="AE874" i="28"/>
  <c r="AD874" i="28"/>
  <c r="T875" i="28" l="1"/>
  <c r="E875" i="28"/>
  <c r="J874" i="28"/>
  <c r="Y874" i="28" s="1"/>
  <c r="I874" i="28"/>
  <c r="O874" i="28"/>
  <c r="R875" i="28"/>
  <c r="S875" i="28"/>
  <c r="Q875" i="28"/>
  <c r="AC877" i="28"/>
  <c r="B876" i="28"/>
  <c r="AD875" i="28"/>
  <c r="AE875" i="28"/>
  <c r="E876" i="28" l="1"/>
  <c r="T876" i="28"/>
  <c r="J875" i="28"/>
  <c r="I875" i="28"/>
  <c r="AE876" i="28"/>
  <c r="AD876" i="28"/>
  <c r="Z874" i="28"/>
  <c r="Q876" i="28"/>
  <c r="S876" i="28"/>
  <c r="R876" i="28"/>
  <c r="B877" i="28"/>
  <c r="AC878" i="28"/>
  <c r="E877" i="28" l="1"/>
  <c r="T877" i="28"/>
  <c r="Q877" i="28"/>
  <c r="R877" i="28"/>
  <c r="S877" i="28"/>
  <c r="I876" i="28"/>
  <c r="J876" i="28"/>
  <c r="AC879" i="28"/>
  <c r="B878" i="28"/>
  <c r="AE877" i="28"/>
  <c r="AD877" i="28"/>
  <c r="T878" i="28" l="1"/>
  <c r="E878" i="28"/>
  <c r="B879" i="28"/>
  <c r="I877" i="28"/>
  <c r="J877" i="28"/>
  <c r="R878" i="28"/>
  <c r="S878" i="28"/>
  <c r="Q878" i="28"/>
  <c r="AE878" i="28"/>
  <c r="AD878" i="28"/>
  <c r="H916" i="28" l="1"/>
  <c r="H915" i="28"/>
  <c r="N913" i="28"/>
  <c r="H906" i="28"/>
  <c r="G905" i="28"/>
  <c r="H913" i="28"/>
  <c r="G913" i="28"/>
  <c r="G906" i="28"/>
  <c r="N914" i="28"/>
  <c r="H905" i="28"/>
  <c r="H914" i="28"/>
  <c r="G915" i="28"/>
  <c r="N915" i="28"/>
  <c r="G914" i="28"/>
  <c r="T879" i="28"/>
  <c r="E879" i="28"/>
  <c r="J878" i="28"/>
  <c r="I878" i="28"/>
  <c r="S879" i="28"/>
  <c r="R879" i="28"/>
  <c r="Q879" i="28"/>
  <c r="AD879" i="28"/>
  <c r="AE879" i="28"/>
  <c r="I905" i="28" l="1"/>
  <c r="G916" i="28"/>
  <c r="I916" i="28" s="1"/>
  <c r="I913" i="28"/>
  <c r="I906" i="28"/>
  <c r="I914" i="28"/>
  <c r="I915" i="28"/>
  <c r="G907" i="28"/>
  <c r="G908" i="28"/>
  <c r="G909" i="28"/>
  <c r="G910" i="28"/>
  <c r="G911" i="28"/>
  <c r="G912" i="28"/>
  <c r="S883" i="28"/>
  <c r="S885" i="28" s="1"/>
  <c r="Q883" i="28"/>
  <c r="Q885" i="28" s="1"/>
  <c r="Q896" i="28" s="1"/>
  <c r="Q894" i="28"/>
  <c r="Q898" i="28" s="1"/>
  <c r="R894" i="28"/>
  <c r="R898" i="28" s="1"/>
  <c r="C53" i="73"/>
  <c r="T894" i="28"/>
  <c r="T886" i="28"/>
  <c r="T888" i="28" s="1"/>
  <c r="T883" i="28"/>
  <c r="T885" i="28" s="1"/>
  <c r="R883" i="28"/>
  <c r="R885" i="28" s="1"/>
  <c r="R896" i="28" s="1"/>
  <c r="C55" i="73"/>
  <c r="C54" i="73"/>
  <c r="Q886" i="28"/>
  <c r="Q888" i="28" s="1"/>
  <c r="Q897" i="28" s="1"/>
  <c r="J879" i="28"/>
  <c r="I879" i="28"/>
  <c r="R886" i="28"/>
  <c r="R888" i="28" s="1"/>
  <c r="R897" i="28" s="1"/>
  <c r="S886" i="28"/>
  <c r="S888" i="28" s="1"/>
  <c r="Q900" i="28" l="1"/>
  <c r="D53" i="73" s="1"/>
  <c r="E102" i="27" s="1"/>
  <c r="Q901" i="28"/>
  <c r="R900" i="28"/>
  <c r="R901" i="28"/>
  <c r="F54" i="73" s="1"/>
  <c r="E221" i="27" s="1"/>
  <c r="R899" i="28"/>
  <c r="Q899" i="28"/>
  <c r="Q890" i="28"/>
  <c r="R890" i="28"/>
  <c r="T890" i="28"/>
  <c r="S890" i="28"/>
  <c r="L55" i="73"/>
  <c r="R902" i="28" l="1"/>
  <c r="F53" i="73"/>
  <c r="Q902" i="28"/>
  <c r="D54" i="73"/>
  <c r="K433" i="7"/>
  <c r="M433" i="7"/>
  <c r="H433" i="7"/>
  <c r="P427" i="7"/>
  <c r="P430" i="7"/>
  <c r="P399" i="7"/>
  <c r="I433" i="7"/>
  <c r="P382" i="7"/>
  <c r="P378" i="7"/>
  <c r="P391" i="7"/>
  <c r="O433" i="7"/>
  <c r="P377" i="7"/>
  <c r="N433" i="7"/>
  <c r="F433" i="7"/>
  <c r="P390" i="7"/>
  <c r="P422" i="7"/>
  <c r="J433" i="7"/>
  <c r="P404" i="7"/>
  <c r="P393" i="7"/>
  <c r="P429" i="7"/>
  <c r="P398" i="7"/>
  <c r="P432" i="7"/>
  <c r="P385" i="7"/>
  <c r="P370" i="7"/>
  <c r="P424" i="7"/>
  <c r="G433" i="7"/>
  <c r="P425" i="7"/>
  <c r="P408" i="7"/>
  <c r="P386" i="7"/>
  <c r="P418" i="7"/>
  <c r="P396" i="7"/>
  <c r="P384" i="7"/>
  <c r="P416" i="7"/>
  <c r="E433" i="7"/>
  <c r="P389" i="7"/>
  <c r="P420" i="7"/>
  <c r="P412" i="7"/>
  <c r="P431" i="7"/>
  <c r="P380" i="7"/>
  <c r="P371" i="7"/>
  <c r="P401" i="7"/>
  <c r="P414" i="7"/>
  <c r="P426" i="7"/>
  <c r="P402" i="7"/>
  <c r="P428" i="7"/>
  <c r="P400" i="7"/>
  <c r="P383" i="7"/>
  <c r="P365" i="7"/>
  <c r="P417" i="7"/>
  <c r="L433" i="7"/>
  <c r="P413" i="7"/>
  <c r="P375" i="7"/>
  <c r="P421" i="7"/>
  <c r="P405" i="7"/>
  <c r="P368" i="7"/>
  <c r="P381" i="7"/>
  <c r="P387" i="7"/>
  <c r="P392" i="7"/>
  <c r="P411" i="7"/>
  <c r="P372" i="7"/>
  <c r="P374" i="7"/>
  <c r="P376" i="7"/>
  <c r="P406" i="7"/>
  <c r="P409" i="7"/>
  <c r="P419" i="7"/>
  <c r="P423" i="7"/>
  <c r="P397" i="7"/>
  <c r="P388" i="7"/>
  <c r="P415" i="7"/>
  <c r="P366" i="7"/>
  <c r="P367" i="7"/>
  <c r="P395" i="7"/>
  <c r="P369" i="7"/>
  <c r="P410" i="7"/>
  <c r="P379" i="7"/>
  <c r="P407" i="7"/>
  <c r="P394" i="7"/>
  <c r="P403" i="7"/>
  <c r="P373" i="7"/>
  <c r="E103" i="27" l="1"/>
  <c r="E104" i="27" s="1"/>
  <c r="F56" i="73"/>
  <c r="L53" i="73"/>
  <c r="E220" i="27"/>
  <c r="L54" i="73"/>
  <c r="D56" i="73"/>
  <c r="Q433" i="7"/>
  <c r="R433" i="7"/>
  <c r="P433" i="7"/>
  <c r="O879" i="28"/>
  <c r="W879" i="28"/>
  <c r="O878" i="28"/>
  <c r="W878" i="28"/>
  <c r="W877" i="28"/>
  <c r="W876" i="28"/>
  <c r="W808" i="28"/>
  <c r="O808" i="28"/>
  <c r="W873" i="28"/>
  <c r="W871" i="28"/>
  <c r="W868" i="28"/>
  <c r="W870" i="28"/>
  <c r="O876" i="28"/>
  <c r="O875" i="28"/>
  <c r="W875" i="28"/>
  <c r="O873" i="28"/>
  <c r="O870" i="28"/>
  <c r="O871" i="28"/>
  <c r="W872" i="28"/>
  <c r="O872" i="28"/>
  <c r="W835" i="28"/>
  <c r="O877" i="28"/>
  <c r="W869" i="28"/>
  <c r="O867" i="28"/>
  <c r="W867" i="28"/>
  <c r="W860" i="28"/>
  <c r="W858" i="28"/>
  <c r="W856" i="28"/>
  <c r="W849" i="28"/>
  <c r="W843" i="28"/>
  <c r="O869" i="28"/>
  <c r="W866" i="28"/>
  <c r="O866" i="28"/>
  <c r="W863" i="28"/>
  <c r="O860" i="28"/>
  <c r="W861" i="28"/>
  <c r="O859" i="28"/>
  <c r="W859" i="28"/>
  <c r="O858" i="28"/>
  <c r="O856" i="28"/>
  <c r="W853" i="28"/>
  <c r="O853" i="28"/>
  <c r="O851" i="28"/>
  <c r="W851" i="28"/>
  <c r="W848" i="28"/>
  <c r="O868" i="28"/>
  <c r="O863" i="28"/>
  <c r="W864" i="28"/>
  <c r="O864" i="28"/>
  <c r="O862" i="28"/>
  <c r="W862" i="28"/>
  <c r="O855" i="28"/>
  <c r="W855" i="28"/>
  <c r="W854" i="28"/>
  <c r="W852" i="28"/>
  <c r="O865" i="28"/>
  <c r="W865" i="28"/>
  <c r="O861" i="28"/>
  <c r="O854" i="28"/>
  <c r="O852" i="28"/>
  <c r="O849" i="28"/>
  <c r="O848" i="28"/>
  <c r="W846" i="28"/>
  <c r="O843" i="28"/>
  <c r="W845" i="28"/>
  <c r="W841" i="28"/>
  <c r="W837" i="28"/>
  <c r="W833" i="28"/>
  <c r="W831" i="28"/>
  <c r="W823" i="28"/>
  <c r="O846" i="28"/>
  <c r="O841" i="28"/>
  <c r="W842" i="28"/>
  <c r="W840" i="28"/>
  <c r="W838" i="28"/>
  <c r="O831" i="28"/>
  <c r="W834" i="28"/>
  <c r="O834" i="28"/>
  <c r="W830" i="28"/>
  <c r="O828" i="28"/>
  <c r="W828" i="28"/>
  <c r="W829" i="28"/>
  <c r="W827" i="28"/>
  <c r="O827" i="28"/>
  <c r="O825" i="28"/>
  <c r="W825" i="28"/>
  <c r="W847" i="28"/>
  <c r="O847" i="28"/>
  <c r="O842" i="28"/>
  <c r="W839" i="28"/>
  <c r="O839" i="28"/>
  <c r="W836" i="28"/>
  <c r="O830" i="28"/>
  <c r="W826" i="28"/>
  <c r="W824" i="28"/>
  <c r="O824" i="28"/>
  <c r="O850" i="28"/>
  <c r="W850" i="28"/>
  <c r="O845" i="28"/>
  <c r="O844" i="28"/>
  <c r="W844" i="28"/>
  <c r="O840" i="28"/>
  <c r="O838" i="28"/>
  <c r="O837" i="28"/>
  <c r="O836" i="28"/>
  <c r="O835" i="28"/>
  <c r="O833" i="28"/>
  <c r="O829" i="28"/>
  <c r="O826" i="28"/>
  <c r="O823" i="28"/>
  <c r="W821" i="28"/>
  <c r="W819" i="28"/>
  <c r="W818" i="28"/>
  <c r="O818" i="28"/>
  <c r="W816" i="28"/>
  <c r="W817" i="28"/>
  <c r="W815" i="28"/>
  <c r="W813" i="28"/>
  <c r="W811" i="28"/>
  <c r="W809" i="28"/>
  <c r="W810" i="28"/>
  <c r="O821" i="28"/>
  <c r="O820" i="28"/>
  <c r="W820" i="28"/>
  <c r="W822" i="28"/>
  <c r="O822" i="28"/>
  <c r="O819" i="28"/>
  <c r="O809" i="28"/>
  <c r="O817" i="28"/>
  <c r="O815" i="28"/>
  <c r="O813" i="28"/>
  <c r="W814" i="28"/>
  <c r="O814" i="28"/>
  <c r="O812" i="28"/>
  <c r="W812" i="28"/>
  <c r="O816" i="28"/>
  <c r="O811" i="28"/>
  <c r="O810" i="28"/>
  <c r="O907" i="28" l="1"/>
  <c r="R907" i="28" s="1"/>
  <c r="O910" i="28"/>
  <c r="R910" i="28" s="1"/>
  <c r="O911" i="28"/>
  <c r="R911" i="28" s="1"/>
  <c r="O912" i="28"/>
  <c r="R912" i="28" s="1"/>
  <c r="O913" i="28"/>
  <c r="R913" i="28" s="1"/>
  <c r="S913" i="28" s="1"/>
  <c r="O914" i="28"/>
  <c r="R914" i="28" s="1"/>
  <c r="S914" i="28" s="1"/>
  <c r="O915" i="28"/>
  <c r="R915" i="28" s="1"/>
  <c r="S915" i="28" s="1"/>
  <c r="O916" i="28"/>
  <c r="R916" i="28" s="1"/>
  <c r="H910" i="28"/>
  <c r="I910" i="28" s="1"/>
  <c r="H907" i="28"/>
  <c r="I907" i="28" s="1"/>
  <c r="H911" i="28"/>
  <c r="I911" i="28" s="1"/>
  <c r="H912" i="28"/>
  <c r="I912" i="28" s="1"/>
  <c r="K834" i="28"/>
  <c r="N834" i="28" s="1"/>
  <c r="K874" i="28"/>
  <c r="N874" i="28" s="1"/>
  <c r="K845" i="28"/>
  <c r="N845" i="28" s="1"/>
  <c r="K868" i="28"/>
  <c r="N868" i="28" s="1"/>
  <c r="K808" i="28"/>
  <c r="K844" i="28"/>
  <c r="N844" i="28" s="1"/>
  <c r="K847" i="28"/>
  <c r="N847" i="28" s="1"/>
  <c r="K860" i="28"/>
  <c r="N860" i="28" s="1"/>
  <c r="K825" i="28"/>
  <c r="N825" i="28" s="1"/>
  <c r="K840" i="28"/>
  <c r="N840" i="28" s="1"/>
  <c r="K872" i="28"/>
  <c r="N872" i="28" s="1"/>
  <c r="K855" i="28"/>
  <c r="N855" i="28" s="1"/>
  <c r="K828" i="28"/>
  <c r="N828" i="28" s="1"/>
  <c r="K862" i="28"/>
  <c r="N862" i="28" s="1"/>
  <c r="K816" i="28"/>
  <c r="N816" i="28" s="1"/>
  <c r="K829" i="28"/>
  <c r="N829" i="28" s="1"/>
  <c r="K833" i="28"/>
  <c r="N833" i="28" s="1"/>
  <c r="K853" i="28"/>
  <c r="N853" i="28" s="1"/>
  <c r="K812" i="28"/>
  <c r="N812" i="28" s="1"/>
  <c r="K818" i="28"/>
  <c r="N818" i="28" s="1"/>
  <c r="K827" i="28"/>
  <c r="N827" i="28" s="1"/>
  <c r="K835" i="28"/>
  <c r="K820" i="28"/>
  <c r="N820" i="28" s="1"/>
  <c r="K824" i="28"/>
  <c r="N824" i="28" s="1"/>
  <c r="Y809" i="28"/>
  <c r="Z809" i="28" s="1"/>
  <c r="K811" i="28"/>
  <c r="N811" i="28" s="1"/>
  <c r="Y815" i="28"/>
  <c r="Z815" i="28" s="1"/>
  <c r="K815" i="28"/>
  <c r="N815" i="28" s="1"/>
  <c r="Y818" i="28"/>
  <c r="Z818" i="28" s="1"/>
  <c r="K821" i="28"/>
  <c r="N821" i="28" s="1"/>
  <c r="Y831" i="28"/>
  <c r="Z831" i="28" s="1"/>
  <c r="Y837" i="28"/>
  <c r="Z837" i="28" s="1"/>
  <c r="Y839" i="28"/>
  <c r="Z839" i="28" s="1"/>
  <c r="Y848" i="28"/>
  <c r="Z848" i="28" s="1"/>
  <c r="Y808" i="28"/>
  <c r="Z808" i="28" s="1"/>
  <c r="Y811" i="28"/>
  <c r="Z811" i="28" s="1"/>
  <c r="Y812" i="28"/>
  <c r="Z812" i="28" s="1"/>
  <c r="K813" i="28"/>
  <c r="N813" i="28" s="1"/>
  <c r="Y821" i="28"/>
  <c r="Z821" i="28" s="1"/>
  <c r="Y823" i="28"/>
  <c r="Z823" i="28" s="1"/>
  <c r="Y825" i="28"/>
  <c r="Z825" i="28" s="1"/>
  <c r="Y824" i="28"/>
  <c r="Z824" i="28" s="1"/>
  <c r="Y828" i="28"/>
  <c r="Z828" i="28" s="1"/>
  <c r="Y830" i="28"/>
  <c r="Z830" i="28" s="1"/>
  <c r="K830" i="28"/>
  <c r="N830" i="28" s="1"/>
  <c r="Y834" i="28"/>
  <c r="Z834" i="28" s="1"/>
  <c r="K836" i="28"/>
  <c r="N836" i="28" s="1"/>
  <c r="Y838" i="28"/>
  <c r="Z838" i="28" s="1"/>
  <c r="Y841" i="28"/>
  <c r="Z841" i="28" s="1"/>
  <c r="Y845" i="28"/>
  <c r="Z845" i="28" s="1"/>
  <c r="Y847" i="28"/>
  <c r="Z847" i="28" s="1"/>
  <c r="Y810" i="28"/>
  <c r="Z810" i="28" s="1"/>
  <c r="K810" i="28"/>
  <c r="N810" i="28" s="1"/>
  <c r="Y813" i="28"/>
  <c r="Z813" i="28" s="1"/>
  <c r="Y816" i="28"/>
  <c r="Z816" i="28" s="1"/>
  <c r="K817" i="28"/>
  <c r="N817" i="28" s="1"/>
  <c r="Y819" i="28"/>
  <c r="Z819" i="28" s="1"/>
  <c r="Y820" i="28"/>
  <c r="Z820" i="28" s="1"/>
  <c r="K822" i="28"/>
  <c r="N822" i="28" s="1"/>
  <c r="Y833" i="28"/>
  <c r="Z833" i="28" s="1"/>
  <c r="Y835" i="28"/>
  <c r="Z835" i="28" s="1"/>
  <c r="Y836" i="28"/>
  <c r="Z836" i="28" s="1"/>
  <c r="K837" i="28"/>
  <c r="N837" i="28" s="1"/>
  <c r="K838" i="28"/>
  <c r="N838" i="28" s="1"/>
  <c r="Y840" i="28"/>
  <c r="Z840" i="28" s="1"/>
  <c r="Y842" i="28"/>
  <c r="Z842" i="28" s="1"/>
  <c r="Y843" i="28"/>
  <c r="Z843" i="28" s="1"/>
  <c r="K842" i="28"/>
  <c r="N842" i="28" s="1"/>
  <c r="Y844" i="28"/>
  <c r="Z844" i="28" s="1"/>
  <c r="Y846" i="28"/>
  <c r="Z846" i="28" s="1"/>
  <c r="K846" i="28"/>
  <c r="N846" i="28" s="1"/>
  <c r="K809" i="28"/>
  <c r="N809" i="28" s="1"/>
  <c r="Y814" i="28"/>
  <c r="Z814" i="28" s="1"/>
  <c r="K814" i="28"/>
  <c r="N814" i="28" s="1"/>
  <c r="Y817" i="28"/>
  <c r="Z817" i="28" s="1"/>
  <c r="Y822" i="28"/>
  <c r="Z822" i="28" s="1"/>
  <c r="Y826" i="28"/>
  <c r="Z826" i="28" s="1"/>
  <c r="Y827" i="28"/>
  <c r="Z827" i="28" s="1"/>
  <c r="Y829" i="28"/>
  <c r="Z829" i="28" s="1"/>
  <c r="Y849" i="28"/>
  <c r="Z849" i="28" s="1"/>
  <c r="K848" i="28"/>
  <c r="N848" i="28" s="1"/>
  <c r="K849" i="28"/>
  <c r="N849" i="28" s="1"/>
  <c r="K843" i="28"/>
  <c r="N843" i="28" s="1"/>
  <c r="Y859" i="28"/>
  <c r="Z859" i="28" s="1"/>
  <c r="K861" i="28"/>
  <c r="N861" i="28" s="1"/>
  <c r="Y854" i="28"/>
  <c r="Z854" i="28" s="1"/>
  <c r="K854" i="28"/>
  <c r="N854" i="28" s="1"/>
  <c r="Y855" i="28"/>
  <c r="Z855" i="28" s="1"/>
  <c r="Y860" i="28"/>
  <c r="Z860" i="28" s="1"/>
  <c r="Y862" i="28"/>
  <c r="Z862" i="28" s="1"/>
  <c r="Y863" i="28"/>
  <c r="Z863" i="28" s="1"/>
  <c r="K867" i="28"/>
  <c r="N867" i="28" s="1"/>
  <c r="Y869" i="28"/>
  <c r="Z869" i="28" s="1"/>
  <c r="K869" i="28"/>
  <c r="N869" i="28" s="1"/>
  <c r="Y852" i="28"/>
  <c r="Z852" i="28" s="1"/>
  <c r="Y856" i="28"/>
  <c r="Z856" i="28" s="1"/>
  <c r="K856" i="28"/>
  <c r="N856" i="28" s="1"/>
  <c r="Y858" i="28"/>
  <c r="Z858" i="28" s="1"/>
  <c r="Y850" i="28"/>
  <c r="Z850" i="28" s="1"/>
  <c r="Y861" i="28"/>
  <c r="Z861" i="28" s="1"/>
  <c r="Y867" i="28"/>
  <c r="Z867" i="28" s="1"/>
  <c r="K865" i="28"/>
  <c r="N865" i="28" s="1"/>
  <c r="Y870" i="28"/>
  <c r="Z870" i="28" s="1"/>
  <c r="Y875" i="28"/>
  <c r="Z875" i="28" s="1"/>
  <c r="Y879" i="28"/>
  <c r="Z879" i="28" s="1"/>
  <c r="Y868" i="28"/>
  <c r="Z868" i="28" s="1"/>
  <c r="Y872" i="28"/>
  <c r="Z872" i="28" s="1"/>
  <c r="Y873" i="28"/>
  <c r="Z873" i="28" s="1"/>
  <c r="Y871" i="28"/>
  <c r="Z871" i="28" s="1"/>
  <c r="K873" i="28"/>
  <c r="N873" i="28" s="1"/>
  <c r="K877" i="28"/>
  <c r="N877" i="28" s="1"/>
  <c r="Y851" i="28"/>
  <c r="Z851" i="28" s="1"/>
  <c r="K851" i="28"/>
  <c r="N851" i="28" s="1"/>
  <c r="Y853" i="28"/>
  <c r="Z853" i="28" s="1"/>
  <c r="Y864" i="28"/>
  <c r="Z864" i="28" s="1"/>
  <c r="Y865" i="28"/>
  <c r="Z865" i="28" s="1"/>
  <c r="Y866" i="28"/>
  <c r="Z866" i="28" s="1"/>
  <c r="K866" i="28"/>
  <c r="N866" i="28" s="1"/>
  <c r="K875" i="28"/>
  <c r="N875" i="28" s="1"/>
  <c r="K876" i="28"/>
  <c r="N876" i="28" s="1"/>
  <c r="Y877" i="28"/>
  <c r="Z877" i="28" s="1"/>
  <c r="K879" i="28"/>
  <c r="Y876" i="28"/>
  <c r="Z876" i="28" s="1"/>
  <c r="Y878" i="28"/>
  <c r="Z878" i="28" s="1"/>
  <c r="N879" i="28" l="1"/>
  <c r="K870" i="28"/>
  <c r="N870" i="28" s="1"/>
  <c r="P870" i="28" s="1"/>
  <c r="K831" i="28"/>
  <c r="N831" i="28" s="1"/>
  <c r="U831" i="28" s="1"/>
  <c r="V831" i="28" s="1"/>
  <c r="X831" i="28" s="1"/>
  <c r="K859" i="28"/>
  <c r="N859" i="28" s="1"/>
  <c r="P859" i="28" s="1"/>
  <c r="K852" i="28"/>
  <c r="N852" i="28" s="1"/>
  <c r="P852" i="28" s="1"/>
  <c r="K826" i="28"/>
  <c r="N826" i="28" s="1"/>
  <c r="P826" i="28" s="1"/>
  <c r="K839" i="28"/>
  <c r="N839" i="28" s="1"/>
  <c r="P839" i="28" s="1"/>
  <c r="K864" i="28"/>
  <c r="N864" i="28" s="1"/>
  <c r="P864" i="28" s="1"/>
  <c r="K819" i="28"/>
  <c r="N819" i="28" s="1"/>
  <c r="P819" i="28" s="1"/>
  <c r="N907" i="28"/>
  <c r="S907" i="28" s="1"/>
  <c r="N910" i="28"/>
  <c r="S910" i="28" s="1"/>
  <c r="N911" i="28"/>
  <c r="S911" i="28" s="1"/>
  <c r="N912" i="28"/>
  <c r="S912" i="28" s="1"/>
  <c r="K850" i="28"/>
  <c r="N850" i="28" s="1"/>
  <c r="P850" i="28" s="1"/>
  <c r="K863" i="28"/>
  <c r="N863" i="28" s="1"/>
  <c r="P863" i="28" s="1"/>
  <c r="K841" i="28"/>
  <c r="N841" i="28" s="1"/>
  <c r="P841" i="28" s="1"/>
  <c r="K823" i="28"/>
  <c r="N823" i="28" s="1"/>
  <c r="U823" i="28" s="1"/>
  <c r="V823" i="28" s="1"/>
  <c r="X823" i="28" s="1"/>
  <c r="K878" i="28"/>
  <c r="N878" i="28" s="1"/>
  <c r="P878" i="28" s="1"/>
  <c r="U874" i="28"/>
  <c r="V874" i="28" s="1"/>
  <c r="X874" i="28" s="1"/>
  <c r="P874" i="28"/>
  <c r="K871" i="28"/>
  <c r="N871" i="28" s="1"/>
  <c r="U871" i="28" s="1"/>
  <c r="V871" i="28" s="1"/>
  <c r="X871" i="28" s="1"/>
  <c r="K858" i="28"/>
  <c r="N858" i="28" s="1"/>
  <c r="P858" i="28" s="1"/>
  <c r="K832" i="28"/>
  <c r="N832" i="28" s="1"/>
  <c r="K857" i="28"/>
  <c r="N857" i="28" s="1"/>
  <c r="P816" i="28"/>
  <c r="U840" i="28"/>
  <c r="V840" i="28" s="1"/>
  <c r="X840" i="28" s="1"/>
  <c r="U855" i="28"/>
  <c r="V855" i="28" s="1"/>
  <c r="X855" i="28" s="1"/>
  <c r="P860" i="28"/>
  <c r="U853" i="28"/>
  <c r="V853" i="28" s="1"/>
  <c r="X853" i="28" s="1"/>
  <c r="P833" i="28"/>
  <c r="U828" i="28"/>
  <c r="V828" i="28" s="1"/>
  <c r="X828" i="28" s="1"/>
  <c r="P829" i="28"/>
  <c r="P872" i="28"/>
  <c r="P868" i="28"/>
  <c r="P855" i="28"/>
  <c r="U860" i="28"/>
  <c r="V860" i="28" s="1"/>
  <c r="X860" i="28" s="1"/>
  <c r="U872" i="28"/>
  <c r="V872" i="28" s="1"/>
  <c r="X872" i="28" s="1"/>
  <c r="P862" i="28"/>
  <c r="U847" i="28"/>
  <c r="V847" i="28" s="1"/>
  <c r="X847" i="28" s="1"/>
  <c r="P847" i="28"/>
  <c r="U868" i="28"/>
  <c r="V868" i="28" s="1"/>
  <c r="X868" i="28" s="1"/>
  <c r="P853" i="28"/>
  <c r="U862" i="28"/>
  <c r="V862" i="28" s="1"/>
  <c r="X862" i="28" s="1"/>
  <c r="P828" i="28"/>
  <c r="P845" i="28"/>
  <c r="U829" i="28"/>
  <c r="V829" i="28" s="1"/>
  <c r="X829" i="28" s="1"/>
  <c r="U845" i="28"/>
  <c r="V845" i="28" s="1"/>
  <c r="X845" i="28" s="1"/>
  <c r="U833" i="28"/>
  <c r="V833" i="28" s="1"/>
  <c r="X833" i="28" s="1"/>
  <c r="P840" i="28"/>
  <c r="U816" i="28"/>
  <c r="V816" i="28" s="1"/>
  <c r="X816" i="28" s="1"/>
  <c r="P851" i="28"/>
  <c r="U851" i="28"/>
  <c r="V851" i="28" s="1"/>
  <c r="X851" i="28" s="1"/>
  <c r="P873" i="28"/>
  <c r="U873" i="28"/>
  <c r="V873" i="28" s="1"/>
  <c r="X873" i="28" s="1"/>
  <c r="P861" i="28"/>
  <c r="U861" i="28"/>
  <c r="V861" i="28" s="1"/>
  <c r="X861" i="28" s="1"/>
  <c r="P843" i="28"/>
  <c r="U843" i="28"/>
  <c r="V843" i="28" s="1"/>
  <c r="X843" i="28" s="1"/>
  <c r="P848" i="28"/>
  <c r="U848" i="28"/>
  <c r="V848" i="28" s="1"/>
  <c r="X848" i="28" s="1"/>
  <c r="P814" i="28"/>
  <c r="U814" i="28"/>
  <c r="V814" i="28" s="1"/>
  <c r="X814" i="28" s="1"/>
  <c r="P809" i="28"/>
  <c r="U809" i="28"/>
  <c r="V809" i="28" s="1"/>
  <c r="X809" i="28" s="1"/>
  <c r="P837" i="28"/>
  <c r="U837" i="28"/>
  <c r="V837" i="28" s="1"/>
  <c r="X837" i="28" s="1"/>
  <c r="P822" i="28"/>
  <c r="U822" i="28"/>
  <c r="V822" i="28" s="1"/>
  <c r="X822" i="28" s="1"/>
  <c r="P812" i="28"/>
  <c r="U812" i="28"/>
  <c r="V812" i="28" s="1"/>
  <c r="X812" i="28" s="1"/>
  <c r="P876" i="28"/>
  <c r="U876" i="28"/>
  <c r="V876" i="28" s="1"/>
  <c r="X876" i="28" s="1"/>
  <c r="P866" i="28"/>
  <c r="U866" i="28"/>
  <c r="V866" i="28" s="1"/>
  <c r="X866" i="28" s="1"/>
  <c r="P834" i="28"/>
  <c r="U834" i="28"/>
  <c r="V834" i="28" s="1"/>
  <c r="X834" i="28" s="1"/>
  <c r="P810" i="28"/>
  <c r="U810" i="28"/>
  <c r="V810" i="28" s="1"/>
  <c r="X810" i="28" s="1"/>
  <c r="P824" i="28"/>
  <c r="U824" i="28"/>
  <c r="V824" i="28" s="1"/>
  <c r="X824" i="28" s="1"/>
  <c r="P820" i="28"/>
  <c r="U820" i="28"/>
  <c r="V820" i="28" s="1"/>
  <c r="X820" i="28" s="1"/>
  <c r="P877" i="28"/>
  <c r="U877" i="28"/>
  <c r="V877" i="28" s="1"/>
  <c r="X877" i="28" s="1"/>
  <c r="P875" i="28"/>
  <c r="U875" i="28"/>
  <c r="V875" i="28" s="1"/>
  <c r="X875" i="28" s="1"/>
  <c r="P865" i="28"/>
  <c r="U865" i="28"/>
  <c r="V865" i="28" s="1"/>
  <c r="X865" i="28" s="1"/>
  <c r="P856" i="28"/>
  <c r="U856" i="28"/>
  <c r="V856" i="28" s="1"/>
  <c r="X856" i="28" s="1"/>
  <c r="P869" i="28"/>
  <c r="U869" i="28"/>
  <c r="V869" i="28" s="1"/>
  <c r="X869" i="28" s="1"/>
  <c r="P854" i="28"/>
  <c r="U854" i="28"/>
  <c r="V854" i="28" s="1"/>
  <c r="X854" i="28" s="1"/>
  <c r="P817" i="28"/>
  <c r="U817" i="28"/>
  <c r="V817" i="28" s="1"/>
  <c r="X817" i="28" s="1"/>
  <c r="P821" i="28"/>
  <c r="U821" i="28"/>
  <c r="V821" i="28" s="1"/>
  <c r="X821" i="28" s="1"/>
  <c r="P825" i="28"/>
  <c r="U825" i="28"/>
  <c r="V825" i="28" s="1"/>
  <c r="X825" i="28" s="1"/>
  <c r="N808" i="28"/>
  <c r="N835" i="28"/>
  <c r="U867" i="28"/>
  <c r="V867" i="28" s="1"/>
  <c r="X867" i="28" s="1"/>
  <c r="P867" i="28"/>
  <c r="U879" i="28"/>
  <c r="V879" i="28" s="1"/>
  <c r="X879" i="28" s="1"/>
  <c r="P879" i="28"/>
  <c r="P849" i="28"/>
  <c r="U849" i="28"/>
  <c r="V849" i="28" s="1"/>
  <c r="X849" i="28" s="1"/>
  <c r="P846" i="28"/>
  <c r="U846" i="28"/>
  <c r="V846" i="28" s="1"/>
  <c r="X846" i="28" s="1"/>
  <c r="P842" i="28"/>
  <c r="U842" i="28"/>
  <c r="V842" i="28" s="1"/>
  <c r="X842" i="28" s="1"/>
  <c r="P838" i="28"/>
  <c r="U838" i="28"/>
  <c r="V838" i="28" s="1"/>
  <c r="X838" i="28" s="1"/>
  <c r="P836" i="28"/>
  <c r="U836" i="28"/>
  <c r="V836" i="28" s="1"/>
  <c r="X836" i="28" s="1"/>
  <c r="P830" i="28"/>
  <c r="U830" i="28"/>
  <c r="V830" i="28" s="1"/>
  <c r="X830" i="28" s="1"/>
  <c r="P813" i="28"/>
  <c r="U813" i="28"/>
  <c r="V813" i="28" s="1"/>
  <c r="X813" i="28" s="1"/>
  <c r="P815" i="28"/>
  <c r="U815" i="28"/>
  <c r="V815" i="28" s="1"/>
  <c r="X815" i="28" s="1"/>
  <c r="P811" i="28"/>
  <c r="U811" i="28"/>
  <c r="V811" i="28" s="1"/>
  <c r="X811" i="28" s="1"/>
  <c r="P844" i="28"/>
  <c r="U844" i="28"/>
  <c r="V844" i="28" s="1"/>
  <c r="X844" i="28" s="1"/>
  <c r="P827" i="28"/>
  <c r="U827" i="28"/>
  <c r="V827" i="28" s="1"/>
  <c r="X827" i="28" s="1"/>
  <c r="P818" i="28"/>
  <c r="U818" i="28"/>
  <c r="V818" i="28" s="1"/>
  <c r="X818" i="28" s="1"/>
  <c r="U864" i="28" l="1"/>
  <c r="V864" i="28" s="1"/>
  <c r="X864" i="28" s="1"/>
  <c r="U870" i="28"/>
  <c r="V870" i="28" s="1"/>
  <c r="X870" i="28" s="1"/>
  <c r="N916" i="28"/>
  <c r="S916" i="28" s="1"/>
  <c r="U826" i="28"/>
  <c r="V826" i="28" s="1"/>
  <c r="X826" i="28" s="1"/>
  <c r="P831" i="28"/>
  <c r="U858" i="28"/>
  <c r="V858" i="28" s="1"/>
  <c r="X858" i="28" s="1"/>
  <c r="U859" i="28"/>
  <c r="V859" i="28" s="1"/>
  <c r="X859" i="28" s="1"/>
  <c r="P823" i="28"/>
  <c r="U839" i="28"/>
  <c r="V839" i="28" s="1"/>
  <c r="X839" i="28" s="1"/>
  <c r="U852" i="28"/>
  <c r="V852" i="28" s="1"/>
  <c r="X852" i="28" s="1"/>
  <c r="U819" i="28"/>
  <c r="V819" i="28" s="1"/>
  <c r="X819" i="28" s="1"/>
  <c r="U863" i="28"/>
  <c r="V863" i="28" s="1"/>
  <c r="X863" i="28" s="1"/>
  <c r="U841" i="28"/>
  <c r="V841" i="28" s="1"/>
  <c r="X841" i="28" s="1"/>
  <c r="U878" i="28"/>
  <c r="V878" i="28" s="1"/>
  <c r="X878" i="28" s="1"/>
  <c r="U850" i="28"/>
  <c r="V850" i="28" s="1"/>
  <c r="X850" i="28" s="1"/>
  <c r="P871" i="28"/>
  <c r="U857" i="28"/>
  <c r="V857" i="28" s="1"/>
  <c r="X857" i="28" s="1"/>
  <c r="P857" i="28"/>
  <c r="P832" i="28"/>
  <c r="U832" i="28"/>
  <c r="V832" i="28" s="1"/>
  <c r="X832" i="28" s="1"/>
  <c r="U835" i="28"/>
  <c r="P835" i="28"/>
  <c r="P808" i="28"/>
  <c r="U808" i="28"/>
  <c r="V835" i="28" l="1"/>
  <c r="V808" i="28"/>
  <c r="X808" i="28" l="1"/>
  <c r="X835" i="28"/>
  <c r="W103" i="28" l="1"/>
  <c r="W147" i="28"/>
  <c r="W143" i="28"/>
  <c r="W145" i="28"/>
  <c r="W144" i="28"/>
  <c r="W140" i="28"/>
  <c r="W138" i="28"/>
  <c r="W136" i="28"/>
  <c r="W137" i="28"/>
  <c r="W130" i="28"/>
  <c r="W129" i="28"/>
  <c r="W128" i="28"/>
  <c r="W122" i="28"/>
  <c r="W119" i="28"/>
  <c r="W146" i="28"/>
  <c r="O146" i="28"/>
  <c r="W141" i="28"/>
  <c r="O137" i="28"/>
  <c r="W135" i="28"/>
  <c r="W134" i="28"/>
  <c r="W133" i="28"/>
  <c r="W131" i="28"/>
  <c r="O128" i="28"/>
  <c r="W127" i="28"/>
  <c r="O122" i="28"/>
  <c r="W123" i="28"/>
  <c r="W121" i="28"/>
  <c r="O121" i="28"/>
  <c r="O147" i="28"/>
  <c r="O140" i="28"/>
  <c r="O138" i="28"/>
  <c r="O135" i="28"/>
  <c r="W117" i="28"/>
  <c r="W116" i="28"/>
  <c r="W115" i="28"/>
  <c r="W113" i="28"/>
  <c r="W110" i="28"/>
  <c r="W109" i="28"/>
  <c r="W101" i="28"/>
  <c r="W97" i="28"/>
  <c r="W98" i="28"/>
  <c r="W96" i="28"/>
  <c r="W95" i="28"/>
  <c r="W88" i="28"/>
  <c r="W82" i="28"/>
  <c r="W84" i="28"/>
  <c r="W80" i="28"/>
  <c r="W79" i="28"/>
  <c r="W77" i="28"/>
  <c r="O141" i="28"/>
  <c r="W139" i="28"/>
  <c r="O139" i="28"/>
  <c r="O133" i="28"/>
  <c r="O134" i="28"/>
  <c r="O127" i="28"/>
  <c r="O126" i="28"/>
  <c r="W126" i="28"/>
  <c r="O123" i="28"/>
  <c r="O124" i="28"/>
  <c r="W124" i="28"/>
  <c r="O120" i="28"/>
  <c r="W120" i="28"/>
  <c r="O118" i="28"/>
  <c r="W118" i="28"/>
  <c r="O115" i="28"/>
  <c r="O116" i="28"/>
  <c r="W114" i="28"/>
  <c r="O114" i="28"/>
  <c r="W112" i="28"/>
  <c r="O109" i="28"/>
  <c r="W108" i="28"/>
  <c r="W106" i="28"/>
  <c r="W107" i="28"/>
  <c r="O105" i="28"/>
  <c r="W105" i="28"/>
  <c r="W104" i="28"/>
  <c r="W102" i="28"/>
  <c r="W99" i="28"/>
  <c r="W94" i="28"/>
  <c r="O95" i="28"/>
  <c r="W92" i="28"/>
  <c r="W89" i="28"/>
  <c r="W91" i="28"/>
  <c r="W87" i="28"/>
  <c r="O86" i="28"/>
  <c r="W86" i="28"/>
  <c r="O144" i="28"/>
  <c r="O143" i="28"/>
  <c r="O132" i="28"/>
  <c r="W132" i="28"/>
  <c r="O119" i="28"/>
  <c r="O117" i="28"/>
  <c r="O113" i="28"/>
  <c r="O101" i="28"/>
  <c r="O96" i="28"/>
  <c r="O93" i="28"/>
  <c r="W93" i="28"/>
  <c r="O88" i="28"/>
  <c r="W90" i="28"/>
  <c r="W85" i="28"/>
  <c r="O85" i="28"/>
  <c r="W81" i="28"/>
  <c r="O80" i="28"/>
  <c r="W78" i="28"/>
  <c r="W111" i="28"/>
  <c r="O111" i="28"/>
  <c r="O99" i="28"/>
  <c r="O98" i="28"/>
  <c r="O84" i="28"/>
  <c r="W76" i="28"/>
  <c r="O131" i="28"/>
  <c r="O129" i="28"/>
  <c r="O112" i="28"/>
  <c r="O107" i="28"/>
  <c r="O106" i="28"/>
  <c r="O104" i="28"/>
  <c r="O103" i="28"/>
  <c r="O102" i="28"/>
  <c r="O94" i="28"/>
  <c r="O92" i="28"/>
  <c r="O87" i="28"/>
  <c r="O81" i="28"/>
  <c r="O78" i="28"/>
  <c r="O77" i="28"/>
  <c r="O136" i="28"/>
  <c r="O130" i="28"/>
  <c r="O82" i="28"/>
  <c r="W83" i="28"/>
  <c r="O145" i="28"/>
  <c r="O90" i="28"/>
  <c r="O79" i="28"/>
  <c r="O76" i="28"/>
  <c r="O110" i="28"/>
  <c r="O108" i="28"/>
  <c r="O97" i="28"/>
  <c r="O91" i="28"/>
  <c r="O89" i="28"/>
  <c r="O83" i="28"/>
  <c r="Q3" i="7" l="1"/>
  <c r="Q5" i="7" s="1"/>
  <c r="Q7" i="7" s="1"/>
  <c r="Q9" i="7" s="1"/>
  <c r="O41" i="7" s="1"/>
  <c r="L8" i="7"/>
  <c r="M8" i="7" s="1"/>
  <c r="L68" i="7"/>
  <c r="M68" i="7" s="1"/>
  <c r="L40" i="7"/>
  <c r="M40" i="7" s="1"/>
  <c r="L48" i="7"/>
  <c r="M48" i="7" s="1"/>
  <c r="L53" i="7"/>
  <c r="M53" i="7" s="1"/>
  <c r="L65" i="7"/>
  <c r="M65" i="7" s="1"/>
  <c r="L45" i="7"/>
  <c r="M45" i="7" s="1"/>
  <c r="O905" i="28"/>
  <c r="R905" i="28" s="1"/>
  <c r="O906" i="28"/>
  <c r="R906" i="28" s="1"/>
  <c r="K120" i="28"/>
  <c r="K123" i="28"/>
  <c r="N123" i="28" s="1"/>
  <c r="U123" i="28" s="1"/>
  <c r="V123" i="28" s="1"/>
  <c r="X123" i="28" s="1"/>
  <c r="K139" i="28"/>
  <c r="K107" i="28"/>
  <c r="N107" i="28" s="1"/>
  <c r="K137" i="28"/>
  <c r="K118" i="28"/>
  <c r="K114" i="28"/>
  <c r="N114" i="28" s="1"/>
  <c r="K92" i="28"/>
  <c r="K77" i="28"/>
  <c r="K99" i="28"/>
  <c r="K138" i="28"/>
  <c r="N138" i="28" s="1"/>
  <c r="K136" i="28"/>
  <c r="N136" i="28" s="1"/>
  <c r="U136" i="28" s="1"/>
  <c r="V136" i="28" s="1"/>
  <c r="X136" i="28" s="1"/>
  <c r="K116" i="28"/>
  <c r="N116" i="28" s="1"/>
  <c r="K82" i="28"/>
  <c r="K96" i="28"/>
  <c r="K85" i="28"/>
  <c r="K112" i="28"/>
  <c r="N112" i="28" s="1"/>
  <c r="K121" i="28"/>
  <c r="N121" i="28" s="1"/>
  <c r="K105" i="28"/>
  <c r="N105" i="28" s="1"/>
  <c r="K135" i="28"/>
  <c r="K88" i="28"/>
  <c r="K80" i="28"/>
  <c r="K113" i="28"/>
  <c r="N113" i="28" s="1"/>
  <c r="K102" i="28"/>
  <c r="K108" i="28"/>
  <c r="N108" i="28" s="1"/>
  <c r="K145" i="28"/>
  <c r="N145" i="28" s="1"/>
  <c r="Y94" i="28"/>
  <c r="Z94" i="28" s="1"/>
  <c r="Y87" i="28"/>
  <c r="Z87" i="28" s="1"/>
  <c r="Y106" i="28"/>
  <c r="Z106" i="28" s="1"/>
  <c r="K106" i="28"/>
  <c r="N106" i="28" s="1"/>
  <c r="Y105" i="28"/>
  <c r="Z105" i="28" s="1"/>
  <c r="Y80" i="28"/>
  <c r="Z80" i="28" s="1"/>
  <c r="Y82" i="28"/>
  <c r="Z82" i="28" s="1"/>
  <c r="Y99" i="28"/>
  <c r="Z99" i="28" s="1"/>
  <c r="Y113" i="28"/>
  <c r="Z113" i="28" s="1"/>
  <c r="Y79" i="28"/>
  <c r="Z79" i="28" s="1"/>
  <c r="K79" i="28"/>
  <c r="K87" i="28"/>
  <c r="Y147" i="28"/>
  <c r="Z147" i="28" s="1"/>
  <c r="Y103" i="28"/>
  <c r="Z103" i="28" s="1"/>
  <c r="Y133" i="28"/>
  <c r="Z133" i="28" s="1"/>
  <c r="K133" i="28"/>
  <c r="N133" i="28" s="1"/>
  <c r="Y143" i="28"/>
  <c r="Z143" i="28" s="1"/>
  <c r="Y128" i="28"/>
  <c r="Z128" i="28" s="1"/>
  <c r="Y83" i="28"/>
  <c r="Z83" i="28" s="1"/>
  <c r="Y111" i="28"/>
  <c r="Z111" i="28" s="1"/>
  <c r="K111" i="28"/>
  <c r="Y115" i="28"/>
  <c r="Z115" i="28" s="1"/>
  <c r="K115" i="28"/>
  <c r="N115" i="28" s="1"/>
  <c r="K126" i="28"/>
  <c r="N126" i="28" s="1"/>
  <c r="Y137" i="28"/>
  <c r="Z137" i="28" s="1"/>
  <c r="Y117" i="28"/>
  <c r="Z117" i="28" s="1"/>
  <c r="K117" i="28"/>
  <c r="N117" i="28" s="1"/>
  <c r="Y124" i="28"/>
  <c r="Z124" i="28" s="1"/>
  <c r="K124" i="28"/>
  <c r="Y88" i="28"/>
  <c r="Z88" i="28" s="1"/>
  <c r="Y96" i="28"/>
  <c r="Z96" i="28" s="1"/>
  <c r="Y104" i="28"/>
  <c r="Z104" i="28" s="1"/>
  <c r="Y112" i="28"/>
  <c r="Z112" i="28" s="1"/>
  <c r="Y85" i="28"/>
  <c r="Z85" i="28" s="1"/>
  <c r="Y86" i="28"/>
  <c r="Z86" i="28" s="1"/>
  <c r="Y78" i="28"/>
  <c r="Z78" i="28" s="1"/>
  <c r="K78" i="28"/>
  <c r="Y89" i="28"/>
  <c r="Z89" i="28" s="1"/>
  <c r="K89" i="28"/>
  <c r="Y130" i="28"/>
  <c r="Z130" i="28" s="1"/>
  <c r="K130" i="28"/>
  <c r="N130" i="28" s="1"/>
  <c r="Y138" i="28"/>
  <c r="Z138" i="28" s="1"/>
  <c r="Y107" i="28"/>
  <c r="Z107" i="28" s="1"/>
  <c r="K93" i="28"/>
  <c r="K104" i="28"/>
  <c r="N104" i="28" s="1"/>
  <c r="Y129" i="28"/>
  <c r="Z129" i="28" s="1"/>
  <c r="K129" i="28"/>
  <c r="N129" i="28" s="1"/>
  <c r="K90" i="28"/>
  <c r="K98" i="28"/>
  <c r="Y114" i="28"/>
  <c r="Z114" i="28" s="1"/>
  <c r="Y120" i="28"/>
  <c r="Z120" i="28" s="1"/>
  <c r="Y101" i="28"/>
  <c r="Z101" i="28" s="1"/>
  <c r="K101" i="28"/>
  <c r="N101" i="28" s="1"/>
  <c r="Y102" i="28"/>
  <c r="Z102" i="28" s="1"/>
  <c r="K94" i="28"/>
  <c r="Y119" i="28"/>
  <c r="Z119" i="28" s="1"/>
  <c r="K119" i="28"/>
  <c r="N119" i="28" s="1"/>
  <c r="K91" i="28"/>
  <c r="Y109" i="28"/>
  <c r="Z109" i="28" s="1"/>
  <c r="Y77" i="28"/>
  <c r="Z77" i="28" s="1"/>
  <c r="K109" i="28"/>
  <c r="N109" i="28" s="1"/>
  <c r="K110" i="28"/>
  <c r="Y123" i="28"/>
  <c r="Z123" i="28" s="1"/>
  <c r="K83" i="28"/>
  <c r="Y97" i="28"/>
  <c r="Z97" i="28" s="1"/>
  <c r="K97" i="28"/>
  <c r="Y140" i="28"/>
  <c r="Z140" i="28" s="1"/>
  <c r="K140" i="28"/>
  <c r="Y90" i="28"/>
  <c r="Z90" i="28" s="1"/>
  <c r="Y84" i="28"/>
  <c r="Z84" i="28" s="1"/>
  <c r="K84" i="28"/>
  <c r="Y92" i="28"/>
  <c r="Z92" i="28" s="1"/>
  <c r="Y126" i="28"/>
  <c r="Z126" i="28" s="1"/>
  <c r="Y91" i="28"/>
  <c r="Z91" i="28" s="1"/>
  <c r="Y108" i="28"/>
  <c r="Z108" i="28" s="1"/>
  <c r="Y81" i="28"/>
  <c r="Z81" i="28" s="1"/>
  <c r="K81" i="28"/>
  <c r="Y76" i="28"/>
  <c r="Z76" i="28" s="1"/>
  <c r="K76" i="28"/>
  <c r="Y93" i="28"/>
  <c r="Z93" i="28" s="1"/>
  <c r="Y110" i="28"/>
  <c r="Z110" i="28" s="1"/>
  <c r="Y139" i="28"/>
  <c r="Z139" i="28" s="1"/>
  <c r="K147" i="28"/>
  <c r="N147" i="28" s="1"/>
  <c r="Y134" i="28"/>
  <c r="Z134" i="28" s="1"/>
  <c r="K134" i="28"/>
  <c r="N134" i="28" s="1"/>
  <c r="Y144" i="28"/>
  <c r="Z144" i="28" s="1"/>
  <c r="K144" i="28"/>
  <c r="N144" i="28" s="1"/>
  <c r="Y132" i="28"/>
  <c r="Z132" i="28" s="1"/>
  <c r="K132" i="28"/>
  <c r="N132" i="28" s="1"/>
  <c r="Y136" i="28"/>
  <c r="Z136" i="28" s="1"/>
  <c r="K143" i="28"/>
  <c r="N143" i="28" s="1"/>
  <c r="K128" i="28"/>
  <c r="N128" i="28" s="1"/>
  <c r="Y145" i="28"/>
  <c r="Z145" i="28" s="1"/>
  <c r="K86" i="28"/>
  <c r="Y98" i="28"/>
  <c r="Z98" i="28" s="1"/>
  <c r="K103" i="28"/>
  <c r="Y95" i="28"/>
  <c r="Z95" i="28" s="1"/>
  <c r="K95" i="28"/>
  <c r="Y122" i="28"/>
  <c r="Z122" i="28" s="1"/>
  <c r="Y131" i="28"/>
  <c r="Z131" i="28" s="1"/>
  <c r="Y116" i="28"/>
  <c r="Z116" i="28" s="1"/>
  <c r="Y118" i="28"/>
  <c r="Z118" i="28" s="1"/>
  <c r="K141" i="28"/>
  <c r="N141" i="28" s="1"/>
  <c r="Y146" i="28"/>
  <c r="Z146" i="28" s="1"/>
  <c r="Y127" i="28"/>
  <c r="Z127" i="28" s="1"/>
  <c r="Y121" i="28"/>
  <c r="Z121" i="28" s="1"/>
  <c r="K127" i="28"/>
  <c r="N127" i="28" s="1"/>
  <c r="K122" i="28"/>
  <c r="K131" i="28"/>
  <c r="N131" i="28" s="1"/>
  <c r="Y141" i="28"/>
  <c r="Z141" i="28" s="1"/>
  <c r="Y135" i="28"/>
  <c r="Z135" i="28" s="1"/>
  <c r="K146" i="28"/>
  <c r="N146" i="28" s="1"/>
  <c r="L44" i="7" l="1"/>
  <c r="M44" i="7" s="1"/>
  <c r="L22" i="7"/>
  <c r="M22" i="7" s="1"/>
  <c r="L9" i="7"/>
  <c r="M9" i="7" s="1"/>
  <c r="L66" i="7"/>
  <c r="M66" i="7" s="1"/>
  <c r="L15" i="7"/>
  <c r="M15" i="7" s="1"/>
  <c r="L28" i="7"/>
  <c r="M28" i="7" s="1"/>
  <c r="L43" i="7"/>
  <c r="M43" i="7" s="1"/>
  <c r="L59" i="7"/>
  <c r="M59" i="7" s="1"/>
  <c r="L20" i="7"/>
  <c r="M20" i="7" s="1"/>
  <c r="L72" i="7"/>
  <c r="M72" i="7" s="1"/>
  <c r="O9" i="7"/>
  <c r="O69" i="7"/>
  <c r="O72" i="7"/>
  <c r="O3" i="7"/>
  <c r="L16" i="7"/>
  <c r="M16" i="7" s="1"/>
  <c r="L4" i="7"/>
  <c r="M4" i="7" s="1"/>
  <c r="L5" i="7"/>
  <c r="M5" i="7" s="1"/>
  <c r="L56" i="7"/>
  <c r="M56" i="7" s="1"/>
  <c r="L55" i="7"/>
  <c r="M55" i="7" s="1"/>
  <c r="L35" i="7"/>
  <c r="M35" i="7" s="1"/>
  <c r="L49" i="7"/>
  <c r="M49" i="7" s="1"/>
  <c r="L58" i="7"/>
  <c r="M58" i="7" s="1"/>
  <c r="L27" i="7"/>
  <c r="M27" i="7" s="1"/>
  <c r="L42" i="7"/>
  <c r="M42" i="7" s="1"/>
  <c r="L13" i="7"/>
  <c r="M13" i="7" s="1"/>
  <c r="L39" i="7"/>
  <c r="M39" i="7" s="1"/>
  <c r="L37" i="7"/>
  <c r="M37" i="7" s="1"/>
  <c r="L57" i="7"/>
  <c r="M57" i="7" s="1"/>
  <c r="L38" i="7"/>
  <c r="M38" i="7" s="1"/>
  <c r="L11" i="7"/>
  <c r="M11" i="7" s="1"/>
  <c r="L36" i="7"/>
  <c r="M36" i="7" s="1"/>
  <c r="O17" i="7"/>
  <c r="O49" i="7"/>
  <c r="O6" i="7"/>
  <c r="L47" i="7"/>
  <c r="M47" i="7" s="1"/>
  <c r="L69" i="7"/>
  <c r="M69" i="7" s="1"/>
  <c r="L52" i="7"/>
  <c r="M52" i="7" s="1"/>
  <c r="L62" i="7"/>
  <c r="M62" i="7" s="1"/>
  <c r="L14" i="7"/>
  <c r="M14" i="7" s="1"/>
  <c r="L10" i="7"/>
  <c r="M10" i="7" s="1"/>
  <c r="L6" i="7"/>
  <c r="M6" i="7" s="1"/>
  <c r="L21" i="7"/>
  <c r="M21" i="7" s="1"/>
  <c r="L17" i="7"/>
  <c r="M17" i="7" s="1"/>
  <c r="L23" i="7"/>
  <c r="M23" i="7" s="1"/>
  <c r="L3" i="7"/>
  <c r="M3" i="7" s="1"/>
  <c r="L12" i="7"/>
  <c r="M12" i="7" s="1"/>
  <c r="L26" i="7"/>
  <c r="M26" i="7" s="1"/>
  <c r="L30" i="7"/>
  <c r="M30" i="7" s="1"/>
  <c r="L29" i="7"/>
  <c r="M29" i="7" s="1"/>
  <c r="L33" i="7"/>
  <c r="M33" i="7" s="1"/>
  <c r="L7" i="7"/>
  <c r="M7" i="7" s="1"/>
  <c r="L67" i="7"/>
  <c r="M67" i="7" s="1"/>
  <c r="O25" i="7"/>
  <c r="O53" i="7"/>
  <c r="O14" i="7"/>
  <c r="L25" i="7"/>
  <c r="M25" i="7" s="1"/>
  <c r="L46" i="7"/>
  <c r="M46" i="7" s="1"/>
  <c r="L24" i="7"/>
  <c r="M24" i="7" s="1"/>
  <c r="L60" i="7"/>
  <c r="M60" i="7" s="1"/>
  <c r="L70" i="7"/>
  <c r="M70" i="7" s="1"/>
  <c r="L31" i="7"/>
  <c r="M31" i="7" s="1"/>
  <c r="L41" i="7"/>
  <c r="M41" i="7" s="1"/>
  <c r="L64" i="7"/>
  <c r="M64" i="7" s="1"/>
  <c r="L50" i="7"/>
  <c r="M50" i="7" s="1"/>
  <c r="L71" i="7"/>
  <c r="M71" i="7" s="1"/>
  <c r="L54" i="7"/>
  <c r="M54" i="7" s="1"/>
  <c r="L34" i="7"/>
  <c r="M34" i="7" s="1"/>
  <c r="L19" i="7"/>
  <c r="M19" i="7" s="1"/>
  <c r="L61" i="7"/>
  <c r="M61" i="7" s="1"/>
  <c r="L18" i="7"/>
  <c r="M18" i="7" s="1"/>
  <c r="L32" i="7"/>
  <c r="M32" i="7" s="1"/>
  <c r="L63" i="7"/>
  <c r="M63" i="7" s="1"/>
  <c r="L51" i="7"/>
  <c r="M51" i="7" s="1"/>
  <c r="O33" i="7"/>
  <c r="O61" i="7"/>
  <c r="O22" i="7"/>
  <c r="O30" i="7"/>
  <c r="O38" i="7"/>
  <c r="O46" i="7"/>
  <c r="O54" i="7"/>
  <c r="O62" i="7"/>
  <c r="O7" i="7"/>
  <c r="O11" i="7"/>
  <c r="O70" i="7"/>
  <c r="O15" i="7"/>
  <c r="O19" i="7"/>
  <c r="O23" i="7"/>
  <c r="O27" i="7"/>
  <c r="O31" i="7"/>
  <c r="O35" i="7"/>
  <c r="O39" i="7"/>
  <c r="O43" i="7"/>
  <c r="O47" i="7"/>
  <c r="O51" i="7"/>
  <c r="O55" i="7"/>
  <c r="O63" i="7"/>
  <c r="O59" i="7"/>
  <c r="O71" i="7"/>
  <c r="O13" i="7"/>
  <c r="O29" i="7"/>
  <c r="O67" i="7"/>
  <c r="O45" i="7"/>
  <c r="O65" i="7"/>
  <c r="O18" i="7"/>
  <c r="O50" i="7"/>
  <c r="O21" i="7"/>
  <c r="O57" i="7"/>
  <c r="O26" i="7"/>
  <c r="O5" i="7"/>
  <c r="O37" i="7"/>
  <c r="O10" i="7"/>
  <c r="O58" i="7"/>
  <c r="O4" i="7"/>
  <c r="O42" i="7"/>
  <c r="O8" i="7"/>
  <c r="O12" i="7"/>
  <c r="O34" i="7"/>
  <c r="O66" i="7"/>
  <c r="O20" i="7"/>
  <c r="O24" i="7"/>
  <c r="O28" i="7"/>
  <c r="N84" i="28"/>
  <c r="P84" i="28" s="1"/>
  <c r="N94" i="28"/>
  <c r="U94" i="28" s="1"/>
  <c r="V94" i="28" s="1"/>
  <c r="X94" i="28" s="1"/>
  <c r="N89" i="28"/>
  <c r="P89" i="28" s="1"/>
  <c r="N79" i="28"/>
  <c r="P79" i="28" s="1"/>
  <c r="N80" i="28"/>
  <c r="P80" i="28" s="1"/>
  <c r="N96" i="28"/>
  <c r="P96" i="28" s="1"/>
  <c r="N139" i="28"/>
  <c r="U139" i="28" s="1"/>
  <c r="V139" i="28" s="1"/>
  <c r="X139" i="28" s="1"/>
  <c r="N95" i="28"/>
  <c r="P95" i="28" s="1"/>
  <c r="N86" i="28"/>
  <c r="P86" i="28" s="1"/>
  <c r="N97" i="28"/>
  <c r="P97" i="28" s="1"/>
  <c r="N110" i="28"/>
  <c r="P110" i="28" s="1"/>
  <c r="N91" i="28"/>
  <c r="U91" i="28" s="1"/>
  <c r="V91" i="28" s="1"/>
  <c r="X91" i="28" s="1"/>
  <c r="N88" i="28"/>
  <c r="P88" i="28" s="1"/>
  <c r="N85" i="28"/>
  <c r="U85" i="28" s="1"/>
  <c r="V85" i="28" s="1"/>
  <c r="X85" i="28" s="1"/>
  <c r="N82" i="28"/>
  <c r="P82" i="28" s="1"/>
  <c r="N99" i="28"/>
  <c r="U99" i="28" s="1"/>
  <c r="V99" i="28" s="1"/>
  <c r="X99" i="28" s="1"/>
  <c r="N118" i="28"/>
  <c r="P118" i="28" s="1"/>
  <c r="O40" i="7"/>
  <c r="N81" i="28"/>
  <c r="P81" i="28" s="1"/>
  <c r="N98" i="28"/>
  <c r="P98" i="28" s="1"/>
  <c r="N78" i="28"/>
  <c r="P78" i="28" s="1"/>
  <c r="N124" i="28"/>
  <c r="U124" i="28" s="1"/>
  <c r="V124" i="28" s="1"/>
  <c r="X124" i="28" s="1"/>
  <c r="N111" i="28"/>
  <c r="U111" i="28" s="1"/>
  <c r="V111" i="28" s="1"/>
  <c r="X111" i="28" s="1"/>
  <c r="N102" i="28"/>
  <c r="U102" i="28" s="1"/>
  <c r="V102" i="28" s="1"/>
  <c r="X102" i="28" s="1"/>
  <c r="N135" i="28"/>
  <c r="U135" i="28" s="1"/>
  <c r="V135" i="28" s="1"/>
  <c r="X135" i="28" s="1"/>
  <c r="N77" i="28"/>
  <c r="U77" i="28" s="1"/>
  <c r="V77" i="28" s="1"/>
  <c r="X77" i="28" s="1"/>
  <c r="N137" i="28"/>
  <c r="U137" i="28" s="1"/>
  <c r="V137" i="28" s="1"/>
  <c r="X137" i="28" s="1"/>
  <c r="N120" i="28"/>
  <c r="P120" i="28" s="1"/>
  <c r="O44" i="7"/>
  <c r="N122" i="28"/>
  <c r="U122" i="28" s="1"/>
  <c r="V122" i="28" s="1"/>
  <c r="X122" i="28" s="1"/>
  <c r="N140" i="28"/>
  <c r="P140" i="28" s="1"/>
  <c r="N83" i="28"/>
  <c r="U83" i="28" s="1"/>
  <c r="V83" i="28" s="1"/>
  <c r="X83" i="28" s="1"/>
  <c r="N90" i="28"/>
  <c r="U90" i="28" s="1"/>
  <c r="V90" i="28" s="1"/>
  <c r="X90" i="28" s="1"/>
  <c r="N93" i="28"/>
  <c r="U93" i="28" s="1"/>
  <c r="V93" i="28" s="1"/>
  <c r="X93" i="28" s="1"/>
  <c r="N87" i="28"/>
  <c r="P87" i="28" s="1"/>
  <c r="N92" i="28"/>
  <c r="U92" i="28" s="1"/>
  <c r="V92" i="28" s="1"/>
  <c r="X92" i="28" s="1"/>
  <c r="O36" i="7"/>
  <c r="O60" i="7"/>
  <c r="O16" i="7"/>
  <c r="O32" i="7"/>
  <c r="O48" i="7"/>
  <c r="O52" i="7"/>
  <c r="O56" i="7"/>
  <c r="O64" i="7"/>
  <c r="O68" i="7"/>
  <c r="P85" i="28"/>
  <c r="P138" i="28"/>
  <c r="P136" i="28"/>
  <c r="P123" i="28"/>
  <c r="P114" i="28"/>
  <c r="U121" i="28"/>
  <c r="V121" i="28" s="1"/>
  <c r="X121" i="28" s="1"/>
  <c r="P105" i="28"/>
  <c r="U88" i="28"/>
  <c r="V88" i="28" s="1"/>
  <c r="X88" i="28" s="1"/>
  <c r="P121" i="28"/>
  <c r="U138" i="28"/>
  <c r="V138" i="28" s="1"/>
  <c r="X138" i="28" s="1"/>
  <c r="U114" i="28"/>
  <c r="V114" i="28" s="1"/>
  <c r="X114" i="28" s="1"/>
  <c r="U105" i="28"/>
  <c r="V105" i="28" s="1"/>
  <c r="X105" i="28" s="1"/>
  <c r="P108" i="28"/>
  <c r="P113" i="28"/>
  <c r="U145" i="28"/>
  <c r="V145" i="28" s="1"/>
  <c r="X145" i="28" s="1"/>
  <c r="P145" i="28"/>
  <c r="U108" i="28"/>
  <c r="V108" i="28" s="1"/>
  <c r="X108" i="28" s="1"/>
  <c r="P112" i="28"/>
  <c r="U112" i="28"/>
  <c r="V112" i="28" s="1"/>
  <c r="X112" i="28" s="1"/>
  <c r="U113" i="28"/>
  <c r="V113" i="28" s="1"/>
  <c r="X113" i="28" s="1"/>
  <c r="N103" i="28"/>
  <c r="P109" i="28"/>
  <c r="U109" i="28"/>
  <c r="V109" i="28" s="1"/>
  <c r="X109" i="28" s="1"/>
  <c r="P90" i="28"/>
  <c r="P117" i="28"/>
  <c r="U117" i="28"/>
  <c r="V117" i="28" s="1"/>
  <c r="X117" i="28" s="1"/>
  <c r="P131" i="28"/>
  <c r="U131" i="28"/>
  <c r="V131" i="28" s="1"/>
  <c r="X131" i="28" s="1"/>
  <c r="P141" i="28"/>
  <c r="U141" i="28"/>
  <c r="V141" i="28" s="1"/>
  <c r="X141" i="28" s="1"/>
  <c r="P146" i="28"/>
  <c r="U146" i="28"/>
  <c r="V146" i="28" s="1"/>
  <c r="X146" i="28" s="1"/>
  <c r="P107" i="28"/>
  <c r="U107" i="28"/>
  <c r="V107" i="28" s="1"/>
  <c r="X107" i="28" s="1"/>
  <c r="N76" i="28"/>
  <c r="P119" i="28"/>
  <c r="U119" i="28"/>
  <c r="V119" i="28" s="1"/>
  <c r="X119" i="28" s="1"/>
  <c r="P104" i="28"/>
  <c r="U104" i="28"/>
  <c r="V104" i="28" s="1"/>
  <c r="X104" i="28" s="1"/>
  <c r="P126" i="28"/>
  <c r="U126" i="28"/>
  <c r="V126" i="28" s="1"/>
  <c r="X126" i="28" s="1"/>
  <c r="P115" i="28"/>
  <c r="U115" i="28"/>
  <c r="V115" i="28" s="1"/>
  <c r="X115" i="28" s="1"/>
  <c r="P106" i="28"/>
  <c r="U106" i="28"/>
  <c r="V106" i="28" s="1"/>
  <c r="X106" i="28" s="1"/>
  <c r="P127" i="28"/>
  <c r="U127" i="28"/>
  <c r="V127" i="28" s="1"/>
  <c r="X127" i="28" s="1"/>
  <c r="P128" i="28"/>
  <c r="U128" i="28"/>
  <c r="V128" i="28" s="1"/>
  <c r="X128" i="28" s="1"/>
  <c r="P134" i="28"/>
  <c r="U134" i="28"/>
  <c r="V134" i="28" s="1"/>
  <c r="X134" i="28" s="1"/>
  <c r="P147" i="28"/>
  <c r="U147" i="28"/>
  <c r="V147" i="28" s="1"/>
  <c r="X147" i="28" s="1"/>
  <c r="P129" i="28"/>
  <c r="U129" i="28"/>
  <c r="V129" i="28" s="1"/>
  <c r="X129" i="28" s="1"/>
  <c r="P130" i="28"/>
  <c r="U130" i="28"/>
  <c r="V130" i="28" s="1"/>
  <c r="X130" i="28" s="1"/>
  <c r="P143" i="28"/>
  <c r="U143" i="28"/>
  <c r="V143" i="28" s="1"/>
  <c r="X143" i="28" s="1"/>
  <c r="P132" i="28"/>
  <c r="U132" i="28"/>
  <c r="V132" i="28" s="1"/>
  <c r="X132" i="28" s="1"/>
  <c r="P144" i="28"/>
  <c r="U144" i="28"/>
  <c r="V144" i="28" s="1"/>
  <c r="X144" i="28" s="1"/>
  <c r="P101" i="28"/>
  <c r="U101" i="28"/>
  <c r="V101" i="28" s="1"/>
  <c r="X101" i="28" s="1"/>
  <c r="P116" i="28"/>
  <c r="U116" i="28"/>
  <c r="V116" i="28" s="1"/>
  <c r="X116" i="28" s="1"/>
  <c r="P133" i="28"/>
  <c r="U133" i="28"/>
  <c r="V133" i="28" s="1"/>
  <c r="X133" i="28" s="1"/>
  <c r="P93" i="28" l="1"/>
  <c r="U86" i="28"/>
  <c r="V86" i="28" s="1"/>
  <c r="X86" i="28" s="1"/>
  <c r="U84" i="28"/>
  <c r="V84" i="28" s="1"/>
  <c r="X84" i="28" s="1"/>
  <c r="P94" i="28"/>
  <c r="P122" i="28"/>
  <c r="P124" i="28"/>
  <c r="U96" i="28"/>
  <c r="V96" i="28" s="1"/>
  <c r="X96" i="28" s="1"/>
  <c r="U97" i="28"/>
  <c r="V97" i="28" s="1"/>
  <c r="X97" i="28" s="1"/>
  <c r="P77" i="28"/>
  <c r="P102" i="28"/>
  <c r="P91" i="28"/>
  <c r="U81" i="28"/>
  <c r="V81" i="28" s="1"/>
  <c r="X81" i="28" s="1"/>
  <c r="U79" i="28"/>
  <c r="V79" i="28" s="1"/>
  <c r="X79" i="28" s="1"/>
  <c r="P83" i="28"/>
  <c r="P92" i="28"/>
  <c r="U82" i="28"/>
  <c r="V82" i="28" s="1"/>
  <c r="X82" i="28" s="1"/>
  <c r="P137" i="28"/>
  <c r="U120" i="28"/>
  <c r="V120" i="28" s="1"/>
  <c r="X120" i="28" s="1"/>
  <c r="P139" i="28"/>
  <c r="U87" i="28"/>
  <c r="V87" i="28" s="1"/>
  <c r="X87" i="28" s="1"/>
  <c r="U89" i="28"/>
  <c r="V89" i="28" s="1"/>
  <c r="X89" i="28" s="1"/>
  <c r="U140" i="28"/>
  <c r="V140" i="28" s="1"/>
  <c r="X140" i="28" s="1"/>
  <c r="U98" i="28"/>
  <c r="V98" i="28" s="1"/>
  <c r="X98" i="28" s="1"/>
  <c r="P99" i="28"/>
  <c r="U95" i="28"/>
  <c r="V95" i="28" s="1"/>
  <c r="X95" i="28" s="1"/>
  <c r="U78" i="28"/>
  <c r="V78" i="28" s="1"/>
  <c r="X78" i="28" s="1"/>
  <c r="P135" i="28"/>
  <c r="U118" i="28"/>
  <c r="V118" i="28" s="1"/>
  <c r="X118" i="28" s="1"/>
  <c r="U80" i="28"/>
  <c r="V80" i="28" s="1"/>
  <c r="X80" i="28" s="1"/>
  <c r="U110" i="28"/>
  <c r="V110" i="28" s="1"/>
  <c r="X110" i="28" s="1"/>
  <c r="P111" i="28"/>
  <c r="N905" i="28"/>
  <c r="S905" i="28" s="1"/>
  <c r="N906" i="28"/>
  <c r="S906" i="28" s="1"/>
  <c r="P76" i="28"/>
  <c r="U76" i="28"/>
  <c r="P103" i="28"/>
  <c r="U103" i="28"/>
  <c r="V103" i="28" l="1"/>
  <c r="V76" i="28"/>
  <c r="X76" i="28" l="1"/>
  <c r="X103" i="28"/>
  <c r="H190" i="29" l="1"/>
  <c r="C48" i="27"/>
  <c r="C87" i="27"/>
  <c r="C88" i="27"/>
  <c r="C86" i="27" l="1"/>
  <c r="C197" i="27"/>
  <c r="E197" i="27" s="1"/>
  <c r="C151" i="27"/>
  <c r="E151" i="27" s="1"/>
  <c r="C150" i="27"/>
  <c r="E150" i="27" s="1"/>
  <c r="C195" i="27"/>
  <c r="E195" i="27" s="1"/>
  <c r="E48" i="27"/>
  <c r="H197" i="29"/>
  <c r="E88" i="27"/>
  <c r="H193" i="29"/>
  <c r="J193" i="29" s="1"/>
  <c r="E87" i="27"/>
  <c r="J197" i="29"/>
  <c r="N197" i="29" s="1"/>
  <c r="O197" i="29" s="1"/>
  <c r="H186" i="29"/>
  <c r="J186" i="29" s="1"/>
  <c r="L186" i="29" s="1"/>
  <c r="H185" i="29"/>
  <c r="J185" i="29" s="1"/>
  <c r="H194" i="29"/>
  <c r="J194" i="29" s="1"/>
  <c r="H191" i="29"/>
  <c r="J191" i="29" s="1"/>
  <c r="L191" i="29" s="1"/>
  <c r="H188" i="29"/>
  <c r="J188" i="29" s="1"/>
  <c r="N188" i="29" s="1"/>
  <c r="O188" i="29" s="1"/>
  <c r="H195" i="29"/>
  <c r="J195" i="29" s="1"/>
  <c r="H192" i="29"/>
  <c r="J192" i="29" s="1"/>
  <c r="L192" i="29" s="1"/>
  <c r="J190" i="29"/>
  <c r="N190" i="29" s="1"/>
  <c r="O190" i="29" s="1"/>
  <c r="H189" i="29"/>
  <c r="J189" i="29" s="1"/>
  <c r="L189" i="29" s="1"/>
  <c r="H187" i="29"/>
  <c r="J187" i="29" s="1"/>
  <c r="N187" i="29" s="1"/>
  <c r="O187" i="29" s="1"/>
  <c r="H196" i="29"/>
  <c r="J196" i="29" s="1"/>
  <c r="N196" i="29" s="1"/>
  <c r="O196" i="29" s="1"/>
  <c r="K293" i="29"/>
  <c r="E294" i="29"/>
  <c r="E884" i="28" s="1"/>
  <c r="K294" i="29"/>
  <c r="O884" i="28" s="1"/>
  <c r="H184" i="29"/>
  <c r="E293" i="29"/>
  <c r="N195" i="29" l="1"/>
  <c r="O195" i="29" s="1"/>
  <c r="N194" i="29"/>
  <c r="O194" i="29" s="1"/>
  <c r="L197" i="29"/>
  <c r="L193" i="29"/>
  <c r="N193" i="29"/>
  <c r="O193" i="29" s="1"/>
  <c r="E86" i="27"/>
  <c r="J293" i="29"/>
  <c r="N186" i="29"/>
  <c r="O186" i="29" s="1"/>
  <c r="L194" i="29"/>
  <c r="L188" i="29"/>
  <c r="N191" i="29"/>
  <c r="O191" i="29" s="1"/>
  <c r="L196" i="29"/>
  <c r="L187" i="29"/>
  <c r="H293" i="29"/>
  <c r="K887" i="28" s="1"/>
  <c r="L190" i="29"/>
  <c r="N192" i="29"/>
  <c r="O192" i="29" s="1"/>
  <c r="L195" i="29"/>
  <c r="N189" i="29"/>
  <c r="O189" i="29" s="1"/>
  <c r="O887" i="28"/>
  <c r="E887" i="28"/>
  <c r="H294" i="29"/>
  <c r="K884" i="28" s="1"/>
  <c r="J184" i="29"/>
  <c r="L185" i="29"/>
  <c r="N185" i="29"/>
  <c r="O185" i="29" s="1"/>
  <c r="J294" i="29" l="1"/>
  <c r="N884" i="28" s="1"/>
  <c r="N184" i="29"/>
  <c r="O184" i="29" s="1"/>
  <c r="L184" i="29"/>
  <c r="N887" i="28"/>
  <c r="O296" i="7" l="1"/>
  <c r="F296" i="28" s="1"/>
  <c r="P296" i="7"/>
  <c r="Q296" i="7"/>
  <c r="L296" i="28" s="1"/>
  <c r="R296" i="7"/>
  <c r="O297" i="7"/>
  <c r="F297" i="28" s="1"/>
  <c r="P297" i="7"/>
  <c r="Q297" i="7"/>
  <c r="R297" i="7"/>
  <c r="O298" i="7"/>
  <c r="F298" i="28" s="1"/>
  <c r="P298" i="7"/>
  <c r="Q298" i="7"/>
  <c r="R298" i="7"/>
  <c r="O299" i="7"/>
  <c r="F299" i="28" s="1"/>
  <c r="P299" i="7"/>
  <c r="Q299" i="7"/>
  <c r="R299" i="7"/>
  <c r="O300" i="7"/>
  <c r="F300" i="28" s="1"/>
  <c r="P300" i="7"/>
  <c r="Q300" i="7"/>
  <c r="R300" i="7"/>
  <c r="O301" i="7"/>
  <c r="F301" i="28" s="1"/>
  <c r="P301" i="7"/>
  <c r="Q301" i="7"/>
  <c r="R301" i="7"/>
  <c r="O302" i="7"/>
  <c r="F302" i="28" s="1"/>
  <c r="P302" i="7"/>
  <c r="Q302" i="7"/>
  <c r="R302" i="7"/>
  <c r="O303" i="7"/>
  <c r="F303" i="28" s="1"/>
  <c r="P303" i="7"/>
  <c r="Q303" i="7"/>
  <c r="R303" i="7"/>
  <c r="O304" i="7"/>
  <c r="F304" i="28" s="1"/>
  <c r="P304" i="7"/>
  <c r="Q304" i="7"/>
  <c r="R304" i="7"/>
  <c r="O305" i="7"/>
  <c r="F305" i="28" s="1"/>
  <c r="P305" i="7"/>
  <c r="Q305" i="7"/>
  <c r="R305" i="7"/>
  <c r="O306" i="7"/>
  <c r="F306" i="28" s="1"/>
  <c r="P306" i="7"/>
  <c r="Q306" i="7"/>
  <c r="R306" i="7"/>
  <c r="O307" i="7"/>
  <c r="F307" i="28" s="1"/>
  <c r="P307" i="7"/>
  <c r="Q307" i="7"/>
  <c r="R307" i="7"/>
  <c r="O308" i="7"/>
  <c r="F308" i="28" s="1"/>
  <c r="P308" i="7"/>
  <c r="Q308" i="7"/>
  <c r="R308" i="7"/>
  <c r="O309" i="7"/>
  <c r="F309" i="28" s="1"/>
  <c r="P309" i="7"/>
  <c r="Q309" i="7"/>
  <c r="R309" i="7"/>
  <c r="O310" i="7"/>
  <c r="F310" i="28" s="1"/>
  <c r="P310" i="7"/>
  <c r="Q310" i="7"/>
  <c r="R310" i="7"/>
  <c r="O311" i="7"/>
  <c r="F311" i="28" s="1"/>
  <c r="P311" i="7"/>
  <c r="Q311" i="7"/>
  <c r="R311" i="7"/>
  <c r="O312" i="7"/>
  <c r="F312" i="28" s="1"/>
  <c r="P312" i="7"/>
  <c r="Q312" i="7"/>
  <c r="R312" i="7"/>
  <c r="O313" i="7"/>
  <c r="F313" i="28" s="1"/>
  <c r="P313" i="7"/>
  <c r="Q313" i="7"/>
  <c r="R313" i="7"/>
  <c r="O314" i="7"/>
  <c r="F314" i="28" s="1"/>
  <c r="P314" i="7"/>
  <c r="Q314" i="7"/>
  <c r="R314" i="7"/>
  <c r="O315" i="7"/>
  <c r="F315" i="28" s="1"/>
  <c r="P315" i="7"/>
  <c r="Q315" i="7"/>
  <c r="R315" i="7"/>
  <c r="O316" i="7"/>
  <c r="F316" i="28" s="1"/>
  <c r="P316" i="7"/>
  <c r="Q316" i="7"/>
  <c r="R316" i="7"/>
  <c r="O317" i="7"/>
  <c r="F317" i="28" s="1"/>
  <c r="P317" i="7"/>
  <c r="Q317" i="7"/>
  <c r="R317" i="7"/>
  <c r="O318" i="7"/>
  <c r="F318" i="28" s="1"/>
  <c r="P318" i="7"/>
  <c r="Q318" i="7"/>
  <c r="R318" i="7"/>
  <c r="F321" i="28"/>
  <c r="O319" i="7"/>
  <c r="F323" i="28" s="1"/>
  <c r="P319" i="7"/>
  <c r="Q319" i="7"/>
  <c r="R319" i="7"/>
  <c r="O320" i="7"/>
  <c r="F324" i="28" s="1"/>
  <c r="P320" i="7"/>
  <c r="Q320" i="7"/>
  <c r="R320" i="7"/>
  <c r="O321" i="7"/>
  <c r="F325" i="28" s="1"/>
  <c r="P321" i="7"/>
  <c r="Q321" i="7"/>
  <c r="R321" i="7"/>
  <c r="O322" i="7"/>
  <c r="F326" i="28" s="1"/>
  <c r="P322" i="7"/>
  <c r="Q322" i="7"/>
  <c r="R322" i="7"/>
  <c r="O323" i="7"/>
  <c r="F327" i="28" s="1"/>
  <c r="P323" i="7"/>
  <c r="Q323" i="7"/>
  <c r="R323" i="7"/>
  <c r="O324" i="7"/>
  <c r="F328" i="28" s="1"/>
  <c r="P324" i="7"/>
  <c r="Q324" i="7"/>
  <c r="R324" i="7"/>
  <c r="O325" i="7"/>
  <c r="F329" i="28" s="1"/>
  <c r="P325" i="7"/>
  <c r="Q325" i="7"/>
  <c r="R325" i="7"/>
  <c r="O326" i="7"/>
  <c r="F330" i="28" s="1"/>
  <c r="P326" i="7"/>
  <c r="Q326" i="7"/>
  <c r="R326" i="7"/>
  <c r="O327" i="7"/>
  <c r="P327" i="7"/>
  <c r="Q327" i="7"/>
  <c r="R327" i="7"/>
  <c r="O328" i="7"/>
  <c r="F332" i="28" s="1"/>
  <c r="P328" i="7"/>
  <c r="Q328" i="7"/>
  <c r="R328" i="7"/>
  <c r="O329" i="7"/>
  <c r="F333" i="28" s="1"/>
  <c r="P329" i="7"/>
  <c r="Q329" i="7"/>
  <c r="R329" i="7"/>
  <c r="O330" i="7"/>
  <c r="F334" i="28" s="1"/>
  <c r="P330" i="7"/>
  <c r="Q330" i="7"/>
  <c r="R330" i="7"/>
  <c r="O331" i="7"/>
  <c r="F335" i="28" s="1"/>
  <c r="P331" i="7"/>
  <c r="Q331" i="7"/>
  <c r="R331" i="7"/>
  <c r="O332" i="7"/>
  <c r="F336" i="28" s="1"/>
  <c r="P332" i="7"/>
  <c r="Q332" i="7"/>
  <c r="R332" i="7"/>
  <c r="O333" i="7"/>
  <c r="F337" i="28" s="1"/>
  <c r="P333" i="7"/>
  <c r="Q333" i="7"/>
  <c r="R333" i="7"/>
  <c r="O334" i="7"/>
  <c r="F338" i="28" s="1"/>
  <c r="P334" i="7"/>
  <c r="Q334" i="7"/>
  <c r="R334" i="7"/>
  <c r="O335" i="7"/>
  <c r="P335" i="7"/>
  <c r="Q335" i="7"/>
  <c r="R335" i="7"/>
  <c r="O336" i="7"/>
  <c r="F340" i="28" s="1"/>
  <c r="P336" i="7"/>
  <c r="Q336" i="7"/>
  <c r="R336" i="7"/>
  <c r="O337" i="7"/>
  <c r="F341" i="28" s="1"/>
  <c r="P337" i="7"/>
  <c r="Q337" i="7"/>
  <c r="R337" i="7"/>
  <c r="O338" i="7"/>
  <c r="F342" i="28" s="1"/>
  <c r="P338" i="7"/>
  <c r="Q338" i="7"/>
  <c r="R338" i="7"/>
  <c r="O339" i="7"/>
  <c r="F343" i="28" s="1"/>
  <c r="P339" i="7"/>
  <c r="Q339" i="7"/>
  <c r="R339" i="7"/>
  <c r="O340" i="7"/>
  <c r="F344" i="28" s="1"/>
  <c r="P340" i="7"/>
  <c r="Q340" i="7"/>
  <c r="R340" i="7"/>
  <c r="O341" i="7"/>
  <c r="F346" i="28" s="1"/>
  <c r="P341" i="7"/>
  <c r="Q341" i="7"/>
  <c r="R341" i="7"/>
  <c r="O342" i="7"/>
  <c r="F347" i="28" s="1"/>
  <c r="P342" i="7"/>
  <c r="Q342" i="7"/>
  <c r="R342" i="7"/>
  <c r="O343" i="7"/>
  <c r="F348" i="28" s="1"/>
  <c r="P343" i="7"/>
  <c r="Q343" i="7"/>
  <c r="R343" i="7"/>
  <c r="O344" i="7"/>
  <c r="F349" i="28" s="1"/>
  <c r="P344" i="7"/>
  <c r="Q344" i="7"/>
  <c r="R344" i="7"/>
  <c r="O345" i="7"/>
  <c r="F350" i="28" s="1"/>
  <c r="P345" i="7"/>
  <c r="Q345" i="7"/>
  <c r="R345" i="7"/>
  <c r="O346" i="7"/>
  <c r="F351" i="28" s="1"/>
  <c r="P346" i="7"/>
  <c r="Q346" i="7"/>
  <c r="R346" i="7"/>
  <c r="O347" i="7"/>
  <c r="F352" i="28" s="1"/>
  <c r="P347" i="7"/>
  <c r="Q347" i="7"/>
  <c r="R347" i="7"/>
  <c r="O348" i="7"/>
  <c r="F353" i="28" s="1"/>
  <c r="P348" i="7"/>
  <c r="Q348" i="7"/>
  <c r="R348" i="7"/>
  <c r="O349" i="7"/>
  <c r="F354" i="28" s="1"/>
  <c r="P349" i="7"/>
  <c r="Q349" i="7"/>
  <c r="R349" i="7"/>
  <c r="O350" i="7"/>
  <c r="F355" i="28" s="1"/>
  <c r="P350" i="7"/>
  <c r="Q350" i="7"/>
  <c r="R350" i="7"/>
  <c r="O351" i="7"/>
  <c r="F356" i="28" s="1"/>
  <c r="P351" i="7"/>
  <c r="Q351" i="7"/>
  <c r="R351" i="7"/>
  <c r="O352" i="7"/>
  <c r="F357" i="28" s="1"/>
  <c r="P352" i="7"/>
  <c r="Q352" i="7"/>
  <c r="R352" i="7"/>
  <c r="O353" i="7"/>
  <c r="F358" i="28" s="1"/>
  <c r="P353" i="7"/>
  <c r="Q353" i="7"/>
  <c r="R353" i="7"/>
  <c r="O354" i="7"/>
  <c r="F359" i="28" s="1"/>
  <c r="P354" i="7"/>
  <c r="Q354" i="7"/>
  <c r="R354" i="7"/>
  <c r="O355" i="7"/>
  <c r="F360" i="28" s="1"/>
  <c r="P355" i="7"/>
  <c r="Q355" i="7"/>
  <c r="R355" i="7"/>
  <c r="O356" i="7"/>
  <c r="F361" i="28" s="1"/>
  <c r="P356" i="7"/>
  <c r="Q356" i="7"/>
  <c r="R356" i="7"/>
  <c r="O357" i="7"/>
  <c r="F363" i="28" s="1"/>
  <c r="P357" i="7"/>
  <c r="Q357" i="7"/>
  <c r="R357" i="7"/>
  <c r="O358" i="7"/>
  <c r="F364" i="28" s="1"/>
  <c r="P358" i="7"/>
  <c r="Q358" i="7"/>
  <c r="R358" i="7"/>
  <c r="O359" i="7"/>
  <c r="F365" i="28" s="1"/>
  <c r="P359" i="7"/>
  <c r="Q359" i="7"/>
  <c r="R359" i="7"/>
  <c r="O360" i="7"/>
  <c r="F366" i="28" s="1"/>
  <c r="P360" i="7"/>
  <c r="Q360" i="7"/>
  <c r="R360" i="7"/>
  <c r="O361" i="7"/>
  <c r="F367" i="28" s="1"/>
  <c r="P361" i="7"/>
  <c r="Q361" i="7"/>
  <c r="R361" i="7"/>
  <c r="E362" i="7"/>
  <c r="F362" i="7"/>
  <c r="G362" i="7"/>
  <c r="H362" i="7"/>
  <c r="I362" i="7"/>
  <c r="J362" i="7"/>
  <c r="K362" i="7"/>
  <c r="L362" i="7"/>
  <c r="M362" i="7"/>
  <c r="N362" i="7"/>
  <c r="F292" i="28"/>
  <c r="W292" i="28"/>
  <c r="O292" i="28" s="1"/>
  <c r="F293" i="28"/>
  <c r="W293" i="28"/>
  <c r="O293" i="28" s="1"/>
  <c r="F294" i="28"/>
  <c r="W294" i="28"/>
  <c r="O294" i="28" s="1"/>
  <c r="F295" i="28"/>
  <c r="W295" i="28"/>
  <c r="O295" i="28" s="1"/>
  <c r="W296" i="28"/>
  <c r="O296" i="28" s="1"/>
  <c r="W297" i="28"/>
  <c r="O297" i="28" s="1"/>
  <c r="W298" i="28"/>
  <c r="O298" i="28" s="1"/>
  <c r="W299" i="28"/>
  <c r="O299" i="28" s="1"/>
  <c r="W300" i="28"/>
  <c r="O300" i="28" s="1"/>
  <c r="W301" i="28"/>
  <c r="O301" i="28" s="1"/>
  <c r="W302" i="28"/>
  <c r="O302" i="28" s="1"/>
  <c r="W303" i="28"/>
  <c r="O303" i="28" s="1"/>
  <c r="W304" i="28"/>
  <c r="O304" i="28" s="1"/>
  <c r="W305" i="28"/>
  <c r="O305" i="28" s="1"/>
  <c r="W306" i="28"/>
  <c r="O306" i="28" s="1"/>
  <c r="W307" i="28"/>
  <c r="O307" i="28" s="1"/>
  <c r="W308" i="28"/>
  <c r="O308" i="28" s="1"/>
  <c r="W309" i="28"/>
  <c r="O309" i="28" s="1"/>
  <c r="W310" i="28"/>
  <c r="O310" i="28" s="1"/>
  <c r="W311" i="28"/>
  <c r="O311" i="28" s="1"/>
  <c r="D87" i="61"/>
  <c r="W312" i="28"/>
  <c r="O312" i="28" s="1"/>
  <c r="W313" i="28"/>
  <c r="O313" i="28" s="1"/>
  <c r="W314" i="28"/>
  <c r="O314" i="28" s="1"/>
  <c r="W315" i="28"/>
  <c r="O315" i="28" s="1"/>
  <c r="W317" i="28"/>
  <c r="O317" i="28" s="1"/>
  <c r="W318" i="28"/>
  <c r="O318" i="28" s="1"/>
  <c r="F319" i="28"/>
  <c r="W319" i="28"/>
  <c r="O319" i="28" s="1"/>
  <c r="F320" i="28"/>
  <c r="W320" i="28"/>
  <c r="O320" i="28" s="1"/>
  <c r="W321" i="28"/>
  <c r="O321" i="28" s="1"/>
  <c r="F322" i="28"/>
  <c r="W322" i="28"/>
  <c r="O322" i="28" s="1"/>
  <c r="W323" i="28"/>
  <c r="O323" i="28" s="1"/>
  <c r="W324" i="28"/>
  <c r="O324" i="28" s="1"/>
  <c r="W325" i="28"/>
  <c r="O325" i="28" s="1"/>
  <c r="W326" i="28"/>
  <c r="O326" i="28" s="1"/>
  <c r="W327" i="28"/>
  <c r="O327" i="28" s="1"/>
  <c r="W328" i="28"/>
  <c r="O328" i="28" s="1"/>
  <c r="W329" i="28"/>
  <c r="O329" i="28" s="1"/>
  <c r="W330" i="28"/>
  <c r="O330" i="28" s="1"/>
  <c r="F331" i="28"/>
  <c r="W331" i="28"/>
  <c r="O331" i="28" s="1"/>
  <c r="W332" i="28"/>
  <c r="O332" i="28" s="1"/>
  <c r="W333" i="28"/>
  <c r="O333" i="28" s="1"/>
  <c r="W334" i="28"/>
  <c r="O334" i="28" s="1"/>
  <c r="W335" i="28"/>
  <c r="O335" i="28" s="1"/>
  <c r="W336" i="28"/>
  <c r="O336" i="28" s="1"/>
  <c r="D114" i="61"/>
  <c r="W337" i="28"/>
  <c r="O337" i="28" s="1"/>
  <c r="W338" i="28"/>
  <c r="O338" i="28" s="1"/>
  <c r="F339" i="28"/>
  <c r="W339" i="28"/>
  <c r="O339" i="28" s="1"/>
  <c r="W340" i="28"/>
  <c r="O340" i="28" s="1"/>
  <c r="W342" i="28"/>
  <c r="O342" i="28" s="1"/>
  <c r="W343" i="28"/>
  <c r="O343" i="28" s="1"/>
  <c r="W344" i="28"/>
  <c r="O344" i="28" s="1"/>
  <c r="F345" i="28"/>
  <c r="W345" i="28"/>
  <c r="O345" i="28" s="1"/>
  <c r="W346" i="28"/>
  <c r="O346" i="28" s="1"/>
  <c r="W347" i="28"/>
  <c r="O347" i="28" s="1"/>
  <c r="W348" i="28"/>
  <c r="O348" i="28" s="1"/>
  <c r="W349" i="28"/>
  <c r="O349" i="28" s="1"/>
  <c r="W350" i="28"/>
  <c r="O350" i="28" s="1"/>
  <c r="W351" i="28"/>
  <c r="O351" i="28" s="1"/>
  <c r="W352" i="28"/>
  <c r="O352" i="28" s="1"/>
  <c r="W353" i="28"/>
  <c r="O353" i="28" s="1"/>
  <c r="D131" i="61"/>
  <c r="W354" i="28"/>
  <c r="O354" i="28" s="1"/>
  <c r="W355" i="28"/>
  <c r="O355" i="28" s="1"/>
  <c r="W356" i="28"/>
  <c r="W357" i="28"/>
  <c r="W359" i="28"/>
  <c r="O359" i="28" s="1"/>
  <c r="W360" i="28"/>
  <c r="O360" i="28" s="1"/>
  <c r="W361" i="28"/>
  <c r="O361" i="28" s="1"/>
  <c r="F362" i="28"/>
  <c r="W362" i="28"/>
  <c r="O362" i="28" s="1"/>
  <c r="D140" i="61"/>
  <c r="W363" i="28"/>
  <c r="O363" i="28" s="1"/>
  <c r="C83" i="27" l="1"/>
  <c r="E83" i="27" s="1"/>
  <c r="C189" i="27"/>
  <c r="C134" i="27"/>
  <c r="E134" i="27" s="1"/>
  <c r="C173" i="27"/>
  <c r="E173" i="27" s="1"/>
  <c r="C81" i="27"/>
  <c r="O908" i="28"/>
  <c r="R908" i="28" s="1"/>
  <c r="D138" i="61"/>
  <c r="D137" i="61"/>
  <c r="H909" i="28"/>
  <c r="I909" i="28" s="1"/>
  <c r="P362" i="7"/>
  <c r="O362" i="7"/>
  <c r="H908" i="28"/>
  <c r="I908" i="28" s="1"/>
  <c r="D133" i="61"/>
  <c r="O894" i="28"/>
  <c r="H55" i="73" s="1"/>
  <c r="M55" i="73" s="1"/>
  <c r="D86" i="61"/>
  <c r="K367" i="28"/>
  <c r="K366" i="28"/>
  <c r="K365" i="28"/>
  <c r="K364" i="28"/>
  <c r="K358" i="28"/>
  <c r="K341" i="28"/>
  <c r="K316" i="28"/>
  <c r="R362" i="7"/>
  <c r="C201" i="27"/>
  <c r="E201" i="27" s="1"/>
  <c r="D88" i="61"/>
  <c r="Q362" i="7"/>
  <c r="L367" i="28"/>
  <c r="M367" i="28"/>
  <c r="L366" i="28"/>
  <c r="M366" i="28"/>
  <c r="M365" i="28"/>
  <c r="L365" i="28"/>
  <c r="M364" i="28"/>
  <c r="L364" i="28"/>
  <c r="L363" i="28"/>
  <c r="M363" i="28"/>
  <c r="L361" i="28"/>
  <c r="M361" i="28"/>
  <c r="L360" i="28"/>
  <c r="M360" i="28"/>
  <c r="L359" i="28"/>
  <c r="M359" i="28"/>
  <c r="M358" i="28"/>
  <c r="L358" i="28"/>
  <c r="M357" i="28"/>
  <c r="L357" i="28"/>
  <c r="L356" i="28"/>
  <c r="M356" i="28"/>
  <c r="M355" i="28"/>
  <c r="L355" i="28"/>
  <c r="M354" i="28"/>
  <c r="L354" i="28"/>
  <c r="L353" i="28"/>
  <c r="M353" i="28"/>
  <c r="L352" i="28"/>
  <c r="M352" i="28"/>
  <c r="M351" i="28"/>
  <c r="L351" i="28"/>
  <c r="M350" i="28"/>
  <c r="L350" i="28"/>
  <c r="M349" i="28"/>
  <c r="L349" i="28"/>
  <c r="L348" i="28"/>
  <c r="M348" i="28"/>
  <c r="L347" i="28"/>
  <c r="M347" i="28"/>
  <c r="L346" i="28"/>
  <c r="M346" i="28"/>
  <c r="L344" i="28"/>
  <c r="M344" i="28"/>
  <c r="M343" i="28"/>
  <c r="L343" i="28"/>
  <c r="M342" i="28"/>
  <c r="L342" i="28"/>
  <c r="M341" i="28"/>
  <c r="L341" i="28"/>
  <c r="M340" i="28"/>
  <c r="L340" i="28"/>
  <c r="M339" i="28"/>
  <c r="L339" i="28"/>
  <c r="M338" i="28"/>
  <c r="L338" i="28"/>
  <c r="L337" i="28"/>
  <c r="M337" i="28"/>
  <c r="L336" i="28"/>
  <c r="M336" i="28"/>
  <c r="L335" i="28"/>
  <c r="M335" i="28"/>
  <c r="M334" i="28"/>
  <c r="L334" i="28"/>
  <c r="L333" i="28"/>
  <c r="M333" i="28"/>
  <c r="M332" i="28"/>
  <c r="L332" i="28"/>
  <c r="L331" i="28"/>
  <c r="M331" i="28"/>
  <c r="M330" i="28"/>
  <c r="L330" i="28"/>
  <c r="L329" i="28"/>
  <c r="M329" i="28"/>
  <c r="L328" i="28"/>
  <c r="M328" i="28"/>
  <c r="L327" i="28"/>
  <c r="M327" i="28"/>
  <c r="L326" i="28"/>
  <c r="M326" i="28"/>
  <c r="L325" i="28"/>
  <c r="M325" i="28"/>
  <c r="L324" i="28"/>
  <c r="M324" i="28"/>
  <c r="M323" i="28"/>
  <c r="L323" i="28"/>
  <c r="M322" i="28"/>
  <c r="L322" i="28"/>
  <c r="M321" i="28"/>
  <c r="L321" i="28"/>
  <c r="M319" i="28"/>
  <c r="L319" i="28"/>
  <c r="L318" i="28"/>
  <c r="M318" i="28"/>
  <c r="L317" i="28"/>
  <c r="M317" i="28"/>
  <c r="L316" i="28"/>
  <c r="M316" i="28"/>
  <c r="M315" i="28"/>
  <c r="L315" i="28"/>
  <c r="L314" i="28"/>
  <c r="M314" i="28"/>
  <c r="M313" i="28"/>
  <c r="L313" i="28"/>
  <c r="M312" i="28"/>
  <c r="L312" i="28"/>
  <c r="M311" i="28"/>
  <c r="L311" i="28"/>
  <c r="M310" i="28"/>
  <c r="L310" i="28"/>
  <c r="M309" i="28"/>
  <c r="L309" i="28"/>
  <c r="L308" i="28"/>
  <c r="M308" i="28"/>
  <c r="L307" i="28"/>
  <c r="M307" i="28"/>
  <c r="L302" i="28"/>
  <c r="L306" i="28"/>
  <c r="M305" i="28"/>
  <c r="L305" i="28"/>
  <c r="M304" i="28"/>
  <c r="L304" i="28"/>
  <c r="M303" i="28"/>
  <c r="L303" i="28"/>
  <c r="L301" i="28"/>
  <c r="M301" i="28"/>
  <c r="L300" i="28"/>
  <c r="M300" i="28"/>
  <c r="M299" i="28"/>
  <c r="L299" i="28"/>
  <c r="M298" i="28"/>
  <c r="L298" i="28"/>
  <c r="M297" i="28"/>
  <c r="L297" i="28"/>
  <c r="C169" i="27"/>
  <c r="E169" i="27" s="1"/>
  <c r="D81" i="61"/>
  <c r="D134" i="61"/>
  <c r="C135" i="27"/>
  <c r="C133" i="27"/>
  <c r="E133" i="27" s="1"/>
  <c r="C190" i="27"/>
  <c r="C155" i="27"/>
  <c r="E155" i="27" s="1"/>
  <c r="C160" i="27"/>
  <c r="E160" i="27" s="1"/>
  <c r="D76" i="61"/>
  <c r="D116" i="61"/>
  <c r="D115" i="61"/>
  <c r="D130" i="61"/>
  <c r="C16" i="27"/>
  <c r="C11" i="27"/>
  <c r="E11" i="27" s="1"/>
  <c r="C45" i="27"/>
  <c r="E45" i="27" s="1"/>
  <c r="D113" i="61"/>
  <c r="C187" i="27"/>
  <c r="E187" i="27" s="1"/>
  <c r="D108" i="61"/>
  <c r="D107" i="61"/>
  <c r="C59" i="27"/>
  <c r="D101" i="61"/>
  <c r="C39" i="27"/>
  <c r="E39" i="27" s="1"/>
  <c r="C37" i="27"/>
  <c r="E37" i="27" s="1"/>
  <c r="D93" i="61"/>
  <c r="C203" i="27"/>
  <c r="E203" i="27" s="1"/>
  <c r="D75" i="61"/>
  <c r="D74" i="61"/>
  <c r="C207" i="27"/>
  <c r="E207" i="27" s="1"/>
  <c r="D69" i="61"/>
  <c r="D68" i="61"/>
  <c r="D127" i="61"/>
  <c r="D126" i="61"/>
  <c r="C15" i="27"/>
  <c r="D123" i="61"/>
  <c r="D122" i="61"/>
  <c r="D118" i="61"/>
  <c r="C56" i="27"/>
  <c r="E56" i="27" s="1"/>
  <c r="D119" i="61"/>
  <c r="D117" i="61"/>
  <c r="D112" i="61"/>
  <c r="D111" i="61"/>
  <c r="C52" i="27"/>
  <c r="D106" i="61"/>
  <c r="C58" i="27"/>
  <c r="E58" i="27" s="1"/>
  <c r="C167" i="27"/>
  <c r="D100" i="61"/>
  <c r="C36" i="27"/>
  <c r="E36" i="27" s="1"/>
  <c r="C75" i="27"/>
  <c r="E75" i="27" s="1"/>
  <c r="C204" i="27"/>
  <c r="C91" i="61"/>
  <c r="G91" i="61" s="1"/>
  <c r="C74" i="27"/>
  <c r="D92" i="61"/>
  <c r="D90" i="61"/>
  <c r="C202" i="27"/>
  <c r="D85" i="61"/>
  <c r="C163" i="27"/>
  <c r="C164" i="27"/>
  <c r="E164" i="27" s="1"/>
  <c r="D80" i="61"/>
  <c r="C157" i="27"/>
  <c r="E157" i="27" s="1"/>
  <c r="D73" i="61"/>
  <c r="C127" i="27"/>
  <c r="C206" i="27"/>
  <c r="E206" i="27" s="1"/>
  <c r="C130" i="27"/>
  <c r="E130" i="27" s="1"/>
  <c r="C22" i="27"/>
  <c r="D129" i="61"/>
  <c r="D125" i="61"/>
  <c r="D121" i="61"/>
  <c r="C43" i="27"/>
  <c r="D110" i="61"/>
  <c r="C51" i="27"/>
  <c r="E51" i="27" s="1"/>
  <c r="C50" i="27"/>
  <c r="E50" i="27" s="1"/>
  <c r="D105" i="61"/>
  <c r="C166" i="27"/>
  <c r="D99" i="61"/>
  <c r="D97" i="61"/>
  <c r="C210" i="27"/>
  <c r="D89" i="61"/>
  <c r="C172" i="27"/>
  <c r="E172" i="27" s="1"/>
  <c r="D84" i="61"/>
  <c r="C161" i="27"/>
  <c r="D79" i="61"/>
  <c r="D78" i="61"/>
  <c r="C156" i="27"/>
  <c r="E156" i="27" s="1"/>
  <c r="C120" i="27"/>
  <c r="C128" i="27"/>
  <c r="E128" i="27" s="1"/>
  <c r="D72" i="61"/>
  <c r="C124" i="27"/>
  <c r="E124" i="27" s="1"/>
  <c r="C123" i="27"/>
  <c r="C82" i="27"/>
  <c r="C135" i="61"/>
  <c r="G135" i="61" s="1"/>
  <c r="C78" i="27"/>
  <c r="D139" i="61"/>
  <c r="D135" i="61"/>
  <c r="D136" i="61"/>
  <c r="C23" i="27"/>
  <c r="E23" i="27" s="1"/>
  <c r="D132" i="61"/>
  <c r="D128" i="61"/>
  <c r="C122" i="27"/>
  <c r="E122" i="27" s="1"/>
  <c r="C18" i="27"/>
  <c r="D124" i="61"/>
  <c r="C13" i="27"/>
  <c r="C12" i="27"/>
  <c r="E12" i="27" s="1"/>
  <c r="C54" i="27"/>
  <c r="C118" i="61"/>
  <c r="G118" i="61" s="1"/>
  <c r="D120" i="61"/>
  <c r="C55" i="27"/>
  <c r="C46" i="27"/>
  <c r="E46" i="27" s="1"/>
  <c r="C188" i="27"/>
  <c r="E188" i="27" s="1"/>
  <c r="C42" i="27"/>
  <c r="D109" i="61"/>
  <c r="C60" i="27"/>
  <c r="D104" i="61"/>
  <c r="D103" i="61"/>
  <c r="C40" i="27"/>
  <c r="D96" i="61"/>
  <c r="D95" i="61"/>
  <c r="D91" i="61"/>
  <c r="C211" i="27"/>
  <c r="E211" i="27" s="1"/>
  <c r="C170" i="27"/>
  <c r="D83" i="61"/>
  <c r="D82" i="61"/>
  <c r="C159" i="27"/>
  <c r="D77" i="61"/>
  <c r="C125" i="27"/>
  <c r="E125" i="27" s="1"/>
  <c r="D71" i="61"/>
  <c r="D70" i="61"/>
  <c r="E135" i="27"/>
  <c r="E16" i="27"/>
  <c r="C79" i="27"/>
  <c r="E163" i="27"/>
  <c r="C136" i="27"/>
  <c r="E81" i="27"/>
  <c r="C80" i="27"/>
  <c r="C137" i="61"/>
  <c r="G137" i="61" s="1"/>
  <c r="C133" i="61"/>
  <c r="G133" i="61" s="1"/>
  <c r="C127" i="61"/>
  <c r="G127" i="61" s="1"/>
  <c r="C126" i="61"/>
  <c r="G126" i="61" s="1"/>
  <c r="C123" i="61"/>
  <c r="G123" i="61" s="1"/>
  <c r="C122" i="61"/>
  <c r="G122" i="61" s="1"/>
  <c r="C119" i="61"/>
  <c r="G119" i="61" s="1"/>
  <c r="C117" i="61"/>
  <c r="G117" i="61" s="1"/>
  <c r="C112" i="61"/>
  <c r="G112" i="61" s="1"/>
  <c r="C111" i="61"/>
  <c r="G111" i="61" s="1"/>
  <c r="C106" i="61"/>
  <c r="G106" i="61" s="1"/>
  <c r="C100" i="61"/>
  <c r="G100" i="61" s="1"/>
  <c r="C92" i="61"/>
  <c r="G92" i="61" s="1"/>
  <c r="C90" i="61"/>
  <c r="G90" i="61" s="1"/>
  <c r="C85" i="61"/>
  <c r="G85" i="61" s="1"/>
  <c r="C80" i="61"/>
  <c r="G80" i="61" s="1"/>
  <c r="C73" i="61"/>
  <c r="G73" i="61" s="1"/>
  <c r="C140" i="61"/>
  <c r="G140" i="61" s="1"/>
  <c r="C139" i="61"/>
  <c r="G139" i="61" s="1"/>
  <c r="C132" i="61"/>
  <c r="G132" i="61" s="1"/>
  <c r="C129" i="61"/>
  <c r="G129" i="61" s="1"/>
  <c r="C125" i="61"/>
  <c r="G125" i="61" s="1"/>
  <c r="C121" i="61"/>
  <c r="G121" i="61" s="1"/>
  <c r="C116" i="61"/>
  <c r="G116" i="61" s="1"/>
  <c r="C115" i="61"/>
  <c r="G115" i="61" s="1"/>
  <c r="C110" i="61"/>
  <c r="G110" i="61" s="1"/>
  <c r="C105" i="61"/>
  <c r="G105" i="61" s="1"/>
  <c r="C99" i="61"/>
  <c r="G99" i="61" s="1"/>
  <c r="C97" i="61"/>
  <c r="G97" i="61" s="1"/>
  <c r="D94" i="61"/>
  <c r="C89" i="61"/>
  <c r="G89" i="61" s="1"/>
  <c r="C84" i="61"/>
  <c r="G84" i="61" s="1"/>
  <c r="C79" i="61"/>
  <c r="G79" i="61" s="1"/>
  <c r="C78" i="61"/>
  <c r="G78" i="61" s="1"/>
  <c r="C72" i="61"/>
  <c r="G72" i="61" s="1"/>
  <c r="D67" i="61"/>
  <c r="C134" i="61"/>
  <c r="G134" i="61" s="1"/>
  <c r="C128" i="61"/>
  <c r="G128" i="61" s="1"/>
  <c r="C124" i="61"/>
  <c r="G124" i="61" s="1"/>
  <c r="C120" i="61"/>
  <c r="G120" i="61" s="1"/>
  <c r="C114" i="61"/>
  <c r="G114" i="61" s="1"/>
  <c r="C109" i="61"/>
  <c r="G109" i="61" s="1"/>
  <c r="C104" i="61"/>
  <c r="G104" i="61" s="1"/>
  <c r="C103" i="61"/>
  <c r="G103" i="61" s="1"/>
  <c r="C96" i="61"/>
  <c r="G96" i="61" s="1"/>
  <c r="C95" i="61"/>
  <c r="G95" i="61" s="1"/>
  <c r="C94" i="61"/>
  <c r="G94" i="61" s="1"/>
  <c r="C88" i="61"/>
  <c r="G88" i="61" s="1"/>
  <c r="C83" i="61"/>
  <c r="G83" i="61" s="1"/>
  <c r="C82" i="61"/>
  <c r="G82" i="61" s="1"/>
  <c r="C77" i="61"/>
  <c r="G77" i="61" s="1"/>
  <c r="C71" i="61"/>
  <c r="G71" i="61" s="1"/>
  <c r="C70" i="61"/>
  <c r="G70" i="61" s="1"/>
  <c r="C67" i="61"/>
  <c r="G67" i="61" s="1"/>
  <c r="C136" i="61"/>
  <c r="G136" i="61" s="1"/>
  <c r="C138" i="61"/>
  <c r="G138" i="61" s="1"/>
  <c r="C131" i="61"/>
  <c r="G131" i="61" s="1"/>
  <c r="C130" i="61"/>
  <c r="G130" i="61" s="1"/>
  <c r="C113" i="61"/>
  <c r="G113" i="61" s="1"/>
  <c r="C108" i="61"/>
  <c r="G108" i="61" s="1"/>
  <c r="C107" i="61"/>
  <c r="G107" i="61" s="1"/>
  <c r="C101" i="61"/>
  <c r="G101" i="61" s="1"/>
  <c r="C93" i="61"/>
  <c r="G93" i="61" s="1"/>
  <c r="C87" i="61"/>
  <c r="G87" i="61" s="1"/>
  <c r="C86" i="61"/>
  <c r="G86" i="61" s="1"/>
  <c r="C81" i="61"/>
  <c r="G81" i="61" s="1"/>
  <c r="C76" i="61"/>
  <c r="G76" i="61" s="1"/>
  <c r="C75" i="61"/>
  <c r="G75" i="61" s="1"/>
  <c r="C74" i="61"/>
  <c r="G74" i="61" s="1"/>
  <c r="C69" i="61"/>
  <c r="G69" i="61" s="1"/>
  <c r="C68" i="61"/>
  <c r="G68" i="61" s="1"/>
  <c r="Y357" i="28"/>
  <c r="Y355" i="28"/>
  <c r="Z355" i="28" s="1"/>
  <c r="Y353" i="28"/>
  <c r="Z353" i="28" s="1"/>
  <c r="Y351" i="28"/>
  <c r="Z351" i="28" s="1"/>
  <c r="Y349" i="28"/>
  <c r="Z349" i="28" s="1"/>
  <c r="Y347" i="28"/>
  <c r="Z347" i="28" s="1"/>
  <c r="Y345" i="28"/>
  <c r="Z345" i="28" s="1"/>
  <c r="Y343" i="28"/>
  <c r="Z343" i="28" s="1"/>
  <c r="Y340" i="28"/>
  <c r="Z340" i="28" s="1"/>
  <c r="Y338" i="28"/>
  <c r="Z338" i="28" s="1"/>
  <c r="Y336" i="28"/>
  <c r="Z336" i="28" s="1"/>
  <c r="Y334" i="28"/>
  <c r="Z334" i="28" s="1"/>
  <c r="Y332" i="28"/>
  <c r="Z332" i="28" s="1"/>
  <c r="Y330" i="28"/>
  <c r="Z330" i="28" s="1"/>
  <c r="Y328" i="28"/>
  <c r="Z328" i="28" s="1"/>
  <c r="Y326" i="28"/>
  <c r="Z326" i="28" s="1"/>
  <c r="Y324" i="28"/>
  <c r="Z324" i="28" s="1"/>
  <c r="Y322" i="28"/>
  <c r="Z322" i="28" s="1"/>
  <c r="Y320" i="28"/>
  <c r="Z320" i="28" s="1"/>
  <c r="Y318" i="28"/>
  <c r="Z318" i="28" s="1"/>
  <c r="Y315" i="28"/>
  <c r="Z315" i="28" s="1"/>
  <c r="Y313" i="28"/>
  <c r="Z313" i="28" s="1"/>
  <c r="Y311" i="28"/>
  <c r="Z311" i="28" s="1"/>
  <c r="Y309" i="28"/>
  <c r="Z309" i="28" s="1"/>
  <c r="Y307" i="28"/>
  <c r="Z307" i="28" s="1"/>
  <c r="Y305" i="28"/>
  <c r="Z305" i="28" s="1"/>
  <c r="Y303" i="28"/>
  <c r="Z303" i="28" s="1"/>
  <c r="Y301" i="28"/>
  <c r="Z301" i="28" s="1"/>
  <c r="Y299" i="28"/>
  <c r="Z299" i="28" s="1"/>
  <c r="Y297" i="28"/>
  <c r="Z297" i="28" s="1"/>
  <c r="Y295" i="28"/>
  <c r="Z295" i="28" s="1"/>
  <c r="Y293" i="28"/>
  <c r="Z293" i="28" s="1"/>
  <c r="Y292" i="28"/>
  <c r="Z292" i="28" s="1"/>
  <c r="Y363" i="28"/>
  <c r="Z363" i="28" s="1"/>
  <c r="Y359" i="28"/>
  <c r="Z359" i="28" s="1"/>
  <c r="Y354" i="28"/>
  <c r="Z354" i="28" s="1"/>
  <c r="Y352" i="28"/>
  <c r="Z352" i="28" s="1"/>
  <c r="Y350" i="28"/>
  <c r="Z350" i="28" s="1"/>
  <c r="Y348" i="28"/>
  <c r="Z348" i="28" s="1"/>
  <c r="Y346" i="28"/>
  <c r="Z346" i="28" s="1"/>
  <c r="Y344" i="28"/>
  <c r="Z344" i="28" s="1"/>
  <c r="Y342" i="28"/>
  <c r="Z342" i="28" s="1"/>
  <c r="Y339" i="28"/>
  <c r="Z339" i="28" s="1"/>
  <c r="Y337" i="28"/>
  <c r="Z337" i="28" s="1"/>
  <c r="Y335" i="28"/>
  <c r="Z335" i="28" s="1"/>
  <c r="Y333" i="28"/>
  <c r="Z333" i="28" s="1"/>
  <c r="Y331" i="28"/>
  <c r="Z331" i="28" s="1"/>
  <c r="Y329" i="28"/>
  <c r="Z329" i="28" s="1"/>
  <c r="Y327" i="28"/>
  <c r="Z327" i="28" s="1"/>
  <c r="Y325" i="28"/>
  <c r="Z325" i="28" s="1"/>
  <c r="Y323" i="28"/>
  <c r="Z323" i="28" s="1"/>
  <c r="Y321" i="28"/>
  <c r="Z321" i="28" s="1"/>
  <c r="Y319" i="28"/>
  <c r="Z319" i="28" s="1"/>
  <c r="Y317" i="28"/>
  <c r="Z317" i="28" s="1"/>
  <c r="Y314" i="28"/>
  <c r="Z314" i="28" s="1"/>
  <c r="Y312" i="28"/>
  <c r="Z312" i="28" s="1"/>
  <c r="Y310" i="28"/>
  <c r="Z310" i="28" s="1"/>
  <c r="Y308" i="28"/>
  <c r="Z308" i="28" s="1"/>
  <c r="Y306" i="28"/>
  <c r="Z306" i="28" s="1"/>
  <c r="Y304" i="28"/>
  <c r="Z304" i="28" s="1"/>
  <c r="Y302" i="28"/>
  <c r="Z302" i="28" s="1"/>
  <c r="Y300" i="28"/>
  <c r="Z300" i="28" s="1"/>
  <c r="Y298" i="28"/>
  <c r="Z298" i="28" s="1"/>
  <c r="Y296" i="28"/>
  <c r="Z296" i="28" s="1"/>
  <c r="Y294" i="28"/>
  <c r="Z294" i="28" s="1"/>
  <c r="K317" i="28"/>
  <c r="K312" i="28"/>
  <c r="K304" i="28"/>
  <c r="F883" i="28"/>
  <c r="F885" i="28" s="1"/>
  <c r="E883" i="28"/>
  <c r="E885" i="28" s="1"/>
  <c r="G883" i="28"/>
  <c r="G885" i="28" s="1"/>
  <c r="K300" i="28"/>
  <c r="K296" i="28"/>
  <c r="K355" i="28"/>
  <c r="K351" i="28"/>
  <c r="K320" i="28"/>
  <c r="N320" i="28" s="1"/>
  <c r="K299" i="28"/>
  <c r="K295" i="28"/>
  <c r="N295" i="28" s="1"/>
  <c r="K292" i="28"/>
  <c r="N292" i="28" s="1"/>
  <c r="K319" i="28"/>
  <c r="W883" i="28"/>
  <c r="K356" i="28"/>
  <c r="K352" i="28"/>
  <c r="K344" i="28"/>
  <c r="K339" i="28"/>
  <c r="K338" i="28"/>
  <c r="K334" i="28"/>
  <c r="K330" i="28"/>
  <c r="K326" i="28"/>
  <c r="G886" i="28"/>
  <c r="G888" i="28" s="1"/>
  <c r="K357" i="28"/>
  <c r="K353" i="28"/>
  <c r="K359" i="28"/>
  <c r="K354" i="28"/>
  <c r="K350" i="28"/>
  <c r="K323" i="28"/>
  <c r="K318" i="28"/>
  <c r="K313" i="28"/>
  <c r="K349" i="28"/>
  <c r="K337" i="28"/>
  <c r="K333" i="28"/>
  <c r="K324" i="28"/>
  <c r="K310" i="28"/>
  <c r="K340" i="28"/>
  <c r="K348" i="28"/>
  <c r="K347" i="28"/>
  <c r="K342" i="28"/>
  <c r="K362" i="28"/>
  <c r="N362" i="28" s="1"/>
  <c r="E886" i="28"/>
  <c r="E888" i="28" s="1"/>
  <c r="Y361" i="28"/>
  <c r="Z361" i="28" s="1"/>
  <c r="K361" i="28"/>
  <c r="K346" i="28"/>
  <c r="K336" i="28"/>
  <c r="K332" i="28"/>
  <c r="N332" i="28" s="1"/>
  <c r="K328" i="28"/>
  <c r="K315" i="28"/>
  <c r="K311" i="28"/>
  <c r="K306" i="28"/>
  <c r="K302" i="28"/>
  <c r="K298" i="28"/>
  <c r="K294" i="28"/>
  <c r="N294" i="28" s="1"/>
  <c r="K329" i="28"/>
  <c r="K325" i="28"/>
  <c r="K308" i="28"/>
  <c r="K307" i="28"/>
  <c r="K303" i="28"/>
  <c r="K309" i="28"/>
  <c r="K363" i="28"/>
  <c r="K345" i="28"/>
  <c r="N345" i="28" s="1"/>
  <c r="K343" i="28"/>
  <c r="K335" i="28"/>
  <c r="K331" i="28"/>
  <c r="K327" i="28"/>
  <c r="K314" i="28"/>
  <c r="K305" i="28"/>
  <c r="K301" i="28"/>
  <c r="K297" i="28"/>
  <c r="K293" i="28"/>
  <c r="N293" i="28" s="1"/>
  <c r="K360" i="28"/>
  <c r="F886" i="28"/>
  <c r="K322" i="28"/>
  <c r="K321" i="28"/>
  <c r="Y362" i="28"/>
  <c r="Z362" i="28" s="1"/>
  <c r="O357" i="28"/>
  <c r="O886" i="28" s="1"/>
  <c r="O888" i="28" s="1"/>
  <c r="H53" i="73" s="1"/>
  <c r="W886" i="28"/>
  <c r="Y360" i="28"/>
  <c r="Z360" i="28" s="1"/>
  <c r="O356" i="28"/>
  <c r="O883" i="28" s="1"/>
  <c r="W888" i="28"/>
  <c r="W890" i="28" s="1"/>
  <c r="Y356" i="28"/>
  <c r="M53" i="73" l="1"/>
  <c r="N360" i="28"/>
  <c r="P360" i="28" s="1"/>
  <c r="N335" i="28"/>
  <c r="U335" i="28" s="1"/>
  <c r="V335" i="28" s="1"/>
  <c r="X335" i="28" s="1"/>
  <c r="N342" i="28"/>
  <c r="P342" i="28" s="1"/>
  <c r="N349" i="28"/>
  <c r="P349" i="28" s="1"/>
  <c r="N350" i="28"/>
  <c r="N357" i="28"/>
  <c r="U357" i="28" s="1"/>
  <c r="V357" i="28" s="1"/>
  <c r="X357" i="28" s="1"/>
  <c r="N334" i="28"/>
  <c r="P334" i="28" s="1"/>
  <c r="N352" i="28"/>
  <c r="N351" i="28"/>
  <c r="N327" i="28"/>
  <c r="U327" i="28" s="1"/>
  <c r="V327" i="28" s="1"/>
  <c r="X327" i="28" s="1"/>
  <c r="N348" i="28"/>
  <c r="P348" i="28" s="1"/>
  <c r="N333" i="28"/>
  <c r="N331" i="28"/>
  <c r="N363" i="28"/>
  <c r="P363" i="28" s="1"/>
  <c r="N346" i="28"/>
  <c r="U346" i="28" s="1"/>
  <c r="V346" i="28" s="1"/>
  <c r="X346" i="28" s="1"/>
  <c r="N323" i="28"/>
  <c r="P323" i="28" s="1"/>
  <c r="L886" i="28"/>
  <c r="E93" i="27" s="1"/>
  <c r="N336" i="28"/>
  <c r="P336" i="28" s="1"/>
  <c r="N347" i="28"/>
  <c r="P347" i="28" s="1"/>
  <c r="N324" i="28"/>
  <c r="P324" i="28" s="1"/>
  <c r="N338" i="28"/>
  <c r="P338" i="28" s="1"/>
  <c r="N355" i="28"/>
  <c r="P355" i="28" s="1"/>
  <c r="N326" i="28"/>
  <c r="P326" i="28" s="1"/>
  <c r="N328" i="28"/>
  <c r="U328" i="28" s="1"/>
  <c r="V328" i="28" s="1"/>
  <c r="X328" i="28" s="1"/>
  <c r="N340" i="28"/>
  <c r="U340" i="28" s="1"/>
  <c r="V340" i="28" s="1"/>
  <c r="X340" i="28" s="1"/>
  <c r="N353" i="28"/>
  <c r="U353" i="28" s="1"/>
  <c r="V353" i="28" s="1"/>
  <c r="X353" i="28" s="1"/>
  <c r="N344" i="28"/>
  <c r="P344" i="28" s="1"/>
  <c r="N317" i="28"/>
  <c r="P317" i="28" s="1"/>
  <c r="N307" i="28"/>
  <c r="U307" i="28" s="1"/>
  <c r="V307" i="28" s="1"/>
  <c r="X307" i="28" s="1"/>
  <c r="N321" i="28"/>
  <c r="U321" i="28" s="1"/>
  <c r="V321" i="28" s="1"/>
  <c r="X321" i="28" s="1"/>
  <c r="N359" i="28"/>
  <c r="U359" i="28" s="1"/>
  <c r="V359" i="28" s="1"/>
  <c r="X359" i="28" s="1"/>
  <c r="N339" i="28"/>
  <c r="P339" i="28" s="1"/>
  <c r="N296" i="28"/>
  <c r="P296" i="28" s="1"/>
  <c r="N361" i="28"/>
  <c r="P361" i="28" s="1"/>
  <c r="N330" i="28"/>
  <c r="U330" i="28" s="1"/>
  <c r="V330" i="28" s="1"/>
  <c r="X330" i="28" s="1"/>
  <c r="N343" i="28"/>
  <c r="U343" i="28" s="1"/>
  <c r="V343" i="28" s="1"/>
  <c r="X343" i="28" s="1"/>
  <c r="N329" i="28"/>
  <c r="P329" i="28" s="1"/>
  <c r="N306" i="28"/>
  <c r="U306" i="28" s="1"/>
  <c r="V306" i="28" s="1"/>
  <c r="X306" i="28" s="1"/>
  <c r="N310" i="28"/>
  <c r="P310" i="28" s="1"/>
  <c r="N311" i="28"/>
  <c r="U311" i="28" s="1"/>
  <c r="V311" i="28" s="1"/>
  <c r="X311" i="28" s="1"/>
  <c r="N354" i="28"/>
  <c r="U354" i="28" s="1"/>
  <c r="V354" i="28" s="1"/>
  <c r="X354" i="28" s="1"/>
  <c r="N356" i="28"/>
  <c r="U356" i="28" s="1"/>
  <c r="V356" i="28" s="1"/>
  <c r="X356" i="28" s="1"/>
  <c r="E18" i="27"/>
  <c r="N319" i="28"/>
  <c r="P319" i="28" s="1"/>
  <c r="N322" i="28"/>
  <c r="P322" i="28" s="1"/>
  <c r="E189" i="27"/>
  <c r="E190" i="27"/>
  <c r="E82" i="27"/>
  <c r="E202" i="27"/>
  <c r="E166" i="27"/>
  <c r="E52" i="27"/>
  <c r="N315" i="28"/>
  <c r="P315" i="28" s="1"/>
  <c r="N313" i="28"/>
  <c r="U313" i="28" s="1"/>
  <c r="V313" i="28" s="1"/>
  <c r="X313" i="28" s="1"/>
  <c r="O909" i="28"/>
  <c r="R909" i="28" s="1"/>
  <c r="N337" i="28"/>
  <c r="U337" i="28" s="1"/>
  <c r="V337" i="28" s="1"/>
  <c r="X337" i="28" s="1"/>
  <c r="N312" i="28"/>
  <c r="P312" i="28" s="1"/>
  <c r="E120" i="27"/>
  <c r="E15" i="27"/>
  <c r="E13" i="27"/>
  <c r="E170" i="27"/>
  <c r="N303" i="28"/>
  <c r="U303" i="28" s="1"/>
  <c r="V303" i="28" s="1"/>
  <c r="X303" i="28" s="1"/>
  <c r="N314" i="28"/>
  <c r="U314" i="28" s="1"/>
  <c r="V314" i="28" s="1"/>
  <c r="X314" i="28" s="1"/>
  <c r="N309" i="28"/>
  <c r="U309" i="28" s="1"/>
  <c r="V309" i="28" s="1"/>
  <c r="X309" i="28" s="1"/>
  <c r="N325" i="28"/>
  <c r="U325" i="28" s="1"/>
  <c r="V325" i="28" s="1"/>
  <c r="X325" i="28" s="1"/>
  <c r="N302" i="28"/>
  <c r="U302" i="28" s="1"/>
  <c r="V302" i="28" s="1"/>
  <c r="X302" i="28" s="1"/>
  <c r="N318" i="28"/>
  <c r="U318" i="28" s="1"/>
  <c r="V318" i="28" s="1"/>
  <c r="X318" i="28" s="1"/>
  <c r="E161" i="27"/>
  <c r="E43" i="27"/>
  <c r="E74" i="27"/>
  <c r="E60" i="27"/>
  <c r="N305" i="28"/>
  <c r="P305" i="28" s="1"/>
  <c r="N308" i="28"/>
  <c r="U308" i="28" s="1"/>
  <c r="V308" i="28" s="1"/>
  <c r="X308" i="28" s="1"/>
  <c r="N300" i="28"/>
  <c r="P300" i="28" s="1"/>
  <c r="L883" i="28"/>
  <c r="L885" i="28" s="1"/>
  <c r="E213" i="27" s="1"/>
  <c r="N297" i="28"/>
  <c r="P297" i="28" s="1"/>
  <c r="N299" i="28"/>
  <c r="P299" i="28" s="1"/>
  <c r="N304" i="28"/>
  <c r="U304" i="28" s="1"/>
  <c r="V304" i="28" s="1"/>
  <c r="X304" i="28" s="1"/>
  <c r="N301" i="28"/>
  <c r="U301" i="28" s="1"/>
  <c r="V301" i="28" s="1"/>
  <c r="X301" i="28" s="1"/>
  <c r="N298" i="28"/>
  <c r="U298" i="28" s="1"/>
  <c r="V298" i="28" s="1"/>
  <c r="X298" i="28" s="1"/>
  <c r="E210" i="27"/>
  <c r="E127" i="27"/>
  <c r="E123" i="27"/>
  <c r="E22" i="27"/>
  <c r="E167" i="27"/>
  <c r="N365" i="28"/>
  <c r="U365" i="28" s="1"/>
  <c r="V365" i="28" s="1"/>
  <c r="X365" i="28" s="1"/>
  <c r="N367" i="28"/>
  <c r="N908" i="28"/>
  <c r="S908" i="28" s="1"/>
  <c r="E40" i="27"/>
  <c r="E59" i="27"/>
  <c r="E159" i="27"/>
  <c r="E55" i="27"/>
  <c r="N316" i="28"/>
  <c r="N341" i="28"/>
  <c r="N358" i="28"/>
  <c r="N364" i="28"/>
  <c r="N366" i="28"/>
  <c r="E42" i="27"/>
  <c r="E54" i="27"/>
  <c r="E78" i="27"/>
  <c r="E204" i="27"/>
  <c r="E80" i="27"/>
  <c r="E136" i="27"/>
  <c r="E79" i="27"/>
  <c r="C95" i="27"/>
  <c r="C215" i="27"/>
  <c r="G890" i="28"/>
  <c r="U331" i="28"/>
  <c r="V331" i="28" s="1"/>
  <c r="X331" i="28" s="1"/>
  <c r="G142" i="61"/>
  <c r="P307" i="28"/>
  <c r="E890" i="28"/>
  <c r="E891" i="28"/>
  <c r="P294" i="28"/>
  <c r="P295" i="28"/>
  <c r="P331" i="28"/>
  <c r="U295" i="28"/>
  <c r="V295" i="28" s="1"/>
  <c r="X295" i="28" s="1"/>
  <c r="U294" i="28"/>
  <c r="V294" i="28" s="1"/>
  <c r="X294" i="28" s="1"/>
  <c r="P332" i="28"/>
  <c r="U332" i="28"/>
  <c r="V332" i="28" s="1"/>
  <c r="X332" i="28" s="1"/>
  <c r="U345" i="28"/>
  <c r="V345" i="28" s="1"/>
  <c r="X345" i="28" s="1"/>
  <c r="P293" i="28"/>
  <c r="P350" i="28"/>
  <c r="P352" i="28"/>
  <c r="U355" i="28"/>
  <c r="V355" i="28" s="1"/>
  <c r="X355" i="28" s="1"/>
  <c r="U351" i="28"/>
  <c r="V351" i="28" s="1"/>
  <c r="X351" i="28" s="1"/>
  <c r="U312" i="28"/>
  <c r="V312" i="28" s="1"/>
  <c r="X312" i="28" s="1"/>
  <c r="P351" i="28"/>
  <c r="U333" i="28"/>
  <c r="V333" i="28" s="1"/>
  <c r="X333" i="28" s="1"/>
  <c r="P333" i="28"/>
  <c r="U293" i="28"/>
  <c r="V293" i="28" s="1"/>
  <c r="X293" i="28" s="1"/>
  <c r="U323" i="28"/>
  <c r="V323" i="28" s="1"/>
  <c r="X323" i="28" s="1"/>
  <c r="P327" i="28"/>
  <c r="P345" i="28"/>
  <c r="U352" i="28"/>
  <c r="V352" i="28" s="1"/>
  <c r="X352" i="28" s="1"/>
  <c r="U362" i="28"/>
  <c r="V362" i="28" s="1"/>
  <c r="X362" i="28" s="1"/>
  <c r="P306" i="28"/>
  <c r="P325" i="28"/>
  <c r="U360" i="28"/>
  <c r="V360" i="28" s="1"/>
  <c r="X360" i="28" s="1"/>
  <c r="P362" i="28"/>
  <c r="K886" i="28"/>
  <c r="K888" i="28" s="1"/>
  <c r="U350" i="28"/>
  <c r="V350" i="28" s="1"/>
  <c r="X350" i="28" s="1"/>
  <c r="K883" i="28"/>
  <c r="K885" i="28" s="1"/>
  <c r="F888" i="28"/>
  <c r="F890" i="28" s="1"/>
  <c r="F891" i="28"/>
  <c r="U292" i="28"/>
  <c r="P292" i="28"/>
  <c r="Z357" i="28"/>
  <c r="O885" i="28"/>
  <c r="H54" i="73" s="1"/>
  <c r="M54" i="73" s="1"/>
  <c r="U320" i="28"/>
  <c r="V320" i="28" s="1"/>
  <c r="X320" i="28" s="1"/>
  <c r="P320" i="28"/>
  <c r="Z356" i="28"/>
  <c r="U338" i="28" l="1"/>
  <c r="V338" i="28" s="1"/>
  <c r="X338" i="28" s="1"/>
  <c r="U348" i="28"/>
  <c r="V348" i="28" s="1"/>
  <c r="X348" i="28" s="1"/>
  <c r="P346" i="28"/>
  <c r="U334" i="28"/>
  <c r="V334" i="28" s="1"/>
  <c r="X334" i="28" s="1"/>
  <c r="P303" i="28"/>
  <c r="P354" i="28"/>
  <c r="P356" i="28"/>
  <c r="P353" i="28"/>
  <c r="U361" i="28"/>
  <c r="V361" i="28" s="1"/>
  <c r="X361" i="28" s="1"/>
  <c r="P321" i="28"/>
  <c r="U336" i="28"/>
  <c r="V336" i="28" s="1"/>
  <c r="X336" i="28" s="1"/>
  <c r="D35" i="60"/>
  <c r="F35" i="60" s="1"/>
  <c r="U342" i="28"/>
  <c r="V342" i="28" s="1"/>
  <c r="X342" i="28" s="1"/>
  <c r="U347" i="28"/>
  <c r="V347" i="28" s="1"/>
  <c r="X347" i="28" s="1"/>
  <c r="U326" i="28"/>
  <c r="V326" i="28" s="1"/>
  <c r="X326" i="28" s="1"/>
  <c r="H56" i="73"/>
  <c r="P301" i="28"/>
  <c r="U344" i="28"/>
  <c r="V344" i="28" s="1"/>
  <c r="X344" i="28" s="1"/>
  <c r="P309" i="28"/>
  <c r="P330" i="28"/>
  <c r="P359" i="28"/>
  <c r="U349" i="28"/>
  <c r="V349" i="28" s="1"/>
  <c r="X349" i="28" s="1"/>
  <c r="U299" i="28"/>
  <c r="V299" i="28" s="1"/>
  <c r="X299" i="28" s="1"/>
  <c r="P335" i="28"/>
  <c r="U363" i="28"/>
  <c r="V363" i="28" s="1"/>
  <c r="X363" i="28" s="1"/>
  <c r="P340" i="28"/>
  <c r="P313" i="28"/>
  <c r="P308" i="28"/>
  <c r="U329" i="28"/>
  <c r="V329" i="28" s="1"/>
  <c r="X329" i="28" s="1"/>
  <c r="U296" i="28"/>
  <c r="V296" i="28" s="1"/>
  <c r="X296" i="28" s="1"/>
  <c r="U322" i="28"/>
  <c r="V322" i="28" s="1"/>
  <c r="X322" i="28" s="1"/>
  <c r="P357" i="28"/>
  <c r="U310" i="28"/>
  <c r="V310" i="28" s="1"/>
  <c r="X310" i="28" s="1"/>
  <c r="P302" i="28"/>
  <c r="L888" i="28"/>
  <c r="L890" i="28" s="1"/>
  <c r="P328" i="28"/>
  <c r="U297" i="28"/>
  <c r="V297" i="28" s="1"/>
  <c r="X297" i="28" s="1"/>
  <c r="U324" i="28"/>
  <c r="V324" i="28" s="1"/>
  <c r="X324" i="28" s="1"/>
  <c r="U315" i="28"/>
  <c r="V315" i="28" s="1"/>
  <c r="X315" i="28" s="1"/>
  <c r="U305" i="28"/>
  <c r="V305" i="28" s="1"/>
  <c r="X305" i="28" s="1"/>
  <c r="N886" i="28"/>
  <c r="N888" i="28" s="1"/>
  <c r="I53" i="73" s="1"/>
  <c r="P311" i="28"/>
  <c r="P304" i="28"/>
  <c r="N883" i="28"/>
  <c r="N885" i="28" s="1"/>
  <c r="I54" i="73" s="1"/>
  <c r="P314" i="28"/>
  <c r="U300" i="28"/>
  <c r="V300" i="28" s="1"/>
  <c r="X300" i="28" s="1"/>
  <c r="P343" i="28"/>
  <c r="U319" i="28"/>
  <c r="V319" i="28" s="1"/>
  <c r="X319" i="28" s="1"/>
  <c r="U339" i="28"/>
  <c r="V339" i="28" s="1"/>
  <c r="X339" i="28" s="1"/>
  <c r="U317" i="28"/>
  <c r="V317" i="28" s="1"/>
  <c r="X317" i="28" s="1"/>
  <c r="P298" i="28"/>
  <c r="P318" i="28"/>
  <c r="P367" i="28"/>
  <c r="P337" i="28"/>
  <c r="U367" i="28"/>
  <c r="V367" i="28" s="1"/>
  <c r="X367" i="28" s="1"/>
  <c r="O890" i="28"/>
  <c r="P365" i="28"/>
  <c r="N909" i="28"/>
  <c r="R918" i="28" s="1"/>
  <c r="P341" i="28"/>
  <c r="U341" i="28"/>
  <c r="V341" i="28" s="1"/>
  <c r="X341" i="28" s="1"/>
  <c r="E95" i="27"/>
  <c r="U316" i="28"/>
  <c r="V316" i="28" s="1"/>
  <c r="X316" i="28" s="1"/>
  <c r="P316" i="28"/>
  <c r="P364" i="28"/>
  <c r="U364" i="28"/>
  <c r="V364" i="28" s="1"/>
  <c r="X364" i="28" s="1"/>
  <c r="P366" i="28"/>
  <c r="U366" i="28"/>
  <c r="V366" i="28" s="1"/>
  <c r="X366" i="28" s="1"/>
  <c r="P358" i="28"/>
  <c r="U358" i="28"/>
  <c r="V358" i="28" s="1"/>
  <c r="X358" i="28" s="1"/>
  <c r="K890" i="28"/>
  <c r="V292" i="28"/>
  <c r="I56" i="73" l="1"/>
  <c r="N890" i="28"/>
  <c r="E215" i="27"/>
  <c r="S909" i="28"/>
  <c r="V886" i="28"/>
  <c r="U888" i="28"/>
  <c r="U890" i="28" s="1"/>
  <c r="U886" i="28"/>
  <c r="U883" i="28"/>
  <c r="V888" i="28"/>
  <c r="V890" i="28" s="1"/>
  <c r="AM463" i="4"/>
  <c r="X292" i="28"/>
  <c r="X883" i="28" s="1"/>
  <c r="V883" i="28"/>
  <c r="J56" i="73" l="1"/>
  <c r="E216" i="27" s="1"/>
  <c r="E218" i="27" s="1"/>
  <c r="E97" i="27"/>
  <c r="E99" i="27" s="1"/>
  <c r="H377" i="19"/>
  <c r="X886" i="28"/>
  <c r="E106" i="27" l="1"/>
  <c r="H406" i="19"/>
  <c r="H414" i="19" l="1"/>
  <c r="A10" i="3"/>
  <c r="A11" i="3" l="1"/>
  <c r="B10" i="3"/>
  <c r="B11" i="3" l="1"/>
  <c r="A12" i="3"/>
  <c r="B12" i="3" l="1"/>
  <c r="A13" i="3"/>
  <c r="B13" i="3" l="1"/>
  <c r="A14" i="3"/>
  <c r="B14" i="3" l="1"/>
  <c r="A15" i="3"/>
  <c r="B15" i="3" l="1"/>
  <c r="A16" i="3"/>
  <c r="B16" i="3" l="1"/>
  <c r="A18" i="3"/>
  <c r="B18" i="3" l="1"/>
  <c r="AR491" i="4" l="1"/>
  <c r="AQ491" i="4" l="1"/>
  <c r="E224" i="27" l="1"/>
  <c r="G35" i="60" s="1"/>
  <c r="H35" i="60" l="1"/>
  <c r="C20" i="79"/>
  <c r="AS317" i="4"/>
  <c r="AS462" i="4" s="1"/>
  <c r="AT317" i="4"/>
  <c r="AT462" i="4" s="1"/>
  <c r="AM317" i="4" l="1"/>
  <c r="C22" i="73"/>
  <c r="AM462" i="4"/>
  <c r="H22" i="73"/>
  <c r="AU317" i="4"/>
  <c r="AU462" i="4" s="1"/>
  <c r="G22" i="73"/>
  <c r="C23" i="73" l="1"/>
  <c r="G17" i="60"/>
  <c r="AN317" i="4"/>
  <c r="AM491" i="4"/>
  <c r="H127" i="19"/>
  <c r="AV317" i="4"/>
  <c r="AV462" i="4" s="1"/>
  <c r="G23" i="73"/>
  <c r="L22" i="73"/>
  <c r="M22" i="73" s="1"/>
  <c r="J22" i="73"/>
  <c r="H23" i="73"/>
  <c r="AM464" i="4"/>
  <c r="H17" i="60" l="1"/>
  <c r="C11" i="79"/>
  <c r="C21" i="79" s="1"/>
  <c r="J23" i="73"/>
  <c r="H128" i="19"/>
  <c r="C27" i="79" l="1"/>
  <c r="H130" i="19"/>
  <c r="H138" i="19" s="1"/>
  <c r="H385" i="19" l="1"/>
</calcChain>
</file>

<file path=xl/sharedStrings.xml><?xml version="1.0" encoding="utf-8"?>
<sst xmlns="http://schemas.openxmlformats.org/spreadsheetml/2006/main" count="17761" uniqueCount="1357">
  <si>
    <t>Revenue Period</t>
  </si>
  <si>
    <t xml:space="preserve"> # Billed  Contracts</t>
  </si>
  <si>
    <t xml:space="preserve"> Total  KWH</t>
  </si>
  <si>
    <t>Company Code Group</t>
  </si>
  <si>
    <t>Rate Category</t>
  </si>
  <si>
    <t>KWH</t>
  </si>
  <si>
    <t>$</t>
  </si>
  <si>
    <t>Result</t>
  </si>
  <si>
    <t>Date Block</t>
  </si>
  <si>
    <t>Tariff</t>
  </si>
  <si>
    <t>Lookup Code</t>
  </si>
  <si>
    <t>Energy Rate-ECR Only</t>
  </si>
  <si>
    <t>Energy Rate-FAC Only</t>
  </si>
  <si>
    <t>RS</t>
  </si>
  <si>
    <t>GS3</t>
  </si>
  <si>
    <t>RTS</t>
  </si>
  <si>
    <t>IST</t>
  </si>
  <si>
    <t>LE</t>
  </si>
  <si>
    <t>TE</t>
  </si>
  <si>
    <t>Peak</t>
  </si>
  <si>
    <t>PSS</t>
  </si>
  <si>
    <t>PSP</t>
  </si>
  <si>
    <t>FLSP</t>
  </si>
  <si>
    <t>FLST</t>
  </si>
  <si>
    <t>Customer Charge/Per Light Unit Charge</t>
  </si>
  <si>
    <t>End</t>
  </si>
  <si>
    <t>E</t>
  </si>
  <si>
    <t>G</t>
  </si>
  <si>
    <t>H</t>
  </si>
  <si>
    <t>Date Ranges for Rate Changes and Block Definitions</t>
  </si>
  <si>
    <t>Beginning</t>
  </si>
  <si>
    <t>Ending</t>
  </si>
  <si>
    <t>PK</t>
  </si>
  <si>
    <t xml:space="preserve"> RateClass </t>
  </si>
  <si>
    <t xml:space="preserve"> Energy </t>
  </si>
  <si>
    <t xml:space="preserve"> CustChrg </t>
  </si>
  <si>
    <t xml:space="preserve"> Basic Demand </t>
  </si>
  <si>
    <t xml:space="preserve"> Winter Peak or Intermediate Demand </t>
  </si>
  <si>
    <t xml:space="preserve"> Summer Peak or Peak Period Demand </t>
  </si>
  <si>
    <t xml:space="preserve"> CustRevenue </t>
  </si>
  <si>
    <t xml:space="preserve"> Basic Demand Rev </t>
  </si>
  <si>
    <t xml:space="preserve"> Intermediate Demand Revenue </t>
  </si>
  <si>
    <t xml:space="preserve"> Peak Demand Revenue </t>
  </si>
  <si>
    <t xml:space="preserve"> Total Calculated Demand Revenue </t>
  </si>
  <si>
    <t xml:space="preserve"> Calculated Base Revenue (including power factor adjustment) </t>
  </si>
  <si>
    <t xml:space="preserve"> Actual Base Revenue </t>
  </si>
  <si>
    <t xml:space="preserve"> Correction Factor </t>
  </si>
  <si>
    <t xml:space="preserve"> FACRev </t>
  </si>
  <si>
    <t xml:space="preserve"> DSMRev </t>
  </si>
  <si>
    <t xml:space="preserve"> ECRRev </t>
  </si>
  <si>
    <t xml:space="preserve"> MSCRev </t>
  </si>
  <si>
    <t xml:space="preserve"> Curtailable Serv Rider </t>
  </si>
  <si>
    <t>RateCategory</t>
  </si>
  <si>
    <t xml:space="preserve"> ContractCnt </t>
  </si>
  <si>
    <t>Retail Transmission Service</t>
  </si>
  <si>
    <t>Traffic Energy Service</t>
  </si>
  <si>
    <t>Total</t>
  </si>
  <si>
    <t>FAC</t>
  </si>
  <si>
    <t>ECR</t>
  </si>
  <si>
    <t>General Service Three Phase</t>
  </si>
  <si>
    <t># Lights at start of Period</t>
  </si>
  <si>
    <t>Group Company Code</t>
  </si>
  <si>
    <t>Revenue Month</t>
  </si>
  <si>
    <t>CSR</t>
  </si>
  <si>
    <t xml:space="preserve"> Power Factor Demand Revenue Adjustment</t>
  </si>
  <si>
    <t>Test Year Date Range:</t>
  </si>
  <si>
    <t>Begin</t>
  </si>
  <si>
    <t>Secondary</t>
  </si>
  <si>
    <t>Retail Transmisison Service</t>
  </si>
  <si>
    <t>Traffic Energy</t>
  </si>
  <si>
    <t>Lighting Service</t>
  </si>
  <si>
    <t>Lighting Energy</t>
  </si>
  <si>
    <t>Ranges for Date Lookups</t>
  </si>
  <si>
    <t>Rate Class</t>
  </si>
  <si>
    <t>Customers</t>
  </si>
  <si>
    <t>kWh</t>
  </si>
  <si>
    <t>Base Revenue</t>
  </si>
  <si>
    <t>AE</t>
  </si>
  <si>
    <t>AH</t>
  </si>
  <si>
    <t>Lights</t>
  </si>
  <si>
    <t>Residential Rate</t>
  </si>
  <si>
    <t>Total Residential Service</t>
  </si>
  <si>
    <t>Residential Service</t>
  </si>
  <si>
    <t>General Service Rate</t>
  </si>
  <si>
    <t>General Service</t>
  </si>
  <si>
    <t>Total General Service</t>
  </si>
  <si>
    <t>Power Service Rate</t>
  </si>
  <si>
    <t>Total Power Service</t>
  </si>
  <si>
    <t>Fluctuating Load Service</t>
  </si>
  <si>
    <t>Revenue As Billed</t>
  </si>
  <si>
    <t>FAC Billings</t>
  </si>
  <si>
    <t>DSM Billings</t>
  </si>
  <si>
    <t>ECR Billings</t>
  </si>
  <si>
    <t>CSR Billings</t>
  </si>
  <si>
    <t>Actual Net Revenue at Base Rates</t>
  </si>
  <si>
    <t>Calculated Net Revenue at Base Rates</t>
  </si>
  <si>
    <t>Calculated Divided by Actual</t>
  </si>
  <si>
    <t>Bill Frequency Poles and Bases Report by Month -- provides a count of billed poles and bases by rate category</t>
  </si>
  <si>
    <t>Bill Frequency Lighting Report including billing factor revenues -- provides count, energy, and revenue by installed light using rate category</t>
  </si>
  <si>
    <t>Bill Frequency Billing Factor Revenues by Month -- provides monthly FAC, DSM, ECR, and CSR revenues by rate category</t>
  </si>
  <si>
    <t>Bill Frequency Summary by Month -- provides following billed data:  customer count, energy, demand by period, customer revenues, energy revenues, demand revenues and total revenues</t>
  </si>
  <si>
    <t>Rates</t>
  </si>
  <si>
    <t>provides, by rate category and rate component, as billed tariff rates in total and in ECR &amp; FAC components, for each rate change applicable in the test year</t>
  </si>
  <si>
    <t>Reconciliation</t>
  </si>
  <si>
    <t>ties bill frequency and 12MonResults totals to Sales by Rates, Revenue Volume Analysis, and General Ledger by month</t>
  </si>
  <si>
    <t>MiscData</t>
  </si>
  <si>
    <t>Contains relevant keys to the Indirect Functions in the 12MonResults tab.</t>
  </si>
  <si>
    <t>Counts the number of rows for each month for each source tab described above, and determines the beginning and ending row for each month's data.</t>
  </si>
  <si>
    <t>This information is used to establish the ranges used in the SUMIF function to bring the monthly statistics and revenue amounts into the 12MonResults tab to reconstruct the billings</t>
  </si>
  <si>
    <t>Also contains the specification of the test year period so date ranges do not have to be updated in multiple locations</t>
  </si>
  <si>
    <t>Contains a list of exhibits produced by the Billing determinants spreadsheet along with sponsoring witness to facilitate updating and printing final exhibits.</t>
  </si>
  <si>
    <t xml:space="preserve">Contains the date of each rate change and the start and end dates for rates in effect in the test year.  This table establishes the lookup keys that allow the correct rate to be retreived from </t>
  </si>
  <si>
    <t>the Rates tab and inserted into the 12MonResults tab automatically.</t>
  </si>
  <si>
    <t>Contains a 'color' key to identify the source tabs for the data in the 12MonResults tab</t>
  </si>
  <si>
    <t xml:space="preserve">Unit </t>
  </si>
  <si>
    <t>Calculated</t>
  </si>
  <si>
    <t>Demand</t>
  </si>
  <si>
    <t>kWh's</t>
  </si>
  <si>
    <t>Charges</t>
  </si>
  <si>
    <t>Revenue</t>
  </si>
  <si>
    <t/>
  </si>
  <si>
    <t>Minimum and Partial Month Billings</t>
  </si>
  <si>
    <t>TOTAL</t>
  </si>
  <si>
    <t xml:space="preserve"> </t>
  </si>
  <si>
    <t>TOTAL RESIDENTIAL</t>
  </si>
  <si>
    <t xml:space="preserve">           TOTAL AFTER APPLICATION OF CORRECTION FACTOR</t>
  </si>
  <si>
    <t>PRO FORMA REVENUE ADJUSTMENTS:</t>
  </si>
  <si>
    <t>Fuel Adjustment Clause Billings</t>
  </si>
  <si>
    <t>Demand Side Management Billings</t>
  </si>
  <si>
    <t>Environmental Cost Recovery Surcharge Billings</t>
  </si>
  <si>
    <t>Total Pro Forma Revenue Adjustments</t>
  </si>
  <si>
    <t xml:space="preserve">Total Test Year Adjusted Revenues </t>
  </si>
  <si>
    <t xml:space="preserve"> Energy / Lighting Revenue </t>
  </si>
  <si>
    <t>Adjustment to Contract Accts to reflect CCS multiple bills</t>
  </si>
  <si>
    <t>Adjustment to Customer Revenues to Reflect Partial Month, Proration, and Bill Corrections</t>
  </si>
  <si>
    <t>Adjustment to Energy/Lighting Revenues to Reflect Partial Month, Proration, and Bill Corrections</t>
  </si>
  <si>
    <t>Minimum Demand Revenues</t>
  </si>
  <si>
    <t>KW/KVA Base Qty</t>
  </si>
  <si>
    <t>KW/KVA Int Qty</t>
  </si>
  <si>
    <t>KW/KVA Peak Qty</t>
  </si>
  <si>
    <t>General Service Single Phase</t>
  </si>
  <si>
    <t>Residential Service Low Emission Vehicle Service</t>
  </si>
  <si>
    <t>RETAIL TRANSMISSION SERVICE</t>
  </si>
  <si>
    <t>High Pressure Sodium</t>
  </si>
  <si>
    <t>Mercury Vapor</t>
  </si>
  <si>
    <t>Overhead Service</t>
  </si>
  <si>
    <t>Underground Service</t>
  </si>
  <si>
    <t>Price</t>
  </si>
  <si>
    <t>Number of Bases</t>
  </si>
  <si>
    <t>Base Price Amount</t>
  </si>
  <si>
    <t>Number  of Poles</t>
  </si>
  <si>
    <t>Rate</t>
  </si>
  <si>
    <t>LE_900POLE</t>
  </si>
  <si>
    <t>LE_901POLE</t>
  </si>
  <si>
    <t>LE_902POLE</t>
  </si>
  <si>
    <t>LE_950BASE</t>
  </si>
  <si>
    <t>LE_951BASE</t>
  </si>
  <si>
    <t>LE_952BASE</t>
  </si>
  <si>
    <t>LE_953BASE</t>
  </si>
  <si>
    <t>LE_955BASE</t>
  </si>
  <si>
    <t>LE_956BASE</t>
  </si>
  <si>
    <t>LE_957BASE</t>
  </si>
  <si>
    <t>LE_958POLE</t>
  </si>
  <si>
    <t>LG&amp;E</t>
  </si>
  <si>
    <t>LGUM_001</t>
  </si>
  <si>
    <t>LGUM_002</t>
  </si>
  <si>
    <t>LGUM_003</t>
  </si>
  <si>
    <t>LGUM_004</t>
  </si>
  <si>
    <t>LGUM_005</t>
  </si>
  <si>
    <t>LGUM_007</t>
  </si>
  <si>
    <t>LGUM_008</t>
  </si>
  <si>
    <t>LGUM_010</t>
  </si>
  <si>
    <t>LGUM_011</t>
  </si>
  <si>
    <t>LGUM_012</t>
  </si>
  <si>
    <t>LGUM_013</t>
  </si>
  <si>
    <t>LGUM_022</t>
  </si>
  <si>
    <t>LGUM_023</t>
  </si>
  <si>
    <t>LGUM_024</t>
  </si>
  <si>
    <t>LGUM_052</t>
  </si>
  <si>
    <t>LGUM_053</t>
  </si>
  <si>
    <t>LGUM_054</t>
  </si>
  <si>
    <t>LGUM_055</t>
  </si>
  <si>
    <t>LGUM_057</t>
  </si>
  <si>
    <t>LGUM_058</t>
  </si>
  <si>
    <t>LGUM_061</t>
  </si>
  <si>
    <t>LGUM_062</t>
  </si>
  <si>
    <t>LGUM_063</t>
  </si>
  <si>
    <t>LGUM_066</t>
  </si>
  <si>
    <t>LGUM_067</t>
  </si>
  <si>
    <t>LGUM_072</t>
  </si>
  <si>
    <t>LGUM_073</t>
  </si>
  <si>
    <t>LGUM_074</t>
  </si>
  <si>
    <t>LGUM_075</t>
  </si>
  <si>
    <t>LGUM_076</t>
  </si>
  <si>
    <t>LGUM_077</t>
  </si>
  <si>
    <t>LGUM_082</t>
  </si>
  <si>
    <t>LGUM_101</t>
  </si>
  <si>
    <t>LGUM_102</t>
  </si>
  <si>
    <t>LGUM_103</t>
  </si>
  <si>
    <t>LGUM_104</t>
  </si>
  <si>
    <t>LGUM_105</t>
  </si>
  <si>
    <t>LGUM_106</t>
  </si>
  <si>
    <t>LGUM_107</t>
  </si>
  <si>
    <t>LGUM_108</t>
  </si>
  <si>
    <t>LGUM_109</t>
  </si>
  <si>
    <t>LGUM_110</t>
  </si>
  <si>
    <t>LGUM_111</t>
  </si>
  <si>
    <t>LGUM_112</t>
  </si>
  <si>
    <t>LGUM_113</t>
  </si>
  <si>
    <t>LGUM_116</t>
  </si>
  <si>
    <t>LGUM_117</t>
  </si>
  <si>
    <t>LGUM_122</t>
  </si>
  <si>
    <t>LGUM_123</t>
  </si>
  <si>
    <t>LGUM_124</t>
  </si>
  <si>
    <t>LGUM_152</t>
  </si>
  <si>
    <t>LGUM_153</t>
  </si>
  <si>
    <t>LGUM_154</t>
  </si>
  <si>
    <t>LGUM_155</t>
  </si>
  <si>
    <t>LGUM_157</t>
  </si>
  <si>
    <t>LGUM_158</t>
  </si>
  <si>
    <t>LGUM_159</t>
  </si>
  <si>
    <t>LGUM_160</t>
  </si>
  <si>
    <t>LGUM_161</t>
  </si>
  <si>
    <t>LGUM_162</t>
  </si>
  <si>
    <t>LGUM_163</t>
  </si>
  <si>
    <t>LGUM_166</t>
  </si>
  <si>
    <t>LGUM_167</t>
  </si>
  <si>
    <t>LGUM_172</t>
  </si>
  <si>
    <t>LGUM_173</t>
  </si>
  <si>
    <t>LGUM_174</t>
  </si>
  <si>
    <t>LGUM_175</t>
  </si>
  <si>
    <t>LGUM_176</t>
  </si>
  <si>
    <t>LGUM_177</t>
  </si>
  <si>
    <t>LGUM_178</t>
  </si>
  <si>
    <t>LGUM_179</t>
  </si>
  <si>
    <t>LGUM_180</t>
  </si>
  <si>
    <t>LGUM_181</t>
  </si>
  <si>
    <t>LGUM_182</t>
  </si>
  <si>
    <t>LGUM_183</t>
  </si>
  <si>
    <t>LGUM_202</t>
  </si>
  <si>
    <t>RLS: Overhead 175W MV (bf 1991)</t>
  </si>
  <si>
    <t>LGUM_203</t>
  </si>
  <si>
    <t>LGUM_204</t>
  </si>
  <si>
    <t>LGUM_206</t>
  </si>
  <si>
    <t>LGUM_207</t>
  </si>
  <si>
    <t>LGUM_208</t>
  </si>
  <si>
    <t>LGUM_210</t>
  </si>
  <si>
    <t>LGUM_211</t>
  </si>
  <si>
    <t>LGUM_212</t>
  </si>
  <si>
    <t>RLS: Overhead 400W HPS (bf 1991)</t>
  </si>
  <si>
    <t>LGUM_222</t>
  </si>
  <si>
    <t>LGUM_224</t>
  </si>
  <si>
    <t>LGUM_252</t>
  </si>
  <si>
    <t>LGUM_253</t>
  </si>
  <si>
    <t>LGUM_255</t>
  </si>
  <si>
    <t>RLS: Overhead 100W HPS (aft 1990)</t>
  </si>
  <si>
    <t>LGUM_258</t>
  </si>
  <si>
    <t>LGUM_259</t>
  </si>
  <si>
    <t>LGUM_261</t>
  </si>
  <si>
    <t>LGUM_262</t>
  </si>
  <si>
    <t>RLS: Overhead 400W HPS (aft 1990)</t>
  </si>
  <si>
    <t>LGUM_263</t>
  </si>
  <si>
    <t>RLS: Overhead 400W HPS Flood (aft 1990)</t>
  </si>
  <si>
    <t>LGUM_266</t>
  </si>
  <si>
    <t>LGUM_267</t>
  </si>
  <si>
    <t>LGUM_272</t>
  </si>
  <si>
    <t>RLS: Overhead 150W HPS (aft 1990)</t>
  </si>
  <si>
    <t>LGUM_274</t>
  </si>
  <si>
    <t>LGUM_276</t>
  </si>
  <si>
    <t>LGUM_277</t>
  </si>
  <si>
    <t>LGUM_301</t>
  </si>
  <si>
    <t>LGUM_302</t>
  </si>
  <si>
    <t>LGUM_303</t>
  </si>
  <si>
    <t>LGUM_304</t>
  </si>
  <si>
    <t>400 W 25000 LMV</t>
  </si>
  <si>
    <t>LGUM_305</t>
  </si>
  <si>
    <t>LGUM_306</t>
  </si>
  <si>
    <t>LGUM_307</t>
  </si>
  <si>
    <t>LGUM_308</t>
  </si>
  <si>
    <t>LGUM_309</t>
  </si>
  <si>
    <t>LGUM_310</t>
  </si>
  <si>
    <t>LGUM_311</t>
  </si>
  <si>
    <t>250 W OH HP Sodium Vapor</t>
  </si>
  <si>
    <t>LGUM_312</t>
  </si>
  <si>
    <t>400 W OH HP Sodium Vapor</t>
  </si>
  <si>
    <t>LGUM_313</t>
  </si>
  <si>
    <t>400 W Sodium Vapor Flood Light</t>
  </si>
  <si>
    <t>LGUM_314</t>
  </si>
  <si>
    <t>LGUM_315</t>
  </si>
  <si>
    <t>LGUM_316</t>
  </si>
  <si>
    <t>LGUM_317</t>
  </si>
  <si>
    <t>LGUM_318</t>
  </si>
  <si>
    <t>LGUM_321</t>
  </si>
  <si>
    <t>LGUM_322</t>
  </si>
  <si>
    <t>LGUM_323</t>
  </si>
  <si>
    <t>LGUM_324</t>
  </si>
  <si>
    <t>LGUM_325</t>
  </si>
  <si>
    <t>LGUM_348</t>
  </si>
  <si>
    <t>300W 6000 Lumen Incandescent</t>
  </si>
  <si>
    <t>LGUM_349</t>
  </si>
  <si>
    <t>100W 1500 Lumen Incandescent</t>
  </si>
  <si>
    <t>LGUM_352</t>
  </si>
  <si>
    <t>LGUM_353</t>
  </si>
  <si>
    <t>LGUM_354</t>
  </si>
  <si>
    <t>LGUM_355</t>
  </si>
  <si>
    <t>LGUM_357</t>
  </si>
  <si>
    <t>LGUM_358</t>
  </si>
  <si>
    <t>LGUM_360</t>
  </si>
  <si>
    <t>LGUM_361</t>
  </si>
  <si>
    <t>LGUM_362</t>
  </si>
  <si>
    <t>LGUM_363</t>
  </si>
  <si>
    <t>LGUM_364</t>
  </si>
  <si>
    <t>LGUM_365</t>
  </si>
  <si>
    <t>LGUM_366</t>
  </si>
  <si>
    <t>LGUM_367</t>
  </si>
  <si>
    <t>LGUM_370</t>
  </si>
  <si>
    <t>LGUM_371</t>
  </si>
  <si>
    <t>LGUM_372</t>
  </si>
  <si>
    <t>LGUM_373</t>
  </si>
  <si>
    <t>LGUM_374</t>
  </si>
  <si>
    <t>LGUM_375</t>
  </si>
  <si>
    <t>LGUM_376</t>
  </si>
  <si>
    <t>LGUM_377</t>
  </si>
  <si>
    <t>LGUM_378</t>
  </si>
  <si>
    <t>LGUM_379</t>
  </si>
  <si>
    <t>LGUM_380</t>
  </si>
  <si>
    <t>LGUM_381</t>
  </si>
  <si>
    <t>LGUM_382</t>
  </si>
  <si>
    <t>LGUM_383</t>
  </si>
  <si>
    <t>LGUM_412</t>
  </si>
  <si>
    <t>LGUM_413</t>
  </si>
  <si>
    <t>LGUM_414</t>
  </si>
  <si>
    <t>LGUM_415</t>
  </si>
  <si>
    <t>LGUM_416</t>
  </si>
  <si>
    <t>LGUM_417</t>
  </si>
  <si>
    <t>LGUM_418</t>
  </si>
  <si>
    <t>LGUM_419</t>
  </si>
  <si>
    <t>LGUM_420</t>
  </si>
  <si>
    <t>LGUM_421</t>
  </si>
  <si>
    <t>LGUM_422</t>
  </si>
  <si>
    <t>LGUM_423</t>
  </si>
  <si>
    <t>LGUM_424</t>
  </si>
  <si>
    <t>LGUM_425</t>
  </si>
  <si>
    <t>LGUM_426</t>
  </si>
  <si>
    <t>LGUM_427</t>
  </si>
  <si>
    <t>LGUM_428</t>
  </si>
  <si>
    <t>LGUM_429</t>
  </si>
  <si>
    <t>LGUM_430</t>
  </si>
  <si>
    <t>LGUM_431</t>
  </si>
  <si>
    <t>LGUM_433</t>
  </si>
  <si>
    <t>LGUM_434</t>
  </si>
  <si>
    <t>LGUM_435</t>
  </si>
  <si>
    <t>LGUM_437</t>
  </si>
  <si>
    <t>LGUM_438</t>
  </si>
  <si>
    <t>LGUM_452</t>
  </si>
  <si>
    <t>LGUM_453</t>
  </si>
  <si>
    <t>LGUM_454</t>
  </si>
  <si>
    <t>LGUM_455</t>
  </si>
  <si>
    <t>LGUM_456</t>
  </si>
  <si>
    <t>LGUM_457</t>
  </si>
  <si>
    <t>LGUM_458</t>
  </si>
  <si>
    <t>LGUM_459</t>
  </si>
  <si>
    <t>LGUM_460</t>
  </si>
  <si>
    <t>LGUM_461</t>
  </si>
  <si>
    <t>LGUM_462</t>
  </si>
  <si>
    <t>LGUM_470</t>
  </si>
  <si>
    <t>LGUM_471</t>
  </si>
  <si>
    <t>LGUM_473</t>
  </si>
  <si>
    <t>LGUM_474</t>
  </si>
  <si>
    <t>LGUM_475</t>
  </si>
  <si>
    <t>LGUM_476</t>
  </si>
  <si>
    <t>LGUM_477</t>
  </si>
  <si>
    <t>LGUM_482</t>
  </si>
  <si>
    <t>LGUM_483</t>
  </si>
  <si>
    <t>LGUM_484</t>
  </si>
  <si>
    <t>LGUM_081</t>
  </si>
  <si>
    <t>LGUM_432</t>
  </si>
  <si>
    <t>LGUM_400</t>
  </si>
  <si>
    <t>LGUM_441</t>
  </si>
  <si>
    <t>LGUM_201</t>
  </si>
  <si>
    <t>LGUM_205</t>
  </si>
  <si>
    <t>LGUM_209</t>
  </si>
  <si>
    <t>LGUM_213</t>
  </si>
  <si>
    <t>RLS: Overhead 400W HPS Flood (bf 1991)</t>
  </si>
  <si>
    <t>LGUM_216</t>
  </si>
  <si>
    <t>LGUM_217</t>
  </si>
  <si>
    <t>LGUM_223</t>
  </si>
  <si>
    <t>LGUM_254</t>
  </si>
  <si>
    <t>LGUM_257</t>
  </si>
  <si>
    <t>RLS: Overhead 400W MV Flood (aft 1990)</t>
  </si>
  <si>
    <t>LGUM_260</t>
  </si>
  <si>
    <t>LGUM_273</t>
  </si>
  <si>
    <t>LGUM_275</t>
  </si>
  <si>
    <t>LGUM_278</t>
  </si>
  <si>
    <t>LGUM_279</t>
  </si>
  <si>
    <t>LGUM_281</t>
  </si>
  <si>
    <t>LGUM_282</t>
  </si>
  <si>
    <t>LGUM_283</t>
  </si>
  <si>
    <t>LGUM_280</t>
  </si>
  <si>
    <t>LGUM_481</t>
  </si>
  <si>
    <t>LGUM_059</t>
  </si>
  <si>
    <t>LGUM_000</t>
  </si>
  <si>
    <t>Temporary Suspension - Unmetered Lights</t>
  </si>
  <si>
    <t xml:space="preserve"> KWH   P1</t>
  </si>
  <si>
    <t xml:space="preserve"> KWH   P2</t>
  </si>
  <si>
    <t xml:space="preserve"> KWH   P3</t>
  </si>
  <si>
    <t>0100</t>
  </si>
  <si>
    <t>LGCME451</t>
  </si>
  <si>
    <t>LGCME550</t>
  </si>
  <si>
    <t>LGCME551</t>
  </si>
  <si>
    <t>LGCME551UM</t>
  </si>
  <si>
    <t>LGCME552</t>
  </si>
  <si>
    <t>LGCME555</t>
  </si>
  <si>
    <t>LGCME557</t>
  </si>
  <si>
    <t>LGCME561</t>
  </si>
  <si>
    <t>LGCME563</t>
  </si>
  <si>
    <t>LGCME567</t>
  </si>
  <si>
    <t>LGCME591</t>
  </si>
  <si>
    <t>LGCME593</t>
  </si>
  <si>
    <t>LGCME650</t>
  </si>
  <si>
    <t>LGCME651</t>
  </si>
  <si>
    <t>LGCME652</t>
  </si>
  <si>
    <t>LGCME656</t>
  </si>
  <si>
    <t>LGCME657</t>
  </si>
  <si>
    <t>LGCME671</t>
  </si>
  <si>
    <t>LGCSR780</t>
  </si>
  <si>
    <t>LGINE599</t>
  </si>
  <si>
    <t>LGINE643</t>
  </si>
  <si>
    <t>LGINE661</t>
  </si>
  <si>
    <t>LGINE663</t>
  </si>
  <si>
    <t>LGINE691</t>
  </si>
  <si>
    <t>LGINE693</t>
  </si>
  <si>
    <t>LGINE694</t>
  </si>
  <si>
    <t>LGMLE570</t>
  </si>
  <si>
    <t>LGMLE571</t>
  </si>
  <si>
    <t>LGMLE572</t>
  </si>
  <si>
    <t>LGMLE573</t>
  </si>
  <si>
    <t>LGMLE574</t>
  </si>
  <si>
    <t>LGRSE411</t>
  </si>
  <si>
    <t>LGRSE511</t>
  </si>
  <si>
    <t>LGRSE519</t>
  </si>
  <si>
    <t>LGRSE540</t>
  </si>
  <si>
    <t>LGRSE541</t>
  </si>
  <si>
    <t>Power Service Primary - Commercial</t>
  </si>
  <si>
    <t>CSR30 Option A - Transmission</t>
  </si>
  <si>
    <t>Power Service Secondary - Commercial</t>
  </si>
  <si>
    <t>Power Service Secondary NMS - Commercial</t>
  </si>
  <si>
    <t>Commercial Time-of-Day Primary</t>
  </si>
  <si>
    <t>CTODP</t>
  </si>
  <si>
    <t>CTODS</t>
  </si>
  <si>
    <t>Fort Knox - Special Contract</t>
  </si>
  <si>
    <t>FK</t>
  </si>
  <si>
    <t>General Service Three Phase - Net Meter</t>
  </si>
  <si>
    <t>GSS</t>
  </si>
  <si>
    <t>General Service Single Phase - Net Meter</t>
  </si>
  <si>
    <t>GSSH</t>
  </si>
  <si>
    <t>GSWH</t>
  </si>
  <si>
    <t>Power Service Primary - Industrial</t>
  </si>
  <si>
    <t>Power Service Secondary - Industrial</t>
  </si>
  <si>
    <t>Industrial Time-of-Day Primary</t>
  </si>
  <si>
    <t>ITODP</t>
  </si>
  <si>
    <t>ITODS</t>
  </si>
  <si>
    <t>Lighting Energy Service</t>
  </si>
  <si>
    <t>Louisville Water Co - Special Contract</t>
  </si>
  <si>
    <t>LWC</t>
  </si>
  <si>
    <t>RRP</t>
  </si>
  <si>
    <t>Residential Electric Service</t>
  </si>
  <si>
    <t>Residential Electric Net Metering</t>
  </si>
  <si>
    <t>Volunteer Fire Department Service</t>
  </si>
  <si>
    <t>Residential Electric, Water Heating</t>
  </si>
  <si>
    <t>Total Energy Charge or Period 1</t>
  </si>
  <si>
    <t>Period 2</t>
  </si>
  <si>
    <t>Period 3</t>
  </si>
  <si>
    <t>Period 4</t>
  </si>
  <si>
    <t>Total or Period 1Energy Rate-Bundled Balance</t>
  </si>
  <si>
    <t>Period 2 Energy Rate-Bundled Balance</t>
  </si>
  <si>
    <t>Period 3 Energy Rate-Bundled Balance</t>
  </si>
  <si>
    <t>Period 4 Energy Rate-Bundled Balance</t>
  </si>
  <si>
    <t>Basic Demand</t>
  </si>
  <si>
    <t>Winter Peak / Intermediate Demand</t>
  </si>
  <si>
    <t>Summer Peak / Peak Period Demand</t>
  </si>
  <si>
    <t>Basic Demand-Fluctuating Load</t>
  </si>
  <si>
    <t>Winter Peak Demand-Fluctuating Load</t>
  </si>
  <si>
    <t>Summer Peak Demand-Fluctuating Load</t>
  </si>
  <si>
    <t>Basic Demand-ECR Only</t>
  </si>
  <si>
    <t>Winter Peak Demand-ECR Only</t>
  </si>
  <si>
    <t>Summer Peak Demand-ECR Only</t>
  </si>
  <si>
    <t>Basic Demand-Bundled Balance</t>
  </si>
  <si>
    <t>Winter Peak Demand-Bundled Balance</t>
  </si>
  <si>
    <t>Summer Peak Demand-Bundled Balance</t>
  </si>
  <si>
    <t>Fluctuating Load Basic Demand-ECR Only</t>
  </si>
  <si>
    <t>Fluctuating Load Winter Peak Demand-ECR Only</t>
  </si>
  <si>
    <t>Fluctuating Load Summer Peak Demand-ECR Only</t>
  </si>
  <si>
    <t>Fluctuating Load Basic Demand-Bundled Balance</t>
  </si>
  <si>
    <t>Fluctuating Load Winter Peak Demand-Bundled Balance</t>
  </si>
  <si>
    <t>Fluctuating Load Summer Peak Demand-Bundled Balance</t>
  </si>
  <si>
    <t>ISS</t>
  </si>
  <si>
    <t>ISP</t>
  </si>
  <si>
    <t>RLS</t>
  </si>
  <si>
    <t xml:space="preserve"> 100 W MERCURY OUTDOOR LIGHT </t>
  </si>
  <si>
    <t xml:space="preserve"> 175 W MERCURY OUTDOOR LIGHT </t>
  </si>
  <si>
    <t xml:space="preserve"> 250 W MERCURY OUTDOOR LIGHT </t>
  </si>
  <si>
    <t xml:space="preserve"> 400 W MERCURY OUTDOOR LIGHT </t>
  </si>
  <si>
    <t xml:space="preserve"> 100 W HP SODIUM OUTDOOR LIGHT </t>
  </si>
  <si>
    <t>LGUM_006</t>
  </si>
  <si>
    <t xml:space="preserve"> 100 W MERCURY LIGHT TOP MOUNT </t>
  </si>
  <si>
    <t xml:space="preserve"> 400 W MERCURY FLOOD LIGHT </t>
  </si>
  <si>
    <t xml:space="preserve"> 175 W MERCURY LIGHT TOP MOUNT </t>
  </si>
  <si>
    <t>LGUM_009</t>
  </si>
  <si>
    <t xml:space="preserve"> 1000 W MERCURY OUTDOOR LIGHT </t>
  </si>
  <si>
    <t xml:space="preserve"> 1000 W MERCURY FLOOD LIGHT </t>
  </si>
  <si>
    <t xml:space="preserve"> 250 W HP SODIUM OUTDOOR LIGHT </t>
  </si>
  <si>
    <t xml:space="preserve"> 400 W HP SODIUM OUTDOOR LIGHT </t>
  </si>
  <si>
    <t xml:space="preserve"> 400 W HP SODIUM FLOOD LIGHT </t>
  </si>
  <si>
    <t>LGUM_016</t>
  </si>
  <si>
    <t xml:space="preserve"> 250 W UG HP SODIUM OUTDOOR LIGHT </t>
  </si>
  <si>
    <t>LGUM_017</t>
  </si>
  <si>
    <t xml:space="preserve"> 400 W UG HP SODIUM OUTDOOR LIGHT </t>
  </si>
  <si>
    <t xml:space="preserve"> 150 W HP SODIUM OUTDOOR LIGHT </t>
  </si>
  <si>
    <t xml:space="preserve"> 150 W HP SODIUM FLOOD LIGHT </t>
  </si>
  <si>
    <t xml:space="preserve"> 100 W HP SODIUM LIGHT TOP MOUNT </t>
  </si>
  <si>
    <t>LGUM_025</t>
  </si>
  <si>
    <t>LGUM_125</t>
  </si>
  <si>
    <t>LGUM_225</t>
  </si>
  <si>
    <t>LGUM_026</t>
  </si>
  <si>
    <t xml:space="preserve"> 70 W HP SODIUM LIGHT TOP MOUNT </t>
  </si>
  <si>
    <t>LGUM_126</t>
  </si>
  <si>
    <t>LGUM_226</t>
  </si>
  <si>
    <t>LGUM_251</t>
  </si>
  <si>
    <t xml:space="preserve"> 100 W MERCURY OUTDOOR LIGHT AFTER JAN 1, 1991 </t>
  </si>
  <si>
    <t xml:space="preserve"> 175 W MERCURY OUTDOOR LIGHT AFTER JAN 1, 1991 </t>
  </si>
  <si>
    <t xml:space="preserve"> 250 W MERCURY OUTDOOR LIGHT AFTER JAN 1, 1991 </t>
  </si>
  <si>
    <t xml:space="preserve"> 400 W MERCURY OUTDOOR LIGHT AFTER JAN 1, 1991 </t>
  </si>
  <si>
    <t xml:space="preserve"> 100 W HP SODIUM OUTDOOR LIGHT AFTER JAN 1, 1991 </t>
  </si>
  <si>
    <t>LGUM_056</t>
  </si>
  <si>
    <t xml:space="preserve"> 100 W MERCURY LIGHT TOP MOUNT AFTER JAN 1, 1991 </t>
  </si>
  <si>
    <t>LGUM_156</t>
  </si>
  <si>
    <t>LGUM_256</t>
  </si>
  <si>
    <t xml:space="preserve"> 400 W MERCURY FLOOD LIGHT AFTER JAN 1, 1991 </t>
  </si>
  <si>
    <t xml:space="preserve"> 175 W MERCURY LIGHT TOP MOUNT AFTER JAN 1, 1991 </t>
  </si>
  <si>
    <t xml:space="preserve"> 1000 W MERCURY OUTDOOR LIGHT AFTER JAN 1, 1991 </t>
  </si>
  <si>
    <t>LGUM_060</t>
  </si>
  <si>
    <t xml:space="preserve"> 1000 W MERCURY FLOOD LIGHT AFTER JAN 1, 1991 </t>
  </si>
  <si>
    <t xml:space="preserve"> 250 W HP SODIUM OUTDOOR LIGHT AFTER JAN 1, 1991 </t>
  </si>
  <si>
    <t xml:space="preserve"> 400 W HP SODIUM OUTDOOR LIGHT AFTER JAN 1, 1991 </t>
  </si>
  <si>
    <t xml:space="preserve"> 400 W HP SODIUM FLOOD LIGHT AFTER JAN 1, 1991 </t>
  </si>
  <si>
    <t xml:space="preserve"> 250 W UG HP SODIUM OUTDOOR LIGHT AFTER JAN 1, 1991 </t>
  </si>
  <si>
    <t xml:space="preserve"> 400 W UG HP SODIUM OUTDOOR LIGHT AFTER JAN 1, 1991 </t>
  </si>
  <si>
    <t xml:space="preserve"> 150 W HP SODIUM OUTDOOR LIGHT AFTER JAN 1, 1991 </t>
  </si>
  <si>
    <t xml:space="preserve"> 150 W HP SODIUM FLOOD LIGHT AFTER JAN 1, 1991 </t>
  </si>
  <si>
    <t xml:space="preserve"> 100 W HP SODIUM LIGHT TOP MOUNT AFTER JAN 1, 1991 </t>
  </si>
  <si>
    <t xml:space="preserve"> 70 W HP SODIUM LIGHT TOP MOUNT AFTER JAN 1, 1991 </t>
  </si>
  <si>
    <t xml:space="preserve"> 150 W HP SODIUM LIGHT TOP MOUNT AFTER JAN 1, 1991 </t>
  </si>
  <si>
    <t>LGUM_078</t>
  </si>
  <si>
    <t xml:space="preserve"> 1000 W UG HP SODIUM OUTDOOR LIGHT AFTER JAN 1, 1991 </t>
  </si>
  <si>
    <t>LGUM_079</t>
  </si>
  <si>
    <t xml:space="preserve"> 1000 W HP SODIUM OUTDOOR LIGHT AFTER JAN 1, 1991 </t>
  </si>
  <si>
    <t>LGUM_080</t>
  </si>
  <si>
    <t xml:space="preserve"> 70 W HP SODIUM ACORN/DECO BASKET </t>
  </si>
  <si>
    <t xml:space="preserve"> 100 W HP SODIUM ACORN/DECO BASKET </t>
  </si>
  <si>
    <t xml:space="preserve"> 70 W HP SODIUM 80SIDED COACH </t>
  </si>
  <si>
    <t>LGUM_083</t>
  </si>
  <si>
    <t xml:space="preserve"> 100 W HP SODIUM 80SIDED COACH </t>
  </si>
  <si>
    <t xml:space="preserve"> 100W MERCURY LIGHT TOP MOUNT (UG) </t>
  </si>
  <si>
    <t xml:space="preserve"> 400 W MERCURY OUTDOOR LIGHT Metal Pole </t>
  </si>
  <si>
    <t xml:space="preserve"> 175W MERCURY LIGHT TOP MOUNT (UG) </t>
  </si>
  <si>
    <t xml:space="preserve"> 250W UG MERCURY OUTDOOR LIGHT </t>
  </si>
  <si>
    <t xml:space="preserve"> 400W UG MERCURY OUTDOOR LIGHT </t>
  </si>
  <si>
    <t xml:space="preserve"> 250W UG HP SODIUM OUTDOOR LIGHT </t>
  </si>
  <si>
    <t xml:space="preserve"> 400W UG HP SODIUM OUTDOOR LIGHT </t>
  </si>
  <si>
    <t xml:space="preserve"> 175W UG MERCURY LIGHT METAL POLE </t>
  </si>
  <si>
    <t>LGUM_319</t>
  </si>
  <si>
    <t xml:space="preserve"> 400W UG MERCURY LIGHT METAL POLE </t>
  </si>
  <si>
    <t>LGUM_320</t>
  </si>
  <si>
    <t xml:space="preserve"> 250W UG HP SODIUM LIGHT METAL POLE </t>
  </si>
  <si>
    <t xml:space="preserve"> 400W HP SODIUM LIGHT METAL POLE </t>
  </si>
  <si>
    <t xml:space="preserve"> 100W HP SODIUM LIGHT TOP MOUNT </t>
  </si>
  <si>
    <t>LGUM_345</t>
  </si>
  <si>
    <t xml:space="preserve"> 400W Mercury Vapor UP </t>
  </si>
  <si>
    <t>LGUM_346</t>
  </si>
  <si>
    <t xml:space="preserve"> 250W UG HP Sodium State of Ky Pole </t>
  </si>
  <si>
    <t>LGUM_347</t>
  </si>
  <si>
    <t xml:space="preserve"> 400W UG MV State of Ky Pole </t>
  </si>
  <si>
    <t xml:space="preserve"> 300W 6000 Lumen Incandescent </t>
  </si>
  <si>
    <t xml:space="preserve"> 100W 1500 Lumen Incandescent </t>
  </si>
  <si>
    <t>LGUM_356</t>
  </si>
  <si>
    <t xml:space="preserve"> 100W MERCURY LIGHT TOP MOUNT AFTER JAN 1, 1991 </t>
  </si>
  <si>
    <t xml:space="preserve"> 175W MERCURY LIGHT TOP MOUNT AFTER JAN 1, 1991 </t>
  </si>
  <si>
    <t xml:space="preserve"> 250W UG MERCURY OUTDOOR LIGHT AFTER JAN 1, 1991 </t>
  </si>
  <si>
    <t xml:space="preserve"> 400W UG MERCURY OUTDOOR LIGHT AFTER JAN 1, 1991 </t>
  </si>
  <si>
    <t xml:space="preserve"> 250W UG HP SODIUM OUTDOOR LIGHT AFTER JAN 1, 1991 </t>
  </si>
  <si>
    <t xml:space="preserve"> 400W UG HP SODIIUM OUTDOOR LIGHT AFTER JAN 1, 1991 </t>
  </si>
  <si>
    <t>LGUM_368</t>
  </si>
  <si>
    <t>LGUM_369</t>
  </si>
  <si>
    <t xml:space="preserve"> 400W UG MERCURY LIGHT METAL POLE AFTER JAN 1, 1991 </t>
  </si>
  <si>
    <t xml:space="preserve"> 250W HP SODIUM LIGHT METAL POLE AFTER JAN 1, 1991 </t>
  </si>
  <si>
    <t xml:space="preserve"> 400W HP SODIUM LIGHT METAL POLE AFTER JAN 1, 1991 </t>
  </si>
  <si>
    <t xml:space="preserve"> 100W HP SODIUM LIGHT TOP MOUNT AFTER JAN 1, 1991 </t>
  </si>
  <si>
    <t xml:space="preserve"> 150W UG HP SODIUM OURDOOR LIGHT AFTER JAN 1, 1991 </t>
  </si>
  <si>
    <t xml:space="preserve"> 70W HP SODIUM LIGHT TOP MOUNT AFTER JAN 1, 1991 </t>
  </si>
  <si>
    <t xml:space="preserve"> 150W UG HP SODIUM LIGHT TOP MOUNT AFTER JAN 1, 1991 </t>
  </si>
  <si>
    <t xml:space="preserve"> 1000W UG HP SODIUM OUTDOOR LIGHT AFTER JAN 1, 1991 </t>
  </si>
  <si>
    <t xml:space="preserve"> 70W HP SODIUM ACORN/DECO BASKET </t>
  </si>
  <si>
    <t xml:space="preserve"> 100W HP SODIUM ACORN/DECO BASKET </t>
  </si>
  <si>
    <t xml:space="preserve"> 70W HP SODIUM 80SIDED COACH </t>
  </si>
  <si>
    <t xml:space="preserve"> 100W HP SODIUM 80SIDED COACH </t>
  </si>
  <si>
    <t>LS</t>
  </si>
  <si>
    <t xml:space="preserve"> 4 SIDED COLONIAL 6300L </t>
  </si>
  <si>
    <t xml:space="preserve"> 4 SIDED COLONIAL 9500L </t>
  </si>
  <si>
    <t xml:space="preserve"> 4 SIDED COLONIAL 16000L </t>
  </si>
  <si>
    <t xml:space="preserve"> ACORN 6300L </t>
  </si>
  <si>
    <t xml:space="preserve"> ACORN 9500L </t>
  </si>
  <si>
    <t xml:space="preserve"> ACORN 9500L BRONZE POLE </t>
  </si>
  <si>
    <t xml:space="preserve"> ACORN 16000L </t>
  </si>
  <si>
    <t xml:space="preserve"> ACORN 16000L BRONZE POLE </t>
  </si>
  <si>
    <t xml:space="preserve"> CONTEMPORARY 16000L </t>
  </si>
  <si>
    <t xml:space="preserve"> CONTEMPORARY 28500L </t>
  </si>
  <si>
    <t xml:space="preserve"> CONTEMPORARY 50000L </t>
  </si>
  <si>
    <t xml:space="preserve"> COBRA HEAD 16000L UGHPS </t>
  </si>
  <si>
    <t xml:space="preserve"> COBRA HEAD 28500L UGHPS </t>
  </si>
  <si>
    <t xml:space="preserve"> COBRA HEAD 50000L UGHPS </t>
  </si>
  <si>
    <t xml:space="preserve"> LONDON (10' SMOOTH POLE) 6300L </t>
  </si>
  <si>
    <t xml:space="preserve"> LONDON (10' FLUTED POLE) 6300L </t>
  </si>
  <si>
    <t xml:space="preserve"> LONDON (10' SMOOTH POLE) 9500L </t>
  </si>
  <si>
    <t xml:space="preserve"> LONDON (10' FLUTED POLE) 9500L </t>
  </si>
  <si>
    <t xml:space="preserve"> VICTORIAN (10' SMOOTH POLE) 6300L </t>
  </si>
  <si>
    <t xml:space="preserve"> VICTORIAN (10' FLUTED POLE) 6300L </t>
  </si>
  <si>
    <t xml:space="preserve"> VICTORIAN (10' SMOOTH POLE) 9500L </t>
  </si>
  <si>
    <t xml:space="preserve"> VICTORIAN (10' FLUTED POLE) 9500L </t>
  </si>
  <si>
    <t xml:space="preserve"> 4 SIDED COLONIAL 4000L UGMV </t>
  </si>
  <si>
    <t xml:space="preserve"> 4 SIDED COLONIAL 8000L UGMV </t>
  </si>
  <si>
    <t>LGUM_436</t>
  </si>
  <si>
    <t xml:space="preserve"> COBRA HEAD 8000L UGMV </t>
  </si>
  <si>
    <t xml:space="preserve"> COBRA HEAD 13000L UGMV </t>
  </si>
  <si>
    <t xml:space="preserve"> COBRA HEAD 25000L UGMV </t>
  </si>
  <si>
    <t xml:space="preserve"> COBRA HEAD 16000L OHHP </t>
  </si>
  <si>
    <t xml:space="preserve"> COBRA HEAD 28500L OHHP </t>
  </si>
  <si>
    <t xml:space="preserve"> COBRA HEAD 50000L OHHP </t>
  </si>
  <si>
    <t xml:space="preserve"> DIRECTIONAL FLOOD 16000L OHHP </t>
  </si>
  <si>
    <t xml:space="preserve"> DIRECTIONAL FLOOD 50000L OHHP </t>
  </si>
  <si>
    <t xml:space="preserve"> OPEN BOTTOM 9500L OHHP </t>
  </si>
  <si>
    <t xml:space="preserve"> COBRA HEAD 8000L MV </t>
  </si>
  <si>
    <t xml:space="preserve"> COBRA HEAD 13000L MV </t>
  </si>
  <si>
    <t xml:space="preserve"> COBRA HEAD 25000L MV </t>
  </si>
  <si>
    <t xml:space="preserve"> DIRECTIONAL FLOOD 25000L MV </t>
  </si>
  <si>
    <t xml:space="preserve"> OPEN BOTTOM 8000L MV </t>
  </si>
  <si>
    <t xml:space="preserve"> Directional Fixture Only, 12,000 </t>
  </si>
  <si>
    <t xml:space="preserve"> Directional Fixture with Wood Pole, 12,000 </t>
  </si>
  <si>
    <t>LGUM_472</t>
  </si>
  <si>
    <t xml:space="preserve"> Directional Fixture with Direct Buried Metal Pole, 12,000 </t>
  </si>
  <si>
    <t xml:space="preserve"> Directional Fixture Only, 32,000 </t>
  </si>
  <si>
    <t xml:space="preserve"> Directional Fixture with Wood Pole, 32,000 </t>
  </si>
  <si>
    <t xml:space="preserve"> Directional Fixture with Direct Buried Metal Pole, 32,000 </t>
  </si>
  <si>
    <t xml:space="preserve"> Directional Fixture Only, 107,800 </t>
  </si>
  <si>
    <t xml:space="preserve"> Directional Fixture with Wood Pole, 107,800 </t>
  </si>
  <si>
    <t>LGUM_478</t>
  </si>
  <si>
    <t xml:space="preserve"> Directional Fixture with Direct Buried Metal Pole, 107,800 </t>
  </si>
  <si>
    <t>LGUM_479</t>
  </si>
  <si>
    <t xml:space="preserve"> Contemporary Fixture Only, 12,000 </t>
  </si>
  <si>
    <t>LGUM_480</t>
  </si>
  <si>
    <t xml:space="preserve"> Contemporary Fixture with Direct Buried Metal Pole, 12,000 </t>
  </si>
  <si>
    <t xml:space="preserve"> Contemporary Fixture Only, 32,000 </t>
  </si>
  <si>
    <t xml:space="preserve"> Contemporary Fixture with Direct Buried Metal Pole, 32,000 </t>
  </si>
  <si>
    <t xml:space="preserve"> Contemporary Fixture Only, 107,800 </t>
  </si>
  <si>
    <t xml:space="preserve"> Contemporary Fixture with Direct Buried Metal Pole, 107,800 </t>
  </si>
  <si>
    <t>LE_900Pole</t>
  </si>
  <si>
    <t>LE_901Pole</t>
  </si>
  <si>
    <t>LE_902Pole</t>
  </si>
  <si>
    <t>LE_910Pole</t>
  </si>
  <si>
    <t>LE_911Pole</t>
  </si>
  <si>
    <t>LE_912Pole</t>
  </si>
  <si>
    <t>LE_950Base</t>
  </si>
  <si>
    <t>LE_951Base</t>
  </si>
  <si>
    <t>LE_952Base</t>
  </si>
  <si>
    <t>LE_953Base</t>
  </si>
  <si>
    <t>LE_954Base</t>
  </si>
  <si>
    <t>LE_955Base</t>
  </si>
  <si>
    <t>LE_956Base</t>
  </si>
  <si>
    <t>LE_957Base</t>
  </si>
  <si>
    <t>LE_958Pole</t>
  </si>
  <si>
    <t>LEV</t>
  </si>
  <si>
    <t xml:space="preserve"> 175 W MERCURY LIGHT TOP MOUNT (UG) </t>
  </si>
  <si>
    <t xml:space="preserve"> 250 W UG MERCURY OUTDOOR LIGHT </t>
  </si>
  <si>
    <t xml:space="preserve"> 400 W UG MERCURY OUTDOOR LIGHT </t>
  </si>
  <si>
    <t xml:space="preserve"> 175 W UG MERCURY LIGHT METAL POLE </t>
  </si>
  <si>
    <t xml:space="preserve"> 400 W UG MERCURY LIGHT METAL POLE </t>
  </si>
  <si>
    <t xml:space="preserve"> 250 W UG HP SODIUM LIGHT METAL POLE </t>
  </si>
  <si>
    <t xml:space="preserve"> 400 W HP SODIUM LIGHT METAL POLE </t>
  </si>
  <si>
    <t xml:space="preserve"> 400 W Mercury Vapor UP </t>
  </si>
  <si>
    <t xml:space="preserve"> 250 W UG HP Sodium State of Ky Pole </t>
  </si>
  <si>
    <t xml:space="preserve"> 250 W UG MERCURY OUTDOOR LIGHT AFTER JAN 1, 1991 </t>
  </si>
  <si>
    <t xml:space="preserve"> 400 W UG MERCURY OUTDOOR LIGHT AFTER JAN 1, 1991 </t>
  </si>
  <si>
    <t xml:space="preserve"> 400 W UG HP SODIIUM OUTDOOR LIGHT AFTER JAN 1, 1991 </t>
  </si>
  <si>
    <t xml:space="preserve"> 400 W UG MERCURY LIGHT METAL POLE AFTER JAN 1, 1991 </t>
  </si>
  <si>
    <t xml:space="preserve"> 250 W HP SODIUM LIGHT METAL POLE AFTER JAN 1, 1991 </t>
  </si>
  <si>
    <t xml:space="preserve"> 400 W HP SODIUM LIGHT METAL POLE AFTER JAN 1, 1991 </t>
  </si>
  <si>
    <t xml:space="preserve"> 150 W UG HP SODIUM OURDOOR LIGHT AFTER JAN 1, 1991 </t>
  </si>
  <si>
    <t xml:space="preserve"> 150 W UG HP SODIUM LIGHT TOP MOUNT AFTER JAN 1, 1991 </t>
  </si>
  <si>
    <t xml:space="preserve"> 4 SIDED COLONIAL 5800L </t>
  </si>
  <si>
    <t xml:space="preserve"> ACORN 5800L </t>
  </si>
  <si>
    <t xml:space="preserve"> CONTEMPORARY 16000L -- Fixture only</t>
  </si>
  <si>
    <t xml:space="preserve"> CONTEMPORARY 28500L -- Fixture only</t>
  </si>
  <si>
    <t xml:space="preserve"> LONDON (10' SMOOTH POLE) 5800L </t>
  </si>
  <si>
    <t xml:space="preserve"> LONDON (10' FLUTED POLE) 5800L </t>
  </si>
  <si>
    <t xml:space="preserve"> VICTORIAN (10' SMOOTH POLE) 5800L </t>
  </si>
  <si>
    <t xml:space="preserve"> VICTORIAN (10' FLUTED POLE) 5800L </t>
  </si>
  <si>
    <t>Energy-P1</t>
  </si>
  <si>
    <t>Energy-P2</t>
  </si>
  <si>
    <t>Energy-P3</t>
  </si>
  <si>
    <t xml:space="preserve"> Energy Rate / Period 1 Energy Rate</t>
  </si>
  <si>
    <t>Period 2 Energy Rate</t>
  </si>
  <si>
    <t>Period 3 Energy Rate</t>
  </si>
  <si>
    <t>Adjustment to Demand Revenues to Reflect Partial Month, Prorations and Bill Corrections</t>
  </si>
  <si>
    <t xml:space="preserve"> Total Billed Revenue, Sales By Rates or CCS</t>
  </si>
  <si>
    <t xml:space="preserve"> Total Billed Revenue, Calculated </t>
  </si>
  <si>
    <t xml:space="preserve"> Difference </t>
  </si>
  <si>
    <t>G3RP</t>
  </si>
  <si>
    <t>Commercial Primary</t>
  </si>
  <si>
    <t>Industrial Primary</t>
  </si>
  <si>
    <t>Curtailable Service Rider</t>
  </si>
  <si>
    <t>Total Time of Day Service</t>
  </si>
  <si>
    <t>DO NOT DELETE OR MOVE THESE COLUMNS!!!</t>
  </si>
  <si>
    <t>RevMon</t>
  </si>
  <si>
    <t>TariffRateCategory</t>
  </si>
  <si>
    <t>TariffRateClass</t>
  </si>
  <si>
    <t>DSK</t>
  </si>
  <si>
    <t>HPS Dark Sky Friendly 4000 Lumen</t>
  </si>
  <si>
    <t>TRAFFIC ENERGY SERVICE RATE TE</t>
  </si>
  <si>
    <t>LIGHTING SERVICE LS</t>
  </si>
  <si>
    <t>LGUM_439</t>
  </si>
  <si>
    <t>LGUM_440</t>
  </si>
  <si>
    <t>RESTRICTED LIGHTING SERVICE</t>
  </si>
  <si>
    <t>Poles</t>
  </si>
  <si>
    <t xml:space="preserve"> 150 W UG HP SODIUM OUTDOOR LIGHT </t>
  </si>
  <si>
    <t xml:space="preserve"> 150 W UG HP SODIUM OUTDOOR LIGHT AFTER JAN 1, 1991 </t>
  </si>
  <si>
    <t>Total Lighting Service</t>
  </si>
  <si>
    <t>Total Restricted Lighting Service</t>
  </si>
  <si>
    <t>LGUM_401</t>
  </si>
  <si>
    <t>HPS Dark Sky Friendly 9500 Lumen</t>
  </si>
  <si>
    <t xml:space="preserve"> CONTEMPORARY 16000L  additional fixture only</t>
  </si>
  <si>
    <t xml:space="preserve"> CONTEMPORARY 50000L additional fixture only</t>
  </si>
  <si>
    <t xml:space="preserve"> CONTEMPORARY 28500L additional fixture only</t>
  </si>
  <si>
    <t xml:space="preserve"> CONTEMPORARY 50000L  -- fixture only</t>
  </si>
  <si>
    <t>Rate Period</t>
  </si>
  <si>
    <t>Row Number</t>
  </si>
  <si>
    <t>VFD</t>
  </si>
  <si>
    <t>Per Light Charge</t>
  </si>
  <si>
    <t>LightingRevenue</t>
  </si>
  <si>
    <t>Adjustment to Lighting Revenues to Reflect Partial Month, Proration, and Bill Corrections</t>
  </si>
  <si>
    <t>Total RLS</t>
  </si>
  <si>
    <t>Total LS</t>
  </si>
  <si>
    <t xml:space="preserve">Revenue </t>
  </si>
  <si>
    <t>Demand Adj to Reflect Peak Minimum</t>
  </si>
  <si>
    <t>Demand Adj to Reflect Base Minimum</t>
  </si>
  <si>
    <t>Demand Adj to Reflect Interm Minimum</t>
  </si>
  <si>
    <t>LGRSE543</t>
  </si>
  <si>
    <t>LE_962Base</t>
  </si>
  <si>
    <t>LE_960Base</t>
  </si>
  <si>
    <t>LE_961Base</t>
  </si>
  <si>
    <t>LE_963Base</t>
  </si>
  <si>
    <t>Partial month billings and billing corrections</t>
  </si>
  <si>
    <t>Total combined poles &amp; lights</t>
  </si>
  <si>
    <t>Curtailable Serv. Rider</t>
  </si>
  <si>
    <t>Code</t>
  </si>
  <si>
    <t>12-Month Lighting Installations</t>
  </si>
  <si>
    <t>GS3P</t>
  </si>
  <si>
    <t>Louisville Water Company Special Contract</t>
  </si>
  <si>
    <t>Traffic Lighting Service</t>
  </si>
  <si>
    <t>100W MERCURY OUTDOOR LIGHT</t>
  </si>
  <si>
    <t>175W MERCURY OUTDOOR LIGHT</t>
  </si>
  <si>
    <t>250W MERCURY OUTDOOR LIGHT</t>
  </si>
  <si>
    <t>400W MERCURY OUTDOOR LIGHT</t>
  </si>
  <si>
    <t>100W MERCURY LIGHT TOP MOUNT</t>
  </si>
  <si>
    <t>400W MERCURY FLOOD LIGHT</t>
  </si>
  <si>
    <t>175W MERCURY LIGHT TOP MOUNT</t>
  </si>
  <si>
    <t>1000W MERCURY OUTDOOR LIGHT</t>
  </si>
  <si>
    <t>1000W MERCURY FLOOD LIGHT</t>
  </si>
  <si>
    <t>250W UG HP SODIUM OUTDOOR LIGHT</t>
  </si>
  <si>
    <t>400W UG HP SODIUM OUTDOOR LIGHT</t>
  </si>
  <si>
    <t>150W HP SODIUM OUTDOOR LIGHT</t>
  </si>
  <si>
    <t>100W HP SODIUM LIGHT TOP MOUNT</t>
  </si>
  <si>
    <t>70W HP SODIUM LIGHT TOP MOUNT</t>
  </si>
  <si>
    <t>150W UG HP SODIUM LIGHT TOP MOUNT</t>
  </si>
  <si>
    <t>1000W UG HP SODIUM OUTDOOR LIGHT</t>
  </si>
  <si>
    <t>1000W HP SODIUM OUTDOOR LIGHT</t>
  </si>
  <si>
    <t>70W HP SODIUM ACORN/DECO BASKET</t>
  </si>
  <si>
    <t>100W HP SODIUM ACORN/DECO BASKET</t>
  </si>
  <si>
    <t>70W HP SODIUM 8-SIDED COACH</t>
  </si>
  <si>
    <t>100W HP SODIUM 8-SIDED COACH</t>
  </si>
  <si>
    <t>250W UG MERCURY OUTDOOR LIGHT</t>
  </si>
  <si>
    <t>400W UG MERCURY OUTDOOR LIGHT</t>
  </si>
  <si>
    <t>175W UG MERCURY LIGHT METAL POLE</t>
  </si>
  <si>
    <t>400W UG MV State of Ky Pole</t>
  </si>
  <si>
    <t>4 SIDED COLONIAL 6300L</t>
  </si>
  <si>
    <t>4 SIDED COLONIAL 9500L</t>
  </si>
  <si>
    <t>4 SIDED COLONIAL 16000L</t>
  </si>
  <si>
    <t>ACORN 6300L</t>
  </si>
  <si>
    <t>ACORN 9500L</t>
  </si>
  <si>
    <t>ACORN 9500L BRONZE POLE</t>
  </si>
  <si>
    <t>ACORN 16000L</t>
  </si>
  <si>
    <t>ACORN 16000L BRONZE POLE</t>
  </si>
  <si>
    <t>CONTEMPORARY 16000L</t>
  </si>
  <si>
    <t>CONTEMPORARY 28500L</t>
  </si>
  <si>
    <t>CONTEMPORARY 50000L</t>
  </si>
  <si>
    <t>COBRA HEAD 16000L UGHPS</t>
  </si>
  <si>
    <t>COBRA HEAD 28500L UGHPS</t>
  </si>
  <si>
    <t>COBRA HEAD 50000L UGHPS</t>
  </si>
  <si>
    <t>LONDON (10' SMOOTH POLE) 6300L</t>
  </si>
  <si>
    <t>LONDON (10' FLUTED POLE) 6300L</t>
  </si>
  <si>
    <t>LONDON (10' SMOOTH POLE) 9500L</t>
  </si>
  <si>
    <t>LONDON (10' FLUTED POLE) 9500L</t>
  </si>
  <si>
    <t>VICTORIAN (10' SMOOTH POLE) 6300L</t>
  </si>
  <si>
    <t>VICTORIAN (10' FLUTED POLE) 6300L</t>
  </si>
  <si>
    <t>VICTORIAN (10' SMOOTH POLE) 9500L</t>
  </si>
  <si>
    <t>VICTORIAN (10' FLUTED POLE) 9500L</t>
  </si>
  <si>
    <t>COBRA HEAD 16000L OHHP</t>
  </si>
  <si>
    <t>COBRA HEAD 28500L OHHP</t>
  </si>
  <si>
    <t>COBRA HEAD 50000L OHHP</t>
  </si>
  <si>
    <t>DIRECTIONAL FLOOD 16000L OHHP</t>
  </si>
  <si>
    <t>DIRECTIONAL FLOOD 50000L OHHP</t>
  </si>
  <si>
    <t>OPEN BOTTOM 9500L OHHP</t>
  </si>
  <si>
    <t>COBRA HEAD 8000L MV</t>
  </si>
  <si>
    <t>Directional Fixture Only, 12,000</t>
  </si>
  <si>
    <t>Directional Fixture with Wood Pole, 12,000</t>
  </si>
  <si>
    <t>Directional Fixture Only, 32,000</t>
  </si>
  <si>
    <t>Directional Fixture with Wood Pole, 32,000</t>
  </si>
  <si>
    <t>Directional Fixture with Direct Buried Metal Pole, 32,000</t>
  </si>
  <si>
    <t>Directional Fixture Only, 107,800</t>
  </si>
  <si>
    <t>Directional Fixture with Wood Pole, 107,800</t>
  </si>
  <si>
    <t>Contemporary Fixture Only, 12,000</t>
  </si>
  <si>
    <t>Contemporary Fixture with Direct Buried Metal Pole, 12,000</t>
  </si>
  <si>
    <t>Contemporary Fixture Only, 32,000</t>
  </si>
  <si>
    <t>Contemporary Fixture with Direct Buried Metal Pole, 32,000</t>
  </si>
  <si>
    <t>Contemporary Fixture Only, 107,800</t>
  </si>
  <si>
    <t>Contemporary Fixture with Direct Buried Metal Pole, 107,800</t>
  </si>
  <si>
    <t>Fort Knox</t>
  </si>
  <si>
    <t>277</t>
  </si>
  <si>
    <t>Pole Price Amount</t>
  </si>
  <si>
    <t>DSM</t>
  </si>
  <si>
    <t>MSR</t>
  </si>
  <si>
    <t>Revenue Amount</t>
  </si>
  <si>
    <t>Rate Category Description</t>
  </si>
  <si>
    <t>Tariffs</t>
  </si>
  <si>
    <t>ODL</t>
  </si>
  <si>
    <t xml:space="preserve"> Total Billed Revenue, Sales By Rates</t>
  </si>
  <si>
    <t>Rate Description</t>
  </si>
  <si>
    <t>difference</t>
  </si>
  <si>
    <t>Pole revenue</t>
  </si>
  <si>
    <t>LEUM_826</t>
  </si>
  <si>
    <t>Electric Excess Facilities CIAC</t>
  </si>
  <si>
    <t>Base Fuel</t>
  </si>
  <si>
    <t>Customer  Charge</t>
  </si>
  <si>
    <t>LGCME000</t>
  </si>
  <si>
    <t>Temporary Suspension - Commerical</t>
  </si>
  <si>
    <t>LGINE000</t>
  </si>
  <si>
    <t>Temporary Suspension - Industrial</t>
  </si>
  <si>
    <t>LGRSE000</t>
  </si>
  <si>
    <t>Temporary Suspension</t>
  </si>
  <si>
    <t>GS3SH</t>
  </si>
  <si>
    <t>GS3NM</t>
  </si>
  <si>
    <t>Rate Categories</t>
  </si>
  <si>
    <t>Light Categories</t>
  </si>
  <si>
    <t>FAC Rate</t>
  </si>
  <si>
    <t>FAC Base</t>
  </si>
  <si>
    <t>Revised FAC</t>
  </si>
  <si>
    <t>PSPNM</t>
  </si>
  <si>
    <t>LGCME569</t>
  </si>
  <si>
    <t>LGINE682</t>
  </si>
  <si>
    <t>LGINE683</t>
  </si>
  <si>
    <t>LGMLE575</t>
  </si>
  <si>
    <t>LGMLE577</t>
  </si>
  <si>
    <t>LGUM_384</t>
  </si>
  <si>
    <t xml:space="preserve"> 400 W UG MERCURY LIGHT KY POLE AFTER JAN 1, 1991 </t>
  </si>
  <si>
    <t>LGUM_385</t>
  </si>
  <si>
    <t>Total KWH</t>
  </si>
  <si>
    <t>Total Demand</t>
  </si>
  <si>
    <t>Billed Revenue</t>
  </si>
  <si>
    <t>GSNM</t>
  </si>
  <si>
    <t>Redundant Capacity Rider Included in Demand Revenue</t>
  </si>
  <si>
    <t>GSRP</t>
  </si>
  <si>
    <t>Total ECR</t>
  </si>
  <si>
    <t>EF</t>
  </si>
  <si>
    <t>GSUM</t>
  </si>
  <si>
    <t>GSP</t>
  </si>
  <si>
    <t>12 Mon Lights</t>
  </si>
  <si>
    <t xml:space="preserve">Number of </t>
  </si>
  <si>
    <t>Current Rates</t>
  </si>
  <si>
    <t>Electric Service Revenues</t>
  </si>
  <si>
    <t>Present</t>
  </si>
  <si>
    <t>Summer Demand</t>
  </si>
  <si>
    <t>Winter Demand</t>
  </si>
  <si>
    <t>LIGHTING ENERGY SERVICE RATE LE</t>
  </si>
  <si>
    <t>GS</t>
  </si>
  <si>
    <t>Special Contracts</t>
  </si>
  <si>
    <t>Total Revenue Adjustments</t>
  </si>
  <si>
    <t>REVENUE ADJUSTMENTS:</t>
  </si>
  <si>
    <t>ECR Component of Current Base Rates</t>
  </si>
  <si>
    <t>Energy</t>
  </si>
  <si>
    <t>Demands</t>
  </si>
  <si>
    <t>ECR Revenue in Base Rates</t>
  </si>
  <si>
    <t>Low Emission Vehicle</t>
  </si>
  <si>
    <t>Total General Service, including former GRP customers</t>
  </si>
  <si>
    <t>Base</t>
  </si>
  <si>
    <t>Intermediate</t>
  </si>
  <si>
    <t>Total Retail Transmission Service</t>
  </si>
  <si>
    <t>Total Fort Knox Special Contract</t>
  </si>
  <si>
    <t>Sheet No. 36.1</t>
  </si>
  <si>
    <t>Sheet No. 35</t>
  </si>
  <si>
    <t>Sheet No. 35.1</t>
  </si>
  <si>
    <t>POWER SERVICE RATE PS -- SECONDARY DELIVERY</t>
  </si>
  <si>
    <t>POWER SERVICE RATE PS -- PRIMARY DELIVERY</t>
  </si>
  <si>
    <t>TIME OF DAY SERVICE -- COMMERCIAL PRIMARY</t>
  </si>
  <si>
    <t>TIME OF DAY SERVICE -- INDUSTRIAL PRIMARY</t>
  </si>
  <si>
    <t>FORT KNOX</t>
  </si>
  <si>
    <t>Metal Halide</t>
  </si>
  <si>
    <t>Incandescent</t>
  </si>
  <si>
    <t xml:space="preserve"> 150W UG HP SODIUM OUTDOOR LIGHT </t>
  </si>
  <si>
    <t>Single Phase</t>
  </si>
  <si>
    <t>Three Phase</t>
  </si>
  <si>
    <t>Current</t>
  </si>
  <si>
    <t>TODS</t>
  </si>
  <si>
    <t>Louisville Water Company</t>
  </si>
  <si>
    <t>Base Energy  Non-Fuel</t>
  </si>
  <si>
    <t>Base Energy FAC</t>
  </si>
  <si>
    <t xml:space="preserve"> Base Energy   ECR</t>
  </si>
  <si>
    <t>Demand ECR</t>
  </si>
  <si>
    <t>Demand  Charge</t>
  </si>
  <si>
    <t>Non-Fuel ECR</t>
  </si>
  <si>
    <t>LEUM_825</t>
  </si>
  <si>
    <t>Electric Excess Facilities</t>
  </si>
  <si>
    <t>LEUM_828</t>
  </si>
  <si>
    <t>Excess Facilities ODL</t>
  </si>
  <si>
    <t>Time-of-Day Secondary, Commercial</t>
  </si>
  <si>
    <t>Time-of-Day Secondary, Industrial</t>
  </si>
  <si>
    <t>RLS 201: OH MV Open Bottom 4000L Fixture</t>
  </si>
  <si>
    <t>RLS 203: OH MV Cobra Head 13000L Fixture</t>
  </si>
  <si>
    <t>RLS 204: OH MV Cobra Head 25000L Fixture</t>
  </si>
  <si>
    <t>RLS 206: UG MV Coach 4000L Decorative</t>
  </si>
  <si>
    <t>RLS 207: OH MV Directional 25000L Fix</t>
  </si>
  <si>
    <t>RLS 208: UG MV Coach 8000L Decorative</t>
  </si>
  <si>
    <t>RLS 209: OH MV Cobra Head 60000L Fixture</t>
  </si>
  <si>
    <t>RLS 210: OH MV Directional 60000L Fix</t>
  </si>
  <si>
    <t>RLS 252: OH MV Cobra/Open Bottom 8000L</t>
  </si>
  <si>
    <t>RLS 266: UG HPS Cobra/Contemp 28500L</t>
  </si>
  <si>
    <t>RLS 267: UG HPS Cobra/Contemp 50000L</t>
  </si>
  <si>
    <t>RLS 274: UG HPS Coach/Acorn 9500L Deco</t>
  </si>
  <si>
    <t>RLS 275: UG HPS Cobra/Contemp 16000L</t>
  </si>
  <si>
    <t>RLS 276: UG HPS Coach/Acorn 5800L Deco</t>
  </si>
  <si>
    <t>RLS 277: UG HPS Coach/Acorn 16000L Deco</t>
  </si>
  <si>
    <t>RLS 278: UG HPS Contemporary 120000L Dec</t>
  </si>
  <si>
    <t>RLS 279: UG HPS Contemporary 120000L Fix</t>
  </si>
  <si>
    <t>RLS 280: UG HPS Victorian 5800L Fixture</t>
  </si>
  <si>
    <t>RLS 281: UG HPS Victorian 9500L Fixture</t>
  </si>
  <si>
    <t>RLS 282: UG HPS London 5800L Fixture</t>
  </si>
  <si>
    <t>RLS 283: UG HPS London 9500L Fixture</t>
  </si>
  <si>
    <t>RLS 314: UG MV Cobra Head 13000L Deco</t>
  </si>
  <si>
    <t>RLS 315: UG MV Cobra Head 25000L Deco</t>
  </si>
  <si>
    <t>RLS 318: UG MV Cobra Head 8000L Deco</t>
  </si>
  <si>
    <t>RLS 348: UG Inc Continental Jr 6000L Dec</t>
  </si>
  <si>
    <t>RLS 349: UG Inc Continental Jr 1500L Dec</t>
  </si>
  <si>
    <t>LS 400: Dark Sky 4000L Decorative Smooth</t>
  </si>
  <si>
    <t>LS 401: Dark Sky 9500L Decorative Smooth</t>
  </si>
  <si>
    <t>LS 412: UG HPS Colonial 4-Sided 5800L</t>
  </si>
  <si>
    <t>LS 413: UG HPS Colonial 4-Sided 9500L</t>
  </si>
  <si>
    <t>LS 415: UG HPS Acorn 5800L Decorative</t>
  </si>
  <si>
    <t>LS 416: UG HPS Acorn  9500L Decorative</t>
  </si>
  <si>
    <t>RLS 417: UG HPS Acorn Bronze 9500L Deco</t>
  </si>
  <si>
    <t>RLS 419: UG HPS Acorn Bronze 16000L Deco</t>
  </si>
  <si>
    <t>LS 420: UG HPS Contemporary 16000L Deco</t>
  </si>
  <si>
    <t>LS 421: UG HPS Contemporary 28500L Deco</t>
  </si>
  <si>
    <t>LS 422: UG HPS Contemporary 50000L Deco</t>
  </si>
  <si>
    <t>LS 423: UG HPS Cobra Head 16000L Deco</t>
  </si>
  <si>
    <t>LS 424: UG HPS Cobra Head 28500L Deco</t>
  </si>
  <si>
    <t>LS 425: UG HPS Cobra Head 50000L Deco</t>
  </si>
  <si>
    <t>RLS 426: UG HPS London 5800L Decorative</t>
  </si>
  <si>
    <t>LS 427: UG HPS London 5800L Historic</t>
  </si>
  <si>
    <t>RLS 428: UG HPS London 9500L Decorative</t>
  </si>
  <si>
    <t>LS 429: UG HPS London 9500L Historic</t>
  </si>
  <si>
    <t>RLS 430: UG HPS Victorian 5800L Deco</t>
  </si>
  <si>
    <t>LS 431: UG HPS Victorian 5800L Historic</t>
  </si>
  <si>
    <t>RLS 432: UG HPS Victorian 9500L Deco</t>
  </si>
  <si>
    <t>LS 433: UG HPS Victorian 9500L Historic</t>
  </si>
  <si>
    <t>LS 440: UG HPS Contemporary 28500L Fix</t>
  </si>
  <si>
    <t>LS 441: UG HPS Contemporary 50000L Fix</t>
  </si>
  <si>
    <t>LS 452: OH HPS Cobra Head 16000L Fixture</t>
  </si>
  <si>
    <t>LS 453: OH HPS Cobra Head 28500L Fixture</t>
  </si>
  <si>
    <t>LS 454: OH HPS Cobra Head 50000L Fixture</t>
  </si>
  <si>
    <t>LS 455: OH HPS Directional 16000L Fix</t>
  </si>
  <si>
    <t>LS 456: OH HPS Directional 50000L Fix</t>
  </si>
  <si>
    <t>LS 457: OH HPS Open Bottom 9500L Fixture</t>
  </si>
  <si>
    <t>RLS 458: OH MV Cobra 8000L Fixture Only</t>
  </si>
  <si>
    <t>LS 470: OH MH Directional 12000L Fixture</t>
  </si>
  <si>
    <t>RLS 471: OH MH Directional 12000L Wood</t>
  </si>
  <si>
    <t>LS 473: OH MH Directional 32000L Fixture</t>
  </si>
  <si>
    <t>RLS 474: OH MH Directional 32000L Wood</t>
  </si>
  <si>
    <t>RLS 475: OH MH Directional 32000L Metal</t>
  </si>
  <si>
    <t>LS 476: OH MH Directional 107800L Fix</t>
  </si>
  <si>
    <t>RLS 477: OH MH Directional 107800L Wood</t>
  </si>
  <si>
    <t>LS 480: UG MH Contemporary 12000L Deco</t>
  </si>
  <si>
    <t>LS 481: UG MH Contemporary 32000L Fix</t>
  </si>
  <si>
    <t>LS 482: UG MH Contemporary 32000L Deco</t>
  </si>
  <si>
    <t>LS 483: UG MH Contemporary 107800L Fix</t>
  </si>
  <si>
    <t>LS 484: UG MH Contemporary 107800L Deco</t>
  </si>
  <si>
    <t>Total Energy</t>
  </si>
  <si>
    <t>Poles &amp; Bases</t>
  </si>
  <si>
    <t>Non-Fuel Energy</t>
  </si>
  <si>
    <t>Non-Fuel Revenue</t>
  </si>
  <si>
    <t xml:space="preserve"> kVA Demand-Base Measured</t>
  </si>
  <si>
    <t xml:space="preserve"> kVA Demand-Intermediate Measured (Winter Peak for PS)</t>
  </si>
  <si>
    <t xml:space="preserve"> kVA Demand-Peak Measured (Summer Peak for PS)</t>
  </si>
  <si>
    <t xml:space="preserve"> Energy  Adj to Remove Out Period Billings</t>
  </si>
  <si>
    <t>LEUM_829</t>
  </si>
  <si>
    <t>Total Cnt</t>
  </si>
  <si>
    <t>Total Calc $</t>
  </si>
  <si>
    <t>Total Poles</t>
  </si>
  <si>
    <t>Total Adj</t>
  </si>
  <si>
    <t>Test Per Cnt</t>
  </si>
  <si>
    <t>Test Period $</t>
  </si>
  <si>
    <t>Test Per Adj</t>
  </si>
  <si>
    <t>Test Per Poles</t>
  </si>
  <si>
    <t>Out of Per Cnt</t>
  </si>
  <si>
    <t>Out of Per Rev</t>
  </si>
  <si>
    <t>SBR Revenue</t>
  </si>
  <si>
    <t>Totals $</t>
  </si>
  <si>
    <t>Current Rate</t>
  </si>
  <si>
    <t>Adjustment to Count to Remove Out of Period Billings</t>
  </si>
  <si>
    <t>Test Period KWH</t>
  </si>
  <si>
    <t>Out of Per KWH</t>
  </si>
  <si>
    <t>Adjustment to Lighting Revenues to Reflect Out of Period Billings</t>
  </si>
  <si>
    <t>Step 1:</t>
  </si>
  <si>
    <t>Choose the appropriate month in the test year</t>
  </si>
  <si>
    <t>Specify Company Code 100 (LGE)</t>
  </si>
  <si>
    <t>run BW report LGE 1022, retreiving the following fields:</t>
  </si>
  <si>
    <t>KW/KVA On Peak</t>
  </si>
  <si>
    <t>KW/KVA On Peak Adj</t>
  </si>
  <si>
    <t>PF Qty</t>
  </si>
  <si>
    <t>KW/KVA Base Measured</t>
  </si>
  <si>
    <t>KW/KVA Intermed Measured</t>
  </si>
  <si>
    <t>KW/KVA Peak Measured</t>
  </si>
  <si>
    <t>KW/KVA On Peak Measured</t>
  </si>
  <si>
    <t>copy/paste from "LGE Light Details Working Copy"</t>
  </si>
  <si>
    <t>Previous</t>
  </si>
  <si>
    <t>Adjustment to Contract Accts to Out of Period Billings</t>
  </si>
  <si>
    <t>Adjustment to Energy to Reflect Out of Period Billings</t>
  </si>
  <si>
    <t>ECR rollin</t>
  </si>
  <si>
    <t>High Pressure Sodium, OH, Cobra Head, 16000</t>
  </si>
  <si>
    <t>High Pressure Sodium, OH, Cobra Head, 28500</t>
  </si>
  <si>
    <t>High Pressure Sodium, OH, Cobra Head, 50000</t>
  </si>
  <si>
    <t>High Pressure Sodium, OH, Directional, 16000</t>
  </si>
  <si>
    <t>High Pressure Sodium, OH, Directional, 50000</t>
  </si>
  <si>
    <t>Metal Halide, OH, Directional, 12000</t>
  </si>
  <si>
    <t>High Pressure Sodium, OH, Open Bottom, 9500</t>
  </si>
  <si>
    <t>Metal Halide, OH, Directional, 32000</t>
  </si>
  <si>
    <t>Metal Halide, OH, Directional, 107800</t>
  </si>
  <si>
    <t>High Pressure Sodium, UG, Colonial, 4-sided, 5800</t>
  </si>
  <si>
    <t>High Pressure Sodium, UG, Colonial, 4-sided, 9500</t>
  </si>
  <si>
    <t>High Pressure Sodium, UG, Acorn, 5800</t>
  </si>
  <si>
    <t>High Pressure Sodium, UG, Acorn, 9500</t>
  </si>
  <si>
    <t>High Pressure Sodium, UG, London, 5800</t>
  </si>
  <si>
    <t>High Pressure Sodium, UG, London, 9500</t>
  </si>
  <si>
    <t>High Pressure Sodium, UG, Victorian, 5800</t>
  </si>
  <si>
    <t>High Pressure Sodium, UG, Victorian, 9500</t>
  </si>
  <si>
    <t>High Pressure Sodium, UG, Cobra Head, 16000</t>
  </si>
  <si>
    <t>High Pressure Sodium, UG, Cobra Head, 28500</t>
  </si>
  <si>
    <t>High Pressure Sodium, UG, Cobra Head, 50000</t>
  </si>
  <si>
    <t>High Pressure Sodium, UG, Contemporary, 16000, Fixture Only</t>
  </si>
  <si>
    <t>High Pressure Sodium, UG, Contemporary, 28500, Fixture Only</t>
  </si>
  <si>
    <t>High Pressure Sodium, UG, Contemporary, 50000, Fixture Only</t>
  </si>
  <si>
    <t>High Pressure Sodium, UG, Contemporary, 16000, Fixture with Decorative Smooth Pole</t>
  </si>
  <si>
    <t>High Pressure Sodium, UG, Contemporary, 28500, Fixture with Decorative Smooth Pole</t>
  </si>
  <si>
    <t>High Pressure Sodium, UG, Contemporary, 50000, Fixture with Decorative Smooth Pole</t>
  </si>
  <si>
    <t>High Pressure Sodium, UG, Dark Sky, 4000</t>
  </si>
  <si>
    <t>High Pressure Sodium, UG, Dark Sky, 9500</t>
  </si>
  <si>
    <t>Metal Halide, UG, Contemporary, 12000, Fixture Only</t>
  </si>
  <si>
    <t>Metal Halide, UG, Contemporary, 12000, Fixture with Decorative Smooth Pole</t>
  </si>
  <si>
    <t>Metal Halide, UG, Contemporary, 107800, Fixture Only</t>
  </si>
  <si>
    <t>Metal Halide, UG, Contemporary, 107800, Fixture with Decorative Smooth Pole</t>
  </si>
  <si>
    <t>Metal Halide, UG, Contemporary, 32000, Fixture with Decorative Smooth Pole</t>
  </si>
  <si>
    <t>Metal Halide, UG, Contemporary, 32000, Fixture Only</t>
  </si>
  <si>
    <t>Mercury Vapor, OH, Cobra/Open Bottom, 8000</t>
  </si>
  <si>
    <t>Mercury Vapor, OH, Cobra Head, 8000</t>
  </si>
  <si>
    <t>Mercury Vapor, OH, Cobra Head, 13000</t>
  </si>
  <si>
    <t>Mercury Vapor, OH, Cobra Head, 25000</t>
  </si>
  <si>
    <t>Mercury Vapor, OH, Cobra Head, 60000</t>
  </si>
  <si>
    <t>Mercury Vapor, OH, Directional, 25000</t>
  </si>
  <si>
    <t>Mercury Vapor, OH, Directional, 60000</t>
  </si>
  <si>
    <t>Mercury Vapor, OH, Open Bottom, 4000</t>
  </si>
  <si>
    <t>Metal Halide, OH, Directional, 32000, Fixture with Ornamental Pole</t>
  </si>
  <si>
    <t>Metal Halide, OH, Directional, 32000, Fixture with Wood Pole</t>
  </si>
  <si>
    <t>Metal Halide, OH, Directional, 12000, Fixture with Wood Pole</t>
  </si>
  <si>
    <t>Metal Halide, OH, Directional, 107800, Fixture with Wood Pole</t>
  </si>
  <si>
    <t>High Pressure Sodium, UG, Cobra/Contemporary, 28500, Decorative Smooth Pole</t>
  </si>
  <si>
    <t>High Pressure Sodium, UG, Cobra/Contemporary, 50000, Decorative Smooth Pole</t>
  </si>
  <si>
    <t>High Pressure Sodium, UG, Cobra/Contemporary, 16000, Decorative Smooth Pole</t>
  </si>
  <si>
    <t>High Pressure Sodium, UG, Coach/Acorn, 5800, Decorative Smooth Pole</t>
  </si>
  <si>
    <t>High Pressure Sodium, UG, Coach/Acorn, 9500, Decorative Smooth Pole</t>
  </si>
  <si>
    <t>High Pressure Sodium, UG, Coach/Acorn, 16000, Decorative Smooth Pole</t>
  </si>
  <si>
    <t>High Pressure Sodium, UG, Contemporary, 120000, Fixture Only</t>
  </si>
  <si>
    <t>High Pressure Sodium, UG, Contemporary, 120000, Fixture with Decorative Smooth Pole</t>
  </si>
  <si>
    <t>High Pressure Sodium, UG, Acorn, Bronze, 9500, Decorative Smooth Pole</t>
  </si>
  <si>
    <t>High Pressure Sodium, UG, Acorn, Bronze, 16000, Decorative Smooth Pole</t>
  </si>
  <si>
    <t>High Pressure Sodium, UG, Victorian, 5800, Fixture Only</t>
  </si>
  <si>
    <t>High Pressure Sodium, UG, Victorian, 9500, Fixture Only</t>
  </si>
  <si>
    <t>High Pressure Sodium, UG, London, 5800, Fixture Only</t>
  </si>
  <si>
    <t>High Pressure Sodium, UG, London, 9500, Fixture Only</t>
  </si>
  <si>
    <t>High Pressure Sodium, UG, London, 5800, Fixture with Decorative Smooth Pole</t>
  </si>
  <si>
    <t>High Pressure Sodium, UG, London, 9500, Fixture with Decorative Smooth Pole</t>
  </si>
  <si>
    <t>High Pressure Sodium, UG, Victorian, 5800, Fixture with Decorative Smooth Pole</t>
  </si>
  <si>
    <t>High Pressure Sodium, UG, Victorian, 9500, Fixture with Decorative Smooth Pole</t>
  </si>
  <si>
    <t>Mercury Vapor, UG, Cobra Head, 8000, Fixture with Decorative Smooth Pole</t>
  </si>
  <si>
    <t>Mercury Vapor, UG, Cobra Head, 13000, Fixture with Decorative Smooth Pole</t>
  </si>
  <si>
    <t>Mercury Vapor, UG, Cobra Head, 25000, Fixture with Decorative Smooth Pole</t>
  </si>
  <si>
    <t>Mercury Vapor, UG, Cobra (State of KY Pole), 25000, Fixture only</t>
  </si>
  <si>
    <t>Mercury Vapor, UG, Coach, 4000, Decorative Smooth Pole</t>
  </si>
  <si>
    <t>Mercury Vapor, UG, Coach, 8000, Decorative Smooth Pole</t>
  </si>
  <si>
    <t>Incandescent, UG, Continental Jr, 1500, Decorative Smooth Pole</t>
  </si>
  <si>
    <t>Incandescent, UG, Continental Jr, 6000, Decorative Smooth Pole</t>
  </si>
  <si>
    <t xml:space="preserve">LS </t>
  </si>
  <si>
    <t>Total Lights only</t>
  </si>
  <si>
    <t>Excess Facilities ODL CIAC</t>
  </si>
  <si>
    <t>General Service Water Heating</t>
  </si>
  <si>
    <t>General Service Single Phase Unmetered</t>
  </si>
  <si>
    <t>General Service Space Heating</t>
  </si>
  <si>
    <t>General Service Three Phase Water Heat</t>
  </si>
  <si>
    <t>LEV: Low Emission Vehicle Service</t>
  </si>
  <si>
    <t>TS</t>
  </si>
  <si>
    <t>Time of Day Secondary (Commercial and Industrial)</t>
  </si>
  <si>
    <t>Time of Day Primary (Commercial)</t>
  </si>
  <si>
    <t>Time of Day Primary (Industrial)</t>
  </si>
  <si>
    <t>Partial month and prorated billings</t>
  </si>
  <si>
    <t>TIME OF DAY SECONDARY SERVICE</t>
  </si>
  <si>
    <t>Victorian/London Bases</t>
  </si>
  <si>
    <t>Existing Poles/Bases Billed Under Corresponding RLS Rates:</t>
  </si>
  <si>
    <t>10' Smooth Pole (RLS Sheet No. 36.1)</t>
  </si>
  <si>
    <t>10' Fluted Pole (RLS Sheet No. 36.1)</t>
  </si>
  <si>
    <t>Old Town Bases (RLS Sheet No. 36.1)</t>
  </si>
  <si>
    <t>Chesapeake Bases (RLS Sheet No. 36.1)</t>
  </si>
  <si>
    <t>Sheet No. 36</t>
  </si>
  <si>
    <t>Overhead Service continued</t>
  </si>
  <si>
    <t>Wood Pole Installed before 3/1/2010</t>
  </si>
  <si>
    <t>Wood Pole Installed before 7/1/2004</t>
  </si>
  <si>
    <t>Coach/Acorn, 9500 Lumens</t>
  </si>
  <si>
    <t>Coach/Acorn, 5800 Lumens</t>
  </si>
  <si>
    <t>Cobra/Contemporary, 50000 Lumens</t>
  </si>
  <si>
    <t>Cobra/Contemporary, 28500 Lumens</t>
  </si>
  <si>
    <t>Cobra/Contemporary, 16000 Lumens</t>
  </si>
  <si>
    <t>Contemporary, 120000 Lumens, Fixture Only</t>
  </si>
  <si>
    <t>Contemporary, 120000 Lumens, Fixture and Decorative Smooth Pole</t>
  </si>
  <si>
    <t>Acorn, Bronze, 9500 Lumens</t>
  </si>
  <si>
    <t>Acorn, Bronze, 16000 Lumens</t>
  </si>
  <si>
    <t>Sheet No. 36.2</t>
  </si>
  <si>
    <t>Underground Service, continued</t>
  </si>
  <si>
    <t>Old Town</t>
  </si>
  <si>
    <t>Chesapeake</t>
  </si>
  <si>
    <t>10" Smooth Pole</t>
  </si>
  <si>
    <t>10" Fluted Pole</t>
  </si>
  <si>
    <t>Cobra Head, 8000 Lumens</t>
  </si>
  <si>
    <t>Cobra Head, 13000 Lumens</t>
  </si>
  <si>
    <t>Cobra Head, 25000 Lumens</t>
  </si>
  <si>
    <t>Cobra Head, 25000 Lumens (State of KY Pole)</t>
  </si>
  <si>
    <t>Coach, 4000 Lumens</t>
  </si>
  <si>
    <t>Coach, 8000 Lumens</t>
  </si>
  <si>
    <t>Continental Jr., 1500 Lumens</t>
  </si>
  <si>
    <t>Continental Jr., 6000 Lumens</t>
  </si>
  <si>
    <t>Cobra Head, 16000 Lumens</t>
  </si>
  <si>
    <t>Cobra Head, 50000 Lumens</t>
  </si>
  <si>
    <t>Contemporary, 16000 Lumens, Fixture Only</t>
  </si>
  <si>
    <t>Contemporary, 50000 Lumens, Fixture Only</t>
  </si>
  <si>
    <t>Contemporary, 16000 Lumens, Fixture with Decorative Smooth Pole</t>
  </si>
  <si>
    <t>Contemporary, 50000 Lumens, Fixture with Decorative Smooth Pole</t>
  </si>
  <si>
    <t>Contemporary, 12000 Lumens, Fixture Only</t>
  </si>
  <si>
    <t>Contemporary, 12000 Lumens, Fixture with Decorative Smooth Pole</t>
  </si>
  <si>
    <t>Contemporary, 32000 Lumens, Fixture Only</t>
  </si>
  <si>
    <t>Contemporary, 32000 Lumens, Fixture with Decorative Smooth Pole</t>
  </si>
  <si>
    <t>Cobra/Open Bottom, 8000 Lumens</t>
  </si>
  <si>
    <t>Cobra Head, 60000 Lumens</t>
  </si>
  <si>
    <t>Directional, 25000 Lumens</t>
  </si>
  <si>
    <t>Directional, 60000 Lumens</t>
  </si>
  <si>
    <t>Open Bottom, 4000 Lumens</t>
  </si>
  <si>
    <t>Directional, 12000 Lumens, Fixture and Wood Pole</t>
  </si>
  <si>
    <t>Directional, 32000 Lumens, Fixture and Wood Pole</t>
  </si>
  <si>
    <t>Directional, 32000 Lumens, Fixture and Ornamental Pole</t>
  </si>
  <si>
    <t>Contemporary, 107800 Lumens, Fixture Only</t>
  </si>
  <si>
    <t>Contemporary, 107800 Lumens, Fixture with Decorative Smooth Pole</t>
  </si>
  <si>
    <t>Directional, 107800 Lumens, Fixture and Wood Pole</t>
  </si>
  <si>
    <t>Cobra Head, 28500 Lumens</t>
  </si>
  <si>
    <t>Contemporary, 28500 Lumens, Fixture Only</t>
  </si>
  <si>
    <t>Contemporary, 28500 Lumens, Fixture with Decorative Smooth Pole</t>
  </si>
  <si>
    <t>Directional, 16000 Lumens</t>
  </si>
  <si>
    <t>Directional, 50000 Lumens</t>
  </si>
  <si>
    <t>Open Bottom, 9500 Lumens</t>
  </si>
  <si>
    <t>Directional, 12000 Lumens</t>
  </si>
  <si>
    <t>Directional, 32000 Lumens</t>
  </si>
  <si>
    <t>Directional, 107800 Lumens</t>
  </si>
  <si>
    <t>Colonial, 4-Sided, 5800 Lumens</t>
  </si>
  <si>
    <t>Colonial, 4-Sided, 9500 Lumens</t>
  </si>
  <si>
    <t>Acorn, 5800 Lumens</t>
  </si>
  <si>
    <t>Acorn, 9500 Lumens</t>
  </si>
  <si>
    <t>London, 5800 Lumens</t>
  </si>
  <si>
    <t>London, 9500 Lumens</t>
  </si>
  <si>
    <t>Victorian, 5800 Lumens</t>
  </si>
  <si>
    <t>Victorian, 9500 Lumens</t>
  </si>
  <si>
    <t>Victorian/London Bases (LS Sheet No. 35.1)</t>
  </si>
  <si>
    <t>Underground, continued</t>
  </si>
  <si>
    <t>LGCSR760</t>
  </si>
  <si>
    <t>Input data from LGE Light Details Working Copy.xlsx; "mmPoles" tab</t>
  </si>
  <si>
    <t>CSR10 Option A - Transmission</t>
  </si>
  <si>
    <t>LE_954BASE</t>
  </si>
  <si>
    <t>LGRSE547</t>
  </si>
  <si>
    <t>LGUM_204CU</t>
  </si>
  <si>
    <t>RLS 204CU: OH MV Cobra Head 25000L Fix</t>
  </si>
  <si>
    <t>LEV: Low Emmission Vehicle with NMS</t>
  </si>
  <si>
    <t>MAR 2014</t>
  </si>
  <si>
    <t>APR 2014</t>
  </si>
  <si>
    <t>MAY 2014</t>
  </si>
  <si>
    <t>Temporary Suspension - Commercial</t>
  </si>
  <si>
    <t>General Service Three Phase Space Heat</t>
  </si>
  <si>
    <t>LEV: Low Emission Vehicle with NMS</t>
  </si>
  <si>
    <t>JUNE 2014</t>
  </si>
  <si>
    <t>Power Factor Adj</t>
  </si>
  <si>
    <t>JUN 2014</t>
  </si>
  <si>
    <t>JUL 2014</t>
  </si>
  <si>
    <t>AUG 2014</t>
  </si>
  <si>
    <t>WORK PAPER REFERENCE NO(S):</t>
  </si>
  <si>
    <t>20 Year Normalized with Adjustments</t>
  </si>
  <si>
    <t>BASE PERIOD ACTUAL</t>
  </si>
  <si>
    <t>Primary Service-Secondary</t>
  </si>
  <si>
    <t>Primary Service-Primary</t>
  </si>
  <si>
    <t>Time-of-Day Secondary Service</t>
  </si>
  <si>
    <t>Curtailable Service Riders</t>
  </si>
  <si>
    <t>DATA:  __X__ BASE PERIOD  ____  FORECAST PERIOD</t>
  </si>
  <si>
    <t>TYPE OF FILING: __X__ ORIGINAL  _____ UPDATED  _____ REVISED</t>
  </si>
  <si>
    <t>Rate Class Lookup Key - Do Not Print this column!!  Print Range starts in Row 79</t>
  </si>
  <si>
    <t>Residential Service -- Electric Vehicle Only</t>
  </si>
  <si>
    <t>Time of Day Service</t>
  </si>
  <si>
    <t>Curtailable Service Rider 10</t>
  </si>
  <si>
    <t>Curtailable Service Rider 30</t>
  </si>
  <si>
    <t>Total Curtailable Service Rider</t>
  </si>
  <si>
    <t>Total Special Contracts</t>
  </si>
  <si>
    <t>RESIDENTIAL Service, including Volunteer Fire Departments</t>
  </si>
  <si>
    <t>Rate RS, Rate VFD, Rate RS with net metering, Rate RS with Water Heating Rider</t>
  </si>
  <si>
    <t>kWh, Period 1</t>
  </si>
  <si>
    <t>kWh, Period 2</t>
  </si>
  <si>
    <t>kWh, Period 3</t>
  </si>
  <si>
    <t>Partial month and prorated</t>
  </si>
  <si>
    <t>Power Factor Revenue Adjustment</t>
  </si>
  <si>
    <t>Redundant Capacity Rider (not included in Total Demand)</t>
  </si>
  <si>
    <t>SPECIAL CONTRACT #1</t>
  </si>
  <si>
    <t>SPECIAL CONTRACT #2</t>
  </si>
  <si>
    <t>Installed Lights</t>
  </si>
  <si>
    <t>Base Period</t>
  </si>
  <si>
    <t>Dark Sky, 4000 Lumens, Fixture with Decorative Smooth Pole</t>
  </si>
  <si>
    <t>Dark Sky, 9500 Lumens, Fixture with Decorative Smooth Pole</t>
  </si>
  <si>
    <t>Wood Pole installed before 7/1/2004 (RLS Sheet No. 36.1)</t>
  </si>
  <si>
    <t>Wood Pole installed before 3/1/2010 (RLS Sheet No. 36.1)</t>
  </si>
  <si>
    <t>Residential Service (includiing VFD)</t>
  </si>
  <si>
    <t>Demand Billings in kW</t>
  </si>
  <si>
    <t>Base Period Metered Demand</t>
  </si>
  <si>
    <t>Base Period Billed Minimum Demand</t>
  </si>
  <si>
    <t>Intermediate Period Metered Demand</t>
  </si>
  <si>
    <t>Intermediate Period Billed Minimum Demand</t>
  </si>
  <si>
    <t>Peak Period Metered Demand</t>
  </si>
  <si>
    <t>Peak Period Billed Minimum Demand</t>
  </si>
  <si>
    <t>Demand Billings, in kW</t>
  </si>
  <si>
    <t>Summer Metered Demand</t>
  </si>
  <si>
    <t>Summer Billed Minimum Demand</t>
  </si>
  <si>
    <t>Winter Metered Demand</t>
  </si>
  <si>
    <t>Winter Billed Minimum Demand</t>
  </si>
  <si>
    <t>Demand Billings in kVA</t>
  </si>
  <si>
    <t>SEP 2014</t>
  </si>
  <si>
    <t>OCT 2014</t>
  </si>
  <si>
    <t>NOV 2014</t>
  </si>
  <si>
    <t>DEC 2014</t>
  </si>
  <si>
    <t>JAN 2015</t>
  </si>
  <si>
    <t>FEB 2015</t>
  </si>
  <si>
    <t>Forecast, including LE and TE</t>
  </si>
  <si>
    <t>Mar 2014</t>
  </si>
  <si>
    <t>Apr 2014</t>
  </si>
  <si>
    <t>May 2014</t>
  </si>
  <si>
    <t>Jun 2014</t>
  </si>
  <si>
    <t>Jul 2014</t>
  </si>
  <si>
    <t>Aug 2014</t>
  </si>
  <si>
    <t>Lighting</t>
  </si>
  <si>
    <t>Used Feb 2014 actuals</t>
  </si>
  <si>
    <t>3</t>
  </si>
  <si>
    <t>36</t>
  </si>
  <si>
    <t>Used Jan 2014 actuals</t>
  </si>
  <si>
    <t>0</t>
  </si>
  <si>
    <t>37</t>
  </si>
  <si>
    <t>Used Sep 2013 actuals</t>
  </si>
  <si>
    <t>Used Oct 2013 actuals</t>
  </si>
  <si>
    <t>Used Nov 2013 Actuals</t>
  </si>
  <si>
    <t>Used Dec 2013 Actuals</t>
  </si>
  <si>
    <t>poles revenue</t>
  </si>
  <si>
    <t>lights only</t>
  </si>
  <si>
    <t>Total lighting revenue, forecast</t>
  </si>
  <si>
    <t>2014 forecast</t>
  </si>
  <si>
    <t>LE/TE</t>
  </si>
  <si>
    <t>total lighting revenue</t>
  </si>
  <si>
    <t>2013 lighting revenue</t>
  </si>
  <si>
    <t>2014 lighting revenue</t>
  </si>
  <si>
    <t>Jan 2015</t>
  </si>
  <si>
    <t>Feb 2015</t>
  </si>
  <si>
    <t>Sep 2014</t>
  </si>
  <si>
    <t>Oct 2014</t>
  </si>
  <si>
    <t>Nov 2014</t>
  </si>
  <si>
    <t>Dec 2014</t>
  </si>
  <si>
    <t>Revenue Adj</t>
  </si>
  <si>
    <t>Adj count</t>
  </si>
  <si>
    <t>Calc Revenue</t>
  </si>
  <si>
    <t>RLS 250 W OH HP Sodium Vapor - Commercial</t>
  </si>
  <si>
    <t>RLS 250 W UG HP Sodium Vapor - Commercial</t>
  </si>
  <si>
    <t>RLS 100 W UG HP Sodium Vapor TM - Commercial</t>
  </si>
  <si>
    <t>RLS 400 W MV Flood Light - Residential</t>
  </si>
  <si>
    <t>RLS 250 W 13000 LMV - Commercial</t>
  </si>
  <si>
    <t>RLS 400 W 25000 LMV - Commercial</t>
  </si>
  <si>
    <t>RLS 400 W OH HP Sodium Vapor - Commercial</t>
  </si>
  <si>
    <t>RLS 400 W Sodium Vapor Flood Light - Comm</t>
  </si>
  <si>
    <t>RLS 400 W UG HP Sodium Vapor - Commercial</t>
  </si>
  <si>
    <t>RLS 150 W OHHP Sodium Vapor FL - Commercial</t>
  </si>
  <si>
    <t>RLS 1,000 W MV Flood Light - Commercial</t>
  </si>
  <si>
    <t>RLS 150 W OHHP Sodium Vapor - Commercial</t>
  </si>
  <si>
    <t>ECR in Base Rates -- Revenue Forecast</t>
  </si>
  <si>
    <t>A</t>
  </si>
  <si>
    <t>Page 1 of 1</t>
  </si>
  <si>
    <t>Witness:  M.J. Blake</t>
  </si>
  <si>
    <t>Total Revenue at Present Rates</t>
  </si>
  <si>
    <t>Outdoor Lighting</t>
  </si>
  <si>
    <t>Total Sales to Ultimate Consumers</t>
  </si>
  <si>
    <t>Other Operating Revenues:</t>
  </si>
  <si>
    <t>Late Payment Charge</t>
  </si>
  <si>
    <t>Rent from Electric Property</t>
  </si>
  <si>
    <t>Other Miscellaneous Revenues</t>
  </si>
  <si>
    <t>TOTAL OPERATING REVENUES</t>
  </si>
  <si>
    <t>kWh Billed</t>
  </si>
  <si>
    <t>Average Consumption in kWh</t>
  </si>
  <si>
    <t>Annual Revenues at Present Rates</t>
  </si>
  <si>
    <t>Average Bill at Present Rates</t>
  </si>
  <si>
    <t>GENERAL SERVICE RATE GS</t>
  </si>
  <si>
    <t>Allocate ODL</t>
  </si>
  <si>
    <t>Tpta;</t>
  </si>
  <si>
    <t>Lighting Service (LS and RLS)</t>
  </si>
  <si>
    <t>Total LS and RLS Adjusted Revenues</t>
  </si>
  <si>
    <t>Time-of-Day Primary Service -- Commercial</t>
  </si>
  <si>
    <t>Time-of-Day Primary Service -- Industrial</t>
  </si>
  <si>
    <t>Power Service Secondary</t>
  </si>
  <si>
    <t>Power Service Primary</t>
  </si>
  <si>
    <t>Time of Day Secondary</t>
  </si>
  <si>
    <t>Time of Day Primary -- Commercial</t>
  </si>
  <si>
    <t>Time of Day Primary -- Industrial</t>
  </si>
  <si>
    <t>Sheet No 35.2</t>
  </si>
  <si>
    <t>Time of Day Primary Service -- Commercial</t>
  </si>
  <si>
    <t>Page 1 of 19</t>
  </si>
  <si>
    <t>Low Emission Vehicle Service (proposed RTODE)</t>
  </si>
  <si>
    <t>Schedule M-1.1-E</t>
  </si>
  <si>
    <t>Schedule M-1.2-E</t>
  </si>
  <si>
    <t>Schedule M-1.3-E</t>
  </si>
</sst>
</file>

<file path=xl/styles.xml><?xml version="1.0" encoding="utf-8"?>
<styleSheet xmlns="http://schemas.openxmlformats.org/spreadsheetml/2006/main" xmlns:mc="http://schemas.openxmlformats.org/markup-compatibility/2006" xmlns:x14ac="http://schemas.microsoft.com/office/spreadsheetml/2009/9/ac" mc:Ignorable="x14ac">
  <numFmts count="42">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0000_);_(* \(#,##0.00000\);_(* &quot;-&quot;??_);_(@_)"/>
    <numFmt numFmtId="165" formatCode="_(* #,##0_);_(* \(#,##0\);_(* &quot;-&quot;??_);_(@_)"/>
    <numFmt numFmtId="166" formatCode="_(&quot;$&quot;* #,##0.00000_);_(&quot;$&quot;* \(#,##0.00000\);_(&quot;$&quot;* &quot;-&quot;??_);_(@_)"/>
    <numFmt numFmtId="167" formatCode="_(* #,##0.000000_);_(* \(#,##0.000000\);_(* &quot;-&quot;??_);_(@_)"/>
    <numFmt numFmtId="168" formatCode="#,##0.00;\-#,##0.00;#,##0.00;@"/>
    <numFmt numFmtId="169" formatCode="#,##0;\-#,##0;#,##0;@"/>
    <numFmt numFmtId="170" formatCode="[$-409]mmm\-yy;@"/>
    <numFmt numFmtId="171" formatCode="#,##0.000;\-#,##0.000;#,##0.000;@"/>
    <numFmt numFmtId="172" formatCode="[$-409]mmmm\ d\,\ yyyy;@"/>
    <numFmt numFmtId="173" formatCode="0_);\(0\)"/>
    <numFmt numFmtId="174" formatCode="_(&quot;$&quot;* #,##0_);_(&quot;$&quot;* \(#,##0\);_(&quot;$&quot;* &quot;-&quot;??_);_(@_)"/>
    <numFmt numFmtId="175" formatCode="[$-409]mmmm\-yy;@"/>
    <numFmt numFmtId="176" formatCode="General_)"/>
    <numFmt numFmtId="177" formatCode="&quot;$&quot;#,##0.00"/>
    <numFmt numFmtId="178" formatCode="0.000000000"/>
    <numFmt numFmtId="179" formatCode="0.000000"/>
    <numFmt numFmtId="180" formatCode="&quot;$&quot;#,##0\ ;\(&quot;$&quot;#,##0\)"/>
    <numFmt numFmtId="181" formatCode="#,##0.0000000;\-#,##0.0000000;#,##0.0000000;@"/>
    <numFmt numFmtId="182" formatCode="0.0000000"/>
    <numFmt numFmtId="183" formatCode="0.0000"/>
    <numFmt numFmtId="184" formatCode="0.0000000000"/>
    <numFmt numFmtId="185" formatCode="0.00000000"/>
    <numFmt numFmtId="186" formatCode="0.000%"/>
    <numFmt numFmtId="187" formatCode="0.0000000000000000"/>
    <numFmt numFmtId="188" formatCode="0\ 00\ 000\ 000"/>
    <numFmt numFmtId="189" formatCode="[$-409]d\-mmm\-yy;@"/>
    <numFmt numFmtId="190" formatCode="_-* #,##0.00\ [$€]_-;\-* #,##0.00\ [$€]_-;_-* &quot;-&quot;??\ [$€]_-;_-@_-"/>
    <numFmt numFmtId="191" formatCode="_([$€-2]* #,##0.00_);_([$€-2]* \(#,##0.00\);_([$€-2]* &quot;-&quot;??_)"/>
    <numFmt numFmtId="192" formatCode="_-* #,##0\ _F_-;\-* #,##0\ _F_-;_-* &quot;-&quot;\ _F_-;_-@_-"/>
    <numFmt numFmtId="193" formatCode="_-* #,##0.00\ _F_-;\-* #,##0.00\ _F_-;_-* &quot;-&quot;??\ _F_-;_-@_-"/>
    <numFmt numFmtId="194" formatCode="_-* #,##0\ &quot;F&quot;_-;\-* #,##0\ &quot;F&quot;_-;_-* &quot;-&quot;\ &quot;F&quot;_-;_-@_-"/>
    <numFmt numFmtId="195" formatCode="_-* #,##0.00\ &quot;F&quot;_-;\-* #,##0.00\ &quot;F&quot;_-;_-* &quot;-&quot;??\ &quot;F&quot;_-;_-@_-"/>
    <numFmt numFmtId="196" formatCode="00000000"/>
    <numFmt numFmtId="197" formatCode="[$-409]d\-mmm\-yyyy;@"/>
    <numFmt numFmtId="198" formatCode="#,##0.00;[Red]\(#,##0.00\)"/>
    <numFmt numFmtId="199" formatCode="###,000"/>
    <numFmt numFmtId="200" formatCode=";;;"/>
    <numFmt numFmtId="201" formatCode="#,##0_);[Red]\(#,##0\);&quot; &quot;"/>
  </numFmts>
  <fonts count="155">
    <font>
      <sz val="9"/>
      <color theme="1"/>
      <name val="Times New Roman"/>
      <family val="2"/>
    </font>
    <font>
      <sz val="11"/>
      <color theme="1"/>
      <name val="Calibri"/>
      <family val="2"/>
      <scheme val="minor"/>
    </font>
    <font>
      <sz val="10"/>
      <color theme="1"/>
      <name val="Calibri"/>
      <family val="2"/>
    </font>
    <font>
      <sz val="9"/>
      <color theme="1"/>
      <name val="Times New Roman"/>
      <family val="2"/>
    </font>
    <font>
      <sz val="8"/>
      <color rgb="FF000000"/>
      <name val="Arial"/>
      <family val="2"/>
    </font>
    <font>
      <sz val="9"/>
      <color rgb="FF0000FF"/>
      <name val="Times New Roman"/>
      <family val="2"/>
    </font>
    <font>
      <sz val="10"/>
      <name val="Arial"/>
      <family val="2"/>
    </font>
    <font>
      <sz val="10"/>
      <name val="Times New Roman"/>
      <family val="1"/>
    </font>
    <font>
      <sz val="9"/>
      <name val="Times New Roman"/>
      <family val="2"/>
    </font>
    <font>
      <sz val="8"/>
      <color theme="1"/>
      <name val="Calibri"/>
      <family val="2"/>
      <scheme val="minor"/>
    </font>
    <font>
      <sz val="11"/>
      <color theme="1"/>
      <name val="Calibri"/>
      <family val="2"/>
      <scheme val="minor"/>
    </font>
    <font>
      <sz val="7"/>
      <color theme="1"/>
      <name val="Times New Roman"/>
      <family val="2"/>
    </font>
    <font>
      <b/>
      <sz val="18"/>
      <color theme="3"/>
      <name val="Cambria"/>
      <family val="2"/>
      <scheme val="major"/>
    </font>
    <font>
      <b/>
      <sz val="15"/>
      <color theme="3"/>
      <name val="Times New Roman"/>
      <family val="2"/>
    </font>
    <font>
      <b/>
      <sz val="13"/>
      <color theme="3"/>
      <name val="Times New Roman"/>
      <family val="2"/>
    </font>
    <font>
      <b/>
      <sz val="11"/>
      <color theme="3"/>
      <name val="Times New Roman"/>
      <family val="2"/>
    </font>
    <font>
      <sz val="7"/>
      <name val="Times New Roman"/>
      <family val="2"/>
    </font>
    <font>
      <sz val="10"/>
      <name val="Arial (W1)"/>
    </font>
    <font>
      <sz val="12"/>
      <name val="Times New Roman"/>
      <family val="1"/>
    </font>
    <font>
      <sz val="11"/>
      <color indexed="8"/>
      <name val="Calibri"/>
      <family val="2"/>
    </font>
    <font>
      <sz val="11"/>
      <color theme="1"/>
      <name val="Times New Roman"/>
      <family val="2"/>
    </font>
    <font>
      <sz val="11"/>
      <color indexed="9"/>
      <name val="Calibri"/>
      <family val="2"/>
    </font>
    <font>
      <sz val="11"/>
      <color theme="0"/>
      <name val="Calibri"/>
      <family val="2"/>
      <scheme val="minor"/>
    </font>
    <font>
      <sz val="11"/>
      <color theme="0"/>
      <name val="Times New Roman"/>
      <family val="2"/>
    </font>
    <font>
      <sz val="11"/>
      <color indexed="20"/>
      <name val="Calibri"/>
      <family val="2"/>
    </font>
    <font>
      <sz val="11"/>
      <color rgb="FF9C0006"/>
      <name val="Calibri"/>
      <family val="2"/>
      <scheme val="minor"/>
    </font>
    <font>
      <sz val="11"/>
      <color rgb="FF9C0006"/>
      <name val="Times New Roman"/>
      <family val="2"/>
    </font>
    <font>
      <b/>
      <sz val="11"/>
      <color indexed="52"/>
      <name val="Calibri"/>
      <family val="2"/>
    </font>
    <font>
      <b/>
      <sz val="11"/>
      <color rgb="FFFA7D00"/>
      <name val="Calibri"/>
      <family val="2"/>
      <scheme val="minor"/>
    </font>
    <font>
      <b/>
      <sz val="11"/>
      <color rgb="FFFA7D00"/>
      <name val="Times New Roman"/>
      <family val="2"/>
    </font>
    <font>
      <b/>
      <sz val="11"/>
      <color indexed="10"/>
      <name val="Calibri"/>
      <family val="2"/>
    </font>
    <font>
      <b/>
      <sz val="11"/>
      <color indexed="9"/>
      <name val="Calibri"/>
      <family val="2"/>
    </font>
    <font>
      <b/>
      <sz val="11"/>
      <color theme="0"/>
      <name val="Calibri"/>
      <family val="2"/>
      <scheme val="minor"/>
    </font>
    <font>
      <b/>
      <sz val="11"/>
      <color theme="0"/>
      <name val="Times New Roman"/>
      <family val="2"/>
    </font>
    <font>
      <i/>
      <sz val="11"/>
      <color indexed="23"/>
      <name val="Calibri"/>
      <family val="2"/>
    </font>
    <font>
      <i/>
      <sz val="11"/>
      <color rgb="FF7F7F7F"/>
      <name val="Calibri"/>
      <family val="2"/>
      <scheme val="minor"/>
    </font>
    <font>
      <i/>
      <sz val="11"/>
      <color rgb="FF7F7F7F"/>
      <name val="Times New Roman"/>
      <family val="2"/>
    </font>
    <font>
      <b/>
      <sz val="10"/>
      <name val="Arial"/>
      <family val="2"/>
    </font>
    <font>
      <b/>
      <sz val="14"/>
      <name val="Arial"/>
      <family val="2"/>
    </font>
    <font>
      <sz val="8"/>
      <name val="Arial"/>
      <family val="2"/>
    </font>
    <font>
      <sz val="6"/>
      <name val="Arial"/>
      <family val="2"/>
    </font>
    <font>
      <sz val="11"/>
      <color indexed="17"/>
      <name val="Calibri"/>
      <family val="2"/>
    </font>
    <font>
      <sz val="11"/>
      <color rgb="FF006100"/>
      <name val="Calibri"/>
      <family val="2"/>
      <scheme val="minor"/>
    </font>
    <font>
      <sz val="11"/>
      <color rgb="FF006100"/>
      <name val="Times New Roman"/>
      <family val="2"/>
    </font>
    <font>
      <b/>
      <sz val="15"/>
      <color indexed="56"/>
      <name val="Calibri"/>
      <family val="2"/>
    </font>
    <font>
      <b/>
      <sz val="15"/>
      <color theme="3"/>
      <name val="Calibri"/>
      <family val="2"/>
      <scheme val="minor"/>
    </font>
    <font>
      <b/>
      <sz val="15"/>
      <color indexed="62"/>
      <name val="Calibri"/>
      <family val="2"/>
    </font>
    <font>
      <b/>
      <sz val="18"/>
      <name val="Arial"/>
      <family val="2"/>
    </font>
    <font>
      <b/>
      <sz val="13"/>
      <color indexed="56"/>
      <name val="Calibri"/>
      <family val="2"/>
    </font>
    <font>
      <b/>
      <sz val="13"/>
      <color theme="3"/>
      <name val="Calibri"/>
      <family val="2"/>
      <scheme val="minor"/>
    </font>
    <font>
      <b/>
      <sz val="13"/>
      <color indexed="62"/>
      <name val="Calibri"/>
      <family val="2"/>
    </font>
    <font>
      <b/>
      <sz val="12"/>
      <name val="Arial"/>
      <family val="2"/>
    </font>
    <font>
      <b/>
      <sz val="11"/>
      <color indexed="56"/>
      <name val="Calibri"/>
      <family val="2"/>
    </font>
    <font>
      <b/>
      <sz val="11"/>
      <color theme="3"/>
      <name val="Calibri"/>
      <family val="2"/>
      <scheme val="minor"/>
    </font>
    <font>
      <b/>
      <sz val="11"/>
      <color indexed="62"/>
      <name val="Calibri"/>
      <family val="2"/>
    </font>
    <font>
      <sz val="11"/>
      <color indexed="62"/>
      <name val="Calibri"/>
      <family val="2"/>
    </font>
    <font>
      <sz val="11"/>
      <color rgb="FF3F3F76"/>
      <name val="Calibri"/>
      <family val="2"/>
      <scheme val="minor"/>
    </font>
    <font>
      <sz val="11"/>
      <color rgb="FF3F3F76"/>
      <name val="Times New Roman"/>
      <family val="2"/>
    </font>
    <font>
      <sz val="11"/>
      <color indexed="52"/>
      <name val="Calibri"/>
      <family val="2"/>
    </font>
    <font>
      <sz val="11"/>
      <color rgb="FFFA7D00"/>
      <name val="Calibri"/>
      <family val="2"/>
      <scheme val="minor"/>
    </font>
    <font>
      <sz val="11"/>
      <color rgb="FFFA7D00"/>
      <name val="Times New Roman"/>
      <family val="2"/>
    </font>
    <font>
      <sz val="11"/>
      <color indexed="10"/>
      <name val="Calibri"/>
      <family val="2"/>
    </font>
    <font>
      <sz val="11"/>
      <color indexed="60"/>
      <name val="Calibri"/>
      <family val="2"/>
    </font>
    <font>
      <sz val="11"/>
      <color rgb="FF9C6500"/>
      <name val="Calibri"/>
      <family val="2"/>
      <scheme val="minor"/>
    </font>
    <font>
      <sz val="11"/>
      <color rgb="FF9C6500"/>
      <name val="Times New Roman"/>
      <family val="2"/>
    </font>
    <font>
      <sz val="11"/>
      <color indexed="19"/>
      <name val="Calibri"/>
      <family val="2"/>
    </font>
    <font>
      <sz val="10"/>
      <name val="MS Sans Serif"/>
      <family val="2"/>
    </font>
    <font>
      <sz val="10"/>
      <color indexed="8"/>
      <name val="Arial"/>
      <family val="2"/>
    </font>
    <font>
      <sz val="11"/>
      <color indexed="8"/>
      <name val="Times New Roman"/>
      <family val="2"/>
    </font>
    <font>
      <b/>
      <sz val="11"/>
      <color indexed="63"/>
      <name val="Calibri"/>
      <family val="2"/>
    </font>
    <font>
      <b/>
      <sz val="11"/>
      <color rgb="FF3F3F3F"/>
      <name val="Calibri"/>
      <family val="2"/>
      <scheme val="minor"/>
    </font>
    <font>
      <b/>
      <sz val="11"/>
      <color rgb="FF3F3F3F"/>
      <name val="Times New Roman"/>
      <family val="2"/>
    </font>
    <font>
      <b/>
      <i/>
      <sz val="10"/>
      <color indexed="8"/>
      <name val="Arial"/>
      <family val="2"/>
    </font>
    <font>
      <b/>
      <sz val="10"/>
      <color indexed="8"/>
      <name val="Arial"/>
      <family val="2"/>
    </font>
    <font>
      <b/>
      <i/>
      <sz val="22"/>
      <color indexed="8"/>
      <name val="Times New Roman"/>
      <family val="1"/>
    </font>
    <font>
      <b/>
      <sz val="18"/>
      <color indexed="56"/>
      <name val="Cambria"/>
      <family val="2"/>
    </font>
    <font>
      <b/>
      <sz val="18"/>
      <color indexed="62"/>
      <name val="Cambria"/>
      <family val="2"/>
    </font>
    <font>
      <b/>
      <sz val="11"/>
      <color indexed="8"/>
      <name val="Calibri"/>
      <family val="2"/>
    </font>
    <font>
      <b/>
      <sz val="11"/>
      <color theme="1"/>
      <name val="Calibri"/>
      <family val="2"/>
      <scheme val="minor"/>
    </font>
    <font>
      <b/>
      <sz val="11"/>
      <color theme="1"/>
      <name val="Times New Roman"/>
      <family val="2"/>
    </font>
    <font>
      <sz val="11"/>
      <color rgb="FFFF0000"/>
      <name val="Calibri"/>
      <family val="2"/>
      <scheme val="minor"/>
    </font>
    <font>
      <sz val="11"/>
      <color rgb="FFFF0000"/>
      <name val="Times New Roman"/>
      <family val="2"/>
    </font>
    <font>
      <b/>
      <sz val="8"/>
      <color rgb="FF000000"/>
      <name val="Arial"/>
      <family val="2"/>
    </font>
    <font>
      <sz val="8"/>
      <color rgb="FF000000"/>
      <name val="Calibri"/>
      <family val="2"/>
      <scheme val="minor"/>
    </font>
    <font>
      <sz val="9"/>
      <color theme="1"/>
      <name val="Calibri"/>
      <family val="2"/>
      <scheme val="minor"/>
    </font>
    <font>
      <b/>
      <sz val="10"/>
      <name val="Calibri"/>
      <family val="2"/>
      <scheme val="minor"/>
    </font>
    <font>
      <sz val="10"/>
      <name val="Calibri"/>
      <family val="2"/>
      <scheme val="minor"/>
    </font>
    <font>
      <sz val="10"/>
      <color theme="1"/>
      <name val="Calibri"/>
      <family val="2"/>
      <scheme val="minor"/>
    </font>
    <font>
      <u val="singleAccounting"/>
      <sz val="9"/>
      <color theme="1"/>
      <name val="Calibri"/>
      <family val="2"/>
      <scheme val="minor"/>
    </font>
    <font>
      <u val="singleAccounting"/>
      <sz val="10"/>
      <name val="Calibri"/>
      <family val="2"/>
      <scheme val="minor"/>
    </font>
    <font>
      <u val="singleAccounting"/>
      <sz val="10"/>
      <color theme="1"/>
      <name val="Calibri"/>
      <family val="2"/>
      <scheme val="minor"/>
    </font>
    <font>
      <sz val="9"/>
      <name val="Calibri"/>
      <family val="2"/>
      <scheme val="minor"/>
    </font>
    <font>
      <b/>
      <sz val="16"/>
      <color rgb="FFFF0000"/>
      <name val="Calibri"/>
      <family val="2"/>
      <scheme val="minor"/>
    </font>
    <font>
      <sz val="7"/>
      <color theme="1"/>
      <name val="Calibri"/>
      <family val="2"/>
      <scheme val="minor"/>
    </font>
    <font>
      <sz val="7"/>
      <name val="Calibri"/>
      <family val="2"/>
      <scheme val="minor"/>
    </font>
    <font>
      <sz val="9"/>
      <color rgb="FF0000FF"/>
      <name val="Calibri"/>
      <family val="2"/>
      <scheme val="minor"/>
    </font>
    <font>
      <sz val="6"/>
      <color theme="1"/>
      <name val="Calibri"/>
      <family val="2"/>
      <scheme val="minor"/>
    </font>
    <font>
      <sz val="12"/>
      <name val="Helv"/>
    </font>
    <font>
      <sz val="10"/>
      <name val="Helv"/>
    </font>
    <font>
      <b/>
      <sz val="10"/>
      <color indexed="52"/>
      <name val="Arial"/>
      <family val="2"/>
    </font>
    <font>
      <sz val="10"/>
      <color indexed="17"/>
      <name val="Arial"/>
      <family val="2"/>
    </font>
    <font>
      <b/>
      <sz val="10"/>
      <color indexed="9"/>
      <name val="Arial"/>
      <family val="2"/>
    </font>
    <font>
      <b/>
      <sz val="8"/>
      <color indexed="9"/>
      <name val="Arial"/>
      <family val="2"/>
    </font>
    <font>
      <b/>
      <sz val="8"/>
      <color indexed="8"/>
      <name val="Arial"/>
      <family val="2"/>
    </font>
    <font>
      <b/>
      <sz val="8"/>
      <color indexed="8"/>
      <name val="Courier New"/>
      <family val="3"/>
    </font>
    <font>
      <sz val="10"/>
      <name val="Tahoma"/>
      <family val="2"/>
    </font>
    <font>
      <sz val="11"/>
      <name val="Times New Roman"/>
      <family val="1"/>
    </font>
    <font>
      <sz val="10"/>
      <color rgb="FF000000"/>
      <name val="Times New Roman"/>
      <family val="1"/>
    </font>
    <font>
      <sz val="12"/>
      <name val="Arial"/>
      <family val="2"/>
    </font>
    <font>
      <sz val="12"/>
      <name val="Tms Rmn"/>
    </font>
    <font>
      <sz val="18"/>
      <name val="Arial"/>
      <family val="2"/>
    </font>
    <font>
      <b/>
      <sz val="15"/>
      <color indexed="62"/>
      <name val="Arial"/>
      <family val="2"/>
    </font>
    <font>
      <b/>
      <sz val="13"/>
      <color indexed="62"/>
      <name val="Arial"/>
      <family val="2"/>
    </font>
    <font>
      <u/>
      <sz val="10"/>
      <color indexed="12"/>
      <name val="Arial"/>
      <family val="2"/>
    </font>
    <font>
      <sz val="10"/>
      <color indexed="62"/>
      <name val="Arial"/>
      <family val="2"/>
    </font>
    <font>
      <b/>
      <sz val="12"/>
      <name val="Tms Rmn"/>
    </font>
    <font>
      <sz val="10"/>
      <name val="Courier"/>
      <family val="3"/>
    </font>
    <font>
      <sz val="11"/>
      <color indexed="8"/>
      <name val="Times New Roman"/>
      <family val="1"/>
    </font>
    <font>
      <b/>
      <i/>
      <sz val="11"/>
      <color indexed="8"/>
      <name val="Times New Roman"/>
      <family val="1"/>
    </font>
    <font>
      <b/>
      <sz val="11"/>
      <color indexed="16"/>
      <name val="Times New Roman"/>
      <family val="1"/>
    </font>
    <font>
      <b/>
      <sz val="10"/>
      <color indexed="17"/>
      <name val="Arial"/>
      <family val="2"/>
    </font>
    <font>
      <b/>
      <sz val="10"/>
      <color indexed="13"/>
      <name val="Arial"/>
      <family val="2"/>
    </font>
    <font>
      <b/>
      <sz val="16"/>
      <color indexed="13"/>
      <name val="Arial"/>
      <family val="2"/>
    </font>
    <font>
      <b/>
      <sz val="22"/>
      <color indexed="8"/>
      <name val="Times New Roman"/>
      <family val="1"/>
    </font>
    <font>
      <sz val="12"/>
      <color indexed="10"/>
      <name val="Times New Roman"/>
      <family val="1"/>
    </font>
    <font>
      <b/>
      <sz val="10"/>
      <name val="MS Sans Serif"/>
      <family val="2"/>
    </font>
    <font>
      <b/>
      <sz val="12"/>
      <color indexed="8"/>
      <name val="Arial"/>
      <family val="2"/>
    </font>
    <font>
      <sz val="8"/>
      <color indexed="8"/>
      <name val="Arial"/>
      <family val="2"/>
    </font>
    <font>
      <sz val="8"/>
      <color indexed="12"/>
      <name val="Arial"/>
      <family val="2"/>
    </font>
    <font>
      <b/>
      <u/>
      <sz val="10"/>
      <name val="Arial"/>
      <family val="2"/>
    </font>
    <font>
      <sz val="10"/>
      <color indexed="16"/>
      <name val="Arial"/>
      <family val="2"/>
    </font>
    <font>
      <sz val="10"/>
      <color indexed="39"/>
      <name val="Arial"/>
      <family val="2"/>
    </font>
    <font>
      <sz val="19"/>
      <name val="Arial"/>
      <family val="2"/>
    </font>
    <font>
      <sz val="8"/>
      <color rgb="FF1F497D"/>
      <name val="Verdana"/>
      <family val="2"/>
    </font>
    <font>
      <b/>
      <sz val="8"/>
      <color rgb="FF1F497D"/>
      <name val="Verdana"/>
      <family val="2"/>
    </font>
    <font>
      <i/>
      <sz val="8"/>
      <color rgb="FF000000"/>
      <name val="Verdana"/>
      <family val="2"/>
    </font>
    <font>
      <sz val="8"/>
      <color rgb="FF000000"/>
      <name val="Verdana"/>
      <family val="2"/>
    </font>
    <font>
      <sz val="12"/>
      <color indexed="13"/>
      <name val="Tms Rmn"/>
    </font>
    <font>
      <sz val="8"/>
      <color indexed="8"/>
      <name val="Wingdings"/>
      <charset val="2"/>
    </font>
    <font>
      <u val="doubleAccounting"/>
      <sz val="10"/>
      <name val="Calibri"/>
      <family val="2"/>
      <scheme val="minor"/>
    </font>
    <font>
      <b/>
      <sz val="10"/>
      <color theme="1"/>
      <name val="Calibri"/>
      <family val="2"/>
      <scheme val="minor"/>
    </font>
    <font>
      <u/>
      <sz val="10"/>
      <color theme="1"/>
      <name val="Calibri"/>
      <family val="2"/>
      <scheme val="minor"/>
    </font>
    <font>
      <u val="doubleAccounting"/>
      <sz val="10"/>
      <color theme="1"/>
      <name val="Calibri"/>
      <family val="2"/>
      <scheme val="minor"/>
    </font>
    <font>
      <sz val="8"/>
      <color rgb="FF0000FF"/>
      <name val="Calibri"/>
      <family val="2"/>
      <scheme val="minor"/>
    </font>
    <font>
      <i/>
      <sz val="10"/>
      <name val="Calibri"/>
      <family val="2"/>
      <scheme val="minor"/>
    </font>
    <font>
      <u val="double"/>
      <sz val="10"/>
      <name val="Calibri"/>
      <family val="2"/>
      <scheme val="minor"/>
    </font>
    <font>
      <b/>
      <u val="doubleAccounting"/>
      <sz val="10"/>
      <name val="Calibri"/>
      <family val="2"/>
      <scheme val="minor"/>
    </font>
    <font>
      <u/>
      <sz val="10"/>
      <name val="Calibri"/>
      <family val="2"/>
      <scheme val="minor"/>
    </font>
    <font>
      <sz val="8"/>
      <name val="Calibri"/>
      <family val="2"/>
      <scheme val="minor"/>
    </font>
    <font>
      <b/>
      <u val="singleAccounting"/>
      <sz val="10"/>
      <name val="Calibri"/>
      <family val="2"/>
      <scheme val="minor"/>
    </font>
    <font>
      <u/>
      <sz val="9"/>
      <color theme="1"/>
      <name val="Calibri"/>
      <family val="2"/>
      <scheme val="minor"/>
    </font>
    <font>
      <b/>
      <sz val="8"/>
      <color rgb="FF000000"/>
      <name val="Calibri"/>
      <family val="2"/>
      <scheme val="minor"/>
    </font>
    <font>
      <u val="singleAccounting"/>
      <sz val="10"/>
      <color theme="1"/>
      <name val="Calibri"/>
      <family val="2"/>
    </font>
    <font>
      <b/>
      <sz val="9"/>
      <color theme="1"/>
      <name val="Calibri"/>
      <family val="2"/>
      <scheme val="minor"/>
    </font>
    <font>
      <sz val="11"/>
      <name val="Calibri"/>
      <family val="2"/>
      <scheme val="minor"/>
    </font>
  </fonts>
  <fills count="102">
    <fill>
      <patternFill patternType="none"/>
    </fill>
    <fill>
      <patternFill patternType="gray125"/>
    </fill>
    <fill>
      <patternFill patternType="solid">
        <fgColor rgb="FFFFFF99"/>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CCFFCC"/>
        <bgColor indexed="64"/>
      </patternFill>
    </fill>
    <fill>
      <patternFill patternType="solid">
        <fgColor theme="4" tint="0.79998168889431442"/>
        <bgColor indexed="64"/>
      </patternFill>
    </fill>
    <fill>
      <patternFill patternType="solid">
        <fgColor rgb="FFC6C4C4"/>
        <bgColor indexed="64"/>
      </patternFill>
    </fill>
    <fill>
      <patternFill patternType="solid">
        <fgColor rgb="FFFFFFFF"/>
        <bgColor indexed="64"/>
      </patternFill>
    </fill>
    <fill>
      <patternFill patternType="solid">
        <fgColor rgb="FFE9EEF4"/>
        <bgColor indexed="64"/>
      </patternFill>
    </fill>
    <fill>
      <patternFill patternType="solid">
        <fgColor rgb="FFFFF843"/>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2"/>
      </patternFill>
    </fill>
    <fill>
      <patternFill patternType="solid">
        <fgColor indexed="9"/>
      </patternFill>
    </fill>
    <fill>
      <patternFill patternType="solid">
        <fgColor indexed="55"/>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theme="9" tint="0.59999389629810485"/>
        <bgColor indexed="64"/>
      </patternFill>
    </fill>
    <fill>
      <patternFill patternType="solid">
        <fgColor indexed="22"/>
        <bgColor indexed="64"/>
      </patternFill>
    </fill>
    <fill>
      <patternFill patternType="solid">
        <fgColor indexed="32"/>
      </patternFill>
    </fill>
    <fill>
      <patternFill patternType="solid">
        <fgColor indexed="12"/>
      </patternFill>
    </fill>
    <fill>
      <patternFill patternType="solid">
        <fgColor indexed="9"/>
        <bgColor indexed="9"/>
      </patternFill>
    </fill>
    <fill>
      <patternFill patternType="solid">
        <fgColor indexed="13"/>
      </patternFill>
    </fill>
    <fill>
      <patternFill patternType="solid">
        <fgColor indexed="17"/>
      </patternFill>
    </fill>
    <fill>
      <patternFill patternType="solid">
        <fgColor indexed="26"/>
        <bgColor indexed="14"/>
      </patternFill>
    </fill>
    <fill>
      <patternFill patternType="mediumGray">
        <fgColor indexed="22"/>
      </patternFill>
    </fill>
    <fill>
      <patternFill patternType="solid">
        <fgColor indexed="8"/>
      </patternFill>
    </fill>
    <fill>
      <patternFill patternType="solid">
        <fgColor indexed="19"/>
      </patternFill>
    </fill>
    <fill>
      <patternFill patternType="solid">
        <fgColor indexed="59"/>
      </patternFill>
    </fill>
    <fill>
      <patternFill patternType="solid">
        <fgColor indexed="18"/>
      </patternFill>
    </fill>
    <fill>
      <patternFill patternType="lightUp">
        <fgColor indexed="48"/>
        <bgColor indexed="19"/>
      </patternFill>
    </fill>
    <fill>
      <patternFill patternType="solid">
        <fgColor indexed="54"/>
        <bgColor indexed="64"/>
      </patternFill>
    </fill>
    <fill>
      <patternFill patternType="solid">
        <fgColor indexed="26"/>
        <bgColor indexed="64"/>
      </patternFill>
    </fill>
    <fill>
      <patternFill patternType="solid">
        <fgColor indexed="16"/>
      </patternFill>
    </fill>
    <fill>
      <patternFill patternType="solid">
        <fgColor rgb="FFDBE5F1"/>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rgb="FFDBE5F1"/>
        <bgColor rgb="FFFFFFFF"/>
      </patternFill>
    </fill>
    <fill>
      <patternFill patternType="solid">
        <fgColor theme="8" tint="0.59999389629810485"/>
        <bgColor indexed="64"/>
      </patternFill>
    </fill>
  </fills>
  <borders count="57">
    <border>
      <left/>
      <right/>
      <top/>
      <bottom/>
      <diagonal/>
    </border>
    <border>
      <left style="medium">
        <color rgb="FFAEAEAE"/>
      </left>
      <right/>
      <top style="medium">
        <color rgb="FFAEAEAE"/>
      </top>
      <bottom style="medium">
        <color rgb="FFAEAEAE"/>
      </bottom>
      <diagonal/>
    </border>
    <border>
      <left/>
      <right style="medium">
        <color rgb="FFAEAEAE"/>
      </right>
      <top style="medium">
        <color rgb="FFAEAEAE"/>
      </top>
      <bottom style="medium">
        <color rgb="FFAEAEAE"/>
      </bottom>
      <diagonal/>
    </border>
    <border>
      <left style="medium">
        <color rgb="FFAEAEAE"/>
      </left>
      <right style="medium">
        <color rgb="FFAEAEAE"/>
      </right>
      <top style="medium">
        <color rgb="FFAEAEAE"/>
      </top>
      <bottom style="medium">
        <color rgb="FFAEAEAE"/>
      </bottom>
      <diagonal/>
    </border>
    <border>
      <left/>
      <right/>
      <top style="medium">
        <color rgb="FFAEAEAE"/>
      </top>
      <bottom style="medium">
        <color rgb="FFAEAEAE"/>
      </bottom>
      <diagonal/>
    </border>
    <border>
      <left/>
      <right style="thin">
        <color indexed="64"/>
      </right>
      <top/>
      <bottom/>
      <diagonal/>
    </border>
    <border>
      <left/>
      <right/>
      <top/>
      <bottom style="thin">
        <color indexed="64"/>
      </bottom>
      <diagonal/>
    </border>
    <border>
      <left/>
      <right/>
      <top/>
      <bottom style="medium">
        <color indexed="64"/>
      </bottom>
      <diagonal/>
    </border>
    <border>
      <left style="medium">
        <color rgb="FFAEAEAE"/>
      </left>
      <right style="medium">
        <color rgb="FFAEAEAE"/>
      </right>
      <top style="medium">
        <color rgb="FFAEAEAE"/>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right/>
      <top style="double">
        <color indexed="64"/>
      </top>
      <bottom/>
      <diagonal/>
    </border>
    <border>
      <left/>
      <right/>
      <top/>
      <bottom style="medium">
        <color rgb="FFAEAEAE"/>
      </bottom>
      <diagonal/>
    </border>
    <border>
      <left/>
      <right/>
      <top/>
      <bottom style="medium">
        <color theme="0" tint="-0.14996795556505021"/>
      </bottom>
      <diagonal/>
    </border>
    <border>
      <left/>
      <right/>
      <top style="thin">
        <color indexed="64"/>
      </top>
      <bottom style="thin">
        <color indexed="64"/>
      </bottom>
      <diagonal/>
    </border>
    <border>
      <left style="thin">
        <color indexed="64"/>
      </left>
      <right style="thin">
        <color indexed="64"/>
      </right>
      <top/>
      <bottom/>
      <diagonal/>
    </border>
    <border>
      <left/>
      <right/>
      <top/>
      <bottom style="medium">
        <color auto="1"/>
      </bottom>
      <diagonal/>
    </border>
    <border>
      <left style="thin">
        <color indexed="8"/>
      </left>
      <right style="thin">
        <color indexed="8"/>
      </right>
      <top style="thin">
        <color indexed="8"/>
      </top>
      <bottom style="thin">
        <color indexed="8"/>
      </bottom>
      <diagonal/>
    </border>
    <border>
      <left/>
      <right/>
      <top/>
      <bottom style="dotted">
        <color indexed="64"/>
      </bottom>
      <diagonal/>
    </border>
    <border>
      <left/>
      <right/>
      <top/>
      <bottom style="thick">
        <color indexed="49"/>
      </bottom>
      <diagonal/>
    </border>
    <border>
      <left/>
      <right/>
      <top/>
      <bottom style="thick">
        <color indexed="25"/>
      </bottom>
      <diagonal/>
    </border>
    <border>
      <left style="thin">
        <color indexed="64"/>
      </left>
      <right style="thin">
        <color indexed="64"/>
      </right>
      <top style="thin">
        <color indexed="64"/>
      </top>
      <bottom style="thin">
        <color indexed="64"/>
      </bottom>
      <diagonal/>
    </border>
    <border>
      <left style="thin">
        <color indexed="58"/>
      </left>
      <right style="thin">
        <color indexed="58"/>
      </right>
      <top style="thin">
        <color indexed="58"/>
      </top>
      <bottom style="thin">
        <color indexed="58"/>
      </bottom>
      <diagonal/>
    </border>
    <border>
      <left style="thin">
        <color indexed="48"/>
      </left>
      <right style="thin">
        <color indexed="48"/>
      </right>
      <top style="thin">
        <color indexed="48"/>
      </top>
      <bottom style="thin">
        <color indexed="48"/>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rgb="FF000000"/>
      </left>
      <right style="thin">
        <color rgb="FF000000"/>
      </right>
      <top style="thin">
        <color rgb="FF000000"/>
      </top>
      <bottom style="thin">
        <color rgb="FF000000"/>
      </bottom>
      <diagonal/>
    </border>
    <border>
      <left/>
      <right/>
      <top style="thin">
        <color indexed="8"/>
      </top>
      <bottom/>
      <diagonal/>
    </border>
    <border>
      <left/>
      <right/>
      <top style="double">
        <color indexed="0"/>
      </top>
      <bottom/>
      <diagonal/>
    </border>
    <border>
      <left style="thin">
        <color indexed="8"/>
      </left>
      <right style="thin">
        <color indexed="8"/>
      </right>
      <top style="double">
        <color indexed="8"/>
      </top>
      <bottom style="thin">
        <color indexed="8"/>
      </bottom>
      <diagonal/>
    </border>
    <border>
      <left/>
      <right/>
      <top style="thin">
        <color indexed="64"/>
      </top>
      <bottom/>
      <diagonal/>
    </border>
    <border>
      <left style="medium">
        <color rgb="FFAEAEAE"/>
      </left>
      <right style="medium">
        <color rgb="FFAEAEAE"/>
      </right>
      <top/>
      <bottom style="medium">
        <color rgb="FFAEAEAE"/>
      </bottom>
      <diagonal/>
    </border>
    <border>
      <left style="medium">
        <color rgb="FFAEAEAE"/>
      </left>
      <right style="medium">
        <color rgb="FFAEAEAE"/>
      </right>
      <top/>
      <bottom/>
      <diagonal/>
    </border>
    <border>
      <left/>
      <right style="medium">
        <color rgb="FFAEAEAE"/>
      </right>
      <top/>
      <bottom style="medium">
        <color rgb="FFAEAEAE"/>
      </bottom>
      <diagonal/>
    </border>
    <border>
      <left style="medium">
        <color rgb="FFAEAEAE"/>
      </left>
      <right/>
      <top/>
      <bottom style="medium">
        <color rgb="FFAEAEAE"/>
      </bottom>
      <diagonal/>
    </border>
  </borders>
  <cellStyleXfs count="15121">
    <xf numFmtId="0" fontId="0"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175" fontId="6" fillId="0" borderId="0"/>
    <xf numFmtId="0" fontId="9" fillId="0" borderId="0"/>
    <xf numFmtId="0" fontId="6" fillId="0" borderId="0"/>
    <xf numFmtId="43" fontId="9" fillId="0" borderId="0" applyFont="0" applyFill="0" applyBorder="0" applyAlignment="0" applyProtection="0"/>
    <xf numFmtId="0" fontId="10" fillId="0" borderId="0"/>
    <xf numFmtId="0" fontId="10" fillId="0" borderId="0"/>
    <xf numFmtId="0" fontId="10" fillId="0" borderId="0"/>
    <xf numFmtId="0" fontId="17" fillId="0" borderId="0"/>
    <xf numFmtId="43" fontId="17" fillId="0" borderId="0" applyFont="0" applyFill="0" applyBorder="0" applyAlignment="0" applyProtection="0"/>
    <xf numFmtId="43" fontId="18" fillId="0" borderId="0" applyFont="0" applyFill="0" applyBorder="0" applyAlignment="0" applyProtection="0"/>
    <xf numFmtId="175" fontId="19" fillId="49" borderId="0" applyNumberFormat="0" applyBorder="0" applyAlignment="0" applyProtection="0"/>
    <xf numFmtId="175" fontId="19" fillId="49" borderId="0" applyNumberFormat="0" applyBorder="0" applyAlignment="0" applyProtection="0"/>
    <xf numFmtId="175" fontId="19" fillId="49" borderId="0" applyNumberFormat="0" applyBorder="0" applyAlignment="0" applyProtection="0"/>
    <xf numFmtId="175" fontId="19" fillId="49" borderId="0" applyNumberFormat="0" applyBorder="0" applyAlignment="0" applyProtection="0"/>
    <xf numFmtId="175" fontId="19" fillId="49" borderId="0" applyNumberFormat="0" applyBorder="0" applyAlignment="0" applyProtection="0"/>
    <xf numFmtId="175" fontId="10" fillId="26" borderId="0" applyNumberFormat="0" applyBorder="0" applyAlignment="0" applyProtection="0"/>
    <xf numFmtId="175" fontId="10" fillId="26" borderId="0" applyNumberFormat="0" applyBorder="0" applyAlignment="0" applyProtection="0"/>
    <xf numFmtId="175" fontId="10" fillId="26" borderId="0" applyNumberFormat="0" applyBorder="0" applyAlignment="0" applyProtection="0"/>
    <xf numFmtId="175" fontId="10" fillId="26" borderId="0" applyNumberFormat="0" applyBorder="0" applyAlignment="0" applyProtection="0"/>
    <xf numFmtId="175" fontId="10" fillId="26" borderId="0" applyNumberFormat="0" applyBorder="0" applyAlignment="0" applyProtection="0"/>
    <xf numFmtId="175" fontId="10" fillId="26" borderId="0" applyNumberFormat="0" applyBorder="0" applyAlignment="0" applyProtection="0"/>
    <xf numFmtId="175" fontId="10" fillId="26" borderId="0" applyNumberFormat="0" applyBorder="0" applyAlignment="0" applyProtection="0"/>
    <xf numFmtId="175" fontId="10" fillId="26" borderId="0" applyNumberFormat="0" applyBorder="0" applyAlignment="0" applyProtection="0"/>
    <xf numFmtId="175" fontId="10" fillId="26" borderId="0" applyNumberFormat="0" applyBorder="0" applyAlignment="0" applyProtection="0"/>
    <xf numFmtId="175" fontId="10" fillId="26" borderId="0" applyNumberFormat="0" applyBorder="0" applyAlignment="0" applyProtection="0"/>
    <xf numFmtId="175" fontId="10" fillId="26" borderId="0" applyNumberFormat="0" applyBorder="0" applyAlignment="0" applyProtection="0"/>
    <xf numFmtId="175" fontId="10" fillId="26" borderId="0" applyNumberFormat="0" applyBorder="0" applyAlignment="0" applyProtection="0"/>
    <xf numFmtId="175" fontId="10" fillId="26" borderId="0" applyNumberFormat="0" applyBorder="0" applyAlignment="0" applyProtection="0"/>
    <xf numFmtId="175" fontId="10" fillId="26" borderId="0" applyNumberFormat="0" applyBorder="0" applyAlignment="0" applyProtection="0"/>
    <xf numFmtId="175" fontId="10" fillId="26" borderId="0" applyNumberFormat="0" applyBorder="0" applyAlignment="0" applyProtection="0"/>
    <xf numFmtId="175" fontId="20" fillId="26" borderId="0" applyNumberFormat="0" applyBorder="0" applyAlignment="0" applyProtection="0"/>
    <xf numFmtId="175" fontId="20" fillId="26" borderId="0" applyNumberFormat="0" applyBorder="0" applyAlignment="0" applyProtection="0"/>
    <xf numFmtId="175" fontId="19" fillId="50" borderId="0" applyNumberFormat="0" applyBorder="0" applyAlignment="0" applyProtection="0"/>
    <xf numFmtId="175" fontId="20" fillId="26" borderId="0" applyNumberFormat="0" applyBorder="0" applyAlignment="0" applyProtection="0"/>
    <xf numFmtId="175" fontId="19" fillId="50"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175" fontId="19" fillId="50" borderId="0" applyNumberFormat="0" applyBorder="0" applyAlignment="0" applyProtection="0"/>
    <xf numFmtId="175" fontId="19" fillId="50" borderId="0" applyNumberFormat="0" applyBorder="0" applyAlignment="0" applyProtection="0"/>
    <xf numFmtId="175" fontId="19" fillId="50" borderId="0" applyNumberFormat="0" applyBorder="0" applyAlignment="0" applyProtection="0"/>
    <xf numFmtId="0" fontId="10" fillId="26" borderId="0" applyNumberFormat="0" applyBorder="0" applyAlignment="0" applyProtection="0"/>
    <xf numFmtId="175" fontId="19" fillId="50" borderId="0" applyNumberFormat="0" applyBorder="0" applyAlignment="0" applyProtection="0"/>
    <xf numFmtId="175" fontId="19" fillId="50" borderId="0" applyNumberFormat="0" applyBorder="0" applyAlignment="0" applyProtection="0"/>
    <xf numFmtId="175" fontId="19" fillId="50" borderId="0" applyNumberFormat="0" applyBorder="0" applyAlignment="0" applyProtection="0"/>
    <xf numFmtId="175" fontId="20" fillId="26" borderId="0" applyNumberFormat="0" applyBorder="0" applyAlignment="0" applyProtection="0"/>
    <xf numFmtId="175" fontId="20" fillId="26" borderId="0" applyNumberFormat="0" applyBorder="0" applyAlignment="0" applyProtection="0"/>
    <xf numFmtId="175" fontId="20" fillId="26" borderId="0" applyNumberFormat="0" applyBorder="0" applyAlignment="0" applyProtection="0"/>
    <xf numFmtId="175" fontId="20" fillId="26" borderId="0" applyNumberFormat="0" applyBorder="0" applyAlignment="0" applyProtection="0"/>
    <xf numFmtId="175" fontId="20" fillId="26" borderId="0" applyNumberFormat="0" applyBorder="0" applyAlignment="0" applyProtection="0"/>
    <xf numFmtId="175" fontId="20" fillId="26" borderId="0" applyNumberFormat="0" applyBorder="0" applyAlignment="0" applyProtection="0"/>
    <xf numFmtId="175" fontId="20" fillId="26" borderId="0" applyNumberFormat="0" applyBorder="0" applyAlignment="0" applyProtection="0"/>
    <xf numFmtId="175" fontId="20" fillId="26" borderId="0" applyNumberFormat="0" applyBorder="0" applyAlignment="0" applyProtection="0"/>
    <xf numFmtId="175" fontId="20" fillId="26" borderId="0" applyNumberFormat="0" applyBorder="0" applyAlignment="0" applyProtection="0"/>
    <xf numFmtId="175" fontId="20" fillId="26" borderId="0" applyNumberFormat="0" applyBorder="0" applyAlignment="0" applyProtection="0"/>
    <xf numFmtId="175" fontId="20" fillId="26" borderId="0" applyNumberFormat="0" applyBorder="0" applyAlignment="0" applyProtection="0"/>
    <xf numFmtId="175" fontId="20" fillId="26" borderId="0" applyNumberFormat="0" applyBorder="0" applyAlignment="0" applyProtection="0"/>
    <xf numFmtId="175" fontId="20" fillId="26" borderId="0" applyNumberFormat="0" applyBorder="0" applyAlignment="0" applyProtection="0"/>
    <xf numFmtId="175" fontId="19" fillId="50" borderId="0" applyNumberFormat="0" applyBorder="0" applyAlignment="0" applyProtection="0"/>
    <xf numFmtId="175" fontId="20" fillId="26" borderId="0" applyNumberFormat="0" applyBorder="0" applyAlignment="0" applyProtection="0"/>
    <xf numFmtId="175" fontId="20" fillId="26" borderId="0" applyNumberFormat="0" applyBorder="0" applyAlignment="0" applyProtection="0"/>
    <xf numFmtId="175" fontId="20" fillId="26" borderId="0" applyNumberFormat="0" applyBorder="0" applyAlignment="0" applyProtection="0"/>
    <xf numFmtId="175" fontId="20" fillId="26" borderId="0" applyNumberFormat="0" applyBorder="0" applyAlignment="0" applyProtection="0"/>
    <xf numFmtId="175" fontId="20" fillId="26" borderId="0" applyNumberFormat="0" applyBorder="0" applyAlignment="0" applyProtection="0"/>
    <xf numFmtId="175" fontId="20" fillId="26" borderId="0" applyNumberFormat="0" applyBorder="0" applyAlignment="0" applyProtection="0"/>
    <xf numFmtId="175" fontId="19" fillId="50" borderId="0" applyNumberFormat="0" applyBorder="0" applyAlignment="0" applyProtection="0"/>
    <xf numFmtId="175" fontId="19" fillId="49" borderId="0" applyNumberFormat="0" applyBorder="0" applyAlignment="0" applyProtection="0"/>
    <xf numFmtId="175" fontId="19" fillId="49" borderId="0" applyNumberFormat="0" applyBorder="0" applyAlignment="0" applyProtection="0"/>
    <xf numFmtId="175" fontId="19" fillId="49" borderId="0" applyNumberFormat="0" applyBorder="0" applyAlignment="0" applyProtection="0"/>
    <xf numFmtId="175" fontId="19" fillId="49" borderId="0" applyNumberFormat="0" applyBorder="0" applyAlignment="0" applyProtection="0"/>
    <xf numFmtId="175" fontId="19" fillId="49" borderId="0" applyNumberFormat="0" applyBorder="0" applyAlignment="0" applyProtection="0"/>
    <xf numFmtId="175" fontId="19" fillId="51" borderId="0" applyNumberFormat="0" applyBorder="0" applyAlignment="0" applyProtection="0"/>
    <xf numFmtId="175" fontId="19" fillId="51" borderId="0" applyNumberFormat="0" applyBorder="0" applyAlignment="0" applyProtection="0"/>
    <xf numFmtId="175" fontId="19" fillId="51" borderId="0" applyNumberFormat="0" applyBorder="0" applyAlignment="0" applyProtection="0"/>
    <xf numFmtId="175" fontId="19" fillId="51" borderId="0" applyNumberFormat="0" applyBorder="0" applyAlignment="0" applyProtection="0"/>
    <xf numFmtId="175" fontId="19" fillId="51" borderId="0" applyNumberFormat="0" applyBorder="0" applyAlignment="0" applyProtection="0"/>
    <xf numFmtId="175" fontId="10" fillId="30" borderId="0" applyNumberFormat="0" applyBorder="0" applyAlignment="0" applyProtection="0"/>
    <xf numFmtId="175" fontId="10" fillId="30" borderId="0" applyNumberFormat="0" applyBorder="0" applyAlignment="0" applyProtection="0"/>
    <xf numFmtId="175" fontId="10" fillId="30" borderId="0" applyNumberFormat="0" applyBorder="0" applyAlignment="0" applyProtection="0"/>
    <xf numFmtId="175" fontId="10" fillId="30" borderId="0" applyNumberFormat="0" applyBorder="0" applyAlignment="0" applyProtection="0"/>
    <xf numFmtId="175" fontId="10" fillId="30" borderId="0" applyNumberFormat="0" applyBorder="0" applyAlignment="0" applyProtection="0"/>
    <xf numFmtId="175" fontId="10" fillId="30" borderId="0" applyNumberFormat="0" applyBorder="0" applyAlignment="0" applyProtection="0"/>
    <xf numFmtId="175" fontId="10" fillId="30" borderId="0" applyNumberFormat="0" applyBorder="0" applyAlignment="0" applyProtection="0"/>
    <xf numFmtId="175" fontId="10" fillId="30" borderId="0" applyNumberFormat="0" applyBorder="0" applyAlignment="0" applyProtection="0"/>
    <xf numFmtId="175" fontId="10" fillId="30" borderId="0" applyNumberFormat="0" applyBorder="0" applyAlignment="0" applyProtection="0"/>
    <xf numFmtId="175" fontId="10" fillId="30" borderId="0" applyNumberFormat="0" applyBorder="0" applyAlignment="0" applyProtection="0"/>
    <xf numFmtId="175" fontId="10" fillId="30" borderId="0" applyNumberFormat="0" applyBorder="0" applyAlignment="0" applyProtection="0"/>
    <xf numFmtId="175" fontId="10" fillId="30" borderId="0" applyNumberFormat="0" applyBorder="0" applyAlignment="0" applyProtection="0"/>
    <xf numFmtId="175" fontId="10" fillId="30" borderId="0" applyNumberFormat="0" applyBorder="0" applyAlignment="0" applyProtection="0"/>
    <xf numFmtId="175" fontId="10" fillId="30" borderId="0" applyNumberFormat="0" applyBorder="0" applyAlignment="0" applyProtection="0"/>
    <xf numFmtId="175" fontId="10" fillId="30" borderId="0" applyNumberFormat="0" applyBorder="0" applyAlignment="0" applyProtection="0"/>
    <xf numFmtId="175" fontId="20" fillId="30" borderId="0" applyNumberFormat="0" applyBorder="0" applyAlignment="0" applyProtection="0"/>
    <xf numFmtId="175" fontId="20" fillId="30" borderId="0" applyNumberFormat="0" applyBorder="0" applyAlignment="0" applyProtection="0"/>
    <xf numFmtId="175" fontId="19" fillId="52" borderId="0" applyNumberFormat="0" applyBorder="0" applyAlignment="0" applyProtection="0"/>
    <xf numFmtId="175" fontId="20" fillId="30" borderId="0" applyNumberFormat="0" applyBorder="0" applyAlignment="0" applyProtection="0"/>
    <xf numFmtId="175" fontId="19" fillId="52"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175" fontId="19" fillId="52" borderId="0" applyNumberFormat="0" applyBorder="0" applyAlignment="0" applyProtection="0"/>
    <xf numFmtId="175" fontId="19" fillId="52" borderId="0" applyNumberFormat="0" applyBorder="0" applyAlignment="0" applyProtection="0"/>
    <xf numFmtId="175" fontId="19" fillId="52" borderId="0" applyNumberFormat="0" applyBorder="0" applyAlignment="0" applyProtection="0"/>
    <xf numFmtId="0" fontId="10" fillId="30" borderId="0" applyNumberFormat="0" applyBorder="0" applyAlignment="0" applyProtection="0"/>
    <xf numFmtId="175" fontId="19" fillId="52" borderId="0" applyNumberFormat="0" applyBorder="0" applyAlignment="0" applyProtection="0"/>
    <xf numFmtId="175" fontId="19" fillId="52" borderId="0" applyNumberFormat="0" applyBorder="0" applyAlignment="0" applyProtection="0"/>
    <xf numFmtId="175" fontId="19" fillId="52" borderId="0" applyNumberFormat="0" applyBorder="0" applyAlignment="0" applyProtection="0"/>
    <xf numFmtId="175" fontId="20" fillId="30" borderId="0" applyNumberFormat="0" applyBorder="0" applyAlignment="0" applyProtection="0"/>
    <xf numFmtId="175" fontId="20" fillId="30" borderId="0" applyNumberFormat="0" applyBorder="0" applyAlignment="0" applyProtection="0"/>
    <xf numFmtId="175" fontId="20" fillId="30" borderId="0" applyNumberFormat="0" applyBorder="0" applyAlignment="0" applyProtection="0"/>
    <xf numFmtId="175" fontId="20" fillId="30" borderId="0" applyNumberFormat="0" applyBorder="0" applyAlignment="0" applyProtection="0"/>
    <xf numFmtId="175" fontId="20" fillId="30" borderId="0" applyNumberFormat="0" applyBorder="0" applyAlignment="0" applyProtection="0"/>
    <xf numFmtId="175" fontId="20" fillId="30" borderId="0" applyNumberFormat="0" applyBorder="0" applyAlignment="0" applyProtection="0"/>
    <xf numFmtId="175" fontId="20" fillId="30" borderId="0" applyNumberFormat="0" applyBorder="0" applyAlignment="0" applyProtection="0"/>
    <xf numFmtId="175" fontId="20" fillId="30" borderId="0" applyNumberFormat="0" applyBorder="0" applyAlignment="0" applyProtection="0"/>
    <xf numFmtId="175" fontId="20" fillId="30" borderId="0" applyNumberFormat="0" applyBorder="0" applyAlignment="0" applyProtection="0"/>
    <xf numFmtId="175" fontId="20" fillId="30" borderId="0" applyNumberFormat="0" applyBorder="0" applyAlignment="0" applyProtection="0"/>
    <xf numFmtId="175" fontId="20" fillId="30" borderId="0" applyNumberFormat="0" applyBorder="0" applyAlignment="0" applyProtection="0"/>
    <xf numFmtId="175" fontId="20" fillId="30" borderId="0" applyNumberFormat="0" applyBorder="0" applyAlignment="0" applyProtection="0"/>
    <xf numFmtId="175" fontId="20" fillId="30" borderId="0" applyNumberFormat="0" applyBorder="0" applyAlignment="0" applyProtection="0"/>
    <xf numFmtId="175" fontId="19" fillId="52" borderId="0" applyNumberFormat="0" applyBorder="0" applyAlignment="0" applyProtection="0"/>
    <xf numFmtId="175" fontId="20" fillId="30" borderId="0" applyNumberFormat="0" applyBorder="0" applyAlignment="0" applyProtection="0"/>
    <xf numFmtId="175" fontId="20" fillId="30" borderId="0" applyNumberFormat="0" applyBorder="0" applyAlignment="0" applyProtection="0"/>
    <xf numFmtId="175" fontId="20" fillId="30" borderId="0" applyNumberFormat="0" applyBorder="0" applyAlignment="0" applyProtection="0"/>
    <xf numFmtId="175" fontId="20" fillId="30" borderId="0" applyNumberFormat="0" applyBorder="0" applyAlignment="0" applyProtection="0"/>
    <xf numFmtId="175" fontId="20" fillId="30" borderId="0" applyNumberFormat="0" applyBorder="0" applyAlignment="0" applyProtection="0"/>
    <xf numFmtId="175" fontId="20" fillId="30" borderId="0" applyNumberFormat="0" applyBorder="0" applyAlignment="0" applyProtection="0"/>
    <xf numFmtId="175" fontId="19" fillId="52" borderId="0" applyNumberFormat="0" applyBorder="0" applyAlignment="0" applyProtection="0"/>
    <xf numFmtId="175" fontId="19" fillId="51" borderId="0" applyNumberFormat="0" applyBorder="0" applyAlignment="0" applyProtection="0"/>
    <xf numFmtId="175" fontId="19" fillId="51" borderId="0" applyNumberFormat="0" applyBorder="0" applyAlignment="0" applyProtection="0"/>
    <xf numFmtId="175" fontId="19" fillId="51" borderId="0" applyNumberFormat="0" applyBorder="0" applyAlignment="0" applyProtection="0"/>
    <xf numFmtId="175" fontId="19" fillId="51" borderId="0" applyNumberFormat="0" applyBorder="0" applyAlignment="0" applyProtection="0"/>
    <xf numFmtId="175" fontId="19" fillId="51" borderId="0" applyNumberFormat="0" applyBorder="0" applyAlignment="0" applyProtection="0"/>
    <xf numFmtId="175" fontId="19" fillId="53" borderId="0" applyNumberFormat="0" applyBorder="0" applyAlignment="0" applyProtection="0"/>
    <xf numFmtId="175" fontId="19" fillId="53" borderId="0" applyNumberFormat="0" applyBorder="0" applyAlignment="0" applyProtection="0"/>
    <xf numFmtId="175" fontId="19" fillId="53" borderId="0" applyNumberFormat="0" applyBorder="0" applyAlignment="0" applyProtection="0"/>
    <xf numFmtId="175" fontId="19" fillId="53" borderId="0" applyNumberFormat="0" applyBorder="0" applyAlignment="0" applyProtection="0"/>
    <xf numFmtId="175" fontId="19" fillId="53" borderId="0" applyNumberFormat="0" applyBorder="0" applyAlignment="0" applyProtection="0"/>
    <xf numFmtId="175" fontId="10" fillId="34" borderId="0" applyNumberFormat="0" applyBorder="0" applyAlignment="0" applyProtection="0"/>
    <xf numFmtId="175" fontId="10" fillId="34" borderId="0" applyNumberFormat="0" applyBorder="0" applyAlignment="0" applyProtection="0"/>
    <xf numFmtId="175" fontId="10" fillId="34" borderId="0" applyNumberFormat="0" applyBorder="0" applyAlignment="0" applyProtection="0"/>
    <xf numFmtId="175" fontId="10" fillId="34" borderId="0" applyNumberFormat="0" applyBorder="0" applyAlignment="0" applyProtection="0"/>
    <xf numFmtId="175" fontId="10" fillId="34" borderId="0" applyNumberFormat="0" applyBorder="0" applyAlignment="0" applyProtection="0"/>
    <xf numFmtId="175" fontId="10" fillId="34" borderId="0" applyNumberFormat="0" applyBorder="0" applyAlignment="0" applyProtection="0"/>
    <xf numFmtId="175" fontId="10" fillId="34" borderId="0" applyNumberFormat="0" applyBorder="0" applyAlignment="0" applyProtection="0"/>
    <xf numFmtId="175" fontId="10" fillId="34" borderId="0" applyNumberFormat="0" applyBorder="0" applyAlignment="0" applyProtection="0"/>
    <xf numFmtId="175" fontId="10" fillId="34" borderId="0" applyNumberFormat="0" applyBorder="0" applyAlignment="0" applyProtection="0"/>
    <xf numFmtId="175" fontId="10" fillId="34" borderId="0" applyNumberFormat="0" applyBorder="0" applyAlignment="0" applyProtection="0"/>
    <xf numFmtId="175" fontId="10" fillId="34" borderId="0" applyNumberFormat="0" applyBorder="0" applyAlignment="0" applyProtection="0"/>
    <xf numFmtId="175" fontId="10" fillId="34" borderId="0" applyNumberFormat="0" applyBorder="0" applyAlignment="0" applyProtection="0"/>
    <xf numFmtId="175" fontId="10" fillId="34" borderId="0" applyNumberFormat="0" applyBorder="0" applyAlignment="0" applyProtection="0"/>
    <xf numFmtId="175" fontId="10" fillId="34" borderId="0" applyNumberFormat="0" applyBorder="0" applyAlignment="0" applyProtection="0"/>
    <xf numFmtId="175" fontId="10" fillId="34" borderId="0" applyNumberFormat="0" applyBorder="0" applyAlignment="0" applyProtection="0"/>
    <xf numFmtId="175" fontId="20" fillId="34" borderId="0" applyNumberFormat="0" applyBorder="0" applyAlignment="0" applyProtection="0"/>
    <xf numFmtId="175" fontId="20" fillId="34" borderId="0" applyNumberFormat="0" applyBorder="0" applyAlignment="0" applyProtection="0"/>
    <xf numFmtId="175" fontId="19" fillId="54" borderId="0" applyNumberFormat="0" applyBorder="0" applyAlignment="0" applyProtection="0"/>
    <xf numFmtId="175" fontId="20" fillId="34" borderId="0" applyNumberFormat="0" applyBorder="0" applyAlignment="0" applyProtection="0"/>
    <xf numFmtId="175" fontId="19" fillId="5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175" fontId="19" fillId="54" borderId="0" applyNumberFormat="0" applyBorder="0" applyAlignment="0" applyProtection="0"/>
    <xf numFmtId="175" fontId="19" fillId="54" borderId="0" applyNumberFormat="0" applyBorder="0" applyAlignment="0" applyProtection="0"/>
    <xf numFmtId="175" fontId="19" fillId="54" borderId="0" applyNumberFormat="0" applyBorder="0" applyAlignment="0" applyProtection="0"/>
    <xf numFmtId="0" fontId="10" fillId="34" borderId="0" applyNumberFormat="0" applyBorder="0" applyAlignment="0" applyProtection="0"/>
    <xf numFmtId="175" fontId="19" fillId="54" borderId="0" applyNumberFormat="0" applyBorder="0" applyAlignment="0" applyProtection="0"/>
    <xf numFmtId="175" fontId="19" fillId="54" borderId="0" applyNumberFormat="0" applyBorder="0" applyAlignment="0" applyProtection="0"/>
    <xf numFmtId="175" fontId="19" fillId="54" borderId="0" applyNumberFormat="0" applyBorder="0" applyAlignment="0" applyProtection="0"/>
    <xf numFmtId="175" fontId="20" fillId="34" borderId="0" applyNumberFormat="0" applyBorder="0" applyAlignment="0" applyProtection="0"/>
    <xf numFmtId="175" fontId="20" fillId="34" borderId="0" applyNumberFormat="0" applyBorder="0" applyAlignment="0" applyProtection="0"/>
    <xf numFmtId="175" fontId="20" fillId="34" borderId="0" applyNumberFormat="0" applyBorder="0" applyAlignment="0" applyProtection="0"/>
    <xf numFmtId="175" fontId="20" fillId="34" borderId="0" applyNumberFormat="0" applyBorder="0" applyAlignment="0" applyProtection="0"/>
    <xf numFmtId="175" fontId="20" fillId="34" borderId="0" applyNumberFormat="0" applyBorder="0" applyAlignment="0" applyProtection="0"/>
    <xf numFmtId="175" fontId="20" fillId="34" borderId="0" applyNumberFormat="0" applyBorder="0" applyAlignment="0" applyProtection="0"/>
    <xf numFmtId="175" fontId="20" fillId="34" borderId="0" applyNumberFormat="0" applyBorder="0" applyAlignment="0" applyProtection="0"/>
    <xf numFmtId="175" fontId="20" fillId="34" borderId="0" applyNumberFormat="0" applyBorder="0" applyAlignment="0" applyProtection="0"/>
    <xf numFmtId="175" fontId="20" fillId="34" borderId="0" applyNumberFormat="0" applyBorder="0" applyAlignment="0" applyProtection="0"/>
    <xf numFmtId="175" fontId="20" fillId="34" borderId="0" applyNumberFormat="0" applyBorder="0" applyAlignment="0" applyProtection="0"/>
    <xf numFmtId="175" fontId="20" fillId="34" borderId="0" applyNumberFormat="0" applyBorder="0" applyAlignment="0" applyProtection="0"/>
    <xf numFmtId="175" fontId="20" fillId="34" borderId="0" applyNumberFormat="0" applyBorder="0" applyAlignment="0" applyProtection="0"/>
    <xf numFmtId="175" fontId="20" fillId="34" borderId="0" applyNumberFormat="0" applyBorder="0" applyAlignment="0" applyProtection="0"/>
    <xf numFmtId="175" fontId="19" fillId="54" borderId="0" applyNumberFormat="0" applyBorder="0" applyAlignment="0" applyProtection="0"/>
    <xf numFmtId="175" fontId="20" fillId="34" borderId="0" applyNumberFormat="0" applyBorder="0" applyAlignment="0" applyProtection="0"/>
    <xf numFmtId="175" fontId="20" fillId="34" borderId="0" applyNumberFormat="0" applyBorder="0" applyAlignment="0" applyProtection="0"/>
    <xf numFmtId="175" fontId="20" fillId="34" borderId="0" applyNumberFormat="0" applyBorder="0" applyAlignment="0" applyProtection="0"/>
    <xf numFmtId="175" fontId="20" fillId="34" borderId="0" applyNumberFormat="0" applyBorder="0" applyAlignment="0" applyProtection="0"/>
    <xf numFmtId="175" fontId="20" fillId="34" borderId="0" applyNumberFormat="0" applyBorder="0" applyAlignment="0" applyProtection="0"/>
    <xf numFmtId="175" fontId="20" fillId="34" borderId="0" applyNumberFormat="0" applyBorder="0" applyAlignment="0" applyProtection="0"/>
    <xf numFmtId="175" fontId="19" fillId="54" borderId="0" applyNumberFormat="0" applyBorder="0" applyAlignment="0" applyProtection="0"/>
    <xf numFmtId="175" fontId="19" fillId="53" borderId="0" applyNumberFormat="0" applyBorder="0" applyAlignment="0" applyProtection="0"/>
    <xf numFmtId="175" fontId="19" fillId="53" borderId="0" applyNumberFormat="0" applyBorder="0" applyAlignment="0" applyProtection="0"/>
    <xf numFmtId="175" fontId="19" fillId="53" borderId="0" applyNumberFormat="0" applyBorder="0" applyAlignment="0" applyProtection="0"/>
    <xf numFmtId="175" fontId="19" fillId="53" borderId="0" applyNumberFormat="0" applyBorder="0" applyAlignment="0" applyProtection="0"/>
    <xf numFmtId="175" fontId="19" fillId="53" borderId="0" applyNumberFormat="0" applyBorder="0" applyAlignment="0" applyProtection="0"/>
    <xf numFmtId="175" fontId="19" fillId="55" borderId="0" applyNumberFormat="0" applyBorder="0" applyAlignment="0" applyProtection="0"/>
    <xf numFmtId="175" fontId="19" fillId="55" borderId="0" applyNumberFormat="0" applyBorder="0" applyAlignment="0" applyProtection="0"/>
    <xf numFmtId="175" fontId="19" fillId="55" borderId="0" applyNumberFormat="0" applyBorder="0" applyAlignment="0" applyProtection="0"/>
    <xf numFmtId="175" fontId="19" fillId="55" borderId="0" applyNumberFormat="0" applyBorder="0" applyAlignment="0" applyProtection="0"/>
    <xf numFmtId="175" fontId="19" fillId="55" borderId="0" applyNumberFormat="0" applyBorder="0" applyAlignment="0" applyProtection="0"/>
    <xf numFmtId="175" fontId="10" fillId="38" borderId="0" applyNumberFormat="0" applyBorder="0" applyAlignment="0" applyProtection="0"/>
    <xf numFmtId="175" fontId="10" fillId="38" borderId="0" applyNumberFormat="0" applyBorder="0" applyAlignment="0" applyProtection="0"/>
    <xf numFmtId="175" fontId="10" fillId="38" borderId="0" applyNumberFormat="0" applyBorder="0" applyAlignment="0" applyProtection="0"/>
    <xf numFmtId="175" fontId="10" fillId="38" borderId="0" applyNumberFormat="0" applyBorder="0" applyAlignment="0" applyProtection="0"/>
    <xf numFmtId="175" fontId="10" fillId="38" borderId="0" applyNumberFormat="0" applyBorder="0" applyAlignment="0" applyProtection="0"/>
    <xf numFmtId="175" fontId="10" fillId="38" borderId="0" applyNumberFormat="0" applyBorder="0" applyAlignment="0" applyProtection="0"/>
    <xf numFmtId="175" fontId="10" fillId="38" borderId="0" applyNumberFormat="0" applyBorder="0" applyAlignment="0" applyProtection="0"/>
    <xf numFmtId="175" fontId="10" fillId="38" borderId="0" applyNumberFormat="0" applyBorder="0" applyAlignment="0" applyProtection="0"/>
    <xf numFmtId="175" fontId="10" fillId="38" borderId="0" applyNumberFormat="0" applyBorder="0" applyAlignment="0" applyProtection="0"/>
    <xf numFmtId="175" fontId="10" fillId="38" borderId="0" applyNumberFormat="0" applyBorder="0" applyAlignment="0" applyProtection="0"/>
    <xf numFmtId="175" fontId="10" fillId="38" borderId="0" applyNumberFormat="0" applyBorder="0" applyAlignment="0" applyProtection="0"/>
    <xf numFmtId="175" fontId="10" fillId="38" borderId="0" applyNumberFormat="0" applyBorder="0" applyAlignment="0" applyProtection="0"/>
    <xf numFmtId="175" fontId="10" fillId="38" borderId="0" applyNumberFormat="0" applyBorder="0" applyAlignment="0" applyProtection="0"/>
    <xf numFmtId="175" fontId="10" fillId="38" borderId="0" applyNumberFormat="0" applyBorder="0" applyAlignment="0" applyProtection="0"/>
    <xf numFmtId="175" fontId="10" fillId="38" borderId="0" applyNumberFormat="0" applyBorder="0" applyAlignment="0" applyProtection="0"/>
    <xf numFmtId="175" fontId="20" fillId="38" borderId="0" applyNumberFormat="0" applyBorder="0" applyAlignment="0" applyProtection="0"/>
    <xf numFmtId="175" fontId="20" fillId="38" borderId="0" applyNumberFormat="0" applyBorder="0" applyAlignment="0" applyProtection="0"/>
    <xf numFmtId="175" fontId="19" fillId="56" borderId="0" applyNumberFormat="0" applyBorder="0" applyAlignment="0" applyProtection="0"/>
    <xf numFmtId="175" fontId="20" fillId="38" borderId="0" applyNumberFormat="0" applyBorder="0" applyAlignment="0" applyProtection="0"/>
    <xf numFmtId="175" fontId="19" fillId="56"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175" fontId="19" fillId="56" borderId="0" applyNumberFormat="0" applyBorder="0" applyAlignment="0" applyProtection="0"/>
    <xf numFmtId="175" fontId="19" fillId="56" borderId="0" applyNumberFormat="0" applyBorder="0" applyAlignment="0" applyProtection="0"/>
    <xf numFmtId="175" fontId="19" fillId="56" borderId="0" applyNumberFormat="0" applyBorder="0" applyAlignment="0" applyProtection="0"/>
    <xf numFmtId="0" fontId="10" fillId="38" borderId="0" applyNumberFormat="0" applyBorder="0" applyAlignment="0" applyProtection="0"/>
    <xf numFmtId="175" fontId="19" fillId="56" borderId="0" applyNumberFormat="0" applyBorder="0" applyAlignment="0" applyProtection="0"/>
    <xf numFmtId="175" fontId="19" fillId="56" borderId="0" applyNumberFormat="0" applyBorder="0" applyAlignment="0" applyProtection="0"/>
    <xf numFmtId="175" fontId="19" fillId="56" borderId="0" applyNumberFormat="0" applyBorder="0" applyAlignment="0" applyProtection="0"/>
    <xf numFmtId="175" fontId="20" fillId="38" borderId="0" applyNumberFormat="0" applyBorder="0" applyAlignment="0" applyProtection="0"/>
    <xf numFmtId="175" fontId="20" fillId="38" borderId="0" applyNumberFormat="0" applyBorder="0" applyAlignment="0" applyProtection="0"/>
    <xf numFmtId="175" fontId="20" fillId="38" borderId="0" applyNumberFormat="0" applyBorder="0" applyAlignment="0" applyProtection="0"/>
    <xf numFmtId="175" fontId="20" fillId="38" borderId="0" applyNumberFormat="0" applyBorder="0" applyAlignment="0" applyProtection="0"/>
    <xf numFmtId="175" fontId="20" fillId="38" borderId="0" applyNumberFormat="0" applyBorder="0" applyAlignment="0" applyProtection="0"/>
    <xf numFmtId="175" fontId="20" fillId="38" borderId="0" applyNumberFormat="0" applyBorder="0" applyAlignment="0" applyProtection="0"/>
    <xf numFmtId="175" fontId="20" fillId="38" borderId="0" applyNumberFormat="0" applyBorder="0" applyAlignment="0" applyProtection="0"/>
    <xf numFmtId="175" fontId="20" fillId="38" borderId="0" applyNumberFormat="0" applyBorder="0" applyAlignment="0" applyProtection="0"/>
    <xf numFmtId="175" fontId="20" fillId="38" borderId="0" applyNumberFormat="0" applyBorder="0" applyAlignment="0" applyProtection="0"/>
    <xf numFmtId="175" fontId="20" fillId="38" borderId="0" applyNumberFormat="0" applyBorder="0" applyAlignment="0" applyProtection="0"/>
    <xf numFmtId="175" fontId="20" fillId="38" borderId="0" applyNumberFormat="0" applyBorder="0" applyAlignment="0" applyProtection="0"/>
    <xf numFmtId="175" fontId="20" fillId="38" borderId="0" applyNumberFormat="0" applyBorder="0" applyAlignment="0" applyProtection="0"/>
    <xf numFmtId="175" fontId="20" fillId="38" borderId="0" applyNumberFormat="0" applyBorder="0" applyAlignment="0" applyProtection="0"/>
    <xf numFmtId="175" fontId="19" fillId="56" borderId="0" applyNumberFormat="0" applyBorder="0" applyAlignment="0" applyProtection="0"/>
    <xf numFmtId="175" fontId="20" fillId="38" borderId="0" applyNumberFormat="0" applyBorder="0" applyAlignment="0" applyProtection="0"/>
    <xf numFmtId="175" fontId="20" fillId="38" borderId="0" applyNumberFormat="0" applyBorder="0" applyAlignment="0" applyProtection="0"/>
    <xf numFmtId="175" fontId="20" fillId="38" borderId="0" applyNumberFormat="0" applyBorder="0" applyAlignment="0" applyProtection="0"/>
    <xf numFmtId="175" fontId="20" fillId="38" borderId="0" applyNumberFormat="0" applyBorder="0" applyAlignment="0" applyProtection="0"/>
    <xf numFmtId="175" fontId="20" fillId="38" borderId="0" applyNumberFormat="0" applyBorder="0" applyAlignment="0" applyProtection="0"/>
    <xf numFmtId="175" fontId="20" fillId="38" borderId="0" applyNumberFormat="0" applyBorder="0" applyAlignment="0" applyProtection="0"/>
    <xf numFmtId="175" fontId="19" fillId="56" borderId="0" applyNumberFormat="0" applyBorder="0" applyAlignment="0" applyProtection="0"/>
    <xf numFmtId="175" fontId="19" fillId="55" borderId="0" applyNumberFormat="0" applyBorder="0" applyAlignment="0" applyProtection="0"/>
    <xf numFmtId="175" fontId="19" fillId="55" borderId="0" applyNumberFormat="0" applyBorder="0" applyAlignment="0" applyProtection="0"/>
    <xf numFmtId="175" fontId="19" fillId="55" borderId="0" applyNumberFormat="0" applyBorder="0" applyAlignment="0" applyProtection="0"/>
    <xf numFmtId="175" fontId="19" fillId="55" borderId="0" applyNumberFormat="0" applyBorder="0" applyAlignment="0" applyProtection="0"/>
    <xf numFmtId="175" fontId="19" fillId="55" borderId="0" applyNumberFormat="0" applyBorder="0" applyAlignment="0" applyProtection="0"/>
    <xf numFmtId="175" fontId="19" fillId="57" borderId="0" applyNumberFormat="0" applyBorder="0" applyAlignment="0" applyProtection="0"/>
    <xf numFmtId="175" fontId="19" fillId="57" borderId="0" applyNumberFormat="0" applyBorder="0" applyAlignment="0" applyProtection="0"/>
    <xf numFmtId="175" fontId="19" fillId="57" borderId="0" applyNumberFormat="0" applyBorder="0" applyAlignment="0" applyProtection="0"/>
    <xf numFmtId="175" fontId="19" fillId="57" borderId="0" applyNumberFormat="0" applyBorder="0" applyAlignment="0" applyProtection="0"/>
    <xf numFmtId="175" fontId="19" fillId="57" borderId="0" applyNumberFormat="0" applyBorder="0" applyAlignment="0" applyProtection="0"/>
    <xf numFmtId="175" fontId="10" fillId="42" borderId="0" applyNumberFormat="0" applyBorder="0" applyAlignment="0" applyProtection="0"/>
    <xf numFmtId="175" fontId="10" fillId="42" borderId="0" applyNumberFormat="0" applyBorder="0" applyAlignment="0" applyProtection="0"/>
    <xf numFmtId="175" fontId="10" fillId="42" borderId="0" applyNumberFormat="0" applyBorder="0" applyAlignment="0" applyProtection="0"/>
    <xf numFmtId="175" fontId="10" fillId="42" borderId="0" applyNumberFormat="0" applyBorder="0" applyAlignment="0" applyProtection="0"/>
    <xf numFmtId="175" fontId="10" fillId="42" borderId="0" applyNumberFormat="0" applyBorder="0" applyAlignment="0" applyProtection="0"/>
    <xf numFmtId="175" fontId="10" fillId="42" borderId="0" applyNumberFormat="0" applyBorder="0" applyAlignment="0" applyProtection="0"/>
    <xf numFmtId="175" fontId="10" fillId="42" borderId="0" applyNumberFormat="0" applyBorder="0" applyAlignment="0" applyProtection="0"/>
    <xf numFmtId="175" fontId="10" fillId="42" borderId="0" applyNumberFormat="0" applyBorder="0" applyAlignment="0" applyProtection="0"/>
    <xf numFmtId="175" fontId="10" fillId="42" borderId="0" applyNumberFormat="0" applyBorder="0" applyAlignment="0" applyProtection="0"/>
    <xf numFmtId="175" fontId="10" fillId="42" borderId="0" applyNumberFormat="0" applyBorder="0" applyAlignment="0" applyProtection="0"/>
    <xf numFmtId="175" fontId="10" fillId="42" borderId="0" applyNumberFormat="0" applyBorder="0" applyAlignment="0" applyProtection="0"/>
    <xf numFmtId="175" fontId="10" fillId="42" borderId="0" applyNumberFormat="0" applyBorder="0" applyAlignment="0" applyProtection="0"/>
    <xf numFmtId="175" fontId="10" fillId="42" borderId="0" applyNumberFormat="0" applyBorder="0" applyAlignment="0" applyProtection="0"/>
    <xf numFmtId="175" fontId="10" fillId="42" borderId="0" applyNumberFormat="0" applyBorder="0" applyAlignment="0" applyProtection="0"/>
    <xf numFmtId="175" fontId="10" fillId="42" borderId="0" applyNumberFormat="0" applyBorder="0" applyAlignment="0" applyProtection="0"/>
    <xf numFmtId="175" fontId="20" fillId="42" borderId="0" applyNumberFormat="0" applyBorder="0" applyAlignment="0" applyProtection="0"/>
    <xf numFmtId="175" fontId="20" fillId="42" borderId="0" applyNumberFormat="0" applyBorder="0" applyAlignment="0" applyProtection="0"/>
    <xf numFmtId="175" fontId="19" fillId="57" borderId="0" applyNumberFormat="0" applyBorder="0" applyAlignment="0" applyProtection="0"/>
    <xf numFmtId="175" fontId="20" fillId="42" borderId="0" applyNumberFormat="0" applyBorder="0" applyAlignment="0" applyProtection="0"/>
    <xf numFmtId="175" fontId="19" fillId="5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175" fontId="19" fillId="57" borderId="0" applyNumberFormat="0" applyBorder="0" applyAlignment="0" applyProtection="0"/>
    <xf numFmtId="175" fontId="19" fillId="57" borderId="0" applyNumberFormat="0" applyBorder="0" applyAlignment="0" applyProtection="0"/>
    <xf numFmtId="175" fontId="19" fillId="57" borderId="0" applyNumberFormat="0" applyBorder="0" applyAlignment="0" applyProtection="0"/>
    <xf numFmtId="0" fontId="10" fillId="42" borderId="0" applyNumberFormat="0" applyBorder="0" applyAlignment="0" applyProtection="0"/>
    <xf numFmtId="175" fontId="19" fillId="57" borderId="0" applyNumberFormat="0" applyBorder="0" applyAlignment="0" applyProtection="0"/>
    <xf numFmtId="175" fontId="19" fillId="57" borderId="0" applyNumberFormat="0" applyBorder="0" applyAlignment="0" applyProtection="0"/>
    <xf numFmtId="175" fontId="19" fillId="57" borderId="0" applyNumberFormat="0" applyBorder="0" applyAlignment="0" applyProtection="0"/>
    <xf numFmtId="175" fontId="20" fillId="42" borderId="0" applyNumberFormat="0" applyBorder="0" applyAlignment="0" applyProtection="0"/>
    <xf numFmtId="175" fontId="20" fillId="42" borderId="0" applyNumberFormat="0" applyBorder="0" applyAlignment="0" applyProtection="0"/>
    <xf numFmtId="175" fontId="20" fillId="42" borderId="0" applyNumberFormat="0" applyBorder="0" applyAlignment="0" applyProtection="0"/>
    <xf numFmtId="175" fontId="20" fillId="42" borderId="0" applyNumberFormat="0" applyBorder="0" applyAlignment="0" applyProtection="0"/>
    <xf numFmtId="175" fontId="20" fillId="42" borderId="0" applyNumberFormat="0" applyBorder="0" applyAlignment="0" applyProtection="0"/>
    <xf numFmtId="175" fontId="20" fillId="42" borderId="0" applyNumberFormat="0" applyBorder="0" applyAlignment="0" applyProtection="0"/>
    <xf numFmtId="175" fontId="20" fillId="42" borderId="0" applyNumberFormat="0" applyBorder="0" applyAlignment="0" applyProtection="0"/>
    <xf numFmtId="175" fontId="20" fillId="42" borderId="0" applyNumberFormat="0" applyBorder="0" applyAlignment="0" applyProtection="0"/>
    <xf numFmtId="175" fontId="20" fillId="42" borderId="0" applyNumberFormat="0" applyBorder="0" applyAlignment="0" applyProtection="0"/>
    <xf numFmtId="175" fontId="20" fillId="42" borderId="0" applyNumberFormat="0" applyBorder="0" applyAlignment="0" applyProtection="0"/>
    <xf numFmtId="175" fontId="20" fillId="42" borderId="0" applyNumberFormat="0" applyBorder="0" applyAlignment="0" applyProtection="0"/>
    <xf numFmtId="175" fontId="20" fillId="42" borderId="0" applyNumberFormat="0" applyBorder="0" applyAlignment="0" applyProtection="0"/>
    <xf numFmtId="175" fontId="20" fillId="42" borderId="0" applyNumberFormat="0" applyBorder="0" applyAlignment="0" applyProtection="0"/>
    <xf numFmtId="175" fontId="19" fillId="57" borderId="0" applyNumberFormat="0" applyBorder="0" applyAlignment="0" applyProtection="0"/>
    <xf numFmtId="175" fontId="20" fillId="42" borderId="0" applyNumberFormat="0" applyBorder="0" applyAlignment="0" applyProtection="0"/>
    <xf numFmtId="175" fontId="20" fillId="42" borderId="0" applyNumberFormat="0" applyBorder="0" applyAlignment="0" applyProtection="0"/>
    <xf numFmtId="175" fontId="20" fillId="42" borderId="0" applyNumberFormat="0" applyBorder="0" applyAlignment="0" applyProtection="0"/>
    <xf numFmtId="175" fontId="20" fillId="42" borderId="0" applyNumberFormat="0" applyBorder="0" applyAlignment="0" applyProtection="0"/>
    <xf numFmtId="175" fontId="20" fillId="42" borderId="0" applyNumberFormat="0" applyBorder="0" applyAlignment="0" applyProtection="0"/>
    <xf numFmtId="175" fontId="20" fillId="42" borderId="0" applyNumberFormat="0" applyBorder="0" applyAlignment="0" applyProtection="0"/>
    <xf numFmtId="175" fontId="19" fillId="57" borderId="0" applyNumberFormat="0" applyBorder="0" applyAlignment="0" applyProtection="0"/>
    <xf numFmtId="175" fontId="19" fillId="57" borderId="0" applyNumberFormat="0" applyBorder="0" applyAlignment="0" applyProtection="0"/>
    <xf numFmtId="175" fontId="19" fillId="57" borderId="0" applyNumberFormat="0" applyBorder="0" applyAlignment="0" applyProtection="0"/>
    <xf numFmtId="175" fontId="19" fillId="57" borderId="0" applyNumberFormat="0" applyBorder="0" applyAlignment="0" applyProtection="0"/>
    <xf numFmtId="175" fontId="19" fillId="57" borderId="0" applyNumberFormat="0" applyBorder="0" applyAlignment="0" applyProtection="0"/>
    <xf numFmtId="175" fontId="19" fillId="57" borderId="0" applyNumberFormat="0" applyBorder="0" applyAlignment="0" applyProtection="0"/>
    <xf numFmtId="175" fontId="19" fillId="56" borderId="0" applyNumberFormat="0" applyBorder="0" applyAlignment="0" applyProtection="0"/>
    <xf numFmtId="175" fontId="19" fillId="56" borderId="0" applyNumberFormat="0" applyBorder="0" applyAlignment="0" applyProtection="0"/>
    <xf numFmtId="175" fontId="19" fillId="56" borderId="0" applyNumberFormat="0" applyBorder="0" applyAlignment="0" applyProtection="0"/>
    <xf numFmtId="175" fontId="19" fillId="56" borderId="0" applyNumberFormat="0" applyBorder="0" applyAlignment="0" applyProtection="0"/>
    <xf numFmtId="175" fontId="19" fillId="56" borderId="0" applyNumberFormat="0" applyBorder="0" applyAlignment="0" applyProtection="0"/>
    <xf numFmtId="175" fontId="10" fillId="46" borderId="0" applyNumberFormat="0" applyBorder="0" applyAlignment="0" applyProtection="0"/>
    <xf numFmtId="175" fontId="10" fillId="46" borderId="0" applyNumberFormat="0" applyBorder="0" applyAlignment="0" applyProtection="0"/>
    <xf numFmtId="175" fontId="10" fillId="46" borderId="0" applyNumberFormat="0" applyBorder="0" applyAlignment="0" applyProtection="0"/>
    <xf numFmtId="175" fontId="10" fillId="46" borderId="0" applyNumberFormat="0" applyBorder="0" applyAlignment="0" applyProtection="0"/>
    <xf numFmtId="175" fontId="10" fillId="46" borderId="0" applyNumberFormat="0" applyBorder="0" applyAlignment="0" applyProtection="0"/>
    <xf numFmtId="175" fontId="10" fillId="46" borderId="0" applyNumberFormat="0" applyBorder="0" applyAlignment="0" applyProtection="0"/>
    <xf numFmtId="175" fontId="10" fillId="46" borderId="0" applyNumberFormat="0" applyBorder="0" applyAlignment="0" applyProtection="0"/>
    <xf numFmtId="175" fontId="10" fillId="46" borderId="0" applyNumberFormat="0" applyBorder="0" applyAlignment="0" applyProtection="0"/>
    <xf numFmtId="175" fontId="10" fillId="46" borderId="0" applyNumberFormat="0" applyBorder="0" applyAlignment="0" applyProtection="0"/>
    <xf numFmtId="175" fontId="10" fillId="46" borderId="0" applyNumberFormat="0" applyBorder="0" applyAlignment="0" applyProtection="0"/>
    <xf numFmtId="175" fontId="10" fillId="46" borderId="0" applyNumberFormat="0" applyBorder="0" applyAlignment="0" applyProtection="0"/>
    <xf numFmtId="175" fontId="10" fillId="46" borderId="0" applyNumberFormat="0" applyBorder="0" applyAlignment="0" applyProtection="0"/>
    <xf numFmtId="175" fontId="10" fillId="46" borderId="0" applyNumberFormat="0" applyBorder="0" applyAlignment="0" applyProtection="0"/>
    <xf numFmtId="175" fontId="10" fillId="46" borderId="0" applyNumberFormat="0" applyBorder="0" applyAlignment="0" applyProtection="0"/>
    <xf numFmtId="175" fontId="10" fillId="46" borderId="0" applyNumberFormat="0" applyBorder="0" applyAlignment="0" applyProtection="0"/>
    <xf numFmtId="175" fontId="20" fillId="46" borderId="0" applyNumberFormat="0" applyBorder="0" applyAlignment="0" applyProtection="0"/>
    <xf numFmtId="175" fontId="20" fillId="46" borderId="0" applyNumberFormat="0" applyBorder="0" applyAlignment="0" applyProtection="0"/>
    <xf numFmtId="175" fontId="19" fillId="54" borderId="0" applyNumberFormat="0" applyBorder="0" applyAlignment="0" applyProtection="0"/>
    <xf numFmtId="175" fontId="20" fillId="46" borderId="0" applyNumberFormat="0" applyBorder="0" applyAlignment="0" applyProtection="0"/>
    <xf numFmtId="175" fontId="19" fillId="5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175" fontId="19" fillId="54" borderId="0" applyNumberFormat="0" applyBorder="0" applyAlignment="0" applyProtection="0"/>
    <xf numFmtId="175" fontId="19" fillId="54" borderId="0" applyNumberFormat="0" applyBorder="0" applyAlignment="0" applyProtection="0"/>
    <xf numFmtId="175" fontId="19" fillId="54" borderId="0" applyNumberFormat="0" applyBorder="0" applyAlignment="0" applyProtection="0"/>
    <xf numFmtId="0" fontId="10" fillId="46" borderId="0" applyNumberFormat="0" applyBorder="0" applyAlignment="0" applyProtection="0"/>
    <xf numFmtId="175" fontId="19" fillId="54" borderId="0" applyNumberFormat="0" applyBorder="0" applyAlignment="0" applyProtection="0"/>
    <xf numFmtId="175" fontId="19" fillId="54" borderId="0" applyNumberFormat="0" applyBorder="0" applyAlignment="0" applyProtection="0"/>
    <xf numFmtId="175" fontId="19" fillId="54" borderId="0" applyNumberFormat="0" applyBorder="0" applyAlignment="0" applyProtection="0"/>
    <xf numFmtId="175" fontId="20" fillId="46" borderId="0" applyNumberFormat="0" applyBorder="0" applyAlignment="0" applyProtection="0"/>
    <xf numFmtId="175" fontId="20" fillId="46" borderId="0" applyNumberFormat="0" applyBorder="0" applyAlignment="0" applyProtection="0"/>
    <xf numFmtId="175" fontId="20" fillId="46" borderId="0" applyNumberFormat="0" applyBorder="0" applyAlignment="0" applyProtection="0"/>
    <xf numFmtId="175" fontId="20" fillId="46" borderId="0" applyNumberFormat="0" applyBorder="0" applyAlignment="0" applyProtection="0"/>
    <xf numFmtId="175" fontId="20" fillId="46" borderId="0" applyNumberFormat="0" applyBorder="0" applyAlignment="0" applyProtection="0"/>
    <xf numFmtId="175" fontId="20" fillId="46" borderId="0" applyNumberFormat="0" applyBorder="0" applyAlignment="0" applyProtection="0"/>
    <xf numFmtId="175" fontId="20" fillId="46" borderId="0" applyNumberFormat="0" applyBorder="0" applyAlignment="0" applyProtection="0"/>
    <xf numFmtId="175" fontId="20" fillId="46" borderId="0" applyNumberFormat="0" applyBorder="0" applyAlignment="0" applyProtection="0"/>
    <xf numFmtId="175" fontId="20" fillId="46" borderId="0" applyNumberFormat="0" applyBorder="0" applyAlignment="0" applyProtection="0"/>
    <xf numFmtId="175" fontId="20" fillId="46" borderId="0" applyNumberFormat="0" applyBorder="0" applyAlignment="0" applyProtection="0"/>
    <xf numFmtId="175" fontId="20" fillId="46" borderId="0" applyNumberFormat="0" applyBorder="0" applyAlignment="0" applyProtection="0"/>
    <xf numFmtId="175" fontId="20" fillId="46" borderId="0" applyNumberFormat="0" applyBorder="0" applyAlignment="0" applyProtection="0"/>
    <xf numFmtId="175" fontId="20" fillId="46" borderId="0" applyNumberFormat="0" applyBorder="0" applyAlignment="0" applyProtection="0"/>
    <xf numFmtId="175" fontId="19" fillId="54" borderId="0" applyNumberFormat="0" applyBorder="0" applyAlignment="0" applyProtection="0"/>
    <xf numFmtId="175" fontId="20" fillId="46" borderId="0" applyNumberFormat="0" applyBorder="0" applyAlignment="0" applyProtection="0"/>
    <xf numFmtId="175" fontId="20" fillId="46" borderId="0" applyNumberFormat="0" applyBorder="0" applyAlignment="0" applyProtection="0"/>
    <xf numFmtId="175" fontId="20" fillId="46" borderId="0" applyNumberFormat="0" applyBorder="0" applyAlignment="0" applyProtection="0"/>
    <xf numFmtId="175" fontId="20" fillId="46" borderId="0" applyNumberFormat="0" applyBorder="0" applyAlignment="0" applyProtection="0"/>
    <xf numFmtId="175" fontId="20" fillId="46" borderId="0" applyNumberFormat="0" applyBorder="0" applyAlignment="0" applyProtection="0"/>
    <xf numFmtId="175" fontId="20" fillId="46" borderId="0" applyNumberFormat="0" applyBorder="0" applyAlignment="0" applyProtection="0"/>
    <xf numFmtId="175" fontId="19" fillId="54" borderId="0" applyNumberFormat="0" applyBorder="0" applyAlignment="0" applyProtection="0"/>
    <xf numFmtId="175" fontId="19" fillId="56" borderId="0" applyNumberFormat="0" applyBorder="0" applyAlignment="0" applyProtection="0"/>
    <xf numFmtId="175" fontId="19" fillId="56" borderId="0" applyNumberFormat="0" applyBorder="0" applyAlignment="0" applyProtection="0"/>
    <xf numFmtId="175" fontId="19" fillId="56" borderId="0" applyNumberFormat="0" applyBorder="0" applyAlignment="0" applyProtection="0"/>
    <xf numFmtId="175" fontId="19" fillId="56" borderId="0" applyNumberFormat="0" applyBorder="0" applyAlignment="0" applyProtection="0"/>
    <xf numFmtId="175" fontId="19" fillId="56" borderId="0" applyNumberFormat="0" applyBorder="0" applyAlignment="0" applyProtection="0"/>
    <xf numFmtId="175" fontId="19" fillId="50" borderId="0" applyNumberFormat="0" applyBorder="0" applyAlignment="0" applyProtection="0"/>
    <xf numFmtId="175" fontId="19" fillId="50" borderId="0" applyNumberFormat="0" applyBorder="0" applyAlignment="0" applyProtection="0"/>
    <xf numFmtId="175" fontId="19" fillId="50" borderId="0" applyNumberFormat="0" applyBorder="0" applyAlignment="0" applyProtection="0"/>
    <xf numFmtId="175" fontId="19" fillId="50" borderId="0" applyNumberFormat="0" applyBorder="0" applyAlignment="0" applyProtection="0"/>
    <xf numFmtId="175" fontId="19" fillId="50" borderId="0" applyNumberFormat="0" applyBorder="0" applyAlignment="0" applyProtection="0"/>
    <xf numFmtId="175" fontId="10" fillId="27" borderId="0" applyNumberFormat="0" applyBorder="0" applyAlignment="0" applyProtection="0"/>
    <xf numFmtId="175" fontId="10" fillId="27" borderId="0" applyNumberFormat="0" applyBorder="0" applyAlignment="0" applyProtection="0"/>
    <xf numFmtId="175" fontId="10" fillId="27" borderId="0" applyNumberFormat="0" applyBorder="0" applyAlignment="0" applyProtection="0"/>
    <xf numFmtId="175" fontId="10" fillId="27" borderId="0" applyNumberFormat="0" applyBorder="0" applyAlignment="0" applyProtection="0"/>
    <xf numFmtId="175" fontId="10" fillId="27" borderId="0" applyNumberFormat="0" applyBorder="0" applyAlignment="0" applyProtection="0"/>
    <xf numFmtId="175" fontId="10" fillId="27" borderId="0" applyNumberFormat="0" applyBorder="0" applyAlignment="0" applyProtection="0"/>
    <xf numFmtId="175" fontId="10" fillId="27" borderId="0" applyNumberFormat="0" applyBorder="0" applyAlignment="0" applyProtection="0"/>
    <xf numFmtId="175" fontId="10" fillId="27" borderId="0" applyNumberFormat="0" applyBorder="0" applyAlignment="0" applyProtection="0"/>
    <xf numFmtId="175" fontId="10" fillId="27" borderId="0" applyNumberFormat="0" applyBorder="0" applyAlignment="0" applyProtection="0"/>
    <xf numFmtId="175" fontId="10" fillId="27" borderId="0" applyNumberFormat="0" applyBorder="0" applyAlignment="0" applyProtection="0"/>
    <xf numFmtId="175" fontId="10" fillId="27" borderId="0" applyNumberFormat="0" applyBorder="0" applyAlignment="0" applyProtection="0"/>
    <xf numFmtId="175" fontId="10" fillId="27" borderId="0" applyNumberFormat="0" applyBorder="0" applyAlignment="0" applyProtection="0"/>
    <xf numFmtId="175" fontId="10" fillId="27" borderId="0" applyNumberFormat="0" applyBorder="0" applyAlignment="0" applyProtection="0"/>
    <xf numFmtId="175" fontId="10" fillId="27" borderId="0" applyNumberFormat="0" applyBorder="0" applyAlignment="0" applyProtection="0"/>
    <xf numFmtId="175" fontId="10" fillId="27" borderId="0" applyNumberFormat="0" applyBorder="0" applyAlignment="0" applyProtection="0"/>
    <xf numFmtId="175" fontId="20" fillId="27" borderId="0" applyNumberFormat="0" applyBorder="0" applyAlignment="0" applyProtection="0"/>
    <xf numFmtId="175" fontId="20" fillId="27" borderId="0" applyNumberFormat="0" applyBorder="0" applyAlignment="0" applyProtection="0"/>
    <xf numFmtId="175" fontId="19" fillId="57" borderId="0" applyNumberFormat="0" applyBorder="0" applyAlignment="0" applyProtection="0"/>
    <xf numFmtId="175" fontId="20" fillId="27" borderId="0" applyNumberFormat="0" applyBorder="0" applyAlignment="0" applyProtection="0"/>
    <xf numFmtId="175" fontId="19" fillId="5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175" fontId="19" fillId="57" borderId="0" applyNumberFormat="0" applyBorder="0" applyAlignment="0" applyProtection="0"/>
    <xf numFmtId="175" fontId="19" fillId="57" borderId="0" applyNumberFormat="0" applyBorder="0" applyAlignment="0" applyProtection="0"/>
    <xf numFmtId="175" fontId="19" fillId="57" borderId="0" applyNumberFormat="0" applyBorder="0" applyAlignment="0" applyProtection="0"/>
    <xf numFmtId="0" fontId="10" fillId="27" borderId="0" applyNumberFormat="0" applyBorder="0" applyAlignment="0" applyProtection="0"/>
    <xf numFmtId="175" fontId="19" fillId="57" borderId="0" applyNumberFormat="0" applyBorder="0" applyAlignment="0" applyProtection="0"/>
    <xf numFmtId="175" fontId="19" fillId="57" borderId="0" applyNumberFormat="0" applyBorder="0" applyAlignment="0" applyProtection="0"/>
    <xf numFmtId="175" fontId="19" fillId="57" borderId="0" applyNumberFormat="0" applyBorder="0" applyAlignment="0" applyProtection="0"/>
    <xf numFmtId="175" fontId="20" fillId="27" borderId="0" applyNumberFormat="0" applyBorder="0" applyAlignment="0" applyProtection="0"/>
    <xf numFmtId="175" fontId="20" fillId="27" borderId="0" applyNumberFormat="0" applyBorder="0" applyAlignment="0" applyProtection="0"/>
    <xf numFmtId="175" fontId="20" fillId="27" borderId="0" applyNumberFormat="0" applyBorder="0" applyAlignment="0" applyProtection="0"/>
    <xf numFmtId="175" fontId="20" fillId="27" borderId="0" applyNumberFormat="0" applyBorder="0" applyAlignment="0" applyProtection="0"/>
    <xf numFmtId="175" fontId="20" fillId="27" borderId="0" applyNumberFormat="0" applyBorder="0" applyAlignment="0" applyProtection="0"/>
    <xf numFmtId="175" fontId="20" fillId="27" borderId="0" applyNumberFormat="0" applyBorder="0" applyAlignment="0" applyProtection="0"/>
    <xf numFmtId="175" fontId="20" fillId="27" borderId="0" applyNumberFormat="0" applyBorder="0" applyAlignment="0" applyProtection="0"/>
    <xf numFmtId="175" fontId="20" fillId="27" borderId="0" applyNumberFormat="0" applyBorder="0" applyAlignment="0" applyProtection="0"/>
    <xf numFmtId="175" fontId="20" fillId="27" borderId="0" applyNumberFormat="0" applyBorder="0" applyAlignment="0" applyProtection="0"/>
    <xf numFmtId="175" fontId="20" fillId="27" borderId="0" applyNumberFormat="0" applyBorder="0" applyAlignment="0" applyProtection="0"/>
    <xf numFmtId="175" fontId="20" fillId="27" borderId="0" applyNumberFormat="0" applyBorder="0" applyAlignment="0" applyProtection="0"/>
    <xf numFmtId="175" fontId="20" fillId="27" borderId="0" applyNumberFormat="0" applyBorder="0" applyAlignment="0" applyProtection="0"/>
    <xf numFmtId="175" fontId="20" fillId="27" borderId="0" applyNumberFormat="0" applyBorder="0" applyAlignment="0" applyProtection="0"/>
    <xf numFmtId="175" fontId="19" fillId="57" borderId="0" applyNumberFormat="0" applyBorder="0" applyAlignment="0" applyProtection="0"/>
    <xf numFmtId="175" fontId="20" fillId="27" borderId="0" applyNumberFormat="0" applyBorder="0" applyAlignment="0" applyProtection="0"/>
    <xf numFmtId="175" fontId="20" fillId="27" borderId="0" applyNumberFormat="0" applyBorder="0" applyAlignment="0" applyProtection="0"/>
    <xf numFmtId="175" fontId="20" fillId="27" borderId="0" applyNumberFormat="0" applyBorder="0" applyAlignment="0" applyProtection="0"/>
    <xf numFmtId="175" fontId="20" fillId="27" borderId="0" applyNumberFormat="0" applyBorder="0" applyAlignment="0" applyProtection="0"/>
    <xf numFmtId="175" fontId="20" fillId="27" borderId="0" applyNumberFormat="0" applyBorder="0" applyAlignment="0" applyProtection="0"/>
    <xf numFmtId="175" fontId="20" fillId="27" borderId="0" applyNumberFormat="0" applyBorder="0" applyAlignment="0" applyProtection="0"/>
    <xf numFmtId="175" fontId="19" fillId="57" borderId="0" applyNumberFormat="0" applyBorder="0" applyAlignment="0" applyProtection="0"/>
    <xf numFmtId="175" fontId="19" fillId="50" borderId="0" applyNumberFormat="0" applyBorder="0" applyAlignment="0" applyProtection="0"/>
    <xf numFmtId="175" fontId="19" fillId="50" borderId="0" applyNumberFormat="0" applyBorder="0" applyAlignment="0" applyProtection="0"/>
    <xf numFmtId="175" fontId="19" fillId="50" borderId="0" applyNumberFormat="0" applyBorder="0" applyAlignment="0" applyProtection="0"/>
    <xf numFmtId="175" fontId="19" fillId="50" borderId="0" applyNumberFormat="0" applyBorder="0" applyAlignment="0" applyProtection="0"/>
    <xf numFmtId="175" fontId="19" fillId="50" borderId="0" applyNumberFormat="0" applyBorder="0" applyAlignment="0" applyProtection="0"/>
    <xf numFmtId="175" fontId="19" fillId="52" borderId="0" applyNumberFormat="0" applyBorder="0" applyAlignment="0" applyProtection="0"/>
    <xf numFmtId="175" fontId="19" fillId="52" borderId="0" applyNumberFormat="0" applyBorder="0" applyAlignment="0" applyProtection="0"/>
    <xf numFmtId="175" fontId="19" fillId="52" borderId="0" applyNumberFormat="0" applyBorder="0" applyAlignment="0" applyProtection="0"/>
    <xf numFmtId="175" fontId="19" fillId="52" borderId="0" applyNumberFormat="0" applyBorder="0" applyAlignment="0" applyProtection="0"/>
    <xf numFmtId="175" fontId="19" fillId="52" borderId="0" applyNumberFormat="0" applyBorder="0" applyAlignment="0" applyProtection="0"/>
    <xf numFmtId="175" fontId="10" fillId="31" borderId="0" applyNumberFormat="0" applyBorder="0" applyAlignment="0" applyProtection="0"/>
    <xf numFmtId="175" fontId="10" fillId="31" borderId="0" applyNumberFormat="0" applyBorder="0" applyAlignment="0" applyProtection="0"/>
    <xf numFmtId="175" fontId="10" fillId="31" borderId="0" applyNumberFormat="0" applyBorder="0" applyAlignment="0" applyProtection="0"/>
    <xf numFmtId="175" fontId="10" fillId="31" borderId="0" applyNumberFormat="0" applyBorder="0" applyAlignment="0" applyProtection="0"/>
    <xf numFmtId="175" fontId="10" fillId="31" borderId="0" applyNumberFormat="0" applyBorder="0" applyAlignment="0" applyProtection="0"/>
    <xf numFmtId="175" fontId="10" fillId="31" borderId="0" applyNumberFormat="0" applyBorder="0" applyAlignment="0" applyProtection="0"/>
    <xf numFmtId="175" fontId="10" fillId="31" borderId="0" applyNumberFormat="0" applyBorder="0" applyAlignment="0" applyProtection="0"/>
    <xf numFmtId="175" fontId="10" fillId="31" borderId="0" applyNumberFormat="0" applyBorder="0" applyAlignment="0" applyProtection="0"/>
    <xf numFmtId="175" fontId="10" fillId="31" borderId="0" applyNumberFormat="0" applyBorder="0" applyAlignment="0" applyProtection="0"/>
    <xf numFmtId="175" fontId="10" fillId="31" borderId="0" applyNumberFormat="0" applyBorder="0" applyAlignment="0" applyProtection="0"/>
    <xf numFmtId="175" fontId="10" fillId="31" borderId="0" applyNumberFormat="0" applyBorder="0" applyAlignment="0" applyProtection="0"/>
    <xf numFmtId="175" fontId="10" fillId="31" borderId="0" applyNumberFormat="0" applyBorder="0" applyAlignment="0" applyProtection="0"/>
    <xf numFmtId="175" fontId="10" fillId="31" borderId="0" applyNumberFormat="0" applyBorder="0" applyAlignment="0" applyProtection="0"/>
    <xf numFmtId="175" fontId="10" fillId="31" borderId="0" applyNumberFormat="0" applyBorder="0" applyAlignment="0" applyProtection="0"/>
    <xf numFmtId="175" fontId="10" fillId="31" borderId="0" applyNumberFormat="0" applyBorder="0" applyAlignment="0" applyProtection="0"/>
    <xf numFmtId="175" fontId="20" fillId="31" borderId="0" applyNumberFormat="0" applyBorder="0" applyAlignment="0" applyProtection="0"/>
    <xf numFmtId="175" fontId="20" fillId="31" borderId="0" applyNumberFormat="0" applyBorder="0" applyAlignment="0" applyProtection="0"/>
    <xf numFmtId="175" fontId="19" fillId="52" borderId="0" applyNumberFormat="0" applyBorder="0" applyAlignment="0" applyProtection="0"/>
    <xf numFmtId="175" fontId="20" fillId="31" borderId="0" applyNumberFormat="0" applyBorder="0" applyAlignment="0" applyProtection="0"/>
    <xf numFmtId="175" fontId="19" fillId="5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175" fontId="19" fillId="52" borderId="0" applyNumberFormat="0" applyBorder="0" applyAlignment="0" applyProtection="0"/>
    <xf numFmtId="175" fontId="19" fillId="52" borderId="0" applyNumberFormat="0" applyBorder="0" applyAlignment="0" applyProtection="0"/>
    <xf numFmtId="175" fontId="19" fillId="52" borderId="0" applyNumberFormat="0" applyBorder="0" applyAlignment="0" applyProtection="0"/>
    <xf numFmtId="0" fontId="10" fillId="31" borderId="0" applyNumberFormat="0" applyBorder="0" applyAlignment="0" applyProtection="0"/>
    <xf numFmtId="175" fontId="19" fillId="52" borderId="0" applyNumberFormat="0" applyBorder="0" applyAlignment="0" applyProtection="0"/>
    <xf numFmtId="175" fontId="19" fillId="52" borderId="0" applyNumberFormat="0" applyBorder="0" applyAlignment="0" applyProtection="0"/>
    <xf numFmtId="175" fontId="19" fillId="52" borderId="0" applyNumberFormat="0" applyBorder="0" applyAlignment="0" applyProtection="0"/>
    <xf numFmtId="175" fontId="20" fillId="31" borderId="0" applyNumberFormat="0" applyBorder="0" applyAlignment="0" applyProtection="0"/>
    <xf numFmtId="175" fontId="20" fillId="31" borderId="0" applyNumberFormat="0" applyBorder="0" applyAlignment="0" applyProtection="0"/>
    <xf numFmtId="175" fontId="20" fillId="31" borderId="0" applyNumberFormat="0" applyBorder="0" applyAlignment="0" applyProtection="0"/>
    <xf numFmtId="175" fontId="20" fillId="31" borderId="0" applyNumberFormat="0" applyBorder="0" applyAlignment="0" applyProtection="0"/>
    <xf numFmtId="175" fontId="20" fillId="31" borderId="0" applyNumberFormat="0" applyBorder="0" applyAlignment="0" applyProtection="0"/>
    <xf numFmtId="175" fontId="20" fillId="31" borderId="0" applyNumberFormat="0" applyBorder="0" applyAlignment="0" applyProtection="0"/>
    <xf numFmtId="175" fontId="20" fillId="31" borderId="0" applyNumberFormat="0" applyBorder="0" applyAlignment="0" applyProtection="0"/>
    <xf numFmtId="175" fontId="20" fillId="31" borderId="0" applyNumberFormat="0" applyBorder="0" applyAlignment="0" applyProtection="0"/>
    <xf numFmtId="175" fontId="20" fillId="31" borderId="0" applyNumberFormat="0" applyBorder="0" applyAlignment="0" applyProtection="0"/>
    <xf numFmtId="175" fontId="20" fillId="31" borderId="0" applyNumberFormat="0" applyBorder="0" applyAlignment="0" applyProtection="0"/>
    <xf numFmtId="175" fontId="20" fillId="31" borderId="0" applyNumberFormat="0" applyBorder="0" applyAlignment="0" applyProtection="0"/>
    <xf numFmtId="175" fontId="20" fillId="31" borderId="0" applyNumberFormat="0" applyBorder="0" applyAlignment="0" applyProtection="0"/>
    <xf numFmtId="175" fontId="20" fillId="31" borderId="0" applyNumberFormat="0" applyBorder="0" applyAlignment="0" applyProtection="0"/>
    <xf numFmtId="175" fontId="19" fillId="52" borderId="0" applyNumberFormat="0" applyBorder="0" applyAlignment="0" applyProtection="0"/>
    <xf numFmtId="175" fontId="20" fillId="31" borderId="0" applyNumberFormat="0" applyBorder="0" applyAlignment="0" applyProtection="0"/>
    <xf numFmtId="175" fontId="20" fillId="31" borderId="0" applyNumberFormat="0" applyBorder="0" applyAlignment="0" applyProtection="0"/>
    <xf numFmtId="175" fontId="20" fillId="31" borderId="0" applyNumberFormat="0" applyBorder="0" applyAlignment="0" applyProtection="0"/>
    <xf numFmtId="175" fontId="20" fillId="31" borderId="0" applyNumberFormat="0" applyBorder="0" applyAlignment="0" applyProtection="0"/>
    <xf numFmtId="175" fontId="20" fillId="31" borderId="0" applyNumberFormat="0" applyBorder="0" applyAlignment="0" applyProtection="0"/>
    <xf numFmtId="175" fontId="20" fillId="31" borderId="0" applyNumberFormat="0" applyBorder="0" applyAlignment="0" applyProtection="0"/>
    <xf numFmtId="175" fontId="19" fillId="52" borderId="0" applyNumberFormat="0" applyBorder="0" applyAlignment="0" applyProtection="0"/>
    <xf numFmtId="175" fontId="19" fillId="52" borderId="0" applyNumberFormat="0" applyBorder="0" applyAlignment="0" applyProtection="0"/>
    <xf numFmtId="175" fontId="19" fillId="52" borderId="0" applyNumberFormat="0" applyBorder="0" applyAlignment="0" applyProtection="0"/>
    <xf numFmtId="175" fontId="19" fillId="52" borderId="0" applyNumberFormat="0" applyBorder="0" applyAlignment="0" applyProtection="0"/>
    <xf numFmtId="175" fontId="19" fillId="52" borderId="0" applyNumberFormat="0" applyBorder="0" applyAlignment="0" applyProtection="0"/>
    <xf numFmtId="175" fontId="19" fillId="52" borderId="0" applyNumberFormat="0" applyBorder="0" applyAlignment="0" applyProtection="0"/>
    <xf numFmtId="175" fontId="19" fillId="58" borderId="0" applyNumberFormat="0" applyBorder="0" applyAlignment="0" applyProtection="0"/>
    <xf numFmtId="175" fontId="19" fillId="58" borderId="0" applyNumberFormat="0" applyBorder="0" applyAlignment="0" applyProtection="0"/>
    <xf numFmtId="175" fontId="19" fillId="58" borderId="0" applyNumberFormat="0" applyBorder="0" applyAlignment="0" applyProtection="0"/>
    <xf numFmtId="175" fontId="19" fillId="58" borderId="0" applyNumberFormat="0" applyBorder="0" applyAlignment="0" applyProtection="0"/>
    <xf numFmtId="175" fontId="19" fillId="58" borderId="0" applyNumberFormat="0" applyBorder="0" applyAlignment="0" applyProtection="0"/>
    <xf numFmtId="175" fontId="10" fillId="35" borderId="0" applyNumberFormat="0" applyBorder="0" applyAlignment="0" applyProtection="0"/>
    <xf numFmtId="175" fontId="10" fillId="35" borderId="0" applyNumberFormat="0" applyBorder="0" applyAlignment="0" applyProtection="0"/>
    <xf numFmtId="175" fontId="10" fillId="35" borderId="0" applyNumberFormat="0" applyBorder="0" applyAlignment="0" applyProtection="0"/>
    <xf numFmtId="175" fontId="10" fillId="35" borderId="0" applyNumberFormat="0" applyBorder="0" applyAlignment="0" applyProtection="0"/>
    <xf numFmtId="175" fontId="10" fillId="35" borderId="0" applyNumberFormat="0" applyBorder="0" applyAlignment="0" applyProtection="0"/>
    <xf numFmtId="175" fontId="10" fillId="35" borderId="0" applyNumberFormat="0" applyBorder="0" applyAlignment="0" applyProtection="0"/>
    <xf numFmtId="175" fontId="10" fillId="35" borderId="0" applyNumberFormat="0" applyBorder="0" applyAlignment="0" applyProtection="0"/>
    <xf numFmtId="175" fontId="10" fillId="35" borderId="0" applyNumberFormat="0" applyBorder="0" applyAlignment="0" applyProtection="0"/>
    <xf numFmtId="175" fontId="10" fillId="35" borderId="0" applyNumberFormat="0" applyBorder="0" applyAlignment="0" applyProtection="0"/>
    <xf numFmtId="175" fontId="10" fillId="35" borderId="0" applyNumberFormat="0" applyBorder="0" applyAlignment="0" applyProtection="0"/>
    <xf numFmtId="175" fontId="10" fillId="35" borderId="0" applyNumberFormat="0" applyBorder="0" applyAlignment="0" applyProtection="0"/>
    <xf numFmtId="175" fontId="10" fillId="35" borderId="0" applyNumberFormat="0" applyBorder="0" applyAlignment="0" applyProtection="0"/>
    <xf numFmtId="175" fontId="10" fillId="35" borderId="0" applyNumberFormat="0" applyBorder="0" applyAlignment="0" applyProtection="0"/>
    <xf numFmtId="175" fontId="10" fillId="35" borderId="0" applyNumberFormat="0" applyBorder="0" applyAlignment="0" applyProtection="0"/>
    <xf numFmtId="175" fontId="10" fillId="35" borderId="0" applyNumberFormat="0" applyBorder="0" applyAlignment="0" applyProtection="0"/>
    <xf numFmtId="175" fontId="20" fillId="35" borderId="0" applyNumberFormat="0" applyBorder="0" applyAlignment="0" applyProtection="0"/>
    <xf numFmtId="175" fontId="20" fillId="35" borderId="0" applyNumberFormat="0" applyBorder="0" applyAlignment="0" applyProtection="0"/>
    <xf numFmtId="175" fontId="19" fillId="59" borderId="0" applyNumberFormat="0" applyBorder="0" applyAlignment="0" applyProtection="0"/>
    <xf numFmtId="175" fontId="20" fillId="35" borderId="0" applyNumberFormat="0" applyBorder="0" applyAlignment="0" applyProtection="0"/>
    <xf numFmtId="175" fontId="19" fillId="59"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175" fontId="19" fillId="59" borderId="0" applyNumberFormat="0" applyBorder="0" applyAlignment="0" applyProtection="0"/>
    <xf numFmtId="175" fontId="19" fillId="59" borderId="0" applyNumberFormat="0" applyBorder="0" applyAlignment="0" applyProtection="0"/>
    <xf numFmtId="175" fontId="19" fillId="59" borderId="0" applyNumberFormat="0" applyBorder="0" applyAlignment="0" applyProtection="0"/>
    <xf numFmtId="0" fontId="10" fillId="35" borderId="0" applyNumberFormat="0" applyBorder="0" applyAlignment="0" applyProtection="0"/>
    <xf numFmtId="175" fontId="19" fillId="59" borderId="0" applyNumberFormat="0" applyBorder="0" applyAlignment="0" applyProtection="0"/>
    <xf numFmtId="175" fontId="19" fillId="59" borderId="0" applyNumberFormat="0" applyBorder="0" applyAlignment="0" applyProtection="0"/>
    <xf numFmtId="175" fontId="19" fillId="59" borderId="0" applyNumberFormat="0" applyBorder="0" applyAlignment="0" applyProtection="0"/>
    <xf numFmtId="175" fontId="20" fillId="35" borderId="0" applyNumberFormat="0" applyBorder="0" applyAlignment="0" applyProtection="0"/>
    <xf numFmtId="175" fontId="20" fillId="35" borderId="0" applyNumberFormat="0" applyBorder="0" applyAlignment="0" applyProtection="0"/>
    <xf numFmtId="175" fontId="20" fillId="35" borderId="0" applyNumberFormat="0" applyBorder="0" applyAlignment="0" applyProtection="0"/>
    <xf numFmtId="175" fontId="20" fillId="35" borderId="0" applyNumberFormat="0" applyBorder="0" applyAlignment="0" applyProtection="0"/>
    <xf numFmtId="175" fontId="20" fillId="35" borderId="0" applyNumberFormat="0" applyBorder="0" applyAlignment="0" applyProtection="0"/>
    <xf numFmtId="175" fontId="20" fillId="35" borderId="0" applyNumberFormat="0" applyBorder="0" applyAlignment="0" applyProtection="0"/>
    <xf numFmtId="175" fontId="20" fillId="35" borderId="0" applyNumberFormat="0" applyBorder="0" applyAlignment="0" applyProtection="0"/>
    <xf numFmtId="175" fontId="20" fillId="35" borderId="0" applyNumberFormat="0" applyBorder="0" applyAlignment="0" applyProtection="0"/>
    <xf numFmtId="175" fontId="20" fillId="35" borderId="0" applyNumberFormat="0" applyBorder="0" applyAlignment="0" applyProtection="0"/>
    <xf numFmtId="175" fontId="20" fillId="35" borderId="0" applyNumberFormat="0" applyBorder="0" applyAlignment="0" applyProtection="0"/>
    <xf numFmtId="175" fontId="20" fillId="35" borderId="0" applyNumberFormat="0" applyBorder="0" applyAlignment="0" applyProtection="0"/>
    <xf numFmtId="175" fontId="20" fillId="35" borderId="0" applyNumberFormat="0" applyBorder="0" applyAlignment="0" applyProtection="0"/>
    <xf numFmtId="175" fontId="20" fillId="35" borderId="0" applyNumberFormat="0" applyBorder="0" applyAlignment="0" applyProtection="0"/>
    <xf numFmtId="175" fontId="19" fillId="59" borderId="0" applyNumberFormat="0" applyBorder="0" applyAlignment="0" applyProtection="0"/>
    <xf numFmtId="175" fontId="20" fillId="35" borderId="0" applyNumberFormat="0" applyBorder="0" applyAlignment="0" applyProtection="0"/>
    <xf numFmtId="175" fontId="20" fillId="35" borderId="0" applyNumberFormat="0" applyBorder="0" applyAlignment="0" applyProtection="0"/>
    <xf numFmtId="175" fontId="20" fillId="35" borderId="0" applyNumberFormat="0" applyBorder="0" applyAlignment="0" applyProtection="0"/>
    <xf numFmtId="175" fontId="20" fillId="35" borderId="0" applyNumberFormat="0" applyBorder="0" applyAlignment="0" applyProtection="0"/>
    <xf numFmtId="175" fontId="20" fillId="35" borderId="0" applyNumberFormat="0" applyBorder="0" applyAlignment="0" applyProtection="0"/>
    <xf numFmtId="175" fontId="20" fillId="35" borderId="0" applyNumberFormat="0" applyBorder="0" applyAlignment="0" applyProtection="0"/>
    <xf numFmtId="175" fontId="19" fillId="59" borderId="0" applyNumberFormat="0" applyBorder="0" applyAlignment="0" applyProtection="0"/>
    <xf numFmtId="175" fontId="19" fillId="58" borderId="0" applyNumberFormat="0" applyBorder="0" applyAlignment="0" applyProtection="0"/>
    <xf numFmtId="175" fontId="19" fillId="58" borderId="0" applyNumberFormat="0" applyBorder="0" applyAlignment="0" applyProtection="0"/>
    <xf numFmtId="175" fontId="19" fillId="58" borderId="0" applyNumberFormat="0" applyBorder="0" applyAlignment="0" applyProtection="0"/>
    <xf numFmtId="175" fontId="19" fillId="58" borderId="0" applyNumberFormat="0" applyBorder="0" applyAlignment="0" applyProtection="0"/>
    <xf numFmtId="175" fontId="19" fillId="58" borderId="0" applyNumberFormat="0" applyBorder="0" applyAlignment="0" applyProtection="0"/>
    <xf numFmtId="175" fontId="19" fillId="55" borderId="0" applyNumberFormat="0" applyBorder="0" applyAlignment="0" applyProtection="0"/>
    <xf numFmtId="175" fontId="19" fillId="55" borderId="0" applyNumberFormat="0" applyBorder="0" applyAlignment="0" applyProtection="0"/>
    <xf numFmtId="175" fontId="19" fillId="55" borderId="0" applyNumberFormat="0" applyBorder="0" applyAlignment="0" applyProtection="0"/>
    <xf numFmtId="175" fontId="19" fillId="55" borderId="0" applyNumberFormat="0" applyBorder="0" applyAlignment="0" applyProtection="0"/>
    <xf numFmtId="175" fontId="19" fillId="55" borderId="0" applyNumberFormat="0" applyBorder="0" applyAlignment="0" applyProtection="0"/>
    <xf numFmtId="175" fontId="10" fillId="39" borderId="0" applyNumberFormat="0" applyBorder="0" applyAlignment="0" applyProtection="0"/>
    <xf numFmtId="175" fontId="10" fillId="39" borderId="0" applyNumberFormat="0" applyBorder="0" applyAlignment="0" applyProtection="0"/>
    <xf numFmtId="175" fontId="10" fillId="39" borderId="0" applyNumberFormat="0" applyBorder="0" applyAlignment="0" applyProtection="0"/>
    <xf numFmtId="175" fontId="10" fillId="39" borderId="0" applyNumberFormat="0" applyBorder="0" applyAlignment="0" applyProtection="0"/>
    <xf numFmtId="175" fontId="10" fillId="39" borderId="0" applyNumberFormat="0" applyBorder="0" applyAlignment="0" applyProtection="0"/>
    <xf numFmtId="175" fontId="10" fillId="39" borderId="0" applyNumberFormat="0" applyBorder="0" applyAlignment="0" applyProtection="0"/>
    <xf numFmtId="175" fontId="10" fillId="39" borderId="0" applyNumberFormat="0" applyBorder="0" applyAlignment="0" applyProtection="0"/>
    <xf numFmtId="175" fontId="10" fillId="39" borderId="0" applyNumberFormat="0" applyBorder="0" applyAlignment="0" applyProtection="0"/>
    <xf numFmtId="175" fontId="10" fillId="39" borderId="0" applyNumberFormat="0" applyBorder="0" applyAlignment="0" applyProtection="0"/>
    <xf numFmtId="175" fontId="10" fillId="39" borderId="0" applyNumberFormat="0" applyBorder="0" applyAlignment="0" applyProtection="0"/>
    <xf numFmtId="175" fontId="10" fillId="39" borderId="0" applyNumberFormat="0" applyBorder="0" applyAlignment="0" applyProtection="0"/>
    <xf numFmtId="175" fontId="10" fillId="39" borderId="0" applyNumberFormat="0" applyBorder="0" applyAlignment="0" applyProtection="0"/>
    <xf numFmtId="175" fontId="10" fillId="39" borderId="0" applyNumberFormat="0" applyBorder="0" applyAlignment="0" applyProtection="0"/>
    <xf numFmtId="175" fontId="10" fillId="39" borderId="0" applyNumberFormat="0" applyBorder="0" applyAlignment="0" applyProtection="0"/>
    <xf numFmtId="175" fontId="10" fillId="39" borderId="0" applyNumberFormat="0" applyBorder="0" applyAlignment="0" applyProtection="0"/>
    <xf numFmtId="175" fontId="20" fillId="39" borderId="0" applyNumberFormat="0" applyBorder="0" applyAlignment="0" applyProtection="0"/>
    <xf numFmtId="175" fontId="20" fillId="39" borderId="0" applyNumberFormat="0" applyBorder="0" applyAlignment="0" applyProtection="0"/>
    <xf numFmtId="175" fontId="19" fillId="51" borderId="0" applyNumberFormat="0" applyBorder="0" applyAlignment="0" applyProtection="0"/>
    <xf numFmtId="175" fontId="20" fillId="39" borderId="0" applyNumberFormat="0" applyBorder="0" applyAlignment="0" applyProtection="0"/>
    <xf numFmtId="175" fontId="19" fillId="51"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175" fontId="19" fillId="51" borderId="0" applyNumberFormat="0" applyBorder="0" applyAlignment="0" applyProtection="0"/>
    <xf numFmtId="175" fontId="19" fillId="51" borderId="0" applyNumberFormat="0" applyBorder="0" applyAlignment="0" applyProtection="0"/>
    <xf numFmtId="175" fontId="19" fillId="51" borderId="0" applyNumberFormat="0" applyBorder="0" applyAlignment="0" applyProtection="0"/>
    <xf numFmtId="0" fontId="10" fillId="39" borderId="0" applyNumberFormat="0" applyBorder="0" applyAlignment="0" applyProtection="0"/>
    <xf numFmtId="175" fontId="19" fillId="51" borderId="0" applyNumberFormat="0" applyBorder="0" applyAlignment="0" applyProtection="0"/>
    <xf numFmtId="175" fontId="19" fillId="51" borderId="0" applyNumberFormat="0" applyBorder="0" applyAlignment="0" applyProtection="0"/>
    <xf numFmtId="175" fontId="19" fillId="51" borderId="0" applyNumberFormat="0" applyBorder="0" applyAlignment="0" applyProtection="0"/>
    <xf numFmtId="175" fontId="20" fillId="39" borderId="0" applyNumberFormat="0" applyBorder="0" applyAlignment="0" applyProtection="0"/>
    <xf numFmtId="175" fontId="20" fillId="39" borderId="0" applyNumberFormat="0" applyBorder="0" applyAlignment="0" applyProtection="0"/>
    <xf numFmtId="175" fontId="20" fillId="39" borderId="0" applyNumberFormat="0" applyBorder="0" applyAlignment="0" applyProtection="0"/>
    <xf numFmtId="175" fontId="20" fillId="39" borderId="0" applyNumberFormat="0" applyBorder="0" applyAlignment="0" applyProtection="0"/>
    <xf numFmtId="175" fontId="20" fillId="39" borderId="0" applyNumberFormat="0" applyBorder="0" applyAlignment="0" applyProtection="0"/>
    <xf numFmtId="175" fontId="20" fillId="39" borderId="0" applyNumberFormat="0" applyBorder="0" applyAlignment="0" applyProtection="0"/>
    <xf numFmtId="175" fontId="20" fillId="39" borderId="0" applyNumberFormat="0" applyBorder="0" applyAlignment="0" applyProtection="0"/>
    <xf numFmtId="175" fontId="20" fillId="39" borderId="0" applyNumberFormat="0" applyBorder="0" applyAlignment="0" applyProtection="0"/>
    <xf numFmtId="175" fontId="20" fillId="39" borderId="0" applyNumberFormat="0" applyBorder="0" applyAlignment="0" applyProtection="0"/>
    <xf numFmtId="175" fontId="20" fillId="39" borderId="0" applyNumberFormat="0" applyBorder="0" applyAlignment="0" applyProtection="0"/>
    <xf numFmtId="175" fontId="20" fillId="39" borderId="0" applyNumberFormat="0" applyBorder="0" applyAlignment="0" applyProtection="0"/>
    <xf numFmtId="175" fontId="20" fillId="39" borderId="0" applyNumberFormat="0" applyBorder="0" applyAlignment="0" applyProtection="0"/>
    <xf numFmtId="175" fontId="20" fillId="39" borderId="0" applyNumberFormat="0" applyBorder="0" applyAlignment="0" applyProtection="0"/>
    <xf numFmtId="175" fontId="19" fillId="51" borderId="0" applyNumberFormat="0" applyBorder="0" applyAlignment="0" applyProtection="0"/>
    <xf numFmtId="175" fontId="20" fillId="39" borderId="0" applyNumberFormat="0" applyBorder="0" applyAlignment="0" applyProtection="0"/>
    <xf numFmtId="175" fontId="20" fillId="39" borderId="0" applyNumberFormat="0" applyBorder="0" applyAlignment="0" applyProtection="0"/>
    <xf numFmtId="175" fontId="20" fillId="39" borderId="0" applyNumberFormat="0" applyBorder="0" applyAlignment="0" applyProtection="0"/>
    <xf numFmtId="175" fontId="20" fillId="39" borderId="0" applyNumberFormat="0" applyBorder="0" applyAlignment="0" applyProtection="0"/>
    <xf numFmtId="175" fontId="20" fillId="39" borderId="0" applyNumberFormat="0" applyBorder="0" applyAlignment="0" applyProtection="0"/>
    <xf numFmtId="175" fontId="20" fillId="39" borderId="0" applyNumberFormat="0" applyBorder="0" applyAlignment="0" applyProtection="0"/>
    <xf numFmtId="175" fontId="19" fillId="51" borderId="0" applyNumberFormat="0" applyBorder="0" applyAlignment="0" applyProtection="0"/>
    <xf numFmtId="175" fontId="19" fillId="55" borderId="0" applyNumberFormat="0" applyBorder="0" applyAlignment="0" applyProtection="0"/>
    <xf numFmtId="175" fontId="19" fillId="55" borderId="0" applyNumberFormat="0" applyBorder="0" applyAlignment="0" applyProtection="0"/>
    <xf numFmtId="175" fontId="19" fillId="55" borderId="0" applyNumberFormat="0" applyBorder="0" applyAlignment="0" applyProtection="0"/>
    <xf numFmtId="175" fontId="19" fillId="55" borderId="0" applyNumberFormat="0" applyBorder="0" applyAlignment="0" applyProtection="0"/>
    <xf numFmtId="175" fontId="19" fillId="55" borderId="0" applyNumberFormat="0" applyBorder="0" applyAlignment="0" applyProtection="0"/>
    <xf numFmtId="175" fontId="19" fillId="50" borderId="0" applyNumberFormat="0" applyBorder="0" applyAlignment="0" applyProtection="0"/>
    <xf numFmtId="175" fontId="19" fillId="50" borderId="0" applyNumberFormat="0" applyBorder="0" applyAlignment="0" applyProtection="0"/>
    <xf numFmtId="175" fontId="19" fillId="50" borderId="0" applyNumberFormat="0" applyBorder="0" applyAlignment="0" applyProtection="0"/>
    <xf numFmtId="175" fontId="19" fillId="50" borderId="0" applyNumberFormat="0" applyBorder="0" applyAlignment="0" applyProtection="0"/>
    <xf numFmtId="175" fontId="19" fillId="50" borderId="0" applyNumberFormat="0" applyBorder="0" applyAlignment="0" applyProtection="0"/>
    <xf numFmtId="175" fontId="10" fillId="43" borderId="0" applyNumberFormat="0" applyBorder="0" applyAlignment="0" applyProtection="0"/>
    <xf numFmtId="175" fontId="10" fillId="43" borderId="0" applyNumberFormat="0" applyBorder="0" applyAlignment="0" applyProtection="0"/>
    <xf numFmtId="175" fontId="10" fillId="43" borderId="0" applyNumberFormat="0" applyBorder="0" applyAlignment="0" applyProtection="0"/>
    <xf numFmtId="175" fontId="10" fillId="43" borderId="0" applyNumberFormat="0" applyBorder="0" applyAlignment="0" applyProtection="0"/>
    <xf numFmtId="175" fontId="10" fillId="43" borderId="0" applyNumberFormat="0" applyBorder="0" applyAlignment="0" applyProtection="0"/>
    <xf numFmtId="175" fontId="10" fillId="43" borderId="0" applyNumberFormat="0" applyBorder="0" applyAlignment="0" applyProtection="0"/>
    <xf numFmtId="175" fontId="10" fillId="43" borderId="0" applyNumberFormat="0" applyBorder="0" applyAlignment="0" applyProtection="0"/>
    <xf numFmtId="175" fontId="10" fillId="43" borderId="0" applyNumberFormat="0" applyBorder="0" applyAlignment="0" applyProtection="0"/>
    <xf numFmtId="175" fontId="10" fillId="43" borderId="0" applyNumberFormat="0" applyBorder="0" applyAlignment="0" applyProtection="0"/>
    <xf numFmtId="175" fontId="10" fillId="43" borderId="0" applyNumberFormat="0" applyBorder="0" applyAlignment="0" applyProtection="0"/>
    <xf numFmtId="175" fontId="10" fillId="43" borderId="0" applyNumberFormat="0" applyBorder="0" applyAlignment="0" applyProtection="0"/>
    <xf numFmtId="175" fontId="10" fillId="43" borderId="0" applyNumberFormat="0" applyBorder="0" applyAlignment="0" applyProtection="0"/>
    <xf numFmtId="175" fontId="10" fillId="43" borderId="0" applyNumberFormat="0" applyBorder="0" applyAlignment="0" applyProtection="0"/>
    <xf numFmtId="175" fontId="10" fillId="43" borderId="0" applyNumberFormat="0" applyBorder="0" applyAlignment="0" applyProtection="0"/>
    <xf numFmtId="175" fontId="10" fillId="43" borderId="0" applyNumberFormat="0" applyBorder="0" applyAlignment="0" applyProtection="0"/>
    <xf numFmtId="175" fontId="20" fillId="43" borderId="0" applyNumberFormat="0" applyBorder="0" applyAlignment="0" applyProtection="0"/>
    <xf numFmtId="175" fontId="20" fillId="43" borderId="0" applyNumberFormat="0" applyBorder="0" applyAlignment="0" applyProtection="0"/>
    <xf numFmtId="175" fontId="19" fillId="57" borderId="0" applyNumberFormat="0" applyBorder="0" applyAlignment="0" applyProtection="0"/>
    <xf numFmtId="175" fontId="20" fillId="43" borderId="0" applyNumberFormat="0" applyBorder="0" applyAlignment="0" applyProtection="0"/>
    <xf numFmtId="175" fontId="19" fillId="5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175" fontId="19" fillId="57" borderId="0" applyNumberFormat="0" applyBorder="0" applyAlignment="0" applyProtection="0"/>
    <xf numFmtId="175" fontId="19" fillId="57" borderId="0" applyNumberFormat="0" applyBorder="0" applyAlignment="0" applyProtection="0"/>
    <xf numFmtId="175" fontId="19" fillId="57" borderId="0" applyNumberFormat="0" applyBorder="0" applyAlignment="0" applyProtection="0"/>
    <xf numFmtId="0" fontId="10" fillId="43" borderId="0" applyNumberFormat="0" applyBorder="0" applyAlignment="0" applyProtection="0"/>
    <xf numFmtId="175" fontId="19" fillId="57" borderId="0" applyNumberFormat="0" applyBorder="0" applyAlignment="0" applyProtection="0"/>
    <xf numFmtId="175" fontId="19" fillId="57" borderId="0" applyNumberFormat="0" applyBorder="0" applyAlignment="0" applyProtection="0"/>
    <xf numFmtId="175" fontId="19" fillId="57" borderId="0" applyNumberFormat="0" applyBorder="0" applyAlignment="0" applyProtection="0"/>
    <xf numFmtId="175" fontId="20" fillId="43" borderId="0" applyNumberFormat="0" applyBorder="0" applyAlignment="0" applyProtection="0"/>
    <xf numFmtId="175" fontId="20" fillId="43" borderId="0" applyNumberFormat="0" applyBorder="0" applyAlignment="0" applyProtection="0"/>
    <xf numFmtId="175" fontId="20" fillId="43" borderId="0" applyNumberFormat="0" applyBorder="0" applyAlignment="0" applyProtection="0"/>
    <xf numFmtId="175" fontId="20" fillId="43" borderId="0" applyNumberFormat="0" applyBorder="0" applyAlignment="0" applyProtection="0"/>
    <xf numFmtId="175" fontId="20" fillId="43" borderId="0" applyNumberFormat="0" applyBorder="0" applyAlignment="0" applyProtection="0"/>
    <xf numFmtId="175" fontId="20" fillId="43" borderId="0" applyNumberFormat="0" applyBorder="0" applyAlignment="0" applyProtection="0"/>
    <xf numFmtId="175" fontId="20" fillId="43" borderId="0" applyNumberFormat="0" applyBorder="0" applyAlignment="0" applyProtection="0"/>
    <xf numFmtId="175" fontId="20" fillId="43" borderId="0" applyNumberFormat="0" applyBorder="0" applyAlignment="0" applyProtection="0"/>
    <xf numFmtId="175" fontId="20" fillId="43" borderId="0" applyNumberFormat="0" applyBorder="0" applyAlignment="0" applyProtection="0"/>
    <xf numFmtId="175" fontId="20" fillId="43" borderId="0" applyNumberFormat="0" applyBorder="0" applyAlignment="0" applyProtection="0"/>
    <xf numFmtId="175" fontId="20" fillId="43" borderId="0" applyNumberFormat="0" applyBorder="0" applyAlignment="0" applyProtection="0"/>
    <xf numFmtId="175" fontId="20" fillId="43" borderId="0" applyNumberFormat="0" applyBorder="0" applyAlignment="0" applyProtection="0"/>
    <xf numFmtId="175" fontId="20" fillId="43" borderId="0" applyNumberFormat="0" applyBorder="0" applyAlignment="0" applyProtection="0"/>
    <xf numFmtId="175" fontId="19" fillId="57" borderId="0" applyNumberFormat="0" applyBorder="0" applyAlignment="0" applyProtection="0"/>
    <xf numFmtId="175" fontId="20" fillId="43" borderId="0" applyNumberFormat="0" applyBorder="0" applyAlignment="0" applyProtection="0"/>
    <xf numFmtId="175" fontId="20" fillId="43" borderId="0" applyNumberFormat="0" applyBorder="0" applyAlignment="0" applyProtection="0"/>
    <xf numFmtId="175" fontId="20" fillId="43" borderId="0" applyNumberFormat="0" applyBorder="0" applyAlignment="0" applyProtection="0"/>
    <xf numFmtId="175" fontId="20" fillId="43" borderId="0" applyNumberFormat="0" applyBorder="0" applyAlignment="0" applyProtection="0"/>
    <xf numFmtId="175" fontId="20" fillId="43" borderId="0" applyNumberFormat="0" applyBorder="0" applyAlignment="0" applyProtection="0"/>
    <xf numFmtId="175" fontId="20" fillId="43" borderId="0" applyNumberFormat="0" applyBorder="0" applyAlignment="0" applyProtection="0"/>
    <xf numFmtId="175" fontId="19" fillId="57" borderId="0" applyNumberFormat="0" applyBorder="0" applyAlignment="0" applyProtection="0"/>
    <xf numFmtId="175" fontId="19" fillId="50" borderId="0" applyNumberFormat="0" applyBorder="0" applyAlignment="0" applyProtection="0"/>
    <xf numFmtId="175" fontId="19" fillId="50" borderId="0" applyNumberFormat="0" applyBorder="0" applyAlignment="0" applyProtection="0"/>
    <xf numFmtId="175" fontId="19" fillId="50" borderId="0" applyNumberFormat="0" applyBorder="0" applyAlignment="0" applyProtection="0"/>
    <xf numFmtId="175" fontId="19" fillId="50" borderId="0" applyNumberFormat="0" applyBorder="0" applyAlignment="0" applyProtection="0"/>
    <xf numFmtId="175" fontId="19" fillId="50" borderId="0" applyNumberFormat="0" applyBorder="0" applyAlignment="0" applyProtection="0"/>
    <xf numFmtId="175" fontId="19" fillId="60" borderId="0" applyNumberFormat="0" applyBorder="0" applyAlignment="0" applyProtection="0"/>
    <xf numFmtId="175" fontId="19" fillId="60" borderId="0" applyNumberFormat="0" applyBorder="0" applyAlignment="0" applyProtection="0"/>
    <xf numFmtId="175" fontId="19" fillId="60" borderId="0" applyNumberFormat="0" applyBorder="0" applyAlignment="0" applyProtection="0"/>
    <xf numFmtId="175" fontId="19" fillId="60" borderId="0" applyNumberFormat="0" applyBorder="0" applyAlignment="0" applyProtection="0"/>
    <xf numFmtId="175" fontId="19" fillId="60" borderId="0" applyNumberFormat="0" applyBorder="0" applyAlignment="0" applyProtection="0"/>
    <xf numFmtId="175" fontId="10" fillId="47" borderId="0" applyNumberFormat="0" applyBorder="0" applyAlignment="0" applyProtection="0"/>
    <xf numFmtId="175" fontId="10" fillId="47" borderId="0" applyNumberFormat="0" applyBorder="0" applyAlignment="0" applyProtection="0"/>
    <xf numFmtId="175" fontId="10" fillId="47" borderId="0" applyNumberFormat="0" applyBorder="0" applyAlignment="0" applyProtection="0"/>
    <xf numFmtId="175" fontId="10" fillId="47" borderId="0" applyNumberFormat="0" applyBorder="0" applyAlignment="0" applyProtection="0"/>
    <xf numFmtId="175" fontId="10" fillId="47" borderId="0" applyNumberFormat="0" applyBorder="0" applyAlignment="0" applyProtection="0"/>
    <xf numFmtId="175" fontId="10" fillId="47" borderId="0" applyNumberFormat="0" applyBorder="0" applyAlignment="0" applyProtection="0"/>
    <xf numFmtId="175" fontId="10" fillId="47" borderId="0" applyNumberFormat="0" applyBorder="0" applyAlignment="0" applyProtection="0"/>
    <xf numFmtId="175" fontId="10" fillId="47" borderId="0" applyNumberFormat="0" applyBorder="0" applyAlignment="0" applyProtection="0"/>
    <xf numFmtId="175" fontId="10" fillId="47" borderId="0" applyNumberFormat="0" applyBorder="0" applyAlignment="0" applyProtection="0"/>
    <xf numFmtId="175" fontId="10" fillId="47" borderId="0" applyNumberFormat="0" applyBorder="0" applyAlignment="0" applyProtection="0"/>
    <xf numFmtId="175" fontId="10" fillId="47" borderId="0" applyNumberFormat="0" applyBorder="0" applyAlignment="0" applyProtection="0"/>
    <xf numFmtId="175" fontId="10" fillId="47" borderId="0" applyNumberFormat="0" applyBorder="0" applyAlignment="0" applyProtection="0"/>
    <xf numFmtId="175" fontId="10" fillId="47" borderId="0" applyNumberFormat="0" applyBorder="0" applyAlignment="0" applyProtection="0"/>
    <xf numFmtId="175" fontId="10" fillId="47" borderId="0" applyNumberFormat="0" applyBorder="0" applyAlignment="0" applyProtection="0"/>
    <xf numFmtId="175" fontId="10" fillId="47" borderId="0" applyNumberFormat="0" applyBorder="0" applyAlignment="0" applyProtection="0"/>
    <xf numFmtId="175" fontId="20" fillId="47" borderId="0" applyNumberFormat="0" applyBorder="0" applyAlignment="0" applyProtection="0"/>
    <xf numFmtId="175" fontId="20" fillId="47" borderId="0" applyNumberFormat="0" applyBorder="0" applyAlignment="0" applyProtection="0"/>
    <xf numFmtId="175" fontId="19" fillId="54" borderId="0" applyNumberFormat="0" applyBorder="0" applyAlignment="0" applyProtection="0"/>
    <xf numFmtId="175" fontId="20" fillId="47" borderId="0" applyNumberFormat="0" applyBorder="0" applyAlignment="0" applyProtection="0"/>
    <xf numFmtId="175" fontId="19" fillId="54"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175" fontId="19" fillId="54" borderId="0" applyNumberFormat="0" applyBorder="0" applyAlignment="0" applyProtection="0"/>
    <xf numFmtId="175" fontId="19" fillId="54" borderId="0" applyNumberFormat="0" applyBorder="0" applyAlignment="0" applyProtection="0"/>
    <xf numFmtId="175" fontId="19" fillId="54" borderId="0" applyNumberFormat="0" applyBorder="0" applyAlignment="0" applyProtection="0"/>
    <xf numFmtId="0" fontId="10" fillId="47" borderId="0" applyNumberFormat="0" applyBorder="0" applyAlignment="0" applyProtection="0"/>
    <xf numFmtId="175" fontId="19" fillId="54" borderId="0" applyNumberFormat="0" applyBorder="0" applyAlignment="0" applyProtection="0"/>
    <xf numFmtId="175" fontId="19" fillId="54" borderId="0" applyNumberFormat="0" applyBorder="0" applyAlignment="0" applyProtection="0"/>
    <xf numFmtId="175" fontId="19" fillId="54" borderId="0" applyNumberFormat="0" applyBorder="0" applyAlignment="0" applyProtection="0"/>
    <xf numFmtId="175" fontId="20" fillId="47" borderId="0" applyNumberFormat="0" applyBorder="0" applyAlignment="0" applyProtection="0"/>
    <xf numFmtId="175" fontId="20" fillId="47" borderId="0" applyNumberFormat="0" applyBorder="0" applyAlignment="0" applyProtection="0"/>
    <xf numFmtId="175" fontId="20" fillId="47" borderId="0" applyNumberFormat="0" applyBorder="0" applyAlignment="0" applyProtection="0"/>
    <xf numFmtId="175" fontId="20" fillId="47" borderId="0" applyNumberFormat="0" applyBorder="0" applyAlignment="0" applyProtection="0"/>
    <xf numFmtId="175" fontId="20" fillId="47" borderId="0" applyNumberFormat="0" applyBorder="0" applyAlignment="0" applyProtection="0"/>
    <xf numFmtId="175" fontId="20" fillId="47" borderId="0" applyNumberFormat="0" applyBorder="0" applyAlignment="0" applyProtection="0"/>
    <xf numFmtId="175" fontId="20" fillId="47" borderId="0" applyNumberFormat="0" applyBorder="0" applyAlignment="0" applyProtection="0"/>
    <xf numFmtId="175" fontId="20" fillId="47" borderId="0" applyNumberFormat="0" applyBorder="0" applyAlignment="0" applyProtection="0"/>
    <xf numFmtId="175" fontId="20" fillId="47" borderId="0" applyNumberFormat="0" applyBorder="0" applyAlignment="0" applyProtection="0"/>
    <xf numFmtId="175" fontId="20" fillId="47" borderId="0" applyNumberFormat="0" applyBorder="0" applyAlignment="0" applyProtection="0"/>
    <xf numFmtId="175" fontId="20" fillId="47" borderId="0" applyNumberFormat="0" applyBorder="0" applyAlignment="0" applyProtection="0"/>
    <xf numFmtId="175" fontId="20" fillId="47" borderId="0" applyNumberFormat="0" applyBorder="0" applyAlignment="0" applyProtection="0"/>
    <xf numFmtId="175" fontId="20" fillId="47" borderId="0" applyNumberFormat="0" applyBorder="0" applyAlignment="0" applyProtection="0"/>
    <xf numFmtId="175" fontId="19" fillId="54" borderId="0" applyNumberFormat="0" applyBorder="0" applyAlignment="0" applyProtection="0"/>
    <xf numFmtId="175" fontId="20" fillId="47" borderId="0" applyNumberFormat="0" applyBorder="0" applyAlignment="0" applyProtection="0"/>
    <xf numFmtId="175" fontId="20" fillId="47" borderId="0" applyNumberFormat="0" applyBorder="0" applyAlignment="0" applyProtection="0"/>
    <xf numFmtId="175" fontId="20" fillId="47" borderId="0" applyNumberFormat="0" applyBorder="0" applyAlignment="0" applyProtection="0"/>
    <xf numFmtId="175" fontId="20" fillId="47" borderId="0" applyNumberFormat="0" applyBorder="0" applyAlignment="0" applyProtection="0"/>
    <xf numFmtId="175" fontId="20" fillId="47" borderId="0" applyNumberFormat="0" applyBorder="0" applyAlignment="0" applyProtection="0"/>
    <xf numFmtId="175" fontId="20" fillId="47" borderId="0" applyNumberFormat="0" applyBorder="0" applyAlignment="0" applyProtection="0"/>
    <xf numFmtId="175" fontId="19" fillId="54" borderId="0" applyNumberFormat="0" applyBorder="0" applyAlignment="0" applyProtection="0"/>
    <xf numFmtId="175" fontId="19" fillId="60" borderId="0" applyNumberFormat="0" applyBorder="0" applyAlignment="0" applyProtection="0"/>
    <xf numFmtId="175" fontId="19" fillId="60" borderId="0" applyNumberFormat="0" applyBorder="0" applyAlignment="0" applyProtection="0"/>
    <xf numFmtId="175" fontId="19" fillId="60" borderId="0" applyNumberFormat="0" applyBorder="0" applyAlignment="0" applyProtection="0"/>
    <xf numFmtId="175" fontId="19" fillId="60" borderId="0" applyNumberFormat="0" applyBorder="0" applyAlignment="0" applyProtection="0"/>
    <xf numFmtId="175" fontId="19" fillId="60" borderId="0" applyNumberFormat="0" applyBorder="0" applyAlignment="0" applyProtection="0"/>
    <xf numFmtId="175" fontId="21" fillId="61" borderId="0" applyNumberFormat="0" applyBorder="0" applyAlignment="0" applyProtection="0"/>
    <xf numFmtId="175" fontId="21" fillId="61" borderId="0" applyNumberFormat="0" applyBorder="0" applyAlignment="0" applyProtection="0"/>
    <xf numFmtId="175" fontId="21" fillId="61" borderId="0" applyNumberFormat="0" applyBorder="0" applyAlignment="0" applyProtection="0"/>
    <xf numFmtId="175" fontId="21" fillId="61" borderId="0" applyNumberFormat="0" applyBorder="0" applyAlignment="0" applyProtection="0"/>
    <xf numFmtId="175" fontId="21" fillId="61" borderId="0" applyNumberFormat="0" applyBorder="0" applyAlignment="0" applyProtection="0"/>
    <xf numFmtId="175" fontId="22" fillId="28" borderId="0" applyNumberFormat="0" applyBorder="0" applyAlignment="0" applyProtection="0"/>
    <xf numFmtId="175" fontId="22" fillId="28" borderId="0" applyNumberFormat="0" applyBorder="0" applyAlignment="0" applyProtection="0"/>
    <xf numFmtId="175" fontId="22" fillId="28" borderId="0" applyNumberFormat="0" applyBorder="0" applyAlignment="0" applyProtection="0"/>
    <xf numFmtId="175" fontId="23" fillId="28" borderId="0" applyNumberFormat="0" applyBorder="0" applyAlignment="0" applyProtection="0"/>
    <xf numFmtId="175" fontId="23" fillId="28" borderId="0" applyNumberFormat="0" applyBorder="0" applyAlignment="0" applyProtection="0"/>
    <xf numFmtId="175" fontId="21" fillId="57" borderId="0" applyNumberFormat="0" applyBorder="0" applyAlignment="0" applyProtection="0"/>
    <xf numFmtId="175" fontId="23" fillId="28" borderId="0" applyNumberFormat="0" applyBorder="0" applyAlignment="0" applyProtection="0"/>
    <xf numFmtId="175" fontId="21" fillId="57"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175" fontId="21" fillId="57" borderId="0" applyNumberFormat="0" applyBorder="0" applyAlignment="0" applyProtection="0"/>
    <xf numFmtId="175" fontId="21" fillId="57" borderId="0" applyNumberFormat="0" applyBorder="0" applyAlignment="0" applyProtection="0"/>
    <xf numFmtId="175" fontId="21" fillId="57" borderId="0" applyNumberFormat="0" applyBorder="0" applyAlignment="0" applyProtection="0"/>
    <xf numFmtId="0" fontId="22" fillId="28" borderId="0" applyNumberFormat="0" applyBorder="0" applyAlignment="0" applyProtection="0"/>
    <xf numFmtId="175" fontId="21" fillId="57" borderId="0" applyNumberFormat="0" applyBorder="0" applyAlignment="0" applyProtection="0"/>
    <xf numFmtId="175" fontId="21" fillId="57" borderId="0" applyNumberFormat="0" applyBorder="0" applyAlignment="0" applyProtection="0"/>
    <xf numFmtId="175" fontId="21" fillId="57" borderId="0" applyNumberFormat="0" applyBorder="0" applyAlignment="0" applyProtection="0"/>
    <xf numFmtId="175" fontId="23" fillId="28" borderId="0" applyNumberFormat="0" applyBorder="0" applyAlignment="0" applyProtection="0"/>
    <xf numFmtId="175" fontId="23" fillId="28" borderId="0" applyNumberFormat="0" applyBorder="0" applyAlignment="0" applyProtection="0"/>
    <xf numFmtId="175" fontId="23" fillId="28" borderId="0" applyNumberFormat="0" applyBorder="0" applyAlignment="0" applyProtection="0"/>
    <xf numFmtId="175" fontId="23" fillId="28" borderId="0" applyNumberFormat="0" applyBorder="0" applyAlignment="0" applyProtection="0"/>
    <xf numFmtId="175" fontId="23" fillId="28" borderId="0" applyNumberFormat="0" applyBorder="0" applyAlignment="0" applyProtection="0"/>
    <xf numFmtId="175" fontId="23" fillId="28" borderId="0" applyNumberFormat="0" applyBorder="0" applyAlignment="0" applyProtection="0"/>
    <xf numFmtId="175" fontId="21" fillId="57" borderId="0" applyNumberFormat="0" applyBorder="0" applyAlignment="0" applyProtection="0"/>
    <xf numFmtId="175" fontId="21" fillId="57" borderId="0" applyNumberFormat="0" applyBorder="0" applyAlignment="0" applyProtection="0"/>
    <xf numFmtId="175" fontId="21" fillId="61" borderId="0" applyNumberFormat="0" applyBorder="0" applyAlignment="0" applyProtection="0"/>
    <xf numFmtId="175" fontId="21" fillId="61" borderId="0" applyNumberFormat="0" applyBorder="0" applyAlignment="0" applyProtection="0"/>
    <xf numFmtId="175" fontId="21" fillId="61" borderId="0" applyNumberFormat="0" applyBorder="0" applyAlignment="0" applyProtection="0"/>
    <xf numFmtId="175" fontId="21" fillId="61" borderId="0" applyNumberFormat="0" applyBorder="0" applyAlignment="0" applyProtection="0"/>
    <xf numFmtId="175" fontId="21" fillId="61" borderId="0" applyNumberFormat="0" applyBorder="0" applyAlignment="0" applyProtection="0"/>
    <xf numFmtId="175" fontId="21" fillId="52" borderId="0" applyNumberFormat="0" applyBorder="0" applyAlignment="0" applyProtection="0"/>
    <xf numFmtId="175" fontId="21" fillId="52" borderId="0" applyNumberFormat="0" applyBorder="0" applyAlignment="0" applyProtection="0"/>
    <xf numFmtId="175" fontId="21" fillId="52" borderId="0" applyNumberFormat="0" applyBorder="0" applyAlignment="0" applyProtection="0"/>
    <xf numFmtId="175" fontId="21" fillId="52" borderId="0" applyNumberFormat="0" applyBorder="0" applyAlignment="0" applyProtection="0"/>
    <xf numFmtId="175" fontId="21" fillId="52" borderId="0" applyNumberFormat="0" applyBorder="0" applyAlignment="0" applyProtection="0"/>
    <xf numFmtId="175" fontId="22" fillId="32" borderId="0" applyNumberFormat="0" applyBorder="0" applyAlignment="0" applyProtection="0"/>
    <xf numFmtId="175" fontId="22" fillId="32" borderId="0" applyNumberFormat="0" applyBorder="0" applyAlignment="0" applyProtection="0"/>
    <xf numFmtId="175" fontId="22" fillId="32" borderId="0" applyNumberFormat="0" applyBorder="0" applyAlignment="0" applyProtection="0"/>
    <xf numFmtId="175" fontId="23" fillId="32" borderId="0" applyNumberFormat="0" applyBorder="0" applyAlignment="0" applyProtection="0"/>
    <xf numFmtId="175" fontId="23" fillId="32" borderId="0" applyNumberFormat="0" applyBorder="0" applyAlignment="0" applyProtection="0"/>
    <xf numFmtId="175" fontId="21" fillId="62" borderId="0" applyNumberFormat="0" applyBorder="0" applyAlignment="0" applyProtection="0"/>
    <xf numFmtId="175" fontId="23" fillId="32" borderId="0" applyNumberFormat="0" applyBorder="0" applyAlignment="0" applyProtection="0"/>
    <xf numFmtId="175" fontId="21" fillId="6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175" fontId="21" fillId="62" borderId="0" applyNumberFormat="0" applyBorder="0" applyAlignment="0" applyProtection="0"/>
    <xf numFmtId="175" fontId="21" fillId="62" borderId="0" applyNumberFormat="0" applyBorder="0" applyAlignment="0" applyProtection="0"/>
    <xf numFmtId="175" fontId="21" fillId="62" borderId="0" applyNumberFormat="0" applyBorder="0" applyAlignment="0" applyProtection="0"/>
    <xf numFmtId="0" fontId="22" fillId="32" borderId="0" applyNumberFormat="0" applyBorder="0" applyAlignment="0" applyProtection="0"/>
    <xf numFmtId="175" fontId="21" fillId="62" borderId="0" applyNumberFormat="0" applyBorder="0" applyAlignment="0" applyProtection="0"/>
    <xf numFmtId="175" fontId="21" fillId="62" borderId="0" applyNumberFormat="0" applyBorder="0" applyAlignment="0" applyProtection="0"/>
    <xf numFmtId="175" fontId="21" fillId="62" borderId="0" applyNumberFormat="0" applyBorder="0" applyAlignment="0" applyProtection="0"/>
    <xf numFmtId="175" fontId="23" fillId="32" borderId="0" applyNumberFormat="0" applyBorder="0" applyAlignment="0" applyProtection="0"/>
    <xf numFmtId="175" fontId="23" fillId="32" borderId="0" applyNumberFormat="0" applyBorder="0" applyAlignment="0" applyProtection="0"/>
    <xf numFmtId="175" fontId="23" fillId="32" borderId="0" applyNumberFormat="0" applyBorder="0" applyAlignment="0" applyProtection="0"/>
    <xf numFmtId="175" fontId="23" fillId="32" borderId="0" applyNumberFormat="0" applyBorder="0" applyAlignment="0" applyProtection="0"/>
    <xf numFmtId="175" fontId="23" fillId="32" borderId="0" applyNumberFormat="0" applyBorder="0" applyAlignment="0" applyProtection="0"/>
    <xf numFmtId="175" fontId="23" fillId="32" borderId="0" applyNumberFormat="0" applyBorder="0" applyAlignment="0" applyProtection="0"/>
    <xf numFmtId="175" fontId="21" fillId="62" borderId="0" applyNumberFormat="0" applyBorder="0" applyAlignment="0" applyProtection="0"/>
    <xf numFmtId="175" fontId="21" fillId="62" borderId="0" applyNumberFormat="0" applyBorder="0" applyAlignment="0" applyProtection="0"/>
    <xf numFmtId="175" fontId="21" fillId="52" borderId="0" applyNumberFormat="0" applyBorder="0" applyAlignment="0" applyProtection="0"/>
    <xf numFmtId="175" fontId="21" fillId="52" borderId="0" applyNumberFormat="0" applyBorder="0" applyAlignment="0" applyProtection="0"/>
    <xf numFmtId="175" fontId="21" fillId="52" borderId="0" applyNumberFormat="0" applyBorder="0" applyAlignment="0" applyProtection="0"/>
    <xf numFmtId="175" fontId="21" fillId="52" borderId="0" applyNumberFormat="0" applyBorder="0" applyAlignment="0" applyProtection="0"/>
    <xf numFmtId="175" fontId="21" fillId="52" borderId="0" applyNumberFormat="0" applyBorder="0" applyAlignment="0" applyProtection="0"/>
    <xf numFmtId="175" fontId="21" fillId="58" borderId="0" applyNumberFormat="0" applyBorder="0" applyAlignment="0" applyProtection="0"/>
    <xf numFmtId="175" fontId="21" fillId="58" borderId="0" applyNumberFormat="0" applyBorder="0" applyAlignment="0" applyProtection="0"/>
    <xf numFmtId="175" fontId="21" fillId="58" borderId="0" applyNumberFormat="0" applyBorder="0" applyAlignment="0" applyProtection="0"/>
    <xf numFmtId="175" fontId="21" fillId="58" borderId="0" applyNumberFormat="0" applyBorder="0" applyAlignment="0" applyProtection="0"/>
    <xf numFmtId="175" fontId="21" fillId="58" borderId="0" applyNumberFormat="0" applyBorder="0" applyAlignment="0" applyProtection="0"/>
    <xf numFmtId="175" fontId="22" fillId="36" borderId="0" applyNumberFormat="0" applyBorder="0" applyAlignment="0" applyProtection="0"/>
    <xf numFmtId="175" fontId="22" fillId="36" borderId="0" applyNumberFormat="0" applyBorder="0" applyAlignment="0" applyProtection="0"/>
    <xf numFmtId="175" fontId="22" fillId="36" borderId="0" applyNumberFormat="0" applyBorder="0" applyAlignment="0" applyProtection="0"/>
    <xf numFmtId="175" fontId="23" fillId="36" borderId="0" applyNumberFormat="0" applyBorder="0" applyAlignment="0" applyProtection="0"/>
    <xf numFmtId="175" fontId="23" fillId="36" borderId="0" applyNumberFormat="0" applyBorder="0" applyAlignment="0" applyProtection="0"/>
    <xf numFmtId="175" fontId="21" fillId="60" borderId="0" applyNumberFormat="0" applyBorder="0" applyAlignment="0" applyProtection="0"/>
    <xf numFmtId="175" fontId="23" fillId="36" borderId="0" applyNumberFormat="0" applyBorder="0" applyAlignment="0" applyProtection="0"/>
    <xf numFmtId="175" fontId="21" fillId="6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75" fontId="21" fillId="60" borderId="0" applyNumberFormat="0" applyBorder="0" applyAlignment="0" applyProtection="0"/>
    <xf numFmtId="175" fontId="21" fillId="60" borderId="0" applyNumberFormat="0" applyBorder="0" applyAlignment="0" applyProtection="0"/>
    <xf numFmtId="175" fontId="21" fillId="60" borderId="0" applyNumberFormat="0" applyBorder="0" applyAlignment="0" applyProtection="0"/>
    <xf numFmtId="0" fontId="22" fillId="36" borderId="0" applyNumberFormat="0" applyBorder="0" applyAlignment="0" applyProtection="0"/>
    <xf numFmtId="175" fontId="21" fillId="60" borderId="0" applyNumberFormat="0" applyBorder="0" applyAlignment="0" applyProtection="0"/>
    <xf numFmtId="175" fontId="21" fillId="60" borderId="0" applyNumberFormat="0" applyBorder="0" applyAlignment="0" applyProtection="0"/>
    <xf numFmtId="175" fontId="21" fillId="60" borderId="0" applyNumberFormat="0" applyBorder="0" applyAlignment="0" applyProtection="0"/>
    <xf numFmtId="175" fontId="23" fillId="36" borderId="0" applyNumberFormat="0" applyBorder="0" applyAlignment="0" applyProtection="0"/>
    <xf numFmtId="175" fontId="23" fillId="36" borderId="0" applyNumberFormat="0" applyBorder="0" applyAlignment="0" applyProtection="0"/>
    <xf numFmtId="175" fontId="23" fillId="36" borderId="0" applyNumberFormat="0" applyBorder="0" applyAlignment="0" applyProtection="0"/>
    <xf numFmtId="175" fontId="23" fillId="36" borderId="0" applyNumberFormat="0" applyBorder="0" applyAlignment="0" applyProtection="0"/>
    <xf numFmtId="175" fontId="23" fillId="36" borderId="0" applyNumberFormat="0" applyBorder="0" applyAlignment="0" applyProtection="0"/>
    <xf numFmtId="175" fontId="23" fillId="36" borderId="0" applyNumberFormat="0" applyBorder="0" applyAlignment="0" applyProtection="0"/>
    <xf numFmtId="175" fontId="21" fillId="60" borderId="0" applyNumberFormat="0" applyBorder="0" applyAlignment="0" applyProtection="0"/>
    <xf numFmtId="175" fontId="21" fillId="60" borderId="0" applyNumberFormat="0" applyBorder="0" applyAlignment="0" applyProtection="0"/>
    <xf numFmtId="175" fontId="21" fillId="58" borderId="0" applyNumberFormat="0" applyBorder="0" applyAlignment="0" applyProtection="0"/>
    <xf numFmtId="175" fontId="21" fillId="58" borderId="0" applyNumberFormat="0" applyBorder="0" applyAlignment="0" applyProtection="0"/>
    <xf numFmtId="175" fontId="21" fillId="58" borderId="0" applyNumberFormat="0" applyBorder="0" applyAlignment="0" applyProtection="0"/>
    <xf numFmtId="175" fontId="21" fillId="58" borderId="0" applyNumberFormat="0" applyBorder="0" applyAlignment="0" applyProtection="0"/>
    <xf numFmtId="175" fontId="21" fillId="58" borderId="0" applyNumberFormat="0" applyBorder="0" applyAlignment="0" applyProtection="0"/>
    <xf numFmtId="175" fontId="21" fillId="63" borderId="0" applyNumberFormat="0" applyBorder="0" applyAlignment="0" applyProtection="0"/>
    <xf numFmtId="175" fontId="21" fillId="63" borderId="0" applyNumberFormat="0" applyBorder="0" applyAlignment="0" applyProtection="0"/>
    <xf numFmtId="175" fontId="21" fillId="63" borderId="0" applyNumberFormat="0" applyBorder="0" applyAlignment="0" applyProtection="0"/>
    <xf numFmtId="175" fontId="21" fillId="63" borderId="0" applyNumberFormat="0" applyBorder="0" applyAlignment="0" applyProtection="0"/>
    <xf numFmtId="175" fontId="21" fillId="63" borderId="0" applyNumberFormat="0" applyBorder="0" applyAlignment="0" applyProtection="0"/>
    <xf numFmtId="175" fontId="22" fillId="40" borderId="0" applyNumberFormat="0" applyBorder="0" applyAlignment="0" applyProtection="0"/>
    <xf numFmtId="175" fontId="22" fillId="40" borderId="0" applyNumberFormat="0" applyBorder="0" applyAlignment="0" applyProtection="0"/>
    <xf numFmtId="175" fontId="22" fillId="40" borderId="0" applyNumberFormat="0" applyBorder="0" applyAlignment="0" applyProtection="0"/>
    <xf numFmtId="175" fontId="23" fillId="40" borderId="0" applyNumberFormat="0" applyBorder="0" applyAlignment="0" applyProtection="0"/>
    <xf numFmtId="175" fontId="23" fillId="40" borderId="0" applyNumberFormat="0" applyBorder="0" applyAlignment="0" applyProtection="0"/>
    <xf numFmtId="175" fontId="21" fillId="51" borderId="0" applyNumberFormat="0" applyBorder="0" applyAlignment="0" applyProtection="0"/>
    <xf numFmtId="175" fontId="23" fillId="40" borderId="0" applyNumberFormat="0" applyBorder="0" applyAlignment="0" applyProtection="0"/>
    <xf numFmtId="175" fontId="21" fillId="51"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175" fontId="21" fillId="51" borderId="0" applyNumberFormat="0" applyBorder="0" applyAlignment="0" applyProtection="0"/>
    <xf numFmtId="175" fontId="21" fillId="51" borderId="0" applyNumberFormat="0" applyBorder="0" applyAlignment="0" applyProtection="0"/>
    <xf numFmtId="175" fontId="21" fillId="51" borderId="0" applyNumberFormat="0" applyBorder="0" applyAlignment="0" applyProtection="0"/>
    <xf numFmtId="0" fontId="22" fillId="40" borderId="0" applyNumberFormat="0" applyBorder="0" applyAlignment="0" applyProtection="0"/>
    <xf numFmtId="175" fontId="21" fillId="51" borderId="0" applyNumberFormat="0" applyBorder="0" applyAlignment="0" applyProtection="0"/>
    <xf numFmtId="175" fontId="21" fillId="51" borderId="0" applyNumberFormat="0" applyBorder="0" applyAlignment="0" applyProtection="0"/>
    <xf numFmtId="175" fontId="21" fillId="51" borderId="0" applyNumberFormat="0" applyBorder="0" applyAlignment="0" applyProtection="0"/>
    <xf numFmtId="175" fontId="23" fillId="40" borderId="0" applyNumberFormat="0" applyBorder="0" applyAlignment="0" applyProtection="0"/>
    <xf numFmtId="175" fontId="23" fillId="40" borderId="0" applyNumberFormat="0" applyBorder="0" applyAlignment="0" applyProtection="0"/>
    <xf numFmtId="175" fontId="23" fillId="40" borderId="0" applyNumberFormat="0" applyBorder="0" applyAlignment="0" applyProtection="0"/>
    <xf numFmtId="175" fontId="23" fillId="40" borderId="0" applyNumberFormat="0" applyBorder="0" applyAlignment="0" applyProtection="0"/>
    <xf numFmtId="175" fontId="23" fillId="40" borderId="0" applyNumberFormat="0" applyBorder="0" applyAlignment="0" applyProtection="0"/>
    <xf numFmtId="175" fontId="23" fillId="40" borderId="0" applyNumberFormat="0" applyBorder="0" applyAlignment="0" applyProtection="0"/>
    <xf numFmtId="175" fontId="21" fillId="51" borderId="0" applyNumberFormat="0" applyBorder="0" applyAlignment="0" applyProtection="0"/>
    <xf numFmtId="175" fontId="21" fillId="51" borderId="0" applyNumberFormat="0" applyBorder="0" applyAlignment="0" applyProtection="0"/>
    <xf numFmtId="175" fontId="21" fillId="63" borderId="0" applyNumberFormat="0" applyBorder="0" applyAlignment="0" applyProtection="0"/>
    <xf numFmtId="175" fontId="21" fillId="63" borderId="0" applyNumberFormat="0" applyBorder="0" applyAlignment="0" applyProtection="0"/>
    <xf numFmtId="175" fontId="21" fillId="63" borderId="0" applyNumberFormat="0" applyBorder="0" applyAlignment="0" applyProtection="0"/>
    <xf numFmtId="175" fontId="21" fillId="63" borderId="0" applyNumberFormat="0" applyBorder="0" applyAlignment="0" applyProtection="0"/>
    <xf numFmtId="175" fontId="21" fillId="63" borderId="0" applyNumberFormat="0" applyBorder="0" applyAlignment="0" applyProtection="0"/>
    <xf numFmtId="175" fontId="21" fillId="64" borderId="0" applyNumberFormat="0" applyBorder="0" applyAlignment="0" applyProtection="0"/>
    <xf numFmtId="175" fontId="21" fillId="64" borderId="0" applyNumberFormat="0" applyBorder="0" applyAlignment="0" applyProtection="0"/>
    <xf numFmtId="175" fontId="21" fillId="64" borderId="0" applyNumberFormat="0" applyBorder="0" applyAlignment="0" applyProtection="0"/>
    <xf numFmtId="175" fontId="21" fillId="64" borderId="0" applyNumberFormat="0" applyBorder="0" applyAlignment="0" applyProtection="0"/>
    <xf numFmtId="175" fontId="21" fillId="64" borderId="0" applyNumberFormat="0" applyBorder="0" applyAlignment="0" applyProtection="0"/>
    <xf numFmtId="175" fontId="22" fillId="44" borderId="0" applyNumberFormat="0" applyBorder="0" applyAlignment="0" applyProtection="0"/>
    <xf numFmtId="175" fontId="22" fillId="44" borderId="0" applyNumberFormat="0" applyBorder="0" applyAlignment="0" applyProtection="0"/>
    <xf numFmtId="175" fontId="22" fillId="44" borderId="0" applyNumberFormat="0" applyBorder="0" applyAlignment="0" applyProtection="0"/>
    <xf numFmtId="175" fontId="23" fillId="44" borderId="0" applyNumberFormat="0" applyBorder="0" applyAlignment="0" applyProtection="0"/>
    <xf numFmtId="175" fontId="23" fillId="44" borderId="0" applyNumberFormat="0" applyBorder="0" applyAlignment="0" applyProtection="0"/>
    <xf numFmtId="175" fontId="21" fillId="57" borderId="0" applyNumberFormat="0" applyBorder="0" applyAlignment="0" applyProtection="0"/>
    <xf numFmtId="175" fontId="23" fillId="44" borderId="0" applyNumberFormat="0" applyBorder="0" applyAlignment="0" applyProtection="0"/>
    <xf numFmtId="175" fontId="21" fillId="57"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175" fontId="21" fillId="57" borderId="0" applyNumberFormat="0" applyBorder="0" applyAlignment="0" applyProtection="0"/>
    <xf numFmtId="175" fontId="21" fillId="57" borderId="0" applyNumberFormat="0" applyBorder="0" applyAlignment="0" applyProtection="0"/>
    <xf numFmtId="175" fontId="21" fillId="57" borderId="0" applyNumberFormat="0" applyBorder="0" applyAlignment="0" applyProtection="0"/>
    <xf numFmtId="0" fontId="22" fillId="44" borderId="0" applyNumberFormat="0" applyBorder="0" applyAlignment="0" applyProtection="0"/>
    <xf numFmtId="175" fontId="21" fillId="57" borderId="0" applyNumberFormat="0" applyBorder="0" applyAlignment="0" applyProtection="0"/>
    <xf numFmtId="175" fontId="21" fillId="57" borderId="0" applyNumberFormat="0" applyBorder="0" applyAlignment="0" applyProtection="0"/>
    <xf numFmtId="175" fontId="21" fillId="57" borderId="0" applyNumberFormat="0" applyBorder="0" applyAlignment="0" applyProtection="0"/>
    <xf numFmtId="175" fontId="23" fillId="44" borderId="0" applyNumberFormat="0" applyBorder="0" applyAlignment="0" applyProtection="0"/>
    <xf numFmtId="175" fontId="23" fillId="44" borderId="0" applyNumberFormat="0" applyBorder="0" applyAlignment="0" applyProtection="0"/>
    <xf numFmtId="175" fontId="23" fillId="44" borderId="0" applyNumberFormat="0" applyBorder="0" applyAlignment="0" applyProtection="0"/>
    <xf numFmtId="175" fontId="23" fillId="44" borderId="0" applyNumberFormat="0" applyBorder="0" applyAlignment="0" applyProtection="0"/>
    <xf numFmtId="175" fontId="23" fillId="44" borderId="0" applyNumberFormat="0" applyBorder="0" applyAlignment="0" applyProtection="0"/>
    <xf numFmtId="175" fontId="23" fillId="44" borderId="0" applyNumberFormat="0" applyBorder="0" applyAlignment="0" applyProtection="0"/>
    <xf numFmtId="175" fontId="21" fillId="57" borderId="0" applyNumberFormat="0" applyBorder="0" applyAlignment="0" applyProtection="0"/>
    <xf numFmtId="175" fontId="21" fillId="57" borderId="0" applyNumberFormat="0" applyBorder="0" applyAlignment="0" applyProtection="0"/>
    <xf numFmtId="175" fontId="21" fillId="64" borderId="0" applyNumberFormat="0" applyBorder="0" applyAlignment="0" applyProtection="0"/>
    <xf numFmtId="175" fontId="21" fillId="64" borderId="0" applyNumberFormat="0" applyBorder="0" applyAlignment="0" applyProtection="0"/>
    <xf numFmtId="175" fontId="21" fillId="64" borderId="0" applyNumberFormat="0" applyBorder="0" applyAlignment="0" applyProtection="0"/>
    <xf numFmtId="175" fontId="21" fillId="64" borderId="0" applyNumberFormat="0" applyBorder="0" applyAlignment="0" applyProtection="0"/>
    <xf numFmtId="175" fontId="21" fillId="64" borderId="0" applyNumberFormat="0" applyBorder="0" applyAlignment="0" applyProtection="0"/>
    <xf numFmtId="175" fontId="21" fillId="65" borderId="0" applyNumberFormat="0" applyBorder="0" applyAlignment="0" applyProtection="0"/>
    <xf numFmtId="175" fontId="21" fillId="65" borderId="0" applyNumberFormat="0" applyBorder="0" applyAlignment="0" applyProtection="0"/>
    <xf numFmtId="175" fontId="21" fillId="65" borderId="0" applyNumberFormat="0" applyBorder="0" applyAlignment="0" applyProtection="0"/>
    <xf numFmtId="175" fontId="21" fillId="65" borderId="0" applyNumberFormat="0" applyBorder="0" applyAlignment="0" applyProtection="0"/>
    <xf numFmtId="175" fontId="21" fillId="65" borderId="0" applyNumberFormat="0" applyBorder="0" applyAlignment="0" applyProtection="0"/>
    <xf numFmtId="175" fontId="22" fillId="48" borderId="0" applyNumberFormat="0" applyBorder="0" applyAlignment="0" applyProtection="0"/>
    <xf numFmtId="175" fontId="22" fillId="48" borderId="0" applyNumberFormat="0" applyBorder="0" applyAlignment="0" applyProtection="0"/>
    <xf numFmtId="175" fontId="22" fillId="48" borderId="0" applyNumberFormat="0" applyBorder="0" applyAlignment="0" applyProtection="0"/>
    <xf numFmtId="175" fontId="23" fillId="48" borderId="0" applyNumberFormat="0" applyBorder="0" applyAlignment="0" applyProtection="0"/>
    <xf numFmtId="175" fontId="23" fillId="48" borderId="0" applyNumberFormat="0" applyBorder="0" applyAlignment="0" applyProtection="0"/>
    <xf numFmtId="175" fontId="21" fillId="52" borderId="0" applyNumberFormat="0" applyBorder="0" applyAlignment="0" applyProtection="0"/>
    <xf numFmtId="175" fontId="23" fillId="48" borderId="0" applyNumberFormat="0" applyBorder="0" applyAlignment="0" applyProtection="0"/>
    <xf numFmtId="175" fontId="21" fillId="52"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175" fontId="21" fillId="52" borderId="0" applyNumberFormat="0" applyBorder="0" applyAlignment="0" applyProtection="0"/>
    <xf numFmtId="175" fontId="21" fillId="52" borderId="0" applyNumberFormat="0" applyBorder="0" applyAlignment="0" applyProtection="0"/>
    <xf numFmtId="175" fontId="21" fillId="52" borderId="0" applyNumberFormat="0" applyBorder="0" applyAlignment="0" applyProtection="0"/>
    <xf numFmtId="0" fontId="22" fillId="48" borderId="0" applyNumberFormat="0" applyBorder="0" applyAlignment="0" applyProtection="0"/>
    <xf numFmtId="175" fontId="21" fillId="52" borderId="0" applyNumberFormat="0" applyBorder="0" applyAlignment="0" applyProtection="0"/>
    <xf numFmtId="175" fontId="21" fillId="52" borderId="0" applyNumberFormat="0" applyBorder="0" applyAlignment="0" applyProtection="0"/>
    <xf numFmtId="175" fontId="21" fillId="52" borderId="0" applyNumberFormat="0" applyBorder="0" applyAlignment="0" applyProtection="0"/>
    <xf numFmtId="175" fontId="23" fillId="48" borderId="0" applyNumberFormat="0" applyBorder="0" applyAlignment="0" applyProtection="0"/>
    <xf numFmtId="175" fontId="23" fillId="48" borderId="0" applyNumberFormat="0" applyBorder="0" applyAlignment="0" applyProtection="0"/>
    <xf numFmtId="175" fontId="23" fillId="48" borderId="0" applyNumberFormat="0" applyBorder="0" applyAlignment="0" applyProtection="0"/>
    <xf numFmtId="175" fontId="23" fillId="48" borderId="0" applyNumberFormat="0" applyBorder="0" applyAlignment="0" applyProtection="0"/>
    <xf numFmtId="175" fontId="23" fillId="48" borderId="0" applyNumberFormat="0" applyBorder="0" applyAlignment="0" applyProtection="0"/>
    <xf numFmtId="175" fontId="23" fillId="48" borderId="0" applyNumberFormat="0" applyBorder="0" applyAlignment="0" applyProtection="0"/>
    <xf numFmtId="175" fontId="21" fillId="52" borderId="0" applyNumberFormat="0" applyBorder="0" applyAlignment="0" applyProtection="0"/>
    <xf numFmtId="175" fontId="21" fillId="52" borderId="0" applyNumberFormat="0" applyBorder="0" applyAlignment="0" applyProtection="0"/>
    <xf numFmtId="175" fontId="21" fillId="65" borderId="0" applyNumberFormat="0" applyBorder="0" applyAlignment="0" applyProtection="0"/>
    <xf numFmtId="175" fontId="21" fillId="65" borderId="0" applyNumberFormat="0" applyBorder="0" applyAlignment="0" applyProtection="0"/>
    <xf numFmtId="175" fontId="21" fillId="65" borderId="0" applyNumberFormat="0" applyBorder="0" applyAlignment="0" applyProtection="0"/>
    <xf numFmtId="175" fontId="21" fillId="65" borderId="0" applyNumberFormat="0" applyBorder="0" applyAlignment="0" applyProtection="0"/>
    <xf numFmtId="175" fontId="21" fillId="65" borderId="0" applyNumberFormat="0" applyBorder="0" applyAlignment="0" applyProtection="0"/>
    <xf numFmtId="175" fontId="21" fillId="66" borderId="0" applyNumberFormat="0" applyBorder="0" applyAlignment="0" applyProtection="0"/>
    <xf numFmtId="175" fontId="21" fillId="66" borderId="0" applyNumberFormat="0" applyBorder="0" applyAlignment="0" applyProtection="0"/>
    <xf numFmtId="175" fontId="21" fillId="66" borderId="0" applyNumberFormat="0" applyBorder="0" applyAlignment="0" applyProtection="0"/>
    <xf numFmtId="175" fontId="21" fillId="66" borderId="0" applyNumberFormat="0" applyBorder="0" applyAlignment="0" applyProtection="0"/>
    <xf numFmtId="175" fontId="21" fillId="66" borderId="0" applyNumberFormat="0" applyBorder="0" applyAlignment="0" applyProtection="0"/>
    <xf numFmtId="175" fontId="22" fillId="25" borderId="0" applyNumberFormat="0" applyBorder="0" applyAlignment="0" applyProtection="0"/>
    <xf numFmtId="175" fontId="22" fillId="25" borderId="0" applyNumberFormat="0" applyBorder="0" applyAlignment="0" applyProtection="0"/>
    <xf numFmtId="175" fontId="22" fillId="25" borderId="0" applyNumberFormat="0" applyBorder="0" applyAlignment="0" applyProtection="0"/>
    <xf numFmtId="175" fontId="23" fillId="25" borderId="0" applyNumberFormat="0" applyBorder="0" applyAlignment="0" applyProtection="0"/>
    <xf numFmtId="175" fontId="23" fillId="25" borderId="0" applyNumberFormat="0" applyBorder="0" applyAlignment="0" applyProtection="0"/>
    <xf numFmtId="175" fontId="21" fillId="67" borderId="0" applyNumberFormat="0" applyBorder="0" applyAlignment="0" applyProtection="0"/>
    <xf numFmtId="175" fontId="23" fillId="25" borderId="0" applyNumberFormat="0" applyBorder="0" applyAlignment="0" applyProtection="0"/>
    <xf numFmtId="175" fontId="21" fillId="67"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175" fontId="21" fillId="67" borderId="0" applyNumberFormat="0" applyBorder="0" applyAlignment="0" applyProtection="0"/>
    <xf numFmtId="175" fontId="21" fillId="67" borderId="0" applyNumberFormat="0" applyBorder="0" applyAlignment="0" applyProtection="0"/>
    <xf numFmtId="175" fontId="21" fillId="67" borderId="0" applyNumberFormat="0" applyBorder="0" applyAlignment="0" applyProtection="0"/>
    <xf numFmtId="0" fontId="22" fillId="25" borderId="0" applyNumberFormat="0" applyBorder="0" applyAlignment="0" applyProtection="0"/>
    <xf numFmtId="175" fontId="21" fillId="67" borderId="0" applyNumberFormat="0" applyBorder="0" applyAlignment="0" applyProtection="0"/>
    <xf numFmtId="175" fontId="21" fillId="67" borderId="0" applyNumberFormat="0" applyBorder="0" applyAlignment="0" applyProtection="0"/>
    <xf numFmtId="175" fontId="21" fillId="67" borderId="0" applyNumberFormat="0" applyBorder="0" applyAlignment="0" applyProtection="0"/>
    <xf numFmtId="175" fontId="23" fillId="25" borderId="0" applyNumberFormat="0" applyBorder="0" applyAlignment="0" applyProtection="0"/>
    <xf numFmtId="175" fontId="23" fillId="25" borderId="0" applyNumberFormat="0" applyBorder="0" applyAlignment="0" applyProtection="0"/>
    <xf numFmtId="175" fontId="23" fillId="25" borderId="0" applyNumberFormat="0" applyBorder="0" applyAlignment="0" applyProtection="0"/>
    <xf numFmtId="175" fontId="23" fillId="25" borderId="0" applyNumberFormat="0" applyBorder="0" applyAlignment="0" applyProtection="0"/>
    <xf numFmtId="175" fontId="23" fillId="25" borderId="0" applyNumberFormat="0" applyBorder="0" applyAlignment="0" applyProtection="0"/>
    <xf numFmtId="175" fontId="23" fillId="25" borderId="0" applyNumberFormat="0" applyBorder="0" applyAlignment="0" applyProtection="0"/>
    <xf numFmtId="175" fontId="21" fillId="67" borderId="0" applyNumberFormat="0" applyBorder="0" applyAlignment="0" applyProtection="0"/>
    <xf numFmtId="175" fontId="21" fillId="67" borderId="0" applyNumberFormat="0" applyBorder="0" applyAlignment="0" applyProtection="0"/>
    <xf numFmtId="175" fontId="21" fillId="66" borderId="0" applyNumberFormat="0" applyBorder="0" applyAlignment="0" applyProtection="0"/>
    <xf numFmtId="175" fontId="21" fillId="66" borderId="0" applyNumberFormat="0" applyBorder="0" applyAlignment="0" applyProtection="0"/>
    <xf numFmtId="175" fontId="21" fillId="66" borderId="0" applyNumberFormat="0" applyBorder="0" applyAlignment="0" applyProtection="0"/>
    <xf numFmtId="175" fontId="21" fillId="66" borderId="0" applyNumberFormat="0" applyBorder="0" applyAlignment="0" applyProtection="0"/>
    <xf numFmtId="175" fontId="21" fillId="66" borderId="0" applyNumberFormat="0" applyBorder="0" applyAlignment="0" applyProtection="0"/>
    <xf numFmtId="175" fontId="21" fillId="68" borderId="0" applyNumberFormat="0" applyBorder="0" applyAlignment="0" applyProtection="0"/>
    <xf numFmtId="175" fontId="21" fillId="68" borderId="0" applyNumberFormat="0" applyBorder="0" applyAlignment="0" applyProtection="0"/>
    <xf numFmtId="175" fontId="21" fillId="68" borderId="0" applyNumberFormat="0" applyBorder="0" applyAlignment="0" applyProtection="0"/>
    <xf numFmtId="175" fontId="21" fillId="68" borderId="0" applyNumberFormat="0" applyBorder="0" applyAlignment="0" applyProtection="0"/>
    <xf numFmtId="175" fontId="21" fillId="68" borderId="0" applyNumberFormat="0" applyBorder="0" applyAlignment="0" applyProtection="0"/>
    <xf numFmtId="175" fontId="22" fillId="29" borderId="0" applyNumberFormat="0" applyBorder="0" applyAlignment="0" applyProtection="0"/>
    <xf numFmtId="175" fontId="22" fillId="29" borderId="0" applyNumberFormat="0" applyBorder="0" applyAlignment="0" applyProtection="0"/>
    <xf numFmtId="175" fontId="22" fillId="29" borderId="0" applyNumberFormat="0" applyBorder="0" applyAlignment="0" applyProtection="0"/>
    <xf numFmtId="175" fontId="23" fillId="29" borderId="0" applyNumberFormat="0" applyBorder="0" applyAlignment="0" applyProtection="0"/>
    <xf numFmtId="175" fontId="23" fillId="29" borderId="0" applyNumberFormat="0" applyBorder="0" applyAlignment="0" applyProtection="0"/>
    <xf numFmtId="175" fontId="21" fillId="62" borderId="0" applyNumberFormat="0" applyBorder="0" applyAlignment="0" applyProtection="0"/>
    <xf numFmtId="175" fontId="23" fillId="29" borderId="0" applyNumberFormat="0" applyBorder="0" applyAlignment="0" applyProtection="0"/>
    <xf numFmtId="175" fontId="21" fillId="62"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175" fontId="21" fillId="62" borderId="0" applyNumberFormat="0" applyBorder="0" applyAlignment="0" applyProtection="0"/>
    <xf numFmtId="175" fontId="21" fillId="62" borderId="0" applyNumberFormat="0" applyBorder="0" applyAlignment="0" applyProtection="0"/>
    <xf numFmtId="175" fontId="21" fillId="62" borderId="0" applyNumberFormat="0" applyBorder="0" applyAlignment="0" applyProtection="0"/>
    <xf numFmtId="0" fontId="22" fillId="29" borderId="0" applyNumberFormat="0" applyBorder="0" applyAlignment="0" applyProtection="0"/>
    <xf numFmtId="175" fontId="21" fillId="62" borderId="0" applyNumberFormat="0" applyBorder="0" applyAlignment="0" applyProtection="0"/>
    <xf numFmtId="175" fontId="21" fillId="62" borderId="0" applyNumberFormat="0" applyBorder="0" applyAlignment="0" applyProtection="0"/>
    <xf numFmtId="175" fontId="21" fillId="62" borderId="0" applyNumberFormat="0" applyBorder="0" applyAlignment="0" applyProtection="0"/>
    <xf numFmtId="175" fontId="23" fillId="29" borderId="0" applyNumberFormat="0" applyBorder="0" applyAlignment="0" applyProtection="0"/>
    <xf numFmtId="175" fontId="23" fillId="29" borderId="0" applyNumberFormat="0" applyBorder="0" applyAlignment="0" applyProtection="0"/>
    <xf numFmtId="175" fontId="23" fillId="29" borderId="0" applyNumberFormat="0" applyBorder="0" applyAlignment="0" applyProtection="0"/>
    <xf numFmtId="175" fontId="23" fillId="29" borderId="0" applyNumberFormat="0" applyBorder="0" applyAlignment="0" applyProtection="0"/>
    <xf numFmtId="175" fontId="23" fillId="29" borderId="0" applyNumberFormat="0" applyBorder="0" applyAlignment="0" applyProtection="0"/>
    <xf numFmtId="175" fontId="23" fillId="29" borderId="0" applyNumberFormat="0" applyBorder="0" applyAlignment="0" applyProtection="0"/>
    <xf numFmtId="175" fontId="21" fillId="62" borderId="0" applyNumberFormat="0" applyBorder="0" applyAlignment="0" applyProtection="0"/>
    <xf numFmtId="175" fontId="21" fillId="62" borderId="0" applyNumberFormat="0" applyBorder="0" applyAlignment="0" applyProtection="0"/>
    <xf numFmtId="175" fontId="21" fillId="68" borderId="0" applyNumberFormat="0" applyBorder="0" applyAlignment="0" applyProtection="0"/>
    <xf numFmtId="175" fontId="21" fillId="68" borderId="0" applyNumberFormat="0" applyBorder="0" applyAlignment="0" applyProtection="0"/>
    <xf numFmtId="175" fontId="21" fillId="68" borderId="0" applyNumberFormat="0" applyBorder="0" applyAlignment="0" applyProtection="0"/>
    <xf numFmtId="175" fontId="21" fillId="68" borderId="0" applyNumberFormat="0" applyBorder="0" applyAlignment="0" applyProtection="0"/>
    <xf numFmtId="175" fontId="21" fillId="68" borderId="0" applyNumberFormat="0" applyBorder="0" applyAlignment="0" applyProtection="0"/>
    <xf numFmtId="175" fontId="21" fillId="69" borderId="0" applyNumberFormat="0" applyBorder="0" applyAlignment="0" applyProtection="0"/>
    <xf numFmtId="175" fontId="21" fillId="69" borderId="0" applyNumberFormat="0" applyBorder="0" applyAlignment="0" applyProtection="0"/>
    <xf numFmtId="175" fontId="21" fillId="69" borderId="0" applyNumberFormat="0" applyBorder="0" applyAlignment="0" applyProtection="0"/>
    <xf numFmtId="175" fontId="21" fillId="69" borderId="0" applyNumberFormat="0" applyBorder="0" applyAlignment="0" applyProtection="0"/>
    <xf numFmtId="175" fontId="21" fillId="69" borderId="0" applyNumberFormat="0" applyBorder="0" applyAlignment="0" applyProtection="0"/>
    <xf numFmtId="175" fontId="22" fillId="33" borderId="0" applyNumberFormat="0" applyBorder="0" applyAlignment="0" applyProtection="0"/>
    <xf numFmtId="175" fontId="22" fillId="33" borderId="0" applyNumberFormat="0" applyBorder="0" applyAlignment="0" applyProtection="0"/>
    <xf numFmtId="175" fontId="22" fillId="33" borderId="0" applyNumberFormat="0" applyBorder="0" applyAlignment="0" applyProtection="0"/>
    <xf numFmtId="175" fontId="23" fillId="33" borderId="0" applyNumberFormat="0" applyBorder="0" applyAlignment="0" applyProtection="0"/>
    <xf numFmtId="175" fontId="23" fillId="33" borderId="0" applyNumberFormat="0" applyBorder="0" applyAlignment="0" applyProtection="0"/>
    <xf numFmtId="175" fontId="21" fillId="60" borderId="0" applyNumberFormat="0" applyBorder="0" applyAlignment="0" applyProtection="0"/>
    <xf numFmtId="175" fontId="23" fillId="33" borderId="0" applyNumberFormat="0" applyBorder="0" applyAlignment="0" applyProtection="0"/>
    <xf numFmtId="175" fontId="21" fillId="60"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175" fontId="21" fillId="60" borderId="0" applyNumberFormat="0" applyBorder="0" applyAlignment="0" applyProtection="0"/>
    <xf numFmtId="175" fontId="21" fillId="60" borderId="0" applyNumberFormat="0" applyBorder="0" applyAlignment="0" applyProtection="0"/>
    <xf numFmtId="175" fontId="21" fillId="60" borderId="0" applyNumberFormat="0" applyBorder="0" applyAlignment="0" applyProtection="0"/>
    <xf numFmtId="0" fontId="22" fillId="33" borderId="0" applyNumberFormat="0" applyBorder="0" applyAlignment="0" applyProtection="0"/>
    <xf numFmtId="175" fontId="21" fillId="60" borderId="0" applyNumberFormat="0" applyBorder="0" applyAlignment="0" applyProtection="0"/>
    <xf numFmtId="175" fontId="21" fillId="60" borderId="0" applyNumberFormat="0" applyBorder="0" applyAlignment="0" applyProtection="0"/>
    <xf numFmtId="175" fontId="21" fillId="60" borderId="0" applyNumberFormat="0" applyBorder="0" applyAlignment="0" applyProtection="0"/>
    <xf numFmtId="175" fontId="23" fillId="33" borderId="0" applyNumberFormat="0" applyBorder="0" applyAlignment="0" applyProtection="0"/>
    <xf numFmtId="175" fontId="23" fillId="33" borderId="0" applyNumberFormat="0" applyBorder="0" applyAlignment="0" applyProtection="0"/>
    <xf numFmtId="175" fontId="23" fillId="33" borderId="0" applyNumberFormat="0" applyBorder="0" applyAlignment="0" applyProtection="0"/>
    <xf numFmtId="175" fontId="23" fillId="33" borderId="0" applyNumberFormat="0" applyBorder="0" applyAlignment="0" applyProtection="0"/>
    <xf numFmtId="175" fontId="23" fillId="33" borderId="0" applyNumberFormat="0" applyBorder="0" applyAlignment="0" applyProtection="0"/>
    <xf numFmtId="175" fontId="23" fillId="33" borderId="0" applyNumberFormat="0" applyBorder="0" applyAlignment="0" applyProtection="0"/>
    <xf numFmtId="175" fontId="21" fillId="60" borderId="0" applyNumberFormat="0" applyBorder="0" applyAlignment="0" applyProtection="0"/>
    <xf numFmtId="175" fontId="21" fillId="60" borderId="0" applyNumberFormat="0" applyBorder="0" applyAlignment="0" applyProtection="0"/>
    <xf numFmtId="175" fontId="21" fillId="69" borderId="0" applyNumberFormat="0" applyBorder="0" applyAlignment="0" applyProtection="0"/>
    <xf numFmtId="175" fontId="21" fillId="69" borderId="0" applyNumberFormat="0" applyBorder="0" applyAlignment="0" applyProtection="0"/>
    <xf numFmtId="175" fontId="21" fillId="69" borderId="0" applyNumberFormat="0" applyBorder="0" applyAlignment="0" applyProtection="0"/>
    <xf numFmtId="175" fontId="21" fillId="69" borderId="0" applyNumberFormat="0" applyBorder="0" applyAlignment="0" applyProtection="0"/>
    <xf numFmtId="175" fontId="21" fillId="69" borderId="0" applyNumberFormat="0" applyBorder="0" applyAlignment="0" applyProtection="0"/>
    <xf numFmtId="175" fontId="21" fillId="63" borderId="0" applyNumberFormat="0" applyBorder="0" applyAlignment="0" applyProtection="0"/>
    <xf numFmtId="175" fontId="21" fillId="63" borderId="0" applyNumberFormat="0" applyBorder="0" applyAlignment="0" applyProtection="0"/>
    <xf numFmtId="175" fontId="21" fillId="63" borderId="0" applyNumberFormat="0" applyBorder="0" applyAlignment="0" applyProtection="0"/>
    <xf numFmtId="175" fontId="21" fillId="63" borderId="0" applyNumberFormat="0" applyBorder="0" applyAlignment="0" applyProtection="0"/>
    <xf numFmtId="175" fontId="21" fillId="63" borderId="0" applyNumberFormat="0" applyBorder="0" applyAlignment="0" applyProtection="0"/>
    <xf numFmtId="175" fontId="22" fillId="37" borderId="0" applyNumberFormat="0" applyBorder="0" applyAlignment="0" applyProtection="0"/>
    <xf numFmtId="175" fontId="22" fillId="37" borderId="0" applyNumberFormat="0" applyBorder="0" applyAlignment="0" applyProtection="0"/>
    <xf numFmtId="175" fontId="22" fillId="37" borderId="0" applyNumberFormat="0" applyBorder="0" applyAlignment="0" applyProtection="0"/>
    <xf numFmtId="175" fontId="23" fillId="37" borderId="0" applyNumberFormat="0" applyBorder="0" applyAlignment="0" applyProtection="0"/>
    <xf numFmtId="175" fontId="23" fillId="37" borderId="0" applyNumberFormat="0" applyBorder="0" applyAlignment="0" applyProtection="0"/>
    <xf numFmtId="175" fontId="21" fillId="70" borderId="0" applyNumberFormat="0" applyBorder="0" applyAlignment="0" applyProtection="0"/>
    <xf numFmtId="175" fontId="23" fillId="37" borderId="0" applyNumberFormat="0" applyBorder="0" applyAlignment="0" applyProtection="0"/>
    <xf numFmtId="175" fontId="21" fillId="70"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175" fontId="21" fillId="70" borderId="0" applyNumberFormat="0" applyBorder="0" applyAlignment="0" applyProtection="0"/>
    <xf numFmtId="175" fontId="21" fillId="70" borderId="0" applyNumberFormat="0" applyBorder="0" applyAlignment="0" applyProtection="0"/>
    <xf numFmtId="175" fontId="21" fillId="70" borderId="0" applyNumberFormat="0" applyBorder="0" applyAlignment="0" applyProtection="0"/>
    <xf numFmtId="0" fontId="22" fillId="37" borderId="0" applyNumberFormat="0" applyBorder="0" applyAlignment="0" applyProtection="0"/>
    <xf numFmtId="175" fontId="21" fillId="70" borderId="0" applyNumberFormat="0" applyBorder="0" applyAlignment="0" applyProtection="0"/>
    <xf numFmtId="175" fontId="21" fillId="70" borderId="0" applyNumberFormat="0" applyBorder="0" applyAlignment="0" applyProtection="0"/>
    <xf numFmtId="175" fontId="21" fillId="70" borderId="0" applyNumberFormat="0" applyBorder="0" applyAlignment="0" applyProtection="0"/>
    <xf numFmtId="175" fontId="23" fillId="37" borderId="0" applyNumberFormat="0" applyBorder="0" applyAlignment="0" applyProtection="0"/>
    <xf numFmtId="175" fontId="23" fillId="37" borderId="0" applyNumberFormat="0" applyBorder="0" applyAlignment="0" applyProtection="0"/>
    <xf numFmtId="175" fontId="23" fillId="37" borderId="0" applyNumberFormat="0" applyBorder="0" applyAlignment="0" applyProtection="0"/>
    <xf numFmtId="175" fontId="23" fillId="37" borderId="0" applyNumberFormat="0" applyBorder="0" applyAlignment="0" applyProtection="0"/>
    <xf numFmtId="175" fontId="23" fillId="37" borderId="0" applyNumberFormat="0" applyBorder="0" applyAlignment="0" applyProtection="0"/>
    <xf numFmtId="175" fontId="23" fillId="37" borderId="0" applyNumberFormat="0" applyBorder="0" applyAlignment="0" applyProtection="0"/>
    <xf numFmtId="175" fontId="21" fillId="70" borderId="0" applyNumberFormat="0" applyBorder="0" applyAlignment="0" applyProtection="0"/>
    <xf numFmtId="175" fontId="21" fillId="70" borderId="0" applyNumberFormat="0" applyBorder="0" applyAlignment="0" applyProtection="0"/>
    <xf numFmtId="175" fontId="21" fillId="63" borderId="0" applyNumberFormat="0" applyBorder="0" applyAlignment="0" applyProtection="0"/>
    <xf numFmtId="175" fontId="21" fillId="63" borderId="0" applyNumberFormat="0" applyBorder="0" applyAlignment="0" applyProtection="0"/>
    <xf numFmtId="175" fontId="21" fillId="63" borderId="0" applyNumberFormat="0" applyBorder="0" applyAlignment="0" applyProtection="0"/>
    <xf numFmtId="175" fontId="21" fillId="63" borderId="0" applyNumberFormat="0" applyBorder="0" applyAlignment="0" applyProtection="0"/>
    <xf numFmtId="175" fontId="21" fillId="63" borderId="0" applyNumberFormat="0" applyBorder="0" applyAlignment="0" applyProtection="0"/>
    <xf numFmtId="175" fontId="21" fillId="64" borderId="0" applyNumberFormat="0" applyBorder="0" applyAlignment="0" applyProtection="0"/>
    <xf numFmtId="175" fontId="21" fillId="64" borderId="0" applyNumberFormat="0" applyBorder="0" applyAlignment="0" applyProtection="0"/>
    <xf numFmtId="175" fontId="21" fillId="64" borderId="0" applyNumberFormat="0" applyBorder="0" applyAlignment="0" applyProtection="0"/>
    <xf numFmtId="175" fontId="21" fillId="64" borderId="0" applyNumberFormat="0" applyBorder="0" applyAlignment="0" applyProtection="0"/>
    <xf numFmtId="175" fontId="21" fillId="64" borderId="0" applyNumberFormat="0" applyBorder="0" applyAlignment="0" applyProtection="0"/>
    <xf numFmtId="175" fontId="22" fillId="41" borderId="0" applyNumberFormat="0" applyBorder="0" applyAlignment="0" applyProtection="0"/>
    <xf numFmtId="175" fontId="22" fillId="41" borderId="0" applyNumberFormat="0" applyBorder="0" applyAlignment="0" applyProtection="0"/>
    <xf numFmtId="175" fontId="22" fillId="41" borderId="0" applyNumberFormat="0" applyBorder="0" applyAlignment="0" applyProtection="0"/>
    <xf numFmtId="175" fontId="23" fillId="41" borderId="0" applyNumberFormat="0" applyBorder="0" applyAlignment="0" applyProtection="0"/>
    <xf numFmtId="175" fontId="23" fillId="41" borderId="0" applyNumberFormat="0" applyBorder="0" applyAlignment="0" applyProtection="0"/>
    <xf numFmtId="175" fontId="21" fillId="64" borderId="0" applyNumberFormat="0" applyBorder="0" applyAlignment="0" applyProtection="0"/>
    <xf numFmtId="175" fontId="23" fillId="41" borderId="0" applyNumberFormat="0" applyBorder="0" applyAlignment="0" applyProtection="0"/>
    <xf numFmtId="175" fontId="21" fillId="64"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175" fontId="21" fillId="64" borderId="0" applyNumberFormat="0" applyBorder="0" applyAlignment="0" applyProtection="0"/>
    <xf numFmtId="175" fontId="21" fillId="64" borderId="0" applyNumberFormat="0" applyBorder="0" applyAlignment="0" applyProtection="0"/>
    <xf numFmtId="175" fontId="21" fillId="64" borderId="0" applyNumberFormat="0" applyBorder="0" applyAlignment="0" applyProtection="0"/>
    <xf numFmtId="0" fontId="22" fillId="41" borderId="0" applyNumberFormat="0" applyBorder="0" applyAlignment="0" applyProtection="0"/>
    <xf numFmtId="175" fontId="21" fillId="64" borderId="0" applyNumberFormat="0" applyBorder="0" applyAlignment="0" applyProtection="0"/>
    <xf numFmtId="175" fontId="21" fillId="64" borderId="0" applyNumberFormat="0" applyBorder="0" applyAlignment="0" applyProtection="0"/>
    <xf numFmtId="175" fontId="21" fillId="64" borderId="0" applyNumberFormat="0" applyBorder="0" applyAlignment="0" applyProtection="0"/>
    <xf numFmtId="175" fontId="23" fillId="41" borderId="0" applyNumberFormat="0" applyBorder="0" applyAlignment="0" applyProtection="0"/>
    <xf numFmtId="175" fontId="23" fillId="41" borderId="0" applyNumberFormat="0" applyBorder="0" applyAlignment="0" applyProtection="0"/>
    <xf numFmtId="175" fontId="23" fillId="41" borderId="0" applyNumberFormat="0" applyBorder="0" applyAlignment="0" applyProtection="0"/>
    <xf numFmtId="175" fontId="23" fillId="41" borderId="0" applyNumberFormat="0" applyBorder="0" applyAlignment="0" applyProtection="0"/>
    <xf numFmtId="175" fontId="23" fillId="41" borderId="0" applyNumberFormat="0" applyBorder="0" applyAlignment="0" applyProtection="0"/>
    <xf numFmtId="175" fontId="23" fillId="41" borderId="0" applyNumberFormat="0" applyBorder="0" applyAlignment="0" applyProtection="0"/>
    <xf numFmtId="175" fontId="21" fillId="64" borderId="0" applyNumberFormat="0" applyBorder="0" applyAlignment="0" applyProtection="0"/>
    <xf numFmtId="175" fontId="21" fillId="64" borderId="0" applyNumberFormat="0" applyBorder="0" applyAlignment="0" applyProtection="0"/>
    <xf numFmtId="175" fontId="21" fillId="64" borderId="0" applyNumberFormat="0" applyBorder="0" applyAlignment="0" applyProtection="0"/>
    <xf numFmtId="175" fontId="21" fillId="64" borderId="0" applyNumberFormat="0" applyBorder="0" applyAlignment="0" applyProtection="0"/>
    <xf numFmtId="175" fontId="21" fillId="64" borderId="0" applyNumberFormat="0" applyBorder="0" applyAlignment="0" applyProtection="0"/>
    <xf numFmtId="175" fontId="21" fillId="64" borderId="0" applyNumberFormat="0" applyBorder="0" applyAlignment="0" applyProtection="0"/>
    <xf numFmtId="175" fontId="21" fillId="64" borderId="0" applyNumberFormat="0" applyBorder="0" applyAlignment="0" applyProtection="0"/>
    <xf numFmtId="175" fontId="21" fillId="62" borderId="0" applyNumberFormat="0" applyBorder="0" applyAlignment="0" applyProtection="0"/>
    <xf numFmtId="175" fontId="21" fillId="62" borderId="0" applyNumberFormat="0" applyBorder="0" applyAlignment="0" applyProtection="0"/>
    <xf numFmtId="175" fontId="21" fillId="62" borderId="0" applyNumberFormat="0" applyBorder="0" applyAlignment="0" applyProtection="0"/>
    <xf numFmtId="175" fontId="21" fillId="62" borderId="0" applyNumberFormat="0" applyBorder="0" applyAlignment="0" applyProtection="0"/>
    <xf numFmtId="175" fontId="21" fillId="62" borderId="0" applyNumberFormat="0" applyBorder="0" applyAlignment="0" applyProtection="0"/>
    <xf numFmtId="175" fontId="22" fillId="45" borderId="0" applyNumberFormat="0" applyBorder="0" applyAlignment="0" applyProtection="0"/>
    <xf numFmtId="175" fontId="22" fillId="45" borderId="0" applyNumberFormat="0" applyBorder="0" applyAlignment="0" applyProtection="0"/>
    <xf numFmtId="175" fontId="22" fillId="45" borderId="0" applyNumberFormat="0" applyBorder="0" applyAlignment="0" applyProtection="0"/>
    <xf numFmtId="175" fontId="23" fillId="45" borderId="0" applyNumberFormat="0" applyBorder="0" applyAlignment="0" applyProtection="0"/>
    <xf numFmtId="175" fontId="23" fillId="45" borderId="0" applyNumberFormat="0" applyBorder="0" applyAlignment="0" applyProtection="0"/>
    <xf numFmtId="175" fontId="21" fillId="68" borderId="0" applyNumberFormat="0" applyBorder="0" applyAlignment="0" applyProtection="0"/>
    <xf numFmtId="175" fontId="23" fillId="45" borderId="0" applyNumberFormat="0" applyBorder="0" applyAlignment="0" applyProtection="0"/>
    <xf numFmtId="175" fontId="21" fillId="68"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175" fontId="21" fillId="68" borderId="0" applyNumberFormat="0" applyBorder="0" applyAlignment="0" applyProtection="0"/>
    <xf numFmtId="175" fontId="21" fillId="68" borderId="0" applyNumberFormat="0" applyBorder="0" applyAlignment="0" applyProtection="0"/>
    <xf numFmtId="175" fontId="21" fillId="68" borderId="0" applyNumberFormat="0" applyBorder="0" applyAlignment="0" applyProtection="0"/>
    <xf numFmtId="0" fontId="22" fillId="45" borderId="0" applyNumberFormat="0" applyBorder="0" applyAlignment="0" applyProtection="0"/>
    <xf numFmtId="175" fontId="21" fillId="68" borderId="0" applyNumberFormat="0" applyBorder="0" applyAlignment="0" applyProtection="0"/>
    <xf numFmtId="175" fontId="21" fillId="68" borderId="0" applyNumberFormat="0" applyBorder="0" applyAlignment="0" applyProtection="0"/>
    <xf numFmtId="175" fontId="21" fillId="68" borderId="0" applyNumberFormat="0" applyBorder="0" applyAlignment="0" applyProtection="0"/>
    <xf numFmtId="175" fontId="23" fillId="45" borderId="0" applyNumberFormat="0" applyBorder="0" applyAlignment="0" applyProtection="0"/>
    <xf numFmtId="175" fontId="23" fillId="45" borderId="0" applyNumberFormat="0" applyBorder="0" applyAlignment="0" applyProtection="0"/>
    <xf numFmtId="175" fontId="23" fillId="45" borderId="0" applyNumberFormat="0" applyBorder="0" applyAlignment="0" applyProtection="0"/>
    <xf numFmtId="175" fontId="23" fillId="45" borderId="0" applyNumberFormat="0" applyBorder="0" applyAlignment="0" applyProtection="0"/>
    <xf numFmtId="175" fontId="23" fillId="45" borderId="0" applyNumberFormat="0" applyBorder="0" applyAlignment="0" applyProtection="0"/>
    <xf numFmtId="175" fontId="23" fillId="45" borderId="0" applyNumberFormat="0" applyBorder="0" applyAlignment="0" applyProtection="0"/>
    <xf numFmtId="175" fontId="21" fillId="68" borderId="0" applyNumberFormat="0" applyBorder="0" applyAlignment="0" applyProtection="0"/>
    <xf numFmtId="175" fontId="21" fillId="68" borderId="0" applyNumberFormat="0" applyBorder="0" applyAlignment="0" applyProtection="0"/>
    <xf numFmtId="175" fontId="21" fillId="62" borderId="0" applyNumberFormat="0" applyBorder="0" applyAlignment="0" applyProtection="0"/>
    <xf numFmtId="175" fontId="21" fillId="62" borderId="0" applyNumberFormat="0" applyBorder="0" applyAlignment="0" applyProtection="0"/>
    <xf numFmtId="175" fontId="21" fillId="62" borderId="0" applyNumberFormat="0" applyBorder="0" applyAlignment="0" applyProtection="0"/>
    <xf numFmtId="175" fontId="21" fillId="62" borderId="0" applyNumberFormat="0" applyBorder="0" applyAlignment="0" applyProtection="0"/>
    <xf numFmtId="175" fontId="21" fillId="62" borderId="0" applyNumberFormat="0" applyBorder="0" applyAlignment="0" applyProtection="0"/>
    <xf numFmtId="175" fontId="24" fillId="51" borderId="0" applyNumberFormat="0" applyBorder="0" applyAlignment="0" applyProtection="0"/>
    <xf numFmtId="175" fontId="24" fillId="51" borderId="0" applyNumberFormat="0" applyBorder="0" applyAlignment="0" applyProtection="0"/>
    <xf numFmtId="175" fontId="24" fillId="51" borderId="0" applyNumberFormat="0" applyBorder="0" applyAlignment="0" applyProtection="0"/>
    <xf numFmtId="175" fontId="24" fillId="51" borderId="0" applyNumberFormat="0" applyBorder="0" applyAlignment="0" applyProtection="0"/>
    <xf numFmtId="175" fontId="24" fillId="51" borderId="0" applyNumberFormat="0" applyBorder="0" applyAlignment="0" applyProtection="0"/>
    <xf numFmtId="175" fontId="25" fillId="19" borderId="0" applyNumberFormat="0" applyBorder="0" applyAlignment="0" applyProtection="0"/>
    <xf numFmtId="175" fontId="25" fillId="19" borderId="0" applyNumberFormat="0" applyBorder="0" applyAlignment="0" applyProtection="0"/>
    <xf numFmtId="175" fontId="25" fillId="19" borderId="0" applyNumberFormat="0" applyBorder="0" applyAlignment="0" applyProtection="0"/>
    <xf numFmtId="175" fontId="26" fillId="19" borderId="0" applyNumberFormat="0" applyBorder="0" applyAlignment="0" applyProtection="0"/>
    <xf numFmtId="175" fontId="26" fillId="19" borderId="0" applyNumberFormat="0" applyBorder="0" applyAlignment="0" applyProtection="0"/>
    <xf numFmtId="175" fontId="24" fillId="55" borderId="0" applyNumberFormat="0" applyBorder="0" applyAlignment="0" applyProtection="0"/>
    <xf numFmtId="175" fontId="26" fillId="19" borderId="0" applyNumberFormat="0" applyBorder="0" applyAlignment="0" applyProtection="0"/>
    <xf numFmtId="175" fontId="24" fillId="55"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175" fontId="24" fillId="55" borderId="0" applyNumberFormat="0" applyBorder="0" applyAlignment="0" applyProtection="0"/>
    <xf numFmtId="175" fontId="24" fillId="55" borderId="0" applyNumberFormat="0" applyBorder="0" applyAlignment="0" applyProtection="0"/>
    <xf numFmtId="175" fontId="24" fillId="55" borderId="0" applyNumberFormat="0" applyBorder="0" applyAlignment="0" applyProtection="0"/>
    <xf numFmtId="0" fontId="25" fillId="19" borderId="0" applyNumberFormat="0" applyBorder="0" applyAlignment="0" applyProtection="0"/>
    <xf numFmtId="175" fontId="24" fillId="55" borderId="0" applyNumberFormat="0" applyBorder="0" applyAlignment="0" applyProtection="0"/>
    <xf numFmtId="175" fontId="24" fillId="55" borderId="0" applyNumberFormat="0" applyBorder="0" applyAlignment="0" applyProtection="0"/>
    <xf numFmtId="175" fontId="24" fillId="55" borderId="0" applyNumberFormat="0" applyBorder="0" applyAlignment="0" applyProtection="0"/>
    <xf numFmtId="175" fontId="26" fillId="19" borderId="0" applyNumberFormat="0" applyBorder="0" applyAlignment="0" applyProtection="0"/>
    <xf numFmtId="175" fontId="26" fillId="19" borderId="0" applyNumberFormat="0" applyBorder="0" applyAlignment="0" applyProtection="0"/>
    <xf numFmtId="175" fontId="26" fillId="19" borderId="0" applyNumberFormat="0" applyBorder="0" applyAlignment="0" applyProtection="0"/>
    <xf numFmtId="175" fontId="26" fillId="19" borderId="0" applyNumberFormat="0" applyBorder="0" applyAlignment="0" applyProtection="0"/>
    <xf numFmtId="175" fontId="26" fillId="19" borderId="0" applyNumberFormat="0" applyBorder="0" applyAlignment="0" applyProtection="0"/>
    <xf numFmtId="175" fontId="26" fillId="19" borderId="0" applyNumberFormat="0" applyBorder="0" applyAlignment="0" applyProtection="0"/>
    <xf numFmtId="175" fontId="24" fillId="55" borderId="0" applyNumberFormat="0" applyBorder="0" applyAlignment="0" applyProtection="0"/>
    <xf numFmtId="175" fontId="24" fillId="55" borderId="0" applyNumberFormat="0" applyBorder="0" applyAlignment="0" applyProtection="0"/>
    <xf numFmtId="175" fontId="24" fillId="51" borderId="0" applyNumberFormat="0" applyBorder="0" applyAlignment="0" applyProtection="0"/>
    <xf numFmtId="175" fontId="24" fillId="51" borderId="0" applyNumberFormat="0" applyBorder="0" applyAlignment="0" applyProtection="0"/>
    <xf numFmtId="175" fontId="24" fillId="51" borderId="0" applyNumberFormat="0" applyBorder="0" applyAlignment="0" applyProtection="0"/>
    <xf numFmtId="175" fontId="24" fillId="51" borderId="0" applyNumberFormat="0" applyBorder="0" applyAlignment="0" applyProtection="0"/>
    <xf numFmtId="175" fontId="24" fillId="51" borderId="0" applyNumberFormat="0" applyBorder="0" applyAlignment="0" applyProtection="0"/>
    <xf numFmtId="175" fontId="27" fillId="71" borderId="18" applyNumberFormat="0" applyAlignment="0" applyProtection="0"/>
    <xf numFmtId="175" fontId="27" fillId="71" borderId="18" applyNumberFormat="0" applyAlignment="0" applyProtection="0"/>
    <xf numFmtId="175" fontId="27" fillId="71" borderId="18" applyNumberFormat="0" applyAlignment="0" applyProtection="0"/>
    <xf numFmtId="175" fontId="27" fillId="71" borderId="18" applyNumberFormat="0" applyAlignment="0" applyProtection="0"/>
    <xf numFmtId="175" fontId="27" fillId="71" borderId="18" applyNumberFormat="0" applyAlignment="0" applyProtection="0"/>
    <xf numFmtId="175" fontId="28" fillId="22" borderId="12" applyNumberFormat="0" applyAlignment="0" applyProtection="0"/>
    <xf numFmtId="175" fontId="28" fillId="22" borderId="12" applyNumberFormat="0" applyAlignment="0" applyProtection="0"/>
    <xf numFmtId="175" fontId="28" fillId="22" borderId="12" applyNumberFormat="0" applyAlignment="0" applyProtection="0"/>
    <xf numFmtId="175" fontId="29" fillId="22" borderId="12" applyNumberFormat="0" applyAlignment="0" applyProtection="0"/>
    <xf numFmtId="175" fontId="29" fillId="22" borderId="12" applyNumberFormat="0" applyAlignment="0" applyProtection="0"/>
    <xf numFmtId="175" fontId="30" fillId="72" borderId="18" applyNumberFormat="0" applyAlignment="0" applyProtection="0"/>
    <xf numFmtId="175" fontId="29" fillId="22" borderId="12" applyNumberFormat="0" applyAlignment="0" applyProtection="0"/>
    <xf numFmtId="175" fontId="30" fillId="72" borderId="18" applyNumberFormat="0" applyAlignment="0" applyProtection="0"/>
    <xf numFmtId="0" fontId="28" fillId="22" borderId="12" applyNumberFormat="0" applyAlignment="0" applyProtection="0"/>
    <xf numFmtId="0" fontId="28" fillId="22" borderId="12" applyNumberFormat="0" applyAlignment="0" applyProtection="0"/>
    <xf numFmtId="0" fontId="28" fillId="22" borderId="12" applyNumberFormat="0" applyAlignment="0" applyProtection="0"/>
    <xf numFmtId="0" fontId="28" fillId="22" borderId="12" applyNumberFormat="0" applyAlignment="0" applyProtection="0"/>
    <xf numFmtId="175" fontId="30" fillId="72" borderId="18" applyNumberFormat="0" applyAlignment="0" applyProtection="0"/>
    <xf numFmtId="175" fontId="30" fillId="72" borderId="18" applyNumberFormat="0" applyAlignment="0" applyProtection="0"/>
    <xf numFmtId="175" fontId="30" fillId="72" borderId="18" applyNumberFormat="0" applyAlignment="0" applyProtection="0"/>
    <xf numFmtId="0" fontId="28" fillId="22" borderId="12" applyNumberFormat="0" applyAlignment="0" applyProtection="0"/>
    <xf numFmtId="175" fontId="30" fillId="72" borderId="18" applyNumberFormat="0" applyAlignment="0" applyProtection="0"/>
    <xf numFmtId="175" fontId="30" fillId="72" borderId="18" applyNumberFormat="0" applyAlignment="0" applyProtection="0"/>
    <xf numFmtId="175" fontId="30" fillId="72" borderId="18" applyNumberFormat="0" applyAlignment="0" applyProtection="0"/>
    <xf numFmtId="175" fontId="29" fillId="22" borderId="12" applyNumberFormat="0" applyAlignment="0" applyProtection="0"/>
    <xf numFmtId="175" fontId="29" fillId="22" borderId="12" applyNumberFormat="0" applyAlignment="0" applyProtection="0"/>
    <xf numFmtId="175" fontId="29" fillId="22" borderId="12" applyNumberFormat="0" applyAlignment="0" applyProtection="0"/>
    <xf numFmtId="175" fontId="29" fillId="22" borderId="12" applyNumberFormat="0" applyAlignment="0" applyProtection="0"/>
    <xf numFmtId="175" fontId="29" fillId="22" borderId="12" applyNumberFormat="0" applyAlignment="0" applyProtection="0"/>
    <xf numFmtId="175" fontId="29" fillId="22" borderId="12" applyNumberFormat="0" applyAlignment="0" applyProtection="0"/>
    <xf numFmtId="175" fontId="30" fillId="72" borderId="18" applyNumberFormat="0" applyAlignment="0" applyProtection="0"/>
    <xf numFmtId="175" fontId="30" fillId="72" borderId="18" applyNumberFormat="0" applyAlignment="0" applyProtection="0"/>
    <xf numFmtId="175" fontId="27" fillId="71" borderId="18" applyNumberFormat="0" applyAlignment="0" applyProtection="0"/>
    <xf numFmtId="175" fontId="27" fillId="71" borderId="18" applyNumberFormat="0" applyAlignment="0" applyProtection="0"/>
    <xf numFmtId="175" fontId="27" fillId="71" borderId="18" applyNumberFormat="0" applyAlignment="0" applyProtection="0"/>
    <xf numFmtId="175" fontId="27" fillId="71" borderId="18" applyNumberFormat="0" applyAlignment="0" applyProtection="0"/>
    <xf numFmtId="175" fontId="27" fillId="71" borderId="18" applyNumberFormat="0" applyAlignment="0" applyProtection="0"/>
    <xf numFmtId="175" fontId="31" fillId="73" borderId="19" applyNumberFormat="0" applyAlignment="0" applyProtection="0"/>
    <xf numFmtId="175" fontId="31" fillId="73" borderId="19" applyNumberFormat="0" applyAlignment="0" applyProtection="0"/>
    <xf numFmtId="175" fontId="31" fillId="73" borderId="19" applyNumberFormat="0" applyAlignment="0" applyProtection="0"/>
    <xf numFmtId="175" fontId="31" fillId="73" borderId="19" applyNumberFormat="0" applyAlignment="0" applyProtection="0"/>
    <xf numFmtId="175" fontId="31" fillId="73" borderId="19" applyNumberFormat="0" applyAlignment="0" applyProtection="0"/>
    <xf numFmtId="175" fontId="32" fillId="23" borderId="15" applyNumberFormat="0" applyAlignment="0" applyProtection="0"/>
    <xf numFmtId="175" fontId="32" fillId="23" borderId="15" applyNumberFormat="0" applyAlignment="0" applyProtection="0"/>
    <xf numFmtId="175" fontId="32" fillId="23" borderId="15" applyNumberFormat="0" applyAlignment="0" applyProtection="0"/>
    <xf numFmtId="175" fontId="33" fillId="23" borderId="15" applyNumberFormat="0" applyAlignment="0" applyProtection="0"/>
    <xf numFmtId="175" fontId="33" fillId="23" borderId="15" applyNumberFormat="0" applyAlignment="0" applyProtection="0"/>
    <xf numFmtId="175" fontId="31" fillId="73" borderId="19" applyNumberFormat="0" applyAlignment="0" applyProtection="0"/>
    <xf numFmtId="175" fontId="33" fillId="23" borderId="15" applyNumberFormat="0" applyAlignment="0" applyProtection="0"/>
    <xf numFmtId="175" fontId="31" fillId="73" borderId="19" applyNumberFormat="0" applyAlignment="0" applyProtection="0"/>
    <xf numFmtId="0" fontId="32" fillId="23" borderId="15" applyNumberFormat="0" applyAlignment="0" applyProtection="0"/>
    <xf numFmtId="0" fontId="32" fillId="23" borderId="15" applyNumberFormat="0" applyAlignment="0" applyProtection="0"/>
    <xf numFmtId="0" fontId="32" fillId="23" borderId="15" applyNumberFormat="0" applyAlignment="0" applyProtection="0"/>
    <xf numFmtId="0" fontId="32" fillId="23" borderId="15" applyNumberFormat="0" applyAlignment="0" applyProtection="0"/>
    <xf numFmtId="175" fontId="31" fillId="73" borderId="19" applyNumberFormat="0" applyAlignment="0" applyProtection="0"/>
    <xf numFmtId="175" fontId="31" fillId="73" borderId="19" applyNumberFormat="0" applyAlignment="0" applyProtection="0"/>
    <xf numFmtId="175" fontId="31" fillId="73" borderId="19" applyNumberFormat="0" applyAlignment="0" applyProtection="0"/>
    <xf numFmtId="0" fontId="32" fillId="23" borderId="15" applyNumberFormat="0" applyAlignment="0" applyProtection="0"/>
    <xf numFmtId="175" fontId="31" fillId="73" borderId="19" applyNumberFormat="0" applyAlignment="0" applyProtection="0"/>
    <xf numFmtId="175" fontId="31" fillId="73" borderId="19" applyNumberFormat="0" applyAlignment="0" applyProtection="0"/>
    <xf numFmtId="175" fontId="31" fillId="73" borderId="19" applyNumberFormat="0" applyAlignment="0" applyProtection="0"/>
    <xf numFmtId="175" fontId="33" fillId="23" borderId="15" applyNumberFormat="0" applyAlignment="0" applyProtection="0"/>
    <xf numFmtId="175" fontId="33" fillId="23" borderId="15" applyNumberFormat="0" applyAlignment="0" applyProtection="0"/>
    <xf numFmtId="175" fontId="33" fillId="23" borderId="15" applyNumberFormat="0" applyAlignment="0" applyProtection="0"/>
    <xf numFmtId="175" fontId="33" fillId="23" borderId="15" applyNumberFormat="0" applyAlignment="0" applyProtection="0"/>
    <xf numFmtId="175" fontId="33" fillId="23" borderId="15" applyNumberFormat="0" applyAlignment="0" applyProtection="0"/>
    <xf numFmtId="175" fontId="33" fillId="23" borderId="15" applyNumberFormat="0" applyAlignment="0" applyProtection="0"/>
    <xf numFmtId="175" fontId="31" fillId="73" borderId="19" applyNumberFormat="0" applyAlignment="0" applyProtection="0"/>
    <xf numFmtId="175" fontId="31" fillId="73" borderId="19" applyNumberFormat="0" applyAlignment="0" applyProtection="0"/>
    <xf numFmtId="175" fontId="31" fillId="73" borderId="19" applyNumberFormat="0" applyAlignment="0" applyProtection="0"/>
    <xf numFmtId="175" fontId="31" fillId="73" borderId="19" applyNumberFormat="0" applyAlignment="0" applyProtection="0"/>
    <xf numFmtId="175" fontId="31" fillId="73" borderId="19" applyNumberFormat="0" applyAlignment="0" applyProtection="0"/>
    <xf numFmtId="175" fontId="31" fillId="73" borderId="19" applyNumberFormat="0" applyAlignment="0" applyProtection="0"/>
    <xf numFmtId="175" fontId="31" fillId="73" borderId="19"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6" fillId="0" borderId="0" applyFont="0" applyFill="0" applyBorder="0" applyAlignment="0" applyProtection="0"/>
    <xf numFmtId="180" fontId="6" fillId="0" borderId="0" applyFont="0" applyFill="0" applyBorder="0" applyAlignment="0" applyProtection="0"/>
    <xf numFmtId="175" fontId="6" fillId="0" borderId="0" applyFont="0" applyFill="0" applyBorder="0" applyAlignment="0" applyProtection="0"/>
    <xf numFmtId="175" fontId="34" fillId="0" borderId="0" applyNumberFormat="0" applyFill="0" applyBorder="0" applyAlignment="0" applyProtection="0"/>
    <xf numFmtId="175" fontId="34" fillId="0" borderId="0" applyNumberFormat="0" applyFill="0" applyBorder="0" applyAlignment="0" applyProtection="0"/>
    <xf numFmtId="175" fontId="34" fillId="0" borderId="0" applyNumberFormat="0" applyFill="0" applyBorder="0" applyAlignment="0" applyProtection="0"/>
    <xf numFmtId="175" fontId="34" fillId="0" borderId="0" applyNumberFormat="0" applyFill="0" applyBorder="0" applyAlignment="0" applyProtection="0"/>
    <xf numFmtId="175" fontId="34" fillId="0" borderId="0" applyNumberFormat="0" applyFill="0" applyBorder="0" applyAlignment="0" applyProtection="0"/>
    <xf numFmtId="175" fontId="35" fillId="0" borderId="0" applyNumberFormat="0" applyFill="0" applyBorder="0" applyAlignment="0" applyProtection="0"/>
    <xf numFmtId="175" fontId="35" fillId="0" borderId="0" applyNumberFormat="0" applyFill="0" applyBorder="0" applyAlignment="0" applyProtection="0"/>
    <xf numFmtId="175" fontId="35" fillId="0" borderId="0" applyNumberFormat="0" applyFill="0" applyBorder="0" applyAlignment="0" applyProtection="0"/>
    <xf numFmtId="175" fontId="36" fillId="0" borderId="0" applyNumberFormat="0" applyFill="0" applyBorder="0" applyAlignment="0" applyProtection="0"/>
    <xf numFmtId="175" fontId="36" fillId="0" borderId="0" applyNumberFormat="0" applyFill="0" applyBorder="0" applyAlignment="0" applyProtection="0"/>
    <xf numFmtId="175" fontId="34" fillId="0" borderId="0" applyNumberFormat="0" applyFill="0" applyBorder="0" applyAlignment="0" applyProtection="0"/>
    <xf numFmtId="175" fontId="36" fillId="0" borderId="0" applyNumberFormat="0" applyFill="0" applyBorder="0" applyAlignment="0" applyProtection="0"/>
    <xf numFmtId="175" fontId="34"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175" fontId="34" fillId="0" borderId="0" applyNumberFormat="0" applyFill="0" applyBorder="0" applyAlignment="0" applyProtection="0"/>
    <xf numFmtId="175" fontId="34" fillId="0" borderId="0" applyNumberFormat="0" applyFill="0" applyBorder="0" applyAlignment="0" applyProtection="0"/>
    <xf numFmtId="175" fontId="34" fillId="0" borderId="0" applyNumberFormat="0" applyFill="0" applyBorder="0" applyAlignment="0" applyProtection="0"/>
    <xf numFmtId="0" fontId="35" fillId="0" borderId="0" applyNumberFormat="0" applyFill="0" applyBorder="0" applyAlignment="0" applyProtection="0"/>
    <xf numFmtId="175" fontId="34" fillId="0" borderId="0" applyNumberFormat="0" applyFill="0" applyBorder="0" applyAlignment="0" applyProtection="0"/>
    <xf numFmtId="175" fontId="34" fillId="0" borderId="0" applyNumberFormat="0" applyFill="0" applyBorder="0" applyAlignment="0" applyProtection="0"/>
    <xf numFmtId="175" fontId="34" fillId="0" borderId="0" applyNumberFormat="0" applyFill="0" applyBorder="0" applyAlignment="0" applyProtection="0"/>
    <xf numFmtId="175" fontId="36" fillId="0" borderId="0" applyNumberFormat="0" applyFill="0" applyBorder="0" applyAlignment="0" applyProtection="0"/>
    <xf numFmtId="175" fontId="36" fillId="0" borderId="0" applyNumberFormat="0" applyFill="0" applyBorder="0" applyAlignment="0" applyProtection="0"/>
    <xf numFmtId="175" fontId="36" fillId="0" borderId="0" applyNumberFormat="0" applyFill="0" applyBorder="0" applyAlignment="0" applyProtection="0"/>
    <xf numFmtId="175" fontId="36" fillId="0" borderId="0" applyNumberFormat="0" applyFill="0" applyBorder="0" applyAlignment="0" applyProtection="0"/>
    <xf numFmtId="175" fontId="36" fillId="0" borderId="0" applyNumberFormat="0" applyFill="0" applyBorder="0" applyAlignment="0" applyProtection="0"/>
    <xf numFmtId="175" fontId="36" fillId="0" borderId="0" applyNumberFormat="0" applyFill="0" applyBorder="0" applyAlignment="0" applyProtection="0"/>
    <xf numFmtId="175" fontId="34" fillId="0" borderId="0" applyNumberFormat="0" applyFill="0" applyBorder="0" applyAlignment="0" applyProtection="0"/>
    <xf numFmtId="175" fontId="34" fillId="0" borderId="0" applyNumberFormat="0" applyFill="0" applyBorder="0" applyAlignment="0" applyProtection="0"/>
    <xf numFmtId="175" fontId="34" fillId="0" borderId="0" applyNumberFormat="0" applyFill="0" applyBorder="0" applyAlignment="0" applyProtection="0"/>
    <xf numFmtId="175" fontId="34" fillId="0" borderId="0" applyNumberFormat="0" applyFill="0" applyBorder="0" applyAlignment="0" applyProtection="0"/>
    <xf numFmtId="175" fontId="34" fillId="0" borderId="0" applyNumberFormat="0" applyFill="0" applyBorder="0" applyAlignment="0" applyProtection="0"/>
    <xf numFmtId="175" fontId="34" fillId="0" borderId="0" applyNumberFormat="0" applyFill="0" applyBorder="0" applyAlignment="0" applyProtection="0"/>
    <xf numFmtId="175" fontId="34" fillId="0" borderId="0" applyNumberFormat="0" applyFill="0" applyBorder="0" applyAlignment="0" applyProtection="0"/>
    <xf numFmtId="175" fontId="37" fillId="0" borderId="0" applyProtection="0"/>
    <xf numFmtId="175" fontId="37" fillId="0" borderId="0" applyProtection="0"/>
    <xf numFmtId="175" fontId="37" fillId="0" borderId="0" applyProtection="0"/>
    <xf numFmtId="175" fontId="37" fillId="0" borderId="0" applyProtection="0"/>
    <xf numFmtId="175" fontId="37" fillId="0" borderId="0" applyProtection="0"/>
    <xf numFmtId="175" fontId="37" fillId="0" borderId="0" applyProtection="0"/>
    <xf numFmtId="175" fontId="37" fillId="0" borderId="0" applyProtection="0"/>
    <xf numFmtId="175" fontId="7" fillId="0" borderId="0" applyProtection="0"/>
    <xf numFmtId="175" fontId="7" fillId="0" borderId="0" applyProtection="0"/>
    <xf numFmtId="175" fontId="7" fillId="0" borderId="0" applyProtection="0"/>
    <xf numFmtId="175" fontId="7" fillId="0" borderId="0" applyProtection="0"/>
    <xf numFmtId="175" fontId="7" fillId="0" borderId="0" applyProtection="0"/>
    <xf numFmtId="175" fontId="7" fillId="0" borderId="0" applyProtection="0"/>
    <xf numFmtId="175" fontId="7" fillId="0" borderId="0" applyProtection="0"/>
    <xf numFmtId="175" fontId="38" fillId="0" borderId="0" applyProtection="0"/>
    <xf numFmtId="175" fontId="38" fillId="0" borderId="0" applyProtection="0"/>
    <xf numFmtId="175" fontId="38" fillId="0" borderId="0" applyProtection="0"/>
    <xf numFmtId="175" fontId="38" fillId="0" borderId="0" applyProtection="0"/>
    <xf numFmtId="175" fontId="38" fillId="0" borderId="0" applyProtection="0"/>
    <xf numFmtId="175" fontId="38" fillId="0" borderId="0" applyProtection="0"/>
    <xf numFmtId="175" fontId="38" fillId="0" borderId="0" applyProtection="0"/>
    <xf numFmtId="175" fontId="39" fillId="0" borderId="0" applyProtection="0"/>
    <xf numFmtId="175" fontId="39" fillId="0" borderId="0" applyProtection="0"/>
    <xf numFmtId="175" fontId="39" fillId="0" borderId="0" applyProtection="0"/>
    <xf numFmtId="175" fontId="39" fillId="0" borderId="0" applyProtection="0"/>
    <xf numFmtId="175" fontId="39" fillId="0" borderId="0" applyProtection="0"/>
    <xf numFmtId="175" fontId="39" fillId="0" borderId="0" applyProtection="0"/>
    <xf numFmtId="175" fontId="39" fillId="0" borderId="0" applyProtection="0"/>
    <xf numFmtId="175" fontId="6" fillId="0" borderId="0" applyProtection="0"/>
    <xf numFmtId="175" fontId="6" fillId="0" borderId="0" applyProtection="0"/>
    <xf numFmtId="175" fontId="6" fillId="0" borderId="0" applyProtection="0"/>
    <xf numFmtId="175" fontId="6" fillId="0" borderId="0" applyProtection="0"/>
    <xf numFmtId="175" fontId="6" fillId="0" borderId="0" applyProtection="0"/>
    <xf numFmtId="175" fontId="6" fillId="0" borderId="0" applyProtection="0"/>
    <xf numFmtId="175" fontId="6" fillId="0" borderId="0" applyProtection="0"/>
    <xf numFmtId="175" fontId="37" fillId="0" borderId="0" applyProtection="0"/>
    <xf numFmtId="175" fontId="37" fillId="0" borderId="0" applyProtection="0"/>
    <xf numFmtId="175" fontId="37" fillId="0" borderId="0" applyProtection="0"/>
    <xf numFmtId="175" fontId="37" fillId="0" borderId="0" applyProtection="0"/>
    <xf numFmtId="175" fontId="37" fillId="0" borderId="0" applyProtection="0"/>
    <xf numFmtId="175" fontId="37" fillId="0" borderId="0" applyProtection="0"/>
    <xf numFmtId="175" fontId="37" fillId="0" borderId="0" applyProtection="0"/>
    <xf numFmtId="175" fontId="40" fillId="0" borderId="0" applyProtection="0"/>
    <xf numFmtId="175" fontId="40" fillId="0" borderId="0" applyProtection="0"/>
    <xf numFmtId="175" fontId="40" fillId="0" borderId="0" applyProtection="0"/>
    <xf numFmtId="175" fontId="40" fillId="0" borderId="0" applyProtection="0"/>
    <xf numFmtId="175" fontId="40" fillId="0" borderId="0" applyProtection="0"/>
    <xf numFmtId="175" fontId="40" fillId="0" borderId="0" applyProtection="0"/>
    <xf numFmtId="175" fontId="40" fillId="0" borderId="0" applyProtection="0"/>
    <xf numFmtId="2" fontId="6" fillId="0" borderId="0" applyFont="0" applyFill="0" applyBorder="0" applyAlignment="0" applyProtection="0"/>
    <xf numFmtId="175" fontId="41" fillId="53" borderId="0" applyNumberFormat="0" applyBorder="0" applyAlignment="0" applyProtection="0"/>
    <xf numFmtId="175" fontId="41" fillId="53" borderId="0" applyNumberFormat="0" applyBorder="0" applyAlignment="0" applyProtection="0"/>
    <xf numFmtId="175" fontId="41" fillId="53" borderId="0" applyNumberFormat="0" applyBorder="0" applyAlignment="0" applyProtection="0"/>
    <xf numFmtId="175" fontId="41" fillId="53" borderId="0" applyNumberFormat="0" applyBorder="0" applyAlignment="0" applyProtection="0"/>
    <xf numFmtId="175" fontId="41" fillId="53" borderId="0" applyNumberFormat="0" applyBorder="0" applyAlignment="0" applyProtection="0"/>
    <xf numFmtId="175" fontId="42" fillId="18" borderId="0" applyNumberFormat="0" applyBorder="0" applyAlignment="0" applyProtection="0"/>
    <xf numFmtId="175" fontId="42" fillId="18" borderId="0" applyNumberFormat="0" applyBorder="0" applyAlignment="0" applyProtection="0"/>
    <xf numFmtId="175" fontId="42" fillId="18" borderId="0" applyNumberFormat="0" applyBorder="0" applyAlignment="0" applyProtection="0"/>
    <xf numFmtId="175" fontId="43" fillId="18" borderId="0" applyNumberFormat="0" applyBorder="0" applyAlignment="0" applyProtection="0"/>
    <xf numFmtId="175" fontId="43" fillId="18" borderId="0" applyNumberFormat="0" applyBorder="0" applyAlignment="0" applyProtection="0"/>
    <xf numFmtId="175" fontId="41" fillId="57" borderId="0" applyNumberFormat="0" applyBorder="0" applyAlignment="0" applyProtection="0"/>
    <xf numFmtId="175" fontId="43" fillId="18" borderId="0" applyNumberFormat="0" applyBorder="0" applyAlignment="0" applyProtection="0"/>
    <xf numFmtId="175" fontId="41" fillId="57"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175" fontId="41" fillId="57" borderId="0" applyNumberFormat="0" applyBorder="0" applyAlignment="0" applyProtection="0"/>
    <xf numFmtId="175" fontId="41" fillId="57" borderId="0" applyNumberFormat="0" applyBorder="0" applyAlignment="0" applyProtection="0"/>
    <xf numFmtId="175" fontId="41" fillId="57" borderId="0" applyNumberFormat="0" applyBorder="0" applyAlignment="0" applyProtection="0"/>
    <xf numFmtId="0" fontId="42" fillId="18" borderId="0" applyNumberFormat="0" applyBorder="0" applyAlignment="0" applyProtection="0"/>
    <xf numFmtId="175" fontId="41" fillId="57" borderId="0" applyNumberFormat="0" applyBorder="0" applyAlignment="0" applyProtection="0"/>
    <xf numFmtId="175" fontId="41" fillId="57" borderId="0" applyNumberFormat="0" applyBorder="0" applyAlignment="0" applyProtection="0"/>
    <xf numFmtId="175" fontId="41" fillId="57" borderId="0" applyNumberFormat="0" applyBorder="0" applyAlignment="0" applyProtection="0"/>
    <xf numFmtId="175" fontId="43" fillId="18" borderId="0" applyNumberFormat="0" applyBorder="0" applyAlignment="0" applyProtection="0"/>
    <xf numFmtId="175" fontId="43" fillId="18" borderId="0" applyNumberFormat="0" applyBorder="0" applyAlignment="0" applyProtection="0"/>
    <xf numFmtId="175" fontId="43" fillId="18" borderId="0" applyNumberFormat="0" applyBorder="0" applyAlignment="0" applyProtection="0"/>
    <xf numFmtId="175" fontId="43" fillId="18" borderId="0" applyNumberFormat="0" applyBorder="0" applyAlignment="0" applyProtection="0"/>
    <xf numFmtId="175" fontId="43" fillId="18" borderId="0" applyNumberFormat="0" applyBorder="0" applyAlignment="0" applyProtection="0"/>
    <xf numFmtId="175" fontId="43" fillId="18" borderId="0" applyNumberFormat="0" applyBorder="0" applyAlignment="0" applyProtection="0"/>
    <xf numFmtId="175" fontId="41" fillId="57" borderId="0" applyNumberFormat="0" applyBorder="0" applyAlignment="0" applyProtection="0"/>
    <xf numFmtId="175" fontId="41" fillId="57" borderId="0" applyNumberFormat="0" applyBorder="0" applyAlignment="0" applyProtection="0"/>
    <xf numFmtId="175" fontId="41" fillId="53" borderId="0" applyNumberFormat="0" applyBorder="0" applyAlignment="0" applyProtection="0"/>
    <xf numFmtId="175" fontId="41" fillId="53" borderId="0" applyNumberFormat="0" applyBorder="0" applyAlignment="0" applyProtection="0"/>
    <xf numFmtId="175" fontId="41" fillId="53" borderId="0" applyNumberFormat="0" applyBorder="0" applyAlignment="0" applyProtection="0"/>
    <xf numFmtId="175" fontId="41" fillId="53" borderId="0" applyNumberFormat="0" applyBorder="0" applyAlignment="0" applyProtection="0"/>
    <xf numFmtId="175" fontId="41" fillId="53" borderId="0" applyNumberFormat="0" applyBorder="0" applyAlignment="0" applyProtection="0"/>
    <xf numFmtId="175" fontId="44" fillId="0" borderId="20" applyNumberFormat="0" applyFill="0" applyAlignment="0" applyProtection="0"/>
    <xf numFmtId="175" fontId="44" fillId="0" borderId="20" applyNumberFormat="0" applyFill="0" applyAlignment="0" applyProtection="0"/>
    <xf numFmtId="175" fontId="44" fillId="0" borderId="20" applyNumberFormat="0" applyFill="0" applyAlignment="0" applyProtection="0"/>
    <xf numFmtId="175" fontId="44" fillId="0" borderId="20" applyNumberFormat="0" applyFill="0" applyAlignment="0" applyProtection="0"/>
    <xf numFmtId="175" fontId="44" fillId="0" borderId="20" applyNumberFormat="0" applyFill="0" applyAlignment="0" applyProtection="0"/>
    <xf numFmtId="175" fontId="45" fillId="0" borderId="9" applyNumberFormat="0" applyFill="0" applyAlignment="0" applyProtection="0"/>
    <xf numFmtId="175" fontId="45" fillId="0" borderId="9" applyNumberFormat="0" applyFill="0" applyAlignment="0" applyProtection="0"/>
    <xf numFmtId="175" fontId="45" fillId="0" borderId="9" applyNumberFormat="0" applyFill="0" applyAlignment="0" applyProtection="0"/>
    <xf numFmtId="175" fontId="13" fillId="0" borderId="9" applyNumberFormat="0" applyFill="0" applyAlignment="0" applyProtection="0"/>
    <xf numFmtId="175" fontId="13" fillId="0" borderId="9" applyNumberFormat="0" applyFill="0" applyAlignment="0" applyProtection="0"/>
    <xf numFmtId="175" fontId="46" fillId="0" borderId="21" applyNumberFormat="0" applyFill="0" applyAlignment="0" applyProtection="0"/>
    <xf numFmtId="175" fontId="13" fillId="0" borderId="9" applyNumberFormat="0" applyFill="0" applyAlignment="0" applyProtection="0"/>
    <xf numFmtId="175" fontId="46" fillId="0" borderId="21" applyNumberFormat="0" applyFill="0" applyAlignment="0" applyProtection="0"/>
    <xf numFmtId="0" fontId="45" fillId="0" borderId="9" applyNumberFormat="0" applyFill="0" applyAlignment="0" applyProtection="0"/>
    <xf numFmtId="0" fontId="45" fillId="0" borderId="9" applyNumberFormat="0" applyFill="0" applyAlignment="0" applyProtection="0"/>
    <xf numFmtId="0" fontId="45" fillId="0" borderId="9" applyNumberFormat="0" applyFill="0" applyAlignment="0" applyProtection="0"/>
    <xf numFmtId="0" fontId="45" fillId="0" borderId="9" applyNumberFormat="0" applyFill="0" applyAlignment="0" applyProtection="0"/>
    <xf numFmtId="175" fontId="46" fillId="0" borderId="21" applyNumberFormat="0" applyFill="0" applyAlignment="0" applyProtection="0"/>
    <xf numFmtId="175" fontId="46" fillId="0" borderId="21" applyNumberFormat="0" applyFill="0" applyAlignment="0" applyProtection="0"/>
    <xf numFmtId="175" fontId="46" fillId="0" borderId="21" applyNumberFormat="0" applyFill="0" applyAlignment="0" applyProtection="0"/>
    <xf numFmtId="0" fontId="45" fillId="0" borderId="9" applyNumberFormat="0" applyFill="0" applyAlignment="0" applyProtection="0"/>
    <xf numFmtId="175" fontId="46" fillId="0" borderId="21" applyNumberFormat="0" applyFill="0" applyAlignment="0" applyProtection="0"/>
    <xf numFmtId="175" fontId="46" fillId="0" borderId="21" applyNumberFormat="0" applyFill="0" applyAlignment="0" applyProtection="0"/>
    <xf numFmtId="175" fontId="46" fillId="0" borderId="21" applyNumberFormat="0" applyFill="0" applyAlignment="0" applyProtection="0"/>
    <xf numFmtId="175" fontId="13" fillId="0" borderId="9" applyNumberFormat="0" applyFill="0" applyAlignment="0" applyProtection="0"/>
    <xf numFmtId="175" fontId="13" fillId="0" borderId="9" applyNumberFormat="0" applyFill="0" applyAlignment="0" applyProtection="0"/>
    <xf numFmtId="175" fontId="13" fillId="0" borderId="9" applyNumberFormat="0" applyFill="0" applyAlignment="0" applyProtection="0"/>
    <xf numFmtId="175" fontId="47" fillId="0" borderId="0" applyNumberFormat="0" applyFill="0" applyBorder="0" applyAlignment="0" applyProtection="0"/>
    <xf numFmtId="175" fontId="47" fillId="0" borderId="0" applyNumberFormat="0" applyFill="0" applyBorder="0" applyAlignment="0" applyProtection="0"/>
    <xf numFmtId="175" fontId="13" fillId="0" borderId="9" applyNumberFormat="0" applyFill="0" applyAlignment="0" applyProtection="0"/>
    <xf numFmtId="175" fontId="13" fillId="0" borderId="9" applyNumberFormat="0" applyFill="0" applyAlignment="0" applyProtection="0"/>
    <xf numFmtId="175" fontId="13" fillId="0" borderId="9" applyNumberFormat="0" applyFill="0" applyAlignment="0" applyProtection="0"/>
    <xf numFmtId="175" fontId="46" fillId="0" borderId="21" applyNumberFormat="0" applyFill="0" applyAlignment="0" applyProtection="0"/>
    <xf numFmtId="175" fontId="46" fillId="0" borderId="21" applyNumberFormat="0" applyFill="0" applyAlignment="0" applyProtection="0"/>
    <xf numFmtId="175" fontId="44" fillId="0" borderId="20" applyNumberFormat="0" applyFill="0" applyAlignment="0" applyProtection="0"/>
    <xf numFmtId="175" fontId="44" fillId="0" borderId="20" applyNumberFormat="0" applyFill="0" applyAlignment="0" applyProtection="0"/>
    <xf numFmtId="175" fontId="44" fillId="0" borderId="20" applyNumberFormat="0" applyFill="0" applyAlignment="0" applyProtection="0"/>
    <xf numFmtId="175" fontId="44" fillId="0" borderId="20" applyNumberFormat="0" applyFill="0" applyAlignment="0" applyProtection="0"/>
    <xf numFmtId="175" fontId="44" fillId="0" borderId="20" applyNumberFormat="0" applyFill="0" applyAlignment="0" applyProtection="0"/>
    <xf numFmtId="175" fontId="48" fillId="0" borderId="22" applyNumberFormat="0" applyFill="0" applyAlignment="0" applyProtection="0"/>
    <xf numFmtId="175" fontId="48" fillId="0" borderId="22" applyNumberFormat="0" applyFill="0" applyAlignment="0" applyProtection="0"/>
    <xf numFmtId="175" fontId="48" fillId="0" borderId="22" applyNumberFormat="0" applyFill="0" applyAlignment="0" applyProtection="0"/>
    <xf numFmtId="175" fontId="48" fillId="0" borderId="22" applyNumberFormat="0" applyFill="0" applyAlignment="0" applyProtection="0"/>
    <xf numFmtId="175" fontId="48" fillId="0" borderId="22" applyNumberFormat="0" applyFill="0" applyAlignment="0" applyProtection="0"/>
    <xf numFmtId="175" fontId="49" fillId="0" borderId="10" applyNumberFormat="0" applyFill="0" applyAlignment="0" applyProtection="0"/>
    <xf numFmtId="175" fontId="49" fillId="0" borderId="10" applyNumberFormat="0" applyFill="0" applyAlignment="0" applyProtection="0"/>
    <xf numFmtId="175" fontId="49" fillId="0" borderId="10" applyNumberFormat="0" applyFill="0" applyAlignment="0" applyProtection="0"/>
    <xf numFmtId="175" fontId="14" fillId="0" borderId="10" applyNumberFormat="0" applyFill="0" applyAlignment="0" applyProtection="0"/>
    <xf numFmtId="175" fontId="14" fillId="0" borderId="10" applyNumberFormat="0" applyFill="0" applyAlignment="0" applyProtection="0"/>
    <xf numFmtId="175" fontId="50" fillId="0" borderId="23" applyNumberFormat="0" applyFill="0" applyAlignment="0" applyProtection="0"/>
    <xf numFmtId="175" fontId="14" fillId="0" borderId="10" applyNumberFormat="0" applyFill="0" applyAlignment="0" applyProtection="0"/>
    <xf numFmtId="175" fontId="50" fillId="0" borderId="23" applyNumberFormat="0" applyFill="0" applyAlignment="0" applyProtection="0"/>
    <xf numFmtId="0" fontId="49" fillId="0" borderId="10" applyNumberFormat="0" applyFill="0" applyAlignment="0" applyProtection="0"/>
    <xf numFmtId="0" fontId="49" fillId="0" borderId="10" applyNumberFormat="0" applyFill="0" applyAlignment="0" applyProtection="0"/>
    <xf numFmtId="0" fontId="49" fillId="0" borderId="10" applyNumberFormat="0" applyFill="0" applyAlignment="0" applyProtection="0"/>
    <xf numFmtId="0" fontId="49" fillId="0" borderId="10" applyNumberFormat="0" applyFill="0" applyAlignment="0" applyProtection="0"/>
    <xf numFmtId="175" fontId="50" fillId="0" borderId="23" applyNumberFormat="0" applyFill="0" applyAlignment="0" applyProtection="0"/>
    <xf numFmtId="175" fontId="50" fillId="0" borderId="23" applyNumberFormat="0" applyFill="0" applyAlignment="0" applyProtection="0"/>
    <xf numFmtId="175" fontId="50" fillId="0" borderId="23" applyNumberFormat="0" applyFill="0" applyAlignment="0" applyProtection="0"/>
    <xf numFmtId="0" fontId="49" fillId="0" borderId="10" applyNumberFormat="0" applyFill="0" applyAlignment="0" applyProtection="0"/>
    <xf numFmtId="175" fontId="50" fillId="0" borderId="23" applyNumberFormat="0" applyFill="0" applyAlignment="0" applyProtection="0"/>
    <xf numFmtId="175" fontId="50" fillId="0" borderId="23" applyNumberFormat="0" applyFill="0" applyAlignment="0" applyProtection="0"/>
    <xf numFmtId="175" fontId="50" fillId="0" borderId="23" applyNumberFormat="0" applyFill="0" applyAlignment="0" applyProtection="0"/>
    <xf numFmtId="175" fontId="14" fillId="0" borderId="10" applyNumberFormat="0" applyFill="0" applyAlignment="0" applyProtection="0"/>
    <xf numFmtId="175" fontId="14" fillId="0" borderId="10" applyNumberFormat="0" applyFill="0" applyAlignment="0" applyProtection="0"/>
    <xf numFmtId="175" fontId="14" fillId="0" borderId="10" applyNumberFormat="0" applyFill="0" applyAlignment="0" applyProtection="0"/>
    <xf numFmtId="175" fontId="51" fillId="0" borderId="0" applyNumberFormat="0" applyFill="0" applyBorder="0" applyAlignment="0" applyProtection="0"/>
    <xf numFmtId="175" fontId="51" fillId="0" borderId="0" applyNumberFormat="0" applyFill="0" applyBorder="0" applyAlignment="0" applyProtection="0"/>
    <xf numFmtId="175" fontId="14" fillId="0" borderId="10" applyNumberFormat="0" applyFill="0" applyAlignment="0" applyProtection="0"/>
    <xf numFmtId="175" fontId="14" fillId="0" borderId="10" applyNumberFormat="0" applyFill="0" applyAlignment="0" applyProtection="0"/>
    <xf numFmtId="175" fontId="14" fillId="0" borderId="10" applyNumberFormat="0" applyFill="0" applyAlignment="0" applyProtection="0"/>
    <xf numFmtId="175" fontId="50" fillId="0" borderId="23" applyNumberFormat="0" applyFill="0" applyAlignment="0" applyProtection="0"/>
    <xf numFmtId="175" fontId="50" fillId="0" borderId="23" applyNumberFormat="0" applyFill="0" applyAlignment="0" applyProtection="0"/>
    <xf numFmtId="175" fontId="48" fillId="0" borderId="22" applyNumberFormat="0" applyFill="0" applyAlignment="0" applyProtection="0"/>
    <xf numFmtId="175" fontId="48" fillId="0" borderId="22" applyNumberFormat="0" applyFill="0" applyAlignment="0" applyProtection="0"/>
    <xf numFmtId="175" fontId="48" fillId="0" borderId="22" applyNumberFormat="0" applyFill="0" applyAlignment="0" applyProtection="0"/>
    <xf numFmtId="175" fontId="48" fillId="0" borderId="22" applyNumberFormat="0" applyFill="0" applyAlignment="0" applyProtection="0"/>
    <xf numFmtId="175" fontId="48" fillId="0" borderId="22" applyNumberFormat="0" applyFill="0" applyAlignment="0" applyProtection="0"/>
    <xf numFmtId="175" fontId="52" fillId="0" borderId="24" applyNumberFormat="0" applyFill="0" applyAlignment="0" applyProtection="0"/>
    <xf numFmtId="175" fontId="52" fillId="0" borderId="24" applyNumberFormat="0" applyFill="0" applyAlignment="0" applyProtection="0"/>
    <xf numFmtId="175" fontId="52" fillId="0" borderId="24" applyNumberFormat="0" applyFill="0" applyAlignment="0" applyProtection="0"/>
    <xf numFmtId="175" fontId="52" fillId="0" borderId="24" applyNumberFormat="0" applyFill="0" applyAlignment="0" applyProtection="0"/>
    <xf numFmtId="175" fontId="52" fillId="0" borderId="24" applyNumberFormat="0" applyFill="0" applyAlignment="0" applyProtection="0"/>
    <xf numFmtId="175" fontId="53" fillId="0" borderId="11" applyNumberFormat="0" applyFill="0" applyAlignment="0" applyProtection="0"/>
    <xf numFmtId="175" fontId="53" fillId="0" borderId="11" applyNumberFormat="0" applyFill="0" applyAlignment="0" applyProtection="0"/>
    <xf numFmtId="175" fontId="53" fillId="0" borderId="11" applyNumberFormat="0" applyFill="0" applyAlignment="0" applyProtection="0"/>
    <xf numFmtId="175" fontId="15" fillId="0" borderId="11" applyNumberFormat="0" applyFill="0" applyAlignment="0" applyProtection="0"/>
    <xf numFmtId="175" fontId="15" fillId="0" borderId="11" applyNumberFormat="0" applyFill="0" applyAlignment="0" applyProtection="0"/>
    <xf numFmtId="175" fontId="54" fillId="0" borderId="25" applyNumberFormat="0" applyFill="0" applyAlignment="0" applyProtection="0"/>
    <xf numFmtId="175" fontId="15" fillId="0" borderId="11" applyNumberFormat="0" applyFill="0" applyAlignment="0" applyProtection="0"/>
    <xf numFmtId="175" fontId="54" fillId="0" borderId="25" applyNumberFormat="0" applyFill="0" applyAlignment="0" applyProtection="0"/>
    <xf numFmtId="0" fontId="53" fillId="0" borderId="11" applyNumberFormat="0" applyFill="0" applyAlignment="0" applyProtection="0"/>
    <xf numFmtId="0" fontId="53" fillId="0" borderId="11" applyNumberFormat="0" applyFill="0" applyAlignment="0" applyProtection="0"/>
    <xf numFmtId="0" fontId="53" fillId="0" borderId="11" applyNumberFormat="0" applyFill="0" applyAlignment="0" applyProtection="0"/>
    <xf numFmtId="0" fontId="53" fillId="0" borderId="11" applyNumberFormat="0" applyFill="0" applyAlignment="0" applyProtection="0"/>
    <xf numFmtId="175" fontId="54" fillId="0" borderId="25" applyNumberFormat="0" applyFill="0" applyAlignment="0" applyProtection="0"/>
    <xf numFmtId="175" fontId="54" fillId="0" borderId="25" applyNumberFormat="0" applyFill="0" applyAlignment="0" applyProtection="0"/>
    <xf numFmtId="175" fontId="54" fillId="0" borderId="25" applyNumberFormat="0" applyFill="0" applyAlignment="0" applyProtection="0"/>
    <xf numFmtId="0" fontId="53" fillId="0" borderId="11" applyNumberFormat="0" applyFill="0" applyAlignment="0" applyProtection="0"/>
    <xf numFmtId="175" fontId="54" fillId="0" borderId="25" applyNumberFormat="0" applyFill="0" applyAlignment="0" applyProtection="0"/>
    <xf numFmtId="175" fontId="54" fillId="0" borderId="25" applyNumberFormat="0" applyFill="0" applyAlignment="0" applyProtection="0"/>
    <xf numFmtId="175" fontId="54" fillId="0" borderId="25" applyNumberFormat="0" applyFill="0" applyAlignment="0" applyProtection="0"/>
    <xf numFmtId="175" fontId="15" fillId="0" borderId="11" applyNumberFormat="0" applyFill="0" applyAlignment="0" applyProtection="0"/>
    <xf numFmtId="175" fontId="15" fillId="0" borderId="11" applyNumberFormat="0" applyFill="0" applyAlignment="0" applyProtection="0"/>
    <xf numFmtId="175" fontId="15" fillId="0" borderId="11" applyNumberFormat="0" applyFill="0" applyAlignment="0" applyProtection="0"/>
    <xf numFmtId="175" fontId="15" fillId="0" borderId="11" applyNumberFormat="0" applyFill="0" applyAlignment="0" applyProtection="0"/>
    <xf numFmtId="175" fontId="15" fillId="0" borderId="11" applyNumberFormat="0" applyFill="0" applyAlignment="0" applyProtection="0"/>
    <xf numFmtId="175" fontId="15" fillId="0" borderId="11" applyNumberFormat="0" applyFill="0" applyAlignment="0" applyProtection="0"/>
    <xf numFmtId="175" fontId="54" fillId="0" borderId="25" applyNumberFormat="0" applyFill="0" applyAlignment="0" applyProtection="0"/>
    <xf numFmtId="175" fontId="54" fillId="0" borderId="25" applyNumberFormat="0" applyFill="0" applyAlignment="0" applyProtection="0"/>
    <xf numFmtId="175" fontId="52" fillId="0" borderId="24" applyNumberFormat="0" applyFill="0" applyAlignment="0" applyProtection="0"/>
    <xf numFmtId="175" fontId="52" fillId="0" borderId="24" applyNumberFormat="0" applyFill="0" applyAlignment="0" applyProtection="0"/>
    <xf numFmtId="175" fontId="52" fillId="0" borderId="24" applyNumberFormat="0" applyFill="0" applyAlignment="0" applyProtection="0"/>
    <xf numFmtId="175" fontId="52" fillId="0" borderId="24" applyNumberFormat="0" applyFill="0" applyAlignment="0" applyProtection="0"/>
    <xf numFmtId="175" fontId="52" fillId="0" borderId="24" applyNumberFormat="0" applyFill="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15" fillId="0" borderId="0" applyNumberFormat="0" applyFill="0" applyBorder="0" applyAlignment="0" applyProtection="0"/>
    <xf numFmtId="175" fontId="15" fillId="0" borderId="0" applyNumberFormat="0" applyFill="0" applyBorder="0" applyAlignment="0" applyProtection="0"/>
    <xf numFmtId="175" fontId="54" fillId="0" borderId="0" applyNumberFormat="0" applyFill="0" applyBorder="0" applyAlignment="0" applyProtection="0"/>
    <xf numFmtId="175" fontId="15" fillId="0" borderId="0" applyNumberFormat="0" applyFill="0" applyBorder="0" applyAlignment="0" applyProtection="0"/>
    <xf numFmtId="175" fontId="54"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0" fontId="53"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15" fillId="0" borderId="0" applyNumberFormat="0" applyFill="0" applyBorder="0" applyAlignment="0" applyProtection="0"/>
    <xf numFmtId="175" fontId="15" fillId="0" borderId="0" applyNumberFormat="0" applyFill="0" applyBorder="0" applyAlignment="0" applyProtection="0"/>
    <xf numFmtId="175" fontId="15" fillId="0" borderId="0" applyNumberFormat="0" applyFill="0" applyBorder="0" applyAlignment="0" applyProtection="0"/>
    <xf numFmtId="175" fontId="15" fillId="0" borderId="0" applyNumberFormat="0" applyFill="0" applyBorder="0" applyAlignment="0" applyProtection="0"/>
    <xf numFmtId="175" fontId="15" fillId="0" borderId="0" applyNumberFormat="0" applyFill="0" applyBorder="0" applyAlignment="0" applyProtection="0"/>
    <xf numFmtId="175" fontId="15"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5" fillId="56" borderId="18" applyNumberFormat="0" applyAlignment="0" applyProtection="0"/>
    <xf numFmtId="175" fontId="55" fillId="56" borderId="18" applyNumberFormat="0" applyAlignment="0" applyProtection="0"/>
    <xf numFmtId="175" fontId="55" fillId="56" borderId="18" applyNumberFormat="0" applyAlignment="0" applyProtection="0"/>
    <xf numFmtId="175" fontId="55" fillId="56" borderId="18" applyNumberFormat="0" applyAlignment="0" applyProtection="0"/>
    <xf numFmtId="175" fontId="55" fillId="56" borderId="18" applyNumberFormat="0" applyAlignment="0" applyProtection="0"/>
    <xf numFmtId="175" fontId="56" fillId="21" borderId="12" applyNumberFormat="0" applyAlignment="0" applyProtection="0"/>
    <xf numFmtId="175" fontId="56" fillId="21" borderId="12" applyNumberFormat="0" applyAlignment="0" applyProtection="0"/>
    <xf numFmtId="175" fontId="56" fillId="21" borderId="12" applyNumberFormat="0" applyAlignment="0" applyProtection="0"/>
    <xf numFmtId="175" fontId="57" fillId="21" borderId="12" applyNumberFormat="0" applyAlignment="0" applyProtection="0"/>
    <xf numFmtId="175" fontId="57" fillId="21" borderId="12" applyNumberFormat="0" applyAlignment="0" applyProtection="0"/>
    <xf numFmtId="175" fontId="55" fillId="59" borderId="18" applyNumberFormat="0" applyAlignment="0" applyProtection="0"/>
    <xf numFmtId="175" fontId="57" fillId="21" borderId="12" applyNumberFormat="0" applyAlignment="0" applyProtection="0"/>
    <xf numFmtId="175" fontId="55" fillId="59" borderId="18" applyNumberFormat="0" applyAlignment="0" applyProtection="0"/>
    <xf numFmtId="0" fontId="56" fillId="21" borderId="12" applyNumberFormat="0" applyAlignment="0" applyProtection="0"/>
    <xf numFmtId="0" fontId="56" fillId="21" borderId="12" applyNumberFormat="0" applyAlignment="0" applyProtection="0"/>
    <xf numFmtId="0" fontId="56" fillId="21" borderId="12" applyNumberFormat="0" applyAlignment="0" applyProtection="0"/>
    <xf numFmtId="0" fontId="56" fillId="21" borderId="12" applyNumberFormat="0" applyAlignment="0" applyProtection="0"/>
    <xf numFmtId="175" fontId="55" fillId="59" borderId="18" applyNumberFormat="0" applyAlignment="0" applyProtection="0"/>
    <xf numFmtId="175" fontId="55" fillId="59" borderId="18" applyNumberFormat="0" applyAlignment="0" applyProtection="0"/>
    <xf numFmtId="175" fontId="55" fillId="59" borderId="18" applyNumberFormat="0" applyAlignment="0" applyProtection="0"/>
    <xf numFmtId="0" fontId="56" fillId="21" borderId="12" applyNumberFormat="0" applyAlignment="0" applyProtection="0"/>
    <xf numFmtId="175" fontId="55" fillId="59" borderId="18" applyNumberFormat="0" applyAlignment="0" applyProtection="0"/>
    <xf numFmtId="175" fontId="55" fillId="59" borderId="18" applyNumberFormat="0" applyAlignment="0" applyProtection="0"/>
    <xf numFmtId="175" fontId="55" fillId="59" borderId="18" applyNumberFormat="0" applyAlignment="0" applyProtection="0"/>
    <xf numFmtId="175" fontId="57" fillId="21" borderId="12" applyNumberFormat="0" applyAlignment="0" applyProtection="0"/>
    <xf numFmtId="175" fontId="57" fillId="21" borderId="12" applyNumberFormat="0" applyAlignment="0" applyProtection="0"/>
    <xf numFmtId="175" fontId="57" fillId="21" borderId="12" applyNumberFormat="0" applyAlignment="0" applyProtection="0"/>
    <xf numFmtId="175" fontId="57" fillId="21" borderId="12" applyNumberFormat="0" applyAlignment="0" applyProtection="0"/>
    <xf numFmtId="175" fontId="57" fillId="21" borderId="12" applyNumberFormat="0" applyAlignment="0" applyProtection="0"/>
    <xf numFmtId="175" fontId="57" fillId="21" borderId="12" applyNumberFormat="0" applyAlignment="0" applyProtection="0"/>
    <xf numFmtId="175" fontId="55" fillId="59" borderId="18" applyNumberFormat="0" applyAlignment="0" applyProtection="0"/>
    <xf numFmtId="175" fontId="55" fillId="59" borderId="18" applyNumberFormat="0" applyAlignment="0" applyProtection="0"/>
    <xf numFmtId="175" fontId="55" fillId="56" borderId="18" applyNumberFormat="0" applyAlignment="0" applyProtection="0"/>
    <xf numFmtId="175" fontId="55" fillId="56" borderId="18" applyNumberFormat="0" applyAlignment="0" applyProtection="0"/>
    <xf numFmtId="175" fontId="55" fillId="56" borderId="18" applyNumberFormat="0" applyAlignment="0" applyProtection="0"/>
    <xf numFmtId="175" fontId="55" fillId="56" borderId="18" applyNumberFormat="0" applyAlignment="0" applyProtection="0"/>
    <xf numFmtId="175" fontId="55" fillId="56" borderId="18" applyNumberFormat="0" applyAlignment="0" applyProtection="0"/>
    <xf numFmtId="175" fontId="58" fillId="0" borderId="26" applyNumberFormat="0" applyFill="0" applyAlignment="0" applyProtection="0"/>
    <xf numFmtId="175" fontId="58" fillId="0" borderId="26" applyNumberFormat="0" applyFill="0" applyAlignment="0" applyProtection="0"/>
    <xf numFmtId="175" fontId="58" fillId="0" borderId="26" applyNumberFormat="0" applyFill="0" applyAlignment="0" applyProtection="0"/>
    <xf numFmtId="175" fontId="58" fillId="0" borderId="26" applyNumberFormat="0" applyFill="0" applyAlignment="0" applyProtection="0"/>
    <xf numFmtId="175" fontId="58" fillId="0" borderId="26" applyNumberFormat="0" applyFill="0" applyAlignment="0" applyProtection="0"/>
    <xf numFmtId="175" fontId="59" fillId="0" borderId="14" applyNumberFormat="0" applyFill="0" applyAlignment="0" applyProtection="0"/>
    <xf numFmtId="175" fontId="59" fillId="0" borderId="14" applyNumberFormat="0" applyFill="0" applyAlignment="0" applyProtection="0"/>
    <xf numFmtId="175" fontId="59" fillId="0" borderId="14" applyNumberFormat="0" applyFill="0" applyAlignment="0" applyProtection="0"/>
    <xf numFmtId="175" fontId="60" fillId="0" borderId="14" applyNumberFormat="0" applyFill="0" applyAlignment="0" applyProtection="0"/>
    <xf numFmtId="175" fontId="60" fillId="0" borderId="14" applyNumberFormat="0" applyFill="0" applyAlignment="0" applyProtection="0"/>
    <xf numFmtId="175" fontId="61" fillId="0" borderId="27" applyNumberFormat="0" applyFill="0" applyAlignment="0" applyProtection="0"/>
    <xf numFmtId="175" fontId="60" fillId="0" borderId="14" applyNumberFormat="0" applyFill="0" applyAlignment="0" applyProtection="0"/>
    <xf numFmtId="175" fontId="61" fillId="0" borderId="27"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175" fontId="61" fillId="0" borderId="27" applyNumberFormat="0" applyFill="0" applyAlignment="0" applyProtection="0"/>
    <xf numFmtId="175" fontId="61" fillId="0" borderId="27" applyNumberFormat="0" applyFill="0" applyAlignment="0" applyProtection="0"/>
    <xf numFmtId="175" fontId="61" fillId="0" borderId="27" applyNumberFormat="0" applyFill="0" applyAlignment="0" applyProtection="0"/>
    <xf numFmtId="0" fontId="59" fillId="0" borderId="14" applyNumberFormat="0" applyFill="0" applyAlignment="0" applyProtection="0"/>
    <xf numFmtId="175" fontId="61" fillId="0" borderId="27" applyNumberFormat="0" applyFill="0" applyAlignment="0" applyProtection="0"/>
    <xf numFmtId="175" fontId="61" fillId="0" borderId="27" applyNumberFormat="0" applyFill="0" applyAlignment="0" applyProtection="0"/>
    <xf numFmtId="175" fontId="61" fillId="0" borderId="27" applyNumberFormat="0" applyFill="0" applyAlignment="0" applyProtection="0"/>
    <xf numFmtId="175" fontId="60" fillId="0" borderId="14" applyNumberFormat="0" applyFill="0" applyAlignment="0" applyProtection="0"/>
    <xf numFmtId="175" fontId="60" fillId="0" borderId="14" applyNumberFormat="0" applyFill="0" applyAlignment="0" applyProtection="0"/>
    <xf numFmtId="175" fontId="60" fillId="0" borderId="14" applyNumberFormat="0" applyFill="0" applyAlignment="0" applyProtection="0"/>
    <xf numFmtId="175" fontId="60" fillId="0" borderId="14" applyNumberFormat="0" applyFill="0" applyAlignment="0" applyProtection="0"/>
    <xf numFmtId="175" fontId="60" fillId="0" borderId="14" applyNumberFormat="0" applyFill="0" applyAlignment="0" applyProtection="0"/>
    <xf numFmtId="175" fontId="60" fillId="0" borderId="14" applyNumberFormat="0" applyFill="0" applyAlignment="0" applyProtection="0"/>
    <xf numFmtId="175" fontId="61" fillId="0" borderId="27" applyNumberFormat="0" applyFill="0" applyAlignment="0" applyProtection="0"/>
    <xf numFmtId="175" fontId="61" fillId="0" borderId="27" applyNumberFormat="0" applyFill="0" applyAlignment="0" applyProtection="0"/>
    <xf numFmtId="175" fontId="58" fillId="0" borderId="26" applyNumberFormat="0" applyFill="0" applyAlignment="0" applyProtection="0"/>
    <xf numFmtId="175" fontId="58" fillId="0" borderId="26" applyNumberFormat="0" applyFill="0" applyAlignment="0" applyProtection="0"/>
    <xf numFmtId="175" fontId="58" fillId="0" borderId="26" applyNumberFormat="0" applyFill="0" applyAlignment="0" applyProtection="0"/>
    <xf numFmtId="175" fontId="58" fillId="0" borderId="26" applyNumberFormat="0" applyFill="0" applyAlignment="0" applyProtection="0"/>
    <xf numFmtId="175" fontId="58" fillId="0" borderId="26" applyNumberFormat="0" applyFill="0" applyAlignment="0" applyProtection="0"/>
    <xf numFmtId="175" fontId="62" fillId="59" borderId="0" applyNumberFormat="0" applyBorder="0" applyAlignment="0" applyProtection="0"/>
    <xf numFmtId="175" fontId="62" fillId="59" borderId="0" applyNumberFormat="0" applyBorder="0" applyAlignment="0" applyProtection="0"/>
    <xf numFmtId="175" fontId="62" fillId="59" borderId="0" applyNumberFormat="0" applyBorder="0" applyAlignment="0" applyProtection="0"/>
    <xf numFmtId="175" fontId="62" fillId="59" borderId="0" applyNumberFormat="0" applyBorder="0" applyAlignment="0" applyProtection="0"/>
    <xf numFmtId="175" fontId="62" fillId="59" borderId="0" applyNumberFormat="0" applyBorder="0" applyAlignment="0" applyProtection="0"/>
    <xf numFmtId="175" fontId="63" fillId="20" borderId="0" applyNumberFormat="0" applyBorder="0" applyAlignment="0" applyProtection="0"/>
    <xf numFmtId="175" fontId="63" fillId="20" borderId="0" applyNumberFormat="0" applyBorder="0" applyAlignment="0" applyProtection="0"/>
    <xf numFmtId="175" fontId="63" fillId="20" borderId="0" applyNumberFormat="0" applyBorder="0" applyAlignment="0" applyProtection="0"/>
    <xf numFmtId="175" fontId="64" fillId="20" borderId="0" applyNumberFormat="0" applyBorder="0" applyAlignment="0" applyProtection="0"/>
    <xf numFmtId="175" fontId="64" fillId="20" borderId="0" applyNumberFormat="0" applyBorder="0" applyAlignment="0" applyProtection="0"/>
    <xf numFmtId="175" fontId="65" fillId="59" borderId="0" applyNumberFormat="0" applyBorder="0" applyAlignment="0" applyProtection="0"/>
    <xf numFmtId="175" fontId="64" fillId="20" borderId="0" applyNumberFormat="0" applyBorder="0" applyAlignment="0" applyProtection="0"/>
    <xf numFmtId="175" fontId="65" fillId="59" borderId="0" applyNumberFormat="0" applyBorder="0" applyAlignment="0" applyProtection="0"/>
    <xf numFmtId="0" fontId="63" fillId="20" borderId="0" applyNumberFormat="0" applyBorder="0" applyAlignment="0" applyProtection="0"/>
    <xf numFmtId="0" fontId="63" fillId="20" borderId="0" applyNumberFormat="0" applyBorder="0" applyAlignment="0" applyProtection="0"/>
    <xf numFmtId="0" fontId="63" fillId="20" borderId="0" applyNumberFormat="0" applyBorder="0" applyAlignment="0" applyProtection="0"/>
    <xf numFmtId="0" fontId="63" fillId="20" borderId="0" applyNumberFormat="0" applyBorder="0" applyAlignment="0" applyProtection="0"/>
    <xf numFmtId="175" fontId="65" fillId="59" borderId="0" applyNumberFormat="0" applyBorder="0" applyAlignment="0" applyProtection="0"/>
    <xf numFmtId="175" fontId="65" fillId="59" borderId="0" applyNumberFormat="0" applyBorder="0" applyAlignment="0" applyProtection="0"/>
    <xf numFmtId="175" fontId="65" fillId="59" borderId="0" applyNumberFormat="0" applyBorder="0" applyAlignment="0" applyProtection="0"/>
    <xf numFmtId="0" fontId="63" fillId="20" borderId="0" applyNumberFormat="0" applyBorder="0" applyAlignment="0" applyProtection="0"/>
    <xf numFmtId="175" fontId="65" fillId="59" borderId="0" applyNumberFormat="0" applyBorder="0" applyAlignment="0" applyProtection="0"/>
    <xf numFmtId="175" fontId="65" fillId="59" borderId="0" applyNumberFormat="0" applyBorder="0" applyAlignment="0" applyProtection="0"/>
    <xf numFmtId="175" fontId="65" fillId="59" borderId="0" applyNumberFormat="0" applyBorder="0" applyAlignment="0" applyProtection="0"/>
    <xf numFmtId="175" fontId="64" fillId="20" borderId="0" applyNumberFormat="0" applyBorder="0" applyAlignment="0" applyProtection="0"/>
    <xf numFmtId="175" fontId="64" fillId="20" borderId="0" applyNumberFormat="0" applyBorder="0" applyAlignment="0" applyProtection="0"/>
    <xf numFmtId="175" fontId="64" fillId="20" borderId="0" applyNumberFormat="0" applyBorder="0" applyAlignment="0" applyProtection="0"/>
    <xf numFmtId="175" fontId="64" fillId="20" borderId="0" applyNumberFormat="0" applyBorder="0" applyAlignment="0" applyProtection="0"/>
    <xf numFmtId="175" fontId="64" fillId="20" borderId="0" applyNumberFormat="0" applyBorder="0" applyAlignment="0" applyProtection="0"/>
    <xf numFmtId="175" fontId="64" fillId="20" borderId="0" applyNumberFormat="0" applyBorder="0" applyAlignment="0" applyProtection="0"/>
    <xf numFmtId="175" fontId="65" fillId="59" borderId="0" applyNumberFormat="0" applyBorder="0" applyAlignment="0" applyProtection="0"/>
    <xf numFmtId="175" fontId="65" fillId="59" borderId="0" applyNumberFormat="0" applyBorder="0" applyAlignment="0" applyProtection="0"/>
    <xf numFmtId="175" fontId="62" fillId="59" borderId="0" applyNumberFormat="0" applyBorder="0" applyAlignment="0" applyProtection="0"/>
    <xf numFmtId="175" fontId="62" fillId="59" borderId="0" applyNumberFormat="0" applyBorder="0" applyAlignment="0" applyProtection="0"/>
    <xf numFmtId="175" fontId="62" fillId="59" borderId="0" applyNumberFormat="0" applyBorder="0" applyAlignment="0" applyProtection="0"/>
    <xf numFmtId="175" fontId="62" fillId="59" borderId="0" applyNumberFormat="0" applyBorder="0" applyAlignment="0" applyProtection="0"/>
    <xf numFmtId="175" fontId="62" fillId="59" borderId="0" applyNumberFormat="0" applyBorder="0" applyAlignment="0" applyProtection="0"/>
    <xf numFmtId="175" fontId="6" fillId="0" borderId="0"/>
    <xf numFmtId="175" fontId="6" fillId="0" borderId="0"/>
    <xf numFmtId="175" fontId="6" fillId="0" borderId="0"/>
    <xf numFmtId="175" fontId="6" fillId="0" borderId="0"/>
    <xf numFmtId="175" fontId="6" fillId="0" borderId="0"/>
    <xf numFmtId="175" fontId="6" fillId="0" borderId="0"/>
    <xf numFmtId="175" fontId="6" fillId="0" borderId="0"/>
    <xf numFmtId="175" fontId="6" fillId="0" borderId="0"/>
    <xf numFmtId="175" fontId="6" fillId="0" borderId="0"/>
    <xf numFmtId="175" fontId="6" fillId="0" borderId="0"/>
    <xf numFmtId="175" fontId="6" fillId="0" borderId="0"/>
    <xf numFmtId="175" fontId="6" fillId="0" borderId="0"/>
    <xf numFmtId="175" fontId="6" fillId="0" borderId="0"/>
    <xf numFmtId="175" fontId="6" fillId="0" borderId="0"/>
    <xf numFmtId="175" fontId="6" fillId="0" borderId="0"/>
    <xf numFmtId="175" fontId="6" fillId="0" borderId="0"/>
    <xf numFmtId="175" fontId="6" fillId="0" borderId="0"/>
    <xf numFmtId="175" fontId="6" fillId="0" borderId="0"/>
    <xf numFmtId="175" fontId="6" fillId="0" borderId="0"/>
    <xf numFmtId="175" fontId="6" fillId="0" borderId="0"/>
    <xf numFmtId="175" fontId="6" fillId="0" borderId="0"/>
    <xf numFmtId="175" fontId="6" fillId="0" borderId="0"/>
    <xf numFmtId="175" fontId="6" fillId="0" borderId="0"/>
    <xf numFmtId="175" fontId="6" fillId="0" borderId="0"/>
    <xf numFmtId="175" fontId="6" fillId="0" borderId="0"/>
    <xf numFmtId="175" fontId="6" fillId="0" borderId="0"/>
    <xf numFmtId="175" fontId="6" fillId="0" borderId="0"/>
    <xf numFmtId="41" fontId="18" fillId="0" borderId="0"/>
    <xf numFmtId="0" fontId="10" fillId="0" borderId="0"/>
    <xf numFmtId="0" fontId="10" fillId="0" borderId="0"/>
    <xf numFmtId="0" fontId="10" fillId="0" borderId="0"/>
    <xf numFmtId="0" fontId="10" fillId="0" borderId="0"/>
    <xf numFmtId="0" fontId="10" fillId="0" borderId="0"/>
    <xf numFmtId="175" fontId="6" fillId="0" borderId="0"/>
    <xf numFmtId="175" fontId="6" fillId="0" borderId="0"/>
    <xf numFmtId="175" fontId="6" fillId="0" borderId="0"/>
    <xf numFmtId="41" fontId="18" fillId="0" borderId="0"/>
    <xf numFmtId="41" fontId="18" fillId="0" borderId="0"/>
    <xf numFmtId="41" fontId="18" fillId="0" borderId="0"/>
    <xf numFmtId="175" fontId="6" fillId="0" borderId="0"/>
    <xf numFmtId="175" fontId="6" fillId="0" borderId="0"/>
    <xf numFmtId="175" fontId="6" fillId="0" borderId="0"/>
    <xf numFmtId="175" fontId="6" fillId="0" borderId="0"/>
    <xf numFmtId="175" fontId="6" fillId="0" borderId="0"/>
    <xf numFmtId="175" fontId="6" fillId="0" borderId="0"/>
    <xf numFmtId="175" fontId="6" fillId="0" borderId="0"/>
    <xf numFmtId="175" fontId="10" fillId="0" borderId="0"/>
    <xf numFmtId="175" fontId="10" fillId="0" borderId="0"/>
    <xf numFmtId="175" fontId="10" fillId="0" borderId="0"/>
    <xf numFmtId="175" fontId="10" fillId="0" borderId="0"/>
    <xf numFmtId="175" fontId="10" fillId="0" borderId="0"/>
    <xf numFmtId="175" fontId="6" fillId="0" borderId="0"/>
    <xf numFmtId="175" fontId="6" fillId="0" borderId="0"/>
    <xf numFmtId="175" fontId="6" fillId="0" borderId="0"/>
    <xf numFmtId="175" fontId="6" fillId="0" borderId="0"/>
    <xf numFmtId="175" fontId="6" fillId="0" borderId="0"/>
    <xf numFmtId="175" fontId="6" fillId="0" borderId="0"/>
    <xf numFmtId="175" fontId="6" fillId="0" borderId="0"/>
    <xf numFmtId="175" fontId="20" fillId="0" borderId="0"/>
    <xf numFmtId="175" fontId="6" fillId="0" borderId="0"/>
    <xf numFmtId="175" fontId="66" fillId="0" borderId="0"/>
    <xf numFmtId="175" fontId="66" fillId="0" borderId="0"/>
    <xf numFmtId="175" fontId="66" fillId="0" borderId="0"/>
    <xf numFmtId="175" fontId="66" fillId="0" borderId="0"/>
    <xf numFmtId="175" fontId="66" fillId="0" borderId="0"/>
    <xf numFmtId="175" fontId="66" fillId="0" borderId="0"/>
    <xf numFmtId="175" fontId="66" fillId="0" borderId="0"/>
    <xf numFmtId="175" fontId="66" fillId="0" borderId="0"/>
    <xf numFmtId="175" fontId="66" fillId="0" borderId="0"/>
    <xf numFmtId="175" fontId="66" fillId="0" borderId="0"/>
    <xf numFmtId="175" fontId="66" fillId="0" borderId="0"/>
    <xf numFmtId="175" fontId="66" fillId="0" borderId="0"/>
    <xf numFmtId="175" fontId="66" fillId="0" borderId="0"/>
    <xf numFmtId="175" fontId="66" fillId="0" borderId="0"/>
    <xf numFmtId="175" fontId="66" fillId="0" borderId="0"/>
    <xf numFmtId="175" fontId="66" fillId="0" borderId="0"/>
    <xf numFmtId="175" fontId="66" fillId="0" borderId="0"/>
    <xf numFmtId="175" fontId="20" fillId="0" borderId="0"/>
    <xf numFmtId="41" fontId="18" fillId="0" borderId="0"/>
    <xf numFmtId="41" fontId="18" fillId="0" borderId="0"/>
    <xf numFmtId="41" fontId="18" fillId="0" borderId="0"/>
    <xf numFmtId="41" fontId="18" fillId="0" borderId="0"/>
    <xf numFmtId="41" fontId="18" fillId="0" borderId="0"/>
    <xf numFmtId="175" fontId="20" fillId="0" borderId="0"/>
    <xf numFmtId="175" fontId="20" fillId="0" borderId="0"/>
    <xf numFmtId="175" fontId="6" fillId="0" borderId="0"/>
    <xf numFmtId="41" fontId="18" fillId="0" borderId="0"/>
    <xf numFmtId="41" fontId="18" fillId="0" borderId="0"/>
    <xf numFmtId="41" fontId="18" fillId="0" borderId="0"/>
    <xf numFmtId="41" fontId="18" fillId="0" borderId="0"/>
    <xf numFmtId="41" fontId="18" fillId="0" borderId="0"/>
    <xf numFmtId="41" fontId="18" fillId="0" borderId="0"/>
    <xf numFmtId="175" fontId="6" fillId="0" borderId="0"/>
    <xf numFmtId="175" fontId="6" fillId="0" borderId="0"/>
    <xf numFmtId="175" fontId="6" fillId="0" borderId="0"/>
    <xf numFmtId="175" fontId="6" fillId="0" borderId="0"/>
    <xf numFmtId="175" fontId="6" fillId="0" borderId="0"/>
    <xf numFmtId="175" fontId="6" fillId="0" borderId="0"/>
    <xf numFmtId="175" fontId="6" fillId="0" borderId="0"/>
    <xf numFmtId="175" fontId="20" fillId="0" borderId="0"/>
    <xf numFmtId="175" fontId="20" fillId="0" borderId="0"/>
    <xf numFmtId="175" fontId="20" fillId="0" borderId="0"/>
    <xf numFmtId="175" fontId="20" fillId="0" borderId="0"/>
    <xf numFmtId="175" fontId="20" fillId="0" borderId="0"/>
    <xf numFmtId="175" fontId="20" fillId="0" borderId="0"/>
    <xf numFmtId="175" fontId="20" fillId="0" borderId="0"/>
    <xf numFmtId="175" fontId="20" fillId="0" borderId="0"/>
    <xf numFmtId="175" fontId="7" fillId="54" borderId="28" applyNumberFormat="0" applyFont="0" applyAlignment="0" applyProtection="0"/>
    <xf numFmtId="175" fontId="7" fillId="54" borderId="28" applyNumberFormat="0" applyFont="0" applyAlignment="0" applyProtection="0"/>
    <xf numFmtId="175" fontId="7" fillId="54" borderId="28" applyNumberFormat="0" applyFont="0" applyAlignment="0" applyProtection="0"/>
    <xf numFmtId="175" fontId="7" fillId="54" borderId="28" applyNumberFormat="0" applyFont="0" applyAlignment="0" applyProtection="0"/>
    <xf numFmtId="175" fontId="7" fillId="54" borderId="28" applyNumberFormat="0" applyFont="0" applyAlignment="0" applyProtection="0"/>
    <xf numFmtId="175" fontId="7" fillId="54" borderId="28" applyNumberFormat="0" applyFont="0" applyAlignment="0" applyProtection="0"/>
    <xf numFmtId="175" fontId="7" fillId="54" borderId="28" applyNumberFormat="0" applyFont="0" applyAlignment="0" applyProtection="0"/>
    <xf numFmtId="175" fontId="7" fillId="54" borderId="28" applyNumberFormat="0" applyFont="0" applyAlignment="0" applyProtection="0"/>
    <xf numFmtId="175" fontId="7" fillId="54" borderId="28" applyNumberFormat="0" applyFont="0" applyAlignment="0" applyProtection="0"/>
    <xf numFmtId="175" fontId="7" fillId="54" borderId="28" applyNumberFormat="0" applyFont="0" applyAlignment="0" applyProtection="0"/>
    <xf numFmtId="175" fontId="68" fillId="54" borderId="28" applyNumberFormat="0" applyFont="0" applyAlignment="0" applyProtection="0"/>
    <xf numFmtId="175" fontId="68" fillId="54" borderId="28" applyNumberFormat="0" applyFont="0" applyAlignment="0" applyProtection="0"/>
    <xf numFmtId="175" fontId="68" fillId="54" borderId="28" applyNumberFormat="0" applyFont="0" applyAlignment="0" applyProtection="0"/>
    <xf numFmtId="175" fontId="10" fillId="24" borderId="16" applyNumberFormat="0" applyFont="0" applyAlignment="0" applyProtection="0"/>
    <xf numFmtId="175" fontId="10" fillId="24" borderId="16" applyNumberFormat="0" applyFont="0" applyAlignment="0" applyProtection="0"/>
    <xf numFmtId="175" fontId="10" fillId="24" borderId="16" applyNumberFormat="0" applyFont="0" applyAlignment="0" applyProtection="0"/>
    <xf numFmtId="175" fontId="10" fillId="24" borderId="16" applyNumberFormat="0" applyFont="0" applyAlignment="0" applyProtection="0"/>
    <xf numFmtId="175" fontId="10" fillId="24" borderId="16" applyNumberFormat="0" applyFont="0" applyAlignment="0" applyProtection="0"/>
    <xf numFmtId="175" fontId="10" fillId="24" borderId="16" applyNumberFormat="0" applyFont="0" applyAlignment="0" applyProtection="0"/>
    <xf numFmtId="175" fontId="10" fillId="24" borderId="16" applyNumberFormat="0" applyFont="0" applyAlignment="0" applyProtection="0"/>
    <xf numFmtId="175" fontId="10" fillId="24" borderId="16" applyNumberFormat="0" applyFont="0" applyAlignment="0" applyProtection="0"/>
    <xf numFmtId="175" fontId="10" fillId="24" borderId="16" applyNumberFormat="0" applyFont="0" applyAlignment="0" applyProtection="0"/>
    <xf numFmtId="175" fontId="10" fillId="24" borderId="16" applyNumberFormat="0" applyFont="0" applyAlignment="0" applyProtection="0"/>
    <xf numFmtId="175" fontId="20" fillId="24" borderId="16" applyNumberFormat="0" applyFont="0" applyAlignment="0" applyProtection="0"/>
    <xf numFmtId="175" fontId="10" fillId="24" borderId="16" applyNumberFormat="0" applyFont="0" applyAlignment="0" applyProtection="0"/>
    <xf numFmtId="175" fontId="10" fillId="24" borderId="16" applyNumberFormat="0" applyFont="0" applyAlignment="0" applyProtection="0"/>
    <xf numFmtId="175" fontId="10" fillId="24" borderId="16" applyNumberFormat="0" applyFont="0" applyAlignment="0" applyProtection="0"/>
    <xf numFmtId="175" fontId="10" fillId="24" borderId="16" applyNumberFormat="0" applyFont="0" applyAlignment="0" applyProtection="0"/>
    <xf numFmtId="175" fontId="10" fillId="24" borderId="16" applyNumberFormat="0" applyFont="0" applyAlignment="0" applyProtection="0"/>
    <xf numFmtId="175" fontId="20" fillId="24" borderId="16" applyNumberFormat="0" applyFont="0" applyAlignment="0" applyProtection="0"/>
    <xf numFmtId="175" fontId="20" fillId="24" borderId="16" applyNumberFormat="0" applyFont="0" applyAlignment="0" applyProtection="0"/>
    <xf numFmtId="0" fontId="10" fillId="24" borderId="16" applyNumberFormat="0" applyFont="0" applyAlignment="0" applyProtection="0"/>
    <xf numFmtId="175" fontId="20" fillId="24" borderId="16" applyNumberFormat="0" applyFont="0" applyAlignment="0" applyProtection="0"/>
    <xf numFmtId="175" fontId="20" fillId="24" borderId="16" applyNumberFormat="0" applyFont="0" applyAlignment="0" applyProtection="0"/>
    <xf numFmtId="175" fontId="20" fillId="24" borderId="16" applyNumberFormat="0" applyFont="0" applyAlignment="0" applyProtection="0"/>
    <xf numFmtId="175" fontId="20" fillId="24" borderId="16" applyNumberFormat="0" applyFont="0" applyAlignment="0" applyProtection="0"/>
    <xf numFmtId="175" fontId="20" fillId="24" borderId="16" applyNumberFormat="0" applyFont="0" applyAlignment="0" applyProtection="0"/>
    <xf numFmtId="175" fontId="20" fillId="24" borderId="16" applyNumberFormat="0" applyFont="0" applyAlignment="0" applyProtection="0"/>
    <xf numFmtId="175" fontId="20" fillId="24" borderId="16" applyNumberFormat="0" applyFont="0" applyAlignment="0" applyProtection="0"/>
    <xf numFmtId="175" fontId="20" fillId="24" borderId="16" applyNumberFormat="0" applyFont="0" applyAlignment="0" applyProtection="0"/>
    <xf numFmtId="175" fontId="20" fillId="24" borderId="16" applyNumberFormat="0" applyFont="0" applyAlignment="0" applyProtection="0"/>
    <xf numFmtId="175" fontId="20" fillId="24" borderId="16" applyNumberFormat="0" applyFont="0" applyAlignment="0" applyProtection="0"/>
    <xf numFmtId="175" fontId="20" fillId="24" borderId="16" applyNumberFormat="0" applyFont="0" applyAlignment="0" applyProtection="0"/>
    <xf numFmtId="175" fontId="20" fillId="24" borderId="16" applyNumberFormat="0" applyFont="0" applyAlignment="0" applyProtection="0"/>
    <xf numFmtId="175" fontId="20" fillId="24" borderId="16" applyNumberFormat="0" applyFont="0" applyAlignment="0" applyProtection="0"/>
    <xf numFmtId="175" fontId="20" fillId="24" borderId="16" applyNumberFormat="0" applyFont="0" applyAlignment="0" applyProtection="0"/>
    <xf numFmtId="175" fontId="20" fillId="24" borderId="16" applyNumberFormat="0" applyFont="0" applyAlignment="0" applyProtection="0"/>
    <xf numFmtId="175" fontId="20" fillId="24" borderId="16" applyNumberFormat="0" applyFont="0" applyAlignment="0" applyProtection="0"/>
    <xf numFmtId="175" fontId="20" fillId="24" borderId="16" applyNumberFormat="0" applyFont="0" applyAlignment="0" applyProtection="0"/>
    <xf numFmtId="175" fontId="20" fillId="24" borderId="16" applyNumberFormat="0" applyFont="0" applyAlignment="0" applyProtection="0"/>
    <xf numFmtId="175" fontId="20" fillId="24" borderId="16" applyNumberFormat="0" applyFont="0" applyAlignment="0" applyProtection="0"/>
    <xf numFmtId="175" fontId="20" fillId="24" borderId="16" applyNumberFormat="0" applyFont="0" applyAlignment="0" applyProtection="0"/>
    <xf numFmtId="175" fontId="20" fillId="24" borderId="16" applyNumberFormat="0" applyFont="0" applyAlignment="0" applyProtection="0"/>
    <xf numFmtId="175" fontId="7" fillId="54" borderId="28" applyNumberFormat="0" applyFont="0" applyAlignment="0" applyProtection="0"/>
    <xf numFmtId="175" fontId="7" fillId="54" borderId="28" applyNumberFormat="0" applyFont="0" applyAlignment="0" applyProtection="0"/>
    <xf numFmtId="175" fontId="7" fillId="54" borderId="28" applyNumberFormat="0" applyFont="0" applyAlignment="0" applyProtection="0"/>
    <xf numFmtId="175" fontId="7" fillId="54" borderId="28" applyNumberFormat="0" applyFont="0" applyAlignment="0" applyProtection="0"/>
    <xf numFmtId="175" fontId="7" fillId="54" borderId="28" applyNumberFormat="0" applyFont="0" applyAlignment="0" applyProtection="0"/>
    <xf numFmtId="175" fontId="69" fillId="71" borderId="29" applyNumberFormat="0" applyAlignment="0" applyProtection="0"/>
    <xf numFmtId="175" fontId="69" fillId="71" borderId="29" applyNumberFormat="0" applyAlignment="0" applyProtection="0"/>
    <xf numFmtId="175" fontId="69" fillId="71" borderId="29" applyNumberFormat="0" applyAlignment="0" applyProtection="0"/>
    <xf numFmtId="175" fontId="69" fillId="71" borderId="29" applyNumberFormat="0" applyAlignment="0" applyProtection="0"/>
    <xf numFmtId="175" fontId="69" fillId="71" borderId="29" applyNumberFormat="0" applyAlignment="0" applyProtection="0"/>
    <xf numFmtId="175" fontId="70" fillId="22" borderId="13" applyNumberFormat="0" applyAlignment="0" applyProtection="0"/>
    <xf numFmtId="175" fontId="70" fillId="22" borderId="13" applyNumberFormat="0" applyAlignment="0" applyProtection="0"/>
    <xf numFmtId="175" fontId="70" fillId="22" borderId="13" applyNumberFormat="0" applyAlignment="0" applyProtection="0"/>
    <xf numFmtId="175" fontId="71" fillId="22" borderId="13" applyNumberFormat="0" applyAlignment="0" applyProtection="0"/>
    <xf numFmtId="175" fontId="71" fillId="22" borderId="13" applyNumberFormat="0" applyAlignment="0" applyProtection="0"/>
    <xf numFmtId="175" fontId="69" fillId="72" borderId="29" applyNumberFormat="0" applyAlignment="0" applyProtection="0"/>
    <xf numFmtId="175" fontId="71" fillId="22" borderId="13" applyNumberFormat="0" applyAlignment="0" applyProtection="0"/>
    <xf numFmtId="175" fontId="69" fillId="72" borderId="29" applyNumberFormat="0" applyAlignment="0" applyProtection="0"/>
    <xf numFmtId="0" fontId="70" fillId="22" borderId="13" applyNumberFormat="0" applyAlignment="0" applyProtection="0"/>
    <xf numFmtId="0" fontId="70" fillId="22" borderId="13" applyNumberFormat="0" applyAlignment="0" applyProtection="0"/>
    <xf numFmtId="0" fontId="70" fillId="22" borderId="13" applyNumberFormat="0" applyAlignment="0" applyProtection="0"/>
    <xf numFmtId="0" fontId="70" fillId="22" borderId="13" applyNumberFormat="0" applyAlignment="0" applyProtection="0"/>
    <xf numFmtId="175" fontId="69" fillId="72" borderId="29" applyNumberFormat="0" applyAlignment="0" applyProtection="0"/>
    <xf numFmtId="175" fontId="69" fillId="72" borderId="29" applyNumberFormat="0" applyAlignment="0" applyProtection="0"/>
    <xf numFmtId="175" fontId="69" fillId="72" borderId="29" applyNumberFormat="0" applyAlignment="0" applyProtection="0"/>
    <xf numFmtId="0" fontId="70" fillId="22" borderId="13" applyNumberFormat="0" applyAlignment="0" applyProtection="0"/>
    <xf numFmtId="175" fontId="69" fillId="72" borderId="29" applyNumberFormat="0" applyAlignment="0" applyProtection="0"/>
    <xf numFmtId="175" fontId="69" fillId="72" borderId="29" applyNumberFormat="0" applyAlignment="0" applyProtection="0"/>
    <xf numFmtId="175" fontId="69" fillId="72" borderId="29" applyNumberFormat="0" applyAlignment="0" applyProtection="0"/>
    <xf numFmtId="175" fontId="71" fillId="22" borderId="13" applyNumberFormat="0" applyAlignment="0" applyProtection="0"/>
    <xf numFmtId="175" fontId="71" fillId="22" borderId="13" applyNumberFormat="0" applyAlignment="0" applyProtection="0"/>
    <xf numFmtId="175" fontId="71" fillId="22" borderId="13" applyNumberFormat="0" applyAlignment="0" applyProtection="0"/>
    <xf numFmtId="175" fontId="71" fillId="22" borderId="13" applyNumberFormat="0" applyAlignment="0" applyProtection="0"/>
    <xf numFmtId="175" fontId="71" fillId="22" borderId="13" applyNumberFormat="0" applyAlignment="0" applyProtection="0"/>
    <xf numFmtId="175" fontId="71" fillId="22" borderId="13" applyNumberFormat="0" applyAlignment="0" applyProtection="0"/>
    <xf numFmtId="175" fontId="69" fillId="72" borderId="29" applyNumberFormat="0" applyAlignment="0" applyProtection="0"/>
    <xf numFmtId="175" fontId="69" fillId="72" borderId="29" applyNumberFormat="0" applyAlignment="0" applyProtection="0"/>
    <xf numFmtId="175" fontId="69" fillId="71" borderId="29" applyNumberFormat="0" applyAlignment="0" applyProtection="0"/>
    <xf numFmtId="175" fontId="69" fillId="71" borderId="29" applyNumberFormat="0" applyAlignment="0" applyProtection="0"/>
    <xf numFmtId="175" fontId="69" fillId="71" borderId="29" applyNumberFormat="0" applyAlignment="0" applyProtection="0"/>
    <xf numFmtId="175" fontId="69" fillId="71" borderId="29" applyNumberFormat="0" applyAlignment="0" applyProtection="0"/>
    <xf numFmtId="175" fontId="69" fillId="71" borderId="29" applyNumberFormat="0" applyAlignment="0" applyProtection="0"/>
    <xf numFmtId="4" fontId="67" fillId="74" borderId="0">
      <alignment horizontal="right"/>
    </xf>
    <xf numFmtId="175" fontId="72" fillId="74" borderId="0">
      <alignment horizontal="center" vertical="center"/>
    </xf>
    <xf numFmtId="175" fontId="72" fillId="74" borderId="0">
      <alignment horizontal="center" vertical="center"/>
    </xf>
    <xf numFmtId="175" fontId="72" fillId="74" borderId="0">
      <alignment horizontal="center" vertical="center"/>
    </xf>
    <xf numFmtId="175" fontId="72" fillId="74" borderId="0">
      <alignment horizontal="center" vertical="center"/>
    </xf>
    <xf numFmtId="175" fontId="72" fillId="74" borderId="0">
      <alignment horizontal="center" vertical="center"/>
    </xf>
    <xf numFmtId="175" fontId="72" fillId="74" borderId="0">
      <alignment horizontal="center" vertical="center"/>
    </xf>
    <xf numFmtId="175" fontId="72" fillId="74" borderId="0">
      <alignment horizontal="center" vertical="center"/>
    </xf>
    <xf numFmtId="175" fontId="73" fillId="74" borderId="5"/>
    <xf numFmtId="175" fontId="73" fillId="74" borderId="5"/>
    <xf numFmtId="175" fontId="73" fillId="74" borderId="5"/>
    <xf numFmtId="175" fontId="73" fillId="74" borderId="5"/>
    <xf numFmtId="175" fontId="73" fillId="74" borderId="5"/>
    <xf numFmtId="175" fontId="73" fillId="74" borderId="5"/>
    <xf numFmtId="175" fontId="73" fillId="74" borderId="5"/>
    <xf numFmtId="175" fontId="72" fillId="74" borderId="0" applyBorder="0">
      <alignment horizontal="centerContinuous"/>
    </xf>
    <xf numFmtId="175" fontId="72" fillId="74" borderId="0" applyBorder="0">
      <alignment horizontal="centerContinuous"/>
    </xf>
    <xf numFmtId="175" fontId="72" fillId="74" borderId="0" applyBorder="0">
      <alignment horizontal="centerContinuous"/>
    </xf>
    <xf numFmtId="175" fontId="72" fillId="74" borderId="0" applyBorder="0">
      <alignment horizontal="centerContinuous"/>
    </xf>
    <xf numFmtId="175" fontId="72" fillId="74" borderId="0" applyBorder="0">
      <alignment horizontal="centerContinuous"/>
    </xf>
    <xf numFmtId="175" fontId="72" fillId="74" borderId="0" applyBorder="0">
      <alignment horizontal="centerContinuous"/>
    </xf>
    <xf numFmtId="175" fontId="72" fillId="74" borderId="0" applyBorder="0">
      <alignment horizontal="centerContinuous"/>
    </xf>
    <xf numFmtId="175" fontId="74" fillId="74" borderId="0" applyBorder="0">
      <alignment horizontal="centerContinuous"/>
    </xf>
    <xf numFmtId="175" fontId="74" fillId="74" borderId="0" applyBorder="0">
      <alignment horizontal="centerContinuous"/>
    </xf>
    <xf numFmtId="175" fontId="74" fillId="74" borderId="0" applyBorder="0">
      <alignment horizontal="centerContinuous"/>
    </xf>
    <xf numFmtId="175" fontId="74" fillId="74" borderId="0" applyBorder="0">
      <alignment horizontal="centerContinuous"/>
    </xf>
    <xf numFmtId="175" fontId="74" fillId="74" borderId="0" applyBorder="0">
      <alignment horizontal="centerContinuous"/>
    </xf>
    <xf numFmtId="175" fontId="74" fillId="74" borderId="0" applyBorder="0">
      <alignment horizontal="centerContinuous"/>
    </xf>
    <xf numFmtId="175" fontId="74" fillId="74" borderId="0" applyBorder="0">
      <alignment horizontal="centerContinuous"/>
    </xf>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75" fontId="75" fillId="0" borderId="0" applyNumberFormat="0" applyFill="0" applyBorder="0" applyAlignment="0" applyProtection="0"/>
    <xf numFmtId="175" fontId="75" fillId="0" borderId="0" applyNumberFormat="0" applyFill="0" applyBorder="0" applyAlignment="0" applyProtection="0"/>
    <xf numFmtId="175" fontId="75" fillId="0" borderId="0" applyNumberFormat="0" applyFill="0" applyBorder="0" applyAlignment="0" applyProtection="0"/>
    <xf numFmtId="175" fontId="75" fillId="0" borderId="0" applyNumberFormat="0" applyFill="0" applyBorder="0" applyAlignment="0" applyProtection="0"/>
    <xf numFmtId="175" fontId="75" fillId="0" borderId="0" applyNumberFormat="0" applyFill="0" applyBorder="0" applyAlignment="0" applyProtection="0"/>
    <xf numFmtId="175" fontId="12" fillId="0" borderId="0" applyNumberFormat="0" applyFill="0" applyBorder="0" applyAlignment="0" applyProtection="0"/>
    <xf numFmtId="175" fontId="12" fillId="0" borderId="0" applyNumberFormat="0" applyFill="0" applyBorder="0" applyAlignment="0" applyProtection="0"/>
    <xf numFmtId="0" fontId="12" fillId="0" borderId="0" applyNumberFormat="0" applyFill="0" applyBorder="0" applyAlignment="0" applyProtection="0"/>
    <xf numFmtId="175" fontId="12" fillId="0" borderId="0" applyNumberFormat="0" applyFill="0" applyBorder="0" applyAlignment="0" applyProtection="0"/>
    <xf numFmtId="175" fontId="12" fillId="0" borderId="0" applyNumberFormat="0" applyFill="0" applyBorder="0" applyAlignment="0" applyProtection="0"/>
    <xf numFmtId="175" fontId="12" fillId="0" borderId="0" applyNumberFormat="0" applyFill="0" applyBorder="0" applyAlignment="0" applyProtection="0"/>
    <xf numFmtId="175" fontId="12" fillId="0" borderId="0" applyNumberFormat="0" applyFill="0" applyBorder="0" applyAlignment="0" applyProtection="0"/>
    <xf numFmtId="175" fontId="12" fillId="0" borderId="0" applyNumberFormat="0" applyFill="0" applyBorder="0" applyAlignment="0" applyProtection="0"/>
    <xf numFmtId="175" fontId="12" fillId="0" borderId="0" applyNumberFormat="0" applyFill="0" applyBorder="0" applyAlignment="0" applyProtection="0"/>
    <xf numFmtId="175" fontId="76" fillId="0" borderId="0" applyNumberFormat="0" applyFill="0" applyBorder="0" applyAlignment="0" applyProtection="0"/>
    <xf numFmtId="175" fontId="12" fillId="0" borderId="0" applyNumberFormat="0" applyFill="0" applyBorder="0" applyAlignment="0" applyProtection="0"/>
    <xf numFmtId="175" fontId="76" fillId="0" borderId="0" applyNumberFormat="0" applyFill="0" applyBorder="0" applyAlignment="0" applyProtection="0"/>
    <xf numFmtId="175" fontId="76" fillId="0" borderId="0" applyNumberFormat="0" applyFill="0" applyBorder="0" applyAlignment="0" applyProtection="0"/>
    <xf numFmtId="175" fontId="76" fillId="0" borderId="0" applyNumberFormat="0" applyFill="0" applyBorder="0" applyAlignment="0" applyProtection="0"/>
    <xf numFmtId="175" fontId="76" fillId="0" borderId="0" applyNumberFormat="0" applyFill="0" applyBorder="0" applyAlignment="0" applyProtection="0"/>
    <xf numFmtId="175" fontId="76" fillId="0" borderId="0" applyNumberFormat="0" applyFill="0" applyBorder="0" applyAlignment="0" applyProtection="0"/>
    <xf numFmtId="175" fontId="76" fillId="0" borderId="0" applyNumberFormat="0" applyFill="0" applyBorder="0" applyAlignment="0" applyProtection="0"/>
    <xf numFmtId="175" fontId="76" fillId="0" borderId="0" applyNumberFormat="0" applyFill="0" applyBorder="0" applyAlignment="0" applyProtection="0"/>
    <xf numFmtId="175" fontId="12" fillId="0" borderId="0" applyNumberFormat="0" applyFill="0" applyBorder="0" applyAlignment="0" applyProtection="0"/>
    <xf numFmtId="175" fontId="12" fillId="0" borderId="0" applyNumberFormat="0" applyFill="0" applyBorder="0" applyAlignment="0" applyProtection="0"/>
    <xf numFmtId="175"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75" fontId="76" fillId="0" borderId="0" applyNumberFormat="0" applyFill="0" applyBorder="0" applyAlignment="0" applyProtection="0"/>
    <xf numFmtId="175" fontId="76" fillId="0" borderId="0" applyNumberFormat="0" applyFill="0" applyBorder="0" applyAlignment="0" applyProtection="0"/>
    <xf numFmtId="175" fontId="75" fillId="0" borderId="0" applyNumberFormat="0" applyFill="0" applyBorder="0" applyAlignment="0" applyProtection="0"/>
    <xf numFmtId="175" fontId="75" fillId="0" borderId="0" applyNumberFormat="0" applyFill="0" applyBorder="0" applyAlignment="0" applyProtection="0"/>
    <xf numFmtId="175" fontId="75" fillId="0" borderId="0" applyNumberFormat="0" applyFill="0" applyBorder="0" applyAlignment="0" applyProtection="0"/>
    <xf numFmtId="175" fontId="75" fillId="0" borderId="0" applyNumberFormat="0" applyFill="0" applyBorder="0" applyAlignment="0" applyProtection="0"/>
    <xf numFmtId="175" fontId="75" fillId="0" borderId="0" applyNumberFormat="0" applyFill="0" applyBorder="0" applyAlignment="0" applyProtection="0"/>
    <xf numFmtId="175" fontId="77" fillId="0" borderId="30" applyNumberFormat="0" applyFill="0" applyAlignment="0" applyProtection="0"/>
    <xf numFmtId="175" fontId="77" fillId="0" borderId="30" applyNumberFormat="0" applyFill="0" applyAlignment="0" applyProtection="0"/>
    <xf numFmtId="175" fontId="77" fillId="0" borderId="30" applyNumberFormat="0" applyFill="0" applyAlignment="0" applyProtection="0"/>
    <xf numFmtId="175" fontId="77" fillId="0" borderId="30" applyNumberFormat="0" applyFill="0" applyAlignment="0" applyProtection="0"/>
    <xf numFmtId="175" fontId="77" fillId="0" borderId="30" applyNumberFormat="0" applyFill="0" applyAlignment="0" applyProtection="0"/>
    <xf numFmtId="175" fontId="78" fillId="0" borderId="17" applyNumberFormat="0" applyFill="0" applyAlignment="0" applyProtection="0"/>
    <xf numFmtId="175" fontId="78" fillId="0" borderId="17" applyNumberFormat="0" applyFill="0" applyAlignment="0" applyProtection="0"/>
    <xf numFmtId="175" fontId="78" fillId="0" borderId="17" applyNumberFormat="0" applyFill="0" applyAlignment="0" applyProtection="0"/>
    <xf numFmtId="175" fontId="79" fillId="0" borderId="17" applyNumberFormat="0" applyFill="0" applyAlignment="0" applyProtection="0"/>
    <xf numFmtId="175" fontId="79" fillId="0" borderId="17" applyNumberFormat="0" applyFill="0" applyAlignment="0" applyProtection="0"/>
    <xf numFmtId="175" fontId="77" fillId="0" borderId="31" applyNumberFormat="0" applyFill="0" applyAlignment="0" applyProtection="0"/>
    <xf numFmtId="175" fontId="79" fillId="0" borderId="17" applyNumberFormat="0" applyFill="0" applyAlignment="0" applyProtection="0"/>
    <xf numFmtId="175" fontId="77" fillId="0" borderId="31" applyNumberFormat="0" applyFill="0" applyAlignment="0" applyProtection="0"/>
    <xf numFmtId="0" fontId="78" fillId="0" borderId="17" applyNumberFormat="0" applyFill="0" applyAlignment="0" applyProtection="0"/>
    <xf numFmtId="0" fontId="78" fillId="0" borderId="17" applyNumberFormat="0" applyFill="0" applyAlignment="0" applyProtection="0"/>
    <xf numFmtId="0" fontId="78" fillId="0" borderId="17" applyNumberFormat="0" applyFill="0" applyAlignment="0" applyProtection="0"/>
    <xf numFmtId="0" fontId="78" fillId="0" borderId="17" applyNumberFormat="0" applyFill="0" applyAlignment="0" applyProtection="0"/>
    <xf numFmtId="175" fontId="77" fillId="0" borderId="31" applyNumberFormat="0" applyFill="0" applyAlignment="0" applyProtection="0"/>
    <xf numFmtId="175" fontId="77" fillId="0" borderId="31" applyNumberFormat="0" applyFill="0" applyAlignment="0" applyProtection="0"/>
    <xf numFmtId="175" fontId="77" fillId="0" borderId="31" applyNumberFormat="0" applyFill="0" applyAlignment="0" applyProtection="0"/>
    <xf numFmtId="0" fontId="78" fillId="0" borderId="17" applyNumberFormat="0" applyFill="0" applyAlignment="0" applyProtection="0"/>
    <xf numFmtId="175" fontId="77" fillId="0" borderId="31" applyNumberFormat="0" applyFill="0" applyAlignment="0" applyProtection="0"/>
    <xf numFmtId="175" fontId="77" fillId="0" borderId="31" applyNumberFormat="0" applyFill="0" applyAlignment="0" applyProtection="0"/>
    <xf numFmtId="175" fontId="77" fillId="0" borderId="31" applyNumberFormat="0" applyFill="0" applyAlignment="0" applyProtection="0"/>
    <xf numFmtId="175" fontId="79" fillId="0" borderId="17" applyNumberFormat="0" applyFill="0" applyAlignment="0" applyProtection="0"/>
    <xf numFmtId="175" fontId="79" fillId="0" borderId="17" applyNumberFormat="0" applyFill="0" applyAlignment="0" applyProtection="0"/>
    <xf numFmtId="175" fontId="79" fillId="0" borderId="17" applyNumberFormat="0" applyFill="0" applyAlignment="0" applyProtection="0"/>
    <xf numFmtId="175" fontId="6" fillId="0" borderId="32" applyNumberFormat="0" applyFont="0" applyFill="0" applyAlignment="0" applyProtection="0"/>
    <xf numFmtId="175" fontId="6" fillId="0" borderId="32" applyNumberFormat="0" applyFont="0" applyFill="0" applyAlignment="0" applyProtection="0"/>
    <xf numFmtId="175" fontId="79" fillId="0" borderId="17" applyNumberFormat="0" applyFill="0" applyAlignment="0" applyProtection="0"/>
    <xf numFmtId="175" fontId="79" fillId="0" borderId="17" applyNumberFormat="0" applyFill="0" applyAlignment="0" applyProtection="0"/>
    <xf numFmtId="175" fontId="79" fillId="0" borderId="17" applyNumberFormat="0" applyFill="0" applyAlignment="0" applyProtection="0"/>
    <xf numFmtId="175" fontId="77" fillId="0" borderId="31" applyNumberFormat="0" applyFill="0" applyAlignment="0" applyProtection="0"/>
    <xf numFmtId="175" fontId="77" fillId="0" borderId="31" applyNumberFormat="0" applyFill="0" applyAlignment="0" applyProtection="0"/>
    <xf numFmtId="175" fontId="77" fillId="0" borderId="30" applyNumberFormat="0" applyFill="0" applyAlignment="0" applyProtection="0"/>
    <xf numFmtId="175" fontId="77" fillId="0" borderId="30" applyNumberFormat="0" applyFill="0" applyAlignment="0" applyProtection="0"/>
    <xf numFmtId="175" fontId="77" fillId="0" borderId="30" applyNumberFormat="0" applyFill="0" applyAlignment="0" applyProtection="0"/>
    <xf numFmtId="175" fontId="77" fillId="0" borderId="30" applyNumberFormat="0" applyFill="0" applyAlignment="0" applyProtection="0"/>
    <xf numFmtId="175" fontId="77" fillId="0" borderId="30" applyNumberFormat="0" applyFill="0" applyAlignment="0" applyProtection="0"/>
    <xf numFmtId="175" fontId="61" fillId="0" borderId="0" applyNumberFormat="0" applyFill="0" applyBorder="0" applyAlignment="0" applyProtection="0"/>
    <xf numFmtId="175" fontId="61" fillId="0" borderId="0" applyNumberFormat="0" applyFill="0" applyBorder="0" applyAlignment="0" applyProtection="0"/>
    <xf numFmtId="175" fontId="61" fillId="0" borderId="0" applyNumberFormat="0" applyFill="0" applyBorder="0" applyAlignment="0" applyProtection="0"/>
    <xf numFmtId="175" fontId="61" fillId="0" borderId="0" applyNumberFormat="0" applyFill="0" applyBorder="0" applyAlignment="0" applyProtection="0"/>
    <xf numFmtId="175" fontId="61" fillId="0" borderId="0" applyNumberFormat="0" applyFill="0" applyBorder="0" applyAlignment="0" applyProtection="0"/>
    <xf numFmtId="175" fontId="80" fillId="0" borderId="0" applyNumberFormat="0" applyFill="0" applyBorder="0" applyAlignment="0" applyProtection="0"/>
    <xf numFmtId="175" fontId="80" fillId="0" borderId="0" applyNumberFormat="0" applyFill="0" applyBorder="0" applyAlignment="0" applyProtection="0"/>
    <xf numFmtId="175" fontId="80" fillId="0" borderId="0" applyNumberFormat="0" applyFill="0" applyBorder="0" applyAlignment="0" applyProtection="0"/>
    <xf numFmtId="175" fontId="81" fillId="0" borderId="0" applyNumberFormat="0" applyFill="0" applyBorder="0" applyAlignment="0" applyProtection="0"/>
    <xf numFmtId="175" fontId="81" fillId="0" borderId="0" applyNumberFormat="0" applyFill="0" applyBorder="0" applyAlignment="0" applyProtection="0"/>
    <xf numFmtId="175" fontId="61" fillId="0" borderId="0" applyNumberFormat="0" applyFill="0" applyBorder="0" applyAlignment="0" applyProtection="0"/>
    <xf numFmtId="175" fontId="81" fillId="0" borderId="0" applyNumberFormat="0" applyFill="0" applyBorder="0" applyAlignment="0" applyProtection="0"/>
    <xf numFmtId="175" fontId="61"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175" fontId="61" fillId="0" borderId="0" applyNumberFormat="0" applyFill="0" applyBorder="0" applyAlignment="0" applyProtection="0"/>
    <xf numFmtId="175" fontId="61" fillId="0" borderId="0" applyNumberFormat="0" applyFill="0" applyBorder="0" applyAlignment="0" applyProtection="0"/>
    <xf numFmtId="175" fontId="61" fillId="0" borderId="0" applyNumberFormat="0" applyFill="0" applyBorder="0" applyAlignment="0" applyProtection="0"/>
    <xf numFmtId="0" fontId="80" fillId="0" borderId="0" applyNumberFormat="0" applyFill="0" applyBorder="0" applyAlignment="0" applyProtection="0"/>
    <xf numFmtId="175" fontId="61" fillId="0" borderId="0" applyNumberFormat="0" applyFill="0" applyBorder="0" applyAlignment="0" applyProtection="0"/>
    <xf numFmtId="175" fontId="61" fillId="0" borderId="0" applyNumberFormat="0" applyFill="0" applyBorder="0" applyAlignment="0" applyProtection="0"/>
    <xf numFmtId="175" fontId="61" fillId="0" borderId="0" applyNumberFormat="0" applyFill="0" applyBorder="0" applyAlignment="0" applyProtection="0"/>
    <xf numFmtId="175" fontId="81" fillId="0" borderId="0" applyNumberFormat="0" applyFill="0" applyBorder="0" applyAlignment="0" applyProtection="0"/>
    <xf numFmtId="175" fontId="81" fillId="0" borderId="0" applyNumberFormat="0" applyFill="0" applyBorder="0" applyAlignment="0" applyProtection="0"/>
    <xf numFmtId="175" fontId="81" fillId="0" borderId="0" applyNumberFormat="0" applyFill="0" applyBorder="0" applyAlignment="0" applyProtection="0"/>
    <xf numFmtId="175" fontId="81" fillId="0" borderId="0" applyNumberFormat="0" applyFill="0" applyBorder="0" applyAlignment="0" applyProtection="0"/>
    <xf numFmtId="175" fontId="81" fillId="0" borderId="0" applyNumberFormat="0" applyFill="0" applyBorder="0" applyAlignment="0" applyProtection="0"/>
    <xf numFmtId="175" fontId="81" fillId="0" borderId="0" applyNumberFormat="0" applyFill="0" applyBorder="0" applyAlignment="0" applyProtection="0"/>
    <xf numFmtId="175" fontId="61" fillId="0" borderId="0" applyNumberFormat="0" applyFill="0" applyBorder="0" applyAlignment="0" applyProtection="0"/>
    <xf numFmtId="175" fontId="61" fillId="0" borderId="0" applyNumberFormat="0" applyFill="0" applyBorder="0" applyAlignment="0" applyProtection="0"/>
    <xf numFmtId="175" fontId="61" fillId="0" borderId="0" applyNumberFormat="0" applyFill="0" applyBorder="0" applyAlignment="0" applyProtection="0"/>
    <xf numFmtId="175" fontId="61" fillId="0" borderId="0" applyNumberFormat="0" applyFill="0" applyBorder="0" applyAlignment="0" applyProtection="0"/>
    <xf numFmtId="175" fontId="61" fillId="0" borderId="0" applyNumberFormat="0" applyFill="0" applyBorder="0" applyAlignment="0" applyProtection="0"/>
    <xf numFmtId="175" fontId="61" fillId="0" borderId="0" applyNumberFormat="0" applyFill="0" applyBorder="0" applyAlignment="0" applyProtection="0"/>
    <xf numFmtId="175" fontId="61" fillId="0" borderId="0" applyNumberFormat="0" applyFill="0" applyBorder="0" applyAlignment="0" applyProtection="0"/>
    <xf numFmtId="41" fontId="18" fillId="0" borderId="0"/>
    <xf numFmtId="9" fontId="39" fillId="0" borderId="0" applyFont="0" applyFill="0" applyBorder="0" applyAlignment="0" applyProtection="0"/>
    <xf numFmtId="43" fontId="10" fillId="0" borderId="0" applyFont="0" applyFill="0" applyBorder="0" applyAlignment="0" applyProtection="0"/>
    <xf numFmtId="0" fontId="10" fillId="0" borderId="0"/>
    <xf numFmtId="41" fontId="18" fillId="0" borderId="0"/>
    <xf numFmtId="0" fontId="10" fillId="0" borderId="0"/>
    <xf numFmtId="0" fontId="9"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6" fillId="0" borderId="0"/>
    <xf numFmtId="0" fontId="6" fillId="78" borderId="0"/>
    <xf numFmtId="0" fontId="6" fillId="78" borderId="0"/>
    <xf numFmtId="175" fontId="6" fillId="0" borderId="0"/>
    <xf numFmtId="175" fontId="6" fillId="0" borderId="0"/>
    <xf numFmtId="175" fontId="6" fillId="0" borderId="0"/>
    <xf numFmtId="175" fontId="6" fillId="0" borderId="0"/>
    <xf numFmtId="0" fontId="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9"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9" fillId="49" borderId="0" applyNumberFormat="0" applyBorder="0" applyAlignment="0" applyProtection="0"/>
    <xf numFmtId="0" fontId="1" fillId="26" borderId="0" applyNumberFormat="0" applyBorder="0" applyAlignment="0" applyProtection="0"/>
    <xf numFmtId="0" fontId="19" fillId="49" borderId="0" applyNumberFormat="0" applyBorder="0" applyAlignment="0" applyProtection="0"/>
    <xf numFmtId="0" fontId="19"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9"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75" fontId="19"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75" fontId="19"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75" fontId="19"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75" fontId="19"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75" fontId="19"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75" fontId="19"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9"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9"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9" fillId="51" borderId="0" applyNumberFormat="0" applyBorder="0" applyAlignment="0" applyProtection="0"/>
    <xf numFmtId="0" fontId="1" fillId="30"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9" fillId="5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5" fontId="19"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5" fontId="19"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5" fontId="19"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5" fontId="19"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5" fontId="19"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5" fontId="19"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9"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9" fillId="5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9" fillId="53" borderId="0" applyNumberFormat="0" applyBorder="0" applyAlignment="0" applyProtection="0"/>
    <xf numFmtId="0" fontId="1" fillId="34"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9"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75" fontId="19" fillId="5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75" fontId="19" fillId="5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75" fontId="19" fillId="5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75" fontId="19" fillId="5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75" fontId="19" fillId="5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75" fontId="19" fillId="5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9" fillId="5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9" fillId="55"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9" fillId="55"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9" fillId="55" borderId="0" applyNumberFormat="0" applyBorder="0" applyAlignment="0" applyProtection="0"/>
    <xf numFmtId="0" fontId="1" fillId="38"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9" fillId="56"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175" fontId="19" fillId="55"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175" fontId="19" fillId="55"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75" fontId="19" fillId="55"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75" fontId="19" fillId="55"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75" fontId="19" fillId="55"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75" fontId="19" fillId="55"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9" fillId="55"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9" fillId="57"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9" fillId="57" borderId="0" applyNumberFormat="0" applyBorder="0" applyAlignment="0" applyProtection="0"/>
    <xf numFmtId="0" fontId="1" fillId="42" borderId="0" applyNumberFormat="0" applyBorder="0" applyAlignment="0" applyProtection="0"/>
    <xf numFmtId="0" fontId="19" fillId="57" borderId="0" applyNumberFormat="0" applyBorder="0" applyAlignment="0" applyProtection="0"/>
    <xf numFmtId="0" fontId="19" fillId="57"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9" fillId="57"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75" fontId="19" fillId="57"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75" fontId="19" fillId="57"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75" fontId="19" fillId="57"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75" fontId="19" fillId="57"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75" fontId="19" fillId="57"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75" fontId="19" fillId="57"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9" fillId="57"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9" fillId="5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9" fillId="56" borderId="0" applyNumberFormat="0" applyBorder="0" applyAlignment="0" applyProtection="0"/>
    <xf numFmtId="0" fontId="1" fillId="4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9" fillId="5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175" fontId="19" fillId="5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175" fontId="19" fillId="5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175" fontId="19" fillId="5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175" fontId="19" fillId="5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175" fontId="19" fillId="5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175" fontId="19" fillId="5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9"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9" fillId="5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9" fillId="50" borderId="0" applyNumberFormat="0" applyBorder="0" applyAlignment="0" applyProtection="0"/>
    <xf numFmtId="0" fontId="1" fillId="27" borderId="0" applyNumberFormat="0" applyBorder="0" applyAlignment="0" applyProtection="0"/>
    <xf numFmtId="0" fontId="19" fillId="50" borderId="0" applyNumberFormat="0" applyBorder="0" applyAlignment="0" applyProtection="0"/>
    <xf numFmtId="0" fontId="19" fillId="5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9" fillId="5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75" fontId="19" fillId="5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75" fontId="19" fillId="5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75" fontId="19" fillId="5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75" fontId="19" fillId="5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75" fontId="19" fillId="5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75" fontId="19" fillId="5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9"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9" fillId="5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9" fillId="52" borderId="0" applyNumberFormat="0" applyBorder="0" applyAlignment="0" applyProtection="0"/>
    <xf numFmtId="0" fontId="1" fillId="31"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9" fillId="5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5" fontId="19" fillId="5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5" fontId="19" fillId="5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5" fontId="19" fillId="5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5" fontId="19" fillId="5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5" fontId="19" fillId="5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5" fontId="19" fillId="5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9" fillId="52"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9" fillId="58"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9" fillId="58" borderId="0" applyNumberFormat="0" applyBorder="0" applyAlignment="0" applyProtection="0"/>
    <xf numFmtId="0" fontId="1" fillId="35" borderId="0" applyNumberFormat="0" applyBorder="0" applyAlignment="0" applyProtection="0"/>
    <xf numFmtId="0" fontId="19" fillId="58" borderId="0" applyNumberFormat="0" applyBorder="0" applyAlignment="0" applyProtection="0"/>
    <xf numFmtId="0" fontId="19" fillId="58"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9" fillId="59"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75" fontId="19" fillId="58"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75" fontId="19" fillId="58"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75" fontId="19" fillId="58"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75" fontId="19" fillId="58"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75" fontId="19" fillId="58"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75" fontId="19" fillId="58"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9" fillId="5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9" fillId="5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9" fillId="55" borderId="0" applyNumberFormat="0" applyBorder="0" applyAlignment="0" applyProtection="0"/>
    <xf numFmtId="0" fontId="1" fillId="39"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9" fillId="5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75" fontId="19" fillId="5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75" fontId="19" fillId="5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75" fontId="19" fillId="5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75" fontId="19" fillId="5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75" fontId="19" fillId="5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75" fontId="19" fillId="5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9" fillId="5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9" fillId="5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9" fillId="50" borderId="0" applyNumberFormat="0" applyBorder="0" applyAlignment="0" applyProtection="0"/>
    <xf numFmtId="0" fontId="1" fillId="43" borderId="0" applyNumberFormat="0" applyBorder="0" applyAlignment="0" applyProtection="0"/>
    <xf numFmtId="0" fontId="19" fillId="50" borderId="0" applyNumberFormat="0" applyBorder="0" applyAlignment="0" applyProtection="0"/>
    <xf numFmtId="0" fontId="19" fillId="5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9" fillId="5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75" fontId="19" fillId="5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75" fontId="19" fillId="5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75" fontId="19" fillId="5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75" fontId="19" fillId="5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75" fontId="19" fillId="5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75" fontId="19" fillId="5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9" fillId="5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9" fillId="6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9" fillId="60" borderId="0" applyNumberFormat="0" applyBorder="0" applyAlignment="0" applyProtection="0"/>
    <xf numFmtId="0" fontId="1" fillId="47"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9" fillId="54"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175" fontId="19" fillId="6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175" fontId="19" fillId="6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175" fontId="19" fillId="6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175" fontId="19" fillId="6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175" fontId="19" fillId="6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175" fontId="19" fillId="6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9" fillId="60" borderId="0" applyNumberFormat="0" applyBorder="0" applyAlignment="0" applyProtection="0"/>
    <xf numFmtId="0" fontId="21" fillId="61" borderId="0" applyNumberFormat="0" applyBorder="0" applyAlignment="0" applyProtection="0"/>
    <xf numFmtId="175" fontId="21" fillId="61" borderId="0" applyNumberFormat="0" applyBorder="0" applyAlignment="0" applyProtection="0"/>
    <xf numFmtId="175" fontId="21" fillId="61" borderId="0" applyNumberFormat="0" applyBorder="0" applyAlignment="0" applyProtection="0"/>
    <xf numFmtId="0" fontId="21" fillId="52" borderId="0" applyNumberFormat="0" applyBorder="0" applyAlignment="0" applyProtection="0"/>
    <xf numFmtId="175" fontId="21" fillId="52" borderId="0" applyNumberFormat="0" applyBorder="0" applyAlignment="0" applyProtection="0"/>
    <xf numFmtId="175" fontId="21" fillId="52" borderId="0" applyNumberFormat="0" applyBorder="0" applyAlignment="0" applyProtection="0"/>
    <xf numFmtId="0" fontId="21" fillId="58" borderId="0" applyNumberFormat="0" applyBorder="0" applyAlignment="0" applyProtection="0"/>
    <xf numFmtId="175" fontId="21" fillId="58" borderId="0" applyNumberFormat="0" applyBorder="0" applyAlignment="0" applyProtection="0"/>
    <xf numFmtId="175" fontId="21" fillId="58" borderId="0" applyNumberFormat="0" applyBorder="0" applyAlignment="0" applyProtection="0"/>
    <xf numFmtId="0" fontId="21" fillId="63" borderId="0" applyNumberFormat="0" applyBorder="0" applyAlignment="0" applyProtection="0"/>
    <xf numFmtId="175" fontId="21" fillId="63" borderId="0" applyNumberFormat="0" applyBorder="0" applyAlignment="0" applyProtection="0"/>
    <xf numFmtId="175" fontId="21" fillId="63" borderId="0" applyNumberFormat="0" applyBorder="0" applyAlignment="0" applyProtection="0"/>
    <xf numFmtId="0" fontId="21" fillId="64" borderId="0" applyNumberFormat="0" applyBorder="0" applyAlignment="0" applyProtection="0"/>
    <xf numFmtId="175" fontId="21" fillId="64" borderId="0" applyNumberFormat="0" applyBorder="0" applyAlignment="0" applyProtection="0"/>
    <xf numFmtId="175" fontId="21" fillId="64" borderId="0" applyNumberFormat="0" applyBorder="0" applyAlignment="0" applyProtection="0"/>
    <xf numFmtId="0" fontId="21" fillId="65" borderId="0" applyNumberFormat="0" applyBorder="0" applyAlignment="0" applyProtection="0"/>
    <xf numFmtId="175" fontId="21" fillId="65" borderId="0" applyNumberFormat="0" applyBorder="0" applyAlignment="0" applyProtection="0"/>
    <xf numFmtId="175" fontId="21" fillId="65" borderId="0" applyNumberFormat="0" applyBorder="0" applyAlignment="0" applyProtection="0"/>
    <xf numFmtId="0" fontId="97" fillId="0" borderId="6" applyBorder="0"/>
    <xf numFmtId="0" fontId="21" fillId="66" borderId="0" applyNumberFormat="0" applyBorder="0" applyAlignment="0" applyProtection="0"/>
    <xf numFmtId="175" fontId="21" fillId="66" borderId="0" applyNumberFormat="0" applyBorder="0" applyAlignment="0" applyProtection="0"/>
    <xf numFmtId="175" fontId="21" fillId="66" borderId="0" applyNumberFormat="0" applyBorder="0" applyAlignment="0" applyProtection="0"/>
    <xf numFmtId="0" fontId="21" fillId="68" borderId="0" applyNumberFormat="0" applyBorder="0" applyAlignment="0" applyProtection="0"/>
    <xf numFmtId="175" fontId="21" fillId="68" borderId="0" applyNumberFormat="0" applyBorder="0" applyAlignment="0" applyProtection="0"/>
    <xf numFmtId="175" fontId="21" fillId="68" borderId="0" applyNumberFormat="0" applyBorder="0" applyAlignment="0" applyProtection="0"/>
    <xf numFmtId="0" fontId="21" fillId="69" borderId="0" applyNumberFormat="0" applyBorder="0" applyAlignment="0" applyProtection="0"/>
    <xf numFmtId="175" fontId="21" fillId="69" borderId="0" applyNumberFormat="0" applyBorder="0" applyAlignment="0" applyProtection="0"/>
    <xf numFmtId="175" fontId="21" fillId="69" borderId="0" applyNumberFormat="0" applyBorder="0" applyAlignment="0" applyProtection="0"/>
    <xf numFmtId="0" fontId="21" fillId="63" borderId="0" applyNumberFormat="0" applyBorder="0" applyAlignment="0" applyProtection="0"/>
    <xf numFmtId="175" fontId="21" fillId="63" borderId="0" applyNumberFormat="0" applyBorder="0" applyAlignment="0" applyProtection="0"/>
    <xf numFmtId="175" fontId="21" fillId="63" borderId="0" applyNumberFormat="0" applyBorder="0" applyAlignment="0" applyProtection="0"/>
    <xf numFmtId="175" fontId="21" fillId="64" borderId="0" applyNumberFormat="0" applyBorder="0" applyAlignment="0" applyProtection="0"/>
    <xf numFmtId="175" fontId="21" fillId="64" borderId="0" applyNumberFormat="0" applyBorder="0" applyAlignment="0" applyProtection="0"/>
    <xf numFmtId="0" fontId="21" fillId="62" borderId="0" applyNumberFormat="0" applyBorder="0" applyAlignment="0" applyProtection="0"/>
    <xf numFmtId="175" fontId="21" fillId="62" borderId="0" applyNumberFormat="0" applyBorder="0" applyAlignment="0" applyProtection="0"/>
    <xf numFmtId="175" fontId="21" fillId="62" borderId="0" applyNumberFormat="0" applyBorder="0" applyAlignment="0" applyProtection="0"/>
    <xf numFmtId="0" fontId="24" fillId="51" borderId="0" applyNumberFormat="0" applyBorder="0" applyAlignment="0" applyProtection="0"/>
    <xf numFmtId="175" fontId="24" fillId="51" borderId="0" applyNumberFormat="0" applyBorder="0" applyAlignment="0" applyProtection="0"/>
    <xf numFmtId="165" fontId="98" fillId="0" borderId="35"/>
    <xf numFmtId="0" fontId="30" fillId="72" borderId="18" applyNumberFormat="0" applyAlignment="0" applyProtection="0"/>
    <xf numFmtId="0" fontId="30" fillId="72" borderId="18" applyNumberFormat="0" applyAlignment="0" applyProtection="0"/>
    <xf numFmtId="0" fontId="27" fillId="71"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27" fillId="71"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27" fillId="71"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27" fillId="71"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27" fillId="71"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170" fontId="29" fillId="22" borderId="12"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170" fontId="29" fillId="22" borderId="12"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27" fillId="71"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28" fillId="22" borderId="12" applyNumberFormat="0" applyAlignment="0" applyProtection="0"/>
    <xf numFmtId="172" fontId="99" fillId="79" borderId="18" applyNumberFormat="0" applyAlignment="0" applyProtection="0"/>
    <xf numFmtId="0" fontId="28" fillId="22" borderId="12"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172" fontId="99" fillId="79" borderId="18" applyNumberFormat="0" applyAlignment="0" applyProtection="0"/>
    <xf numFmtId="175" fontId="27" fillId="71" borderId="18" applyNumberFormat="0" applyAlignment="0" applyProtection="0"/>
    <xf numFmtId="0" fontId="30" fillId="72" borderId="18" applyNumberFormat="0" applyAlignment="0" applyProtection="0"/>
    <xf numFmtId="172" fontId="99" fillId="79"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175" fontId="27" fillId="71"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175" fontId="27" fillId="71"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175" fontId="27" fillId="71"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175" fontId="27" fillId="71"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175" fontId="27" fillId="71"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27" fillId="71"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0" fontId="30" fillId="72" borderId="18" applyNumberFormat="0" applyAlignment="0" applyProtection="0"/>
    <xf numFmtId="175" fontId="31" fillId="73" borderId="19" applyNumberFormat="0" applyAlignment="0" applyProtection="0"/>
    <xf numFmtId="188" fontId="100" fillId="0" borderId="5" applyBorder="0">
      <alignment horizontal="center" vertical="center"/>
    </xf>
    <xf numFmtId="189" fontId="101" fillId="80" borderId="0">
      <alignment horizontal="left"/>
    </xf>
    <xf numFmtId="0" fontId="101" fillId="80" borderId="0">
      <alignment horizontal="left"/>
    </xf>
    <xf numFmtId="0" fontId="101" fillId="80" borderId="0">
      <alignment horizontal="left"/>
    </xf>
    <xf numFmtId="189" fontId="101" fillId="80" borderId="0">
      <alignment horizontal="left"/>
    </xf>
    <xf numFmtId="172" fontId="101" fillId="80" borderId="0">
      <alignment horizontal="left"/>
    </xf>
    <xf numFmtId="189" fontId="102" fillId="80" borderId="0">
      <alignment horizontal="right"/>
    </xf>
    <xf numFmtId="0" fontId="102" fillId="80" borderId="0">
      <alignment horizontal="right"/>
    </xf>
    <xf numFmtId="0" fontId="102" fillId="80" borderId="0">
      <alignment horizontal="right"/>
    </xf>
    <xf numFmtId="189" fontId="102" fillId="80" borderId="0">
      <alignment horizontal="right"/>
    </xf>
    <xf numFmtId="172" fontId="102" fillId="80" borderId="0">
      <alignment horizontal="right"/>
    </xf>
    <xf numFmtId="189" fontId="103" fillId="72" borderId="0">
      <alignment horizontal="center"/>
    </xf>
    <xf numFmtId="0" fontId="103" fillId="72" borderId="0">
      <alignment horizontal="center"/>
    </xf>
    <xf numFmtId="0" fontId="103" fillId="72" borderId="0">
      <alignment horizontal="center"/>
    </xf>
    <xf numFmtId="189" fontId="103" fillId="72" borderId="0">
      <alignment horizontal="center"/>
    </xf>
    <xf numFmtId="172" fontId="103" fillId="72" borderId="0">
      <alignment horizontal="center"/>
    </xf>
    <xf numFmtId="189" fontId="102" fillId="80" borderId="0">
      <alignment horizontal="right"/>
    </xf>
    <xf numFmtId="0" fontId="102" fillId="80" borderId="0">
      <alignment horizontal="right"/>
    </xf>
    <xf numFmtId="0" fontId="102" fillId="80" borderId="0">
      <alignment horizontal="right"/>
    </xf>
    <xf numFmtId="189" fontId="102" fillId="80" borderId="0">
      <alignment horizontal="right"/>
    </xf>
    <xf numFmtId="172" fontId="102" fillId="80" borderId="0">
      <alignment horizontal="right"/>
    </xf>
    <xf numFmtId="189" fontId="104" fillId="72" borderId="0">
      <alignment horizontal="left"/>
    </xf>
    <xf numFmtId="0" fontId="104" fillId="72" borderId="0">
      <alignment horizontal="left"/>
    </xf>
    <xf numFmtId="189" fontId="104" fillId="72" borderId="0">
      <alignment horizontal="left"/>
    </xf>
    <xf numFmtId="172" fontId="104" fillId="72" borderId="0">
      <alignment horizontal="left"/>
    </xf>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6"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1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0" fontId="6" fillId="0" borderId="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06" fillId="0" borderId="0" applyFont="0" applyFill="0" applyBorder="0" applyAlignment="0" applyProtection="0"/>
    <xf numFmtId="43" fontId="6" fillId="0" borderId="0" applyFont="0" applyFill="0" applyBorder="0" applyAlignment="0" applyProtection="0"/>
    <xf numFmtId="43" fontId="10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0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9" fillId="0" borderId="0" applyFont="0" applyFill="0" applyBorder="0" applyAlignment="0" applyProtection="0"/>
    <xf numFmtId="43" fontId="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6" fillId="0" borderId="0" applyFont="0" applyFill="0" applyBorder="0" applyAlignment="0" applyProtection="0"/>
    <xf numFmtId="43" fontId="1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0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05" fillId="0" borderId="0" applyFont="0" applyFill="0" applyBorder="0" applyAlignment="0" applyProtection="0"/>
    <xf numFmtId="3" fontId="108"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81" borderId="0"/>
    <xf numFmtId="3" fontId="6" fillId="0" borderId="0" applyFont="0" applyFill="0" applyBorder="0" applyAlignment="0" applyProtection="0"/>
    <xf numFmtId="3" fontId="6" fillId="81" borderId="0"/>
    <xf numFmtId="3" fontId="6" fillId="0" borderId="0" applyFont="0" applyFill="0" applyBorder="0" applyAlignment="0" applyProtection="0"/>
    <xf numFmtId="3" fontId="108" fillId="0" borderId="0" applyFont="0" applyFill="0" applyBorder="0" applyAlignment="0" applyProtection="0"/>
    <xf numFmtId="3" fontId="6" fillId="0" borderId="0" applyFont="0" applyFill="0" applyBorder="0" applyAlignment="0" applyProtection="0"/>
    <xf numFmtId="3" fontId="6" fillId="81" borderId="0"/>
    <xf numFmtId="3" fontId="6" fillId="81" borderId="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6"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6" fillId="0" borderId="0" applyFont="0" applyFill="0" applyBorder="0" applyAlignment="0" applyProtection="0"/>
    <xf numFmtId="42" fontId="1" fillId="0" borderId="0" applyFont="0" applyFill="0" applyBorder="0" applyAlignment="0" applyProtection="0"/>
    <xf numFmtId="42" fontId="6" fillId="0" borderId="0" applyFont="0" applyFill="0" applyBorder="0" applyAlignment="0" applyProtection="0"/>
    <xf numFmtId="42" fontId="1"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6" fillId="0" borderId="0" applyFont="0" applyFill="0" applyBorder="0" applyAlignment="0" applyProtection="0"/>
    <xf numFmtId="44" fontId="10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06" fillId="0" borderId="0" applyFont="0" applyFill="0" applyBorder="0" applyAlignment="0" applyProtection="0"/>
    <xf numFmtId="44" fontId="106" fillId="0" borderId="0" applyFont="0" applyFill="0" applyBorder="0" applyAlignment="0" applyProtection="0"/>
    <xf numFmtId="44" fontId="10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06"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6" fillId="0" borderId="0" applyFont="0" applyFill="0" applyBorder="0" applyAlignment="0" applyProtection="0"/>
    <xf numFmtId="44" fontId="10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3"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0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0" fontId="109" fillId="0" borderId="0"/>
    <xf numFmtId="0" fontId="109" fillId="0" borderId="38"/>
    <xf numFmtId="172"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72"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58" borderId="39" applyNumberFormat="0" applyFont="0" applyAlignment="0">
      <protection locked="0"/>
    </xf>
    <xf numFmtId="0" fontId="6" fillId="58" borderId="39" applyNumberFormat="0" applyFont="0" applyAlignment="0">
      <protection locked="0"/>
    </xf>
    <xf numFmtId="190" fontId="6" fillId="0" borderId="0" applyFont="0" applyFill="0" applyBorder="0" applyAlignment="0" applyProtection="0"/>
    <xf numFmtId="190" fontId="6" fillId="0" borderId="0" applyFont="0" applyFill="0" applyBorder="0" applyAlignment="0" applyProtection="0"/>
    <xf numFmtId="172"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72"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75" fontId="34" fillId="0" borderId="0" applyNumberFormat="0" applyFill="0" applyBorder="0" applyAlignment="0" applyProtection="0"/>
    <xf numFmtId="0" fontId="37" fillId="0" borderId="0" applyProtection="0"/>
    <xf numFmtId="0" fontId="37" fillId="0" borderId="0" applyProtection="0"/>
    <xf numFmtId="170" fontId="37" fillId="0" borderId="0" applyProtection="0"/>
    <xf numFmtId="170" fontId="37" fillId="0" borderId="0" applyProtection="0"/>
    <xf numFmtId="0" fontId="37" fillId="0" borderId="0" applyProtection="0"/>
    <xf numFmtId="0" fontId="7" fillId="0" borderId="0" applyProtection="0"/>
    <xf numFmtId="0" fontId="7" fillId="0" borderId="0" applyProtection="0"/>
    <xf numFmtId="170" fontId="7" fillId="0" borderId="0" applyProtection="0"/>
    <xf numFmtId="170" fontId="7" fillId="0" borderId="0" applyProtection="0"/>
    <xf numFmtId="0" fontId="7" fillId="0" borderId="0" applyProtection="0"/>
    <xf numFmtId="0" fontId="38" fillId="0" borderId="0" applyProtection="0"/>
    <xf numFmtId="0" fontId="38" fillId="0" borderId="0" applyProtection="0"/>
    <xf numFmtId="170" fontId="38" fillId="0" borderId="0" applyProtection="0"/>
    <xf numFmtId="170" fontId="38" fillId="0" borderId="0" applyProtection="0"/>
    <xf numFmtId="0" fontId="38" fillId="0" borderId="0" applyProtection="0"/>
    <xf numFmtId="0" fontId="39" fillId="0" borderId="0" applyProtection="0"/>
    <xf numFmtId="0" fontId="39" fillId="0" borderId="0" applyProtection="0"/>
    <xf numFmtId="170" fontId="39" fillId="0" borderId="0" applyProtection="0"/>
    <xf numFmtId="170" fontId="39" fillId="0" borderId="0" applyProtection="0"/>
    <xf numFmtId="0" fontId="39" fillId="0" borderId="0" applyProtection="0"/>
    <xf numFmtId="0" fontId="6" fillId="0" borderId="0" applyProtection="0"/>
    <xf numFmtId="0" fontId="6" fillId="0" borderId="0" applyProtection="0"/>
    <xf numFmtId="0" fontId="6" fillId="0" borderId="0" applyProtection="0"/>
    <xf numFmtId="172" fontId="6" fillId="0" borderId="0" applyProtection="0"/>
    <xf numFmtId="0" fontId="6" fillId="0" borderId="0" applyProtection="0"/>
    <xf numFmtId="0" fontId="6" fillId="0" borderId="0" applyProtection="0"/>
    <xf numFmtId="170" fontId="6" fillId="0" borderId="0" applyProtection="0"/>
    <xf numFmtId="170" fontId="6" fillId="0" borderId="0" applyProtection="0"/>
    <xf numFmtId="0" fontId="6" fillId="0" borderId="0" applyProtection="0"/>
    <xf numFmtId="0" fontId="37" fillId="0" borderId="0" applyProtection="0"/>
    <xf numFmtId="0" fontId="37" fillId="0" borderId="0" applyProtection="0"/>
    <xf numFmtId="170" fontId="37" fillId="0" borderId="0" applyProtection="0"/>
    <xf numFmtId="170" fontId="37" fillId="0" borderId="0" applyProtection="0"/>
    <xf numFmtId="0" fontId="37" fillId="0" borderId="0" applyProtection="0"/>
    <xf numFmtId="0" fontId="40" fillId="0" borderId="0" applyProtection="0"/>
    <xf numFmtId="0" fontId="40" fillId="0" borderId="0" applyProtection="0"/>
    <xf numFmtId="170" fontId="40" fillId="0" borderId="0" applyProtection="0"/>
    <xf numFmtId="170" fontId="40" fillId="0" borderId="0" applyProtection="0"/>
    <xf numFmtId="0" fontId="40" fillId="0" borderId="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41" fillId="53" borderId="0" applyNumberFormat="0" applyBorder="0" applyAlignment="0" applyProtection="0"/>
    <xf numFmtId="175" fontId="41" fillId="53" borderId="0" applyNumberFormat="0" applyBorder="0" applyAlignment="0" applyProtection="0"/>
    <xf numFmtId="0" fontId="47" fillId="0" borderId="0" applyNumberFormat="0" applyFill="0" applyBorder="0" applyAlignment="0" applyProtection="0"/>
    <xf numFmtId="189" fontId="110" fillId="0" borderId="0" applyNumberFormat="0" applyFont="0" applyFill="0" applyAlignment="0" applyProtection="0"/>
    <xf numFmtId="0" fontId="44" fillId="0" borderId="20" applyNumberFormat="0" applyFill="0" applyAlignment="0" applyProtection="0"/>
    <xf numFmtId="172" fontId="111" fillId="0" borderId="40" applyNumberFormat="0" applyFill="0" applyAlignment="0" applyProtection="0"/>
    <xf numFmtId="0" fontId="47" fillId="0" borderId="0" applyNumberFormat="0" applyFill="0" applyBorder="0" applyAlignment="0" applyProtection="0"/>
    <xf numFmtId="0" fontId="51" fillId="0" borderId="0" applyNumberFormat="0" applyFill="0" applyBorder="0" applyAlignment="0" applyProtection="0"/>
    <xf numFmtId="189" fontId="39" fillId="0" borderId="0" applyNumberFormat="0" applyFont="0" applyFill="0" applyAlignment="0" applyProtection="0"/>
    <xf numFmtId="0" fontId="48" fillId="0" borderId="22" applyNumberFormat="0" applyFill="0" applyAlignment="0" applyProtection="0"/>
    <xf numFmtId="172" fontId="112" fillId="0" borderId="41" applyNumberFormat="0" applyFill="0" applyAlignment="0" applyProtection="0"/>
    <xf numFmtId="0" fontId="51" fillId="0" borderId="0" applyNumberFormat="0" applyFill="0" applyBorder="0" applyAlignment="0" applyProtection="0"/>
    <xf numFmtId="0" fontId="52" fillId="0" borderId="24" applyNumberFormat="0" applyFill="0" applyAlignment="0" applyProtection="0"/>
    <xf numFmtId="175" fontId="52" fillId="0" borderId="24" applyNumberFormat="0" applyFill="0" applyAlignment="0" applyProtection="0"/>
    <xf numFmtId="175" fontId="52" fillId="0" borderId="24" applyNumberFormat="0" applyFill="0" applyAlignment="0" applyProtection="0"/>
    <xf numFmtId="175" fontId="52" fillId="0" borderId="24" applyNumberFormat="0" applyFill="0" applyAlignment="0" applyProtection="0"/>
    <xf numFmtId="0" fontId="52" fillId="0" borderId="0" applyNumberFormat="0" applyFill="0" applyBorder="0" applyAlignment="0" applyProtection="0"/>
    <xf numFmtId="175" fontId="52" fillId="0" borderId="0" applyNumberFormat="0" applyFill="0" applyBorder="0" applyAlignment="0" applyProtection="0"/>
    <xf numFmtId="189" fontId="113" fillId="0" borderId="0" applyNumberFormat="0" applyFill="0" applyBorder="0" applyAlignment="0" applyProtection="0">
      <alignment vertical="top"/>
      <protection locked="0"/>
    </xf>
    <xf numFmtId="0" fontId="55" fillId="59" borderId="18" applyNumberFormat="0" applyAlignment="0" applyProtection="0"/>
    <xf numFmtId="0" fontId="55" fillId="59" borderId="18" applyNumberFormat="0" applyAlignment="0" applyProtection="0"/>
    <xf numFmtId="0" fontId="55" fillId="56"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6"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6"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6"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6"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170" fontId="57" fillId="21" borderId="12"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170" fontId="57" fillId="21" borderId="12"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6"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6" fillId="21" borderId="12" applyNumberFormat="0" applyAlignment="0" applyProtection="0"/>
    <xf numFmtId="172" fontId="114" fillId="56" borderId="18" applyNumberFormat="0" applyAlignment="0" applyProtection="0"/>
    <xf numFmtId="0" fontId="56" fillId="21" borderId="12"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172" fontId="114" fillId="56" borderId="18" applyNumberFormat="0" applyAlignment="0" applyProtection="0"/>
    <xf numFmtId="175" fontId="55" fillId="56" borderId="18" applyNumberFormat="0" applyAlignment="0" applyProtection="0"/>
    <xf numFmtId="0" fontId="55" fillId="59" borderId="18" applyNumberFormat="0" applyAlignment="0" applyProtection="0"/>
    <xf numFmtId="172" fontId="114" fillId="56"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175" fontId="55" fillId="56"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175" fontId="55" fillId="56"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175" fontId="55" fillId="56"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175" fontId="55" fillId="56"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175" fontId="55" fillId="56"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6"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55" fillId="59" borderId="18" applyNumberFormat="0" applyAlignment="0" applyProtection="0"/>
    <xf numFmtId="0" fontId="115" fillId="82" borderId="38"/>
    <xf numFmtId="189" fontId="101" fillId="80" borderId="0">
      <alignment horizontal="left"/>
    </xf>
    <xf numFmtId="0" fontId="101" fillId="80" borderId="0">
      <alignment horizontal="left"/>
    </xf>
    <xf numFmtId="0" fontId="101" fillId="80" borderId="0">
      <alignment horizontal="left"/>
    </xf>
    <xf numFmtId="189" fontId="101" fillId="80" borderId="0">
      <alignment horizontal="left"/>
    </xf>
    <xf numFmtId="172" fontId="101" fillId="80" borderId="0">
      <alignment horizontal="left"/>
    </xf>
    <xf numFmtId="189" fontId="73" fillId="72" borderId="0">
      <alignment horizontal="left"/>
    </xf>
    <xf numFmtId="0" fontId="73" fillId="72" borderId="0">
      <alignment horizontal="left"/>
    </xf>
    <xf numFmtId="0" fontId="73" fillId="72" borderId="0">
      <alignment horizontal="left"/>
    </xf>
    <xf numFmtId="189" fontId="73" fillId="72" borderId="0">
      <alignment horizontal="left"/>
    </xf>
    <xf numFmtId="0" fontId="73" fillId="72" borderId="0">
      <alignment horizontal="left"/>
    </xf>
    <xf numFmtId="172" fontId="73" fillId="72" borderId="0">
      <alignment horizontal="left"/>
    </xf>
    <xf numFmtId="0" fontId="58" fillId="0" borderId="26" applyNumberFormat="0" applyFill="0" applyAlignment="0" applyProtection="0"/>
    <xf numFmtId="175" fontId="58" fillId="0" borderId="26" applyNumberFormat="0" applyFill="0" applyAlignment="0" applyProtection="0"/>
    <xf numFmtId="192" fontId="6" fillId="0" borderId="0" applyFont="0" applyFill="0" applyBorder="0" applyAlignment="0" applyProtection="0"/>
    <xf numFmtId="193" fontId="6" fillId="0" borderId="0" applyFont="0" applyFill="0" applyBorder="0" applyAlignment="0" applyProtection="0"/>
    <xf numFmtId="194" fontId="6" fillId="0" borderId="0" applyFont="0" applyFill="0" applyBorder="0" applyAlignment="0" applyProtection="0"/>
    <xf numFmtId="195" fontId="6" fillId="0" borderId="0" applyFont="0" applyFill="0" applyBorder="0" applyAlignment="0" applyProtection="0"/>
    <xf numFmtId="0" fontId="62" fillId="59" borderId="0" applyNumberFormat="0" applyBorder="0" applyAlignment="0" applyProtection="0"/>
    <xf numFmtId="175" fontId="62" fillId="59" borderId="0" applyNumberFormat="0" applyBorder="0" applyAlignment="0" applyProtection="0"/>
    <xf numFmtId="196" fontId="6"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6" fillId="0" borderId="0"/>
    <xf numFmtId="172"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175"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175" fontId="6" fillId="0" borderId="0"/>
    <xf numFmtId="0" fontId="1" fillId="0" borderId="0"/>
    <xf numFmtId="0" fontId="1" fillId="0" borderId="0"/>
    <xf numFmtId="175" fontId="6" fillId="0" borderId="0"/>
    <xf numFmtId="175" fontId="6" fillId="0" borderId="0"/>
    <xf numFmtId="0" fontId="106" fillId="0" borderId="0"/>
    <xf numFmtId="0" fontId="106" fillId="0" borderId="0"/>
    <xf numFmtId="189" fontId="6" fillId="0" borderId="0"/>
    <xf numFmtId="0" fontId="106" fillId="0" borderId="0"/>
    <xf numFmtId="172" fontId="6" fillId="0" borderId="0"/>
    <xf numFmtId="175" fontId="6" fillId="0" borderId="0"/>
    <xf numFmtId="175" fontId="6" fillId="0" borderId="0"/>
    <xf numFmtId="175" fontId="6" fillId="0" borderId="0"/>
    <xf numFmtId="175" fontId="6" fillId="0" borderId="0"/>
    <xf numFmtId="175" fontId="6" fillId="0" borderId="0"/>
    <xf numFmtId="175" fontId="6" fillId="0" borderId="0"/>
    <xf numFmtId="0" fontId="6" fillId="0" borderId="0"/>
    <xf numFmtId="175"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6" fillId="0" borderId="0"/>
    <xf numFmtId="0" fontId="1" fillId="0" borderId="0"/>
    <xf numFmtId="0" fontId="1" fillId="0" borderId="0"/>
    <xf numFmtId="0" fontId="1" fillId="0" borderId="0"/>
    <xf numFmtId="0" fontId="1" fillId="0" borderId="0"/>
    <xf numFmtId="0" fontId="1" fillId="0" borderId="0"/>
    <xf numFmtId="0" fontId="106" fillId="0" borderId="0"/>
    <xf numFmtId="172" fontId="6" fillId="0" borderId="0"/>
    <xf numFmtId="175" fontId="6" fillId="0" borderId="0"/>
    <xf numFmtId="0" fontId="6" fillId="0" borderId="0"/>
    <xf numFmtId="175"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175" fontId="6" fillId="0" borderId="0"/>
    <xf numFmtId="175" fontId="6" fillId="0" borderId="0"/>
    <xf numFmtId="175" fontId="6" fillId="0" borderId="0"/>
    <xf numFmtId="0" fontId="6" fillId="0" borderId="0"/>
    <xf numFmtId="175" fontId="6" fillId="0" borderId="0"/>
    <xf numFmtId="175" fontId="6" fillId="0" borderId="0"/>
    <xf numFmtId="175" fontId="6" fillId="0" borderId="0"/>
    <xf numFmtId="175" fontId="6" fillId="0" borderId="0"/>
    <xf numFmtId="175"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175" fontId="6" fillId="0" borderId="0"/>
    <xf numFmtId="175" fontId="6" fillId="0" borderId="0"/>
    <xf numFmtId="189"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6" fillId="0" borderId="0"/>
    <xf numFmtId="0" fontId="1" fillId="0" borderId="0"/>
    <xf numFmtId="0" fontId="1" fillId="0" borderId="0"/>
    <xf numFmtId="0" fontId="1" fillId="0" borderId="0"/>
    <xf numFmtId="0" fontId="1" fillId="0" borderId="0"/>
    <xf numFmtId="0" fontId="1" fillId="0" borderId="0"/>
    <xf numFmtId="0" fontId="1" fillId="0" borderId="0"/>
    <xf numFmtId="175" fontId="6" fillId="0" borderId="0"/>
    <xf numFmtId="175"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6" fillId="0" borderId="0"/>
    <xf numFmtId="0" fontId="1" fillId="0" borderId="0"/>
    <xf numFmtId="0" fontId="6" fillId="0" borderId="0"/>
    <xf numFmtId="0" fontId="6" fillId="0" borderId="0"/>
    <xf numFmtId="0" fontId="1"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6" fillId="0" borderId="0"/>
    <xf numFmtId="175" fontId="6" fillId="0" borderId="0"/>
    <xf numFmtId="0" fontId="18" fillId="0" borderId="0"/>
    <xf numFmtId="0" fontId="6" fillId="0" borderId="0"/>
    <xf numFmtId="0" fontId="6" fillId="0" borderId="0"/>
    <xf numFmtId="0" fontId="1" fillId="0" borderId="0"/>
    <xf numFmtId="0" fontId="1" fillId="0" borderId="0"/>
    <xf numFmtId="0" fontId="1" fillId="0" borderId="0"/>
    <xf numFmtId="175" fontId="6" fillId="0" borderId="0"/>
    <xf numFmtId="0" fontId="1" fillId="0" borderId="0"/>
    <xf numFmtId="0" fontId="1" fillId="0" borderId="0"/>
    <xf numFmtId="0" fontId="1" fillId="0" borderId="0"/>
    <xf numFmtId="0" fontId="1" fillId="0" borderId="0"/>
    <xf numFmtId="0" fontId="1" fillId="0" borderId="0"/>
    <xf numFmtId="0" fontId="1" fillId="0" borderId="0"/>
    <xf numFmtId="175" fontId="6" fillId="0" borderId="0"/>
    <xf numFmtId="175" fontId="6" fillId="0" borderId="0"/>
    <xf numFmtId="0" fontId="20" fillId="0" borderId="0"/>
    <xf numFmtId="0" fontId="1" fillId="0" borderId="0"/>
    <xf numFmtId="0" fontId="1" fillId="0" borderId="0"/>
    <xf numFmtId="0" fontId="1" fillId="0" borderId="0"/>
    <xf numFmtId="175" fontId="66" fillId="0" borderId="0"/>
    <xf numFmtId="175" fontId="6" fillId="0" borderId="0"/>
    <xf numFmtId="0" fontId="1" fillId="0" borderId="0"/>
    <xf numFmtId="0" fontId="1" fillId="0" borderId="0"/>
    <xf numFmtId="0" fontId="1" fillId="0" borderId="0"/>
    <xf numFmtId="175" fontId="66" fillId="0" borderId="0"/>
    <xf numFmtId="175" fontId="66" fillId="0" borderId="0"/>
    <xf numFmtId="175" fontId="66"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6" fillId="0" borderId="0"/>
    <xf numFmtId="37" fontId="11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37" fontId="116" fillId="0" borderId="0"/>
    <xf numFmtId="0" fontId="1" fillId="0" borderId="0"/>
    <xf numFmtId="0" fontId="1" fillId="0" borderId="0"/>
    <xf numFmtId="0" fontId="6" fillId="0" borderId="0"/>
    <xf numFmtId="0" fontId="1" fillId="0" borderId="0"/>
    <xf numFmtId="0" fontId="1" fillId="0" borderId="0"/>
    <xf numFmtId="37" fontId="116"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06" fillId="0" borderId="0"/>
    <xf numFmtId="0" fontId="106" fillId="0" borderId="0"/>
    <xf numFmtId="0" fontId="1" fillId="0" borderId="0"/>
    <xf numFmtId="197" fontId="6" fillId="0" borderId="0"/>
    <xf numFmtId="0" fontId="1" fillId="0" borderId="0"/>
    <xf numFmtId="0" fontId="1" fillId="0" borderId="0"/>
    <xf numFmtId="37" fontId="116" fillId="0" borderId="0"/>
    <xf numFmtId="175" fontId="1" fillId="0" borderId="0"/>
    <xf numFmtId="175" fontId="1" fillId="0" borderId="0"/>
    <xf numFmtId="175" fontId="1" fillId="0" borderId="0"/>
    <xf numFmtId="175" fontId="1" fillId="0" borderId="0"/>
    <xf numFmtId="175" fontId="1" fillId="0" borderId="0"/>
    <xf numFmtId="175" fontId="1" fillId="0" borderId="0"/>
    <xf numFmtId="0" fontId="6" fillId="0" borderId="0"/>
    <xf numFmtId="197" fontId="1" fillId="0" borderId="0"/>
    <xf numFmtId="175" fontId="1" fillId="0" borderId="0"/>
    <xf numFmtId="175" fontId="1" fillId="0" borderId="0"/>
    <xf numFmtId="197" fontId="1" fillId="0" borderId="0"/>
    <xf numFmtId="175" fontId="1" fillId="0" borderId="0"/>
    <xf numFmtId="197" fontId="1" fillId="0" borderId="0"/>
    <xf numFmtId="197" fontId="1" fillId="0" borderId="0"/>
    <xf numFmtId="197"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97"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97" fontId="1" fillId="0" borderId="0"/>
    <xf numFmtId="197"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97"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97" fontId="1" fillId="0" borderId="0"/>
    <xf numFmtId="197" fontId="1" fillId="0" borderId="0"/>
    <xf numFmtId="197"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97"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97" fontId="1" fillId="0" borderId="0"/>
    <xf numFmtId="197"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97"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97" fontId="1" fillId="0" borderId="0"/>
    <xf numFmtId="175" fontId="1" fillId="0" borderId="0"/>
    <xf numFmtId="175" fontId="1" fillId="0" borderId="0"/>
    <xf numFmtId="197" fontId="1" fillId="0" borderId="0"/>
    <xf numFmtId="175" fontId="1" fillId="0" borderId="0"/>
    <xf numFmtId="197" fontId="1" fillId="0" borderId="0"/>
    <xf numFmtId="197"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97"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97" fontId="1" fillId="0" borderId="0"/>
    <xf numFmtId="197"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97"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97" fontId="1" fillId="0" borderId="0"/>
    <xf numFmtId="175" fontId="1" fillId="0" borderId="0"/>
    <xf numFmtId="197" fontId="1" fillId="0" borderId="0"/>
    <xf numFmtId="197"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97"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97" fontId="1" fillId="0" borderId="0"/>
    <xf numFmtId="197"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97"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75" fontId="6" fillId="0" borderId="0"/>
    <xf numFmtId="197" fontId="1" fillId="0" borderId="0"/>
    <xf numFmtId="197" fontId="1" fillId="0" borderId="0"/>
    <xf numFmtId="197" fontId="1" fillId="0" borderId="0"/>
    <xf numFmtId="197" fontId="1" fillId="0" borderId="0"/>
    <xf numFmtId="197" fontId="1" fillId="0" borderId="0"/>
    <xf numFmtId="197" fontId="1" fillId="0" borderId="0"/>
    <xf numFmtId="197" fontId="1" fillId="0" borderId="0"/>
    <xf numFmtId="170" fontId="20" fillId="0" borderId="0"/>
    <xf numFmtId="197" fontId="1" fillId="0" borderId="0"/>
    <xf numFmtId="197" fontId="1" fillId="0" borderId="0"/>
    <xf numFmtId="197" fontId="1" fillId="0" borderId="0"/>
    <xf numFmtId="197" fontId="1" fillId="0" borderId="0"/>
    <xf numFmtId="0" fontId="1" fillId="0" borderId="0"/>
    <xf numFmtId="197" fontId="1" fillId="0" borderId="0"/>
    <xf numFmtId="0" fontId="1" fillId="0" borderId="0"/>
    <xf numFmtId="197" fontId="1" fillId="0" borderId="0"/>
    <xf numFmtId="197" fontId="1" fillId="0" borderId="0"/>
    <xf numFmtId="0" fontId="1" fillId="0" borderId="0"/>
    <xf numFmtId="197" fontId="1" fillId="0" borderId="0"/>
    <xf numFmtId="0" fontId="1" fillId="0" borderId="0"/>
    <xf numFmtId="0" fontId="1" fillId="0" borderId="0"/>
    <xf numFmtId="0" fontId="6" fillId="0" borderId="0"/>
    <xf numFmtId="197" fontId="1" fillId="0" borderId="0"/>
    <xf numFmtId="197" fontId="1" fillId="0" borderId="0"/>
    <xf numFmtId="197" fontId="1" fillId="0" borderId="0"/>
    <xf numFmtId="0" fontId="1" fillId="0" borderId="0"/>
    <xf numFmtId="197" fontId="1" fillId="0" borderId="0"/>
    <xf numFmtId="175" fontId="6" fillId="0" borderId="0"/>
    <xf numFmtId="197" fontId="1" fillId="0" borderId="0"/>
    <xf numFmtId="197" fontId="1" fillId="0" borderId="0"/>
    <xf numFmtId="0" fontId="1" fillId="0" borderId="0"/>
    <xf numFmtId="197" fontId="1" fillId="0" borderId="0"/>
    <xf numFmtId="0" fontId="1" fillId="0" borderId="0"/>
    <xf numFmtId="197" fontId="1" fillId="0" borderId="0"/>
    <xf numFmtId="0" fontId="1" fillId="0" borderId="0"/>
    <xf numFmtId="0" fontId="6"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0" fontId="6" fillId="0" borderId="0"/>
    <xf numFmtId="172" fontId="1" fillId="0" borderId="0"/>
    <xf numFmtId="170" fontId="20"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0"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0"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0"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5" fontId="6"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0" fontId="20"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0"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0"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0"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0" fontId="6" fillId="0" borderId="0"/>
    <xf numFmtId="172" fontId="1" fillId="0" borderId="0"/>
    <xf numFmtId="170" fontId="20"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0" fontId="6"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0" fontId="1" fillId="0" borderId="0"/>
    <xf numFmtId="172" fontId="1" fillId="0" borderId="0"/>
    <xf numFmtId="172" fontId="1" fillId="0" borderId="0"/>
    <xf numFmtId="172"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6" fillId="0" borderId="0"/>
    <xf numFmtId="0" fontId="106" fillId="0" borderId="0"/>
    <xf numFmtId="0" fontId="6" fillId="0" borderId="0"/>
    <xf numFmtId="0" fontId="6" fillId="0" borderId="0"/>
    <xf numFmtId="0" fontId="6" fillId="0" borderId="0"/>
    <xf numFmtId="0" fontId="6" fillId="0" borderId="0"/>
    <xf numFmtId="0" fontId="106"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20"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6" fillId="0" borderId="0"/>
    <xf numFmtId="0" fontId="106" fillId="0" borderId="0"/>
    <xf numFmtId="37" fontId="116" fillId="0" borderId="0"/>
    <xf numFmtId="37" fontId="116" fillId="0" borderId="0"/>
    <xf numFmtId="0" fontId="6" fillId="0" borderId="0"/>
    <xf numFmtId="0" fontId="6" fillId="0" borderId="0"/>
    <xf numFmtId="0" fontId="106" fillId="0" borderId="0"/>
    <xf numFmtId="0" fontId="106" fillId="0" borderId="0"/>
    <xf numFmtId="0" fontId="106" fillId="0" borderId="0"/>
    <xf numFmtId="37" fontId="1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116" fillId="0" borderId="0"/>
    <xf numFmtId="37" fontId="11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6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6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6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6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6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6"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 fillId="0" borderId="0"/>
    <xf numFmtId="0" fontId="1" fillId="24" borderId="16" applyNumberFormat="0" applyFont="0" applyAlignment="0" applyProtection="0"/>
    <xf numFmtId="0" fontId="1" fillId="24" borderId="16" applyNumberFormat="0" applyFont="0" applyAlignment="0" applyProtection="0"/>
    <xf numFmtId="0" fontId="1" fillId="24" borderId="16" applyNumberFormat="0" applyFont="0" applyAlignment="0" applyProtection="0"/>
    <xf numFmtId="0" fontId="1" fillId="24" borderId="16" applyNumberFormat="0" applyFont="0" applyAlignment="0" applyProtection="0"/>
    <xf numFmtId="0" fontId="1" fillId="24" borderId="16" applyNumberFormat="0" applyFont="0" applyAlignment="0" applyProtection="0"/>
    <xf numFmtId="0" fontId="1" fillId="24" borderId="16" applyNumberFormat="0" applyFont="0" applyAlignment="0" applyProtection="0"/>
    <xf numFmtId="0" fontId="1" fillId="24" borderId="16" applyNumberFormat="0" applyFont="0" applyAlignment="0" applyProtection="0"/>
    <xf numFmtId="0" fontId="18" fillId="54" borderId="28" applyNumberFormat="0" applyFont="0" applyAlignment="0" applyProtection="0"/>
    <xf numFmtId="0" fontId="1" fillId="0" borderId="0"/>
    <xf numFmtId="170" fontId="68" fillId="24" borderId="16" applyNumberFormat="0" applyFont="0" applyAlignment="0" applyProtection="0"/>
    <xf numFmtId="0" fontId="18" fillId="54" borderId="2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4" borderId="16" applyNumberFormat="0" applyFont="0" applyAlignment="0" applyProtection="0"/>
    <xf numFmtId="0" fontId="1" fillId="0" borderId="0"/>
    <xf numFmtId="0" fontId="1" fillId="0" borderId="0"/>
    <xf numFmtId="0" fontId="1" fillId="0" borderId="0"/>
    <xf numFmtId="0" fontId="1" fillId="0" borderId="0"/>
    <xf numFmtId="0" fontId="1" fillId="24" borderId="16" applyNumberFormat="0" applyFont="0" applyAlignment="0" applyProtection="0"/>
    <xf numFmtId="0" fontId="1" fillId="0" borderId="0"/>
    <xf numFmtId="0" fontId="1" fillId="0" borderId="0"/>
    <xf numFmtId="0" fontId="1" fillId="0" borderId="0"/>
    <xf numFmtId="0" fontId="1" fillId="0" borderId="0"/>
    <xf numFmtId="0" fontId="1" fillId="24" borderId="16" applyNumberFormat="0" applyFont="0" applyAlignment="0" applyProtection="0"/>
    <xf numFmtId="0" fontId="18" fillId="54" borderId="28" applyNumberFormat="0" applyFont="0" applyAlignment="0" applyProtection="0"/>
    <xf numFmtId="0" fontId="1" fillId="0" borderId="0"/>
    <xf numFmtId="0" fontId="1" fillId="0" borderId="0"/>
    <xf numFmtId="0" fontId="1" fillId="0" borderId="0"/>
    <xf numFmtId="0" fontId="1" fillId="0" borderId="0"/>
    <xf numFmtId="0" fontId="18" fillId="54" borderId="28" applyNumberFormat="0" applyFont="0" applyAlignment="0" applyProtection="0"/>
    <xf numFmtId="0" fontId="1" fillId="24" borderId="16" applyNumberFormat="0" applyFont="0" applyAlignment="0" applyProtection="0"/>
    <xf numFmtId="0" fontId="1" fillId="0" borderId="0"/>
    <xf numFmtId="0" fontId="1" fillId="0" borderId="0"/>
    <xf numFmtId="0" fontId="1" fillId="0" borderId="0"/>
    <xf numFmtId="0" fontId="1" fillId="0" borderId="0"/>
    <xf numFmtId="0" fontId="1" fillId="24" borderId="16" applyNumberFormat="0" applyFont="0" applyAlignment="0" applyProtection="0"/>
    <xf numFmtId="0" fontId="18" fillId="54" borderId="28" applyNumberFormat="0" applyFont="0" applyAlignment="0" applyProtection="0"/>
    <xf numFmtId="0" fontId="1" fillId="0" borderId="0"/>
    <xf numFmtId="0" fontId="1" fillId="0" borderId="0"/>
    <xf numFmtId="0" fontId="1" fillId="24" borderId="16" applyNumberFormat="0" applyFont="0" applyAlignment="0" applyProtection="0"/>
    <xf numFmtId="0" fontId="18" fillId="54" borderId="28" applyNumberFormat="0" applyFont="0" applyAlignment="0" applyProtection="0"/>
    <xf numFmtId="0" fontId="1" fillId="0" borderId="0"/>
    <xf numFmtId="0" fontId="1" fillId="0" borderId="0"/>
    <xf numFmtId="0" fontId="1" fillId="24" borderId="16" applyNumberFormat="0" applyFont="0" applyAlignment="0" applyProtection="0"/>
    <xf numFmtId="0" fontId="18" fillId="54" borderId="28" applyNumberFormat="0" applyFont="0" applyAlignment="0" applyProtection="0"/>
    <xf numFmtId="0" fontId="1" fillId="0" borderId="0"/>
    <xf numFmtId="0" fontId="1" fillId="0" borderId="0"/>
    <xf numFmtId="0" fontId="18" fillId="54" borderId="28" applyNumberFormat="0" applyFont="0" applyAlignment="0" applyProtection="0"/>
    <xf numFmtId="0" fontId="1" fillId="0" borderId="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4" borderId="16" applyNumberFormat="0" applyFont="0" applyAlignment="0" applyProtection="0"/>
    <xf numFmtId="0" fontId="1" fillId="0" borderId="0"/>
    <xf numFmtId="0" fontId="1" fillId="0" borderId="0"/>
    <xf numFmtId="0" fontId="1" fillId="0" borderId="0"/>
    <xf numFmtId="0" fontId="1" fillId="24" borderId="16" applyNumberFormat="0" applyFont="0" applyAlignment="0" applyProtection="0"/>
    <xf numFmtId="0" fontId="1" fillId="0" borderId="0"/>
    <xf numFmtId="0" fontId="1" fillId="0" borderId="0"/>
    <xf numFmtId="0" fontId="1" fillId="0" borderId="0"/>
    <xf numFmtId="0" fontId="1" fillId="0" borderId="0"/>
    <xf numFmtId="0" fontId="1" fillId="24" borderId="16" applyNumberFormat="0" applyFont="0" applyAlignment="0" applyProtection="0"/>
    <xf numFmtId="0" fontId="1" fillId="24" borderId="16" applyNumberFormat="0" applyFont="0" applyAlignment="0" applyProtection="0"/>
    <xf numFmtId="0" fontId="1" fillId="0" borderId="0"/>
    <xf numFmtId="0" fontId="1" fillId="0" borderId="0"/>
    <xf numFmtId="0" fontId="1" fillId="0" borderId="0"/>
    <xf numFmtId="0" fontId="1" fillId="0" borderId="0"/>
    <xf numFmtId="170" fontId="68" fillId="24" borderId="16" applyNumberFormat="0" applyFont="0" applyAlignment="0" applyProtection="0"/>
    <xf numFmtId="0" fontId="18" fillId="54" borderId="28" applyNumberFormat="0" applyFont="0" applyAlignment="0" applyProtection="0"/>
    <xf numFmtId="0" fontId="1" fillId="0" borderId="0"/>
    <xf numFmtId="0" fontId="1" fillId="0" borderId="0"/>
    <xf numFmtId="0" fontId="1" fillId="0" borderId="0"/>
    <xf numFmtId="0" fontId="1" fillId="24" borderId="16" applyNumberFormat="0" applyFont="0" applyAlignment="0" applyProtection="0"/>
    <xf numFmtId="0" fontId="1" fillId="0" borderId="0"/>
    <xf numFmtId="0" fontId="1" fillId="24" borderId="16" applyNumberFormat="0" applyFont="0" applyAlignment="0" applyProtection="0"/>
    <xf numFmtId="0" fontId="1" fillId="24" borderId="16" applyNumberFormat="0" applyFont="0" applyAlignment="0" applyProtection="0"/>
    <xf numFmtId="0" fontId="1" fillId="0" borderId="0"/>
    <xf numFmtId="0" fontId="1" fillId="0" borderId="0"/>
    <xf numFmtId="0" fontId="1" fillId="24" borderId="16" applyNumberFormat="0" applyFont="0" applyAlignment="0" applyProtection="0"/>
    <xf numFmtId="0" fontId="1" fillId="0" borderId="0"/>
    <xf numFmtId="0" fontId="1" fillId="24" borderId="16" applyNumberFormat="0" applyFont="0" applyAlignment="0" applyProtection="0"/>
    <xf numFmtId="0" fontId="1" fillId="0" borderId="0"/>
    <xf numFmtId="0" fontId="1" fillId="24" borderId="16" applyNumberFormat="0" applyFont="0" applyAlignment="0" applyProtection="0"/>
    <xf numFmtId="0" fontId="1" fillId="24" borderId="16" applyNumberFormat="0" applyFont="0" applyAlignment="0" applyProtection="0"/>
    <xf numFmtId="0" fontId="18" fillId="54" borderId="28" applyNumberFormat="0" applyFont="0" applyAlignment="0" applyProtection="0"/>
    <xf numFmtId="0" fontId="1" fillId="0" borderId="0"/>
    <xf numFmtId="0" fontId="1" fillId="0" borderId="0"/>
    <xf numFmtId="0" fontId="1" fillId="24" borderId="16" applyNumberFormat="0" applyFont="0" applyAlignment="0" applyProtection="0"/>
    <xf numFmtId="0" fontId="18" fillId="54" borderId="28" applyNumberFormat="0" applyFont="0" applyAlignment="0" applyProtection="0"/>
    <xf numFmtId="0" fontId="7" fillId="54" borderId="28" applyNumberFormat="0" applyFont="0" applyAlignment="0" applyProtection="0"/>
    <xf numFmtId="0" fontId="1" fillId="0" borderId="0"/>
    <xf numFmtId="0" fontId="1" fillId="0" borderId="0"/>
    <xf numFmtId="0" fontId="1" fillId="24" borderId="16" applyNumberFormat="0" applyFont="0" applyAlignment="0" applyProtection="0"/>
    <xf numFmtId="0" fontId="18" fillId="54" borderId="28" applyNumberFormat="0" applyFont="0" applyAlignment="0" applyProtection="0"/>
    <xf numFmtId="0" fontId="1" fillId="0" borderId="0"/>
    <xf numFmtId="0" fontId="1" fillId="24" borderId="16" applyNumberFormat="0" applyFont="0" applyAlignment="0" applyProtection="0"/>
    <xf numFmtId="0" fontId="1" fillId="24" borderId="16" applyNumberFormat="0" applyFont="0" applyAlignment="0" applyProtection="0"/>
    <xf numFmtId="0" fontId="18" fillId="54" borderId="28" applyNumberFormat="0" applyFont="0" applyAlignment="0" applyProtection="0"/>
    <xf numFmtId="0" fontId="1" fillId="0" borderId="0"/>
    <xf numFmtId="0" fontId="1" fillId="24" borderId="16" applyNumberFormat="0" applyFont="0" applyAlignment="0" applyProtection="0"/>
    <xf numFmtId="0" fontId="1" fillId="24" borderId="16" applyNumberFormat="0" applyFont="0" applyAlignment="0" applyProtection="0"/>
    <xf numFmtId="0" fontId="18" fillId="54" borderId="28" applyNumberFormat="0" applyFont="0" applyAlignment="0" applyProtection="0"/>
    <xf numFmtId="0" fontId="1" fillId="0" borderId="0"/>
    <xf numFmtId="0" fontId="1" fillId="24" borderId="16" applyNumberFormat="0" applyFont="0" applyAlignment="0" applyProtection="0"/>
    <xf numFmtId="0" fontId="1" fillId="24" borderId="16"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 fillId="24" borderId="16" applyNumberFormat="0" applyFont="0" applyAlignment="0" applyProtection="0"/>
    <xf numFmtId="0" fontId="1" fillId="24" borderId="16"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 fillId="24" borderId="16" applyNumberFormat="0" applyFont="0" applyAlignment="0" applyProtection="0"/>
    <xf numFmtId="0" fontId="1" fillId="24" borderId="16" applyNumberFormat="0" applyFont="0" applyAlignment="0" applyProtection="0"/>
    <xf numFmtId="0" fontId="1" fillId="24" borderId="16" applyNumberFormat="0" applyFont="0" applyAlignment="0" applyProtection="0"/>
    <xf numFmtId="0" fontId="1" fillId="24" borderId="16"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 fillId="0" borderId="0"/>
    <xf numFmtId="0" fontId="18" fillId="54" borderId="28" applyNumberFormat="0" applyFont="0" applyAlignment="0" applyProtection="0"/>
    <xf numFmtId="0" fontId="18" fillId="54" borderId="28" applyNumberFormat="0" applyFont="0" applyAlignment="0" applyProtection="0"/>
    <xf numFmtId="0" fontId="1" fillId="0" borderId="0"/>
    <xf numFmtId="170" fontId="68" fillId="24" borderId="16" applyNumberFormat="0" applyFont="0" applyAlignment="0" applyProtection="0"/>
    <xf numFmtId="0" fontId="18" fillId="54" borderId="2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54" borderId="2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54" borderId="28" applyNumberFormat="0" applyFont="0" applyAlignment="0" applyProtection="0"/>
    <xf numFmtId="0" fontId="1" fillId="0" borderId="0"/>
    <xf numFmtId="0" fontId="1" fillId="0" borderId="0"/>
    <xf numFmtId="0" fontId="1" fillId="0" borderId="0"/>
    <xf numFmtId="0" fontId="1" fillId="0" borderId="0"/>
    <xf numFmtId="0" fontId="18" fillId="54" borderId="28" applyNumberFormat="0" applyFont="0" applyAlignment="0" applyProtection="0"/>
    <xf numFmtId="0" fontId="1" fillId="0" borderId="0"/>
    <xf numFmtId="0" fontId="1" fillId="0" borderId="0"/>
    <xf numFmtId="0" fontId="18" fillId="54" borderId="28" applyNumberFormat="0" applyFont="0" applyAlignment="0" applyProtection="0"/>
    <xf numFmtId="0" fontId="1" fillId="0" borderId="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68" fillId="24" borderId="16" applyNumberFormat="0" applyFont="0" applyAlignment="0" applyProtection="0"/>
    <xf numFmtId="0" fontId="18" fillId="54" borderId="28" applyNumberFormat="0" applyFont="0" applyAlignment="0" applyProtection="0"/>
    <xf numFmtId="0" fontId="1" fillId="0" borderId="0"/>
    <xf numFmtId="0" fontId="1" fillId="0" borderId="0"/>
    <xf numFmtId="0" fontId="1" fillId="0" borderId="0"/>
    <xf numFmtId="0" fontId="1" fillId="0" borderId="0"/>
    <xf numFmtId="0" fontId="18" fillId="54" borderId="28" applyNumberFormat="0" applyFont="0" applyAlignment="0" applyProtection="0"/>
    <xf numFmtId="0" fontId="1" fillId="0" borderId="0"/>
    <xf numFmtId="0" fontId="1" fillId="0" borderId="0"/>
    <xf numFmtId="0" fontId="1" fillId="0" borderId="0"/>
    <xf numFmtId="0" fontId="1" fillId="0" borderId="0"/>
    <xf numFmtId="0" fontId="18" fillId="54" borderId="28" applyNumberFormat="0" applyFont="0" applyAlignment="0" applyProtection="0"/>
    <xf numFmtId="0" fontId="1" fillId="0" borderId="0"/>
    <xf numFmtId="0" fontId="1" fillId="0" borderId="0"/>
    <xf numFmtId="0" fontId="1" fillId="0" borderId="0"/>
    <xf numFmtId="0" fontId="1" fillId="0" borderId="0"/>
    <xf numFmtId="0" fontId="18" fillId="54" borderId="28" applyNumberFormat="0" applyFont="0" applyAlignment="0" applyProtection="0"/>
    <xf numFmtId="0" fontId="1" fillId="0" borderId="0"/>
    <xf numFmtId="0" fontId="1" fillId="0" borderId="0"/>
    <xf numFmtId="0" fontId="18" fillId="54" borderId="28" applyNumberFormat="0" applyFont="0" applyAlignment="0" applyProtection="0"/>
    <xf numFmtId="0" fontId="1" fillId="0" borderId="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 fillId="0" borderId="0"/>
    <xf numFmtId="175" fontId="6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 fillId="0" borderId="0"/>
    <xf numFmtId="170" fontId="68" fillId="24" borderId="16" applyNumberFormat="0" applyFont="0" applyAlignment="0" applyProtection="0"/>
    <xf numFmtId="0" fontId="18" fillId="54" borderId="2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54" borderId="2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54" borderId="28" applyNumberFormat="0" applyFont="0" applyAlignment="0" applyProtection="0"/>
    <xf numFmtId="0" fontId="1" fillId="0" borderId="0"/>
    <xf numFmtId="0" fontId="1" fillId="0" borderId="0"/>
    <xf numFmtId="0" fontId="1" fillId="0" borderId="0"/>
    <xf numFmtId="0" fontId="1" fillId="0" borderId="0"/>
    <xf numFmtId="0" fontId="18" fillId="54" borderId="28" applyNumberFormat="0" applyFont="0" applyAlignment="0" applyProtection="0"/>
    <xf numFmtId="0" fontId="1" fillId="0" borderId="0"/>
    <xf numFmtId="0" fontId="1" fillId="0" borderId="0"/>
    <xf numFmtId="0" fontId="18" fillId="54" borderId="28" applyNumberFormat="0" applyFont="0" applyAlignment="0" applyProtection="0"/>
    <xf numFmtId="0" fontId="1" fillId="0" borderId="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68" fillId="24" borderId="16" applyNumberFormat="0" applyFont="0" applyAlignment="0" applyProtection="0"/>
    <xf numFmtId="0" fontId="18" fillId="54" borderId="2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54" borderId="28" applyNumberFormat="0" applyFont="0" applyAlignment="0" applyProtection="0"/>
    <xf numFmtId="0" fontId="1" fillId="0" borderId="0"/>
    <xf numFmtId="0" fontId="1" fillId="0" borderId="0"/>
    <xf numFmtId="0" fontId="1" fillId="0" borderId="0"/>
    <xf numFmtId="0" fontId="1" fillId="0" borderId="0"/>
    <xf numFmtId="0" fontId="18" fillId="54" borderId="28" applyNumberFormat="0" applyFont="0" applyAlignment="0" applyProtection="0"/>
    <xf numFmtId="0" fontId="1" fillId="0" borderId="0"/>
    <xf numFmtId="0" fontId="1" fillId="0" borderId="0"/>
    <xf numFmtId="0" fontId="18" fillId="54" borderId="28" applyNumberFormat="0" applyFont="0" applyAlignment="0" applyProtection="0"/>
    <xf numFmtId="0" fontId="1" fillId="0" borderId="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 fillId="0" borderId="0"/>
    <xf numFmtId="175" fontId="6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 fillId="0" borderId="0"/>
    <xf numFmtId="170" fontId="68" fillId="24" borderId="16" applyNumberFormat="0" applyFont="0" applyAlignment="0" applyProtection="0"/>
    <xf numFmtId="0" fontId="18" fillId="54" borderId="28" applyNumberFormat="0" applyFont="0" applyAlignment="0" applyProtection="0"/>
    <xf numFmtId="0" fontId="1" fillId="0" borderId="0"/>
    <xf numFmtId="0" fontId="1" fillId="0" borderId="0"/>
    <xf numFmtId="0" fontId="18" fillId="54" borderId="28" applyNumberFormat="0" applyFont="0" applyAlignment="0" applyProtection="0"/>
    <xf numFmtId="0" fontId="1" fillId="0" borderId="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 fillId="0" borderId="0"/>
    <xf numFmtId="0" fontId="1" fillId="0" borderId="0"/>
    <xf numFmtId="170" fontId="68" fillId="24" borderId="16" applyNumberFormat="0" applyFont="0" applyAlignment="0" applyProtection="0"/>
    <xf numFmtId="0" fontId="18" fillId="54" borderId="28" applyNumberFormat="0" applyFont="0" applyAlignment="0" applyProtection="0"/>
    <xf numFmtId="0" fontId="1" fillId="0" borderId="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 fillId="0" borderId="0"/>
    <xf numFmtId="175" fontId="6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 fillId="0" borderId="0"/>
    <xf numFmtId="170" fontId="68" fillId="24" borderId="16" applyNumberFormat="0" applyFont="0" applyAlignment="0" applyProtection="0"/>
    <xf numFmtId="0" fontId="18" fillId="54" borderId="28" applyNumberFormat="0" applyFont="0" applyAlignment="0" applyProtection="0"/>
    <xf numFmtId="0" fontId="1" fillId="0" borderId="0"/>
    <xf numFmtId="0" fontId="1" fillId="0" borderId="0"/>
    <xf numFmtId="0" fontId="18" fillId="54" borderId="28" applyNumberFormat="0" applyFont="0" applyAlignment="0" applyProtection="0"/>
    <xf numFmtId="0" fontId="1" fillId="0" borderId="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 fillId="0" borderId="0"/>
    <xf numFmtId="0" fontId="1" fillId="0" borderId="0"/>
    <xf numFmtId="170" fontId="68" fillId="24" borderId="16" applyNumberFormat="0" applyFont="0" applyAlignment="0" applyProtection="0"/>
    <xf numFmtId="0" fontId="18" fillId="54" borderId="28" applyNumberFormat="0" applyFont="0" applyAlignment="0" applyProtection="0"/>
    <xf numFmtId="0" fontId="1" fillId="0" borderId="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 fillId="0" borderId="0"/>
    <xf numFmtId="175" fontId="6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 fillId="0" borderId="0"/>
    <xf numFmtId="170" fontId="68" fillId="24" borderId="16" applyNumberFormat="0" applyFont="0" applyAlignment="0" applyProtection="0"/>
    <xf numFmtId="0" fontId="18" fillId="54" borderId="28" applyNumberFormat="0" applyFont="0" applyAlignment="0" applyProtection="0"/>
    <xf numFmtId="0" fontId="1" fillId="0" borderId="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 fillId="0" borderId="0"/>
    <xf numFmtId="170" fontId="68" fillId="24" borderId="16"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 fillId="0" borderId="0"/>
    <xf numFmtId="175" fontId="6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 fillId="0" borderId="0"/>
    <xf numFmtId="170" fontId="68" fillId="24" borderId="16" applyNumberFormat="0" applyFont="0" applyAlignment="0" applyProtection="0"/>
    <xf numFmtId="0" fontId="18" fillId="54" borderId="28" applyNumberFormat="0" applyFont="0" applyAlignment="0" applyProtection="0"/>
    <xf numFmtId="0" fontId="1" fillId="0" borderId="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 fillId="0" borderId="0"/>
    <xf numFmtId="170" fontId="68" fillId="24" borderId="16"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 fillId="0" borderId="0"/>
    <xf numFmtId="0" fontId="68" fillId="54" borderId="28" applyNumberFormat="0" applyFont="0" applyAlignment="0" applyProtection="0"/>
    <xf numFmtId="0" fontId="18" fillId="54" borderId="28" applyNumberFormat="0" applyFont="0" applyAlignment="0" applyProtection="0"/>
    <xf numFmtId="0" fontId="1" fillId="0" borderId="0"/>
    <xf numFmtId="0" fontId="18" fillId="54" borderId="28" applyNumberFormat="0" applyFont="0" applyAlignment="0" applyProtection="0"/>
    <xf numFmtId="0" fontId="1" fillId="0" borderId="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 fillId="0" borderId="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18" fillId="54" borderId="28" applyNumberFormat="0" applyFont="0" applyAlignment="0" applyProtection="0"/>
    <xf numFmtId="0" fontId="69" fillId="71" borderId="29" applyNumberFormat="0" applyAlignment="0" applyProtection="0"/>
    <xf numFmtId="0" fontId="69" fillId="72" borderId="29" applyNumberFormat="0" applyAlignment="0" applyProtection="0"/>
    <xf numFmtId="0" fontId="69" fillId="72" borderId="29" applyNumberFormat="0" applyAlignment="0" applyProtection="0"/>
    <xf numFmtId="0" fontId="69" fillId="72" borderId="29" applyNumberFormat="0" applyAlignment="0" applyProtection="0"/>
    <xf numFmtId="0" fontId="69" fillId="72" borderId="29" applyNumberFormat="0" applyAlignment="0" applyProtection="0"/>
    <xf numFmtId="0" fontId="1" fillId="0" borderId="0"/>
    <xf numFmtId="175" fontId="69" fillId="71" borderId="29" applyNumberFormat="0" applyAlignment="0" applyProtection="0"/>
    <xf numFmtId="198" fontId="67" fillId="72" borderId="0">
      <alignment horizontal="right"/>
    </xf>
    <xf numFmtId="4" fontId="67" fillId="74" borderId="0">
      <alignment horizontal="right"/>
    </xf>
    <xf numFmtId="40" fontId="117" fillId="74" borderId="0">
      <alignment horizontal="right"/>
    </xf>
    <xf numFmtId="40" fontId="117" fillId="74" borderId="0">
      <alignment horizontal="right"/>
    </xf>
    <xf numFmtId="198" fontId="67" fillId="72" borderId="0">
      <alignment horizontal="right"/>
    </xf>
    <xf numFmtId="198" fontId="67" fillId="72" borderId="0">
      <alignment horizontal="right"/>
    </xf>
    <xf numFmtId="198" fontId="67" fillId="72" borderId="0">
      <alignment horizontal="right"/>
    </xf>
    <xf numFmtId="40" fontId="117" fillId="74" borderId="0">
      <alignment horizontal="right"/>
    </xf>
    <xf numFmtId="4" fontId="67" fillId="74" borderId="0">
      <alignment horizontal="right"/>
    </xf>
    <xf numFmtId="40" fontId="117" fillId="74" borderId="0">
      <alignment horizontal="right"/>
    </xf>
    <xf numFmtId="40" fontId="117" fillId="74" borderId="0">
      <alignment horizontal="right"/>
    </xf>
    <xf numFmtId="4" fontId="67" fillId="74" borderId="0">
      <alignment horizontal="right"/>
    </xf>
    <xf numFmtId="4" fontId="67" fillId="74" borderId="0">
      <alignment horizontal="right"/>
    </xf>
    <xf numFmtId="4" fontId="67" fillId="74" borderId="0">
      <alignment horizontal="right"/>
    </xf>
    <xf numFmtId="4" fontId="67" fillId="74" borderId="0">
      <alignment horizontal="right"/>
    </xf>
    <xf numFmtId="198" fontId="67" fillId="72" borderId="0">
      <alignment horizontal="right"/>
    </xf>
    <xf numFmtId="4" fontId="67" fillId="74" borderId="0">
      <alignment horizontal="right"/>
    </xf>
    <xf numFmtId="4" fontId="67" fillId="74" borderId="0">
      <alignment horizontal="right"/>
    </xf>
    <xf numFmtId="4" fontId="67" fillId="74" borderId="0">
      <alignment horizontal="right"/>
    </xf>
    <xf numFmtId="4" fontId="67" fillId="74" borderId="0">
      <alignment horizontal="right"/>
    </xf>
    <xf numFmtId="4" fontId="67" fillId="74" borderId="0">
      <alignment horizontal="right"/>
    </xf>
    <xf numFmtId="4" fontId="67" fillId="74" borderId="0">
      <alignment horizontal="right"/>
    </xf>
    <xf numFmtId="4" fontId="67" fillId="74" borderId="0">
      <alignment horizontal="right"/>
    </xf>
    <xf numFmtId="0" fontId="1" fillId="0" borderId="0"/>
    <xf numFmtId="198" fontId="67" fillId="72" borderId="0">
      <alignment horizontal="right"/>
    </xf>
    <xf numFmtId="198" fontId="67" fillId="72" borderId="0">
      <alignment horizontal="right"/>
    </xf>
    <xf numFmtId="198" fontId="67" fillId="72" borderId="0">
      <alignment horizontal="right"/>
    </xf>
    <xf numFmtId="198" fontId="67" fillId="72" borderId="0">
      <alignment horizontal="right"/>
    </xf>
    <xf numFmtId="198" fontId="67" fillId="72" borderId="0">
      <alignment horizontal="right"/>
    </xf>
    <xf numFmtId="40" fontId="117" fillId="74" borderId="0">
      <alignment horizontal="right"/>
    </xf>
    <xf numFmtId="0" fontId="72" fillId="82" borderId="0">
      <alignment horizontal="center"/>
    </xf>
    <xf numFmtId="0" fontId="72" fillId="82" borderId="0">
      <alignment horizontal="center"/>
    </xf>
    <xf numFmtId="189" fontId="72" fillId="82" borderId="0">
      <alignment horizontal="center"/>
    </xf>
    <xf numFmtId="0" fontId="72" fillId="74" borderId="0">
      <alignment horizontal="center" vertical="center"/>
    </xf>
    <xf numFmtId="0" fontId="1" fillId="0" borderId="0"/>
    <xf numFmtId="0" fontId="72" fillId="82" borderId="0">
      <alignment horizontal="center"/>
    </xf>
    <xf numFmtId="0" fontId="118" fillId="74" borderId="0">
      <alignment horizontal="right"/>
    </xf>
    <xf numFmtId="0" fontId="118" fillId="74" borderId="0">
      <alignment horizontal="right"/>
    </xf>
    <xf numFmtId="0" fontId="118" fillId="74" borderId="0">
      <alignment horizontal="right"/>
    </xf>
    <xf numFmtId="0" fontId="118" fillId="74" borderId="0">
      <alignment horizontal="right"/>
    </xf>
    <xf numFmtId="0" fontId="118" fillId="74" borderId="0">
      <alignment horizontal="right"/>
    </xf>
    <xf numFmtId="0" fontId="72" fillId="82" borderId="0">
      <alignment horizontal="center"/>
    </xf>
    <xf numFmtId="189" fontId="72" fillId="82" borderId="0">
      <alignment horizontal="center"/>
    </xf>
    <xf numFmtId="0" fontId="118" fillId="74" borderId="0">
      <alignment horizontal="right"/>
    </xf>
    <xf numFmtId="0" fontId="118" fillId="74" borderId="0">
      <alignment horizontal="right"/>
    </xf>
    <xf numFmtId="0" fontId="72" fillId="74" borderId="0">
      <alignment horizontal="center" vertical="center"/>
    </xf>
    <xf numFmtId="0" fontId="72" fillId="74" borderId="0">
      <alignment horizontal="center" vertical="center"/>
    </xf>
    <xf numFmtId="170" fontId="72" fillId="74" borderId="0">
      <alignment horizontal="center" vertical="center"/>
    </xf>
    <xf numFmtId="170" fontId="72" fillId="74" borderId="0">
      <alignment horizontal="center" vertical="center"/>
    </xf>
    <xf numFmtId="0" fontId="118" fillId="74" borderId="0">
      <alignment horizontal="right"/>
    </xf>
    <xf numFmtId="0" fontId="101" fillId="83" borderId="0"/>
    <xf numFmtId="0" fontId="101" fillId="83" borderId="0"/>
    <xf numFmtId="189" fontId="101" fillId="83" borderId="0"/>
    <xf numFmtId="0" fontId="73" fillId="74" borderId="5"/>
    <xf numFmtId="0" fontId="73" fillId="74" borderId="5"/>
    <xf numFmtId="175" fontId="119" fillId="74" borderId="5"/>
    <xf numFmtId="0" fontId="73" fillId="74" borderId="5"/>
    <xf numFmtId="0" fontId="1" fillId="0" borderId="0"/>
    <xf numFmtId="0" fontId="101" fillId="83" borderId="0"/>
    <xf numFmtId="0" fontId="119" fillId="74" borderId="5"/>
    <xf numFmtId="0" fontId="119" fillId="74" borderId="5"/>
    <xf numFmtId="0" fontId="119" fillId="74" borderId="5"/>
    <xf numFmtId="0" fontId="119" fillId="74" borderId="5"/>
    <xf numFmtId="0" fontId="119" fillId="74" borderId="5"/>
    <xf numFmtId="0" fontId="101" fillId="83" borderId="0"/>
    <xf numFmtId="175" fontId="119" fillId="74" borderId="5"/>
    <xf numFmtId="0" fontId="119" fillId="74" borderId="5"/>
    <xf numFmtId="0" fontId="119" fillId="74" borderId="5"/>
    <xf numFmtId="0" fontId="73" fillId="74" borderId="5"/>
    <xf numFmtId="170" fontId="73" fillId="74" borderId="5"/>
    <xf numFmtId="170" fontId="73" fillId="74" borderId="5"/>
    <xf numFmtId="0" fontId="119" fillId="74" borderId="5"/>
    <xf numFmtId="0" fontId="120" fillId="72" borderId="0" applyBorder="0">
      <alignment horizontal="centerContinuous"/>
    </xf>
    <xf numFmtId="0" fontId="120" fillId="72" borderId="0" applyBorder="0">
      <alignment horizontal="centerContinuous"/>
    </xf>
    <xf numFmtId="189" fontId="120" fillId="72" borderId="0" applyBorder="0">
      <alignment horizontal="centerContinuous"/>
    </xf>
    <xf numFmtId="0" fontId="72" fillId="74" borderId="0" applyBorder="0">
      <alignment horizontal="centerContinuous"/>
    </xf>
    <xf numFmtId="0" fontId="1" fillId="0" borderId="0"/>
    <xf numFmtId="0" fontId="120" fillId="72" borderId="0" applyBorder="0">
      <alignment horizontal="centerContinuous"/>
    </xf>
    <xf numFmtId="0" fontId="119" fillId="0" borderId="0" applyBorder="0">
      <alignment horizontal="centerContinuous"/>
    </xf>
    <xf numFmtId="0" fontId="119" fillId="0" borderId="0" applyBorder="0">
      <alignment horizontal="centerContinuous"/>
    </xf>
    <xf numFmtId="0" fontId="119" fillId="0" borderId="0" applyBorder="0">
      <alignment horizontal="centerContinuous"/>
    </xf>
    <xf numFmtId="0" fontId="119" fillId="0" borderId="0" applyBorder="0">
      <alignment horizontal="centerContinuous"/>
    </xf>
    <xf numFmtId="0" fontId="119" fillId="0" borderId="0" applyBorder="0">
      <alignment horizontal="centerContinuous"/>
    </xf>
    <xf numFmtId="0" fontId="120" fillId="72" borderId="0" applyBorder="0">
      <alignment horizontal="centerContinuous"/>
    </xf>
    <xf numFmtId="189" fontId="120" fillId="72" borderId="0" applyBorder="0">
      <alignment horizontal="centerContinuous"/>
    </xf>
    <xf numFmtId="0" fontId="119" fillId="0" borderId="0" applyBorder="0">
      <alignment horizontal="centerContinuous"/>
    </xf>
    <xf numFmtId="0" fontId="119" fillId="0" borderId="0" applyBorder="0">
      <alignment horizontal="centerContinuous"/>
    </xf>
    <xf numFmtId="0" fontId="72" fillId="74" borderId="0" applyBorder="0">
      <alignment horizontal="centerContinuous"/>
    </xf>
    <xf numFmtId="0" fontId="72" fillId="74" borderId="0" applyBorder="0">
      <alignment horizontal="centerContinuous"/>
    </xf>
    <xf numFmtId="170" fontId="72" fillId="74" borderId="0" applyBorder="0">
      <alignment horizontal="centerContinuous"/>
    </xf>
    <xf numFmtId="170" fontId="72" fillId="74" borderId="0" applyBorder="0">
      <alignment horizontal="centerContinuous"/>
    </xf>
    <xf numFmtId="0" fontId="119" fillId="0" borderId="0" applyBorder="0">
      <alignment horizontal="centerContinuous"/>
    </xf>
    <xf numFmtId="0" fontId="121" fillId="83" borderId="0" applyBorder="0">
      <alignment horizontal="centerContinuous"/>
    </xf>
    <xf numFmtId="0" fontId="121" fillId="83" borderId="0" applyBorder="0">
      <alignment horizontal="centerContinuous"/>
    </xf>
    <xf numFmtId="189" fontId="121" fillId="83" borderId="0" applyBorder="0">
      <alignment horizontal="centerContinuous"/>
    </xf>
    <xf numFmtId="0" fontId="122" fillId="83" borderId="0" applyBorder="0">
      <alignment horizontal="centerContinuous"/>
    </xf>
    <xf numFmtId="0" fontId="74" fillId="74" borderId="0" applyBorder="0">
      <alignment horizontal="centerContinuous"/>
    </xf>
    <xf numFmtId="0" fontId="1" fillId="0" borderId="0"/>
    <xf numFmtId="0" fontId="121" fillId="83" borderId="0" applyBorder="0">
      <alignment horizontal="centerContinuous"/>
    </xf>
    <xf numFmtId="0" fontId="123" fillId="0" borderId="0" applyBorder="0">
      <alignment horizontal="centerContinuous"/>
    </xf>
    <xf numFmtId="0" fontId="123" fillId="0" borderId="0" applyBorder="0">
      <alignment horizontal="centerContinuous"/>
    </xf>
    <xf numFmtId="0" fontId="123" fillId="0" borderId="0" applyBorder="0">
      <alignment horizontal="centerContinuous"/>
    </xf>
    <xf numFmtId="0" fontId="123" fillId="0" borderId="0" applyBorder="0">
      <alignment horizontal="centerContinuous"/>
    </xf>
    <xf numFmtId="0" fontId="123" fillId="0" borderId="0" applyBorder="0">
      <alignment horizontal="centerContinuous"/>
    </xf>
    <xf numFmtId="0" fontId="121" fillId="83" borderId="0" applyBorder="0">
      <alignment horizontal="centerContinuous"/>
    </xf>
    <xf numFmtId="189" fontId="121" fillId="83" borderId="0" applyBorder="0">
      <alignment horizontal="centerContinuous"/>
    </xf>
    <xf numFmtId="0" fontId="123" fillId="0" borderId="0" applyBorder="0">
      <alignment horizontal="centerContinuous"/>
    </xf>
    <xf numFmtId="0" fontId="123" fillId="0" borderId="0" applyBorder="0">
      <alignment horizontal="centerContinuous"/>
    </xf>
    <xf numFmtId="0" fontId="74" fillId="74" borderId="0" applyBorder="0">
      <alignment horizontal="centerContinuous"/>
    </xf>
    <xf numFmtId="0" fontId="74" fillId="74" borderId="0" applyBorder="0">
      <alignment horizontal="centerContinuous"/>
    </xf>
    <xf numFmtId="170" fontId="74" fillId="74" borderId="0" applyBorder="0">
      <alignment horizontal="centerContinuous"/>
    </xf>
    <xf numFmtId="170" fontId="74" fillId="74" borderId="0" applyBorder="0">
      <alignment horizontal="centerContinuous"/>
    </xf>
    <xf numFmtId="0" fontId="123" fillId="0" borderId="0" applyBorder="0">
      <alignment horizontal="centerContinuous"/>
    </xf>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16" fillId="0" borderId="0" applyFont="0" applyFill="0" applyBorder="0" applyAlignment="0" applyProtection="0"/>
    <xf numFmtId="9" fontId="106" fillId="0" borderId="0" applyFont="0" applyFill="0" applyBorder="0" applyAlignment="0" applyProtection="0"/>
    <xf numFmtId="9" fontId="106" fillId="0" borderId="0" applyFont="0" applyFill="0" applyBorder="0" applyAlignment="0" applyProtection="0"/>
    <xf numFmtId="9" fontId="106" fillId="0" borderId="0" applyFont="0" applyFill="0" applyBorder="0" applyAlignment="0" applyProtection="0"/>
    <xf numFmtId="9"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173" fontId="124" fillId="84" borderId="42">
      <alignment horizontal="left"/>
    </xf>
    <xf numFmtId="0" fontId="66" fillId="0" borderId="0" applyNumberFormat="0" applyFont="0" applyFill="0" applyBorder="0" applyAlignment="0" applyProtection="0">
      <alignment horizontal="left"/>
    </xf>
    <xf numFmtId="15" fontId="66" fillId="0" borderId="0" applyFont="0" applyFill="0" applyBorder="0" applyAlignment="0" applyProtection="0"/>
    <xf numFmtId="4" fontId="66" fillId="0" borderId="0" applyFont="0" applyFill="0" applyBorder="0" applyAlignment="0" applyProtection="0"/>
    <xf numFmtId="0" fontId="125" fillId="0" borderId="7">
      <alignment horizontal="center"/>
    </xf>
    <xf numFmtId="3" fontId="66" fillId="0" borderId="0" applyFont="0" applyFill="0" applyBorder="0" applyAlignment="0" applyProtection="0"/>
    <xf numFmtId="0" fontId="66" fillId="85" borderId="0" applyNumberFormat="0" applyFont="0" applyBorder="0" applyAlignment="0" applyProtection="0"/>
    <xf numFmtId="189" fontId="73" fillId="59" borderId="0">
      <alignment horizontal="center"/>
    </xf>
    <xf numFmtId="0" fontId="73" fillId="59" borderId="0">
      <alignment horizontal="center"/>
    </xf>
    <xf numFmtId="0" fontId="73" fillId="59" borderId="0">
      <alignment horizontal="center"/>
    </xf>
    <xf numFmtId="189" fontId="73" fillId="59" borderId="0">
      <alignment horizontal="center"/>
    </xf>
    <xf numFmtId="0" fontId="73" fillId="59" borderId="0">
      <alignment horizontal="center"/>
    </xf>
    <xf numFmtId="0" fontId="1" fillId="0" borderId="0"/>
    <xf numFmtId="49" fontId="126" fillId="72" borderId="0">
      <alignment horizontal="center"/>
    </xf>
    <xf numFmtId="0" fontId="1" fillId="0" borderId="0"/>
    <xf numFmtId="49" fontId="126" fillId="72" borderId="0">
      <alignment horizontal="center"/>
    </xf>
    <xf numFmtId="0" fontId="109" fillId="0" borderId="0"/>
    <xf numFmtId="189" fontId="102" fillId="80" borderId="0">
      <alignment horizontal="center"/>
    </xf>
    <xf numFmtId="0" fontId="102" fillId="80" borderId="0">
      <alignment horizontal="center"/>
    </xf>
    <xf numFmtId="0" fontId="102" fillId="80" borderId="0">
      <alignment horizontal="center"/>
    </xf>
    <xf numFmtId="189" fontId="102" fillId="80" borderId="0">
      <alignment horizontal="center"/>
    </xf>
    <xf numFmtId="0" fontId="1" fillId="0" borderId="0"/>
    <xf numFmtId="189" fontId="102" fillId="80" borderId="0">
      <alignment horizontal="centerContinuous"/>
    </xf>
    <xf numFmtId="0" fontId="102" fillId="80" borderId="0">
      <alignment horizontal="centerContinuous"/>
    </xf>
    <xf numFmtId="0" fontId="102" fillId="80" borderId="0">
      <alignment horizontal="centerContinuous"/>
    </xf>
    <xf numFmtId="189" fontId="102" fillId="80" borderId="0">
      <alignment horizontal="centerContinuous"/>
    </xf>
    <xf numFmtId="0" fontId="1" fillId="0" borderId="0"/>
    <xf numFmtId="189" fontId="127" fillId="72" borderId="0">
      <alignment horizontal="left"/>
    </xf>
    <xf numFmtId="0" fontId="127" fillId="72" borderId="0">
      <alignment horizontal="left"/>
    </xf>
    <xf numFmtId="0" fontId="127" fillId="72" borderId="0">
      <alignment horizontal="left"/>
    </xf>
    <xf numFmtId="189" fontId="127" fillId="72" borderId="0">
      <alignment horizontal="left"/>
    </xf>
    <xf numFmtId="0" fontId="1" fillId="0" borderId="0"/>
    <xf numFmtId="49" fontId="127" fillId="72" borderId="0">
      <alignment horizontal="center"/>
    </xf>
    <xf numFmtId="0" fontId="1" fillId="0" borderId="0"/>
    <xf numFmtId="49" fontId="127" fillId="72" borderId="0">
      <alignment horizontal="center"/>
    </xf>
    <xf numFmtId="189" fontId="101" fillId="80" borderId="0">
      <alignment horizontal="left"/>
    </xf>
    <xf numFmtId="0" fontId="101" fillId="80" borderId="0">
      <alignment horizontal="left"/>
    </xf>
    <xf numFmtId="0" fontId="101" fillId="80" borderId="0">
      <alignment horizontal="left"/>
    </xf>
    <xf numFmtId="189" fontId="101" fillId="80" borderId="0">
      <alignment horizontal="left"/>
    </xf>
    <xf numFmtId="0" fontId="1" fillId="0" borderId="0"/>
    <xf numFmtId="49" fontId="127" fillId="72" borderId="0">
      <alignment horizontal="left"/>
    </xf>
    <xf numFmtId="0" fontId="1" fillId="0" borderId="0"/>
    <xf numFmtId="49" fontId="127" fillId="72" borderId="0">
      <alignment horizontal="left"/>
    </xf>
    <xf numFmtId="189" fontId="101" fillId="80" borderId="0">
      <alignment horizontal="centerContinuous"/>
    </xf>
    <xf numFmtId="0" fontId="101" fillId="80" borderId="0">
      <alignment horizontal="centerContinuous"/>
    </xf>
    <xf numFmtId="0" fontId="101" fillId="80" borderId="0">
      <alignment horizontal="centerContinuous"/>
    </xf>
    <xf numFmtId="189" fontId="101" fillId="80" borderId="0">
      <alignment horizontal="centerContinuous"/>
    </xf>
    <xf numFmtId="0" fontId="1" fillId="0" borderId="0"/>
    <xf numFmtId="189" fontId="101" fillId="80" borderId="0">
      <alignment horizontal="right"/>
    </xf>
    <xf numFmtId="0" fontId="101" fillId="80" borderId="0">
      <alignment horizontal="right"/>
    </xf>
    <xf numFmtId="0" fontId="101" fillId="80" borderId="0">
      <alignment horizontal="right"/>
    </xf>
    <xf numFmtId="189" fontId="101" fillId="80" borderId="0">
      <alignment horizontal="right"/>
    </xf>
    <xf numFmtId="0" fontId="1" fillId="0" borderId="0"/>
    <xf numFmtId="49" fontId="73" fillId="72" borderId="0">
      <alignment horizontal="left"/>
    </xf>
    <xf numFmtId="49" fontId="73" fillId="72" borderId="0">
      <alignment horizontal="left"/>
    </xf>
    <xf numFmtId="49" fontId="73" fillId="72" borderId="0">
      <alignment horizontal="left"/>
    </xf>
    <xf numFmtId="0" fontId="1" fillId="0" borderId="0"/>
    <xf numFmtId="189" fontId="102" fillId="80" borderId="0">
      <alignment horizontal="right"/>
    </xf>
    <xf numFmtId="0" fontId="102" fillId="80" borderId="0">
      <alignment horizontal="right"/>
    </xf>
    <xf numFmtId="0" fontId="102" fillId="80" borderId="0">
      <alignment horizontal="right"/>
    </xf>
    <xf numFmtId="189" fontId="102" fillId="80" borderId="0">
      <alignment horizontal="right"/>
    </xf>
    <xf numFmtId="0" fontId="1" fillId="0" borderId="0"/>
    <xf numFmtId="189" fontId="127" fillId="56" borderId="0">
      <alignment horizontal="center"/>
    </xf>
    <xf numFmtId="0" fontId="127" fillId="56" borderId="0">
      <alignment horizontal="center"/>
    </xf>
    <xf numFmtId="0" fontId="127" fillId="56" borderId="0">
      <alignment horizontal="center"/>
    </xf>
    <xf numFmtId="189" fontId="127" fillId="56" borderId="0">
      <alignment horizontal="center"/>
    </xf>
    <xf numFmtId="0" fontId="1" fillId="0" borderId="0"/>
    <xf numFmtId="189" fontId="128" fillId="56" borderId="0">
      <alignment horizontal="center"/>
    </xf>
    <xf numFmtId="0" fontId="128" fillId="56" borderId="0">
      <alignment horizontal="center"/>
    </xf>
    <xf numFmtId="0" fontId="128" fillId="56" borderId="0">
      <alignment horizontal="center"/>
    </xf>
    <xf numFmtId="189" fontId="128" fillId="56" borderId="0">
      <alignment horizontal="center"/>
    </xf>
    <xf numFmtId="0" fontId="1" fillId="0" borderId="0"/>
    <xf numFmtId="4" fontId="37" fillId="86" borderId="43" applyNumberFormat="0" applyProtection="0">
      <alignment vertical="center"/>
    </xf>
    <xf numFmtId="4" fontId="37" fillId="86" borderId="43" applyNumberFormat="0" applyProtection="0">
      <alignment vertical="center"/>
    </xf>
    <xf numFmtId="4" fontId="37" fillId="86" borderId="43" applyNumberFormat="0" applyProtection="0">
      <alignment vertical="center"/>
    </xf>
    <xf numFmtId="4" fontId="37" fillId="86" borderId="43" applyNumberFormat="0" applyProtection="0">
      <alignment vertical="center"/>
    </xf>
    <xf numFmtId="4" fontId="37" fillId="86" borderId="43" applyNumberFormat="0" applyProtection="0">
      <alignment vertical="center"/>
    </xf>
    <xf numFmtId="4" fontId="37" fillId="86" borderId="43" applyNumberFormat="0" applyProtection="0">
      <alignment vertical="center"/>
    </xf>
    <xf numFmtId="4" fontId="37" fillId="86" borderId="43" applyNumberFormat="0" applyProtection="0">
      <alignment vertical="center"/>
    </xf>
    <xf numFmtId="4" fontId="37" fillId="86" borderId="43" applyNumberFormat="0" applyProtection="0">
      <alignment vertical="center"/>
    </xf>
    <xf numFmtId="4" fontId="37" fillId="86" borderId="43" applyNumberFormat="0" applyProtection="0">
      <alignment vertical="center"/>
    </xf>
    <xf numFmtId="4" fontId="37" fillId="86" borderId="43" applyNumberFormat="0" applyProtection="0">
      <alignment vertical="center"/>
    </xf>
    <xf numFmtId="4" fontId="37" fillId="86" borderId="43" applyNumberFormat="0" applyProtection="0">
      <alignment vertical="center"/>
    </xf>
    <xf numFmtId="4" fontId="37" fillId="86" borderId="43" applyNumberFormat="0" applyProtection="0">
      <alignment vertical="center"/>
    </xf>
    <xf numFmtId="4" fontId="37" fillId="86" borderId="43" applyNumberFormat="0" applyProtection="0">
      <alignment vertical="center"/>
    </xf>
    <xf numFmtId="4" fontId="37" fillId="86" borderId="43" applyNumberFormat="0" applyProtection="0">
      <alignment vertical="center"/>
    </xf>
    <xf numFmtId="4" fontId="37" fillId="86" borderId="43" applyNumberFormat="0" applyProtection="0">
      <alignment vertical="center"/>
    </xf>
    <xf numFmtId="4" fontId="37" fillId="86" borderId="43" applyNumberFormat="0" applyProtection="0">
      <alignment vertical="center"/>
    </xf>
    <xf numFmtId="4" fontId="37" fillId="86" borderId="43" applyNumberFormat="0" applyProtection="0">
      <alignment vertical="center"/>
    </xf>
    <xf numFmtId="4" fontId="37" fillId="86" borderId="43" applyNumberFormat="0" applyProtection="0">
      <alignment vertical="center"/>
    </xf>
    <xf numFmtId="4" fontId="37" fillId="86" borderId="43" applyNumberFormat="0" applyProtection="0">
      <alignment vertical="center"/>
    </xf>
    <xf numFmtId="4" fontId="37" fillId="86" borderId="43" applyNumberFormat="0" applyProtection="0">
      <alignment vertical="center"/>
    </xf>
    <xf numFmtId="4" fontId="37" fillId="86" borderId="43" applyNumberFormat="0" applyProtection="0">
      <alignment vertical="center"/>
    </xf>
    <xf numFmtId="4" fontId="37" fillId="86" borderId="43" applyNumberFormat="0" applyProtection="0">
      <alignment vertical="center"/>
    </xf>
    <xf numFmtId="4" fontId="37" fillId="86" borderId="43" applyNumberFormat="0" applyProtection="0">
      <alignment vertical="center"/>
    </xf>
    <xf numFmtId="4" fontId="37" fillId="86" borderId="43" applyNumberFormat="0" applyProtection="0">
      <alignment vertical="center"/>
    </xf>
    <xf numFmtId="4" fontId="37" fillId="86" borderId="43" applyNumberFormat="0" applyProtection="0">
      <alignment vertical="center"/>
    </xf>
    <xf numFmtId="4" fontId="37" fillId="86" borderId="43" applyNumberFormat="0" applyProtection="0">
      <alignment vertical="center"/>
    </xf>
    <xf numFmtId="4" fontId="37" fillId="86" borderId="43" applyNumberFormat="0" applyProtection="0">
      <alignment vertical="center"/>
    </xf>
    <xf numFmtId="4" fontId="37" fillId="86" borderId="43" applyNumberFormat="0" applyProtection="0">
      <alignment vertical="center"/>
    </xf>
    <xf numFmtId="4" fontId="37" fillId="86" borderId="43" applyNumberFormat="0" applyProtection="0">
      <alignment vertical="center"/>
    </xf>
    <xf numFmtId="4" fontId="37" fillId="86" borderId="43" applyNumberFormat="0" applyProtection="0">
      <alignment vertical="center"/>
    </xf>
    <xf numFmtId="4" fontId="37" fillId="86" borderId="43" applyNumberFormat="0" applyProtection="0">
      <alignment vertical="center"/>
    </xf>
    <xf numFmtId="4" fontId="37" fillId="86" borderId="43" applyNumberFormat="0" applyProtection="0">
      <alignment vertical="center"/>
    </xf>
    <xf numFmtId="4" fontId="37" fillId="86" borderId="43" applyNumberFormat="0" applyProtection="0">
      <alignment vertical="center"/>
    </xf>
    <xf numFmtId="4" fontId="37" fillId="86" borderId="43" applyNumberFormat="0" applyProtection="0">
      <alignment vertical="center"/>
    </xf>
    <xf numFmtId="4" fontId="37" fillId="86" borderId="43" applyNumberFormat="0" applyProtection="0">
      <alignment vertical="center"/>
    </xf>
    <xf numFmtId="4" fontId="37" fillId="86" borderId="43" applyNumberFormat="0" applyProtection="0">
      <alignment vertical="center"/>
    </xf>
    <xf numFmtId="4" fontId="37" fillId="86" borderId="43" applyNumberFormat="0" applyProtection="0">
      <alignment vertical="center"/>
    </xf>
    <xf numFmtId="4" fontId="37" fillId="86" borderId="43" applyNumberFormat="0" applyProtection="0">
      <alignment vertical="center"/>
    </xf>
    <xf numFmtId="4" fontId="37" fillId="86" borderId="43" applyNumberFormat="0" applyProtection="0">
      <alignment vertical="center"/>
    </xf>
    <xf numFmtId="4" fontId="37" fillId="86" borderId="43" applyNumberFormat="0" applyProtection="0">
      <alignment vertical="center"/>
    </xf>
    <xf numFmtId="4" fontId="129" fillId="86" borderId="44" applyNumberFormat="0" applyProtection="0">
      <alignment vertical="center"/>
    </xf>
    <xf numFmtId="4" fontId="129" fillId="86" borderId="44" applyNumberFormat="0" applyProtection="0">
      <alignment vertical="center"/>
    </xf>
    <xf numFmtId="4" fontId="129" fillId="86" borderId="44" applyNumberFormat="0" applyProtection="0">
      <alignment vertical="center"/>
    </xf>
    <xf numFmtId="4" fontId="129" fillId="86" borderId="44" applyNumberFormat="0" applyProtection="0">
      <alignment vertical="center"/>
    </xf>
    <xf numFmtId="4" fontId="129" fillId="86" borderId="44" applyNumberFormat="0" applyProtection="0">
      <alignment vertical="center"/>
    </xf>
    <xf numFmtId="4" fontId="129" fillId="86" borderId="44" applyNumberFormat="0" applyProtection="0">
      <alignment vertical="center"/>
    </xf>
    <xf numFmtId="4" fontId="129" fillId="86" borderId="44" applyNumberFormat="0" applyProtection="0">
      <alignment vertical="center"/>
    </xf>
    <xf numFmtId="4" fontId="129" fillId="86" borderId="44" applyNumberFormat="0" applyProtection="0">
      <alignment vertical="center"/>
    </xf>
    <xf numFmtId="4" fontId="129" fillId="86" borderId="44" applyNumberFormat="0" applyProtection="0">
      <alignment vertical="center"/>
    </xf>
    <xf numFmtId="4" fontId="129" fillId="86" borderId="44" applyNumberFormat="0" applyProtection="0">
      <alignment vertical="center"/>
    </xf>
    <xf numFmtId="4" fontId="129" fillId="86" borderId="44" applyNumberFormat="0" applyProtection="0">
      <alignment vertical="center"/>
    </xf>
    <xf numFmtId="4" fontId="129" fillId="86" borderId="44" applyNumberFormat="0" applyProtection="0">
      <alignment vertical="center"/>
    </xf>
    <xf numFmtId="4" fontId="129" fillId="86" borderId="44" applyNumberFormat="0" applyProtection="0">
      <alignment vertical="center"/>
    </xf>
    <xf numFmtId="4" fontId="129" fillId="86" borderId="44" applyNumberFormat="0" applyProtection="0">
      <alignment vertical="center"/>
    </xf>
    <xf numFmtId="4" fontId="129" fillId="86" borderId="44" applyNumberFormat="0" applyProtection="0">
      <alignment vertical="center"/>
    </xf>
    <xf numFmtId="4" fontId="129" fillId="86" borderId="44" applyNumberFormat="0" applyProtection="0">
      <alignment vertical="center"/>
    </xf>
    <xf numFmtId="4" fontId="129" fillId="86" borderId="44" applyNumberFormat="0" applyProtection="0">
      <alignment vertical="center"/>
    </xf>
    <xf numFmtId="4" fontId="129" fillId="86" borderId="44" applyNumberFormat="0" applyProtection="0">
      <alignment vertical="center"/>
    </xf>
    <xf numFmtId="4" fontId="129" fillId="86" borderId="44" applyNumberFormat="0" applyProtection="0">
      <alignment vertical="center"/>
    </xf>
    <xf numFmtId="4" fontId="129" fillId="86" borderId="44" applyNumberFormat="0" applyProtection="0">
      <alignment vertical="center"/>
    </xf>
    <xf numFmtId="4" fontId="37" fillId="86" borderId="43" applyNumberFormat="0" applyProtection="0">
      <alignment horizontal="left" vertical="center" indent="1"/>
    </xf>
    <xf numFmtId="4" fontId="37" fillId="86" borderId="43" applyNumberFormat="0" applyProtection="0">
      <alignment horizontal="left" vertical="center" indent="1"/>
    </xf>
    <xf numFmtId="4" fontId="37" fillId="86" borderId="43" applyNumberFormat="0" applyProtection="0">
      <alignment horizontal="left" vertical="center" indent="1"/>
    </xf>
    <xf numFmtId="4" fontId="37" fillId="86" borderId="43" applyNumberFormat="0" applyProtection="0">
      <alignment horizontal="left" vertical="center" indent="1"/>
    </xf>
    <xf numFmtId="4" fontId="37" fillId="86" borderId="43" applyNumberFormat="0" applyProtection="0">
      <alignment horizontal="left" vertical="center" indent="1"/>
    </xf>
    <xf numFmtId="4" fontId="37" fillId="86" borderId="43" applyNumberFormat="0" applyProtection="0">
      <alignment horizontal="left" vertical="center" indent="1"/>
    </xf>
    <xf numFmtId="4" fontId="37" fillId="86" borderId="43" applyNumberFormat="0" applyProtection="0">
      <alignment horizontal="left" vertical="center" indent="1"/>
    </xf>
    <xf numFmtId="4" fontId="37" fillId="86" borderId="43" applyNumberFormat="0" applyProtection="0">
      <alignment horizontal="left" vertical="center" indent="1"/>
    </xf>
    <xf numFmtId="4" fontId="37" fillId="86" borderId="43" applyNumberFormat="0" applyProtection="0">
      <alignment horizontal="left" vertical="center" indent="1"/>
    </xf>
    <xf numFmtId="4" fontId="37" fillId="86" borderId="43" applyNumberFormat="0" applyProtection="0">
      <alignment horizontal="left" vertical="center" indent="1"/>
    </xf>
    <xf numFmtId="4" fontId="37" fillId="86" borderId="43" applyNumberFormat="0" applyProtection="0">
      <alignment horizontal="left" vertical="center" indent="1"/>
    </xf>
    <xf numFmtId="4" fontId="37" fillId="86" borderId="43" applyNumberFormat="0" applyProtection="0">
      <alignment horizontal="left" vertical="center" indent="1"/>
    </xf>
    <xf numFmtId="4" fontId="37" fillId="86" borderId="43" applyNumberFormat="0" applyProtection="0">
      <alignment horizontal="left" vertical="center" indent="1"/>
    </xf>
    <xf numFmtId="4" fontId="37" fillId="86" borderId="43" applyNumberFormat="0" applyProtection="0">
      <alignment horizontal="left" vertical="center" indent="1"/>
    </xf>
    <xf numFmtId="4" fontId="37" fillId="86" borderId="43" applyNumberFormat="0" applyProtection="0">
      <alignment horizontal="left" vertical="center" indent="1"/>
    </xf>
    <xf numFmtId="4" fontId="37" fillId="86" borderId="43" applyNumberFormat="0" applyProtection="0">
      <alignment horizontal="left" vertical="center" indent="1"/>
    </xf>
    <xf numFmtId="4" fontId="37" fillId="86" borderId="43" applyNumberFormat="0" applyProtection="0">
      <alignment horizontal="left" vertical="center" indent="1"/>
    </xf>
    <xf numFmtId="4" fontId="37" fillId="86" borderId="43" applyNumberFormat="0" applyProtection="0">
      <alignment horizontal="left" vertical="center" indent="1"/>
    </xf>
    <xf numFmtId="4" fontId="37" fillId="86" borderId="43" applyNumberFormat="0" applyProtection="0">
      <alignment horizontal="left" vertical="center" indent="1"/>
    </xf>
    <xf numFmtId="4" fontId="37" fillId="86" borderId="43" applyNumberFormat="0" applyProtection="0">
      <alignment horizontal="left" vertical="center" indent="1"/>
    </xf>
    <xf numFmtId="4" fontId="37" fillId="86" borderId="43" applyNumberFormat="0" applyProtection="0">
      <alignment horizontal="left" vertical="center" indent="1"/>
    </xf>
    <xf numFmtId="4" fontId="37" fillId="86" borderId="43" applyNumberFormat="0" applyProtection="0">
      <alignment horizontal="left" vertical="center" indent="1"/>
    </xf>
    <xf numFmtId="4" fontId="37" fillId="86" borderId="43" applyNumberFormat="0" applyProtection="0">
      <alignment horizontal="left" vertical="center" indent="1"/>
    </xf>
    <xf numFmtId="4" fontId="37" fillId="86" borderId="43" applyNumberFormat="0" applyProtection="0">
      <alignment horizontal="left" vertical="center" indent="1"/>
    </xf>
    <xf numFmtId="4" fontId="37" fillId="86" borderId="43" applyNumberFormat="0" applyProtection="0">
      <alignment horizontal="left" vertical="center" indent="1"/>
    </xf>
    <xf numFmtId="4" fontId="37" fillId="86" borderId="43" applyNumberFormat="0" applyProtection="0">
      <alignment horizontal="left" vertical="center" indent="1"/>
    </xf>
    <xf numFmtId="4" fontId="37" fillId="86" borderId="43" applyNumberFormat="0" applyProtection="0">
      <alignment horizontal="left" vertical="center" indent="1"/>
    </xf>
    <xf numFmtId="4" fontId="37" fillId="86" borderId="43" applyNumberFormat="0" applyProtection="0">
      <alignment horizontal="left" vertical="center" indent="1"/>
    </xf>
    <xf numFmtId="4" fontId="37" fillId="86" borderId="43" applyNumberFormat="0" applyProtection="0">
      <alignment horizontal="left" vertical="center" indent="1"/>
    </xf>
    <xf numFmtId="4" fontId="37" fillId="86" borderId="43" applyNumberFormat="0" applyProtection="0">
      <alignment horizontal="left" vertical="center" indent="1"/>
    </xf>
    <xf numFmtId="4" fontId="37" fillId="86" borderId="43" applyNumberFormat="0" applyProtection="0">
      <alignment horizontal="left" vertical="center" indent="1"/>
    </xf>
    <xf numFmtId="4" fontId="37" fillId="86" borderId="43" applyNumberFormat="0" applyProtection="0">
      <alignment horizontal="left" vertical="center" indent="1"/>
    </xf>
    <xf numFmtId="4" fontId="37" fillId="86" borderId="43" applyNumberFormat="0" applyProtection="0">
      <alignment horizontal="left" vertical="center" indent="1"/>
    </xf>
    <xf numFmtId="4" fontId="37" fillId="86" borderId="43" applyNumberFormat="0" applyProtection="0">
      <alignment horizontal="left" vertical="center" indent="1"/>
    </xf>
    <xf numFmtId="4" fontId="37" fillId="86" borderId="43" applyNumberFormat="0" applyProtection="0">
      <alignment horizontal="left" vertical="center" indent="1"/>
    </xf>
    <xf numFmtId="4" fontId="37" fillId="86" borderId="43" applyNumberFormat="0" applyProtection="0">
      <alignment horizontal="left" vertical="center" indent="1"/>
    </xf>
    <xf numFmtId="4" fontId="37" fillId="86" borderId="43" applyNumberFormat="0" applyProtection="0">
      <alignment horizontal="left" vertical="center" indent="1"/>
    </xf>
    <xf numFmtId="4" fontId="37" fillId="86" borderId="43" applyNumberFormat="0" applyProtection="0">
      <alignment horizontal="left" vertical="center" indent="1"/>
    </xf>
    <xf numFmtId="4" fontId="37" fillId="86" borderId="43" applyNumberFormat="0" applyProtection="0">
      <alignment horizontal="left" vertical="center" indent="1"/>
    </xf>
    <xf numFmtId="4" fontId="37" fillId="86" borderId="43" applyNumberFormat="0" applyProtection="0">
      <alignment horizontal="left" vertical="center" indent="1"/>
    </xf>
    <xf numFmtId="0" fontId="37" fillId="87" borderId="44" applyNumberFormat="0" applyProtection="0">
      <alignment horizontal="left" vertical="top" indent="1"/>
    </xf>
    <xf numFmtId="0" fontId="37" fillId="87" borderId="44" applyNumberFormat="0" applyProtection="0">
      <alignment horizontal="left" vertical="top" indent="1"/>
    </xf>
    <xf numFmtId="0" fontId="37" fillId="87" borderId="44" applyNumberFormat="0" applyProtection="0">
      <alignment horizontal="left" vertical="top" indent="1"/>
    </xf>
    <xf numFmtId="0" fontId="37" fillId="87" borderId="44" applyNumberFormat="0" applyProtection="0">
      <alignment horizontal="left" vertical="top" indent="1"/>
    </xf>
    <xf numFmtId="0" fontId="37" fillId="87" borderId="44" applyNumberFormat="0" applyProtection="0">
      <alignment horizontal="left" vertical="top" indent="1"/>
    </xf>
    <xf numFmtId="0" fontId="37" fillId="87" borderId="44" applyNumberFormat="0" applyProtection="0">
      <alignment horizontal="left" vertical="top" indent="1"/>
    </xf>
    <xf numFmtId="0" fontId="37" fillId="87" borderId="44" applyNumberFormat="0" applyProtection="0">
      <alignment horizontal="left" vertical="top" indent="1"/>
    </xf>
    <xf numFmtId="0" fontId="37" fillId="87" borderId="44" applyNumberFormat="0" applyProtection="0">
      <alignment horizontal="left" vertical="top" indent="1"/>
    </xf>
    <xf numFmtId="0" fontId="37" fillId="87" borderId="44" applyNumberFormat="0" applyProtection="0">
      <alignment horizontal="left" vertical="top" indent="1"/>
    </xf>
    <xf numFmtId="0" fontId="37" fillId="87" borderId="44" applyNumberFormat="0" applyProtection="0">
      <alignment horizontal="left" vertical="top" indent="1"/>
    </xf>
    <xf numFmtId="0" fontId="37" fillId="87" borderId="44" applyNumberFormat="0" applyProtection="0">
      <alignment horizontal="left" vertical="top" indent="1"/>
    </xf>
    <xf numFmtId="0" fontId="37" fillId="87" borderId="44" applyNumberFormat="0" applyProtection="0">
      <alignment horizontal="left" vertical="top" indent="1"/>
    </xf>
    <xf numFmtId="0" fontId="37" fillId="87" borderId="44" applyNumberFormat="0" applyProtection="0">
      <alignment horizontal="left" vertical="top" indent="1"/>
    </xf>
    <xf numFmtId="0" fontId="37" fillId="87" borderId="44" applyNumberFormat="0" applyProtection="0">
      <alignment horizontal="left" vertical="top" indent="1"/>
    </xf>
    <xf numFmtId="0" fontId="37" fillId="87" borderId="44" applyNumberFormat="0" applyProtection="0">
      <alignment horizontal="left" vertical="top" indent="1"/>
    </xf>
    <xf numFmtId="0" fontId="37" fillId="87" borderId="44" applyNumberFormat="0" applyProtection="0">
      <alignment horizontal="left" vertical="top" indent="1"/>
    </xf>
    <xf numFmtId="0" fontId="37" fillId="87" borderId="44" applyNumberFormat="0" applyProtection="0">
      <alignment horizontal="left" vertical="top" indent="1"/>
    </xf>
    <xf numFmtId="0" fontId="37" fillId="87" borderId="44" applyNumberFormat="0" applyProtection="0">
      <alignment horizontal="left" vertical="top" indent="1"/>
    </xf>
    <xf numFmtId="0" fontId="37" fillId="87" borderId="44" applyNumberFormat="0" applyProtection="0">
      <alignment horizontal="left" vertical="top" indent="1"/>
    </xf>
    <xf numFmtId="0" fontId="37" fillId="87" borderId="44" applyNumberFormat="0" applyProtection="0">
      <alignment horizontal="left" vertical="top" indent="1"/>
    </xf>
    <xf numFmtId="0" fontId="37" fillId="87" borderId="44" applyNumberFormat="0" applyProtection="0">
      <alignment horizontal="left" vertical="top" indent="1"/>
    </xf>
    <xf numFmtId="0" fontId="37" fillId="87" borderId="44" applyNumberFormat="0" applyProtection="0">
      <alignment horizontal="left" vertical="top" indent="1"/>
    </xf>
    <xf numFmtId="0" fontId="37" fillId="87" borderId="44" applyNumberFormat="0" applyProtection="0">
      <alignment horizontal="left" vertical="top" indent="1"/>
    </xf>
    <xf numFmtId="0" fontId="37" fillId="87" borderId="44" applyNumberFormat="0" applyProtection="0">
      <alignment horizontal="left" vertical="top" indent="1"/>
    </xf>
    <xf numFmtId="0" fontId="37" fillId="87" borderId="44" applyNumberFormat="0" applyProtection="0">
      <alignment horizontal="left" vertical="top" indent="1"/>
    </xf>
    <xf numFmtId="0" fontId="37" fillId="87" borderId="44" applyNumberFormat="0" applyProtection="0">
      <alignment horizontal="left" vertical="top" indent="1"/>
    </xf>
    <xf numFmtId="0" fontId="37" fillId="87" borderId="44" applyNumberFormat="0" applyProtection="0">
      <alignment horizontal="left" vertical="top" indent="1"/>
    </xf>
    <xf numFmtId="0" fontId="37" fillId="87" borderId="44" applyNumberFormat="0" applyProtection="0">
      <alignment horizontal="left" vertical="top" indent="1"/>
    </xf>
    <xf numFmtId="0" fontId="37" fillId="87" borderId="44" applyNumberFormat="0" applyProtection="0">
      <alignment horizontal="left" vertical="top" indent="1"/>
    </xf>
    <xf numFmtId="0" fontId="37" fillId="87" borderId="44" applyNumberFormat="0" applyProtection="0">
      <alignment horizontal="left" vertical="top" indent="1"/>
    </xf>
    <xf numFmtId="0" fontId="37" fillId="87" borderId="44" applyNumberFormat="0" applyProtection="0">
      <alignment horizontal="left" vertical="top" indent="1"/>
    </xf>
    <xf numFmtId="0" fontId="37" fillId="87" borderId="44" applyNumberFormat="0" applyProtection="0">
      <alignment horizontal="left" vertical="top" indent="1"/>
    </xf>
    <xf numFmtId="0" fontId="37" fillId="87" borderId="44" applyNumberFormat="0" applyProtection="0">
      <alignment horizontal="left" vertical="top" indent="1"/>
    </xf>
    <xf numFmtId="0" fontId="37" fillId="87" borderId="44" applyNumberFormat="0" applyProtection="0">
      <alignment horizontal="left" vertical="top" indent="1"/>
    </xf>
    <xf numFmtId="0" fontId="37" fillId="87" borderId="44" applyNumberFormat="0" applyProtection="0">
      <alignment horizontal="left" vertical="top" indent="1"/>
    </xf>
    <xf numFmtId="0" fontId="37" fillId="87" borderId="44" applyNumberFormat="0" applyProtection="0">
      <alignment horizontal="left" vertical="top" indent="1"/>
    </xf>
    <xf numFmtId="0" fontId="37" fillId="87" borderId="44" applyNumberFormat="0" applyProtection="0">
      <alignment horizontal="left" vertical="top" indent="1"/>
    </xf>
    <xf numFmtId="0" fontId="37" fillId="87" borderId="44" applyNumberFormat="0" applyProtection="0">
      <alignment horizontal="left" vertical="top" indent="1"/>
    </xf>
    <xf numFmtId="0" fontId="37" fillId="87" borderId="44" applyNumberFormat="0" applyProtection="0">
      <alignment horizontal="left" vertical="top" indent="1"/>
    </xf>
    <xf numFmtId="0" fontId="37" fillId="87" borderId="44" applyNumberFormat="0" applyProtection="0">
      <alignment horizontal="left" vertical="top" indent="1"/>
    </xf>
    <xf numFmtId="4" fontId="37" fillId="83" borderId="0" applyNumberFormat="0" applyProtection="0">
      <alignment horizontal="left" vertical="center" indent="1"/>
    </xf>
    <xf numFmtId="4" fontId="37" fillId="83" borderId="0" applyNumberFormat="0" applyProtection="0">
      <alignment horizontal="left" vertical="center" indent="1"/>
    </xf>
    <xf numFmtId="4" fontId="6" fillId="86" borderId="44" applyNumberFormat="0" applyProtection="0">
      <alignment horizontal="right" vertical="center"/>
    </xf>
    <xf numFmtId="4" fontId="6" fillId="86" borderId="44" applyNumberFormat="0" applyProtection="0">
      <alignment horizontal="right" vertical="center"/>
    </xf>
    <xf numFmtId="4" fontId="6" fillId="86" borderId="44" applyNumberFormat="0" applyProtection="0">
      <alignment horizontal="right" vertical="center"/>
    </xf>
    <xf numFmtId="4" fontId="6" fillId="86" borderId="44" applyNumberFormat="0" applyProtection="0">
      <alignment horizontal="right" vertical="center"/>
    </xf>
    <xf numFmtId="4" fontId="6" fillId="86" borderId="44" applyNumberFormat="0" applyProtection="0">
      <alignment horizontal="right" vertical="center"/>
    </xf>
    <xf numFmtId="4" fontId="6" fillId="86" borderId="44" applyNumberFormat="0" applyProtection="0">
      <alignment horizontal="right" vertical="center"/>
    </xf>
    <xf numFmtId="4" fontId="6" fillId="86" borderId="44" applyNumberFormat="0" applyProtection="0">
      <alignment horizontal="right" vertical="center"/>
    </xf>
    <xf numFmtId="4" fontId="6" fillId="86" borderId="44" applyNumberFormat="0" applyProtection="0">
      <alignment horizontal="right" vertical="center"/>
    </xf>
    <xf numFmtId="4" fontId="6" fillId="86" borderId="44" applyNumberFormat="0" applyProtection="0">
      <alignment horizontal="right" vertical="center"/>
    </xf>
    <xf numFmtId="4" fontId="6" fillId="86" borderId="44" applyNumberFormat="0" applyProtection="0">
      <alignment horizontal="right" vertical="center"/>
    </xf>
    <xf numFmtId="4" fontId="6" fillId="86" borderId="44" applyNumberFormat="0" applyProtection="0">
      <alignment horizontal="right" vertical="center"/>
    </xf>
    <xf numFmtId="4" fontId="6" fillId="86" borderId="44" applyNumberFormat="0" applyProtection="0">
      <alignment horizontal="right" vertical="center"/>
    </xf>
    <xf numFmtId="4" fontId="6" fillId="86" borderId="44" applyNumberFormat="0" applyProtection="0">
      <alignment horizontal="right" vertical="center"/>
    </xf>
    <xf numFmtId="4" fontId="6" fillId="86" borderId="44" applyNumberFormat="0" applyProtection="0">
      <alignment horizontal="right" vertical="center"/>
    </xf>
    <xf numFmtId="4" fontId="6" fillId="86" borderId="44" applyNumberFormat="0" applyProtection="0">
      <alignment horizontal="right" vertical="center"/>
    </xf>
    <xf numFmtId="4" fontId="6" fillId="86" borderId="44" applyNumberFormat="0" applyProtection="0">
      <alignment horizontal="right" vertical="center"/>
    </xf>
    <xf numFmtId="4" fontId="6" fillId="86" borderId="44" applyNumberFormat="0" applyProtection="0">
      <alignment horizontal="right" vertical="center"/>
    </xf>
    <xf numFmtId="4" fontId="6" fillId="86" borderId="44" applyNumberFormat="0" applyProtection="0">
      <alignment horizontal="right" vertical="center"/>
    </xf>
    <xf numFmtId="4" fontId="6" fillId="86" borderId="44" applyNumberFormat="0" applyProtection="0">
      <alignment horizontal="right" vertical="center"/>
    </xf>
    <xf numFmtId="4" fontId="6" fillId="86" borderId="44" applyNumberFormat="0" applyProtection="0">
      <alignment horizontal="right" vertical="center"/>
    </xf>
    <xf numFmtId="4" fontId="6" fillId="86" borderId="44" applyNumberFormat="0" applyProtection="0">
      <alignment horizontal="right" vertical="center"/>
    </xf>
    <xf numFmtId="4" fontId="6" fillId="86" borderId="44" applyNumberFormat="0" applyProtection="0">
      <alignment horizontal="right" vertical="center"/>
    </xf>
    <xf numFmtId="4" fontId="6" fillId="86" borderId="44" applyNumberFormat="0" applyProtection="0">
      <alignment horizontal="right" vertical="center"/>
    </xf>
    <xf numFmtId="4" fontId="6" fillId="86" borderId="44" applyNumberFormat="0" applyProtection="0">
      <alignment horizontal="right" vertical="center"/>
    </xf>
    <xf numFmtId="4" fontId="6" fillId="86" borderId="44" applyNumberFormat="0" applyProtection="0">
      <alignment horizontal="right" vertical="center"/>
    </xf>
    <xf numFmtId="4" fontId="6" fillId="86" borderId="44" applyNumberFormat="0" applyProtection="0">
      <alignment horizontal="right" vertical="center"/>
    </xf>
    <xf numFmtId="4" fontId="6" fillId="86" borderId="44" applyNumberFormat="0" applyProtection="0">
      <alignment horizontal="right" vertical="center"/>
    </xf>
    <xf numFmtId="4" fontId="6" fillId="86" borderId="44" applyNumberFormat="0" applyProtection="0">
      <alignment horizontal="right" vertical="center"/>
    </xf>
    <xf numFmtId="4" fontId="6" fillId="86" borderId="44" applyNumberFormat="0" applyProtection="0">
      <alignment horizontal="right" vertical="center"/>
    </xf>
    <xf numFmtId="4" fontId="6" fillId="86" borderId="44" applyNumberFormat="0" applyProtection="0">
      <alignment horizontal="right" vertical="center"/>
    </xf>
    <xf numFmtId="4" fontId="6" fillId="86" borderId="44" applyNumberFormat="0" applyProtection="0">
      <alignment horizontal="right" vertical="center"/>
    </xf>
    <xf numFmtId="4" fontId="6" fillId="86" borderId="44" applyNumberFormat="0" applyProtection="0">
      <alignment horizontal="right" vertical="center"/>
    </xf>
    <xf numFmtId="4" fontId="6" fillId="86" borderId="44" applyNumberFormat="0" applyProtection="0">
      <alignment horizontal="right" vertical="center"/>
    </xf>
    <xf numFmtId="4" fontId="6" fillId="86" borderId="44" applyNumberFormat="0" applyProtection="0">
      <alignment horizontal="right" vertical="center"/>
    </xf>
    <xf numFmtId="4" fontId="6" fillId="86" borderId="44" applyNumberFormat="0" applyProtection="0">
      <alignment horizontal="right" vertical="center"/>
    </xf>
    <xf numFmtId="4" fontId="6" fillId="86" borderId="44" applyNumberFormat="0" applyProtection="0">
      <alignment horizontal="right" vertical="center"/>
    </xf>
    <xf numFmtId="4" fontId="6" fillId="86" borderId="44" applyNumberFormat="0" applyProtection="0">
      <alignment horizontal="right" vertical="center"/>
    </xf>
    <xf numFmtId="4" fontId="6" fillId="86" borderId="44" applyNumberFormat="0" applyProtection="0">
      <alignment horizontal="right" vertical="center"/>
    </xf>
    <xf numFmtId="4" fontId="6" fillId="86" borderId="44" applyNumberFormat="0" applyProtection="0">
      <alignment horizontal="right" vertical="center"/>
    </xf>
    <xf numFmtId="4" fontId="6" fillId="86" borderId="44" applyNumberFormat="0" applyProtection="0">
      <alignment horizontal="right" vertical="center"/>
    </xf>
    <xf numFmtId="4" fontId="130" fillId="88" borderId="44" applyNumberFormat="0" applyProtection="0">
      <alignment horizontal="right" vertical="center"/>
    </xf>
    <xf numFmtId="4" fontId="130" fillId="88" borderId="44" applyNumberFormat="0" applyProtection="0">
      <alignment horizontal="right" vertical="center"/>
    </xf>
    <xf numFmtId="4" fontId="130" fillId="88" borderId="44" applyNumberFormat="0" applyProtection="0">
      <alignment horizontal="right" vertical="center"/>
    </xf>
    <xf numFmtId="4" fontId="130" fillId="88" borderId="44" applyNumberFormat="0" applyProtection="0">
      <alignment horizontal="right" vertical="center"/>
    </xf>
    <xf numFmtId="4" fontId="130" fillId="88" borderId="44" applyNumberFormat="0" applyProtection="0">
      <alignment horizontal="right" vertical="center"/>
    </xf>
    <xf numFmtId="4" fontId="130" fillId="88" borderId="44" applyNumberFormat="0" applyProtection="0">
      <alignment horizontal="right" vertical="center"/>
    </xf>
    <xf numFmtId="4" fontId="130" fillId="88" borderId="44" applyNumberFormat="0" applyProtection="0">
      <alignment horizontal="right" vertical="center"/>
    </xf>
    <xf numFmtId="4" fontId="130" fillId="88" borderId="44" applyNumberFormat="0" applyProtection="0">
      <alignment horizontal="right" vertical="center"/>
    </xf>
    <xf numFmtId="4" fontId="130" fillId="88" borderId="44" applyNumberFormat="0" applyProtection="0">
      <alignment horizontal="right" vertical="center"/>
    </xf>
    <xf numFmtId="4" fontId="130" fillId="88" borderId="44" applyNumberFormat="0" applyProtection="0">
      <alignment horizontal="right" vertical="center"/>
    </xf>
    <xf numFmtId="4" fontId="130" fillId="88" borderId="44" applyNumberFormat="0" applyProtection="0">
      <alignment horizontal="right" vertical="center"/>
    </xf>
    <xf numFmtId="4" fontId="130" fillId="88" borderId="44" applyNumberFormat="0" applyProtection="0">
      <alignment horizontal="right" vertical="center"/>
    </xf>
    <xf numFmtId="4" fontId="130" fillId="88" borderId="44" applyNumberFormat="0" applyProtection="0">
      <alignment horizontal="right" vertical="center"/>
    </xf>
    <xf numFmtId="4" fontId="130" fillId="88" borderId="44" applyNumberFormat="0" applyProtection="0">
      <alignment horizontal="right" vertical="center"/>
    </xf>
    <xf numFmtId="4" fontId="130" fillId="88" borderId="44" applyNumberFormat="0" applyProtection="0">
      <alignment horizontal="right" vertical="center"/>
    </xf>
    <xf numFmtId="4" fontId="130" fillId="88" borderId="44" applyNumberFormat="0" applyProtection="0">
      <alignment horizontal="right" vertical="center"/>
    </xf>
    <xf numFmtId="4" fontId="130" fillId="88" borderId="44" applyNumberFormat="0" applyProtection="0">
      <alignment horizontal="right" vertical="center"/>
    </xf>
    <xf numFmtId="4" fontId="130" fillId="88" borderId="44" applyNumberFormat="0" applyProtection="0">
      <alignment horizontal="right" vertical="center"/>
    </xf>
    <xf numFmtId="4" fontId="130" fillId="88" borderId="44" applyNumberFormat="0" applyProtection="0">
      <alignment horizontal="right" vertical="center"/>
    </xf>
    <xf numFmtId="4" fontId="130" fillId="88" borderId="44" applyNumberFormat="0" applyProtection="0">
      <alignment horizontal="right" vertical="center"/>
    </xf>
    <xf numFmtId="4" fontId="130" fillId="89" borderId="44" applyNumberFormat="0" applyProtection="0">
      <alignment horizontal="right" vertical="center"/>
    </xf>
    <xf numFmtId="4" fontId="130" fillId="89" borderId="44" applyNumberFormat="0" applyProtection="0">
      <alignment horizontal="right" vertical="center"/>
    </xf>
    <xf numFmtId="4" fontId="130" fillId="89" borderId="44" applyNumberFormat="0" applyProtection="0">
      <alignment horizontal="right" vertical="center"/>
    </xf>
    <xf numFmtId="4" fontId="130" fillId="89" borderId="44" applyNumberFormat="0" applyProtection="0">
      <alignment horizontal="right" vertical="center"/>
    </xf>
    <xf numFmtId="4" fontId="130" fillId="89" borderId="44" applyNumberFormat="0" applyProtection="0">
      <alignment horizontal="right" vertical="center"/>
    </xf>
    <xf numFmtId="4" fontId="130" fillId="89" borderId="44" applyNumberFormat="0" applyProtection="0">
      <alignment horizontal="right" vertical="center"/>
    </xf>
    <xf numFmtId="4" fontId="130" fillId="89" borderId="44" applyNumberFormat="0" applyProtection="0">
      <alignment horizontal="right" vertical="center"/>
    </xf>
    <xf numFmtId="4" fontId="130" fillId="89" borderId="44" applyNumberFormat="0" applyProtection="0">
      <alignment horizontal="right" vertical="center"/>
    </xf>
    <xf numFmtId="4" fontId="130" fillId="89" borderId="44" applyNumberFormat="0" applyProtection="0">
      <alignment horizontal="right" vertical="center"/>
    </xf>
    <xf numFmtId="4" fontId="130" fillId="89" borderId="44" applyNumberFormat="0" applyProtection="0">
      <alignment horizontal="right" vertical="center"/>
    </xf>
    <xf numFmtId="4" fontId="130" fillId="89" borderId="44" applyNumberFormat="0" applyProtection="0">
      <alignment horizontal="right" vertical="center"/>
    </xf>
    <xf numFmtId="4" fontId="130" fillId="89" borderId="44" applyNumberFormat="0" applyProtection="0">
      <alignment horizontal="right" vertical="center"/>
    </xf>
    <xf numFmtId="4" fontId="130" fillId="89" borderId="44" applyNumberFormat="0" applyProtection="0">
      <alignment horizontal="right" vertical="center"/>
    </xf>
    <xf numFmtId="4" fontId="130" fillId="89" borderId="44" applyNumberFormat="0" applyProtection="0">
      <alignment horizontal="right" vertical="center"/>
    </xf>
    <xf numFmtId="4" fontId="130" fillId="89" borderId="44" applyNumberFormat="0" applyProtection="0">
      <alignment horizontal="right" vertical="center"/>
    </xf>
    <xf numFmtId="4" fontId="130" fillId="89" borderId="44" applyNumberFormat="0" applyProtection="0">
      <alignment horizontal="right" vertical="center"/>
    </xf>
    <xf numFmtId="4" fontId="130" fillId="89" borderId="44" applyNumberFormat="0" applyProtection="0">
      <alignment horizontal="right" vertical="center"/>
    </xf>
    <xf numFmtId="4" fontId="130" fillId="89" borderId="44" applyNumberFormat="0" applyProtection="0">
      <alignment horizontal="right" vertical="center"/>
    </xf>
    <xf numFmtId="4" fontId="130" fillId="89" borderId="44" applyNumberFormat="0" applyProtection="0">
      <alignment horizontal="right" vertical="center"/>
    </xf>
    <xf numFmtId="4" fontId="130" fillId="89" borderId="44" applyNumberFormat="0" applyProtection="0">
      <alignment horizontal="right" vertical="center"/>
    </xf>
    <xf numFmtId="4" fontId="6" fillId="59" borderId="44" applyNumberFormat="0" applyProtection="0">
      <alignment horizontal="right" vertical="center"/>
    </xf>
    <xf numFmtId="4" fontId="6" fillId="59" borderId="44" applyNumberFormat="0" applyProtection="0">
      <alignment horizontal="right" vertical="center"/>
    </xf>
    <xf numFmtId="4" fontId="6" fillId="59" borderId="44" applyNumberFormat="0" applyProtection="0">
      <alignment horizontal="right" vertical="center"/>
    </xf>
    <xf numFmtId="4" fontId="6" fillId="59" borderId="44" applyNumberFormat="0" applyProtection="0">
      <alignment horizontal="right" vertical="center"/>
    </xf>
    <xf numFmtId="4" fontId="6" fillId="59" borderId="44" applyNumberFormat="0" applyProtection="0">
      <alignment horizontal="right" vertical="center"/>
    </xf>
    <xf numFmtId="4" fontId="6" fillId="59" borderId="44" applyNumberFormat="0" applyProtection="0">
      <alignment horizontal="right" vertical="center"/>
    </xf>
    <xf numFmtId="4" fontId="6" fillId="59" borderId="44" applyNumberFormat="0" applyProtection="0">
      <alignment horizontal="right" vertical="center"/>
    </xf>
    <xf numFmtId="4" fontId="6" fillId="59" borderId="44" applyNumberFormat="0" applyProtection="0">
      <alignment horizontal="right" vertical="center"/>
    </xf>
    <xf numFmtId="4" fontId="6" fillId="59" borderId="44" applyNumberFormat="0" applyProtection="0">
      <alignment horizontal="right" vertical="center"/>
    </xf>
    <xf numFmtId="4" fontId="6" fillId="59" borderId="44" applyNumberFormat="0" applyProtection="0">
      <alignment horizontal="right" vertical="center"/>
    </xf>
    <xf numFmtId="4" fontId="6" fillId="59" borderId="44" applyNumberFormat="0" applyProtection="0">
      <alignment horizontal="right" vertical="center"/>
    </xf>
    <xf numFmtId="4" fontId="6" fillId="59" borderId="44" applyNumberFormat="0" applyProtection="0">
      <alignment horizontal="right" vertical="center"/>
    </xf>
    <xf numFmtId="4" fontId="6" fillId="59" borderId="44" applyNumberFormat="0" applyProtection="0">
      <alignment horizontal="right" vertical="center"/>
    </xf>
    <xf numFmtId="4" fontId="6" fillId="59" borderId="44" applyNumberFormat="0" applyProtection="0">
      <alignment horizontal="right" vertical="center"/>
    </xf>
    <xf numFmtId="4" fontId="6" fillId="59" borderId="44" applyNumberFormat="0" applyProtection="0">
      <alignment horizontal="right" vertical="center"/>
    </xf>
    <xf numFmtId="4" fontId="6" fillId="59" borderId="44" applyNumberFormat="0" applyProtection="0">
      <alignment horizontal="right" vertical="center"/>
    </xf>
    <xf numFmtId="4" fontId="6" fillId="59" borderId="44" applyNumberFormat="0" applyProtection="0">
      <alignment horizontal="right" vertical="center"/>
    </xf>
    <xf numFmtId="4" fontId="6" fillId="59" borderId="44" applyNumberFormat="0" applyProtection="0">
      <alignment horizontal="right" vertical="center"/>
    </xf>
    <xf numFmtId="4" fontId="6" fillId="59" borderId="44" applyNumberFormat="0" applyProtection="0">
      <alignment horizontal="right" vertical="center"/>
    </xf>
    <xf numFmtId="4" fontId="6" fillId="59" borderId="44" applyNumberFormat="0" applyProtection="0">
      <alignment horizontal="right" vertical="center"/>
    </xf>
    <xf numFmtId="4" fontId="6" fillId="59" borderId="44" applyNumberFormat="0" applyProtection="0">
      <alignment horizontal="right" vertical="center"/>
    </xf>
    <xf numFmtId="4" fontId="6" fillId="59" borderId="44" applyNumberFormat="0" applyProtection="0">
      <alignment horizontal="right" vertical="center"/>
    </xf>
    <xf numFmtId="4" fontId="6" fillId="59" borderId="44" applyNumberFormat="0" applyProtection="0">
      <alignment horizontal="right" vertical="center"/>
    </xf>
    <xf numFmtId="4" fontId="6" fillId="59" borderId="44" applyNumberFormat="0" applyProtection="0">
      <alignment horizontal="right" vertical="center"/>
    </xf>
    <xf numFmtId="4" fontId="6" fillId="59" borderId="44" applyNumberFormat="0" applyProtection="0">
      <alignment horizontal="right" vertical="center"/>
    </xf>
    <xf numFmtId="4" fontId="6" fillId="59" borderId="44" applyNumberFormat="0" applyProtection="0">
      <alignment horizontal="right" vertical="center"/>
    </xf>
    <xf numFmtId="4" fontId="6" fillId="59" borderId="44" applyNumberFormat="0" applyProtection="0">
      <alignment horizontal="right" vertical="center"/>
    </xf>
    <xf numFmtId="4" fontId="6" fillId="59" borderId="44" applyNumberFormat="0" applyProtection="0">
      <alignment horizontal="right" vertical="center"/>
    </xf>
    <xf numFmtId="4" fontId="6" fillId="59" borderId="44" applyNumberFormat="0" applyProtection="0">
      <alignment horizontal="right" vertical="center"/>
    </xf>
    <xf numFmtId="4" fontId="6" fillId="59" borderId="44" applyNumberFormat="0" applyProtection="0">
      <alignment horizontal="right" vertical="center"/>
    </xf>
    <xf numFmtId="4" fontId="6" fillId="59" borderId="44" applyNumberFormat="0" applyProtection="0">
      <alignment horizontal="right" vertical="center"/>
    </xf>
    <xf numFmtId="4" fontId="6" fillId="59" borderId="44" applyNumberFormat="0" applyProtection="0">
      <alignment horizontal="right" vertical="center"/>
    </xf>
    <xf numFmtId="4" fontId="6" fillId="59" borderId="44" applyNumberFormat="0" applyProtection="0">
      <alignment horizontal="right" vertical="center"/>
    </xf>
    <xf numFmtId="4" fontId="6" fillId="59" borderId="44" applyNumberFormat="0" applyProtection="0">
      <alignment horizontal="right" vertical="center"/>
    </xf>
    <xf numFmtId="4" fontId="6" fillId="59" borderId="44" applyNumberFormat="0" applyProtection="0">
      <alignment horizontal="right" vertical="center"/>
    </xf>
    <xf numFmtId="4" fontId="6" fillId="59" borderId="44" applyNumberFormat="0" applyProtection="0">
      <alignment horizontal="right" vertical="center"/>
    </xf>
    <xf numFmtId="4" fontId="6" fillId="59" borderId="44" applyNumberFormat="0" applyProtection="0">
      <alignment horizontal="right" vertical="center"/>
    </xf>
    <xf numFmtId="4" fontId="6" fillId="59" borderId="44" applyNumberFormat="0" applyProtection="0">
      <alignment horizontal="right" vertical="center"/>
    </xf>
    <xf numFmtId="4" fontId="6" fillId="59" borderId="44" applyNumberFormat="0" applyProtection="0">
      <alignment horizontal="right" vertical="center"/>
    </xf>
    <xf numFmtId="4" fontId="6" fillId="59" borderId="44" applyNumberFormat="0" applyProtection="0">
      <alignment horizontal="right" vertical="center"/>
    </xf>
    <xf numFmtId="4" fontId="6" fillId="50" borderId="44" applyNumberFormat="0" applyProtection="0">
      <alignment horizontal="right" vertical="center"/>
    </xf>
    <xf numFmtId="4" fontId="6" fillId="50" borderId="44" applyNumberFormat="0" applyProtection="0">
      <alignment horizontal="right" vertical="center"/>
    </xf>
    <xf numFmtId="4" fontId="6" fillId="50" borderId="44" applyNumberFormat="0" applyProtection="0">
      <alignment horizontal="right" vertical="center"/>
    </xf>
    <xf numFmtId="4" fontId="6" fillId="50" borderId="44" applyNumberFormat="0" applyProtection="0">
      <alignment horizontal="right" vertical="center"/>
    </xf>
    <xf numFmtId="4" fontId="6" fillId="50" borderId="44" applyNumberFormat="0" applyProtection="0">
      <alignment horizontal="right" vertical="center"/>
    </xf>
    <xf numFmtId="4" fontId="6" fillId="50" borderId="44" applyNumberFormat="0" applyProtection="0">
      <alignment horizontal="right" vertical="center"/>
    </xf>
    <xf numFmtId="4" fontId="6" fillId="50" borderId="44" applyNumberFormat="0" applyProtection="0">
      <alignment horizontal="right" vertical="center"/>
    </xf>
    <xf numFmtId="4" fontId="6" fillId="50" borderId="44" applyNumberFormat="0" applyProtection="0">
      <alignment horizontal="right" vertical="center"/>
    </xf>
    <xf numFmtId="4" fontId="6" fillId="50" borderId="44" applyNumberFormat="0" applyProtection="0">
      <alignment horizontal="right" vertical="center"/>
    </xf>
    <xf numFmtId="4" fontId="6" fillId="50" borderId="44" applyNumberFormat="0" applyProtection="0">
      <alignment horizontal="right" vertical="center"/>
    </xf>
    <xf numFmtId="4" fontId="6" fillId="50" borderId="44" applyNumberFormat="0" applyProtection="0">
      <alignment horizontal="right" vertical="center"/>
    </xf>
    <xf numFmtId="4" fontId="6" fillId="50" borderId="44" applyNumberFormat="0" applyProtection="0">
      <alignment horizontal="right" vertical="center"/>
    </xf>
    <xf numFmtId="4" fontId="6" fillId="50" borderId="44" applyNumberFormat="0" applyProtection="0">
      <alignment horizontal="right" vertical="center"/>
    </xf>
    <xf numFmtId="4" fontId="6" fillId="50" borderId="44" applyNumberFormat="0" applyProtection="0">
      <alignment horizontal="right" vertical="center"/>
    </xf>
    <xf numFmtId="4" fontId="6" fillId="50" borderId="44" applyNumberFormat="0" applyProtection="0">
      <alignment horizontal="right" vertical="center"/>
    </xf>
    <xf numFmtId="4" fontId="6" fillId="50" borderId="44" applyNumberFormat="0" applyProtection="0">
      <alignment horizontal="right" vertical="center"/>
    </xf>
    <xf numFmtId="4" fontId="6" fillId="50" borderId="44" applyNumberFormat="0" applyProtection="0">
      <alignment horizontal="right" vertical="center"/>
    </xf>
    <xf numFmtId="4" fontId="6" fillId="50" borderId="44" applyNumberFormat="0" applyProtection="0">
      <alignment horizontal="right" vertical="center"/>
    </xf>
    <xf numFmtId="4" fontId="6" fillId="50" borderId="44" applyNumberFormat="0" applyProtection="0">
      <alignment horizontal="right" vertical="center"/>
    </xf>
    <xf numFmtId="4" fontId="6" fillId="50" borderId="44" applyNumberFormat="0" applyProtection="0">
      <alignment horizontal="right" vertical="center"/>
    </xf>
    <xf numFmtId="4" fontId="6" fillId="50" borderId="44" applyNumberFormat="0" applyProtection="0">
      <alignment horizontal="right" vertical="center"/>
    </xf>
    <xf numFmtId="4" fontId="6" fillId="50" borderId="44" applyNumberFormat="0" applyProtection="0">
      <alignment horizontal="right" vertical="center"/>
    </xf>
    <xf numFmtId="4" fontId="6" fillId="50" borderId="44" applyNumberFormat="0" applyProtection="0">
      <alignment horizontal="right" vertical="center"/>
    </xf>
    <xf numFmtId="4" fontId="6" fillId="50" borderId="44" applyNumberFormat="0" applyProtection="0">
      <alignment horizontal="right" vertical="center"/>
    </xf>
    <xf numFmtId="4" fontId="6" fillId="50" borderId="44" applyNumberFormat="0" applyProtection="0">
      <alignment horizontal="right" vertical="center"/>
    </xf>
    <xf numFmtId="4" fontId="6" fillId="50" borderId="44" applyNumberFormat="0" applyProtection="0">
      <alignment horizontal="right" vertical="center"/>
    </xf>
    <xf numFmtId="4" fontId="6" fillId="50" borderId="44" applyNumberFormat="0" applyProtection="0">
      <alignment horizontal="right" vertical="center"/>
    </xf>
    <xf numFmtId="4" fontId="6" fillId="50" borderId="44" applyNumberFormat="0" applyProtection="0">
      <alignment horizontal="right" vertical="center"/>
    </xf>
    <xf numFmtId="4" fontId="6" fillId="50" borderId="44" applyNumberFormat="0" applyProtection="0">
      <alignment horizontal="right" vertical="center"/>
    </xf>
    <xf numFmtId="4" fontId="6" fillId="50" borderId="44" applyNumberFormat="0" applyProtection="0">
      <alignment horizontal="right" vertical="center"/>
    </xf>
    <xf numFmtId="4" fontId="6" fillId="50" borderId="44" applyNumberFormat="0" applyProtection="0">
      <alignment horizontal="right" vertical="center"/>
    </xf>
    <xf numFmtId="4" fontId="6" fillId="50" borderId="44" applyNumberFormat="0" applyProtection="0">
      <alignment horizontal="right" vertical="center"/>
    </xf>
    <xf numFmtId="4" fontId="6" fillId="50" borderId="44" applyNumberFormat="0" applyProtection="0">
      <alignment horizontal="right" vertical="center"/>
    </xf>
    <xf numFmtId="4" fontId="6" fillId="50" borderId="44" applyNumberFormat="0" applyProtection="0">
      <alignment horizontal="right" vertical="center"/>
    </xf>
    <xf numFmtId="4" fontId="6" fillId="50" borderId="44" applyNumberFormat="0" applyProtection="0">
      <alignment horizontal="right" vertical="center"/>
    </xf>
    <xf numFmtId="4" fontId="6" fillId="50" borderId="44" applyNumberFormat="0" applyProtection="0">
      <alignment horizontal="right" vertical="center"/>
    </xf>
    <xf numFmtId="4" fontId="6" fillId="50" borderId="44" applyNumberFormat="0" applyProtection="0">
      <alignment horizontal="right" vertical="center"/>
    </xf>
    <xf numFmtId="4" fontId="6" fillId="50" borderId="44" applyNumberFormat="0" applyProtection="0">
      <alignment horizontal="right" vertical="center"/>
    </xf>
    <xf numFmtId="4" fontId="6" fillId="50" borderId="44" applyNumberFormat="0" applyProtection="0">
      <alignment horizontal="right" vertical="center"/>
    </xf>
    <xf numFmtId="4" fontId="6" fillId="50" borderId="44" applyNumberFormat="0" applyProtection="0">
      <alignment horizontal="right" vertical="center"/>
    </xf>
    <xf numFmtId="4" fontId="6" fillId="51" borderId="44" applyNumberFormat="0" applyProtection="0">
      <alignment horizontal="right" vertical="center"/>
    </xf>
    <xf numFmtId="4" fontId="6" fillId="51" borderId="44" applyNumberFormat="0" applyProtection="0">
      <alignment horizontal="right" vertical="center"/>
    </xf>
    <xf numFmtId="4" fontId="6" fillId="51" borderId="44" applyNumberFormat="0" applyProtection="0">
      <alignment horizontal="right" vertical="center"/>
    </xf>
    <xf numFmtId="4" fontId="6" fillId="51" borderId="44" applyNumberFormat="0" applyProtection="0">
      <alignment horizontal="right" vertical="center"/>
    </xf>
    <xf numFmtId="4" fontId="6" fillId="51" borderId="44" applyNumberFormat="0" applyProtection="0">
      <alignment horizontal="right" vertical="center"/>
    </xf>
    <xf numFmtId="4" fontId="6" fillId="51" borderId="44" applyNumberFormat="0" applyProtection="0">
      <alignment horizontal="right" vertical="center"/>
    </xf>
    <xf numFmtId="4" fontId="6" fillId="51" borderId="44" applyNumberFormat="0" applyProtection="0">
      <alignment horizontal="right" vertical="center"/>
    </xf>
    <xf numFmtId="4" fontId="6" fillId="51" borderId="44" applyNumberFormat="0" applyProtection="0">
      <alignment horizontal="right" vertical="center"/>
    </xf>
    <xf numFmtId="4" fontId="6" fillId="51" borderId="44" applyNumberFormat="0" applyProtection="0">
      <alignment horizontal="right" vertical="center"/>
    </xf>
    <xf numFmtId="4" fontId="6" fillId="51" borderId="44" applyNumberFormat="0" applyProtection="0">
      <alignment horizontal="right" vertical="center"/>
    </xf>
    <xf numFmtId="4" fontId="6" fillId="51" borderId="44" applyNumberFormat="0" applyProtection="0">
      <alignment horizontal="right" vertical="center"/>
    </xf>
    <xf numFmtId="4" fontId="6" fillId="51" borderId="44" applyNumberFormat="0" applyProtection="0">
      <alignment horizontal="right" vertical="center"/>
    </xf>
    <xf numFmtId="4" fontId="6" fillId="51" borderId="44" applyNumberFormat="0" applyProtection="0">
      <alignment horizontal="right" vertical="center"/>
    </xf>
    <xf numFmtId="4" fontId="6" fillId="51" borderId="44" applyNumberFormat="0" applyProtection="0">
      <alignment horizontal="right" vertical="center"/>
    </xf>
    <xf numFmtId="4" fontId="6" fillId="51" borderId="44" applyNumberFormat="0" applyProtection="0">
      <alignment horizontal="right" vertical="center"/>
    </xf>
    <xf numFmtId="4" fontId="6" fillId="51" borderId="44" applyNumberFormat="0" applyProtection="0">
      <alignment horizontal="right" vertical="center"/>
    </xf>
    <xf numFmtId="4" fontId="6" fillId="51" borderId="44" applyNumberFormat="0" applyProtection="0">
      <alignment horizontal="right" vertical="center"/>
    </xf>
    <xf numFmtId="4" fontId="6" fillId="51" borderId="44" applyNumberFormat="0" applyProtection="0">
      <alignment horizontal="right" vertical="center"/>
    </xf>
    <xf numFmtId="4" fontId="6" fillId="51" borderId="44" applyNumberFormat="0" applyProtection="0">
      <alignment horizontal="right" vertical="center"/>
    </xf>
    <xf numFmtId="4" fontId="6" fillId="51" borderId="44" applyNumberFormat="0" applyProtection="0">
      <alignment horizontal="right" vertical="center"/>
    </xf>
    <xf numFmtId="4" fontId="6" fillId="51" borderId="44" applyNumberFormat="0" applyProtection="0">
      <alignment horizontal="right" vertical="center"/>
    </xf>
    <xf numFmtId="4" fontId="6" fillId="51" borderId="44" applyNumberFormat="0" applyProtection="0">
      <alignment horizontal="right" vertical="center"/>
    </xf>
    <xf numFmtId="4" fontId="6" fillId="51" borderId="44" applyNumberFormat="0" applyProtection="0">
      <alignment horizontal="right" vertical="center"/>
    </xf>
    <xf numFmtId="4" fontId="6" fillId="51" borderId="44" applyNumberFormat="0" applyProtection="0">
      <alignment horizontal="right" vertical="center"/>
    </xf>
    <xf numFmtId="4" fontId="6" fillId="51" borderId="44" applyNumberFormat="0" applyProtection="0">
      <alignment horizontal="right" vertical="center"/>
    </xf>
    <xf numFmtId="4" fontId="6" fillId="51" borderId="44" applyNumberFormat="0" applyProtection="0">
      <alignment horizontal="right" vertical="center"/>
    </xf>
    <xf numFmtId="4" fontId="6" fillId="51" borderId="44" applyNumberFormat="0" applyProtection="0">
      <alignment horizontal="right" vertical="center"/>
    </xf>
    <xf numFmtId="4" fontId="6" fillId="51" borderId="44" applyNumberFormat="0" applyProtection="0">
      <alignment horizontal="right" vertical="center"/>
    </xf>
    <xf numFmtId="4" fontId="6" fillId="51" borderId="44" applyNumberFormat="0" applyProtection="0">
      <alignment horizontal="right" vertical="center"/>
    </xf>
    <xf numFmtId="4" fontId="6" fillId="51" borderId="44" applyNumberFormat="0" applyProtection="0">
      <alignment horizontal="right" vertical="center"/>
    </xf>
    <xf numFmtId="4" fontId="6" fillId="51" borderId="44" applyNumberFormat="0" applyProtection="0">
      <alignment horizontal="right" vertical="center"/>
    </xf>
    <xf numFmtId="4" fontId="6" fillId="51" borderId="44" applyNumberFormat="0" applyProtection="0">
      <alignment horizontal="right" vertical="center"/>
    </xf>
    <xf numFmtId="4" fontId="6" fillId="51" borderId="44" applyNumberFormat="0" applyProtection="0">
      <alignment horizontal="right" vertical="center"/>
    </xf>
    <xf numFmtId="4" fontId="6" fillId="51" borderId="44" applyNumberFormat="0" applyProtection="0">
      <alignment horizontal="right" vertical="center"/>
    </xf>
    <xf numFmtId="4" fontId="6" fillId="51" borderId="44" applyNumberFormat="0" applyProtection="0">
      <alignment horizontal="right" vertical="center"/>
    </xf>
    <xf numFmtId="4" fontId="6" fillId="51" borderId="44" applyNumberFormat="0" applyProtection="0">
      <alignment horizontal="right" vertical="center"/>
    </xf>
    <xf numFmtId="4" fontId="6" fillId="51" borderId="44" applyNumberFormat="0" applyProtection="0">
      <alignment horizontal="right" vertical="center"/>
    </xf>
    <xf numFmtId="4" fontId="6" fillId="51" borderId="44" applyNumberFormat="0" applyProtection="0">
      <alignment horizontal="right" vertical="center"/>
    </xf>
    <xf numFmtId="4" fontId="6" fillId="51" borderId="44" applyNumberFormat="0" applyProtection="0">
      <alignment horizontal="right" vertical="center"/>
    </xf>
    <xf numFmtId="4" fontId="6" fillId="51" borderId="44" applyNumberFormat="0" applyProtection="0">
      <alignment horizontal="right" vertical="center"/>
    </xf>
    <xf numFmtId="4" fontId="130" fillId="68" borderId="44" applyNumberFormat="0" applyProtection="0">
      <alignment horizontal="right" vertical="center"/>
    </xf>
    <xf numFmtId="4" fontId="130" fillId="68" borderId="44" applyNumberFormat="0" applyProtection="0">
      <alignment horizontal="right" vertical="center"/>
    </xf>
    <xf numFmtId="4" fontId="130" fillId="68" borderId="44" applyNumberFormat="0" applyProtection="0">
      <alignment horizontal="right" vertical="center"/>
    </xf>
    <xf numFmtId="4" fontId="130" fillId="68" borderId="44" applyNumberFormat="0" applyProtection="0">
      <alignment horizontal="right" vertical="center"/>
    </xf>
    <xf numFmtId="4" fontId="130" fillId="68" borderId="44" applyNumberFormat="0" applyProtection="0">
      <alignment horizontal="right" vertical="center"/>
    </xf>
    <xf numFmtId="4" fontId="130" fillId="68" borderId="44" applyNumberFormat="0" applyProtection="0">
      <alignment horizontal="right" vertical="center"/>
    </xf>
    <xf numFmtId="4" fontId="130" fillId="68" borderId="44" applyNumberFormat="0" applyProtection="0">
      <alignment horizontal="right" vertical="center"/>
    </xf>
    <xf numFmtId="4" fontId="130" fillId="68" borderId="44" applyNumberFormat="0" applyProtection="0">
      <alignment horizontal="right" vertical="center"/>
    </xf>
    <xf numFmtId="4" fontId="130" fillId="68" borderId="44" applyNumberFormat="0" applyProtection="0">
      <alignment horizontal="right" vertical="center"/>
    </xf>
    <xf numFmtId="4" fontId="130" fillId="68" borderId="44" applyNumberFormat="0" applyProtection="0">
      <alignment horizontal="right" vertical="center"/>
    </xf>
    <xf numFmtId="4" fontId="130" fillId="68" borderId="44" applyNumberFormat="0" applyProtection="0">
      <alignment horizontal="right" vertical="center"/>
    </xf>
    <xf numFmtId="4" fontId="130" fillId="68" borderId="44" applyNumberFormat="0" applyProtection="0">
      <alignment horizontal="right" vertical="center"/>
    </xf>
    <xf numFmtId="4" fontId="130" fillId="68" borderId="44" applyNumberFormat="0" applyProtection="0">
      <alignment horizontal="right" vertical="center"/>
    </xf>
    <xf numFmtId="4" fontId="130" fillId="68" borderId="44" applyNumberFormat="0" applyProtection="0">
      <alignment horizontal="right" vertical="center"/>
    </xf>
    <xf numFmtId="4" fontId="130" fillId="68" borderId="44" applyNumberFormat="0" applyProtection="0">
      <alignment horizontal="right" vertical="center"/>
    </xf>
    <xf numFmtId="4" fontId="130" fillId="68" borderId="44" applyNumberFormat="0" applyProtection="0">
      <alignment horizontal="right" vertical="center"/>
    </xf>
    <xf numFmtId="4" fontId="130" fillId="68" borderId="44" applyNumberFormat="0" applyProtection="0">
      <alignment horizontal="right" vertical="center"/>
    </xf>
    <xf numFmtId="4" fontId="130" fillId="68" borderId="44" applyNumberFormat="0" applyProtection="0">
      <alignment horizontal="right" vertical="center"/>
    </xf>
    <xf numFmtId="4" fontId="130" fillId="68" borderId="44" applyNumberFormat="0" applyProtection="0">
      <alignment horizontal="right" vertical="center"/>
    </xf>
    <xf numFmtId="4" fontId="130" fillId="68" borderId="44" applyNumberFormat="0" applyProtection="0">
      <alignment horizontal="right" vertical="center"/>
    </xf>
    <xf numFmtId="4" fontId="130" fillId="65" borderId="44" applyNumberFormat="0" applyProtection="0">
      <alignment horizontal="right" vertical="center"/>
    </xf>
    <xf numFmtId="4" fontId="130" fillId="65" borderId="44" applyNumberFormat="0" applyProtection="0">
      <alignment horizontal="right" vertical="center"/>
    </xf>
    <xf numFmtId="4" fontId="130" fillId="65" borderId="44" applyNumberFormat="0" applyProtection="0">
      <alignment horizontal="right" vertical="center"/>
    </xf>
    <xf numFmtId="4" fontId="130" fillId="65" borderId="44" applyNumberFormat="0" applyProtection="0">
      <alignment horizontal="right" vertical="center"/>
    </xf>
    <xf numFmtId="4" fontId="130" fillId="65" borderId="44" applyNumberFormat="0" applyProtection="0">
      <alignment horizontal="right" vertical="center"/>
    </xf>
    <xf numFmtId="4" fontId="130" fillId="65" borderId="44" applyNumberFormat="0" applyProtection="0">
      <alignment horizontal="right" vertical="center"/>
    </xf>
    <xf numFmtId="4" fontId="130" fillId="65" borderId="44" applyNumberFormat="0" applyProtection="0">
      <alignment horizontal="right" vertical="center"/>
    </xf>
    <xf numFmtId="4" fontId="130" fillId="65" borderId="44" applyNumberFormat="0" applyProtection="0">
      <alignment horizontal="right" vertical="center"/>
    </xf>
    <xf numFmtId="4" fontId="130" fillId="65" borderId="44" applyNumberFormat="0" applyProtection="0">
      <alignment horizontal="right" vertical="center"/>
    </xf>
    <xf numFmtId="4" fontId="130" fillId="65" borderId="44" applyNumberFormat="0" applyProtection="0">
      <alignment horizontal="right" vertical="center"/>
    </xf>
    <xf numFmtId="4" fontId="130" fillId="65" borderId="44" applyNumberFormat="0" applyProtection="0">
      <alignment horizontal="right" vertical="center"/>
    </xf>
    <xf numFmtId="4" fontId="130" fillId="65" borderId="44" applyNumberFormat="0" applyProtection="0">
      <alignment horizontal="right" vertical="center"/>
    </xf>
    <xf numFmtId="4" fontId="130" fillId="65" borderId="44" applyNumberFormat="0" applyProtection="0">
      <alignment horizontal="right" vertical="center"/>
    </xf>
    <xf numFmtId="4" fontId="130" fillId="65" borderId="44" applyNumberFormat="0" applyProtection="0">
      <alignment horizontal="right" vertical="center"/>
    </xf>
    <xf numFmtId="4" fontId="130" fillId="65" borderId="44" applyNumberFormat="0" applyProtection="0">
      <alignment horizontal="right" vertical="center"/>
    </xf>
    <xf numFmtId="4" fontId="130" fillId="65" borderId="44" applyNumberFormat="0" applyProtection="0">
      <alignment horizontal="right" vertical="center"/>
    </xf>
    <xf numFmtId="4" fontId="130" fillId="65" borderId="44" applyNumberFormat="0" applyProtection="0">
      <alignment horizontal="right" vertical="center"/>
    </xf>
    <xf numFmtId="4" fontId="130" fillId="65" borderId="44" applyNumberFormat="0" applyProtection="0">
      <alignment horizontal="right" vertical="center"/>
    </xf>
    <xf numFmtId="4" fontId="130" fillId="65" borderId="44" applyNumberFormat="0" applyProtection="0">
      <alignment horizontal="right" vertical="center"/>
    </xf>
    <xf numFmtId="4" fontId="130" fillId="65" borderId="44" applyNumberFormat="0" applyProtection="0">
      <alignment horizontal="right" vertical="center"/>
    </xf>
    <xf numFmtId="4" fontId="6" fillId="64" borderId="44" applyNumberFormat="0" applyProtection="0">
      <alignment horizontal="right" vertical="center"/>
    </xf>
    <xf numFmtId="4" fontId="6" fillId="64" borderId="44" applyNumberFormat="0" applyProtection="0">
      <alignment horizontal="right" vertical="center"/>
    </xf>
    <xf numFmtId="4" fontId="6" fillId="64" borderId="44" applyNumberFormat="0" applyProtection="0">
      <alignment horizontal="right" vertical="center"/>
    </xf>
    <xf numFmtId="4" fontId="6" fillId="64" borderId="44" applyNumberFormat="0" applyProtection="0">
      <alignment horizontal="right" vertical="center"/>
    </xf>
    <xf numFmtId="4" fontId="6" fillId="64" borderId="44" applyNumberFormat="0" applyProtection="0">
      <alignment horizontal="right" vertical="center"/>
    </xf>
    <xf numFmtId="4" fontId="6" fillId="64" borderId="44" applyNumberFormat="0" applyProtection="0">
      <alignment horizontal="right" vertical="center"/>
    </xf>
    <xf numFmtId="4" fontId="6" fillId="64" borderId="44" applyNumberFormat="0" applyProtection="0">
      <alignment horizontal="right" vertical="center"/>
    </xf>
    <xf numFmtId="4" fontId="6" fillId="64" borderId="44" applyNumberFormat="0" applyProtection="0">
      <alignment horizontal="right" vertical="center"/>
    </xf>
    <xf numFmtId="4" fontId="6" fillId="64" borderId="44" applyNumberFormat="0" applyProtection="0">
      <alignment horizontal="right" vertical="center"/>
    </xf>
    <xf numFmtId="4" fontId="6" fillId="64" borderId="44" applyNumberFormat="0" applyProtection="0">
      <alignment horizontal="right" vertical="center"/>
    </xf>
    <xf numFmtId="4" fontId="6" fillId="64" borderId="44" applyNumberFormat="0" applyProtection="0">
      <alignment horizontal="right" vertical="center"/>
    </xf>
    <xf numFmtId="4" fontId="6" fillId="64" borderId="44" applyNumberFormat="0" applyProtection="0">
      <alignment horizontal="right" vertical="center"/>
    </xf>
    <xf numFmtId="4" fontId="6" fillId="64" borderId="44" applyNumberFormat="0" applyProtection="0">
      <alignment horizontal="right" vertical="center"/>
    </xf>
    <xf numFmtId="4" fontId="6" fillId="64" borderId="44" applyNumberFormat="0" applyProtection="0">
      <alignment horizontal="right" vertical="center"/>
    </xf>
    <xf numFmtId="4" fontId="6" fillId="64" borderId="44" applyNumberFormat="0" applyProtection="0">
      <alignment horizontal="right" vertical="center"/>
    </xf>
    <xf numFmtId="4" fontId="6" fillId="64" borderId="44" applyNumberFormat="0" applyProtection="0">
      <alignment horizontal="right" vertical="center"/>
    </xf>
    <xf numFmtId="4" fontId="6" fillId="64" borderId="44" applyNumberFormat="0" applyProtection="0">
      <alignment horizontal="right" vertical="center"/>
    </xf>
    <xf numFmtId="4" fontId="6" fillId="64" borderId="44" applyNumberFormat="0" applyProtection="0">
      <alignment horizontal="right" vertical="center"/>
    </xf>
    <xf numFmtId="4" fontId="6" fillId="64" borderId="44" applyNumberFormat="0" applyProtection="0">
      <alignment horizontal="right" vertical="center"/>
    </xf>
    <xf numFmtId="4" fontId="6" fillId="64" borderId="44" applyNumberFormat="0" applyProtection="0">
      <alignment horizontal="right" vertical="center"/>
    </xf>
    <xf numFmtId="4" fontId="6" fillId="64" borderId="44" applyNumberFormat="0" applyProtection="0">
      <alignment horizontal="right" vertical="center"/>
    </xf>
    <xf numFmtId="4" fontId="6" fillId="64" borderId="44" applyNumberFormat="0" applyProtection="0">
      <alignment horizontal="right" vertical="center"/>
    </xf>
    <xf numFmtId="4" fontId="6" fillId="64" borderId="44" applyNumberFormat="0" applyProtection="0">
      <alignment horizontal="right" vertical="center"/>
    </xf>
    <xf numFmtId="4" fontId="6" fillId="64" borderId="44" applyNumberFormat="0" applyProtection="0">
      <alignment horizontal="right" vertical="center"/>
    </xf>
    <xf numFmtId="4" fontId="6" fillId="64" borderId="44" applyNumberFormat="0" applyProtection="0">
      <alignment horizontal="right" vertical="center"/>
    </xf>
    <xf numFmtId="4" fontId="6" fillId="64" borderId="44" applyNumberFormat="0" applyProtection="0">
      <alignment horizontal="right" vertical="center"/>
    </xf>
    <xf numFmtId="4" fontId="6" fillId="64" borderId="44" applyNumberFormat="0" applyProtection="0">
      <alignment horizontal="right" vertical="center"/>
    </xf>
    <xf numFmtId="4" fontId="6" fillId="64" borderId="44" applyNumberFormat="0" applyProtection="0">
      <alignment horizontal="right" vertical="center"/>
    </xf>
    <xf numFmtId="4" fontId="6" fillId="64" borderId="44" applyNumberFormat="0" applyProtection="0">
      <alignment horizontal="right" vertical="center"/>
    </xf>
    <xf numFmtId="4" fontId="6" fillId="64" borderId="44" applyNumberFormat="0" applyProtection="0">
      <alignment horizontal="right" vertical="center"/>
    </xf>
    <xf numFmtId="4" fontId="6" fillId="64" borderId="44" applyNumberFormat="0" applyProtection="0">
      <alignment horizontal="right" vertical="center"/>
    </xf>
    <xf numFmtId="4" fontId="6" fillId="64" borderId="44" applyNumberFormat="0" applyProtection="0">
      <alignment horizontal="right" vertical="center"/>
    </xf>
    <xf numFmtId="4" fontId="6" fillId="64" borderId="44" applyNumberFormat="0" applyProtection="0">
      <alignment horizontal="right" vertical="center"/>
    </xf>
    <xf numFmtId="4" fontId="6" fillId="64" borderId="44" applyNumberFormat="0" applyProtection="0">
      <alignment horizontal="right" vertical="center"/>
    </xf>
    <xf numFmtId="4" fontId="6" fillId="64" borderId="44" applyNumberFormat="0" applyProtection="0">
      <alignment horizontal="right" vertical="center"/>
    </xf>
    <xf numFmtId="4" fontId="6" fillId="64" borderId="44" applyNumberFormat="0" applyProtection="0">
      <alignment horizontal="right" vertical="center"/>
    </xf>
    <xf numFmtId="4" fontId="6" fillId="64" borderId="44" applyNumberFormat="0" applyProtection="0">
      <alignment horizontal="right" vertical="center"/>
    </xf>
    <xf numFmtId="4" fontId="6" fillId="64" borderId="44" applyNumberFormat="0" applyProtection="0">
      <alignment horizontal="right" vertical="center"/>
    </xf>
    <xf numFmtId="4" fontId="6" fillId="64" borderId="44" applyNumberFormat="0" applyProtection="0">
      <alignment horizontal="right" vertical="center"/>
    </xf>
    <xf numFmtId="4" fontId="6" fillId="64" borderId="44" applyNumberFormat="0" applyProtection="0">
      <alignment horizontal="right" vertical="center"/>
    </xf>
    <xf numFmtId="4" fontId="37" fillId="90" borderId="0" applyNumberFormat="0" applyProtection="0">
      <alignment horizontal="left" vertical="center" indent="1"/>
    </xf>
    <xf numFmtId="4" fontId="37" fillId="90" borderId="0" applyNumberFormat="0" applyProtection="0">
      <alignment horizontal="left" vertical="center" indent="1"/>
    </xf>
    <xf numFmtId="4" fontId="6" fillId="62" borderId="0" applyNumberFormat="0" applyProtection="0">
      <alignment horizontal="left" vertical="center" indent="1"/>
    </xf>
    <xf numFmtId="4" fontId="6" fillId="62" borderId="0" applyNumberFormat="0" applyProtection="0">
      <alignment horizontal="left" vertical="center" indent="1"/>
    </xf>
    <xf numFmtId="4" fontId="126" fillId="91" borderId="0" applyNumberFormat="0" applyProtection="0">
      <alignment horizontal="left" vertical="center" indent="1"/>
    </xf>
    <xf numFmtId="4" fontId="126" fillId="91" borderId="0" applyNumberFormat="0" applyProtection="0">
      <alignment horizontal="left" vertical="center" indent="1"/>
    </xf>
    <xf numFmtId="4" fontId="6" fillId="62" borderId="43" applyNumberFormat="0" applyProtection="0">
      <alignment horizontal="right" vertical="center"/>
    </xf>
    <xf numFmtId="4" fontId="6" fillId="62" borderId="43" applyNumberFormat="0" applyProtection="0">
      <alignment horizontal="right" vertical="center"/>
    </xf>
    <xf numFmtId="4" fontId="6" fillId="62" borderId="43" applyNumberFormat="0" applyProtection="0">
      <alignment horizontal="right" vertical="center"/>
    </xf>
    <xf numFmtId="4" fontId="6" fillId="62" borderId="43" applyNumberFormat="0" applyProtection="0">
      <alignment horizontal="right" vertical="center"/>
    </xf>
    <xf numFmtId="4" fontId="6" fillId="62" borderId="43" applyNumberFormat="0" applyProtection="0">
      <alignment horizontal="right" vertical="center"/>
    </xf>
    <xf numFmtId="4" fontId="6" fillId="62" borderId="43" applyNumberFormat="0" applyProtection="0">
      <alignment horizontal="right" vertical="center"/>
    </xf>
    <xf numFmtId="4" fontId="6" fillId="62" borderId="43" applyNumberFormat="0" applyProtection="0">
      <alignment horizontal="right" vertical="center"/>
    </xf>
    <xf numFmtId="4" fontId="6" fillId="62" borderId="43" applyNumberFormat="0" applyProtection="0">
      <alignment horizontal="right" vertical="center"/>
    </xf>
    <xf numFmtId="4" fontId="6" fillId="62" borderId="43" applyNumberFormat="0" applyProtection="0">
      <alignment horizontal="right" vertical="center"/>
    </xf>
    <xf numFmtId="4" fontId="6" fillId="62" borderId="43" applyNumberFormat="0" applyProtection="0">
      <alignment horizontal="right" vertical="center"/>
    </xf>
    <xf numFmtId="4" fontId="6" fillId="62" borderId="43" applyNumberFormat="0" applyProtection="0">
      <alignment horizontal="right" vertical="center"/>
    </xf>
    <xf numFmtId="4" fontId="6" fillId="62" borderId="43" applyNumberFormat="0" applyProtection="0">
      <alignment horizontal="right" vertical="center"/>
    </xf>
    <xf numFmtId="4" fontId="6" fillId="62" borderId="43" applyNumberFormat="0" applyProtection="0">
      <alignment horizontal="right" vertical="center"/>
    </xf>
    <xf numFmtId="4" fontId="6" fillId="62" borderId="43" applyNumberFormat="0" applyProtection="0">
      <alignment horizontal="right" vertical="center"/>
    </xf>
    <xf numFmtId="4" fontId="6" fillId="62" borderId="43" applyNumberFormat="0" applyProtection="0">
      <alignment horizontal="right" vertical="center"/>
    </xf>
    <xf numFmtId="4" fontId="6" fillId="62" borderId="43" applyNumberFormat="0" applyProtection="0">
      <alignment horizontal="right" vertical="center"/>
    </xf>
    <xf numFmtId="4" fontId="6" fillId="62" borderId="43" applyNumberFormat="0" applyProtection="0">
      <alignment horizontal="right" vertical="center"/>
    </xf>
    <xf numFmtId="4" fontId="6" fillId="62" borderId="43" applyNumberFormat="0" applyProtection="0">
      <alignment horizontal="right" vertical="center"/>
    </xf>
    <xf numFmtId="4" fontId="6" fillId="62" borderId="43" applyNumberFormat="0" applyProtection="0">
      <alignment horizontal="right" vertical="center"/>
    </xf>
    <xf numFmtId="4" fontId="6" fillId="62" borderId="43" applyNumberFormat="0" applyProtection="0">
      <alignment horizontal="right" vertical="center"/>
    </xf>
    <xf numFmtId="4" fontId="6" fillId="62" borderId="43" applyNumberFormat="0" applyProtection="0">
      <alignment horizontal="right" vertical="center"/>
    </xf>
    <xf numFmtId="4" fontId="6" fillId="62" borderId="43" applyNumberFormat="0" applyProtection="0">
      <alignment horizontal="right" vertical="center"/>
    </xf>
    <xf numFmtId="4" fontId="6" fillId="62" borderId="43" applyNumberFormat="0" applyProtection="0">
      <alignment horizontal="right" vertical="center"/>
    </xf>
    <xf numFmtId="4" fontId="6" fillId="62" borderId="43" applyNumberFormat="0" applyProtection="0">
      <alignment horizontal="right" vertical="center"/>
    </xf>
    <xf numFmtId="4" fontId="6" fillId="62" borderId="43" applyNumberFormat="0" applyProtection="0">
      <alignment horizontal="right" vertical="center"/>
    </xf>
    <xf numFmtId="4" fontId="6" fillId="62" borderId="43" applyNumberFormat="0" applyProtection="0">
      <alignment horizontal="right" vertical="center"/>
    </xf>
    <xf numFmtId="4" fontId="6" fillId="62" borderId="43" applyNumberFormat="0" applyProtection="0">
      <alignment horizontal="right" vertical="center"/>
    </xf>
    <xf numFmtId="4" fontId="6" fillId="62" borderId="43" applyNumberFormat="0" applyProtection="0">
      <alignment horizontal="right" vertical="center"/>
    </xf>
    <xf numFmtId="4" fontId="6" fillId="62" borderId="43" applyNumberFormat="0" applyProtection="0">
      <alignment horizontal="right" vertical="center"/>
    </xf>
    <xf numFmtId="4" fontId="6" fillId="62" borderId="43" applyNumberFormat="0" applyProtection="0">
      <alignment horizontal="right" vertical="center"/>
    </xf>
    <xf numFmtId="4" fontId="6" fillId="62" borderId="43" applyNumberFormat="0" applyProtection="0">
      <alignment horizontal="right" vertical="center"/>
    </xf>
    <xf numFmtId="4" fontId="6" fillId="62" borderId="43" applyNumberFormat="0" applyProtection="0">
      <alignment horizontal="right" vertical="center"/>
    </xf>
    <xf numFmtId="4" fontId="6" fillId="62" borderId="43" applyNumberFormat="0" applyProtection="0">
      <alignment horizontal="right" vertical="center"/>
    </xf>
    <xf numFmtId="4" fontId="6" fillId="62" borderId="43" applyNumberFormat="0" applyProtection="0">
      <alignment horizontal="right" vertical="center"/>
    </xf>
    <xf numFmtId="4" fontId="6" fillId="62" borderId="43" applyNumberFormat="0" applyProtection="0">
      <alignment horizontal="right" vertical="center"/>
    </xf>
    <xf numFmtId="4" fontId="6" fillId="62" borderId="43" applyNumberFormat="0" applyProtection="0">
      <alignment horizontal="right" vertical="center"/>
    </xf>
    <xf numFmtId="4" fontId="6" fillId="62" borderId="43" applyNumberFormat="0" applyProtection="0">
      <alignment horizontal="right" vertical="center"/>
    </xf>
    <xf numFmtId="4" fontId="6" fillId="62" borderId="43" applyNumberFormat="0" applyProtection="0">
      <alignment horizontal="right" vertical="center"/>
    </xf>
    <xf numFmtId="4" fontId="6" fillId="62" borderId="43" applyNumberFormat="0" applyProtection="0">
      <alignment horizontal="right" vertical="center"/>
    </xf>
    <xf numFmtId="4" fontId="6" fillId="62" borderId="43" applyNumberFormat="0" applyProtection="0">
      <alignment horizontal="right" vertical="center"/>
    </xf>
    <xf numFmtId="4" fontId="6" fillId="62" borderId="0" applyNumberFormat="0" applyProtection="0">
      <alignment horizontal="left" vertical="center" indent="1"/>
    </xf>
    <xf numFmtId="4" fontId="6" fillId="62" borderId="0" applyNumberFormat="0" applyProtection="0">
      <alignment horizontal="left" vertical="center" indent="1"/>
    </xf>
    <xf numFmtId="4" fontId="6" fillId="87" borderId="0" applyNumberFormat="0" applyProtection="0">
      <alignment horizontal="left" vertical="center" indent="1"/>
    </xf>
    <xf numFmtId="4" fontId="6" fillId="87" borderId="0"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3" applyNumberFormat="0" applyProtection="0">
      <alignment horizontal="left" vertical="center"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4" fontId="67" fillId="92" borderId="44" applyNumberFormat="0" applyProtection="0">
      <alignment vertical="center"/>
    </xf>
    <xf numFmtId="4" fontId="67" fillId="92" borderId="44" applyNumberFormat="0" applyProtection="0">
      <alignment vertical="center"/>
    </xf>
    <xf numFmtId="4" fontId="67" fillId="92" borderId="44" applyNumberFormat="0" applyProtection="0">
      <alignment vertical="center"/>
    </xf>
    <xf numFmtId="4" fontId="67" fillId="92" borderId="44" applyNumberFormat="0" applyProtection="0">
      <alignment vertical="center"/>
    </xf>
    <xf numFmtId="4" fontId="67" fillId="92" borderId="44" applyNumberFormat="0" applyProtection="0">
      <alignment vertical="center"/>
    </xf>
    <xf numFmtId="4" fontId="67" fillId="92" borderId="44" applyNumberFormat="0" applyProtection="0">
      <alignment vertical="center"/>
    </xf>
    <xf numFmtId="4" fontId="67" fillId="92" borderId="44" applyNumberFormat="0" applyProtection="0">
      <alignment vertical="center"/>
    </xf>
    <xf numFmtId="4" fontId="67" fillId="92" borderId="44" applyNumberFormat="0" applyProtection="0">
      <alignment vertical="center"/>
    </xf>
    <xf numFmtId="4" fontId="67" fillId="92" borderId="44" applyNumberFormat="0" applyProtection="0">
      <alignment vertical="center"/>
    </xf>
    <xf numFmtId="4" fontId="67" fillId="92" borderId="44" applyNumberFormat="0" applyProtection="0">
      <alignment vertical="center"/>
    </xf>
    <xf numFmtId="4" fontId="67" fillId="92" borderId="44" applyNumberFormat="0" applyProtection="0">
      <alignment vertical="center"/>
    </xf>
    <xf numFmtId="4" fontId="67" fillId="92" borderId="44" applyNumberFormat="0" applyProtection="0">
      <alignment vertical="center"/>
    </xf>
    <xf numFmtId="4" fontId="67" fillId="92" borderId="44" applyNumberFormat="0" applyProtection="0">
      <alignment vertical="center"/>
    </xf>
    <xf numFmtId="4" fontId="67" fillId="92" borderId="44" applyNumberFormat="0" applyProtection="0">
      <alignment vertical="center"/>
    </xf>
    <xf numFmtId="4" fontId="67" fillId="92" borderId="44" applyNumberFormat="0" applyProtection="0">
      <alignment vertical="center"/>
    </xf>
    <xf numFmtId="4" fontId="67" fillId="92" borderId="44" applyNumberFormat="0" applyProtection="0">
      <alignment vertical="center"/>
    </xf>
    <xf numFmtId="4" fontId="67" fillId="92" borderId="44" applyNumberFormat="0" applyProtection="0">
      <alignment vertical="center"/>
    </xf>
    <xf numFmtId="4" fontId="67" fillId="92" borderId="44" applyNumberFormat="0" applyProtection="0">
      <alignment vertical="center"/>
    </xf>
    <xf numFmtId="4" fontId="67" fillId="92" borderId="44" applyNumberFormat="0" applyProtection="0">
      <alignment vertical="center"/>
    </xf>
    <xf numFmtId="4" fontId="67" fillId="92" borderId="44" applyNumberFormat="0" applyProtection="0">
      <alignment vertical="center"/>
    </xf>
    <xf numFmtId="4" fontId="131" fillId="92" borderId="44" applyNumberFormat="0" applyProtection="0">
      <alignment vertical="center"/>
    </xf>
    <xf numFmtId="4" fontId="131" fillId="92" borderId="44" applyNumberFormat="0" applyProtection="0">
      <alignment vertical="center"/>
    </xf>
    <xf numFmtId="4" fontId="131" fillId="92" borderId="44" applyNumberFormat="0" applyProtection="0">
      <alignment vertical="center"/>
    </xf>
    <xf numFmtId="4" fontId="131" fillId="92" borderId="44" applyNumberFormat="0" applyProtection="0">
      <alignment vertical="center"/>
    </xf>
    <xf numFmtId="4" fontId="131" fillId="92" borderId="44" applyNumberFormat="0" applyProtection="0">
      <alignment vertical="center"/>
    </xf>
    <xf numFmtId="4" fontId="131" fillId="92" borderId="44" applyNumberFormat="0" applyProtection="0">
      <alignment vertical="center"/>
    </xf>
    <xf numFmtId="4" fontId="131" fillId="92" borderId="44" applyNumberFormat="0" applyProtection="0">
      <alignment vertical="center"/>
    </xf>
    <xf numFmtId="4" fontId="131" fillId="92" borderId="44" applyNumberFormat="0" applyProtection="0">
      <alignment vertical="center"/>
    </xf>
    <xf numFmtId="4" fontId="131" fillId="92" borderId="44" applyNumberFormat="0" applyProtection="0">
      <alignment vertical="center"/>
    </xf>
    <xf numFmtId="4" fontId="131" fillId="92" borderId="44" applyNumberFormat="0" applyProtection="0">
      <alignment vertical="center"/>
    </xf>
    <xf numFmtId="4" fontId="131" fillId="92" borderId="44" applyNumberFormat="0" applyProtection="0">
      <alignment vertical="center"/>
    </xf>
    <xf numFmtId="4" fontId="131" fillId="92" borderId="44" applyNumberFormat="0" applyProtection="0">
      <alignment vertical="center"/>
    </xf>
    <xf numFmtId="4" fontId="131" fillId="92" borderId="44" applyNumberFormat="0" applyProtection="0">
      <alignment vertical="center"/>
    </xf>
    <xf numFmtId="4" fontId="131" fillId="92" borderId="44" applyNumberFormat="0" applyProtection="0">
      <alignment vertical="center"/>
    </xf>
    <xf numFmtId="4" fontId="131" fillId="92" borderId="44" applyNumberFormat="0" applyProtection="0">
      <alignment vertical="center"/>
    </xf>
    <xf numFmtId="4" fontId="131" fillId="92" borderId="44" applyNumberFormat="0" applyProtection="0">
      <alignment vertical="center"/>
    </xf>
    <xf numFmtId="4" fontId="131" fillId="92" borderId="44" applyNumberFormat="0" applyProtection="0">
      <alignment vertical="center"/>
    </xf>
    <xf numFmtId="4" fontId="131" fillId="92" borderId="44" applyNumberFormat="0" applyProtection="0">
      <alignment vertical="center"/>
    </xf>
    <xf numFmtId="4" fontId="131" fillId="92" borderId="44" applyNumberFormat="0" applyProtection="0">
      <alignment vertical="center"/>
    </xf>
    <xf numFmtId="4" fontId="131" fillId="92" borderId="44" applyNumberFormat="0" applyProtection="0">
      <alignment vertical="center"/>
    </xf>
    <xf numFmtId="4" fontId="6" fillId="62" borderId="44" applyNumberFormat="0" applyProtection="0">
      <alignment horizontal="left" vertical="center" indent="1"/>
    </xf>
    <xf numFmtId="4" fontId="6" fillId="62" borderId="44" applyNumberFormat="0" applyProtection="0">
      <alignment horizontal="left" vertical="center" indent="1"/>
    </xf>
    <xf numFmtId="4" fontId="6" fillId="62" borderId="44" applyNumberFormat="0" applyProtection="0">
      <alignment horizontal="left" vertical="center" indent="1"/>
    </xf>
    <xf numFmtId="4" fontId="6" fillId="62" borderId="44" applyNumberFormat="0" applyProtection="0">
      <alignment horizontal="left" vertical="center" indent="1"/>
    </xf>
    <xf numFmtId="4" fontId="6" fillId="62" borderId="44" applyNumberFormat="0" applyProtection="0">
      <alignment horizontal="left" vertical="center" indent="1"/>
    </xf>
    <xf numFmtId="4" fontId="6" fillId="62" borderId="44" applyNumberFormat="0" applyProtection="0">
      <alignment horizontal="left" vertical="center" indent="1"/>
    </xf>
    <xf numFmtId="4" fontId="6" fillId="62" borderId="44" applyNumberFormat="0" applyProtection="0">
      <alignment horizontal="left" vertical="center" indent="1"/>
    </xf>
    <xf numFmtId="4" fontId="6" fillId="62" borderId="44" applyNumberFormat="0" applyProtection="0">
      <alignment horizontal="left" vertical="center" indent="1"/>
    </xf>
    <xf numFmtId="4" fontId="6" fillId="62" borderId="44" applyNumberFormat="0" applyProtection="0">
      <alignment horizontal="left" vertical="center" indent="1"/>
    </xf>
    <xf numFmtId="4" fontId="6" fillId="62" borderId="44" applyNumberFormat="0" applyProtection="0">
      <alignment horizontal="left" vertical="center" indent="1"/>
    </xf>
    <xf numFmtId="4" fontId="6" fillId="62" borderId="44" applyNumberFormat="0" applyProtection="0">
      <alignment horizontal="left" vertical="center" indent="1"/>
    </xf>
    <xf numFmtId="4" fontId="6" fillId="62" borderId="44" applyNumberFormat="0" applyProtection="0">
      <alignment horizontal="left" vertical="center" indent="1"/>
    </xf>
    <xf numFmtId="4" fontId="6" fillId="62" borderId="44" applyNumberFormat="0" applyProtection="0">
      <alignment horizontal="left" vertical="center" indent="1"/>
    </xf>
    <xf numFmtId="4" fontId="6" fillId="62" borderId="44" applyNumberFormat="0" applyProtection="0">
      <alignment horizontal="left" vertical="center" indent="1"/>
    </xf>
    <xf numFmtId="4" fontId="6" fillId="62" borderId="44" applyNumberFormat="0" applyProtection="0">
      <alignment horizontal="left" vertical="center" indent="1"/>
    </xf>
    <xf numFmtId="4" fontId="6" fillId="62" borderId="44" applyNumberFormat="0" applyProtection="0">
      <alignment horizontal="left" vertical="center" indent="1"/>
    </xf>
    <xf numFmtId="4" fontId="6" fillId="62" borderId="44" applyNumberFormat="0" applyProtection="0">
      <alignment horizontal="left" vertical="center" indent="1"/>
    </xf>
    <xf numFmtId="4" fontId="6" fillId="62" borderId="44" applyNumberFormat="0" applyProtection="0">
      <alignment horizontal="left" vertical="center" indent="1"/>
    </xf>
    <xf numFmtId="4" fontId="6" fillId="62" borderId="44" applyNumberFormat="0" applyProtection="0">
      <alignment horizontal="left" vertical="center" indent="1"/>
    </xf>
    <xf numFmtId="4" fontId="6" fillId="62" borderId="44" applyNumberFormat="0" applyProtection="0">
      <alignment horizontal="left" vertical="center" indent="1"/>
    </xf>
    <xf numFmtId="4" fontId="6" fillId="62" borderId="44" applyNumberFormat="0" applyProtection="0">
      <alignment horizontal="left" vertical="center" indent="1"/>
    </xf>
    <xf numFmtId="4" fontId="6" fillId="62" borderId="44" applyNumberFormat="0" applyProtection="0">
      <alignment horizontal="left" vertical="center" indent="1"/>
    </xf>
    <xf numFmtId="4" fontId="6" fillId="62" borderId="44" applyNumberFormat="0" applyProtection="0">
      <alignment horizontal="left" vertical="center" indent="1"/>
    </xf>
    <xf numFmtId="4" fontId="6" fillId="62" borderId="44" applyNumberFormat="0" applyProtection="0">
      <alignment horizontal="left" vertical="center" indent="1"/>
    </xf>
    <xf numFmtId="4" fontId="6" fillId="62" borderId="44" applyNumberFormat="0" applyProtection="0">
      <alignment horizontal="left" vertical="center" indent="1"/>
    </xf>
    <xf numFmtId="4" fontId="6" fillId="62" borderId="44" applyNumberFormat="0" applyProtection="0">
      <alignment horizontal="left" vertical="center" indent="1"/>
    </xf>
    <xf numFmtId="4" fontId="6" fillId="62" borderId="44" applyNumberFormat="0" applyProtection="0">
      <alignment horizontal="left" vertical="center" indent="1"/>
    </xf>
    <xf numFmtId="4" fontId="6" fillId="62" borderId="44" applyNumberFormat="0" applyProtection="0">
      <alignment horizontal="left" vertical="center" indent="1"/>
    </xf>
    <xf numFmtId="4" fontId="6" fillId="62" borderId="44" applyNumberFormat="0" applyProtection="0">
      <alignment horizontal="left" vertical="center" indent="1"/>
    </xf>
    <xf numFmtId="4" fontId="6" fillId="62" borderId="44" applyNumberFormat="0" applyProtection="0">
      <alignment horizontal="left" vertical="center" indent="1"/>
    </xf>
    <xf numFmtId="4" fontId="6" fillId="62" borderId="44" applyNumberFormat="0" applyProtection="0">
      <alignment horizontal="left" vertical="center" indent="1"/>
    </xf>
    <xf numFmtId="4" fontId="6" fillId="62" borderId="44" applyNumberFormat="0" applyProtection="0">
      <alignment horizontal="left" vertical="center" indent="1"/>
    </xf>
    <xf numFmtId="4" fontId="6" fillId="62" borderId="44" applyNumberFormat="0" applyProtection="0">
      <alignment horizontal="left" vertical="center" indent="1"/>
    </xf>
    <xf numFmtId="4" fontId="6" fillId="62" borderId="44" applyNumberFormat="0" applyProtection="0">
      <alignment horizontal="left" vertical="center" indent="1"/>
    </xf>
    <xf numFmtId="4" fontId="6" fillId="62" borderId="44" applyNumberFormat="0" applyProtection="0">
      <alignment horizontal="left" vertical="center" indent="1"/>
    </xf>
    <xf numFmtId="4" fontId="6" fillId="62" borderId="44" applyNumberFormat="0" applyProtection="0">
      <alignment horizontal="left" vertical="center" indent="1"/>
    </xf>
    <xf numFmtId="4" fontId="6" fillId="62" borderId="44" applyNumberFormat="0" applyProtection="0">
      <alignment horizontal="left" vertical="center" indent="1"/>
    </xf>
    <xf numFmtId="4" fontId="6" fillId="62" borderId="44" applyNumberFormat="0" applyProtection="0">
      <alignment horizontal="left" vertical="center" indent="1"/>
    </xf>
    <xf numFmtId="4" fontId="6" fillId="62" borderId="44" applyNumberFormat="0" applyProtection="0">
      <alignment horizontal="left" vertical="center" indent="1"/>
    </xf>
    <xf numFmtId="4" fontId="6" fillId="62" borderId="44" applyNumberFormat="0" applyProtection="0">
      <alignment horizontal="left" vertical="center"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0" fontId="6" fillId="62" borderId="44" applyNumberFormat="0" applyProtection="0">
      <alignment horizontal="left" vertical="top" indent="1"/>
    </xf>
    <xf numFmtId="4" fontId="6" fillId="93" borderId="43" applyNumberFormat="0" applyProtection="0">
      <alignment horizontal="right" vertical="center"/>
    </xf>
    <xf numFmtId="4" fontId="6" fillId="93" borderId="43" applyNumberFormat="0" applyProtection="0">
      <alignment horizontal="right" vertical="center"/>
    </xf>
    <xf numFmtId="4" fontId="6" fillId="93" borderId="43" applyNumberFormat="0" applyProtection="0">
      <alignment horizontal="right" vertical="center"/>
    </xf>
    <xf numFmtId="4" fontId="6" fillId="93" borderId="43" applyNumberFormat="0" applyProtection="0">
      <alignment horizontal="right" vertical="center"/>
    </xf>
    <xf numFmtId="4" fontId="6" fillId="93" borderId="43" applyNumberFormat="0" applyProtection="0">
      <alignment horizontal="right" vertical="center"/>
    </xf>
    <xf numFmtId="4" fontId="6" fillId="93" borderId="43" applyNumberFormat="0" applyProtection="0">
      <alignment horizontal="right" vertical="center"/>
    </xf>
    <xf numFmtId="4" fontId="6" fillId="93" borderId="43" applyNumberFormat="0" applyProtection="0">
      <alignment horizontal="right" vertical="center"/>
    </xf>
    <xf numFmtId="4" fontId="6" fillId="93" borderId="43" applyNumberFormat="0" applyProtection="0">
      <alignment horizontal="right" vertical="center"/>
    </xf>
    <xf numFmtId="4" fontId="6" fillId="93" borderId="43" applyNumberFormat="0" applyProtection="0">
      <alignment horizontal="right" vertical="center"/>
    </xf>
    <xf numFmtId="4" fontId="6" fillId="93" borderId="43" applyNumberFormat="0" applyProtection="0">
      <alignment horizontal="right" vertical="center"/>
    </xf>
    <xf numFmtId="4" fontId="6" fillId="93" borderId="43" applyNumberFormat="0" applyProtection="0">
      <alignment horizontal="right" vertical="center"/>
    </xf>
    <xf numFmtId="4" fontId="6" fillId="93" borderId="43" applyNumberFormat="0" applyProtection="0">
      <alignment horizontal="right" vertical="center"/>
    </xf>
    <xf numFmtId="4" fontId="6" fillId="93" borderId="43" applyNumberFormat="0" applyProtection="0">
      <alignment horizontal="right" vertical="center"/>
    </xf>
    <xf numFmtId="4" fontId="6" fillId="93" borderId="43" applyNumberFormat="0" applyProtection="0">
      <alignment horizontal="right" vertical="center"/>
    </xf>
    <xf numFmtId="4" fontId="6" fillId="93" borderId="43" applyNumberFormat="0" applyProtection="0">
      <alignment horizontal="right" vertical="center"/>
    </xf>
    <xf numFmtId="4" fontId="6" fillId="93" borderId="43" applyNumberFormat="0" applyProtection="0">
      <alignment horizontal="right" vertical="center"/>
    </xf>
    <xf numFmtId="4" fontId="6" fillId="93" borderId="43" applyNumberFormat="0" applyProtection="0">
      <alignment horizontal="right" vertical="center"/>
    </xf>
    <xf numFmtId="4" fontId="6" fillId="93" borderId="43" applyNumberFormat="0" applyProtection="0">
      <alignment horizontal="right" vertical="center"/>
    </xf>
    <xf numFmtId="4" fontId="6" fillId="93" borderId="43" applyNumberFormat="0" applyProtection="0">
      <alignment horizontal="right" vertical="center"/>
    </xf>
    <xf numFmtId="4" fontId="6" fillId="93" borderId="43" applyNumberFormat="0" applyProtection="0">
      <alignment horizontal="right" vertical="center"/>
    </xf>
    <xf numFmtId="4" fontId="6" fillId="93" borderId="43" applyNumberFormat="0" applyProtection="0">
      <alignment horizontal="right" vertical="center"/>
    </xf>
    <xf numFmtId="4" fontId="6" fillId="93" borderId="43" applyNumberFormat="0" applyProtection="0">
      <alignment horizontal="right" vertical="center"/>
    </xf>
    <xf numFmtId="4" fontId="6" fillId="93" borderId="43" applyNumberFormat="0" applyProtection="0">
      <alignment horizontal="right" vertical="center"/>
    </xf>
    <xf numFmtId="4" fontId="6" fillId="93" borderId="43" applyNumberFormat="0" applyProtection="0">
      <alignment horizontal="right" vertical="center"/>
    </xf>
    <xf numFmtId="4" fontId="6" fillId="93" borderId="43" applyNumberFormat="0" applyProtection="0">
      <alignment horizontal="right" vertical="center"/>
    </xf>
    <xf numFmtId="4" fontId="6" fillId="93" borderId="43" applyNumberFormat="0" applyProtection="0">
      <alignment horizontal="right" vertical="center"/>
    </xf>
    <xf numFmtId="4" fontId="6" fillId="93" borderId="43" applyNumberFormat="0" applyProtection="0">
      <alignment horizontal="right" vertical="center"/>
    </xf>
    <xf numFmtId="4" fontId="6" fillId="93" borderId="43" applyNumberFormat="0" applyProtection="0">
      <alignment horizontal="right" vertical="center"/>
    </xf>
    <xf numFmtId="4" fontId="6" fillId="93" borderId="43" applyNumberFormat="0" applyProtection="0">
      <alignment horizontal="right" vertical="center"/>
    </xf>
    <xf numFmtId="4" fontId="6" fillId="93" borderId="43" applyNumberFormat="0" applyProtection="0">
      <alignment horizontal="right" vertical="center"/>
    </xf>
    <xf numFmtId="4" fontId="6" fillId="93" borderId="43" applyNumberFormat="0" applyProtection="0">
      <alignment horizontal="right" vertical="center"/>
    </xf>
    <xf numFmtId="4" fontId="6" fillId="93" borderId="43" applyNumberFormat="0" applyProtection="0">
      <alignment horizontal="right" vertical="center"/>
    </xf>
    <xf numFmtId="4" fontId="6" fillId="93" borderId="43" applyNumberFormat="0" applyProtection="0">
      <alignment horizontal="right" vertical="center"/>
    </xf>
    <xf numFmtId="4" fontId="6" fillId="93" borderId="43" applyNumberFormat="0" applyProtection="0">
      <alignment horizontal="right" vertical="center"/>
    </xf>
    <xf numFmtId="4" fontId="6" fillId="93" borderId="43" applyNumberFormat="0" applyProtection="0">
      <alignment horizontal="right" vertical="center"/>
    </xf>
    <xf numFmtId="4" fontId="6" fillId="93" borderId="43" applyNumberFormat="0" applyProtection="0">
      <alignment horizontal="right" vertical="center"/>
    </xf>
    <xf numFmtId="4" fontId="6" fillId="93" borderId="43" applyNumberFormat="0" applyProtection="0">
      <alignment horizontal="right" vertical="center"/>
    </xf>
    <xf numFmtId="4" fontId="6" fillId="93" borderId="43" applyNumberFormat="0" applyProtection="0">
      <alignment horizontal="right" vertical="center"/>
    </xf>
    <xf numFmtId="4" fontId="6" fillId="93" borderId="43" applyNumberFormat="0" applyProtection="0">
      <alignment horizontal="right" vertical="center"/>
    </xf>
    <xf numFmtId="4" fontId="6" fillId="93" borderId="43" applyNumberFormat="0" applyProtection="0">
      <alignment horizontal="right" vertical="center"/>
    </xf>
    <xf numFmtId="4" fontId="37" fillId="93" borderId="43" applyNumberFormat="0" applyProtection="0">
      <alignment horizontal="right" vertical="center"/>
    </xf>
    <xf numFmtId="4" fontId="37" fillId="93" borderId="43" applyNumberFormat="0" applyProtection="0">
      <alignment horizontal="right" vertical="center"/>
    </xf>
    <xf numFmtId="4" fontId="37" fillId="93" borderId="43" applyNumberFormat="0" applyProtection="0">
      <alignment horizontal="right" vertical="center"/>
    </xf>
    <xf numFmtId="4" fontId="37" fillId="93" borderId="43" applyNumberFormat="0" applyProtection="0">
      <alignment horizontal="right" vertical="center"/>
    </xf>
    <xf numFmtId="4" fontId="37" fillId="93" borderId="43" applyNumberFormat="0" applyProtection="0">
      <alignment horizontal="right" vertical="center"/>
    </xf>
    <xf numFmtId="4" fontId="37" fillId="93" borderId="43" applyNumberFormat="0" applyProtection="0">
      <alignment horizontal="right" vertical="center"/>
    </xf>
    <xf numFmtId="4" fontId="37" fillId="93" borderId="43" applyNumberFormat="0" applyProtection="0">
      <alignment horizontal="right" vertical="center"/>
    </xf>
    <xf numFmtId="4" fontId="37" fillId="93" borderId="43" applyNumberFormat="0" applyProtection="0">
      <alignment horizontal="right" vertical="center"/>
    </xf>
    <xf numFmtId="4" fontId="37" fillId="93" borderId="43" applyNumberFormat="0" applyProtection="0">
      <alignment horizontal="right" vertical="center"/>
    </xf>
    <xf numFmtId="4" fontId="37" fillId="93" borderId="43" applyNumberFormat="0" applyProtection="0">
      <alignment horizontal="right" vertical="center"/>
    </xf>
    <xf numFmtId="4" fontId="37" fillId="93" borderId="43" applyNumberFormat="0" applyProtection="0">
      <alignment horizontal="right" vertical="center"/>
    </xf>
    <xf numFmtId="4" fontId="37" fillId="93" borderId="43" applyNumberFormat="0" applyProtection="0">
      <alignment horizontal="right" vertical="center"/>
    </xf>
    <xf numFmtId="4" fontId="37" fillId="93" borderId="43" applyNumberFormat="0" applyProtection="0">
      <alignment horizontal="right" vertical="center"/>
    </xf>
    <xf numFmtId="4" fontId="37" fillId="93" borderId="43" applyNumberFormat="0" applyProtection="0">
      <alignment horizontal="right" vertical="center"/>
    </xf>
    <xf numFmtId="4" fontId="37" fillId="93" borderId="43" applyNumberFormat="0" applyProtection="0">
      <alignment horizontal="right" vertical="center"/>
    </xf>
    <xf numFmtId="4" fontId="37" fillId="93" borderId="43" applyNumberFormat="0" applyProtection="0">
      <alignment horizontal="right" vertical="center"/>
    </xf>
    <xf numFmtId="4" fontId="37" fillId="93" borderId="43" applyNumberFormat="0" applyProtection="0">
      <alignment horizontal="right" vertical="center"/>
    </xf>
    <xf numFmtId="4" fontId="37" fillId="93" borderId="43" applyNumberFormat="0" applyProtection="0">
      <alignment horizontal="right" vertical="center"/>
    </xf>
    <xf numFmtId="4" fontId="37" fillId="93" borderId="43" applyNumberFormat="0" applyProtection="0">
      <alignment horizontal="right" vertical="center"/>
    </xf>
    <xf numFmtId="4" fontId="37" fillId="93" borderId="43" applyNumberFormat="0" applyProtection="0">
      <alignment horizontal="right" vertical="center"/>
    </xf>
    <xf numFmtId="4" fontId="37" fillId="93" borderId="43" applyNumberFormat="0" applyProtection="0">
      <alignment horizontal="right" vertical="center"/>
    </xf>
    <xf numFmtId="4" fontId="37" fillId="93" borderId="43" applyNumberFormat="0" applyProtection="0">
      <alignment horizontal="right" vertical="center"/>
    </xf>
    <xf numFmtId="4" fontId="37" fillId="93" borderId="43" applyNumberFormat="0" applyProtection="0">
      <alignment horizontal="right" vertical="center"/>
    </xf>
    <xf numFmtId="4" fontId="37" fillId="93" borderId="43" applyNumberFormat="0" applyProtection="0">
      <alignment horizontal="right" vertical="center"/>
    </xf>
    <xf numFmtId="4" fontId="37" fillId="93" borderId="43" applyNumberFormat="0" applyProtection="0">
      <alignment horizontal="right" vertical="center"/>
    </xf>
    <xf numFmtId="4" fontId="37" fillId="93" borderId="43" applyNumberFormat="0" applyProtection="0">
      <alignment horizontal="right" vertical="center"/>
    </xf>
    <xf numFmtId="4" fontId="37" fillId="93" borderId="43" applyNumberFormat="0" applyProtection="0">
      <alignment horizontal="right" vertical="center"/>
    </xf>
    <xf numFmtId="4" fontId="37" fillId="93" borderId="43" applyNumberFormat="0" applyProtection="0">
      <alignment horizontal="right" vertical="center"/>
    </xf>
    <xf numFmtId="4" fontId="37" fillId="93" borderId="43" applyNumberFormat="0" applyProtection="0">
      <alignment horizontal="right" vertical="center"/>
    </xf>
    <xf numFmtId="4" fontId="37" fillId="93" borderId="43" applyNumberFormat="0" applyProtection="0">
      <alignment horizontal="right" vertical="center"/>
    </xf>
    <xf numFmtId="4" fontId="37" fillId="93" borderId="43" applyNumberFormat="0" applyProtection="0">
      <alignment horizontal="right" vertical="center"/>
    </xf>
    <xf numFmtId="4" fontId="37" fillId="93" borderId="43" applyNumberFormat="0" applyProtection="0">
      <alignment horizontal="right" vertical="center"/>
    </xf>
    <xf numFmtId="4" fontId="37" fillId="93" borderId="43" applyNumberFormat="0" applyProtection="0">
      <alignment horizontal="right" vertical="center"/>
    </xf>
    <xf numFmtId="4" fontId="37" fillId="93" borderId="43" applyNumberFormat="0" applyProtection="0">
      <alignment horizontal="right" vertical="center"/>
    </xf>
    <xf numFmtId="4" fontId="37" fillId="93" borderId="43" applyNumberFormat="0" applyProtection="0">
      <alignment horizontal="right" vertical="center"/>
    </xf>
    <xf numFmtId="4" fontId="37" fillId="93" borderId="43" applyNumberFormat="0" applyProtection="0">
      <alignment horizontal="right" vertical="center"/>
    </xf>
    <xf numFmtId="4" fontId="37" fillId="93" borderId="43" applyNumberFormat="0" applyProtection="0">
      <alignment horizontal="right" vertical="center"/>
    </xf>
    <xf numFmtId="4" fontId="37" fillId="93" borderId="43" applyNumberFormat="0" applyProtection="0">
      <alignment horizontal="right" vertical="center"/>
    </xf>
    <xf numFmtId="4" fontId="37" fillId="93" borderId="43" applyNumberFormat="0" applyProtection="0">
      <alignment horizontal="right" vertical="center"/>
    </xf>
    <xf numFmtId="4" fontId="37" fillId="93" borderId="43" applyNumberFormat="0" applyProtection="0">
      <alignment horizontal="right" vertical="center"/>
    </xf>
    <xf numFmtId="4" fontId="6" fillId="62" borderId="43" applyNumberFormat="0" applyProtection="0">
      <alignment horizontal="left" vertical="center" indent="1"/>
    </xf>
    <xf numFmtId="4" fontId="6" fillId="62" borderId="43" applyNumberFormat="0" applyProtection="0">
      <alignment horizontal="left" vertical="center" indent="1"/>
    </xf>
    <xf numFmtId="4" fontId="6" fillId="62" borderId="43" applyNumberFormat="0" applyProtection="0">
      <alignment horizontal="left" vertical="center" indent="1"/>
    </xf>
    <xf numFmtId="4" fontId="6" fillId="62" borderId="43" applyNumberFormat="0" applyProtection="0">
      <alignment horizontal="left" vertical="center" indent="1"/>
    </xf>
    <xf numFmtId="4" fontId="6" fillId="62" borderId="43" applyNumberFormat="0" applyProtection="0">
      <alignment horizontal="left" vertical="center" indent="1"/>
    </xf>
    <xf numFmtId="4" fontId="6" fillId="62" borderId="43" applyNumberFormat="0" applyProtection="0">
      <alignment horizontal="left" vertical="center" indent="1"/>
    </xf>
    <xf numFmtId="4" fontId="6" fillId="62" borderId="43" applyNumberFormat="0" applyProtection="0">
      <alignment horizontal="left" vertical="center" indent="1"/>
    </xf>
    <xf numFmtId="4" fontId="6" fillId="62" borderId="43" applyNumberFormat="0" applyProtection="0">
      <alignment horizontal="left" vertical="center" indent="1"/>
    </xf>
    <xf numFmtId="4" fontId="6" fillId="62" borderId="43" applyNumberFormat="0" applyProtection="0">
      <alignment horizontal="left" vertical="center" indent="1"/>
    </xf>
    <xf numFmtId="4" fontId="6" fillId="62" borderId="43" applyNumberFormat="0" applyProtection="0">
      <alignment horizontal="left" vertical="center" indent="1"/>
    </xf>
    <xf numFmtId="4" fontId="6" fillId="62" borderId="43" applyNumberFormat="0" applyProtection="0">
      <alignment horizontal="left" vertical="center" indent="1"/>
    </xf>
    <xf numFmtId="4" fontId="6" fillId="62" borderId="43" applyNumberFormat="0" applyProtection="0">
      <alignment horizontal="left" vertical="center" indent="1"/>
    </xf>
    <xf numFmtId="4" fontId="6" fillId="62" borderId="43" applyNumberFormat="0" applyProtection="0">
      <alignment horizontal="left" vertical="center" indent="1"/>
    </xf>
    <xf numFmtId="4" fontId="6" fillId="62" borderId="43" applyNumberFormat="0" applyProtection="0">
      <alignment horizontal="left" vertical="center" indent="1"/>
    </xf>
    <xf numFmtId="4" fontId="6" fillId="62" borderId="43" applyNumberFormat="0" applyProtection="0">
      <alignment horizontal="left" vertical="center" indent="1"/>
    </xf>
    <xf numFmtId="4" fontId="6" fillId="62" borderId="43" applyNumberFormat="0" applyProtection="0">
      <alignment horizontal="left" vertical="center" indent="1"/>
    </xf>
    <xf numFmtId="4" fontId="6" fillId="62" borderId="43" applyNumberFormat="0" applyProtection="0">
      <alignment horizontal="left" vertical="center" indent="1"/>
    </xf>
    <xf numFmtId="4" fontId="6" fillId="62" borderId="43" applyNumberFormat="0" applyProtection="0">
      <alignment horizontal="left" vertical="center" indent="1"/>
    </xf>
    <xf numFmtId="4" fontId="6" fillId="62" borderId="43" applyNumberFormat="0" applyProtection="0">
      <alignment horizontal="left" vertical="center" indent="1"/>
    </xf>
    <xf numFmtId="4" fontId="6" fillId="62" borderId="43" applyNumberFormat="0" applyProtection="0">
      <alignment horizontal="left" vertical="center" indent="1"/>
    </xf>
    <xf numFmtId="4" fontId="6" fillId="62" borderId="43" applyNumberFormat="0" applyProtection="0">
      <alignment horizontal="left" vertical="center" indent="1"/>
    </xf>
    <xf numFmtId="4" fontId="6" fillId="62" borderId="43" applyNumberFormat="0" applyProtection="0">
      <alignment horizontal="left" vertical="center" indent="1"/>
    </xf>
    <xf numFmtId="4" fontId="6" fillId="62" borderId="43" applyNumberFormat="0" applyProtection="0">
      <alignment horizontal="left" vertical="center" indent="1"/>
    </xf>
    <xf numFmtId="4" fontId="6" fillId="62" borderId="43" applyNumberFormat="0" applyProtection="0">
      <alignment horizontal="left" vertical="center" indent="1"/>
    </xf>
    <xf numFmtId="4" fontId="6" fillId="62" borderId="43" applyNumberFormat="0" applyProtection="0">
      <alignment horizontal="left" vertical="center" indent="1"/>
    </xf>
    <xf numFmtId="4" fontId="6" fillId="62" borderId="43" applyNumberFormat="0" applyProtection="0">
      <alignment horizontal="left" vertical="center" indent="1"/>
    </xf>
    <xf numFmtId="4" fontId="6" fillId="62" borderId="43" applyNumberFormat="0" applyProtection="0">
      <alignment horizontal="left" vertical="center" indent="1"/>
    </xf>
    <xf numFmtId="4" fontId="6" fillId="62" borderId="43" applyNumberFormat="0" applyProtection="0">
      <alignment horizontal="left" vertical="center" indent="1"/>
    </xf>
    <xf numFmtId="4" fontId="6" fillId="62" borderId="43" applyNumberFormat="0" applyProtection="0">
      <alignment horizontal="left" vertical="center" indent="1"/>
    </xf>
    <xf numFmtId="4" fontId="6" fillId="62" borderId="43" applyNumberFormat="0" applyProtection="0">
      <alignment horizontal="left" vertical="center" indent="1"/>
    </xf>
    <xf numFmtId="4" fontId="6" fillId="62" borderId="43" applyNumberFormat="0" applyProtection="0">
      <alignment horizontal="left" vertical="center" indent="1"/>
    </xf>
    <xf numFmtId="4" fontId="6" fillId="62" borderId="43" applyNumberFormat="0" applyProtection="0">
      <alignment horizontal="left" vertical="center" indent="1"/>
    </xf>
    <xf numFmtId="4" fontId="6" fillId="62" borderId="43" applyNumberFormat="0" applyProtection="0">
      <alignment horizontal="left" vertical="center" indent="1"/>
    </xf>
    <xf numFmtId="4" fontId="6" fillId="62" borderId="43" applyNumberFormat="0" applyProtection="0">
      <alignment horizontal="left" vertical="center" indent="1"/>
    </xf>
    <xf numFmtId="4" fontId="6" fillId="62" borderId="43" applyNumberFormat="0" applyProtection="0">
      <alignment horizontal="left" vertical="center" indent="1"/>
    </xf>
    <xf numFmtId="4" fontId="6" fillId="62" borderId="43" applyNumberFormat="0" applyProtection="0">
      <alignment horizontal="left" vertical="center" indent="1"/>
    </xf>
    <xf numFmtId="4" fontId="6" fillId="62" borderId="43" applyNumberFormat="0" applyProtection="0">
      <alignment horizontal="left" vertical="center" indent="1"/>
    </xf>
    <xf numFmtId="4" fontId="6" fillId="62" borderId="43" applyNumberFormat="0" applyProtection="0">
      <alignment horizontal="left" vertical="center" indent="1"/>
    </xf>
    <xf numFmtId="4" fontId="6" fillId="62" borderId="43" applyNumberFormat="0" applyProtection="0">
      <alignment horizontal="left" vertical="center" indent="1"/>
    </xf>
    <xf numFmtId="4" fontId="6" fillId="62" borderId="43" applyNumberFormat="0" applyProtection="0">
      <alignment horizontal="left" vertical="center" indent="1"/>
    </xf>
    <xf numFmtId="0" fontId="6" fillId="62" borderId="43" applyNumberFormat="0" applyProtection="0">
      <alignment horizontal="left" vertical="top" indent="1"/>
    </xf>
    <xf numFmtId="0" fontId="6" fillId="62" borderId="43" applyNumberFormat="0" applyProtection="0">
      <alignment horizontal="left" vertical="top" indent="1"/>
    </xf>
    <xf numFmtId="0" fontId="6" fillId="62" borderId="43" applyNumberFormat="0" applyProtection="0">
      <alignment horizontal="left" vertical="top" indent="1"/>
    </xf>
    <xf numFmtId="0" fontId="6" fillId="62" borderId="43" applyNumberFormat="0" applyProtection="0">
      <alignment horizontal="left" vertical="top" indent="1"/>
    </xf>
    <xf numFmtId="0" fontId="6" fillId="62" borderId="43" applyNumberFormat="0" applyProtection="0">
      <alignment horizontal="left" vertical="top" indent="1"/>
    </xf>
    <xf numFmtId="0" fontId="6" fillId="62" borderId="43" applyNumberFormat="0" applyProtection="0">
      <alignment horizontal="left" vertical="top" indent="1"/>
    </xf>
    <xf numFmtId="0" fontId="6" fillId="62" borderId="43" applyNumberFormat="0" applyProtection="0">
      <alignment horizontal="left" vertical="top" indent="1"/>
    </xf>
    <xf numFmtId="0" fontId="6" fillId="62" borderId="43" applyNumberFormat="0" applyProtection="0">
      <alignment horizontal="left" vertical="top" indent="1"/>
    </xf>
    <xf numFmtId="0" fontId="6" fillId="62" borderId="43" applyNumberFormat="0" applyProtection="0">
      <alignment horizontal="left" vertical="top" indent="1"/>
    </xf>
    <xf numFmtId="0" fontId="6" fillId="62" borderId="43" applyNumberFormat="0" applyProtection="0">
      <alignment horizontal="left" vertical="top" indent="1"/>
    </xf>
    <xf numFmtId="0" fontId="6" fillId="62" borderId="43" applyNumberFormat="0" applyProtection="0">
      <alignment horizontal="left" vertical="top" indent="1"/>
    </xf>
    <xf numFmtId="0" fontId="6" fillId="62" borderId="43" applyNumberFormat="0" applyProtection="0">
      <alignment horizontal="left" vertical="top" indent="1"/>
    </xf>
    <xf numFmtId="0" fontId="6" fillId="62" borderId="43" applyNumberFormat="0" applyProtection="0">
      <alignment horizontal="left" vertical="top" indent="1"/>
    </xf>
    <xf numFmtId="0" fontId="6" fillId="62" borderId="43" applyNumberFormat="0" applyProtection="0">
      <alignment horizontal="left" vertical="top" indent="1"/>
    </xf>
    <xf numFmtId="0" fontId="6" fillId="62" borderId="43" applyNumberFormat="0" applyProtection="0">
      <alignment horizontal="left" vertical="top" indent="1"/>
    </xf>
    <xf numFmtId="0" fontId="6" fillId="62" borderId="43" applyNumberFormat="0" applyProtection="0">
      <alignment horizontal="left" vertical="top" indent="1"/>
    </xf>
    <xf numFmtId="0" fontId="6" fillId="62" borderId="43" applyNumberFormat="0" applyProtection="0">
      <alignment horizontal="left" vertical="top" indent="1"/>
    </xf>
    <xf numFmtId="0" fontId="6" fillId="62" borderId="43" applyNumberFormat="0" applyProtection="0">
      <alignment horizontal="left" vertical="top" indent="1"/>
    </xf>
    <xf numFmtId="0" fontId="6" fillId="62" borderId="43" applyNumberFormat="0" applyProtection="0">
      <alignment horizontal="left" vertical="top" indent="1"/>
    </xf>
    <xf numFmtId="0" fontId="6" fillId="62" borderId="43" applyNumberFormat="0" applyProtection="0">
      <alignment horizontal="left" vertical="top" indent="1"/>
    </xf>
    <xf numFmtId="0" fontId="6" fillId="62" borderId="43" applyNumberFormat="0" applyProtection="0">
      <alignment horizontal="left" vertical="top" indent="1"/>
    </xf>
    <xf numFmtId="0" fontId="6" fillId="62" borderId="43" applyNumberFormat="0" applyProtection="0">
      <alignment horizontal="left" vertical="top" indent="1"/>
    </xf>
    <xf numFmtId="0" fontId="6" fillId="62" borderId="43" applyNumberFormat="0" applyProtection="0">
      <alignment horizontal="left" vertical="top" indent="1"/>
    </xf>
    <xf numFmtId="0" fontId="6" fillId="62" borderId="43" applyNumberFormat="0" applyProtection="0">
      <alignment horizontal="left" vertical="top" indent="1"/>
    </xf>
    <xf numFmtId="0" fontId="6" fillId="62" borderId="43" applyNumberFormat="0" applyProtection="0">
      <alignment horizontal="left" vertical="top" indent="1"/>
    </xf>
    <xf numFmtId="0" fontId="6" fillId="62" borderId="43" applyNumberFormat="0" applyProtection="0">
      <alignment horizontal="left" vertical="top" indent="1"/>
    </xf>
    <xf numFmtId="0" fontId="6" fillId="62" borderId="43" applyNumberFormat="0" applyProtection="0">
      <alignment horizontal="left" vertical="top" indent="1"/>
    </xf>
    <xf numFmtId="0" fontId="6" fillId="62" borderId="43" applyNumberFormat="0" applyProtection="0">
      <alignment horizontal="left" vertical="top" indent="1"/>
    </xf>
    <xf numFmtId="0" fontId="6" fillId="62" borderId="43" applyNumberFormat="0" applyProtection="0">
      <alignment horizontal="left" vertical="top" indent="1"/>
    </xf>
    <xf numFmtId="0" fontId="6" fillId="62" borderId="43" applyNumberFormat="0" applyProtection="0">
      <alignment horizontal="left" vertical="top" indent="1"/>
    </xf>
    <xf numFmtId="0" fontId="6" fillId="62" borderId="43" applyNumberFormat="0" applyProtection="0">
      <alignment horizontal="left" vertical="top" indent="1"/>
    </xf>
    <xf numFmtId="0" fontId="6" fillId="62" borderId="43" applyNumberFormat="0" applyProtection="0">
      <alignment horizontal="left" vertical="top" indent="1"/>
    </xf>
    <xf numFmtId="0" fontId="6" fillId="62" borderId="43" applyNumberFormat="0" applyProtection="0">
      <alignment horizontal="left" vertical="top" indent="1"/>
    </xf>
    <xf numFmtId="0" fontId="6" fillId="62" borderId="43" applyNumberFormat="0" applyProtection="0">
      <alignment horizontal="left" vertical="top" indent="1"/>
    </xf>
    <xf numFmtId="0" fontId="6" fillId="62" borderId="43" applyNumberFormat="0" applyProtection="0">
      <alignment horizontal="left" vertical="top" indent="1"/>
    </xf>
    <xf numFmtId="0" fontId="6" fillId="62" borderId="43" applyNumberFormat="0" applyProtection="0">
      <alignment horizontal="left" vertical="top" indent="1"/>
    </xf>
    <xf numFmtId="0" fontId="6" fillId="62" borderId="43" applyNumberFormat="0" applyProtection="0">
      <alignment horizontal="left" vertical="top" indent="1"/>
    </xf>
    <xf numFmtId="0" fontId="6" fillId="62" borderId="43" applyNumberFormat="0" applyProtection="0">
      <alignment horizontal="left" vertical="top" indent="1"/>
    </xf>
    <xf numFmtId="0" fontId="6" fillId="62" borderId="43" applyNumberFormat="0" applyProtection="0">
      <alignment horizontal="left" vertical="top" indent="1"/>
    </xf>
    <xf numFmtId="0" fontId="6" fillId="62" borderId="43" applyNumberFormat="0" applyProtection="0">
      <alignment horizontal="left" vertical="top" indent="1"/>
    </xf>
    <xf numFmtId="4" fontId="132" fillId="0" borderId="0" applyNumberFormat="0" applyProtection="0">
      <alignment horizontal="left" vertical="center" indent="1"/>
    </xf>
    <xf numFmtId="4" fontId="6" fillId="0" borderId="44" applyNumberFormat="0" applyProtection="0">
      <alignment horizontal="right" vertical="center"/>
    </xf>
    <xf numFmtId="4" fontId="6" fillId="0" borderId="44" applyNumberFormat="0" applyProtection="0">
      <alignment horizontal="right" vertical="center"/>
    </xf>
    <xf numFmtId="4" fontId="6" fillId="0" borderId="44" applyNumberFormat="0" applyProtection="0">
      <alignment horizontal="right" vertical="center"/>
    </xf>
    <xf numFmtId="4" fontId="6" fillId="0" borderId="44" applyNumberFormat="0" applyProtection="0">
      <alignment horizontal="right" vertical="center"/>
    </xf>
    <xf numFmtId="4" fontId="6" fillId="0" borderId="44" applyNumberFormat="0" applyProtection="0">
      <alignment horizontal="right" vertical="center"/>
    </xf>
    <xf numFmtId="4" fontId="6" fillId="0" borderId="44" applyNumberFormat="0" applyProtection="0">
      <alignment horizontal="right" vertical="center"/>
    </xf>
    <xf numFmtId="4" fontId="6" fillId="0" borderId="44" applyNumberFormat="0" applyProtection="0">
      <alignment horizontal="right" vertical="center"/>
    </xf>
    <xf numFmtId="4" fontId="6" fillId="0" borderId="44" applyNumberFormat="0" applyProtection="0">
      <alignment horizontal="right" vertical="center"/>
    </xf>
    <xf numFmtId="4" fontId="6" fillId="0" borderId="44" applyNumberFormat="0" applyProtection="0">
      <alignment horizontal="right" vertical="center"/>
    </xf>
    <xf numFmtId="4" fontId="6" fillId="0" borderId="44" applyNumberFormat="0" applyProtection="0">
      <alignment horizontal="right" vertical="center"/>
    </xf>
    <xf numFmtId="4" fontId="6" fillId="0" borderId="44" applyNumberFormat="0" applyProtection="0">
      <alignment horizontal="right" vertical="center"/>
    </xf>
    <xf numFmtId="4" fontId="6" fillId="0" borderId="44" applyNumberFormat="0" applyProtection="0">
      <alignment horizontal="right" vertical="center"/>
    </xf>
    <xf numFmtId="4" fontId="6" fillId="0" borderId="44" applyNumberFormat="0" applyProtection="0">
      <alignment horizontal="right" vertical="center"/>
    </xf>
    <xf numFmtId="4" fontId="6" fillId="0" borderId="44" applyNumberFormat="0" applyProtection="0">
      <alignment horizontal="right" vertical="center"/>
    </xf>
    <xf numFmtId="4" fontId="6" fillId="0" borderId="44" applyNumberFormat="0" applyProtection="0">
      <alignment horizontal="right" vertical="center"/>
    </xf>
    <xf numFmtId="4" fontId="6" fillId="0" borderId="44" applyNumberFormat="0" applyProtection="0">
      <alignment horizontal="right" vertical="center"/>
    </xf>
    <xf numFmtId="4" fontId="6" fillId="0" borderId="44" applyNumberFormat="0" applyProtection="0">
      <alignment horizontal="right" vertical="center"/>
    </xf>
    <xf numFmtId="4" fontId="6" fillId="0" borderId="44" applyNumberFormat="0" applyProtection="0">
      <alignment horizontal="right" vertical="center"/>
    </xf>
    <xf numFmtId="4" fontId="6" fillId="0" borderId="44" applyNumberFormat="0" applyProtection="0">
      <alignment horizontal="right" vertical="center"/>
    </xf>
    <xf numFmtId="4" fontId="6" fillId="0" borderId="44" applyNumberFormat="0" applyProtection="0">
      <alignment horizontal="right" vertical="center"/>
    </xf>
    <xf numFmtId="4" fontId="6" fillId="0" borderId="44" applyNumberFormat="0" applyProtection="0">
      <alignment horizontal="right" vertical="center"/>
    </xf>
    <xf numFmtId="4" fontId="6" fillId="0" borderId="44" applyNumberFormat="0" applyProtection="0">
      <alignment horizontal="right" vertical="center"/>
    </xf>
    <xf numFmtId="4" fontId="6" fillId="0" borderId="44" applyNumberFormat="0" applyProtection="0">
      <alignment horizontal="right" vertical="center"/>
    </xf>
    <xf numFmtId="4" fontId="6" fillId="0" borderId="44" applyNumberFormat="0" applyProtection="0">
      <alignment horizontal="right" vertical="center"/>
    </xf>
    <xf numFmtId="4" fontId="6" fillId="0" borderId="44" applyNumberFormat="0" applyProtection="0">
      <alignment horizontal="right" vertical="center"/>
    </xf>
    <xf numFmtId="4" fontId="6" fillId="0" borderId="44" applyNumberFormat="0" applyProtection="0">
      <alignment horizontal="right" vertical="center"/>
    </xf>
    <xf numFmtId="4" fontId="6" fillId="0" borderId="44" applyNumberFormat="0" applyProtection="0">
      <alignment horizontal="right" vertical="center"/>
    </xf>
    <xf numFmtId="4" fontId="6" fillId="0" borderId="44" applyNumberFormat="0" applyProtection="0">
      <alignment horizontal="right" vertical="center"/>
    </xf>
    <xf numFmtId="4" fontId="6" fillId="0" borderId="44" applyNumberFormat="0" applyProtection="0">
      <alignment horizontal="right" vertical="center"/>
    </xf>
    <xf numFmtId="4" fontId="6" fillId="0" borderId="44" applyNumberFormat="0" applyProtection="0">
      <alignment horizontal="right" vertical="center"/>
    </xf>
    <xf numFmtId="4" fontId="6" fillId="0" borderId="44" applyNumberFormat="0" applyProtection="0">
      <alignment horizontal="right" vertical="center"/>
    </xf>
    <xf numFmtId="4" fontId="6" fillId="0" borderId="44" applyNumberFormat="0" applyProtection="0">
      <alignment horizontal="right" vertical="center"/>
    </xf>
    <xf numFmtId="4" fontId="6" fillId="0" borderId="44" applyNumberFormat="0" applyProtection="0">
      <alignment horizontal="right" vertical="center"/>
    </xf>
    <xf numFmtId="4" fontId="6" fillId="0" borderId="44" applyNumberFormat="0" applyProtection="0">
      <alignment horizontal="right" vertical="center"/>
    </xf>
    <xf numFmtId="4" fontId="6" fillId="0" borderId="44" applyNumberFormat="0" applyProtection="0">
      <alignment horizontal="right" vertical="center"/>
    </xf>
    <xf numFmtId="4" fontId="6" fillId="0" borderId="44" applyNumberFormat="0" applyProtection="0">
      <alignment horizontal="right" vertical="center"/>
    </xf>
    <xf numFmtId="4" fontId="6" fillId="0" borderId="44" applyNumberFormat="0" applyProtection="0">
      <alignment horizontal="right" vertical="center"/>
    </xf>
    <xf numFmtId="4" fontId="6" fillId="0" borderId="44" applyNumberFormat="0" applyProtection="0">
      <alignment horizontal="right" vertical="center"/>
    </xf>
    <xf numFmtId="4" fontId="6" fillId="0" borderId="44" applyNumberFormat="0" applyProtection="0">
      <alignment horizontal="right" vertical="center"/>
    </xf>
    <xf numFmtId="4" fontId="6" fillId="0" borderId="44" applyNumberFormat="0" applyProtection="0">
      <alignment horizontal="right" vertical="center"/>
    </xf>
    <xf numFmtId="199" fontId="133" fillId="0" borderId="45" applyNumberFormat="0" applyProtection="0">
      <alignment horizontal="right" vertical="center"/>
    </xf>
    <xf numFmtId="199" fontId="134" fillId="0" borderId="46" applyNumberFormat="0" applyProtection="0">
      <alignment horizontal="right" vertical="center"/>
    </xf>
    <xf numFmtId="0" fontId="134" fillId="94" borderId="47" applyNumberFormat="0" applyAlignment="0" applyProtection="0">
      <alignment horizontal="left" vertical="center" indent="1"/>
    </xf>
    <xf numFmtId="0" fontId="135" fillId="0" borderId="48" applyNumberFormat="0" applyFill="0" applyBorder="0" applyAlignment="0" applyProtection="0"/>
    <xf numFmtId="0" fontId="136" fillId="95" borderId="47" applyNumberFormat="0" applyAlignment="0" applyProtection="0">
      <alignment horizontal="left" vertical="center" indent="1"/>
    </xf>
    <xf numFmtId="0" fontId="136" fillId="96" borderId="47" applyNumberFormat="0" applyAlignment="0" applyProtection="0">
      <alignment horizontal="left" vertical="center" indent="1"/>
    </xf>
    <xf numFmtId="0" fontId="136" fillId="97" borderId="47" applyNumberFormat="0" applyAlignment="0" applyProtection="0">
      <alignment horizontal="left" vertical="center" indent="1"/>
    </xf>
    <xf numFmtId="0" fontId="136" fillId="98" borderId="47" applyNumberFormat="0" applyAlignment="0" applyProtection="0">
      <alignment horizontal="left" vertical="center" indent="1"/>
    </xf>
    <xf numFmtId="0" fontId="136" fillId="99" borderId="46" applyNumberFormat="0" applyAlignment="0" applyProtection="0">
      <alignment horizontal="left" vertical="center" indent="1"/>
    </xf>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0" fontId="6" fillId="0" borderId="49" applyNumberFormat="0" applyFont="0" applyFill="0" applyBorder="0" applyAlignment="0" applyProtection="0"/>
    <xf numFmtId="199" fontId="133" fillId="100" borderId="47" applyNumberFormat="0" applyAlignment="0" applyProtection="0">
      <alignment horizontal="left" vertical="center" indent="1"/>
    </xf>
    <xf numFmtId="0" fontId="134" fillId="94" borderId="46" applyNumberFormat="0" applyAlignment="0" applyProtection="0">
      <alignment horizontal="left" vertical="center" indent="1"/>
    </xf>
    <xf numFmtId="0" fontId="6" fillId="0" borderId="0"/>
    <xf numFmtId="0" fontId="1" fillId="0" borderId="0"/>
    <xf numFmtId="0" fontId="1" fillId="0" borderId="0"/>
    <xf numFmtId="0" fontId="6" fillId="0" borderId="0"/>
    <xf numFmtId="0" fontId="6" fillId="0" borderId="0"/>
    <xf numFmtId="0" fontId="6" fillId="0" borderId="0"/>
    <xf numFmtId="0" fontId="1" fillId="0" borderId="0"/>
    <xf numFmtId="0" fontId="1" fillId="0" borderId="0"/>
    <xf numFmtId="0" fontId="6" fillId="0" borderId="0"/>
    <xf numFmtId="0" fontId="6" fillId="0" borderId="0"/>
    <xf numFmtId="0" fontId="6" fillId="0" borderId="0"/>
    <xf numFmtId="0" fontId="1" fillId="0" borderId="0"/>
    <xf numFmtId="0" fontId="1" fillId="0" borderId="0"/>
    <xf numFmtId="0" fontId="6" fillId="0" borderId="0"/>
    <xf numFmtId="0" fontId="6" fillId="0" borderId="0"/>
    <xf numFmtId="0" fontId="6" fillId="0" borderId="0"/>
    <xf numFmtId="0" fontId="1" fillId="0" borderId="0"/>
    <xf numFmtId="0" fontId="1" fillId="0" borderId="0"/>
    <xf numFmtId="0" fontId="6" fillId="0" borderId="0"/>
    <xf numFmtId="0" fontId="6" fillId="0" borderId="0"/>
    <xf numFmtId="0" fontId="6" fillId="0" borderId="0"/>
    <xf numFmtId="0" fontId="1" fillId="0" borderId="0"/>
    <xf numFmtId="0" fontId="1" fillId="0" borderId="0"/>
    <xf numFmtId="0" fontId="6" fillId="0" borderId="0"/>
    <xf numFmtId="0" fontId="6" fillId="0" borderId="0"/>
    <xf numFmtId="0" fontId="6" fillId="0" borderId="0"/>
    <xf numFmtId="0" fontId="1" fillId="0" borderId="0"/>
    <xf numFmtId="0" fontId="1" fillId="0" borderId="0"/>
    <xf numFmtId="0" fontId="6" fillId="0" borderId="0"/>
    <xf numFmtId="0" fontId="6" fillId="0" borderId="0"/>
    <xf numFmtId="0" fontId="6" fillId="0" borderId="0"/>
    <xf numFmtId="0" fontId="109" fillId="0" borderId="38"/>
    <xf numFmtId="49" fontId="6" fillId="0" borderId="36">
      <alignment horizontal="center" vertical="center"/>
      <protection locked="0"/>
    </xf>
    <xf numFmtId="0" fontId="137" fillId="80" borderId="0"/>
    <xf numFmtId="175" fontId="75" fillId="0" borderId="0" applyNumberFormat="0" applyFill="0" applyBorder="0" applyAlignment="0" applyProtection="0"/>
    <xf numFmtId="0" fontId="6" fillId="0" borderId="32" applyNumberFormat="0" applyFont="0" applyFill="0" applyAlignment="0" applyProtection="0"/>
    <xf numFmtId="189" fontId="108" fillId="0" borderId="50" applyNumberFormat="0" applyFont="0" applyBorder="0" applyAlignment="0" applyProtection="0"/>
    <xf numFmtId="0" fontId="77" fillId="0" borderId="30" applyNumberFormat="0" applyFill="0" applyAlignment="0" applyProtection="0"/>
    <xf numFmtId="0" fontId="77" fillId="0" borderId="31" applyNumberFormat="0" applyFill="0" applyAlignment="0" applyProtection="0"/>
    <xf numFmtId="0" fontId="77" fillId="0" borderId="31" applyNumberFormat="0" applyFill="0" applyAlignment="0" applyProtection="0"/>
    <xf numFmtId="0" fontId="77" fillId="0" borderId="31" applyNumberFormat="0" applyFill="0" applyAlignment="0" applyProtection="0"/>
    <xf numFmtId="0" fontId="77" fillId="0" borderId="31" applyNumberFormat="0" applyFill="0" applyAlignment="0" applyProtection="0"/>
    <xf numFmtId="0" fontId="77" fillId="0" borderId="31" applyNumberFormat="0" applyFill="0" applyAlignment="0" applyProtection="0"/>
    <xf numFmtId="0" fontId="1" fillId="0" borderId="0"/>
    <xf numFmtId="0" fontId="6" fillId="0" borderId="32" applyNumberFormat="0" applyFont="0" applyFill="0" applyAlignment="0" applyProtection="0"/>
    <xf numFmtId="0" fontId="1" fillId="0" borderId="0"/>
    <xf numFmtId="189" fontId="108" fillId="0" borderId="50" applyNumberFormat="0" applyFont="0" applyBorder="0" applyAlignment="0" applyProtection="0"/>
    <xf numFmtId="0" fontId="115" fillId="0" borderId="51"/>
    <xf numFmtId="0" fontId="115" fillId="0" borderId="38"/>
    <xf numFmtId="0" fontId="116" fillId="0" borderId="0"/>
    <xf numFmtId="0" fontId="116" fillId="0" borderId="0"/>
    <xf numFmtId="189" fontId="138" fillId="72" borderId="0">
      <alignment horizontal="center"/>
    </xf>
    <xf numFmtId="0" fontId="138" fillId="72" borderId="0">
      <alignment horizontal="center"/>
    </xf>
    <xf numFmtId="189" fontId="138" fillId="72" borderId="0">
      <alignment horizontal="center"/>
    </xf>
    <xf numFmtId="0" fontId="1" fillId="0" borderId="0"/>
    <xf numFmtId="175" fontId="61" fillId="0" borderId="0" applyNumberFormat="0" applyFill="0" applyBorder="0" applyAlignment="0" applyProtection="0"/>
    <xf numFmtId="175" fontId="61" fillId="0" borderId="0" applyNumberFormat="0" applyFill="0" applyBorder="0" applyAlignment="0" applyProtection="0"/>
  </cellStyleXfs>
  <cellXfs count="724">
    <xf numFmtId="0" fontId="0" fillId="0" borderId="0" xfId="0"/>
    <xf numFmtId="17" fontId="0" fillId="0" borderId="0" xfId="0" applyNumberFormat="1"/>
    <xf numFmtId="0" fontId="0" fillId="0" borderId="0" xfId="0" applyAlignment="1">
      <alignment horizontal="center" wrapText="1"/>
    </xf>
    <xf numFmtId="43" fontId="0" fillId="0" borderId="0" xfId="1" applyFont="1"/>
    <xf numFmtId="43" fontId="0" fillId="2" borderId="0" xfId="1" applyFont="1" applyFill="1"/>
    <xf numFmtId="164" fontId="0" fillId="2" borderId="0" xfId="1" applyNumberFormat="1" applyFont="1" applyFill="1"/>
    <xf numFmtId="14" fontId="0" fillId="0" borderId="0" xfId="0" applyNumberFormat="1"/>
    <xf numFmtId="0" fontId="0" fillId="2" borderId="0" xfId="0" applyFill="1"/>
    <xf numFmtId="0" fontId="0" fillId="4" borderId="0" xfId="0" applyFill="1"/>
    <xf numFmtId="0" fontId="0" fillId="5" borderId="0" xfId="0" applyFill="1"/>
    <xf numFmtId="44" fontId="0" fillId="0" borderId="0" xfId="2" applyFont="1"/>
    <xf numFmtId="44" fontId="0" fillId="6" borderId="0" xfId="2" applyFont="1" applyFill="1"/>
    <xf numFmtId="0" fontId="0" fillId="7" borderId="0" xfId="0" applyFill="1"/>
    <xf numFmtId="44" fontId="0" fillId="7" borderId="0" xfId="2" applyFont="1" applyFill="1"/>
    <xf numFmtId="14" fontId="0" fillId="4" borderId="0" xfId="0" applyNumberFormat="1" applyFill="1"/>
    <xf numFmtId="44" fontId="0" fillId="0" borderId="0" xfId="0" applyNumberFormat="1"/>
    <xf numFmtId="49" fontId="4" fillId="8" borderId="3" xfId="0" applyNumberFormat="1" applyFont="1" applyFill="1" applyBorder="1" applyAlignment="1">
      <alignment horizontal="left" vertical="center" wrapText="1"/>
    </xf>
    <xf numFmtId="168" fontId="4" fillId="9" borderId="3" xfId="0" applyNumberFormat="1" applyFont="1" applyFill="1" applyBorder="1" applyAlignment="1">
      <alignment horizontal="right" vertical="center" wrapText="1"/>
    </xf>
    <xf numFmtId="168" fontId="4" fillId="10" borderId="3" xfId="0" applyNumberFormat="1" applyFont="1" applyFill="1" applyBorder="1" applyAlignment="1">
      <alignment horizontal="right" vertical="center" wrapText="1"/>
    </xf>
    <xf numFmtId="49" fontId="4" fillId="10" borderId="3" xfId="0" applyNumberFormat="1" applyFont="1" applyFill="1" applyBorder="1" applyAlignment="1">
      <alignment horizontal="right" vertical="center" wrapText="1"/>
    </xf>
    <xf numFmtId="49" fontId="4" fillId="9" borderId="3" xfId="0" applyNumberFormat="1" applyFont="1" applyFill="1" applyBorder="1" applyAlignment="1">
      <alignment horizontal="right" vertical="center" wrapText="1"/>
    </xf>
    <xf numFmtId="168" fontId="4" fillId="11" borderId="3" xfId="0" applyNumberFormat="1" applyFont="1" applyFill="1" applyBorder="1" applyAlignment="1">
      <alignment horizontal="right" vertical="center" wrapText="1"/>
    </xf>
    <xf numFmtId="0" fontId="0" fillId="0" borderId="0" xfId="0" quotePrefix="1" applyAlignment="1">
      <alignment horizontal="left"/>
    </xf>
    <xf numFmtId="0" fontId="0" fillId="0" borderId="0" xfId="0" applyFill="1"/>
    <xf numFmtId="0" fontId="5" fillId="4" borderId="0" xfId="0" applyFont="1" applyFill="1"/>
    <xf numFmtId="49" fontId="4" fillId="8" borderId="3" xfId="0" applyNumberFormat="1" applyFont="1" applyFill="1" applyBorder="1" applyAlignment="1">
      <alignment horizontal="left" vertical="center"/>
    </xf>
    <xf numFmtId="169" fontId="4" fillId="9" borderId="3" xfId="0" applyNumberFormat="1" applyFont="1" applyFill="1" applyBorder="1" applyAlignment="1">
      <alignment horizontal="right" vertical="center"/>
    </xf>
    <xf numFmtId="49" fontId="4" fillId="9" borderId="3" xfId="0" applyNumberFormat="1" applyFont="1" applyFill="1" applyBorder="1" applyAlignment="1">
      <alignment horizontal="right" vertical="center"/>
    </xf>
    <xf numFmtId="168" fontId="4" fillId="9" borderId="3" xfId="0" applyNumberFormat="1" applyFont="1" applyFill="1" applyBorder="1" applyAlignment="1">
      <alignment horizontal="right" vertical="center"/>
    </xf>
    <xf numFmtId="169" fontId="4" fillId="10" borderId="3" xfId="0" applyNumberFormat="1" applyFont="1" applyFill="1" applyBorder="1" applyAlignment="1">
      <alignment horizontal="right" vertical="center"/>
    </xf>
    <xf numFmtId="49" fontId="4" fillId="10" borderId="3" xfId="0" applyNumberFormat="1" applyFont="1" applyFill="1" applyBorder="1" applyAlignment="1">
      <alignment horizontal="right" vertical="center"/>
    </xf>
    <xf numFmtId="168" fontId="4" fillId="10" borderId="3" xfId="0" applyNumberFormat="1" applyFont="1" applyFill="1" applyBorder="1" applyAlignment="1">
      <alignment horizontal="right" vertical="center"/>
    </xf>
    <xf numFmtId="49" fontId="4" fillId="11" borderId="1" xfId="0" applyNumberFormat="1" applyFont="1" applyFill="1" applyBorder="1" applyAlignment="1">
      <alignment vertical="center"/>
    </xf>
    <xf numFmtId="49" fontId="4" fillId="11" borderId="2" xfId="0" applyNumberFormat="1" applyFont="1" applyFill="1" applyBorder="1" applyAlignment="1">
      <alignment vertical="center"/>
    </xf>
    <xf numFmtId="0" fontId="0" fillId="0" borderId="0" xfId="0" applyFill="1" applyBorder="1"/>
    <xf numFmtId="44" fontId="0" fillId="13" borderId="0" xfId="2" applyFont="1" applyFill="1"/>
    <xf numFmtId="170" fontId="0" fillId="0" borderId="0" xfId="0" applyNumberFormat="1"/>
    <xf numFmtId="170" fontId="0" fillId="0" borderId="0" xfId="0" applyNumberFormat="1" applyAlignment="1">
      <alignment horizontal="center" wrapText="1"/>
    </xf>
    <xf numFmtId="170" fontId="0" fillId="0" borderId="0" xfId="0" quotePrefix="1" applyNumberFormat="1" applyAlignment="1">
      <alignment horizontal="center" wrapText="1"/>
    </xf>
    <xf numFmtId="0" fontId="0" fillId="0" borderId="0" xfId="0" applyNumberFormat="1"/>
    <xf numFmtId="0" fontId="0" fillId="0" borderId="0" xfId="0" applyNumberFormat="1" applyAlignment="1">
      <alignment horizontal="center" wrapText="1"/>
    </xf>
    <xf numFmtId="0" fontId="0" fillId="0" borderId="0" xfId="0" applyAlignment="1"/>
    <xf numFmtId="49" fontId="4" fillId="11" borderId="3" xfId="0" applyNumberFormat="1" applyFont="1" applyFill="1" applyBorder="1" applyAlignment="1">
      <alignment horizontal="left" vertical="center"/>
    </xf>
    <xf numFmtId="169" fontId="4" fillId="11" borderId="3" xfId="0" applyNumberFormat="1" applyFont="1" applyFill="1" applyBorder="1" applyAlignment="1">
      <alignment horizontal="right" vertical="center"/>
    </xf>
    <xf numFmtId="168" fontId="4" fillId="11" borderId="3" xfId="0" applyNumberFormat="1" applyFont="1" applyFill="1" applyBorder="1" applyAlignment="1">
      <alignment horizontal="right" vertical="center"/>
    </xf>
    <xf numFmtId="49" fontId="4" fillId="8" borderId="3" xfId="0" applyNumberFormat="1" applyFont="1" applyFill="1" applyBorder="1" applyAlignment="1">
      <alignment horizontal="right" vertical="center"/>
    </xf>
    <xf numFmtId="49" fontId="0" fillId="8" borderId="3" xfId="0" applyNumberFormat="1" applyFill="1" applyBorder="1" applyAlignment="1">
      <alignment horizontal="right" vertical="center"/>
    </xf>
    <xf numFmtId="0" fontId="0" fillId="0" borderId="0" xfId="0" applyAlignment="1">
      <alignment wrapText="1"/>
    </xf>
    <xf numFmtId="0" fontId="0" fillId="0" borderId="0" xfId="0" applyBorder="1" applyAlignment="1">
      <alignment horizontal="center"/>
    </xf>
    <xf numFmtId="0" fontId="0" fillId="0" borderId="0" xfId="0" applyBorder="1"/>
    <xf numFmtId="0" fontId="0" fillId="0" borderId="0" xfId="0" quotePrefix="1" applyAlignment="1">
      <alignment horizontal="left" wrapText="1"/>
    </xf>
    <xf numFmtId="0" fontId="0" fillId="0" borderId="0" xfId="0" applyAlignment="1">
      <alignment horizontal="left" indent="1"/>
    </xf>
    <xf numFmtId="0" fontId="0" fillId="0" borderId="0" xfId="0" applyAlignment="1">
      <alignment horizontal="left"/>
    </xf>
    <xf numFmtId="172" fontId="5" fillId="0" borderId="0" xfId="0" applyNumberFormat="1" applyFont="1"/>
    <xf numFmtId="14" fontId="8" fillId="0" borderId="0" xfId="0" applyNumberFormat="1" applyFont="1"/>
    <xf numFmtId="171" fontId="4" fillId="9" borderId="3" xfId="0" applyNumberFormat="1" applyFont="1" applyFill="1" applyBorder="1" applyAlignment="1">
      <alignment horizontal="right" vertical="center"/>
    </xf>
    <xf numFmtId="171" fontId="4" fillId="10" borderId="3" xfId="0" applyNumberFormat="1" applyFont="1" applyFill="1" applyBorder="1" applyAlignment="1">
      <alignment horizontal="right" vertical="center"/>
    </xf>
    <xf numFmtId="49" fontId="4" fillId="8" borderId="3" xfId="0" quotePrefix="1" applyNumberFormat="1" applyFont="1" applyFill="1" applyBorder="1" applyAlignment="1">
      <alignment horizontal="left" vertical="center"/>
    </xf>
    <xf numFmtId="43" fontId="0" fillId="4" borderId="0" xfId="1" applyFont="1" applyFill="1"/>
    <xf numFmtId="0" fontId="0" fillId="0" borderId="0" xfId="0" applyFill="1" applyBorder="1" applyAlignment="1"/>
    <xf numFmtId="171" fontId="4" fillId="11" borderId="3" xfId="0" applyNumberFormat="1" applyFont="1" applyFill="1" applyBorder="1" applyAlignment="1">
      <alignment horizontal="right" vertical="center"/>
    </xf>
    <xf numFmtId="49" fontId="0" fillId="8" borderId="1" xfId="0" applyNumberFormat="1" applyFill="1" applyBorder="1" applyAlignment="1">
      <alignment vertical="center"/>
    </xf>
    <xf numFmtId="49" fontId="0" fillId="8" borderId="2" xfId="0" applyNumberFormat="1" applyFill="1" applyBorder="1" applyAlignment="1">
      <alignment vertical="center"/>
    </xf>
    <xf numFmtId="0" fontId="11" fillId="0" borderId="0" xfId="0" applyFont="1" applyAlignment="1">
      <alignment horizontal="center" wrapText="1"/>
    </xf>
    <xf numFmtId="0" fontId="11" fillId="0" borderId="0" xfId="0" quotePrefix="1" applyFont="1" applyFill="1" applyAlignment="1">
      <alignment horizontal="center" wrapText="1"/>
    </xf>
    <xf numFmtId="0" fontId="11" fillId="0" borderId="0" xfId="0" applyFont="1" applyFill="1" applyAlignment="1">
      <alignment horizontal="center" wrapText="1"/>
    </xf>
    <xf numFmtId="167" fontId="11" fillId="0" borderId="0" xfId="1" applyNumberFormat="1" applyFont="1" applyFill="1" applyAlignment="1">
      <alignment horizontal="center" wrapText="1"/>
    </xf>
    <xf numFmtId="0" fontId="11" fillId="0" borderId="0" xfId="0" quotePrefix="1" applyFont="1" applyAlignment="1">
      <alignment horizontal="center" wrapText="1"/>
    </xf>
    <xf numFmtId="0" fontId="11" fillId="0" borderId="0" xfId="0" applyFont="1"/>
    <xf numFmtId="49" fontId="4" fillId="8" borderId="0" xfId="0" applyNumberFormat="1" applyFont="1" applyFill="1" applyBorder="1" applyAlignment="1">
      <alignment horizontal="left" vertical="center"/>
    </xf>
    <xf numFmtId="0" fontId="8" fillId="0" borderId="0" xfId="0" applyFont="1" applyFill="1"/>
    <xf numFmtId="0" fontId="16" fillId="0" borderId="0" xfId="0" quotePrefix="1" applyFont="1" applyFill="1" applyAlignment="1">
      <alignment horizontal="center" wrapText="1"/>
    </xf>
    <xf numFmtId="165" fontId="8" fillId="0" borderId="0" xfId="0" applyNumberFormat="1" applyFont="1" applyFill="1"/>
    <xf numFmtId="0" fontId="8" fillId="12" borderId="0" xfId="0" applyFont="1" applyFill="1"/>
    <xf numFmtId="14" fontId="5" fillId="0" borderId="0" xfId="0" applyNumberFormat="1" applyFont="1"/>
    <xf numFmtId="0" fontId="5" fillId="0" borderId="0" xfId="0" applyFont="1"/>
    <xf numFmtId="169" fontId="4" fillId="10" borderId="3" xfId="0" applyNumberFormat="1" applyFont="1" applyFill="1" applyBorder="1" applyAlignment="1">
      <alignment horizontal="right" vertical="center" wrapText="1"/>
    </xf>
    <xf numFmtId="169" fontId="4" fillId="9" borderId="3" xfId="0" applyNumberFormat="1" applyFont="1" applyFill="1" applyBorder="1" applyAlignment="1">
      <alignment horizontal="right" vertical="center" wrapText="1"/>
    </xf>
    <xf numFmtId="49" fontId="4" fillId="11" borderId="3" xfId="0" applyNumberFormat="1" applyFont="1" applyFill="1" applyBorder="1" applyAlignment="1">
      <alignment horizontal="left" vertical="center" wrapText="1"/>
    </xf>
    <xf numFmtId="169" fontId="4" fillId="11" borderId="3" xfId="0" applyNumberFormat="1" applyFont="1" applyFill="1" applyBorder="1" applyAlignment="1">
      <alignment horizontal="right" vertical="center" wrapText="1"/>
    </xf>
    <xf numFmtId="0" fontId="0" fillId="16" borderId="0" xfId="0" applyFill="1"/>
    <xf numFmtId="164" fontId="0" fillId="16" borderId="0" xfId="1" applyNumberFormat="1" applyFont="1" applyFill="1"/>
    <xf numFmtId="164" fontId="0" fillId="4" borderId="0" xfId="1" applyNumberFormat="1" applyFont="1" applyFill="1"/>
    <xf numFmtId="43" fontId="0" fillId="16" borderId="0" xfId="1" applyFont="1" applyFill="1"/>
    <xf numFmtId="43" fontId="0" fillId="16" borderId="0" xfId="0" applyNumberFormat="1" applyFill="1"/>
    <xf numFmtId="44" fontId="5" fillId="4" borderId="0" xfId="2" applyFont="1" applyFill="1"/>
    <xf numFmtId="44" fontId="0" fillId="5" borderId="0" xfId="2" applyFont="1" applyFill="1"/>
    <xf numFmtId="182" fontId="0" fillId="12" borderId="0" xfId="2" applyNumberFormat="1" applyFont="1" applyFill="1"/>
    <xf numFmtId="44" fontId="0" fillId="5" borderId="0" xfId="2" applyFont="1" applyFill="1" applyBorder="1"/>
    <xf numFmtId="49" fontId="4" fillId="9" borderId="0" xfId="0" applyNumberFormat="1" applyFont="1" applyFill="1" applyAlignment="1"/>
    <xf numFmtId="43" fontId="0" fillId="15" borderId="0" xfId="1" applyFont="1" applyFill="1"/>
    <xf numFmtId="49" fontId="0" fillId="8" borderId="2" xfId="0" applyNumberFormat="1" applyFill="1" applyBorder="1" applyAlignment="1">
      <alignment horizontal="left" vertical="center"/>
    </xf>
    <xf numFmtId="49" fontId="0" fillId="8" borderId="1" xfId="0" applyNumberFormat="1" applyFill="1" applyBorder="1" applyAlignment="1">
      <alignment horizontal="left" vertical="center"/>
    </xf>
    <xf numFmtId="49" fontId="82" fillId="75" borderId="0" xfId="5" applyNumberFormat="1" applyFont="1" applyFill="1" applyBorder="1" applyAlignment="1">
      <alignment horizontal="center" vertical="center"/>
    </xf>
    <xf numFmtId="0" fontId="82" fillId="75" borderId="0" xfId="5" applyNumberFormat="1" applyFont="1" applyFill="1" applyBorder="1" applyAlignment="1">
      <alignment horizontal="center" vertical="center"/>
    </xf>
    <xf numFmtId="0" fontId="4" fillId="75" borderId="0" xfId="0" applyNumberFormat="1" applyFont="1" applyFill="1" applyBorder="1" applyAlignment="1">
      <alignment horizontal="left" vertical="center"/>
    </xf>
    <xf numFmtId="17" fontId="0" fillId="0" borderId="0" xfId="0" applyNumberFormat="1" applyAlignment="1"/>
    <xf numFmtId="0" fontId="0" fillId="0" borderId="0" xfId="0" quotePrefix="1" applyFill="1" applyAlignment="1">
      <alignment horizontal="left"/>
    </xf>
    <xf numFmtId="49" fontId="4" fillId="8" borderId="0" xfId="0" quotePrefix="1" applyNumberFormat="1" applyFont="1" applyFill="1" applyBorder="1" applyAlignment="1">
      <alignment horizontal="left" vertical="center"/>
    </xf>
    <xf numFmtId="0" fontId="0" fillId="0" borderId="0" xfId="0" quotePrefix="1" applyBorder="1" applyAlignment="1">
      <alignment horizontal="left"/>
    </xf>
    <xf numFmtId="0" fontId="0" fillId="0" borderId="0" xfId="0" applyBorder="1" applyAlignment="1">
      <alignment horizontal="center" wrapText="1"/>
    </xf>
    <xf numFmtId="0" fontId="0" fillId="0" borderId="0" xfId="0" applyNumberFormat="1" applyBorder="1"/>
    <xf numFmtId="0" fontId="3" fillId="5" borderId="0" xfId="5" applyFont="1" applyFill="1"/>
    <xf numFmtId="43" fontId="0" fillId="5" borderId="0" xfId="7" applyFont="1" applyFill="1"/>
    <xf numFmtId="164" fontId="0" fillId="5" borderId="0" xfId="7" applyNumberFormat="1" applyFont="1" applyFill="1"/>
    <xf numFmtId="0" fontId="0" fillId="5" borderId="0" xfId="0" applyNumberFormat="1" applyFill="1"/>
    <xf numFmtId="43" fontId="0" fillId="5" borderId="0" xfId="1" applyFont="1" applyFill="1"/>
    <xf numFmtId="164" fontId="0" fillId="5" borderId="0" xfId="1" applyNumberFormat="1" applyFont="1" applyFill="1"/>
    <xf numFmtId="0" fontId="0" fillId="2" borderId="0" xfId="0" applyNumberFormat="1" applyFill="1"/>
    <xf numFmtId="0" fontId="0" fillId="4" borderId="0" xfId="0" applyNumberFormat="1" applyFill="1"/>
    <xf numFmtId="0" fontId="0" fillId="16" borderId="0" xfId="0" applyNumberFormat="1" applyFill="1"/>
    <xf numFmtId="0" fontId="3" fillId="5" borderId="0" xfId="5" applyNumberFormat="1" applyFont="1" applyFill="1"/>
    <xf numFmtId="0" fontId="0" fillId="2" borderId="0" xfId="0" quotePrefix="1" applyNumberFormat="1" applyFill="1" applyAlignment="1">
      <alignment horizontal="left"/>
    </xf>
    <xf numFmtId="0" fontId="0" fillId="4" borderId="0" xfId="0" quotePrefix="1" applyNumberFormat="1" applyFill="1" applyAlignment="1">
      <alignment horizontal="left"/>
    </xf>
    <xf numFmtId="0" fontId="0" fillId="16" borderId="0" xfId="0" quotePrefix="1" applyNumberFormat="1" applyFill="1" applyAlignment="1">
      <alignment horizontal="left"/>
    </xf>
    <xf numFmtId="0" fontId="3" fillId="5" borderId="0" xfId="5" quotePrefix="1" applyNumberFormat="1" applyFont="1" applyFill="1" applyAlignment="1">
      <alignment horizontal="left"/>
    </xf>
    <xf numFmtId="164" fontId="0" fillId="16" borderId="0" xfId="7" applyNumberFormat="1" applyFont="1" applyFill="1"/>
    <xf numFmtId="0" fontId="0" fillId="4" borderId="0" xfId="0" quotePrefix="1" applyFill="1" applyAlignment="1">
      <alignment horizontal="left"/>
    </xf>
    <xf numFmtId="0" fontId="0" fillId="16" borderId="0" xfId="0" quotePrefix="1" applyFill="1" applyAlignment="1">
      <alignment horizontal="left"/>
    </xf>
    <xf numFmtId="0" fontId="3" fillId="5" borderId="0" xfId="5" quotePrefix="1" applyFont="1" applyFill="1" applyAlignment="1">
      <alignment horizontal="left"/>
    </xf>
    <xf numFmtId="49" fontId="82" fillId="8" borderId="34" xfId="0" applyNumberFormat="1" applyFont="1" applyFill="1" applyBorder="1" applyAlignment="1">
      <alignment horizontal="left" vertical="center"/>
    </xf>
    <xf numFmtId="49" fontId="82" fillId="8" borderId="33" xfId="0" applyNumberFormat="1" applyFont="1" applyFill="1" applyBorder="1" applyAlignment="1">
      <alignment horizontal="center" vertical="center"/>
    </xf>
    <xf numFmtId="49" fontId="82" fillId="8" borderId="33" xfId="2109" applyNumberFormat="1" applyFont="1" applyFill="1" applyBorder="1" applyAlignment="1">
      <alignment vertical="center"/>
    </xf>
    <xf numFmtId="49" fontId="82" fillId="0" borderId="0" xfId="2109" applyNumberFormat="1" applyFont="1" applyFill="1" applyBorder="1" applyAlignment="1">
      <alignment horizontal="center" vertical="center"/>
    </xf>
    <xf numFmtId="43" fontId="4" fillId="0" borderId="0" xfId="7" applyFont="1" applyFill="1" applyBorder="1" applyAlignment="1">
      <alignment horizontal="right" vertical="center"/>
    </xf>
    <xf numFmtId="43" fontId="0" fillId="76" borderId="0" xfId="7" applyFont="1" applyFill="1"/>
    <xf numFmtId="10" fontId="0" fillId="0" borderId="0" xfId="0" applyNumberFormat="1" applyBorder="1"/>
    <xf numFmtId="174" fontId="0" fillId="0" borderId="0" xfId="2" applyNumberFormat="1" applyFont="1" applyBorder="1"/>
    <xf numFmtId="174" fontId="0" fillId="0" borderId="0" xfId="0" applyNumberFormat="1" applyBorder="1"/>
    <xf numFmtId="0" fontId="0" fillId="5" borderId="0" xfId="5" quotePrefix="1" applyNumberFormat="1" applyFont="1" applyFill="1" applyAlignment="1">
      <alignment horizontal="left"/>
    </xf>
    <xf numFmtId="0" fontId="3" fillId="4" borderId="0" xfId="5" applyFont="1" applyFill="1"/>
    <xf numFmtId="0" fontId="3" fillId="4" borderId="0" xfId="5" applyNumberFormat="1" applyFont="1" applyFill="1"/>
    <xf numFmtId="43" fontId="0" fillId="4" borderId="0" xfId="7" applyFont="1" applyFill="1"/>
    <xf numFmtId="164" fontId="0" fillId="4" borderId="0" xfId="7" applyNumberFormat="1" applyFont="1" applyFill="1"/>
    <xf numFmtId="0" fontId="0" fillId="4" borderId="0" xfId="5" quotePrefix="1" applyNumberFormat="1" applyFont="1" applyFill="1" applyAlignment="1">
      <alignment horizontal="left"/>
    </xf>
    <xf numFmtId="0" fontId="3" fillId="4" borderId="0" xfId="5" quotePrefix="1" applyNumberFormat="1" applyFont="1" applyFill="1" applyAlignment="1">
      <alignment horizontal="left"/>
    </xf>
    <xf numFmtId="0" fontId="0" fillId="4" borderId="0" xfId="5" applyFont="1" applyFill="1"/>
    <xf numFmtId="0" fontId="3" fillId="4" borderId="0" xfId="5" quotePrefix="1" applyFont="1" applyFill="1" applyAlignment="1">
      <alignment horizontal="left"/>
    </xf>
    <xf numFmtId="0" fontId="0" fillId="4" borderId="0" xfId="5" quotePrefix="1" applyFont="1" applyFill="1" applyAlignment="1">
      <alignment horizontal="left"/>
    </xf>
    <xf numFmtId="0" fontId="0" fillId="5" borderId="0" xfId="5" applyFont="1" applyFill="1"/>
    <xf numFmtId="49" fontId="4" fillId="11" borderId="2" xfId="0" applyNumberFormat="1" applyFont="1" applyFill="1" applyBorder="1" applyAlignment="1">
      <alignment horizontal="left" vertical="center"/>
    </xf>
    <xf numFmtId="49" fontId="82" fillId="8" borderId="0" xfId="0" applyNumberFormat="1" applyFont="1" applyFill="1" applyBorder="1" applyAlignment="1">
      <alignment horizontal="center" vertical="center"/>
    </xf>
    <xf numFmtId="43" fontId="4" fillId="2" borderId="0" xfId="7" applyFont="1" applyFill="1" applyBorder="1" applyAlignment="1">
      <alignment horizontal="right" vertical="center"/>
    </xf>
    <xf numFmtId="171" fontId="4" fillId="9" borderId="3" xfId="0" applyNumberFormat="1" applyFont="1" applyFill="1" applyBorder="1" applyAlignment="1">
      <alignment horizontal="right" vertical="center" wrapText="1"/>
    </xf>
    <xf numFmtId="171" fontId="4" fillId="10" borderId="3" xfId="0" applyNumberFormat="1" applyFont="1" applyFill="1" applyBorder="1" applyAlignment="1">
      <alignment horizontal="right" vertical="center" wrapText="1"/>
    </xf>
    <xf numFmtId="171" fontId="4" fillId="11" borderId="3" xfId="0" applyNumberFormat="1" applyFont="1" applyFill="1" applyBorder="1" applyAlignment="1">
      <alignment horizontal="right" vertical="center" wrapText="1"/>
    </xf>
    <xf numFmtId="49" fontId="83" fillId="8" borderId="3" xfId="0" quotePrefix="1" applyNumberFormat="1" applyFont="1" applyFill="1" applyBorder="1" applyAlignment="1">
      <alignment horizontal="left" vertical="center"/>
    </xf>
    <xf numFmtId="49" fontId="83" fillId="8" borderId="3" xfId="0" applyNumberFormat="1" applyFont="1" applyFill="1" applyBorder="1" applyAlignment="1">
      <alignment horizontal="left" vertical="center"/>
    </xf>
    <xf numFmtId="169" fontId="83" fillId="9" borderId="3" xfId="0" applyNumberFormat="1" applyFont="1" applyFill="1" applyBorder="1" applyAlignment="1">
      <alignment horizontal="right" vertical="center"/>
    </xf>
    <xf numFmtId="49" fontId="83" fillId="9" borderId="3" xfId="0" applyNumberFormat="1" applyFont="1" applyFill="1" applyBorder="1" applyAlignment="1">
      <alignment horizontal="right" vertical="center"/>
    </xf>
    <xf numFmtId="169" fontId="83" fillId="10" borderId="3" xfId="0" applyNumberFormat="1" applyFont="1" applyFill="1" applyBorder="1" applyAlignment="1">
      <alignment horizontal="right" vertical="center"/>
    </xf>
    <xf numFmtId="49" fontId="83" fillId="10" borderId="3" xfId="0" applyNumberFormat="1" applyFont="1" applyFill="1" applyBorder="1" applyAlignment="1">
      <alignment horizontal="right" vertical="center"/>
    </xf>
    <xf numFmtId="169" fontId="83" fillId="11" borderId="3" xfId="0" applyNumberFormat="1" applyFont="1" applyFill="1" applyBorder="1" applyAlignment="1">
      <alignment horizontal="right" vertical="center"/>
    </xf>
    <xf numFmtId="49" fontId="83" fillId="8" borderId="0" xfId="0" applyNumberFormat="1" applyFont="1" applyFill="1" applyBorder="1" applyAlignment="1">
      <alignment horizontal="left" vertical="center"/>
    </xf>
    <xf numFmtId="0" fontId="84" fillId="0" borderId="0" xfId="0" applyNumberFormat="1" applyFont="1"/>
    <xf numFmtId="0" fontId="84" fillId="0" borderId="0" xfId="0" applyFont="1" applyFill="1" applyBorder="1" applyAlignment="1"/>
    <xf numFmtId="181" fontId="83" fillId="9" borderId="3" xfId="0" applyNumberFormat="1" applyFont="1" applyFill="1" applyBorder="1" applyAlignment="1">
      <alignment horizontal="right" vertical="center"/>
    </xf>
    <xf numFmtId="44" fontId="83" fillId="9" borderId="0" xfId="2" applyFont="1" applyFill="1" applyBorder="1" applyAlignment="1">
      <alignment horizontal="right" vertical="center"/>
    </xf>
    <xf numFmtId="43" fontId="84" fillId="0" borderId="0" xfId="1" applyFont="1"/>
    <xf numFmtId="169" fontId="84" fillId="0" borderId="0" xfId="0" applyNumberFormat="1" applyFont="1" applyFill="1" applyBorder="1" applyAlignment="1"/>
    <xf numFmtId="181" fontId="83" fillId="10" borderId="3" xfId="0" applyNumberFormat="1" applyFont="1" applyFill="1" applyBorder="1" applyAlignment="1">
      <alignment horizontal="right" vertical="center"/>
    </xf>
    <xf numFmtId="49" fontId="83" fillId="8" borderId="3" xfId="0" quotePrefix="1" applyNumberFormat="1" applyFont="1" applyFill="1" applyBorder="1" applyAlignment="1">
      <alignment horizontal="left" vertical="center" wrapText="1"/>
    </xf>
    <xf numFmtId="49" fontId="83" fillId="11" borderId="3" xfId="0" applyNumberFormat="1" applyFont="1" applyFill="1" applyBorder="1" applyAlignment="1">
      <alignment horizontal="left" vertical="center"/>
    </xf>
    <xf numFmtId="49" fontId="83" fillId="11" borderId="3" xfId="0" applyNumberFormat="1" applyFont="1" applyFill="1" applyBorder="1" applyAlignment="1">
      <alignment horizontal="right" vertical="center"/>
    </xf>
    <xf numFmtId="49" fontId="83" fillId="11" borderId="0" xfId="0" applyNumberFormat="1" applyFont="1" applyFill="1" applyBorder="1" applyAlignment="1">
      <alignment horizontal="right" vertical="center"/>
    </xf>
    <xf numFmtId="0" fontId="83" fillId="8" borderId="3" xfId="0" quotePrefix="1" applyNumberFormat="1" applyFont="1" applyFill="1" applyBorder="1" applyAlignment="1">
      <alignment horizontal="left" vertical="center" wrapText="1"/>
    </xf>
    <xf numFmtId="0" fontId="83" fillId="11" borderId="3" xfId="0" applyNumberFormat="1" applyFont="1" applyFill="1" applyBorder="1" applyAlignment="1">
      <alignment horizontal="left" vertical="center" wrapText="1"/>
    </xf>
    <xf numFmtId="0" fontId="83" fillId="11" borderId="3" xfId="0" applyNumberFormat="1" applyFont="1" applyFill="1" applyBorder="1" applyAlignment="1">
      <alignment horizontal="right" vertical="center" wrapText="1"/>
    </xf>
    <xf numFmtId="0" fontId="83" fillId="11" borderId="0" xfId="0" applyNumberFormat="1" applyFont="1" applyFill="1" applyBorder="1" applyAlignment="1">
      <alignment horizontal="right" vertical="center" wrapText="1"/>
    </xf>
    <xf numFmtId="49" fontId="83" fillId="8" borderId="3" xfId="0" applyNumberFormat="1" applyFont="1" applyFill="1" applyBorder="1" applyAlignment="1">
      <alignment horizontal="left" vertical="center" wrapText="1"/>
    </xf>
    <xf numFmtId="44" fontId="84" fillId="0" borderId="0" xfId="2" applyFont="1"/>
    <xf numFmtId="49" fontId="83" fillId="11" borderId="3" xfId="0" applyNumberFormat="1" applyFont="1" applyFill="1" applyBorder="1" applyAlignment="1">
      <alignment horizontal="left" vertical="center" wrapText="1"/>
    </xf>
    <xf numFmtId="169" fontId="83" fillId="11" borderId="3" xfId="0" applyNumberFormat="1" applyFont="1" applyFill="1" applyBorder="1" applyAlignment="1">
      <alignment horizontal="right" vertical="center" wrapText="1"/>
    </xf>
    <xf numFmtId="49" fontId="83" fillId="11" borderId="3" xfId="0" applyNumberFormat="1" applyFont="1" applyFill="1" applyBorder="1" applyAlignment="1">
      <alignment horizontal="right" vertical="center" wrapText="1"/>
    </xf>
    <xf numFmtId="49" fontId="83" fillId="11" borderId="0" xfId="0" applyNumberFormat="1" applyFont="1" applyFill="1" applyBorder="1" applyAlignment="1">
      <alignment horizontal="right" vertical="center" wrapText="1"/>
    </xf>
    <xf numFmtId="0" fontId="83" fillId="11" borderId="8" xfId="0" applyNumberFormat="1" applyFont="1" applyFill="1" applyBorder="1" applyAlignment="1">
      <alignment horizontal="left" vertical="center"/>
    </xf>
    <xf numFmtId="0" fontId="83" fillId="11" borderId="8" xfId="0" applyNumberFormat="1" applyFont="1" applyFill="1" applyBorder="1" applyAlignment="1">
      <alignment horizontal="right" vertical="center"/>
    </xf>
    <xf numFmtId="0" fontId="83" fillId="11" borderId="0" xfId="0" applyNumberFormat="1" applyFont="1" applyFill="1" applyBorder="1" applyAlignment="1">
      <alignment horizontal="right" vertical="center"/>
    </xf>
    <xf numFmtId="49" fontId="83" fillId="0" borderId="0" xfId="0" applyNumberFormat="1" applyFont="1" applyFill="1" applyBorder="1" applyAlignment="1">
      <alignment horizontal="left" vertical="center"/>
    </xf>
    <xf numFmtId="168" fontId="83" fillId="0" borderId="0" xfId="0" applyNumberFormat="1" applyFont="1" applyFill="1" applyBorder="1" applyAlignment="1">
      <alignment horizontal="right" vertical="center"/>
    </xf>
    <xf numFmtId="49" fontId="83" fillId="0" borderId="0" xfId="0" quotePrefix="1" applyNumberFormat="1" applyFont="1" applyFill="1" applyBorder="1" applyAlignment="1">
      <alignment horizontal="left" vertical="center"/>
    </xf>
    <xf numFmtId="49" fontId="83" fillId="0" borderId="0" xfId="0" applyNumberFormat="1" applyFont="1" applyFill="1" applyBorder="1" applyAlignment="1">
      <alignment horizontal="right" vertical="center"/>
    </xf>
    <xf numFmtId="49" fontId="83" fillId="0" borderId="0" xfId="0" applyNumberFormat="1" applyFont="1" applyFill="1" applyBorder="1" applyAlignment="1">
      <alignment vertical="center"/>
    </xf>
    <xf numFmtId="49" fontId="84" fillId="0" borderId="0" xfId="0" applyNumberFormat="1" applyFont="1" applyFill="1" applyBorder="1" applyAlignment="1">
      <alignment vertical="center"/>
    </xf>
    <xf numFmtId="49" fontId="84" fillId="0" borderId="0" xfId="0" applyNumberFormat="1" applyFont="1" applyFill="1" applyBorder="1" applyAlignment="1">
      <alignment horizontal="right" vertical="center"/>
    </xf>
    <xf numFmtId="49" fontId="4" fillId="14" borderId="0" xfId="0" applyNumberFormat="1" applyFont="1" applyFill="1" applyBorder="1" applyAlignment="1">
      <alignment horizontal="left" vertical="center"/>
    </xf>
    <xf numFmtId="0" fontId="2" fillId="0" borderId="0" xfId="8" quotePrefix="1" applyFont="1" applyAlignment="1">
      <alignment horizontal="left"/>
    </xf>
    <xf numFmtId="0" fontId="2" fillId="0" borderId="0" xfId="8" applyFont="1" applyAlignment="1"/>
    <xf numFmtId="44" fontId="84" fillId="0" borderId="0" xfId="2" applyFont="1" applyFill="1" applyBorder="1" applyAlignment="1"/>
    <xf numFmtId="165" fontId="84" fillId="0" borderId="0" xfId="0" applyNumberFormat="1" applyFont="1" applyFill="1" applyBorder="1" applyAlignment="1"/>
    <xf numFmtId="178" fontId="0" fillId="0" borderId="0" xfId="0" applyNumberFormat="1"/>
    <xf numFmtId="187" fontId="0" fillId="0" borderId="0" xfId="0" applyNumberFormat="1"/>
    <xf numFmtId="2" fontId="83" fillId="8" borderId="3" xfId="0" applyNumberFormat="1" applyFont="1" applyFill="1" applyBorder="1" applyAlignment="1">
      <alignment horizontal="left" vertical="center"/>
    </xf>
    <xf numFmtId="2" fontId="83" fillId="11" borderId="3" xfId="0" applyNumberFormat="1" applyFont="1" applyFill="1" applyBorder="1" applyAlignment="1">
      <alignment horizontal="right" vertical="center"/>
    </xf>
    <xf numFmtId="2" fontId="83" fillId="11" borderId="8" xfId="0" applyNumberFormat="1" applyFont="1" applyFill="1" applyBorder="1" applyAlignment="1">
      <alignment horizontal="right" vertical="center"/>
    </xf>
    <xf numFmtId="2" fontId="83" fillId="14" borderId="0" xfId="0" applyNumberFormat="1" applyFont="1" applyFill="1" applyBorder="1" applyAlignment="1">
      <alignment horizontal="right" vertical="center"/>
    </xf>
    <xf numFmtId="2" fontId="83" fillId="8" borderId="3" xfId="0" applyNumberFormat="1" applyFont="1" applyFill="1" applyBorder="1" applyAlignment="1">
      <alignment horizontal="center" vertical="center"/>
    </xf>
    <xf numFmtId="2" fontId="83" fillId="8" borderId="3" xfId="0" quotePrefix="1" applyNumberFormat="1" applyFont="1" applyFill="1" applyBorder="1" applyAlignment="1">
      <alignment horizontal="left" vertical="center"/>
    </xf>
    <xf numFmtId="2" fontId="83" fillId="0" borderId="0" xfId="0" applyNumberFormat="1" applyFont="1" applyFill="1" applyBorder="1" applyAlignment="1"/>
    <xf numFmtId="2" fontId="83" fillId="11" borderId="1" xfId="0" applyNumberFormat="1" applyFont="1" applyFill="1" applyBorder="1" applyAlignment="1">
      <alignment horizontal="left" vertical="center"/>
    </xf>
    <xf numFmtId="2" fontId="83" fillId="11" borderId="1" xfId="0" applyNumberFormat="1" applyFont="1" applyFill="1" applyBorder="1" applyAlignment="1">
      <alignment vertical="center"/>
    </xf>
    <xf numFmtId="2" fontId="83" fillId="11" borderId="2" xfId="0" applyNumberFormat="1" applyFont="1" applyFill="1" applyBorder="1" applyAlignment="1">
      <alignment vertical="center"/>
    </xf>
    <xf numFmtId="2" fontId="83" fillId="14" borderId="3" xfId="0" applyNumberFormat="1" applyFont="1" applyFill="1" applyBorder="1" applyAlignment="1">
      <alignment horizontal="left" vertical="center"/>
    </xf>
    <xf numFmtId="2" fontId="83" fillId="11" borderId="8" xfId="0" quotePrefix="1" applyNumberFormat="1" applyFont="1" applyFill="1" applyBorder="1" applyAlignment="1">
      <alignment horizontal="right" vertical="center"/>
    </xf>
    <xf numFmtId="2" fontId="83" fillId="14" borderId="0" xfId="0" applyNumberFormat="1" applyFont="1" applyFill="1" applyBorder="1" applyAlignment="1"/>
    <xf numFmtId="2" fontId="83" fillId="8" borderId="1" xfId="0" applyNumberFormat="1" applyFont="1" applyFill="1" applyBorder="1" applyAlignment="1">
      <alignment horizontal="left" vertical="center"/>
    </xf>
    <xf numFmtId="2" fontId="83" fillId="0" borderId="0" xfId="2" applyNumberFormat="1" applyFont="1" applyFill="1" applyBorder="1" applyAlignment="1"/>
    <xf numFmtId="2" fontId="83" fillId="14" borderId="3" xfId="0" quotePrefix="1" applyNumberFormat="1" applyFont="1" applyFill="1" applyBorder="1" applyAlignment="1">
      <alignment horizontal="left" vertical="center"/>
    </xf>
    <xf numFmtId="2" fontId="83" fillId="11" borderId="4" xfId="0" applyNumberFormat="1" applyFont="1" applyFill="1" applyBorder="1" applyAlignment="1">
      <alignment horizontal="left" vertical="center"/>
    </xf>
    <xf numFmtId="2" fontId="83" fillId="14" borderId="0" xfId="2" applyNumberFormat="1" applyFont="1" applyFill="1" applyBorder="1" applyAlignment="1"/>
    <xf numFmtId="2" fontId="83" fillId="11" borderId="4" xfId="0" applyNumberFormat="1" applyFont="1" applyFill="1" applyBorder="1" applyAlignment="1">
      <alignment vertical="center"/>
    </xf>
    <xf numFmtId="2" fontId="83" fillId="8" borderId="1" xfId="0" applyNumberFormat="1" applyFont="1" applyFill="1" applyBorder="1" applyAlignment="1">
      <alignment horizontal="right" vertical="center"/>
    </xf>
    <xf numFmtId="0" fontId="0" fillId="77" borderId="0" xfId="5" applyFont="1" applyFill="1"/>
    <xf numFmtId="0" fontId="3" fillId="77" borderId="0" xfId="5" applyNumberFormat="1" applyFont="1" applyFill="1"/>
    <xf numFmtId="43" fontId="0" fillId="77" borderId="0" xfId="7" applyFont="1" applyFill="1"/>
    <xf numFmtId="164" fontId="0" fillId="77" borderId="0" xfId="7" applyNumberFormat="1" applyFont="1" applyFill="1"/>
    <xf numFmtId="164" fontId="0" fillId="77" borderId="0" xfId="1" applyNumberFormat="1" applyFont="1" applyFill="1"/>
    <xf numFmtId="0" fontId="0" fillId="77" borderId="0" xfId="5" quotePrefix="1" applyNumberFormat="1" applyFont="1" applyFill="1" applyAlignment="1">
      <alignment horizontal="left"/>
    </xf>
    <xf numFmtId="0" fontId="3" fillId="77" borderId="0" xfId="5" quotePrefix="1" applyNumberFormat="1" applyFont="1" applyFill="1" applyAlignment="1">
      <alignment horizontal="left"/>
    </xf>
    <xf numFmtId="43" fontId="0" fillId="77" borderId="0" xfId="1" applyFont="1" applyFill="1"/>
    <xf numFmtId="0" fontId="0" fillId="77" borderId="0" xfId="5" quotePrefix="1" applyFont="1" applyFill="1" applyAlignment="1">
      <alignment horizontal="left"/>
    </xf>
    <xf numFmtId="0" fontId="3" fillId="77" borderId="0" xfId="5" applyFont="1" applyFill="1"/>
    <xf numFmtId="0" fontId="3" fillId="77" borderId="0" xfId="5" quotePrefix="1" applyFont="1" applyFill="1" applyAlignment="1">
      <alignment horizontal="left"/>
    </xf>
    <xf numFmtId="0" fontId="0" fillId="77" borderId="0" xfId="5" applyNumberFormat="1" applyFont="1" applyFill="1"/>
    <xf numFmtId="0" fontId="0" fillId="15" borderId="0" xfId="5" applyFont="1" applyFill="1"/>
    <xf numFmtId="0" fontId="3" fillId="15" borderId="0" xfId="5" applyNumberFormat="1" applyFont="1" applyFill="1"/>
    <xf numFmtId="43" fontId="0" fillId="15" borderId="0" xfId="7" applyFont="1" applyFill="1"/>
    <xf numFmtId="164" fontId="0" fillId="15" borderId="0" xfId="7" applyNumberFormat="1" applyFont="1" applyFill="1"/>
    <xf numFmtId="164" fontId="0" fillId="15" borderId="0" xfId="1" applyNumberFormat="1" applyFont="1" applyFill="1"/>
    <xf numFmtId="0" fontId="0" fillId="15" borderId="0" xfId="5" quotePrefix="1" applyNumberFormat="1" applyFont="1" applyFill="1" applyAlignment="1">
      <alignment horizontal="left"/>
    </xf>
    <xf numFmtId="0" fontId="0" fillId="15" borderId="0" xfId="0" applyNumberFormat="1" applyFill="1"/>
    <xf numFmtId="0" fontId="3" fillId="15" borderId="0" xfId="5" quotePrefix="1" applyNumberFormat="1" applyFont="1" applyFill="1" applyAlignment="1">
      <alignment horizontal="left"/>
    </xf>
    <xf numFmtId="0" fontId="0" fillId="15" borderId="0" xfId="5" quotePrefix="1" applyFont="1" applyFill="1" applyAlignment="1">
      <alignment horizontal="left"/>
    </xf>
    <xf numFmtId="0" fontId="0" fillId="15" borderId="0" xfId="5" applyNumberFormat="1" applyFont="1" applyFill="1"/>
    <xf numFmtId="49" fontId="83" fillId="8" borderId="8" xfId="0" quotePrefix="1" applyNumberFormat="1" applyFont="1" applyFill="1" applyBorder="1" applyAlignment="1">
      <alignment horizontal="left" vertical="center"/>
    </xf>
    <xf numFmtId="0" fontId="4" fillId="8" borderId="0" xfId="0" applyNumberFormat="1" applyFont="1" applyFill="1" applyBorder="1" applyAlignment="1">
      <alignment horizontal="left" vertical="center"/>
    </xf>
    <xf numFmtId="41" fontId="85" fillId="0" borderId="0" xfId="1782" applyFont="1" applyFill="1"/>
    <xf numFmtId="41" fontId="86" fillId="0" borderId="0" xfId="1782" applyFont="1"/>
    <xf numFmtId="41" fontId="86" fillId="0" borderId="0" xfId="1782" applyFont="1" applyFill="1"/>
    <xf numFmtId="41" fontId="85" fillId="0" borderId="0" xfId="1782" applyFont="1"/>
    <xf numFmtId="174" fontId="86" fillId="0" borderId="0" xfId="2" applyNumberFormat="1" applyFont="1"/>
    <xf numFmtId="174" fontId="89" fillId="0" borderId="0" xfId="2" applyNumberFormat="1" applyFont="1"/>
    <xf numFmtId="41" fontId="86" fillId="0" borderId="0" xfId="1782" applyFont="1" applyFill="1" applyAlignment="1">
      <alignment horizontal="left"/>
    </xf>
    <xf numFmtId="174" fontId="86" fillId="0" borderId="0" xfId="2" applyNumberFormat="1" applyFont="1" applyFill="1"/>
    <xf numFmtId="174" fontId="84" fillId="0" borderId="0" xfId="2" applyNumberFormat="1" applyFont="1" applyBorder="1"/>
    <xf numFmtId="0" fontId="0" fillId="15" borderId="0" xfId="0" applyFill="1"/>
    <xf numFmtId="49" fontId="4" fillId="11" borderId="3" xfId="0" applyNumberFormat="1" applyFont="1" applyFill="1" applyBorder="1" applyAlignment="1">
      <alignment horizontal="right" vertical="center"/>
    </xf>
    <xf numFmtId="44" fontId="83" fillId="14" borderId="0" xfId="2" applyFont="1" applyFill="1" applyBorder="1" applyAlignment="1">
      <alignment horizontal="right" vertical="center"/>
    </xf>
    <xf numFmtId="49" fontId="83" fillId="11" borderId="3" xfId="0" quotePrefix="1" applyNumberFormat="1" applyFont="1" applyFill="1" applyBorder="1" applyAlignment="1">
      <alignment horizontal="left" vertical="center"/>
    </xf>
    <xf numFmtId="0" fontId="0" fillId="15" borderId="0" xfId="0" quotePrefix="1" applyNumberFormat="1" applyFill="1" applyAlignment="1">
      <alignment horizontal="left"/>
    </xf>
    <xf numFmtId="49" fontId="4" fillId="8" borderId="3" xfId="0" applyNumberFormat="1" applyFont="1" applyFill="1" applyBorder="1" applyAlignment="1">
      <alignment horizontal="right" vertical="center" wrapText="1"/>
    </xf>
    <xf numFmtId="49" fontId="4" fillId="11" borderId="3" xfId="0" applyNumberFormat="1" applyFont="1" applyFill="1" applyBorder="1" applyAlignment="1">
      <alignment horizontal="right" vertical="center" wrapText="1"/>
    </xf>
    <xf numFmtId="165" fontId="83" fillId="11" borderId="4" xfId="1" applyNumberFormat="1" applyFont="1" applyFill="1" applyBorder="1" applyAlignment="1">
      <alignment horizontal="right" vertical="center"/>
    </xf>
    <xf numFmtId="44" fontId="83" fillId="11" borderId="4" xfId="2" applyFont="1" applyFill="1" applyBorder="1" applyAlignment="1">
      <alignment horizontal="right" vertical="center"/>
    </xf>
    <xf numFmtId="44" fontId="83" fillId="0" borderId="0" xfId="2" applyFont="1" applyFill="1" applyBorder="1" applyAlignment="1"/>
    <xf numFmtId="49" fontId="83" fillId="14" borderId="0" xfId="0" applyNumberFormat="1" applyFont="1" applyFill="1" applyBorder="1" applyAlignment="1">
      <alignment horizontal="right" vertical="center"/>
    </xf>
    <xf numFmtId="44" fontId="84" fillId="14" borderId="0" xfId="2" applyFont="1" applyFill="1"/>
    <xf numFmtId="43" fontId="84" fillId="14" borderId="0" xfId="1" applyFont="1" applyFill="1"/>
    <xf numFmtId="44" fontId="84" fillId="0" borderId="0" xfId="0" applyNumberFormat="1" applyFont="1" applyFill="1" applyBorder="1" applyAlignment="1"/>
    <xf numFmtId="44" fontId="84" fillId="0" borderId="0" xfId="1" applyNumberFormat="1" applyFont="1"/>
    <xf numFmtId="0" fontId="84" fillId="0" borderId="0" xfId="0" applyFont="1" applyFill="1" applyAlignment="1">
      <alignment horizontal="left"/>
    </xf>
    <xf numFmtId="0" fontId="84" fillId="0" borderId="0" xfId="0" applyFont="1" applyFill="1"/>
    <xf numFmtId="43" fontId="84" fillId="0" borderId="0" xfId="1" applyFont="1" applyFill="1"/>
    <xf numFmtId="43" fontId="84" fillId="0" borderId="0" xfId="1" applyFont="1" applyFill="1" applyAlignment="1">
      <alignment horizontal="left"/>
    </xf>
    <xf numFmtId="167" fontId="84" fillId="0" borderId="0" xfId="1" applyNumberFormat="1" applyFont="1" applyFill="1"/>
    <xf numFmtId="0" fontId="84" fillId="0" borderId="0" xfId="0" applyFont="1"/>
    <xf numFmtId="0" fontId="84" fillId="0" borderId="0" xfId="0" quotePrefix="1" applyFont="1" applyFill="1" applyAlignment="1">
      <alignment horizontal="left"/>
    </xf>
    <xf numFmtId="0" fontId="93" fillId="0" borderId="0" xfId="0" applyFont="1" applyAlignment="1">
      <alignment horizontal="center" wrapText="1"/>
    </xf>
    <xf numFmtId="0" fontId="94" fillId="0" borderId="0" xfId="0" quotePrefix="1" applyFont="1" applyFill="1" applyAlignment="1">
      <alignment horizontal="center" wrapText="1"/>
    </xf>
    <xf numFmtId="0" fontId="93" fillId="0" borderId="0" xfId="0" applyFont="1" applyFill="1" applyAlignment="1">
      <alignment horizontal="center" wrapText="1"/>
    </xf>
    <xf numFmtId="0" fontId="93" fillId="0" borderId="0" xfId="0" quotePrefix="1" applyFont="1" applyFill="1" applyAlignment="1">
      <alignment horizontal="center" wrapText="1"/>
    </xf>
    <xf numFmtId="43" fontId="93" fillId="0" borderId="0" xfId="1" quotePrefix="1" applyFont="1" applyFill="1" applyAlignment="1">
      <alignment horizontal="center" wrapText="1"/>
    </xf>
    <xf numFmtId="167" fontId="93" fillId="0" borderId="0" xfId="1" applyNumberFormat="1" applyFont="1" applyFill="1" applyAlignment="1">
      <alignment horizontal="center" wrapText="1"/>
    </xf>
    <xf numFmtId="0" fontId="93" fillId="0" borderId="0" xfId="0" quotePrefix="1" applyFont="1" applyAlignment="1">
      <alignment horizontal="center" wrapText="1"/>
    </xf>
    <xf numFmtId="0" fontId="93" fillId="0" borderId="0" xfId="0" applyFont="1"/>
    <xf numFmtId="0" fontId="84" fillId="4" borderId="0" xfId="0" applyFont="1" applyFill="1"/>
    <xf numFmtId="14" fontId="84" fillId="4" borderId="0" xfId="0" applyNumberFormat="1" applyFont="1" applyFill="1"/>
    <xf numFmtId="0" fontId="95" fillId="4" borderId="0" xfId="0" applyFont="1" applyFill="1"/>
    <xf numFmtId="165" fontId="91" fillId="2" borderId="0" xfId="1" applyNumberFormat="1" applyFont="1" applyFill="1"/>
    <xf numFmtId="165" fontId="84" fillId="15" borderId="0" xfId="1" applyNumberFormat="1" applyFont="1" applyFill="1"/>
    <xf numFmtId="165" fontId="91" fillId="15" borderId="0" xfId="1" applyNumberFormat="1" applyFont="1" applyFill="1"/>
    <xf numFmtId="43" fontId="91" fillId="2" borderId="0" xfId="1" applyFont="1" applyFill="1"/>
    <xf numFmtId="43" fontId="84" fillId="4" borderId="0" xfId="1" applyFont="1" applyFill="1"/>
    <xf numFmtId="44" fontId="84" fillId="6" borderId="0" xfId="2" applyFont="1" applyFill="1"/>
    <xf numFmtId="166" fontId="84" fillId="6" borderId="0" xfId="2" applyNumberFormat="1" applyFont="1" applyFill="1"/>
    <xf numFmtId="44" fontId="84" fillId="7" borderId="0" xfId="2" applyFont="1" applyFill="1"/>
    <xf numFmtId="44" fontId="95" fillId="4" borderId="0" xfId="2" applyFont="1" applyFill="1"/>
    <xf numFmtId="44" fontId="91" fillId="2" borderId="0" xfId="2" applyFont="1" applyFill="1"/>
    <xf numFmtId="44" fontId="91" fillId="7" borderId="0" xfId="2" applyFont="1" applyFill="1"/>
    <xf numFmtId="182" fontId="84" fillId="12" borderId="0" xfId="2" applyNumberFormat="1" applyFont="1" applyFill="1"/>
    <xf numFmtId="44" fontId="84" fillId="5" borderId="0" xfId="2" applyFont="1" applyFill="1"/>
    <xf numFmtId="44" fontId="84" fillId="0" borderId="0" xfId="0" applyNumberFormat="1" applyFont="1"/>
    <xf numFmtId="44" fontId="84" fillId="15" borderId="0" xfId="2" applyFont="1" applyFill="1"/>
    <xf numFmtId="44" fontId="84" fillId="15" borderId="0" xfId="0" applyNumberFormat="1" applyFont="1" applyFill="1"/>
    <xf numFmtId="0" fontId="84" fillId="7" borderId="0" xfId="0" applyFont="1" applyFill="1"/>
    <xf numFmtId="0" fontId="91" fillId="0" borderId="0" xfId="0" applyFont="1" applyFill="1"/>
    <xf numFmtId="165" fontId="91" fillId="0" borderId="0" xfId="0" applyNumberFormat="1" applyFont="1" applyFill="1"/>
    <xf numFmtId="43" fontId="91" fillId="0" borderId="0" xfId="1" applyFont="1" applyFill="1"/>
    <xf numFmtId="165" fontId="84" fillId="0" borderId="0" xfId="0" applyNumberFormat="1" applyFont="1"/>
    <xf numFmtId="165" fontId="84" fillId="0" borderId="0" xfId="1" applyNumberFormat="1" applyFont="1" applyFill="1"/>
    <xf numFmtId="165" fontId="96" fillId="0" borderId="0" xfId="1" applyNumberFormat="1" applyFont="1" applyFill="1"/>
    <xf numFmtId="0" fontId="84" fillId="0" borderId="0" xfId="0" applyFont="1" applyAlignment="1">
      <alignment horizontal="left"/>
    </xf>
    <xf numFmtId="0" fontId="84" fillId="0" borderId="0" xfId="0" quotePrefix="1" applyFont="1" applyAlignment="1">
      <alignment horizontal="left"/>
    </xf>
    <xf numFmtId="165" fontId="83" fillId="10" borderId="3" xfId="0" applyNumberFormat="1" applyFont="1" applyFill="1" applyBorder="1" applyAlignment="1">
      <alignment horizontal="right" vertical="center"/>
    </xf>
    <xf numFmtId="44" fontId="83" fillId="10" borderId="3" xfId="0" applyNumberFormat="1" applyFont="1" applyFill="1" applyBorder="1" applyAlignment="1">
      <alignment horizontal="right" vertical="center"/>
    </xf>
    <xf numFmtId="165" fontId="83" fillId="9" borderId="3" xfId="0" applyNumberFormat="1" applyFont="1" applyFill="1" applyBorder="1" applyAlignment="1">
      <alignment horizontal="right" vertical="center"/>
    </xf>
    <xf numFmtId="44" fontId="83" fillId="9" borderId="3" xfId="0" applyNumberFormat="1" applyFont="1" applyFill="1" applyBorder="1" applyAlignment="1">
      <alignment horizontal="right" vertical="center"/>
    </xf>
    <xf numFmtId="165" fontId="83" fillId="0" borderId="0" xfId="0" applyNumberFormat="1" applyFont="1" applyFill="1" applyBorder="1" applyAlignment="1">
      <alignment horizontal="right" vertical="center"/>
    </xf>
    <xf numFmtId="44" fontId="83" fillId="0" borderId="0" xfId="0" applyNumberFormat="1" applyFont="1" applyFill="1" applyBorder="1" applyAlignment="1">
      <alignment horizontal="right" vertical="center"/>
    </xf>
    <xf numFmtId="49" fontId="83" fillId="8" borderId="1" xfId="0" applyNumberFormat="1" applyFont="1" applyFill="1" applyBorder="1" applyAlignment="1">
      <alignment horizontal="left" vertical="center"/>
    </xf>
    <xf numFmtId="14" fontId="84" fillId="17" borderId="0" xfId="0" applyNumberFormat="1" applyFont="1" applyFill="1"/>
    <xf numFmtId="0" fontId="84" fillId="4" borderId="0" xfId="0" applyFont="1" applyFill="1" applyBorder="1"/>
    <xf numFmtId="14" fontId="84" fillId="4" borderId="0" xfId="0" applyNumberFormat="1" applyFont="1" applyFill="1" applyBorder="1"/>
    <xf numFmtId="0" fontId="95" fillId="4" borderId="0" xfId="0" applyFont="1" applyFill="1" applyBorder="1"/>
    <xf numFmtId="165" fontId="91" fillId="2" borderId="0" xfId="1" applyNumberFormat="1" applyFont="1" applyFill="1" applyBorder="1"/>
    <xf numFmtId="165" fontId="84" fillId="15" borderId="0" xfId="1" applyNumberFormat="1" applyFont="1" applyFill="1" applyBorder="1"/>
    <xf numFmtId="43" fontId="91" fillId="2" borderId="0" xfId="1" applyFont="1" applyFill="1" applyBorder="1"/>
    <xf numFmtId="43" fontId="84" fillId="4" borderId="0" xfId="1" applyFont="1" applyFill="1" applyBorder="1"/>
    <xf numFmtId="44" fontId="84" fillId="6" borderId="0" xfId="2" applyFont="1" applyFill="1" applyBorder="1"/>
    <xf numFmtId="166" fontId="84" fillId="6" borderId="0" xfId="2" applyNumberFormat="1" applyFont="1" applyFill="1" applyBorder="1"/>
    <xf numFmtId="44" fontId="84" fillId="7" borderId="0" xfId="2" applyFont="1" applyFill="1" applyBorder="1"/>
    <xf numFmtId="44" fontId="95" fillId="4" borderId="0" xfId="2" applyFont="1" applyFill="1" applyBorder="1"/>
    <xf numFmtId="44" fontId="91" fillId="2" borderId="0" xfId="2" applyFont="1" applyFill="1" applyBorder="1"/>
    <xf numFmtId="44" fontId="91" fillId="7" borderId="0" xfId="2" applyFont="1" applyFill="1" applyBorder="1"/>
    <xf numFmtId="182" fontId="84" fillId="12" borderId="0" xfId="2" applyNumberFormat="1" applyFont="1" applyFill="1" applyBorder="1"/>
    <xf numFmtId="44" fontId="84" fillId="5" borderId="0" xfId="2" applyFont="1" applyFill="1" applyBorder="1"/>
    <xf numFmtId="44" fontId="84" fillId="0" borderId="0" xfId="0" applyNumberFormat="1" applyFont="1" applyBorder="1"/>
    <xf numFmtId="44" fontId="84" fillId="15" borderId="0" xfId="2" applyFont="1" applyFill="1" applyBorder="1"/>
    <xf numFmtId="44" fontId="84" fillId="15" borderId="0" xfId="0" applyNumberFormat="1" applyFont="1" applyFill="1" applyBorder="1"/>
    <xf numFmtId="0" fontId="84" fillId="0" borderId="0" xfId="0" applyFont="1" applyBorder="1"/>
    <xf numFmtId="0" fontId="84" fillId="7" borderId="0" xfId="0" applyFont="1" applyFill="1" applyBorder="1"/>
    <xf numFmtId="41" fontId="85" fillId="0" borderId="0" xfId="1782" applyFont="1" applyAlignment="1">
      <alignment horizontal="right"/>
    </xf>
    <xf numFmtId="41" fontId="85" fillId="0" borderId="0" xfId="1782" applyFont="1" applyAlignment="1">
      <alignment horizontal="left"/>
    </xf>
    <xf numFmtId="41" fontId="86" fillId="0" borderId="0" xfId="1782" applyFont="1" applyAlignment="1">
      <alignment horizontal="left"/>
    </xf>
    <xf numFmtId="41" fontId="85" fillId="0" borderId="0" xfId="1782" applyFont="1" applyAlignment="1">
      <alignment horizontal="centerContinuous"/>
    </xf>
    <xf numFmtId="41" fontId="86" fillId="0" borderId="0" xfId="1782" applyFont="1" applyAlignment="1">
      <alignment horizontal="centerContinuous"/>
    </xf>
    <xf numFmtId="0" fontId="85" fillId="0" borderId="0" xfId="1782" applyNumberFormat="1" applyFont="1" applyAlignment="1">
      <alignment horizontal="center"/>
    </xf>
    <xf numFmtId="41" fontId="85" fillId="0" borderId="0" xfId="1782" quotePrefix="1" applyFont="1" applyAlignment="1">
      <alignment horizontal="left"/>
    </xf>
    <xf numFmtId="165" fontId="86" fillId="0" borderId="0" xfId="1" applyNumberFormat="1" applyFont="1" applyFill="1"/>
    <xf numFmtId="41" fontId="86" fillId="0" borderId="0" xfId="1782" applyFont="1" applyAlignment="1">
      <alignment horizontal="center"/>
    </xf>
    <xf numFmtId="41" fontId="86" fillId="0" borderId="0" xfId="1782" quotePrefix="1" applyFont="1" applyAlignment="1">
      <alignment horizontal="left"/>
    </xf>
    <xf numFmtId="41" fontId="86" fillId="0" borderId="0" xfId="1782" applyFont="1" applyAlignment="1">
      <alignment horizontal="right"/>
    </xf>
    <xf numFmtId="41" fontId="86" fillId="0" borderId="0" xfId="1782" quotePrefix="1" applyFont="1" applyAlignment="1">
      <alignment horizontal="right"/>
    </xf>
    <xf numFmtId="43" fontId="85" fillId="0" borderId="0" xfId="1" applyFont="1" applyFill="1" applyAlignment="1">
      <alignment horizontal="left"/>
    </xf>
    <xf numFmtId="0" fontId="87" fillId="0" borderId="0" xfId="0" applyFont="1"/>
    <xf numFmtId="0" fontId="140" fillId="0" borderId="0" xfId="0" quotePrefix="1" applyFont="1" applyAlignment="1">
      <alignment horizontal="right"/>
    </xf>
    <xf numFmtId="41" fontId="85" fillId="0" borderId="0" xfId="1782" applyFont="1" applyFill="1" applyAlignment="1">
      <alignment horizontal="left"/>
    </xf>
    <xf numFmtId="14" fontId="87" fillId="0" borderId="0" xfId="0" quotePrefix="1" applyNumberFormat="1" applyFont="1" applyAlignment="1">
      <alignment horizontal="left"/>
    </xf>
    <xf numFmtId="173" fontId="87" fillId="0" borderId="0" xfId="1" applyNumberFormat="1" applyFont="1" applyAlignment="1">
      <alignment horizontal="center"/>
    </xf>
    <xf numFmtId="0" fontId="87" fillId="0" borderId="0" xfId="0" quotePrefix="1" applyFont="1" applyAlignment="1">
      <alignment horizontal="left" wrapText="1"/>
    </xf>
    <xf numFmtId="0" fontId="87" fillId="0" borderId="0" xfId="0" applyFont="1" applyAlignment="1">
      <alignment horizontal="center" wrapText="1"/>
    </xf>
    <xf numFmtId="0" fontId="87" fillId="0" borderId="0" xfId="0" applyFont="1" applyAlignment="1">
      <alignment horizontal="center"/>
    </xf>
    <xf numFmtId="173" fontId="87" fillId="0" borderId="0" xfId="0" applyNumberFormat="1" applyFont="1" applyAlignment="1">
      <alignment horizontal="center" wrapText="1"/>
    </xf>
    <xf numFmtId="173" fontId="87" fillId="0" borderId="0" xfId="0" quotePrefix="1" applyNumberFormat="1" applyFont="1" applyAlignment="1">
      <alignment horizontal="center" wrapText="1"/>
    </xf>
    <xf numFmtId="0" fontId="87" fillId="0" borderId="0" xfId="0" applyFont="1" applyAlignment="1">
      <alignment horizontal="left" indent="1"/>
    </xf>
    <xf numFmtId="174" fontId="87" fillId="0" borderId="0" xfId="2" applyNumberFormat="1" applyFont="1" applyFill="1"/>
    <xf numFmtId="174" fontId="87" fillId="0" borderId="0" xfId="2" applyNumberFormat="1" applyFont="1"/>
    <xf numFmtId="174" fontId="87" fillId="0" borderId="0" xfId="0" applyNumberFormat="1" applyFont="1"/>
    <xf numFmtId="0" fontId="87" fillId="0" borderId="0" xfId="0" quotePrefix="1" applyFont="1" applyAlignment="1">
      <alignment horizontal="left"/>
    </xf>
    <xf numFmtId="165" fontId="90" fillId="0" borderId="0" xfId="1" applyNumberFormat="1" applyFont="1"/>
    <xf numFmtId="37" fontId="87" fillId="0" borderId="0" xfId="0" applyNumberFormat="1" applyFont="1"/>
    <xf numFmtId="165" fontId="87" fillId="0" borderId="0" xfId="1" applyNumberFormat="1" applyFont="1"/>
    <xf numFmtId="0" fontId="87" fillId="0" borderId="0" xfId="0" applyFont="1" applyAlignment="1">
      <alignment horizontal="left"/>
    </xf>
    <xf numFmtId="37" fontId="87" fillId="0" borderId="0" xfId="0" quotePrefix="1" applyNumberFormat="1" applyFont="1" applyAlignment="1">
      <alignment horizontal="left"/>
    </xf>
    <xf numFmtId="0" fontId="87" fillId="0" borderId="0" xfId="0" quotePrefix="1" applyFont="1" applyAlignment="1">
      <alignment horizontal="left" indent="1"/>
    </xf>
    <xf numFmtId="165" fontId="141" fillId="0" borderId="0" xfId="1" applyNumberFormat="1" applyFont="1"/>
    <xf numFmtId="174" fontId="142" fillId="0" borderId="0" xfId="0" applyNumberFormat="1" applyFont="1"/>
    <xf numFmtId="165" fontId="86" fillId="0" borderId="0" xfId="1" applyNumberFormat="1" applyFont="1"/>
    <xf numFmtId="43" fontId="83" fillId="0" borderId="0" xfId="1" applyFont="1" applyFill="1" applyBorder="1" applyAlignment="1">
      <alignment horizontal="right" vertical="center"/>
    </xf>
    <xf numFmtId="0" fontId="0" fillId="4" borderId="0" xfId="0" applyFill="1" applyBorder="1"/>
    <xf numFmtId="14" fontId="0" fillId="4" borderId="0" xfId="0" applyNumberFormat="1" applyFill="1" applyBorder="1"/>
    <xf numFmtId="0" fontId="5" fillId="4" borderId="0" xfId="0" applyFont="1" applyFill="1" applyBorder="1"/>
    <xf numFmtId="0" fontId="8" fillId="12" borderId="0" xfId="0" applyFont="1" applyFill="1" applyBorder="1"/>
    <xf numFmtId="44" fontId="0" fillId="6" borderId="0" xfId="2" applyFont="1" applyFill="1" applyBorder="1"/>
    <xf numFmtId="44" fontId="0" fillId="7" borderId="0" xfId="2" applyFont="1" applyFill="1" applyBorder="1"/>
    <xf numFmtId="44" fontId="0" fillId="13" borderId="0" xfId="2" applyFont="1" applyFill="1" applyBorder="1"/>
    <xf numFmtId="182" fontId="0" fillId="12" borderId="0" xfId="2" applyNumberFormat="1" applyFont="1" applyFill="1" applyBorder="1"/>
    <xf numFmtId="44" fontId="0" fillId="0" borderId="0" xfId="0" applyNumberFormat="1" applyBorder="1"/>
    <xf numFmtId="175" fontId="86" fillId="0" borderId="0" xfId="4" applyFont="1" applyBorder="1"/>
    <xf numFmtId="165" fontId="86" fillId="0" borderId="0" xfId="4" applyNumberFormat="1" applyFont="1" applyBorder="1" applyAlignment="1">
      <alignment horizontal="right"/>
    </xf>
    <xf numFmtId="174" fontId="86" fillId="0" borderId="0" xfId="2" applyNumberFormat="1" applyFont="1" applyBorder="1"/>
    <xf numFmtId="165" fontId="86" fillId="0" borderId="0" xfId="4" applyNumberFormat="1" applyFont="1" applyBorder="1"/>
    <xf numFmtId="44" fontId="86" fillId="0" borderId="0" xfId="2" applyFont="1" applyFill="1" applyBorder="1"/>
    <xf numFmtId="177" fontId="86" fillId="0" borderId="0" xfId="2" applyNumberFormat="1" applyFont="1" applyBorder="1"/>
    <xf numFmtId="177" fontId="86" fillId="0" borderId="0" xfId="2" applyNumberFormat="1" applyFont="1" applyFill="1" applyBorder="1"/>
    <xf numFmtId="165" fontId="86" fillId="0" borderId="0" xfId="1" applyNumberFormat="1" applyFont="1" applyFill="1" applyBorder="1"/>
    <xf numFmtId="166" fontId="86" fillId="0" borderId="0" xfId="2" applyNumberFormat="1" applyFont="1" applyFill="1" applyBorder="1"/>
    <xf numFmtId="165" fontId="86" fillId="0" borderId="0" xfId="1" applyNumberFormat="1" applyFont="1" applyBorder="1"/>
    <xf numFmtId="175" fontId="86" fillId="0" borderId="0" xfId="4" applyFont="1" applyFill="1" applyBorder="1"/>
    <xf numFmtId="174" fontId="86" fillId="0" borderId="0" xfId="2" applyNumberFormat="1" applyFont="1" applyFill="1" applyBorder="1"/>
    <xf numFmtId="165" fontId="89" fillId="0" borderId="0" xfId="4" applyNumberFormat="1" applyFont="1" applyBorder="1"/>
    <xf numFmtId="174" fontId="89" fillId="0" borderId="0" xfId="2" applyNumberFormat="1" applyFont="1" applyBorder="1"/>
    <xf numFmtId="165" fontId="86" fillId="0" borderId="0" xfId="4" applyNumberFormat="1" applyFont="1" applyFill="1" applyBorder="1"/>
    <xf numFmtId="174" fontId="89" fillId="0" borderId="0" xfId="2" applyNumberFormat="1" applyFont="1" applyFill="1" applyBorder="1"/>
    <xf numFmtId="165" fontId="145" fillId="0" borderId="0" xfId="1" applyNumberFormat="1" applyFont="1" applyBorder="1"/>
    <xf numFmtId="174" fontId="145" fillId="0" borderId="0" xfId="2" applyNumberFormat="1" applyFont="1" applyBorder="1"/>
    <xf numFmtId="41" fontId="86" fillId="0" borderId="0" xfId="4" applyNumberFormat="1" applyFont="1" applyBorder="1"/>
    <xf numFmtId="178" fontId="86" fillId="0" borderId="0" xfId="4" applyNumberFormat="1" applyFont="1" applyBorder="1" applyAlignment="1">
      <alignment horizontal="right"/>
    </xf>
    <xf numFmtId="178" fontId="86" fillId="0" borderId="0" xfId="2" applyNumberFormat="1" applyFont="1" applyBorder="1"/>
    <xf numFmtId="178" fontId="86" fillId="0" borderId="0" xfId="4" applyNumberFormat="1" applyFont="1" applyFill="1" applyBorder="1"/>
    <xf numFmtId="175" fontId="86" fillId="0" borderId="0" xfId="4" applyFont="1" applyBorder="1" applyAlignment="1">
      <alignment horizontal="right"/>
    </xf>
    <xf numFmtId="179" fontId="86" fillId="0" borderId="0" xfId="4" applyNumberFormat="1" applyFont="1" applyFill="1" applyBorder="1"/>
    <xf numFmtId="174" fontId="139" fillId="0" borderId="0" xfId="2" applyNumberFormat="1" applyFont="1" applyBorder="1"/>
    <xf numFmtId="174" fontId="139" fillId="0" borderId="0" xfId="2" applyNumberFormat="1" applyFont="1" applyFill="1" applyBorder="1"/>
    <xf numFmtId="174" fontId="146" fillId="0" borderId="0" xfId="2" applyNumberFormat="1" applyFont="1" applyBorder="1"/>
    <xf numFmtId="0" fontId="84" fillId="0" borderId="0" xfId="0" applyFont="1" applyAlignment="1">
      <alignment horizontal="center" wrapText="1"/>
    </xf>
    <xf numFmtId="0" fontId="84" fillId="5" borderId="0" xfId="5" quotePrefix="1" applyNumberFormat="1" applyFont="1" applyFill="1" applyAlignment="1">
      <alignment horizontal="left"/>
    </xf>
    <xf numFmtId="0" fontId="84" fillId="4" borderId="0" xfId="0" applyNumberFormat="1" applyFont="1" applyFill="1"/>
    <xf numFmtId="0" fontId="95" fillId="4" borderId="0" xfId="0" quotePrefix="1" applyFont="1" applyFill="1" applyAlignment="1">
      <alignment horizontal="left"/>
    </xf>
    <xf numFmtId="0" fontId="83" fillId="8" borderId="3" xfId="0" applyNumberFormat="1" applyFont="1" applyFill="1" applyBorder="1" applyAlignment="1">
      <alignment horizontal="left" vertical="center"/>
    </xf>
    <xf numFmtId="0" fontId="83" fillId="8" borderId="3" xfId="0" quotePrefix="1" applyNumberFormat="1" applyFont="1" applyFill="1" applyBorder="1" applyAlignment="1">
      <alignment horizontal="left" vertical="center"/>
    </xf>
    <xf numFmtId="0" fontId="84" fillId="4" borderId="0" xfId="0" quotePrefix="1" applyNumberFormat="1" applyFont="1" applyFill="1" applyAlignment="1">
      <alignment horizontal="left"/>
    </xf>
    <xf numFmtId="176" fontId="86" fillId="0" borderId="0" xfId="4" applyNumberFormat="1" applyFont="1" applyBorder="1" applyAlignment="1" applyProtection="1">
      <alignment horizontal="center"/>
    </xf>
    <xf numFmtId="174" fontId="86" fillId="0" borderId="0" xfId="2" applyNumberFormat="1" applyFont="1" applyBorder="1" applyAlignment="1">
      <alignment horizontal="center"/>
    </xf>
    <xf numFmtId="16" fontId="86" fillId="0" borderId="0" xfId="4" quotePrefix="1" applyNumberFormat="1" applyFont="1" applyBorder="1" applyAlignment="1">
      <alignment horizontal="center"/>
    </xf>
    <xf numFmtId="0" fontId="84" fillId="0" borderId="0" xfId="0" applyFont="1" applyFill="1" applyBorder="1"/>
    <xf numFmtId="176" fontId="86" fillId="0" borderId="0" xfId="4" applyNumberFormat="1" applyFont="1" applyBorder="1" applyAlignment="1" applyProtection="1">
      <alignment horizontal="right"/>
    </xf>
    <xf numFmtId="175" fontId="86" fillId="0" borderId="0" xfId="4" applyFont="1" applyFill="1" applyBorder="1" applyAlignment="1">
      <alignment horizontal="center"/>
    </xf>
    <xf numFmtId="175" fontId="86" fillId="0" borderId="0" xfId="4" quotePrefix="1" applyFont="1" applyFill="1" applyBorder="1" applyAlignment="1">
      <alignment horizontal="center"/>
    </xf>
    <xf numFmtId="185" fontId="86" fillId="0" borderId="0" xfId="4" applyNumberFormat="1" applyFont="1" applyBorder="1" applyAlignment="1">
      <alignment horizontal="right"/>
    </xf>
    <xf numFmtId="185" fontId="86" fillId="0" borderId="0" xfId="2" applyNumberFormat="1" applyFont="1" applyBorder="1"/>
    <xf numFmtId="175" fontId="85" fillId="0" borderId="0" xfId="4" quotePrefix="1" applyFont="1" applyBorder="1" applyAlignment="1">
      <alignment horizontal="left"/>
    </xf>
    <xf numFmtId="44" fontId="86" fillId="0" borderId="0" xfId="2" applyFont="1" applyBorder="1"/>
    <xf numFmtId="165" fontId="139" fillId="0" borderId="0" xfId="4" applyNumberFormat="1" applyFont="1" applyBorder="1"/>
    <xf numFmtId="184" fontId="86" fillId="0" borderId="0" xfId="4" applyNumberFormat="1" applyFont="1" applyBorder="1" applyAlignment="1">
      <alignment horizontal="right"/>
    </xf>
    <xf numFmtId="184" fontId="86" fillId="0" borderId="0" xfId="2" applyNumberFormat="1" applyFont="1" applyBorder="1"/>
    <xf numFmtId="177" fontId="89" fillId="0" borderId="0" xfId="2" applyNumberFormat="1" applyFont="1" applyBorder="1"/>
    <xf numFmtId="175" fontId="94" fillId="0" borderId="0" xfId="4" applyFont="1" applyBorder="1"/>
    <xf numFmtId="43" fontId="86" fillId="0" borderId="0" xfId="1" applyFont="1" applyBorder="1"/>
    <xf numFmtId="0" fontId="94" fillId="0" borderId="0" xfId="4" quotePrefix="1" applyNumberFormat="1" applyFont="1" applyBorder="1" applyAlignment="1">
      <alignment horizontal="left"/>
    </xf>
    <xf numFmtId="165" fontId="89" fillId="0" borderId="0" xfId="1" applyNumberFormat="1" applyFont="1" applyBorder="1"/>
    <xf numFmtId="0" fontId="91" fillId="0" borderId="0" xfId="0" applyFont="1" applyBorder="1"/>
    <xf numFmtId="179" fontId="86" fillId="0" borderId="0" xfId="4" applyNumberFormat="1" applyFont="1" applyBorder="1"/>
    <xf numFmtId="175" fontId="94" fillId="0" borderId="0" xfId="4" quotePrefix="1" applyFont="1" applyBorder="1" applyAlignment="1">
      <alignment horizontal="left"/>
    </xf>
    <xf numFmtId="0" fontId="86" fillId="0" borderId="0" xfId="1" applyNumberFormat="1" applyFont="1" applyBorder="1"/>
    <xf numFmtId="175" fontId="85" fillId="0" borderId="0" xfId="4" applyFont="1" applyBorder="1" applyAlignment="1">
      <alignment horizontal="right"/>
    </xf>
    <xf numFmtId="165" fontId="86" fillId="0" borderId="0" xfId="1" applyNumberFormat="1" applyFont="1" applyBorder="1" applyAlignment="1">
      <alignment horizontal="left" indent="3"/>
    </xf>
    <xf numFmtId="175" fontId="94" fillId="0" borderId="0" xfId="4" applyFont="1" applyFill="1" applyBorder="1"/>
    <xf numFmtId="175" fontId="94" fillId="0" borderId="0" xfId="4" quotePrefix="1" applyFont="1" applyFill="1" applyBorder="1" applyAlignment="1">
      <alignment horizontal="left"/>
    </xf>
    <xf numFmtId="0" fontId="84" fillId="0" borderId="0" xfId="0" applyFont="1" applyBorder="1" applyAlignment="1">
      <alignment horizontal="right"/>
    </xf>
    <xf numFmtId="175" fontId="86" fillId="0" borderId="0" xfId="4" applyFont="1" applyBorder="1" applyAlignment="1">
      <alignment horizontal="center"/>
    </xf>
    <xf numFmtId="173" fontId="86" fillId="0" borderId="0" xfId="1782" applyNumberFormat="1" applyFont="1" applyAlignment="1">
      <alignment horizontal="center"/>
    </xf>
    <xf numFmtId="41" fontId="85" fillId="0" borderId="0" xfId="1782" applyFont="1" applyFill="1" applyBorder="1" applyAlignment="1">
      <alignment horizontal="center"/>
    </xf>
    <xf numFmtId="41" fontId="85" fillId="0" borderId="0" xfId="1782" applyFont="1" applyFill="1" applyBorder="1" applyAlignment="1">
      <alignment horizontal="left"/>
    </xf>
    <xf numFmtId="41" fontId="85" fillId="0" borderId="0" xfId="1782" applyFont="1" applyBorder="1" applyAlignment="1">
      <alignment horizontal="center" vertical="center" wrapText="1"/>
    </xf>
    <xf numFmtId="0" fontId="84" fillId="0" borderId="0" xfId="0" quotePrefix="1" applyFont="1" applyAlignment="1">
      <alignment horizontal="center" wrapText="1"/>
    </xf>
    <xf numFmtId="41" fontId="86" fillId="0" borderId="0" xfId="1782" applyFont="1" applyFill="1" applyAlignment="1">
      <alignment horizontal="center" vertical="center" wrapText="1"/>
    </xf>
    <xf numFmtId="43" fontId="86" fillId="0" borderId="0" xfId="13" quotePrefix="1" applyFont="1" applyAlignment="1">
      <alignment horizontal="center" wrapText="1"/>
    </xf>
    <xf numFmtId="43" fontId="86" fillId="0" borderId="0" xfId="13" applyFont="1" applyAlignment="1">
      <alignment horizontal="center" wrapText="1"/>
    </xf>
    <xf numFmtId="41" fontId="86" fillId="0" borderId="0" xfId="1782" applyFont="1" applyAlignment="1">
      <alignment horizontal="center" wrapText="1"/>
    </xf>
    <xf numFmtId="0" fontId="148" fillId="0" borderId="6" xfId="1782" quotePrefix="1" applyNumberFormat="1" applyFont="1" applyBorder="1" applyAlignment="1">
      <alignment horizontal="left"/>
    </xf>
    <xf numFmtId="41" fontId="148" fillId="0" borderId="6" xfId="1782" applyFont="1" applyBorder="1"/>
    <xf numFmtId="41" fontId="148" fillId="0" borderId="6" xfId="1782" quotePrefix="1" applyFont="1" applyBorder="1" applyAlignment="1">
      <alignment horizontal="center"/>
    </xf>
    <xf numFmtId="41" fontId="148" fillId="0" borderId="6" xfId="1782" applyFont="1" applyBorder="1" applyAlignment="1">
      <alignment horizontal="center" wrapText="1"/>
    </xf>
    <xf numFmtId="41" fontId="148" fillId="0" borderId="6" xfId="1782" quotePrefix="1" applyFont="1" applyBorder="1" applyAlignment="1">
      <alignment horizontal="center" wrapText="1"/>
    </xf>
    <xf numFmtId="0" fontId="148" fillId="0" borderId="0" xfId="1782" quotePrefix="1" applyNumberFormat="1" applyFont="1" applyBorder="1" applyAlignment="1">
      <alignment horizontal="left"/>
    </xf>
    <xf numFmtId="41" fontId="91" fillId="0" borderId="0" xfId="1782" applyFont="1" applyBorder="1"/>
    <xf numFmtId="41" fontId="148" fillId="0" borderId="0" xfId="1782" quotePrefix="1" applyFont="1" applyBorder="1" applyAlignment="1">
      <alignment horizontal="center"/>
    </xf>
    <xf numFmtId="41" fontId="148" fillId="0" borderId="0" xfId="1782" applyFont="1" applyBorder="1" applyAlignment="1">
      <alignment horizontal="center"/>
    </xf>
    <xf numFmtId="41" fontId="148" fillId="0" borderId="0" xfId="1782" applyFont="1" applyBorder="1" applyAlignment="1">
      <alignment horizontal="center" wrapText="1"/>
    </xf>
    <xf numFmtId="41" fontId="148" fillId="0" borderId="0" xfId="1782" quotePrefix="1" applyFont="1" applyBorder="1" applyAlignment="1">
      <alignment horizontal="center" wrapText="1"/>
    </xf>
    <xf numFmtId="41" fontId="148" fillId="0" borderId="0" xfId="1782" applyFont="1" applyBorder="1"/>
    <xf numFmtId="0" fontId="86" fillId="0" borderId="0" xfId="2103" applyNumberFormat="1" applyFont="1" applyBorder="1"/>
    <xf numFmtId="41" fontId="86" fillId="0" borderId="0" xfId="1782" quotePrefix="1" applyFont="1" applyAlignment="1">
      <alignment horizontal="left" indent="1"/>
    </xf>
    <xf numFmtId="166" fontId="86" fillId="0" borderId="0" xfId="1360" applyNumberFormat="1" applyFont="1"/>
    <xf numFmtId="44" fontId="86" fillId="0" borderId="0" xfId="1360" applyFont="1"/>
    <xf numFmtId="0" fontId="86" fillId="0" borderId="0" xfId="2103" applyNumberFormat="1" applyFont="1" applyBorder="1" applyAlignment="1">
      <alignment horizontal="left"/>
    </xf>
    <xf numFmtId="41" fontId="86" fillId="0" borderId="0" xfId="1782" applyFont="1" applyAlignment="1">
      <alignment horizontal="left" indent="1"/>
    </xf>
    <xf numFmtId="41" fontId="89" fillId="0" borderId="0" xfId="1782" applyFont="1" applyFill="1"/>
    <xf numFmtId="0" fontId="86" fillId="0" borderId="0" xfId="2103" quotePrefix="1" applyNumberFormat="1" applyFont="1" applyBorder="1" applyAlignment="1">
      <alignment horizontal="left"/>
    </xf>
    <xf numFmtId="41" fontId="89" fillId="0" borderId="0" xfId="1782" applyFont="1"/>
    <xf numFmtId="174" fontId="86" fillId="0" borderId="0" xfId="1360" applyNumberFormat="1" applyFont="1"/>
    <xf numFmtId="174" fontId="89" fillId="0" borderId="0" xfId="1360" applyNumberFormat="1" applyFont="1"/>
    <xf numFmtId="44" fontId="89" fillId="0" borderId="0" xfId="1360" applyFont="1"/>
    <xf numFmtId="44" fontId="86" fillId="0" borderId="0" xfId="1360" applyNumberFormat="1" applyFont="1"/>
    <xf numFmtId="0" fontId="84" fillId="0" borderId="0" xfId="0" applyFont="1" applyAlignment="1">
      <alignment horizontal="left" indent="1"/>
    </xf>
    <xf numFmtId="10" fontId="86" fillId="0" borderId="0" xfId="1986" applyNumberFormat="1" applyFont="1"/>
    <xf numFmtId="0" fontId="86" fillId="0" borderId="0" xfId="2103" applyNumberFormat="1" applyFont="1" applyFill="1" applyBorder="1"/>
    <xf numFmtId="0" fontId="86" fillId="0" borderId="0" xfId="13" applyNumberFormat="1" applyFont="1" applyBorder="1" applyAlignment="1" applyProtection="1">
      <alignment horizontal="center"/>
    </xf>
    <xf numFmtId="0" fontId="84" fillId="0" borderId="0" xfId="0" quotePrefix="1" applyFont="1" applyAlignment="1">
      <alignment horizontal="left" indent="1"/>
    </xf>
    <xf numFmtId="41" fontId="86" fillId="0" borderId="0" xfId="1782" applyFont="1" applyFill="1" applyAlignment="1">
      <alignment wrapText="1"/>
    </xf>
    <xf numFmtId="0" fontId="86" fillId="0" borderId="0" xfId="1782" applyNumberFormat="1" applyFont="1"/>
    <xf numFmtId="165" fontId="86" fillId="0" borderId="0" xfId="13" applyNumberFormat="1" applyFont="1"/>
    <xf numFmtId="43" fontId="86" fillId="0" borderId="0" xfId="13" applyFont="1"/>
    <xf numFmtId="43" fontId="86" fillId="0" borderId="0" xfId="1" applyFont="1"/>
    <xf numFmtId="175" fontId="86" fillId="0" borderId="0" xfId="4" quotePrefix="1" applyFont="1" applyBorder="1" applyAlignment="1"/>
    <xf numFmtId="41" fontId="148" fillId="0" borderId="6" xfId="1782" applyFont="1" applyFill="1" applyBorder="1"/>
    <xf numFmtId="41" fontId="148" fillId="0" borderId="0" xfId="1782" applyFont="1" applyFill="1" applyBorder="1"/>
    <xf numFmtId="14" fontId="84" fillId="0" borderId="0" xfId="0" applyNumberFormat="1" applyFont="1" applyFill="1"/>
    <xf numFmtId="175" fontId="85" fillId="0" borderId="0" xfId="4" quotePrefix="1" applyFont="1" applyFill="1" applyBorder="1" applyAlignment="1">
      <alignment horizontal="left"/>
    </xf>
    <xf numFmtId="165" fontId="86" fillId="0" borderId="0" xfId="1" quotePrefix="1" applyNumberFormat="1" applyFont="1" applyBorder="1" applyAlignment="1">
      <alignment horizontal="left" indent="2"/>
    </xf>
    <xf numFmtId="43" fontId="86" fillId="0" borderId="0" xfId="1" quotePrefix="1" applyFont="1" applyBorder="1" applyAlignment="1">
      <alignment horizontal="left" indent="3"/>
    </xf>
    <xf numFmtId="165" fontId="86" fillId="0" borderId="0" xfId="1" quotePrefix="1" applyNumberFormat="1" applyFont="1" applyBorder="1" applyAlignment="1">
      <alignment horizontal="left" indent="4"/>
    </xf>
    <xf numFmtId="165" fontId="86" fillId="0" borderId="0" xfId="1" quotePrefix="1" applyNumberFormat="1" applyFont="1" applyBorder="1" applyAlignment="1">
      <alignment horizontal="left" indent="1"/>
    </xf>
    <xf numFmtId="165" fontId="86" fillId="0" borderId="0" xfId="1" applyNumberFormat="1" applyFont="1" applyBorder="1" applyAlignment="1">
      <alignment horizontal="left" indent="2"/>
    </xf>
    <xf numFmtId="165" fontId="86" fillId="0" borderId="0" xfId="1" quotePrefix="1" applyNumberFormat="1" applyFont="1" applyBorder="1" applyAlignment="1">
      <alignment horizontal="left" indent="3"/>
    </xf>
    <xf numFmtId="174" fontId="84" fillId="0" borderId="0" xfId="0" applyNumberFormat="1" applyFont="1" applyFill="1" applyBorder="1"/>
    <xf numFmtId="43" fontId="84" fillId="0" borderId="0" xfId="0" applyNumberFormat="1" applyFont="1"/>
    <xf numFmtId="43" fontId="85" fillId="0" borderId="0" xfId="1" applyFont="1" applyBorder="1" applyAlignment="1">
      <alignment horizontal="left"/>
    </xf>
    <xf numFmtId="41" fontId="85" fillId="0" borderId="0" xfId="1782" quotePrefix="1" applyFont="1" applyBorder="1" applyAlignment="1">
      <alignment horizontal="right"/>
    </xf>
    <xf numFmtId="41" fontId="85" fillId="0" borderId="0" xfId="1782" applyFont="1" applyBorder="1" applyAlignment="1">
      <alignment horizontal="left"/>
    </xf>
    <xf numFmtId="41" fontId="85" fillId="0" borderId="0" xfId="1782" applyFont="1" applyBorder="1" applyAlignment="1">
      <alignment horizontal="right"/>
    </xf>
    <xf numFmtId="41" fontId="86" fillId="0" borderId="0" xfId="1782" applyFont="1" applyBorder="1" applyAlignment="1">
      <alignment horizontal="left"/>
    </xf>
    <xf numFmtId="165" fontId="84" fillId="0" borderId="0" xfId="0" applyNumberFormat="1" applyFont="1" applyBorder="1"/>
    <xf numFmtId="0" fontId="91" fillId="0" borderId="0" xfId="0" applyFont="1" applyFill="1" applyBorder="1"/>
    <xf numFmtId="0" fontId="148" fillId="0" borderId="0" xfId="0" applyFont="1" applyFill="1" applyBorder="1"/>
    <xf numFmtId="0" fontId="91" fillId="0" borderId="0" xfId="0" quotePrefix="1" applyFont="1" applyBorder="1" applyAlignment="1">
      <alignment horizontal="left"/>
    </xf>
    <xf numFmtId="0" fontId="84" fillId="0" borderId="0" xfId="0" quotePrefix="1" applyFont="1" applyBorder="1" applyAlignment="1">
      <alignment horizontal="left"/>
    </xf>
    <xf numFmtId="175" fontId="86" fillId="0" borderId="52" xfId="4" applyFont="1" applyBorder="1" applyAlignment="1">
      <alignment horizontal="center"/>
    </xf>
    <xf numFmtId="175" fontId="86" fillId="0" borderId="6" xfId="4" quotePrefix="1" applyFont="1" applyBorder="1" applyAlignment="1">
      <alignment horizontal="center"/>
    </xf>
    <xf numFmtId="175" fontId="86" fillId="0" borderId="6" xfId="4" applyFont="1" applyBorder="1" applyAlignment="1">
      <alignment horizontal="center"/>
    </xf>
    <xf numFmtId="176" fontId="86" fillId="0" borderId="0" xfId="4" applyNumberFormat="1" applyFont="1" applyFill="1" applyBorder="1" applyProtection="1"/>
    <xf numFmtId="175" fontId="86" fillId="0" borderId="52" xfId="4" applyFont="1" applyBorder="1"/>
    <xf numFmtId="176" fontId="144" fillId="0" borderId="6" xfId="4" applyNumberFormat="1" applyFont="1" applyFill="1" applyBorder="1" applyProtection="1"/>
    <xf numFmtId="16" fontId="86" fillId="0" borderId="6" xfId="4" quotePrefix="1" applyNumberFormat="1" applyFont="1" applyBorder="1" applyAlignment="1">
      <alignment horizontal="center"/>
    </xf>
    <xf numFmtId="14" fontId="84" fillId="0" borderId="0" xfId="0" applyNumberFormat="1" applyFont="1" applyBorder="1"/>
    <xf numFmtId="176" fontId="144" fillId="0" borderId="0" xfId="4" applyNumberFormat="1" applyFont="1" applyBorder="1" applyProtection="1"/>
    <xf numFmtId="165" fontId="86" fillId="0" borderId="0" xfId="4" applyNumberFormat="1" applyFont="1" applyFill="1" applyBorder="1" applyAlignment="1">
      <alignment horizontal="right"/>
    </xf>
    <xf numFmtId="175" fontId="86" fillId="0" borderId="0" xfId="4" quotePrefix="1" applyFont="1" applyBorder="1" applyAlignment="1">
      <alignment horizontal="left"/>
    </xf>
    <xf numFmtId="165" fontId="85" fillId="0" borderId="0" xfId="1" applyNumberFormat="1" applyFont="1" applyBorder="1" applyAlignment="1">
      <alignment horizontal="left"/>
    </xf>
    <xf numFmtId="0" fontId="143" fillId="0" borderId="0" xfId="0" applyFont="1" applyFill="1" applyBorder="1"/>
    <xf numFmtId="0" fontId="95" fillId="0" borderId="0" xfId="0" applyFont="1" applyFill="1" applyBorder="1"/>
    <xf numFmtId="165" fontId="85" fillId="0" borderId="0" xfId="1" quotePrefix="1" applyNumberFormat="1" applyFont="1" applyBorder="1" applyAlignment="1">
      <alignment horizontal="left"/>
    </xf>
    <xf numFmtId="175" fontId="85" fillId="0" borderId="0" xfId="4" quotePrefix="1" applyFont="1" applyBorder="1" applyAlignment="1">
      <alignment horizontal="right"/>
    </xf>
    <xf numFmtId="174" fontId="89" fillId="0" borderId="0" xfId="2" applyNumberFormat="1" applyFont="1" applyBorder="1" applyAlignment="1">
      <alignment horizontal="right"/>
    </xf>
    <xf numFmtId="175" fontId="85" fillId="0" borderId="0" xfId="4" applyFont="1" applyBorder="1" applyAlignment="1">
      <alignment horizontal="left"/>
    </xf>
    <xf numFmtId="0" fontId="84" fillId="0" borderId="0" xfId="0" applyFont="1" applyBorder="1" applyAlignment="1">
      <alignment horizontal="left"/>
    </xf>
    <xf numFmtId="175" fontId="85" fillId="0" borderId="0" xfId="4" quotePrefix="1" applyFont="1" applyBorder="1" applyAlignment="1">
      <alignment horizontal="center"/>
    </xf>
    <xf numFmtId="175" fontId="86" fillId="0" borderId="0" xfId="4" applyFont="1" applyBorder="1" applyAlignment="1">
      <alignment horizontal="left"/>
    </xf>
    <xf numFmtId="183" fontId="84" fillId="0" borderId="0" xfId="0" applyNumberFormat="1" applyFont="1" applyFill="1" applyBorder="1"/>
    <xf numFmtId="200" fontId="86" fillId="0" borderId="52" xfId="4" applyNumberFormat="1" applyFont="1" applyFill="1" applyBorder="1" applyProtection="1"/>
    <xf numFmtId="175" fontId="86" fillId="0" borderId="52" xfId="4" applyFont="1" applyFill="1" applyBorder="1"/>
    <xf numFmtId="175" fontId="147" fillId="0" borderId="52" xfId="4" applyFont="1" applyFill="1" applyBorder="1" applyAlignment="1">
      <alignment horizontal="centerContinuous"/>
    </xf>
    <xf numFmtId="175" fontId="86" fillId="0" borderId="52" xfId="4" applyFont="1" applyFill="1" applyBorder="1" applyAlignment="1">
      <alignment horizontal="centerContinuous"/>
    </xf>
    <xf numFmtId="0" fontId="84" fillId="0" borderId="52" xfId="0" applyFont="1" applyFill="1" applyBorder="1" applyAlignment="1">
      <alignment horizontal="centerContinuous"/>
    </xf>
    <xf numFmtId="175" fontId="86" fillId="0" borderId="52" xfId="4" applyFont="1" applyFill="1" applyBorder="1" applyAlignment="1"/>
    <xf numFmtId="0" fontId="150" fillId="0" borderId="52" xfId="0" applyFont="1" applyFill="1" applyBorder="1" applyAlignment="1">
      <alignment horizontal="centerContinuous"/>
    </xf>
    <xf numFmtId="175" fontId="86" fillId="0" borderId="52" xfId="4" applyFont="1" applyFill="1" applyBorder="1" applyAlignment="1">
      <alignment horizontal="right"/>
    </xf>
    <xf numFmtId="176" fontId="86" fillId="0" borderId="0" xfId="4" applyNumberFormat="1" applyFont="1" applyFill="1" applyBorder="1" applyAlignment="1" applyProtection="1">
      <alignment horizontal="center"/>
    </xf>
    <xf numFmtId="175" fontId="86" fillId="0" borderId="0" xfId="4" applyFont="1" applyFill="1" applyBorder="1" applyAlignment="1">
      <alignment horizontal="right"/>
    </xf>
    <xf numFmtId="175" fontId="86" fillId="0" borderId="6" xfId="4" applyFont="1" applyFill="1" applyBorder="1"/>
    <xf numFmtId="16" fontId="86" fillId="0" borderId="6" xfId="4" quotePrefix="1" applyNumberFormat="1" applyFont="1" applyFill="1" applyBorder="1" applyAlignment="1">
      <alignment horizontal="center"/>
    </xf>
    <xf numFmtId="176" fontId="86" fillId="0" borderId="6" xfId="4" applyNumberFormat="1" applyFont="1" applyFill="1" applyBorder="1" applyAlignment="1" applyProtection="1">
      <alignment horizontal="center"/>
    </xf>
    <xf numFmtId="175" fontId="86" fillId="0" borderId="6" xfId="4" applyFont="1" applyFill="1" applyBorder="1" applyAlignment="1">
      <alignment horizontal="center"/>
    </xf>
    <xf numFmtId="175" fontId="86" fillId="0" borderId="6" xfId="4" applyFont="1" applyFill="1" applyBorder="1" applyAlignment="1">
      <alignment horizontal="right"/>
    </xf>
    <xf numFmtId="165" fontId="86" fillId="0" borderId="0" xfId="1" quotePrefix="1" applyNumberFormat="1" applyFont="1" applyFill="1" applyBorder="1" applyAlignment="1">
      <alignment horizontal="left" indent="2"/>
    </xf>
    <xf numFmtId="165" fontId="86" fillId="0" borderId="0" xfId="1" applyNumberFormat="1" applyFont="1" applyBorder="1" applyAlignment="1">
      <alignment horizontal="left" indent="1"/>
    </xf>
    <xf numFmtId="44" fontId="91" fillId="0" borderId="0" xfId="0" applyNumberFormat="1" applyFont="1" applyBorder="1"/>
    <xf numFmtId="43" fontId="91" fillId="0" borderId="0" xfId="1" applyFont="1" applyBorder="1"/>
    <xf numFmtId="165" fontId="86" fillId="0" borderId="0" xfId="1" quotePrefix="1" applyNumberFormat="1" applyFont="1" applyBorder="1" applyAlignment="1">
      <alignment horizontal="left"/>
    </xf>
    <xf numFmtId="0" fontId="91" fillId="0" borderId="0" xfId="0" quotePrefix="1" applyFont="1" applyFill="1" applyBorder="1" applyAlignment="1">
      <alignment horizontal="left"/>
    </xf>
    <xf numFmtId="0" fontId="86" fillId="0" borderId="0" xfId="4" applyNumberFormat="1" applyFont="1" applyBorder="1"/>
    <xf numFmtId="43" fontId="86" fillId="0" borderId="0" xfId="1" applyFont="1" applyBorder="1" applyAlignment="1">
      <alignment horizontal="left" indent="3"/>
    </xf>
    <xf numFmtId="174" fontId="86" fillId="0" borderId="0" xfId="2" applyNumberFormat="1" applyFont="1" applyBorder="1" applyAlignment="1">
      <alignment horizontal="right"/>
    </xf>
    <xf numFmtId="1" fontId="86" fillId="0" borderId="0" xfId="4" applyNumberFormat="1" applyFont="1" applyBorder="1"/>
    <xf numFmtId="175" fontId="86" fillId="0" borderId="0" xfId="4" applyFont="1" applyBorder="1" applyAlignment="1">
      <alignment horizontal="left" indent="3"/>
    </xf>
    <xf numFmtId="175" fontId="86" fillId="0" borderId="0" xfId="4" quotePrefix="1" applyFont="1" applyBorder="1" applyAlignment="1">
      <alignment horizontal="left" indent="4"/>
    </xf>
    <xf numFmtId="175" fontId="86" fillId="0" borderId="0" xfId="4" quotePrefix="1" applyFont="1" applyBorder="1" applyAlignment="1">
      <alignment horizontal="right"/>
    </xf>
    <xf numFmtId="0" fontId="91" fillId="0" borderId="0" xfId="0" applyFont="1" applyBorder="1" applyAlignment="1">
      <alignment horizontal="right"/>
    </xf>
    <xf numFmtId="43" fontId="86" fillId="0" borderId="0" xfId="1" applyFont="1" applyBorder="1" applyAlignment="1">
      <alignment horizontal="left" indent="1"/>
    </xf>
    <xf numFmtId="176" fontId="86" fillId="0" borderId="52" xfId="4" applyNumberFormat="1" applyFont="1" applyBorder="1" applyProtection="1"/>
    <xf numFmtId="175" fontId="86" fillId="0" borderId="52" xfId="4" applyFont="1" applyBorder="1" applyAlignment="1">
      <alignment horizontal="right"/>
    </xf>
    <xf numFmtId="176" fontId="86" fillId="0" borderId="6" xfId="4" applyNumberFormat="1" applyFont="1" applyBorder="1" applyProtection="1"/>
    <xf numFmtId="175" fontId="86" fillId="0" borderId="6" xfId="4" applyFont="1" applyBorder="1"/>
    <xf numFmtId="175" fontId="86" fillId="0" borderId="6" xfId="4" applyFont="1" applyBorder="1" applyAlignment="1">
      <alignment horizontal="right"/>
    </xf>
    <xf numFmtId="169" fontId="4" fillId="15" borderId="3" xfId="0" applyNumberFormat="1" applyFont="1" applyFill="1" applyBorder="1" applyAlignment="1">
      <alignment horizontal="right" vertical="center"/>
    </xf>
    <xf numFmtId="49" fontId="4" fillId="15" borderId="3" xfId="0" applyNumberFormat="1" applyFont="1" applyFill="1" applyBorder="1" applyAlignment="1">
      <alignment horizontal="right" vertical="center"/>
    </xf>
    <xf numFmtId="49" fontId="4" fillId="15" borderId="3" xfId="0" applyNumberFormat="1" applyFont="1" applyFill="1" applyBorder="1" applyAlignment="1">
      <alignment horizontal="right" vertical="center" wrapText="1"/>
    </xf>
    <xf numFmtId="169" fontId="4" fillId="15" borderId="3" xfId="0" applyNumberFormat="1" applyFont="1" applyFill="1" applyBorder="1" applyAlignment="1">
      <alignment horizontal="right" vertical="center" wrapText="1"/>
    </xf>
    <xf numFmtId="49" fontId="4" fillId="8" borderId="3" xfId="0" quotePrefix="1" applyNumberFormat="1" applyFont="1" applyFill="1" applyBorder="1" applyAlignment="1">
      <alignment horizontal="left" vertical="center" wrapText="1"/>
    </xf>
    <xf numFmtId="171" fontId="4" fillId="15" borderId="3" xfId="0" applyNumberFormat="1" applyFont="1" applyFill="1" applyBorder="1" applyAlignment="1">
      <alignment horizontal="right" vertical="center"/>
    </xf>
    <xf numFmtId="171" fontId="4" fillId="15" borderId="3" xfId="0" applyNumberFormat="1" applyFont="1" applyFill="1" applyBorder="1" applyAlignment="1">
      <alignment horizontal="right" vertical="center" wrapText="1"/>
    </xf>
    <xf numFmtId="168" fontId="4" fillId="15" borderId="3" xfId="0" applyNumberFormat="1" applyFont="1" applyFill="1" applyBorder="1" applyAlignment="1">
      <alignment horizontal="right" vertical="center"/>
    </xf>
    <xf numFmtId="168" fontId="4" fillId="15" borderId="3" xfId="0" applyNumberFormat="1" applyFont="1" applyFill="1" applyBorder="1" applyAlignment="1">
      <alignment horizontal="right" vertical="center" wrapText="1"/>
    </xf>
    <xf numFmtId="49" fontId="4" fillId="101" borderId="3" xfId="0" applyNumberFormat="1" applyFont="1" applyFill="1" applyBorder="1" applyAlignment="1">
      <alignment horizontal="right" vertical="center"/>
    </xf>
    <xf numFmtId="168" fontId="4" fillId="101" borderId="3" xfId="0" applyNumberFormat="1" applyFont="1" applyFill="1" applyBorder="1" applyAlignment="1">
      <alignment horizontal="right" vertical="center"/>
    </xf>
    <xf numFmtId="169" fontId="4" fillId="101" borderId="3" xfId="0" applyNumberFormat="1" applyFont="1" applyFill="1" applyBorder="1" applyAlignment="1">
      <alignment horizontal="right" vertical="center"/>
    </xf>
    <xf numFmtId="49" fontId="4" fillId="101" borderId="3" xfId="0" applyNumberFormat="1" applyFont="1" applyFill="1" applyBorder="1" applyAlignment="1">
      <alignment horizontal="right" vertical="center" wrapText="1"/>
    </xf>
    <xf numFmtId="168" fontId="4" fillId="101" borderId="3" xfId="0" applyNumberFormat="1" applyFont="1" applyFill="1" applyBorder="1" applyAlignment="1">
      <alignment horizontal="right" vertical="center" wrapText="1"/>
    </xf>
    <xf numFmtId="169" fontId="4" fillId="101" borderId="3" xfId="0" applyNumberFormat="1" applyFont="1" applyFill="1" applyBorder="1" applyAlignment="1">
      <alignment horizontal="right" vertical="center" wrapText="1"/>
    </xf>
    <xf numFmtId="201" fontId="84" fillId="0" borderId="0" xfId="0" applyNumberFormat="1" applyFont="1"/>
    <xf numFmtId="17" fontId="84" fillId="0" borderId="0" xfId="0" applyNumberFormat="1" applyFont="1" applyAlignment="1"/>
    <xf numFmtId="49" fontId="151" fillId="75" borderId="0" xfId="5" applyNumberFormat="1" applyFont="1" applyFill="1" applyBorder="1" applyAlignment="1">
      <alignment horizontal="center" vertical="center"/>
    </xf>
    <xf numFmtId="0" fontId="151" fillId="75" borderId="0" xfId="5" applyNumberFormat="1" applyFont="1" applyFill="1" applyBorder="1" applyAlignment="1">
      <alignment horizontal="center" vertical="center"/>
    </xf>
    <xf numFmtId="49" fontId="151" fillId="8" borderId="0" xfId="2109" applyNumberFormat="1" applyFont="1" applyFill="1" applyBorder="1" applyAlignment="1">
      <alignment vertical="center"/>
    </xf>
    <xf numFmtId="49" fontId="151" fillId="8" borderId="0" xfId="2109" applyNumberFormat="1" applyFont="1" applyFill="1" applyBorder="1" applyAlignment="1">
      <alignment horizontal="center" vertical="center"/>
    </xf>
    <xf numFmtId="49" fontId="151" fillId="8" borderId="3" xfId="0" applyNumberFormat="1" applyFont="1" applyFill="1" applyBorder="1" applyAlignment="1">
      <alignment horizontal="left" vertical="center"/>
    </xf>
    <xf numFmtId="169" fontId="83" fillId="101" borderId="3" xfId="0" applyNumberFormat="1" applyFont="1" applyFill="1" applyBorder="1" applyAlignment="1">
      <alignment horizontal="right" vertical="center"/>
    </xf>
    <xf numFmtId="168" fontId="83" fillId="101" borderId="3" xfId="0" applyNumberFormat="1" applyFont="1" applyFill="1" applyBorder="1" applyAlignment="1">
      <alignment horizontal="right" vertical="center"/>
    </xf>
    <xf numFmtId="49" fontId="83" fillId="101" borderId="3" xfId="0" applyNumberFormat="1" applyFont="1" applyFill="1" applyBorder="1" applyAlignment="1">
      <alignment horizontal="right" vertical="center"/>
    </xf>
    <xf numFmtId="43" fontId="83" fillId="2" borderId="0" xfId="7" applyFont="1" applyFill="1" applyBorder="1" applyAlignment="1">
      <alignment horizontal="right" vertical="center"/>
    </xf>
    <xf numFmtId="43" fontId="83" fillId="0" borderId="0" xfId="7" applyFont="1" applyFill="1" applyBorder="1" applyAlignment="1">
      <alignment horizontal="right" vertical="center"/>
    </xf>
    <xf numFmtId="49" fontId="151" fillId="0" borderId="0" xfId="2109" applyNumberFormat="1" applyFont="1" applyFill="1" applyBorder="1" applyAlignment="1">
      <alignment horizontal="center" vertical="center"/>
    </xf>
    <xf numFmtId="169" fontId="83" fillId="10" borderId="3" xfId="0" applyNumberFormat="1" applyFont="1" applyFill="1" applyBorder="1" applyAlignment="1">
      <alignment horizontal="right" vertical="center" wrapText="1"/>
    </xf>
    <xf numFmtId="168" fontId="83" fillId="10" borderId="3" xfId="0" applyNumberFormat="1" applyFont="1" applyFill="1" applyBorder="1" applyAlignment="1">
      <alignment horizontal="right" vertical="center" wrapText="1"/>
    </xf>
    <xf numFmtId="49" fontId="83" fillId="10" borderId="3" xfId="0" applyNumberFormat="1" applyFont="1" applyFill="1" applyBorder="1" applyAlignment="1">
      <alignment horizontal="right" vertical="center" wrapText="1"/>
    </xf>
    <xf numFmtId="168" fontId="83" fillId="10" borderId="3" xfId="0" applyNumberFormat="1" applyFont="1" applyFill="1" applyBorder="1" applyAlignment="1">
      <alignment horizontal="right" vertical="center"/>
    </xf>
    <xf numFmtId="169" fontId="83" fillId="101" borderId="3" xfId="0" applyNumberFormat="1" applyFont="1" applyFill="1" applyBorder="1" applyAlignment="1">
      <alignment horizontal="right" vertical="center" wrapText="1"/>
    </xf>
    <xf numFmtId="168" fontId="83" fillId="101" borderId="3" xfId="0" applyNumberFormat="1" applyFont="1" applyFill="1" applyBorder="1" applyAlignment="1">
      <alignment horizontal="right" vertical="center" wrapText="1"/>
    </xf>
    <xf numFmtId="49" fontId="83" fillId="101" borderId="3" xfId="0" applyNumberFormat="1" applyFont="1" applyFill="1" applyBorder="1" applyAlignment="1">
      <alignment horizontal="right" vertical="center" wrapText="1"/>
    </xf>
    <xf numFmtId="0" fontId="84" fillId="0" borderId="0" xfId="0" applyFont="1" applyAlignment="1"/>
    <xf numFmtId="43" fontId="4" fillId="0" borderId="0" xfId="1" applyFont="1" applyFill="1" applyBorder="1" applyAlignment="1">
      <alignment horizontal="right" vertical="center"/>
    </xf>
    <xf numFmtId="43" fontId="4" fillId="101" borderId="3" xfId="1" applyFont="1" applyFill="1" applyBorder="1" applyAlignment="1">
      <alignment horizontal="right" vertical="center"/>
    </xf>
    <xf numFmtId="43" fontId="84" fillId="0" borderId="0" xfId="1" applyFont="1" applyFill="1" applyBorder="1"/>
    <xf numFmtId="43" fontId="82" fillId="0" borderId="0" xfId="1" applyFont="1" applyFill="1" applyBorder="1" applyAlignment="1">
      <alignment horizontal="center" vertical="center"/>
    </xf>
    <xf numFmtId="43" fontId="84" fillId="0" borderId="0" xfId="1" applyFont="1" applyAlignment="1"/>
    <xf numFmtId="0" fontId="84" fillId="13" borderId="0" xfId="0" applyFont="1" applyFill="1" applyAlignment="1">
      <alignment horizontal="left"/>
    </xf>
    <xf numFmtId="0" fontId="84" fillId="13" borderId="0" xfId="0" applyFont="1" applyFill="1"/>
    <xf numFmtId="0" fontId="84" fillId="13" borderId="0" xfId="0" quotePrefix="1" applyFont="1" applyFill="1" applyAlignment="1">
      <alignment horizontal="left"/>
    </xf>
    <xf numFmtId="2" fontId="84" fillId="0" borderId="0" xfId="0" applyNumberFormat="1" applyFont="1" applyAlignment="1">
      <alignment horizontal="right"/>
    </xf>
    <xf numFmtId="0" fontId="84" fillId="5" borderId="0" xfId="0" applyFont="1" applyFill="1" applyAlignment="1">
      <alignment horizontal="left"/>
    </xf>
    <xf numFmtId="0" fontId="84" fillId="5" borderId="0" xfId="0" applyFont="1" applyFill="1"/>
    <xf numFmtId="0" fontId="84" fillId="5" borderId="0" xfId="0" quotePrefix="1" applyFont="1" applyFill="1" applyAlignment="1">
      <alignment horizontal="left"/>
    </xf>
    <xf numFmtId="2" fontId="93" fillId="0" borderId="0" xfId="0" applyNumberFormat="1" applyFont="1" applyAlignment="1">
      <alignment horizontal="right"/>
    </xf>
    <xf numFmtId="165" fontId="91" fillId="13" borderId="0" xfId="1" applyNumberFormat="1" applyFont="1" applyFill="1"/>
    <xf numFmtId="165" fontId="84" fillId="7" borderId="0" xfId="1" applyNumberFormat="1" applyFont="1" applyFill="1"/>
    <xf numFmtId="44" fontId="84" fillId="13" borderId="0" xfId="2" applyFont="1" applyFill="1"/>
    <xf numFmtId="44" fontId="84" fillId="3" borderId="0" xfId="2" applyFont="1" applyFill="1"/>
    <xf numFmtId="0" fontId="84" fillId="0" borderId="0" xfId="0" applyFont="1" applyAlignment="1">
      <alignment horizontal="right"/>
    </xf>
    <xf numFmtId="0" fontId="84" fillId="4" borderId="37" xfId="0" applyFont="1" applyFill="1" applyBorder="1"/>
    <xf numFmtId="14" fontId="84" fillId="4" borderId="37" xfId="0" applyNumberFormat="1" applyFont="1" applyFill="1" applyBorder="1"/>
    <xf numFmtId="0" fontId="95" fillId="4" borderId="37" xfId="0" applyFont="1" applyFill="1" applyBorder="1"/>
    <xf numFmtId="165" fontId="91" fillId="13" borderId="37" xfId="1" applyNumberFormat="1" applyFont="1" applyFill="1" applyBorder="1"/>
    <xf numFmtId="165" fontId="84" fillId="7" borderId="37" xfId="1" applyNumberFormat="1" applyFont="1" applyFill="1" applyBorder="1"/>
    <xf numFmtId="44" fontId="84" fillId="6" borderId="37" xfId="2" applyFont="1" applyFill="1" applyBorder="1"/>
    <xf numFmtId="44" fontId="84" fillId="7" borderId="37" xfId="2" applyFont="1" applyFill="1" applyBorder="1"/>
    <xf numFmtId="44" fontId="84" fillId="13" borderId="37" xfId="2" applyFont="1" applyFill="1" applyBorder="1"/>
    <xf numFmtId="182" fontId="84" fillId="12" borderId="37" xfId="2" applyNumberFormat="1" applyFont="1" applyFill="1" applyBorder="1"/>
    <xf numFmtId="44" fontId="84" fillId="5" borderId="37" xfId="2" applyFont="1" applyFill="1" applyBorder="1"/>
    <xf numFmtId="44" fontId="84" fillId="0" borderId="37" xfId="0" applyNumberFormat="1" applyFont="1" applyBorder="1"/>
    <xf numFmtId="44" fontId="84" fillId="3" borderId="37" xfId="2" applyFont="1" applyFill="1" applyBorder="1"/>
    <xf numFmtId="44" fontId="84" fillId="0" borderId="37" xfId="2" applyFont="1" applyBorder="1"/>
    <xf numFmtId="0" fontId="84" fillId="0" borderId="37" xfId="0" applyFont="1" applyBorder="1"/>
    <xf numFmtId="0" fontId="84" fillId="7" borderId="37" xfId="0" applyFont="1" applyFill="1" applyBorder="1"/>
    <xf numFmtId="0" fontId="84" fillId="0" borderId="37" xfId="0" applyFont="1" applyBorder="1" applyAlignment="1">
      <alignment horizontal="right"/>
    </xf>
    <xf numFmtId="0" fontId="84" fillId="4" borderId="0" xfId="1" applyNumberFormat="1" applyFont="1" applyFill="1"/>
    <xf numFmtId="165" fontId="91" fillId="0" borderId="0" xfId="1" applyNumberFormat="1" applyFont="1" applyFill="1"/>
    <xf numFmtId="17" fontId="84" fillId="0" borderId="0" xfId="0" quotePrefix="1" applyNumberFormat="1" applyFont="1" applyAlignment="1">
      <alignment horizontal="left"/>
    </xf>
    <xf numFmtId="14" fontId="0" fillId="4" borderId="0" xfId="0" quotePrefix="1" applyNumberFormat="1" applyFill="1" applyAlignment="1">
      <alignment horizontal="left"/>
    </xf>
    <xf numFmtId="165" fontId="84" fillId="0" borderId="0" xfId="0" applyNumberFormat="1" applyFont="1" applyFill="1"/>
    <xf numFmtId="14" fontId="0" fillId="4" borderId="0" xfId="0" quotePrefix="1" applyNumberFormat="1" applyFill="1" applyBorder="1" applyAlignment="1">
      <alignment horizontal="left"/>
    </xf>
    <xf numFmtId="0" fontId="8" fillId="0" borderId="0" xfId="0" applyFont="1" applyFill="1" applyBorder="1"/>
    <xf numFmtId="165" fontId="0" fillId="0" borderId="0" xfId="1" applyNumberFormat="1" applyFont="1" applyFill="1" applyBorder="1"/>
    <xf numFmtId="165" fontId="0" fillId="0" borderId="0" xfId="0" applyNumberFormat="1" applyBorder="1"/>
    <xf numFmtId="44" fontId="2" fillId="0" borderId="0" xfId="2" applyFont="1" applyAlignment="1"/>
    <xf numFmtId="165" fontId="2" fillId="0" borderId="0" xfId="1" applyNumberFormat="1" applyFont="1" applyAlignment="1"/>
    <xf numFmtId="44" fontId="152" fillId="0" borderId="0" xfId="2" applyFont="1" applyAlignment="1"/>
    <xf numFmtId="165" fontId="152" fillId="0" borderId="0" xfId="1" applyNumberFormat="1" applyFont="1" applyAlignment="1"/>
    <xf numFmtId="0" fontId="9" fillId="0" borderId="0" xfId="5" applyFont="1" applyAlignment="1"/>
    <xf numFmtId="165" fontId="9" fillId="0" borderId="0" xfId="5" applyNumberFormat="1" applyFont="1" applyAlignment="1"/>
    <xf numFmtId="165" fontId="9" fillId="0" borderId="0" xfId="1" applyNumberFormat="1" applyFont="1" applyAlignment="1"/>
    <xf numFmtId="2" fontId="83" fillId="11" borderId="8" xfId="0" quotePrefix="1" applyNumberFormat="1" applyFont="1" applyFill="1" applyBorder="1" applyAlignment="1">
      <alignment horizontal="left" vertical="center"/>
    </xf>
    <xf numFmtId="44" fontId="83" fillId="0" borderId="0" xfId="2" applyFont="1" applyFill="1" applyBorder="1" applyAlignment="1">
      <alignment horizontal="right" vertical="center"/>
    </xf>
    <xf numFmtId="44" fontId="83" fillId="0" borderId="0" xfId="1" applyNumberFormat="1" applyFont="1" applyFill="1" applyBorder="1" applyAlignment="1">
      <alignment horizontal="right" vertical="center"/>
    </xf>
    <xf numFmtId="2" fontId="83" fillId="0" borderId="0" xfId="0" applyNumberFormat="1" applyFont="1" applyFill="1" applyBorder="1" applyAlignment="1">
      <alignment horizontal="right" vertical="center"/>
    </xf>
    <xf numFmtId="165" fontId="83" fillId="0" borderId="0" xfId="1" applyNumberFormat="1" applyFont="1" applyFill="1" applyBorder="1" applyAlignment="1">
      <alignment horizontal="right" vertical="center"/>
    </xf>
    <xf numFmtId="2" fontId="83" fillId="14" borderId="53" xfId="0" applyNumberFormat="1" applyFont="1" applyFill="1" applyBorder="1" applyAlignment="1">
      <alignment horizontal="left" vertical="center"/>
    </xf>
    <xf numFmtId="2" fontId="83" fillId="14" borderId="8" xfId="0" applyNumberFormat="1" applyFont="1" applyFill="1" applyBorder="1" applyAlignment="1">
      <alignment horizontal="left" vertical="center"/>
    </xf>
    <xf numFmtId="2" fontId="83" fillId="14" borderId="54" xfId="0" applyNumberFormat="1" applyFont="1" applyFill="1" applyBorder="1" applyAlignment="1">
      <alignment horizontal="left" vertical="center"/>
    </xf>
    <xf numFmtId="44" fontId="9" fillId="0" borderId="0" xfId="2" applyFont="1" applyFill="1" applyBorder="1" applyAlignment="1"/>
    <xf numFmtId="44" fontId="9" fillId="0" borderId="0" xfId="2" applyFont="1" applyFill="1" applyBorder="1" applyAlignment="1">
      <alignment horizontal="right"/>
    </xf>
    <xf numFmtId="44" fontId="9" fillId="0" borderId="0" xfId="2" applyFont="1" applyAlignment="1"/>
    <xf numFmtId="165" fontId="9" fillId="0" borderId="0" xfId="1" applyNumberFormat="1" applyFont="1" applyFill="1" applyBorder="1" applyAlignment="1"/>
    <xf numFmtId="165" fontId="9" fillId="0" borderId="0" xfId="1" applyNumberFormat="1" applyFont="1" applyFill="1" applyBorder="1" applyAlignment="1">
      <alignment horizontal="right"/>
    </xf>
    <xf numFmtId="165" fontId="9" fillId="0" borderId="0" xfId="1" applyNumberFormat="1" applyFont="1" applyAlignment="1">
      <alignment horizontal="right"/>
    </xf>
    <xf numFmtId="1" fontId="9" fillId="0" borderId="0" xfId="1" applyNumberFormat="1" applyFont="1" applyAlignment="1"/>
    <xf numFmtId="44" fontId="9" fillId="0" borderId="0" xfId="0" quotePrefix="1" applyNumberFormat="1" applyFont="1" applyFill="1" applyBorder="1" applyAlignment="1">
      <alignment horizontal="left"/>
    </xf>
    <xf numFmtId="44" fontId="9" fillId="0" borderId="0" xfId="0" applyNumberFormat="1" applyFont="1" applyFill="1" applyBorder="1" applyAlignment="1"/>
    <xf numFmtId="2" fontId="83" fillId="11" borderId="2" xfId="0" applyNumberFormat="1" applyFont="1" applyFill="1" applyBorder="1" applyAlignment="1">
      <alignment horizontal="left" vertical="center"/>
    </xf>
    <xf numFmtId="2" fontId="83" fillId="11" borderId="55" xfId="0" applyNumberFormat="1" applyFont="1" applyFill="1" applyBorder="1" applyAlignment="1">
      <alignment horizontal="right" vertical="center"/>
    </xf>
    <xf numFmtId="2" fontId="83" fillId="11" borderId="53" xfId="0" applyNumberFormat="1" applyFont="1" applyFill="1" applyBorder="1" applyAlignment="1">
      <alignment horizontal="right" vertical="center"/>
    </xf>
    <xf numFmtId="44" fontId="9" fillId="0" borderId="0" xfId="0" applyNumberFormat="1" applyFont="1" applyAlignment="1"/>
    <xf numFmtId="0" fontId="83" fillId="0" borderId="0" xfId="0" quotePrefix="1" applyNumberFormat="1" applyFont="1" applyFill="1" applyBorder="1" applyAlignment="1">
      <alignment horizontal="left" vertical="center"/>
    </xf>
    <xf numFmtId="0" fontId="9" fillId="0" borderId="0" xfId="0" applyNumberFormat="1" applyFont="1" applyAlignment="1"/>
    <xf numFmtId="2" fontId="9" fillId="14" borderId="0" xfId="0" applyNumberFormat="1" applyFont="1" applyFill="1" applyAlignment="1"/>
    <xf numFmtId="2" fontId="9" fillId="0" borderId="0" xfId="0" applyNumberFormat="1" applyFont="1" applyAlignment="1"/>
    <xf numFmtId="2" fontId="9" fillId="8" borderId="3" xfId="0" applyNumberFormat="1" applyFont="1" applyFill="1" applyBorder="1" applyAlignment="1">
      <alignment horizontal="right" vertical="center"/>
    </xf>
    <xf numFmtId="2" fontId="9" fillId="0" borderId="0" xfId="0" applyNumberFormat="1" applyFont="1" applyFill="1" applyBorder="1" applyAlignment="1"/>
    <xf numFmtId="43" fontId="9" fillId="0" borderId="0" xfId="1" applyFont="1" applyAlignment="1"/>
    <xf numFmtId="0" fontId="9" fillId="0" borderId="0" xfId="0" applyNumberFormat="1" applyFont="1" applyFill="1" applyBorder="1" applyAlignment="1"/>
    <xf numFmtId="2" fontId="9" fillId="0" borderId="0" xfId="0" quotePrefix="1" applyNumberFormat="1" applyFont="1" applyAlignment="1">
      <alignment horizontal="left"/>
    </xf>
    <xf numFmtId="43" fontId="9" fillId="0" borderId="0" xfId="1" applyFont="1" applyFill="1" applyBorder="1" applyAlignment="1"/>
    <xf numFmtId="2" fontId="9" fillId="0" borderId="0" xfId="2" applyNumberFormat="1" applyFont="1" applyFill="1" applyBorder="1" applyAlignment="1"/>
    <xf numFmtId="2" fontId="9" fillId="0" borderId="0" xfId="2" applyNumberFormat="1" applyFont="1" applyAlignment="1"/>
    <xf numFmtId="2" fontId="9" fillId="14" borderId="0" xfId="2" applyNumberFormat="1" applyFont="1" applyFill="1" applyAlignment="1"/>
    <xf numFmtId="2" fontId="9" fillId="8" borderId="1" xfId="0" applyNumberFormat="1" applyFont="1" applyFill="1" applyBorder="1" applyAlignment="1">
      <alignment horizontal="right" vertical="center"/>
    </xf>
    <xf numFmtId="2" fontId="9" fillId="0" borderId="0" xfId="1" applyNumberFormat="1" applyFont="1" applyAlignment="1"/>
    <xf numFmtId="2" fontId="83" fillId="8" borderId="8" xfId="0" applyNumberFormat="1" applyFont="1" applyFill="1" applyBorder="1" applyAlignment="1">
      <alignment horizontal="right" vertical="center"/>
    </xf>
    <xf numFmtId="2" fontId="83" fillId="11" borderId="56" xfId="0" applyNumberFormat="1" applyFont="1" applyFill="1" applyBorder="1" applyAlignment="1">
      <alignment horizontal="right" vertical="center"/>
    </xf>
    <xf numFmtId="1" fontId="9" fillId="0" borderId="0" xfId="1" applyNumberFormat="1" applyFont="1" applyFill="1" applyBorder="1" applyAlignment="1"/>
    <xf numFmtId="0" fontId="0" fillId="0" borderId="0" xfId="0" quotePrefix="1" applyFill="1" applyBorder="1" applyAlignment="1">
      <alignment horizontal="left"/>
    </xf>
    <xf numFmtId="43" fontId="84" fillId="0" borderId="0" xfId="0" quotePrefix="1" applyNumberFormat="1" applyFont="1" applyAlignment="1">
      <alignment horizontal="left"/>
    </xf>
    <xf numFmtId="43" fontId="4" fillId="0" borderId="0" xfId="1" applyFont="1" applyFill="1" applyBorder="1" applyAlignment="1">
      <alignment horizontal="center" vertical="center"/>
    </xf>
    <xf numFmtId="0" fontId="4" fillId="8" borderId="3" xfId="0" applyNumberFormat="1" applyFont="1" applyFill="1" applyBorder="1" applyAlignment="1">
      <alignment horizontal="left" vertical="center"/>
    </xf>
    <xf numFmtId="0" fontId="4" fillId="8" borderId="3" xfId="0" applyNumberFormat="1" applyFont="1" applyFill="1" applyBorder="1" applyAlignment="1">
      <alignment horizontal="left" vertical="center" wrapText="1"/>
    </xf>
    <xf numFmtId="174" fontId="84" fillId="0" borderId="0" xfId="0" applyNumberFormat="1" applyFont="1"/>
    <xf numFmtId="0" fontId="84" fillId="0" borderId="0" xfId="0" applyFont="1" applyAlignment="1">
      <alignment horizontal="center"/>
    </xf>
    <xf numFmtId="0" fontId="4" fillId="8" borderId="0" xfId="0" quotePrefix="1" applyNumberFormat="1" applyFont="1" applyFill="1" applyBorder="1" applyAlignment="1">
      <alignment horizontal="left" vertical="center"/>
    </xf>
    <xf numFmtId="43" fontId="9" fillId="0" borderId="0" xfId="1" applyFont="1" applyFill="1" applyAlignment="1"/>
    <xf numFmtId="43" fontId="83" fillId="11" borderId="4" xfId="1" applyFont="1" applyFill="1" applyBorder="1" applyAlignment="1">
      <alignment horizontal="right" vertical="center"/>
    </xf>
    <xf numFmtId="10" fontId="0" fillId="0" borderId="0" xfId="0" applyNumberFormat="1"/>
    <xf numFmtId="14" fontId="0" fillId="0" borderId="0" xfId="0" applyNumberFormat="1" applyFill="1" applyBorder="1" applyAlignment="1"/>
    <xf numFmtId="186" fontId="0" fillId="0" borderId="0" xfId="3" applyNumberFormat="1" applyFont="1"/>
    <xf numFmtId="41" fontId="85" fillId="0" borderId="0" xfId="1782" quotePrefix="1" applyFont="1" applyAlignment="1">
      <alignment horizontal="right"/>
    </xf>
    <xf numFmtId="41" fontId="86" fillId="0" borderId="0" xfId="1782" quotePrefix="1" applyFont="1" applyAlignment="1">
      <alignment horizontal="left" indent="4"/>
    </xf>
    <xf numFmtId="174" fontId="84" fillId="0" borderId="0" xfId="2" applyNumberFormat="1" applyFont="1"/>
    <xf numFmtId="174" fontId="150" fillId="0" borderId="0" xfId="2" applyNumberFormat="1" applyFont="1"/>
    <xf numFmtId="0" fontId="84" fillId="0" borderId="0" xfId="0" quotePrefix="1" applyFont="1" applyAlignment="1">
      <alignment horizontal="left" indent="7"/>
    </xf>
    <xf numFmtId="0" fontId="84" fillId="0" borderId="0" xfId="0" applyFont="1" applyAlignment="1">
      <alignment horizontal="left" indent="4"/>
    </xf>
    <xf numFmtId="0" fontId="84" fillId="0" borderId="0" xfId="0" applyFont="1" applyAlignment="1">
      <alignment horizontal="left" indent="7"/>
    </xf>
    <xf numFmtId="174" fontId="88" fillId="0" borderId="0" xfId="2" applyNumberFormat="1" applyFont="1"/>
    <xf numFmtId="0" fontId="153" fillId="0" borderId="0" xfId="0" applyFont="1" applyAlignment="1">
      <alignment horizontal="left" indent="4"/>
    </xf>
    <xf numFmtId="41" fontId="86" fillId="0" borderId="35" xfId="1782" applyFont="1" applyBorder="1" applyAlignment="1">
      <alignment horizontal="center" wrapText="1"/>
    </xf>
    <xf numFmtId="174" fontId="86" fillId="0" borderId="35" xfId="1360" quotePrefix="1" applyNumberFormat="1" applyFont="1" applyBorder="1" applyAlignment="1">
      <alignment horizontal="center" wrapText="1"/>
    </xf>
    <xf numFmtId="41" fontId="154" fillId="0" borderId="0" xfId="1782" applyFont="1"/>
    <xf numFmtId="41" fontId="86" fillId="0" borderId="0" xfId="1782" quotePrefix="1" applyFont="1" applyAlignment="1">
      <alignment horizontal="center"/>
    </xf>
    <xf numFmtId="44" fontId="86" fillId="0" borderId="0" xfId="2" applyFont="1" applyAlignment="1">
      <alignment horizontal="center"/>
    </xf>
    <xf numFmtId="178" fontId="147" fillId="0" borderId="0" xfId="2" applyNumberFormat="1" applyFont="1" applyBorder="1"/>
    <xf numFmtId="174" fontId="149" fillId="0" borderId="0" xfId="2" applyNumberFormat="1" applyFont="1" applyBorder="1"/>
    <xf numFmtId="175" fontId="86" fillId="0" borderId="0" xfId="4" quotePrefix="1" applyFont="1" applyBorder="1" applyAlignment="1">
      <alignment horizontal="center"/>
    </xf>
    <xf numFmtId="175" fontId="86" fillId="0" borderId="0" xfId="4" applyFont="1" applyBorder="1" applyAlignment="1">
      <alignment horizontal="center"/>
    </xf>
    <xf numFmtId="0" fontId="92" fillId="14" borderId="0" xfId="0" quotePrefix="1" applyFont="1" applyFill="1" applyAlignment="1">
      <alignment horizontal="center" wrapText="1"/>
    </xf>
    <xf numFmtId="41" fontId="148" fillId="0" borderId="6" xfId="1782" quotePrefix="1" applyFont="1" applyBorder="1" applyAlignment="1">
      <alignment horizontal="center"/>
    </xf>
    <xf numFmtId="41" fontId="148" fillId="0" borderId="6" xfId="1782" applyFont="1" applyBorder="1" applyAlignment="1">
      <alignment horizontal="center"/>
    </xf>
  </cellXfs>
  <cellStyles count="15121">
    <cellStyle name="_Row1" xfId="2114"/>
    <cellStyle name="_Row1 2" xfId="2115"/>
    <cellStyle name="=C:\WINNT\SYSTEM32\COMMAND.COM" xfId="2116"/>
    <cellStyle name="=C:\WINNT\SYSTEM32\COMMAND.COM 2" xfId="2117"/>
    <cellStyle name="=C:\WINNT\SYSTEM32\COMMAND.COM 2 2" xfId="2118"/>
    <cellStyle name="=C:\WINNT\SYSTEM32\COMMAND.COM 3" xfId="2119"/>
    <cellStyle name="=C:\WINNT35\SYSTEM32\COMMAND.COM" xfId="2120"/>
    <cellStyle name="20% - Accent1 10" xfId="14"/>
    <cellStyle name="20% - Accent1 10 2" xfId="2121"/>
    <cellStyle name="20% - Accent1 10 2 2" xfId="2122"/>
    <cellStyle name="20% - Accent1 10 3" xfId="2123"/>
    <cellStyle name="20% - Accent1 10 4" xfId="2124"/>
    <cellStyle name="20% - Accent1 11" xfId="15"/>
    <cellStyle name="20% - Accent1 11 2" xfId="2125"/>
    <cellStyle name="20% - Accent1 11 2 2" xfId="2126"/>
    <cellStyle name="20% - Accent1 11 3" xfId="2127"/>
    <cellStyle name="20% - Accent1 11 4" xfId="2128"/>
    <cellStyle name="20% - Accent1 12" xfId="16"/>
    <cellStyle name="20% - Accent1 12 2" xfId="2129"/>
    <cellStyle name="20% - Accent1 12 3" xfId="2130"/>
    <cellStyle name="20% - Accent1 13" xfId="17"/>
    <cellStyle name="20% - Accent1 13 2" xfId="2131"/>
    <cellStyle name="20% - Accent1 14" xfId="18"/>
    <cellStyle name="20% - Accent1 15" xfId="19"/>
    <cellStyle name="20% - Accent1 15 2" xfId="20"/>
    <cellStyle name="20% - Accent1 15 3" xfId="21"/>
    <cellStyle name="20% - Accent1 15 4" xfId="22"/>
    <cellStyle name="20% - Accent1 15 5" xfId="23"/>
    <cellStyle name="20% - Accent1 16" xfId="24"/>
    <cellStyle name="20% - Accent1 16 2" xfId="25"/>
    <cellStyle name="20% - Accent1 16 3" xfId="26"/>
    <cellStyle name="20% - Accent1 16 4" xfId="27"/>
    <cellStyle name="20% - Accent1 16 5" xfId="28"/>
    <cellStyle name="20% - Accent1 17" xfId="29"/>
    <cellStyle name="20% - Accent1 17 2" xfId="30"/>
    <cellStyle name="20% - Accent1 17 3" xfId="31"/>
    <cellStyle name="20% - Accent1 17 4" xfId="32"/>
    <cellStyle name="20% - Accent1 17 5" xfId="33"/>
    <cellStyle name="20% - Accent1 18" xfId="34"/>
    <cellStyle name="20% - Accent1 19" xfId="35"/>
    <cellStyle name="20% - Accent1 2" xfId="36"/>
    <cellStyle name="20% - Accent1 2 2" xfId="37"/>
    <cellStyle name="20% - Accent1 2 2 2" xfId="38"/>
    <cellStyle name="20% - Accent1 2 2 2 2" xfId="39"/>
    <cellStyle name="20% - Accent1 2 2 2 2 2" xfId="2132"/>
    <cellStyle name="20% - Accent1 2 2 2 2 2 2" xfId="2133"/>
    <cellStyle name="20% - Accent1 2 2 2 2 2 2 2" xfId="2134"/>
    <cellStyle name="20% - Accent1 2 2 2 2 2 3" xfId="2135"/>
    <cellStyle name="20% - Accent1 2 2 2 2 3" xfId="2136"/>
    <cellStyle name="20% - Accent1 2 2 2 2 3 2" xfId="2137"/>
    <cellStyle name="20% - Accent1 2 2 2 2 4" xfId="2138"/>
    <cellStyle name="20% - Accent1 2 2 2 2 5" xfId="2139"/>
    <cellStyle name="20% - Accent1 2 2 2 3" xfId="40"/>
    <cellStyle name="20% - Accent1 2 2 2 3 2" xfId="2140"/>
    <cellStyle name="20% - Accent1 2 2 2 3 2 2" xfId="2141"/>
    <cellStyle name="20% - Accent1 2 2 2 3 3" xfId="2142"/>
    <cellStyle name="20% - Accent1 2 2 2 4" xfId="41"/>
    <cellStyle name="20% - Accent1 2 2 2 4 2" xfId="2143"/>
    <cellStyle name="20% - Accent1 2 2 2 5" xfId="42"/>
    <cellStyle name="20% - Accent1 2 2 2 6" xfId="2144"/>
    <cellStyle name="20% - Accent1 2 2 3" xfId="43"/>
    <cellStyle name="20% - Accent1 2 2 3 2" xfId="2145"/>
    <cellStyle name="20% - Accent1 2 2 3 2 2" xfId="2146"/>
    <cellStyle name="20% - Accent1 2 2 3 2 2 2" xfId="2147"/>
    <cellStyle name="20% - Accent1 2 2 3 2 3" xfId="2148"/>
    <cellStyle name="20% - Accent1 2 2 3 3" xfId="2149"/>
    <cellStyle name="20% - Accent1 2 2 3 3 2" xfId="2150"/>
    <cellStyle name="20% - Accent1 2 2 3 4" xfId="2151"/>
    <cellStyle name="20% - Accent1 2 2 3 5" xfId="2152"/>
    <cellStyle name="20% - Accent1 2 2 4" xfId="44"/>
    <cellStyle name="20% - Accent1 2 2 4 2" xfId="2153"/>
    <cellStyle name="20% - Accent1 2 2 4 2 2" xfId="2154"/>
    <cellStyle name="20% - Accent1 2 2 4 3" xfId="2155"/>
    <cellStyle name="20% - Accent1 2 2 5" xfId="45"/>
    <cellStyle name="20% - Accent1 2 2 5 2" xfId="2156"/>
    <cellStyle name="20% - Accent1 2 2 6" xfId="2157"/>
    <cellStyle name="20% - Accent1 2 2 7" xfId="2158"/>
    <cellStyle name="20% - Accent1 2 3" xfId="46"/>
    <cellStyle name="20% - Accent1 2 3 2" xfId="2159"/>
    <cellStyle name="20% - Accent1 2 3 2 2" xfId="2160"/>
    <cellStyle name="20% - Accent1 2 3 2 2 2" xfId="2161"/>
    <cellStyle name="20% - Accent1 2 3 2 2 2 2" xfId="2162"/>
    <cellStyle name="20% - Accent1 2 3 2 2 3" xfId="2163"/>
    <cellStyle name="20% - Accent1 2 3 2 3" xfId="2164"/>
    <cellStyle name="20% - Accent1 2 3 2 3 2" xfId="2165"/>
    <cellStyle name="20% - Accent1 2 3 2 4" xfId="2166"/>
    <cellStyle name="20% - Accent1 2 3 3" xfId="2167"/>
    <cellStyle name="20% - Accent1 2 3 3 2" xfId="2168"/>
    <cellStyle name="20% - Accent1 2 3 3 2 2" xfId="2169"/>
    <cellStyle name="20% - Accent1 2 3 3 3" xfId="2170"/>
    <cellStyle name="20% - Accent1 2 3 4" xfId="2171"/>
    <cellStyle name="20% - Accent1 2 3 4 2" xfId="2172"/>
    <cellStyle name="20% - Accent1 2 3 5" xfId="2173"/>
    <cellStyle name="20% - Accent1 2 3 6" xfId="2174"/>
    <cellStyle name="20% - Accent1 2 4" xfId="47"/>
    <cellStyle name="20% - Accent1 2 4 2" xfId="2175"/>
    <cellStyle name="20% - Accent1 2 4 2 2" xfId="2176"/>
    <cellStyle name="20% - Accent1 2 4 2 2 2" xfId="2177"/>
    <cellStyle name="20% - Accent1 2 4 2 3" xfId="2178"/>
    <cellStyle name="20% - Accent1 2 4 3" xfId="2179"/>
    <cellStyle name="20% - Accent1 2 4 3 2" xfId="2180"/>
    <cellStyle name="20% - Accent1 2 4 4" xfId="2181"/>
    <cellStyle name="20% - Accent1 2 4 5" xfId="2182"/>
    <cellStyle name="20% - Accent1 2 5" xfId="48"/>
    <cellStyle name="20% - Accent1 2 5 2" xfId="2183"/>
    <cellStyle name="20% - Accent1 2 5 2 2" xfId="2184"/>
    <cellStyle name="20% - Accent1 2 5 3" xfId="2185"/>
    <cellStyle name="20% - Accent1 2 5 4" xfId="2186"/>
    <cellStyle name="20% - Accent1 2 6" xfId="49"/>
    <cellStyle name="20% - Accent1 2 6 2" xfId="2187"/>
    <cellStyle name="20% - Accent1 2 6 3" xfId="2188"/>
    <cellStyle name="20% - Accent1 2 7" xfId="50"/>
    <cellStyle name="20% - Accent1 2 8" xfId="51"/>
    <cellStyle name="20% - Accent1 2 9" xfId="52"/>
    <cellStyle name="20% - Accent1 20" xfId="53"/>
    <cellStyle name="20% - Accent1 21" xfId="54"/>
    <cellStyle name="20% - Accent1 22" xfId="55"/>
    <cellStyle name="20% - Accent1 23" xfId="56"/>
    <cellStyle name="20% - Accent1 24" xfId="57"/>
    <cellStyle name="20% - Accent1 25" xfId="58"/>
    <cellStyle name="20% - Accent1 26" xfId="59"/>
    <cellStyle name="20% - Accent1 27" xfId="60"/>
    <cellStyle name="20% - Accent1 28" xfId="61"/>
    <cellStyle name="20% - Accent1 29" xfId="62"/>
    <cellStyle name="20% - Accent1 3" xfId="63"/>
    <cellStyle name="20% - Accent1 3 2" xfId="2189"/>
    <cellStyle name="20% - Accent1 3 2 2" xfId="2190"/>
    <cellStyle name="20% - Accent1 3 2 2 2" xfId="2191"/>
    <cellStyle name="20% - Accent1 3 2 2 2 2" xfId="2192"/>
    <cellStyle name="20% - Accent1 3 2 2 2 2 2" xfId="2193"/>
    <cellStyle name="20% - Accent1 3 2 2 2 2 2 2" xfId="2194"/>
    <cellStyle name="20% - Accent1 3 2 2 2 2 3" xfId="2195"/>
    <cellStyle name="20% - Accent1 3 2 2 2 3" xfId="2196"/>
    <cellStyle name="20% - Accent1 3 2 2 2 3 2" xfId="2197"/>
    <cellStyle name="20% - Accent1 3 2 2 2 4" xfId="2198"/>
    <cellStyle name="20% - Accent1 3 2 2 3" xfId="2199"/>
    <cellStyle name="20% - Accent1 3 2 2 3 2" xfId="2200"/>
    <cellStyle name="20% - Accent1 3 2 2 3 2 2" xfId="2201"/>
    <cellStyle name="20% - Accent1 3 2 2 3 3" xfId="2202"/>
    <cellStyle name="20% - Accent1 3 2 2 4" xfId="2203"/>
    <cellStyle name="20% - Accent1 3 2 2 4 2" xfId="2204"/>
    <cellStyle name="20% - Accent1 3 2 2 5" xfId="2205"/>
    <cellStyle name="20% - Accent1 3 2 2 6" xfId="2206"/>
    <cellStyle name="20% - Accent1 3 2 3" xfId="2207"/>
    <cellStyle name="20% - Accent1 3 2 3 2" xfId="2208"/>
    <cellStyle name="20% - Accent1 3 2 3 2 2" xfId="2209"/>
    <cellStyle name="20% - Accent1 3 2 3 2 2 2" xfId="2210"/>
    <cellStyle name="20% - Accent1 3 2 3 2 3" xfId="2211"/>
    <cellStyle name="20% - Accent1 3 2 3 3" xfId="2212"/>
    <cellStyle name="20% - Accent1 3 2 3 3 2" xfId="2213"/>
    <cellStyle name="20% - Accent1 3 2 3 4" xfId="2214"/>
    <cellStyle name="20% - Accent1 3 2 4" xfId="2215"/>
    <cellStyle name="20% - Accent1 3 2 4 2" xfId="2216"/>
    <cellStyle name="20% - Accent1 3 2 4 2 2" xfId="2217"/>
    <cellStyle name="20% - Accent1 3 2 4 3" xfId="2218"/>
    <cellStyle name="20% - Accent1 3 2 5" xfId="2219"/>
    <cellStyle name="20% - Accent1 3 2 5 2" xfId="2220"/>
    <cellStyle name="20% - Accent1 3 2 6" xfId="2221"/>
    <cellStyle name="20% - Accent1 3 2 7" xfId="2222"/>
    <cellStyle name="20% - Accent1 3 3" xfId="2223"/>
    <cellStyle name="20% - Accent1 3 3 2" xfId="2224"/>
    <cellStyle name="20% - Accent1 3 3 2 2" xfId="2225"/>
    <cellStyle name="20% - Accent1 3 3 2 2 2" xfId="2226"/>
    <cellStyle name="20% - Accent1 3 3 2 2 2 2" xfId="2227"/>
    <cellStyle name="20% - Accent1 3 3 2 2 3" xfId="2228"/>
    <cellStyle name="20% - Accent1 3 3 2 3" xfId="2229"/>
    <cellStyle name="20% - Accent1 3 3 2 3 2" xfId="2230"/>
    <cellStyle name="20% - Accent1 3 3 2 4" xfId="2231"/>
    <cellStyle name="20% - Accent1 3 3 3" xfId="2232"/>
    <cellStyle name="20% - Accent1 3 3 3 2" xfId="2233"/>
    <cellStyle name="20% - Accent1 3 3 3 2 2" xfId="2234"/>
    <cellStyle name="20% - Accent1 3 3 3 3" xfId="2235"/>
    <cellStyle name="20% - Accent1 3 3 4" xfId="2236"/>
    <cellStyle name="20% - Accent1 3 3 4 2" xfId="2237"/>
    <cellStyle name="20% - Accent1 3 3 5" xfId="2238"/>
    <cellStyle name="20% - Accent1 3 3 6" xfId="2239"/>
    <cellStyle name="20% - Accent1 3 4" xfId="2240"/>
    <cellStyle name="20% - Accent1 3 4 2" xfId="2241"/>
    <cellStyle name="20% - Accent1 3 4 2 2" xfId="2242"/>
    <cellStyle name="20% - Accent1 3 4 2 2 2" xfId="2243"/>
    <cellStyle name="20% - Accent1 3 4 2 3" xfId="2244"/>
    <cellStyle name="20% - Accent1 3 4 3" xfId="2245"/>
    <cellStyle name="20% - Accent1 3 4 3 2" xfId="2246"/>
    <cellStyle name="20% - Accent1 3 4 4" xfId="2247"/>
    <cellStyle name="20% - Accent1 3 4 5" xfId="2248"/>
    <cellStyle name="20% - Accent1 3 5" xfId="2249"/>
    <cellStyle name="20% - Accent1 3 5 2" xfId="2250"/>
    <cellStyle name="20% - Accent1 3 5 2 2" xfId="2251"/>
    <cellStyle name="20% - Accent1 3 5 3" xfId="2252"/>
    <cellStyle name="20% - Accent1 3 6" xfId="2253"/>
    <cellStyle name="20% - Accent1 3 6 2" xfId="2254"/>
    <cellStyle name="20% - Accent1 3 7" xfId="2255"/>
    <cellStyle name="20% - Accent1 3 8" xfId="2256"/>
    <cellStyle name="20% - Accent1 3 9" xfId="2257"/>
    <cellStyle name="20% - Accent1 30" xfId="64"/>
    <cellStyle name="20% - Accent1 31" xfId="65"/>
    <cellStyle name="20% - Accent1 32" xfId="66"/>
    <cellStyle name="20% - Accent1 33" xfId="67"/>
    <cellStyle name="20% - Accent1 34" xfId="68"/>
    <cellStyle name="20% - Accent1 35" xfId="69"/>
    <cellStyle name="20% - Accent1 4" xfId="70"/>
    <cellStyle name="20% - Accent1 4 2" xfId="2258"/>
    <cellStyle name="20% - Accent1 4 2 2" xfId="2259"/>
    <cellStyle name="20% - Accent1 4 2 2 2" xfId="2260"/>
    <cellStyle name="20% - Accent1 4 2 2 2 2" xfId="2261"/>
    <cellStyle name="20% - Accent1 4 2 2 2 2 2" xfId="2262"/>
    <cellStyle name="20% - Accent1 4 2 2 2 3" xfId="2263"/>
    <cellStyle name="20% - Accent1 4 2 2 3" xfId="2264"/>
    <cellStyle name="20% - Accent1 4 2 2 3 2" xfId="2265"/>
    <cellStyle name="20% - Accent1 4 2 2 4" xfId="2266"/>
    <cellStyle name="20% - Accent1 4 2 3" xfId="2267"/>
    <cellStyle name="20% - Accent1 4 2 3 2" xfId="2268"/>
    <cellStyle name="20% - Accent1 4 2 3 2 2" xfId="2269"/>
    <cellStyle name="20% - Accent1 4 2 3 3" xfId="2270"/>
    <cellStyle name="20% - Accent1 4 2 4" xfId="2271"/>
    <cellStyle name="20% - Accent1 4 2 4 2" xfId="2272"/>
    <cellStyle name="20% - Accent1 4 2 5" xfId="2273"/>
    <cellStyle name="20% - Accent1 4 2 6" xfId="2274"/>
    <cellStyle name="20% - Accent1 4 3" xfId="2275"/>
    <cellStyle name="20% - Accent1 4 3 2" xfId="2276"/>
    <cellStyle name="20% - Accent1 4 3 2 2" xfId="2277"/>
    <cellStyle name="20% - Accent1 4 3 2 2 2" xfId="2278"/>
    <cellStyle name="20% - Accent1 4 3 2 3" xfId="2279"/>
    <cellStyle name="20% - Accent1 4 3 3" xfId="2280"/>
    <cellStyle name="20% - Accent1 4 3 3 2" xfId="2281"/>
    <cellStyle name="20% - Accent1 4 3 4" xfId="2282"/>
    <cellStyle name="20% - Accent1 4 3 5" xfId="2283"/>
    <cellStyle name="20% - Accent1 4 4" xfId="2284"/>
    <cellStyle name="20% - Accent1 4 4 2" xfId="2285"/>
    <cellStyle name="20% - Accent1 4 4 2 2" xfId="2286"/>
    <cellStyle name="20% - Accent1 4 4 3" xfId="2287"/>
    <cellStyle name="20% - Accent1 4 5" xfId="2288"/>
    <cellStyle name="20% - Accent1 4 5 2" xfId="2289"/>
    <cellStyle name="20% - Accent1 4 6" xfId="2290"/>
    <cellStyle name="20% - Accent1 4 7" xfId="2291"/>
    <cellStyle name="20% - Accent1 5" xfId="71"/>
    <cellStyle name="20% - Accent1 5 2" xfId="2292"/>
    <cellStyle name="20% - Accent1 5 2 2" xfId="2293"/>
    <cellStyle name="20% - Accent1 5 2 2 2" xfId="2294"/>
    <cellStyle name="20% - Accent1 5 2 2 2 2" xfId="2295"/>
    <cellStyle name="20% - Accent1 5 2 2 3" xfId="2296"/>
    <cellStyle name="20% - Accent1 5 2 3" xfId="2297"/>
    <cellStyle name="20% - Accent1 5 2 3 2" xfId="2298"/>
    <cellStyle name="20% - Accent1 5 2 4" xfId="2299"/>
    <cellStyle name="20% - Accent1 5 2 5" xfId="2300"/>
    <cellStyle name="20% - Accent1 5 3" xfId="2301"/>
    <cellStyle name="20% - Accent1 5 3 2" xfId="2302"/>
    <cellStyle name="20% - Accent1 5 3 2 2" xfId="2303"/>
    <cellStyle name="20% - Accent1 5 3 3" xfId="2304"/>
    <cellStyle name="20% - Accent1 5 4" xfId="2305"/>
    <cellStyle name="20% - Accent1 5 4 2" xfId="2306"/>
    <cellStyle name="20% - Accent1 5 5" xfId="2307"/>
    <cellStyle name="20% - Accent1 5 6" xfId="2308"/>
    <cellStyle name="20% - Accent1 6" xfId="72"/>
    <cellStyle name="20% - Accent1 6 2" xfId="2309"/>
    <cellStyle name="20% - Accent1 6 2 2" xfId="2310"/>
    <cellStyle name="20% - Accent1 6 2 2 2" xfId="2311"/>
    <cellStyle name="20% - Accent1 6 2 3" xfId="2312"/>
    <cellStyle name="20% - Accent1 6 2 4" xfId="2313"/>
    <cellStyle name="20% - Accent1 6 2 5" xfId="2314"/>
    <cellStyle name="20% - Accent1 6 3" xfId="2315"/>
    <cellStyle name="20% - Accent1 6 3 2" xfId="2316"/>
    <cellStyle name="20% - Accent1 6 4" xfId="2317"/>
    <cellStyle name="20% - Accent1 6 5" xfId="2318"/>
    <cellStyle name="20% - Accent1 7" xfId="73"/>
    <cellStyle name="20% - Accent1 7 2" xfId="2319"/>
    <cellStyle name="20% - Accent1 7 2 2" xfId="2320"/>
    <cellStyle name="20% - Accent1 7 2 2 2" xfId="2321"/>
    <cellStyle name="20% - Accent1 7 2 3" xfId="2322"/>
    <cellStyle name="20% - Accent1 7 3" xfId="2323"/>
    <cellStyle name="20% - Accent1 7 3 2" xfId="2324"/>
    <cellStyle name="20% - Accent1 7 4" xfId="2325"/>
    <cellStyle name="20% - Accent1 7 5" xfId="2326"/>
    <cellStyle name="20% - Accent1 8" xfId="74"/>
    <cellStyle name="20% - Accent1 8 2" xfId="2327"/>
    <cellStyle name="20% - Accent1 8 2 2" xfId="2328"/>
    <cellStyle name="20% - Accent1 8 2 2 2" xfId="2329"/>
    <cellStyle name="20% - Accent1 8 2 3" xfId="2330"/>
    <cellStyle name="20% - Accent1 8 3" xfId="2331"/>
    <cellStyle name="20% - Accent1 8 3 2" xfId="2332"/>
    <cellStyle name="20% - Accent1 8 4" xfId="2333"/>
    <cellStyle name="20% - Accent1 8 5" xfId="2334"/>
    <cellStyle name="20% - Accent1 9" xfId="75"/>
    <cellStyle name="20% - Accent1 9 2" xfId="2335"/>
    <cellStyle name="20% - Accent1 9 2 2" xfId="2336"/>
    <cellStyle name="20% - Accent1 9 3" xfId="2337"/>
    <cellStyle name="20% - Accent1 9 4" xfId="2338"/>
    <cellStyle name="20% - Accent2 10" xfId="76"/>
    <cellStyle name="20% - Accent2 10 2" xfId="2339"/>
    <cellStyle name="20% - Accent2 10 2 2" xfId="2340"/>
    <cellStyle name="20% - Accent2 10 3" xfId="2341"/>
    <cellStyle name="20% - Accent2 10 4" xfId="2342"/>
    <cellStyle name="20% - Accent2 11" xfId="77"/>
    <cellStyle name="20% - Accent2 11 2" xfId="2343"/>
    <cellStyle name="20% - Accent2 11 2 2" xfId="2344"/>
    <cellStyle name="20% - Accent2 11 3" xfId="2345"/>
    <cellStyle name="20% - Accent2 11 4" xfId="2346"/>
    <cellStyle name="20% - Accent2 12" xfId="78"/>
    <cellStyle name="20% - Accent2 12 2" xfId="2347"/>
    <cellStyle name="20% - Accent2 12 3" xfId="2348"/>
    <cellStyle name="20% - Accent2 13" xfId="79"/>
    <cellStyle name="20% - Accent2 13 2" xfId="2349"/>
    <cellStyle name="20% - Accent2 14" xfId="80"/>
    <cellStyle name="20% - Accent2 15" xfId="81"/>
    <cellStyle name="20% - Accent2 15 2" xfId="82"/>
    <cellStyle name="20% - Accent2 15 3" xfId="83"/>
    <cellStyle name="20% - Accent2 15 4" xfId="84"/>
    <cellStyle name="20% - Accent2 15 5" xfId="85"/>
    <cellStyle name="20% - Accent2 16" xfId="86"/>
    <cellStyle name="20% - Accent2 16 2" xfId="87"/>
    <cellStyle name="20% - Accent2 16 3" xfId="88"/>
    <cellStyle name="20% - Accent2 16 4" xfId="89"/>
    <cellStyle name="20% - Accent2 16 5" xfId="90"/>
    <cellStyle name="20% - Accent2 17" xfId="91"/>
    <cellStyle name="20% - Accent2 17 2" xfId="92"/>
    <cellStyle name="20% - Accent2 17 3" xfId="93"/>
    <cellStyle name="20% - Accent2 17 4" xfId="94"/>
    <cellStyle name="20% - Accent2 17 5" xfId="95"/>
    <cellStyle name="20% - Accent2 18" xfId="96"/>
    <cellStyle name="20% - Accent2 19" xfId="97"/>
    <cellStyle name="20% - Accent2 2" xfId="98"/>
    <cellStyle name="20% - Accent2 2 2" xfId="99"/>
    <cellStyle name="20% - Accent2 2 2 2" xfId="100"/>
    <cellStyle name="20% - Accent2 2 2 2 2" xfId="101"/>
    <cellStyle name="20% - Accent2 2 2 2 2 2" xfId="2350"/>
    <cellStyle name="20% - Accent2 2 2 2 2 2 2" xfId="2351"/>
    <cellStyle name="20% - Accent2 2 2 2 2 2 2 2" xfId="2352"/>
    <cellStyle name="20% - Accent2 2 2 2 2 2 3" xfId="2353"/>
    <cellStyle name="20% - Accent2 2 2 2 2 3" xfId="2354"/>
    <cellStyle name="20% - Accent2 2 2 2 2 3 2" xfId="2355"/>
    <cellStyle name="20% - Accent2 2 2 2 2 4" xfId="2356"/>
    <cellStyle name="20% - Accent2 2 2 2 2 5" xfId="2357"/>
    <cellStyle name="20% - Accent2 2 2 2 3" xfId="102"/>
    <cellStyle name="20% - Accent2 2 2 2 3 2" xfId="2358"/>
    <cellStyle name="20% - Accent2 2 2 2 3 2 2" xfId="2359"/>
    <cellStyle name="20% - Accent2 2 2 2 3 3" xfId="2360"/>
    <cellStyle name="20% - Accent2 2 2 2 4" xfId="103"/>
    <cellStyle name="20% - Accent2 2 2 2 4 2" xfId="2361"/>
    <cellStyle name="20% - Accent2 2 2 2 5" xfId="104"/>
    <cellStyle name="20% - Accent2 2 2 2 6" xfId="2362"/>
    <cellStyle name="20% - Accent2 2 2 3" xfId="105"/>
    <cellStyle name="20% - Accent2 2 2 3 2" xfId="2363"/>
    <cellStyle name="20% - Accent2 2 2 3 2 2" xfId="2364"/>
    <cellStyle name="20% - Accent2 2 2 3 2 2 2" xfId="2365"/>
    <cellStyle name="20% - Accent2 2 2 3 2 3" xfId="2366"/>
    <cellStyle name="20% - Accent2 2 2 3 3" xfId="2367"/>
    <cellStyle name="20% - Accent2 2 2 3 3 2" xfId="2368"/>
    <cellStyle name="20% - Accent2 2 2 3 4" xfId="2369"/>
    <cellStyle name="20% - Accent2 2 2 3 5" xfId="2370"/>
    <cellStyle name="20% - Accent2 2 2 4" xfId="106"/>
    <cellStyle name="20% - Accent2 2 2 4 2" xfId="2371"/>
    <cellStyle name="20% - Accent2 2 2 4 2 2" xfId="2372"/>
    <cellStyle name="20% - Accent2 2 2 4 3" xfId="2373"/>
    <cellStyle name="20% - Accent2 2 2 5" xfId="107"/>
    <cellStyle name="20% - Accent2 2 2 5 2" xfId="2374"/>
    <cellStyle name="20% - Accent2 2 2 6" xfId="2375"/>
    <cellStyle name="20% - Accent2 2 2 7" xfId="2376"/>
    <cellStyle name="20% - Accent2 2 3" xfId="108"/>
    <cellStyle name="20% - Accent2 2 3 2" xfId="2377"/>
    <cellStyle name="20% - Accent2 2 3 2 2" xfId="2378"/>
    <cellStyle name="20% - Accent2 2 3 2 2 2" xfId="2379"/>
    <cellStyle name="20% - Accent2 2 3 2 2 2 2" xfId="2380"/>
    <cellStyle name="20% - Accent2 2 3 2 2 3" xfId="2381"/>
    <cellStyle name="20% - Accent2 2 3 2 3" xfId="2382"/>
    <cellStyle name="20% - Accent2 2 3 2 3 2" xfId="2383"/>
    <cellStyle name="20% - Accent2 2 3 2 4" xfId="2384"/>
    <cellStyle name="20% - Accent2 2 3 3" xfId="2385"/>
    <cellStyle name="20% - Accent2 2 3 3 2" xfId="2386"/>
    <cellStyle name="20% - Accent2 2 3 3 2 2" xfId="2387"/>
    <cellStyle name="20% - Accent2 2 3 3 3" xfId="2388"/>
    <cellStyle name="20% - Accent2 2 3 4" xfId="2389"/>
    <cellStyle name="20% - Accent2 2 3 4 2" xfId="2390"/>
    <cellStyle name="20% - Accent2 2 3 5" xfId="2391"/>
    <cellStyle name="20% - Accent2 2 3 6" xfId="2392"/>
    <cellStyle name="20% - Accent2 2 4" xfId="109"/>
    <cellStyle name="20% - Accent2 2 4 2" xfId="2393"/>
    <cellStyle name="20% - Accent2 2 4 2 2" xfId="2394"/>
    <cellStyle name="20% - Accent2 2 4 2 2 2" xfId="2395"/>
    <cellStyle name="20% - Accent2 2 4 2 3" xfId="2396"/>
    <cellStyle name="20% - Accent2 2 4 3" xfId="2397"/>
    <cellStyle name="20% - Accent2 2 4 3 2" xfId="2398"/>
    <cellStyle name="20% - Accent2 2 4 4" xfId="2399"/>
    <cellStyle name="20% - Accent2 2 4 5" xfId="2400"/>
    <cellStyle name="20% - Accent2 2 5" xfId="110"/>
    <cellStyle name="20% - Accent2 2 5 2" xfId="2401"/>
    <cellStyle name="20% - Accent2 2 5 2 2" xfId="2402"/>
    <cellStyle name="20% - Accent2 2 5 3" xfId="2403"/>
    <cellStyle name="20% - Accent2 2 5 4" xfId="2404"/>
    <cellStyle name="20% - Accent2 2 6" xfId="111"/>
    <cellStyle name="20% - Accent2 2 6 2" xfId="2405"/>
    <cellStyle name="20% - Accent2 2 6 3" xfId="2406"/>
    <cellStyle name="20% - Accent2 2 7" xfId="112"/>
    <cellStyle name="20% - Accent2 2 8" xfId="113"/>
    <cellStyle name="20% - Accent2 2 9" xfId="114"/>
    <cellStyle name="20% - Accent2 20" xfId="115"/>
    <cellStyle name="20% - Accent2 21" xfId="116"/>
    <cellStyle name="20% - Accent2 22" xfId="117"/>
    <cellStyle name="20% - Accent2 23" xfId="118"/>
    <cellStyle name="20% - Accent2 24" xfId="119"/>
    <cellStyle name="20% - Accent2 25" xfId="120"/>
    <cellStyle name="20% - Accent2 26" xfId="121"/>
    <cellStyle name="20% - Accent2 27" xfId="122"/>
    <cellStyle name="20% - Accent2 28" xfId="123"/>
    <cellStyle name="20% - Accent2 29" xfId="124"/>
    <cellStyle name="20% - Accent2 3" xfId="125"/>
    <cellStyle name="20% - Accent2 3 2" xfId="2407"/>
    <cellStyle name="20% - Accent2 3 2 2" xfId="2408"/>
    <cellStyle name="20% - Accent2 3 2 2 2" xfId="2409"/>
    <cellStyle name="20% - Accent2 3 2 2 2 2" xfId="2410"/>
    <cellStyle name="20% - Accent2 3 2 2 2 2 2" xfId="2411"/>
    <cellStyle name="20% - Accent2 3 2 2 2 2 2 2" xfId="2412"/>
    <cellStyle name="20% - Accent2 3 2 2 2 2 3" xfId="2413"/>
    <cellStyle name="20% - Accent2 3 2 2 2 3" xfId="2414"/>
    <cellStyle name="20% - Accent2 3 2 2 2 3 2" xfId="2415"/>
    <cellStyle name="20% - Accent2 3 2 2 2 4" xfId="2416"/>
    <cellStyle name="20% - Accent2 3 2 2 3" xfId="2417"/>
    <cellStyle name="20% - Accent2 3 2 2 3 2" xfId="2418"/>
    <cellStyle name="20% - Accent2 3 2 2 3 2 2" xfId="2419"/>
    <cellStyle name="20% - Accent2 3 2 2 3 3" xfId="2420"/>
    <cellStyle name="20% - Accent2 3 2 2 4" xfId="2421"/>
    <cellStyle name="20% - Accent2 3 2 2 4 2" xfId="2422"/>
    <cellStyle name="20% - Accent2 3 2 2 5" xfId="2423"/>
    <cellStyle name="20% - Accent2 3 2 2 6" xfId="2424"/>
    <cellStyle name="20% - Accent2 3 2 3" xfId="2425"/>
    <cellStyle name="20% - Accent2 3 2 3 2" xfId="2426"/>
    <cellStyle name="20% - Accent2 3 2 3 2 2" xfId="2427"/>
    <cellStyle name="20% - Accent2 3 2 3 2 2 2" xfId="2428"/>
    <cellStyle name="20% - Accent2 3 2 3 2 3" xfId="2429"/>
    <cellStyle name="20% - Accent2 3 2 3 3" xfId="2430"/>
    <cellStyle name="20% - Accent2 3 2 3 3 2" xfId="2431"/>
    <cellStyle name="20% - Accent2 3 2 3 4" xfId="2432"/>
    <cellStyle name="20% - Accent2 3 2 4" xfId="2433"/>
    <cellStyle name="20% - Accent2 3 2 4 2" xfId="2434"/>
    <cellStyle name="20% - Accent2 3 2 4 2 2" xfId="2435"/>
    <cellStyle name="20% - Accent2 3 2 4 3" xfId="2436"/>
    <cellStyle name="20% - Accent2 3 2 5" xfId="2437"/>
    <cellStyle name="20% - Accent2 3 2 5 2" xfId="2438"/>
    <cellStyle name="20% - Accent2 3 2 6" xfId="2439"/>
    <cellStyle name="20% - Accent2 3 2 7" xfId="2440"/>
    <cellStyle name="20% - Accent2 3 3" xfId="2441"/>
    <cellStyle name="20% - Accent2 3 3 2" xfId="2442"/>
    <cellStyle name="20% - Accent2 3 3 2 2" xfId="2443"/>
    <cellStyle name="20% - Accent2 3 3 2 2 2" xfId="2444"/>
    <cellStyle name="20% - Accent2 3 3 2 2 2 2" xfId="2445"/>
    <cellStyle name="20% - Accent2 3 3 2 2 3" xfId="2446"/>
    <cellStyle name="20% - Accent2 3 3 2 3" xfId="2447"/>
    <cellStyle name="20% - Accent2 3 3 2 3 2" xfId="2448"/>
    <cellStyle name="20% - Accent2 3 3 2 4" xfId="2449"/>
    <cellStyle name="20% - Accent2 3 3 3" xfId="2450"/>
    <cellStyle name="20% - Accent2 3 3 3 2" xfId="2451"/>
    <cellStyle name="20% - Accent2 3 3 3 2 2" xfId="2452"/>
    <cellStyle name="20% - Accent2 3 3 3 3" xfId="2453"/>
    <cellStyle name="20% - Accent2 3 3 4" xfId="2454"/>
    <cellStyle name="20% - Accent2 3 3 4 2" xfId="2455"/>
    <cellStyle name="20% - Accent2 3 3 5" xfId="2456"/>
    <cellStyle name="20% - Accent2 3 3 6" xfId="2457"/>
    <cellStyle name="20% - Accent2 3 4" xfId="2458"/>
    <cellStyle name="20% - Accent2 3 4 2" xfId="2459"/>
    <cellStyle name="20% - Accent2 3 4 2 2" xfId="2460"/>
    <cellStyle name="20% - Accent2 3 4 2 2 2" xfId="2461"/>
    <cellStyle name="20% - Accent2 3 4 2 3" xfId="2462"/>
    <cellStyle name="20% - Accent2 3 4 3" xfId="2463"/>
    <cellStyle name="20% - Accent2 3 4 3 2" xfId="2464"/>
    <cellStyle name="20% - Accent2 3 4 4" xfId="2465"/>
    <cellStyle name="20% - Accent2 3 4 5" xfId="2466"/>
    <cellStyle name="20% - Accent2 3 5" xfId="2467"/>
    <cellStyle name="20% - Accent2 3 5 2" xfId="2468"/>
    <cellStyle name="20% - Accent2 3 5 2 2" xfId="2469"/>
    <cellStyle name="20% - Accent2 3 5 3" xfId="2470"/>
    <cellStyle name="20% - Accent2 3 6" xfId="2471"/>
    <cellStyle name="20% - Accent2 3 6 2" xfId="2472"/>
    <cellStyle name="20% - Accent2 3 7" xfId="2473"/>
    <cellStyle name="20% - Accent2 3 8" xfId="2474"/>
    <cellStyle name="20% - Accent2 3 9" xfId="2475"/>
    <cellStyle name="20% - Accent2 30" xfId="126"/>
    <cellStyle name="20% - Accent2 31" xfId="127"/>
    <cellStyle name="20% - Accent2 32" xfId="128"/>
    <cellStyle name="20% - Accent2 33" xfId="129"/>
    <cellStyle name="20% - Accent2 34" xfId="130"/>
    <cellStyle name="20% - Accent2 35" xfId="131"/>
    <cellStyle name="20% - Accent2 4" xfId="132"/>
    <cellStyle name="20% - Accent2 4 2" xfId="2476"/>
    <cellStyle name="20% - Accent2 4 2 2" xfId="2477"/>
    <cellStyle name="20% - Accent2 4 2 2 2" xfId="2478"/>
    <cellStyle name="20% - Accent2 4 2 2 2 2" xfId="2479"/>
    <cellStyle name="20% - Accent2 4 2 2 2 2 2" xfId="2480"/>
    <cellStyle name="20% - Accent2 4 2 2 2 3" xfId="2481"/>
    <cellStyle name="20% - Accent2 4 2 2 3" xfId="2482"/>
    <cellStyle name="20% - Accent2 4 2 2 3 2" xfId="2483"/>
    <cellStyle name="20% - Accent2 4 2 2 4" xfId="2484"/>
    <cellStyle name="20% - Accent2 4 2 3" xfId="2485"/>
    <cellStyle name="20% - Accent2 4 2 3 2" xfId="2486"/>
    <cellStyle name="20% - Accent2 4 2 3 2 2" xfId="2487"/>
    <cellStyle name="20% - Accent2 4 2 3 3" xfId="2488"/>
    <cellStyle name="20% - Accent2 4 2 4" xfId="2489"/>
    <cellStyle name="20% - Accent2 4 2 4 2" xfId="2490"/>
    <cellStyle name="20% - Accent2 4 2 5" xfId="2491"/>
    <cellStyle name="20% - Accent2 4 2 6" xfId="2492"/>
    <cellStyle name="20% - Accent2 4 3" xfId="2493"/>
    <cellStyle name="20% - Accent2 4 3 2" xfId="2494"/>
    <cellStyle name="20% - Accent2 4 3 2 2" xfId="2495"/>
    <cellStyle name="20% - Accent2 4 3 2 2 2" xfId="2496"/>
    <cellStyle name="20% - Accent2 4 3 2 3" xfId="2497"/>
    <cellStyle name="20% - Accent2 4 3 3" xfId="2498"/>
    <cellStyle name="20% - Accent2 4 3 3 2" xfId="2499"/>
    <cellStyle name="20% - Accent2 4 3 4" xfId="2500"/>
    <cellStyle name="20% - Accent2 4 3 5" xfId="2501"/>
    <cellStyle name="20% - Accent2 4 4" xfId="2502"/>
    <cellStyle name="20% - Accent2 4 4 2" xfId="2503"/>
    <cellStyle name="20% - Accent2 4 4 2 2" xfId="2504"/>
    <cellStyle name="20% - Accent2 4 4 3" xfId="2505"/>
    <cellStyle name="20% - Accent2 4 5" xfId="2506"/>
    <cellStyle name="20% - Accent2 4 5 2" xfId="2507"/>
    <cellStyle name="20% - Accent2 4 6" xfId="2508"/>
    <cellStyle name="20% - Accent2 4 7" xfId="2509"/>
    <cellStyle name="20% - Accent2 5" xfId="133"/>
    <cellStyle name="20% - Accent2 5 2" xfId="2510"/>
    <cellStyle name="20% - Accent2 5 2 2" xfId="2511"/>
    <cellStyle name="20% - Accent2 5 2 2 2" xfId="2512"/>
    <cellStyle name="20% - Accent2 5 2 2 2 2" xfId="2513"/>
    <cellStyle name="20% - Accent2 5 2 2 3" xfId="2514"/>
    <cellStyle name="20% - Accent2 5 2 3" xfId="2515"/>
    <cellStyle name="20% - Accent2 5 2 3 2" xfId="2516"/>
    <cellStyle name="20% - Accent2 5 2 4" xfId="2517"/>
    <cellStyle name="20% - Accent2 5 2 5" xfId="2518"/>
    <cellStyle name="20% - Accent2 5 3" xfId="2519"/>
    <cellStyle name="20% - Accent2 5 3 2" xfId="2520"/>
    <cellStyle name="20% - Accent2 5 3 2 2" xfId="2521"/>
    <cellStyle name="20% - Accent2 5 3 3" xfId="2522"/>
    <cellStyle name="20% - Accent2 5 4" xfId="2523"/>
    <cellStyle name="20% - Accent2 5 4 2" xfId="2524"/>
    <cellStyle name="20% - Accent2 5 5" xfId="2525"/>
    <cellStyle name="20% - Accent2 5 6" xfId="2526"/>
    <cellStyle name="20% - Accent2 6" xfId="134"/>
    <cellStyle name="20% - Accent2 6 2" xfId="2527"/>
    <cellStyle name="20% - Accent2 6 2 2" xfId="2528"/>
    <cellStyle name="20% - Accent2 6 2 2 2" xfId="2529"/>
    <cellStyle name="20% - Accent2 6 2 3" xfId="2530"/>
    <cellStyle name="20% - Accent2 6 2 4" xfId="2531"/>
    <cellStyle name="20% - Accent2 6 2 5" xfId="2532"/>
    <cellStyle name="20% - Accent2 6 3" xfId="2533"/>
    <cellStyle name="20% - Accent2 6 3 2" xfId="2534"/>
    <cellStyle name="20% - Accent2 6 4" xfId="2535"/>
    <cellStyle name="20% - Accent2 6 5" xfId="2536"/>
    <cellStyle name="20% - Accent2 7" xfId="135"/>
    <cellStyle name="20% - Accent2 7 2" xfId="2537"/>
    <cellStyle name="20% - Accent2 7 2 2" xfId="2538"/>
    <cellStyle name="20% - Accent2 7 2 2 2" xfId="2539"/>
    <cellStyle name="20% - Accent2 7 2 3" xfId="2540"/>
    <cellStyle name="20% - Accent2 7 3" xfId="2541"/>
    <cellStyle name="20% - Accent2 7 3 2" xfId="2542"/>
    <cellStyle name="20% - Accent2 7 4" xfId="2543"/>
    <cellStyle name="20% - Accent2 7 5" xfId="2544"/>
    <cellStyle name="20% - Accent2 8" xfId="136"/>
    <cellStyle name="20% - Accent2 8 2" xfId="2545"/>
    <cellStyle name="20% - Accent2 8 2 2" xfId="2546"/>
    <cellStyle name="20% - Accent2 8 2 2 2" xfId="2547"/>
    <cellStyle name="20% - Accent2 8 2 3" xfId="2548"/>
    <cellStyle name="20% - Accent2 8 3" xfId="2549"/>
    <cellStyle name="20% - Accent2 8 3 2" xfId="2550"/>
    <cellStyle name="20% - Accent2 8 4" xfId="2551"/>
    <cellStyle name="20% - Accent2 8 5" xfId="2552"/>
    <cellStyle name="20% - Accent2 9" xfId="137"/>
    <cellStyle name="20% - Accent2 9 2" xfId="2553"/>
    <cellStyle name="20% - Accent2 9 2 2" xfId="2554"/>
    <cellStyle name="20% - Accent2 9 3" xfId="2555"/>
    <cellStyle name="20% - Accent2 9 4" xfId="2556"/>
    <cellStyle name="20% - Accent3 10" xfId="138"/>
    <cellStyle name="20% - Accent3 10 2" xfId="2557"/>
    <cellStyle name="20% - Accent3 10 2 2" xfId="2558"/>
    <cellStyle name="20% - Accent3 10 3" xfId="2559"/>
    <cellStyle name="20% - Accent3 10 4" xfId="2560"/>
    <cellStyle name="20% - Accent3 11" xfId="139"/>
    <cellStyle name="20% - Accent3 11 2" xfId="2561"/>
    <cellStyle name="20% - Accent3 11 2 2" xfId="2562"/>
    <cellStyle name="20% - Accent3 11 3" xfId="2563"/>
    <cellStyle name="20% - Accent3 11 4" xfId="2564"/>
    <cellStyle name="20% - Accent3 12" xfId="140"/>
    <cellStyle name="20% - Accent3 12 2" xfId="2565"/>
    <cellStyle name="20% - Accent3 12 3" xfId="2566"/>
    <cellStyle name="20% - Accent3 13" xfId="141"/>
    <cellStyle name="20% - Accent3 13 2" xfId="2567"/>
    <cellStyle name="20% - Accent3 14" xfId="142"/>
    <cellStyle name="20% - Accent3 15" xfId="143"/>
    <cellStyle name="20% - Accent3 15 2" xfId="144"/>
    <cellStyle name="20% - Accent3 15 3" xfId="145"/>
    <cellStyle name="20% - Accent3 15 4" xfId="146"/>
    <cellStyle name="20% - Accent3 15 5" xfId="147"/>
    <cellStyle name="20% - Accent3 16" xfId="148"/>
    <cellStyle name="20% - Accent3 16 2" xfId="149"/>
    <cellStyle name="20% - Accent3 16 3" xfId="150"/>
    <cellStyle name="20% - Accent3 16 4" xfId="151"/>
    <cellStyle name="20% - Accent3 16 5" xfId="152"/>
    <cellStyle name="20% - Accent3 17" xfId="153"/>
    <cellStyle name="20% - Accent3 17 2" xfId="154"/>
    <cellStyle name="20% - Accent3 17 3" xfId="155"/>
    <cellStyle name="20% - Accent3 17 4" xfId="156"/>
    <cellStyle name="20% - Accent3 17 5" xfId="157"/>
    <cellStyle name="20% - Accent3 18" xfId="158"/>
    <cellStyle name="20% - Accent3 19" xfId="159"/>
    <cellStyle name="20% - Accent3 2" xfId="160"/>
    <cellStyle name="20% - Accent3 2 2" xfId="161"/>
    <cellStyle name="20% - Accent3 2 2 2" xfId="162"/>
    <cellStyle name="20% - Accent3 2 2 2 2" xfId="163"/>
    <cellStyle name="20% - Accent3 2 2 2 2 2" xfId="2568"/>
    <cellStyle name="20% - Accent3 2 2 2 2 2 2" xfId="2569"/>
    <cellStyle name="20% - Accent3 2 2 2 2 2 2 2" xfId="2570"/>
    <cellStyle name="20% - Accent3 2 2 2 2 2 3" xfId="2571"/>
    <cellStyle name="20% - Accent3 2 2 2 2 3" xfId="2572"/>
    <cellStyle name="20% - Accent3 2 2 2 2 3 2" xfId="2573"/>
    <cellStyle name="20% - Accent3 2 2 2 2 4" xfId="2574"/>
    <cellStyle name="20% - Accent3 2 2 2 2 5" xfId="2575"/>
    <cellStyle name="20% - Accent3 2 2 2 3" xfId="164"/>
    <cellStyle name="20% - Accent3 2 2 2 3 2" xfId="2576"/>
    <cellStyle name="20% - Accent3 2 2 2 3 2 2" xfId="2577"/>
    <cellStyle name="20% - Accent3 2 2 2 3 3" xfId="2578"/>
    <cellStyle name="20% - Accent3 2 2 2 4" xfId="165"/>
    <cellStyle name="20% - Accent3 2 2 2 4 2" xfId="2579"/>
    <cellStyle name="20% - Accent3 2 2 2 5" xfId="166"/>
    <cellStyle name="20% - Accent3 2 2 2 6" xfId="2580"/>
    <cellStyle name="20% - Accent3 2 2 3" xfId="167"/>
    <cellStyle name="20% - Accent3 2 2 3 2" xfId="2581"/>
    <cellStyle name="20% - Accent3 2 2 3 2 2" xfId="2582"/>
    <cellStyle name="20% - Accent3 2 2 3 2 2 2" xfId="2583"/>
    <cellStyle name="20% - Accent3 2 2 3 2 3" xfId="2584"/>
    <cellStyle name="20% - Accent3 2 2 3 3" xfId="2585"/>
    <cellStyle name="20% - Accent3 2 2 3 3 2" xfId="2586"/>
    <cellStyle name="20% - Accent3 2 2 3 4" xfId="2587"/>
    <cellStyle name="20% - Accent3 2 2 3 5" xfId="2588"/>
    <cellStyle name="20% - Accent3 2 2 4" xfId="168"/>
    <cellStyle name="20% - Accent3 2 2 4 2" xfId="2589"/>
    <cellStyle name="20% - Accent3 2 2 4 2 2" xfId="2590"/>
    <cellStyle name="20% - Accent3 2 2 4 3" xfId="2591"/>
    <cellStyle name="20% - Accent3 2 2 5" xfId="169"/>
    <cellStyle name="20% - Accent3 2 2 5 2" xfId="2592"/>
    <cellStyle name="20% - Accent3 2 2 6" xfId="2593"/>
    <cellStyle name="20% - Accent3 2 2 7" xfId="2594"/>
    <cellStyle name="20% - Accent3 2 3" xfId="170"/>
    <cellStyle name="20% - Accent3 2 3 2" xfId="2595"/>
    <cellStyle name="20% - Accent3 2 3 2 2" xfId="2596"/>
    <cellStyle name="20% - Accent3 2 3 2 2 2" xfId="2597"/>
    <cellStyle name="20% - Accent3 2 3 2 2 2 2" xfId="2598"/>
    <cellStyle name="20% - Accent3 2 3 2 2 3" xfId="2599"/>
    <cellStyle name="20% - Accent3 2 3 2 3" xfId="2600"/>
    <cellStyle name="20% - Accent3 2 3 2 3 2" xfId="2601"/>
    <cellStyle name="20% - Accent3 2 3 2 4" xfId="2602"/>
    <cellStyle name="20% - Accent3 2 3 3" xfId="2603"/>
    <cellStyle name="20% - Accent3 2 3 3 2" xfId="2604"/>
    <cellStyle name="20% - Accent3 2 3 3 2 2" xfId="2605"/>
    <cellStyle name="20% - Accent3 2 3 3 3" xfId="2606"/>
    <cellStyle name="20% - Accent3 2 3 4" xfId="2607"/>
    <cellStyle name="20% - Accent3 2 3 4 2" xfId="2608"/>
    <cellStyle name="20% - Accent3 2 3 5" xfId="2609"/>
    <cellStyle name="20% - Accent3 2 3 6" xfId="2610"/>
    <cellStyle name="20% - Accent3 2 4" xfId="171"/>
    <cellStyle name="20% - Accent3 2 4 2" xfId="2611"/>
    <cellStyle name="20% - Accent3 2 4 2 2" xfId="2612"/>
    <cellStyle name="20% - Accent3 2 4 2 2 2" xfId="2613"/>
    <cellStyle name="20% - Accent3 2 4 2 3" xfId="2614"/>
    <cellStyle name="20% - Accent3 2 4 3" xfId="2615"/>
    <cellStyle name="20% - Accent3 2 4 3 2" xfId="2616"/>
    <cellStyle name="20% - Accent3 2 4 4" xfId="2617"/>
    <cellStyle name="20% - Accent3 2 4 5" xfId="2618"/>
    <cellStyle name="20% - Accent3 2 5" xfId="172"/>
    <cellStyle name="20% - Accent3 2 5 2" xfId="2619"/>
    <cellStyle name="20% - Accent3 2 5 2 2" xfId="2620"/>
    <cellStyle name="20% - Accent3 2 5 3" xfId="2621"/>
    <cellStyle name="20% - Accent3 2 5 4" xfId="2622"/>
    <cellStyle name="20% - Accent3 2 6" xfId="173"/>
    <cellStyle name="20% - Accent3 2 6 2" xfId="2623"/>
    <cellStyle name="20% - Accent3 2 6 3" xfId="2624"/>
    <cellStyle name="20% - Accent3 2 7" xfId="174"/>
    <cellStyle name="20% - Accent3 2 8" xfId="175"/>
    <cellStyle name="20% - Accent3 2 9" xfId="176"/>
    <cellStyle name="20% - Accent3 20" xfId="177"/>
    <cellStyle name="20% - Accent3 21" xfId="178"/>
    <cellStyle name="20% - Accent3 22" xfId="179"/>
    <cellStyle name="20% - Accent3 23" xfId="180"/>
    <cellStyle name="20% - Accent3 24" xfId="181"/>
    <cellStyle name="20% - Accent3 25" xfId="182"/>
    <cellStyle name="20% - Accent3 26" xfId="183"/>
    <cellStyle name="20% - Accent3 27" xfId="184"/>
    <cellStyle name="20% - Accent3 28" xfId="185"/>
    <cellStyle name="20% - Accent3 29" xfId="186"/>
    <cellStyle name="20% - Accent3 3" xfId="187"/>
    <cellStyle name="20% - Accent3 3 2" xfId="2625"/>
    <cellStyle name="20% - Accent3 3 2 2" xfId="2626"/>
    <cellStyle name="20% - Accent3 3 2 2 2" xfId="2627"/>
    <cellStyle name="20% - Accent3 3 2 2 2 2" xfId="2628"/>
    <cellStyle name="20% - Accent3 3 2 2 2 2 2" xfId="2629"/>
    <cellStyle name="20% - Accent3 3 2 2 2 2 2 2" xfId="2630"/>
    <cellStyle name="20% - Accent3 3 2 2 2 2 3" xfId="2631"/>
    <cellStyle name="20% - Accent3 3 2 2 2 3" xfId="2632"/>
    <cellStyle name="20% - Accent3 3 2 2 2 3 2" xfId="2633"/>
    <cellStyle name="20% - Accent3 3 2 2 2 4" xfId="2634"/>
    <cellStyle name="20% - Accent3 3 2 2 3" xfId="2635"/>
    <cellStyle name="20% - Accent3 3 2 2 3 2" xfId="2636"/>
    <cellStyle name="20% - Accent3 3 2 2 3 2 2" xfId="2637"/>
    <cellStyle name="20% - Accent3 3 2 2 3 3" xfId="2638"/>
    <cellStyle name="20% - Accent3 3 2 2 4" xfId="2639"/>
    <cellStyle name="20% - Accent3 3 2 2 4 2" xfId="2640"/>
    <cellStyle name="20% - Accent3 3 2 2 5" xfId="2641"/>
    <cellStyle name="20% - Accent3 3 2 2 6" xfId="2642"/>
    <cellStyle name="20% - Accent3 3 2 3" xfId="2643"/>
    <cellStyle name="20% - Accent3 3 2 3 2" xfId="2644"/>
    <cellStyle name="20% - Accent3 3 2 3 2 2" xfId="2645"/>
    <cellStyle name="20% - Accent3 3 2 3 2 2 2" xfId="2646"/>
    <cellStyle name="20% - Accent3 3 2 3 2 3" xfId="2647"/>
    <cellStyle name="20% - Accent3 3 2 3 3" xfId="2648"/>
    <cellStyle name="20% - Accent3 3 2 3 3 2" xfId="2649"/>
    <cellStyle name="20% - Accent3 3 2 3 4" xfId="2650"/>
    <cellStyle name="20% - Accent3 3 2 4" xfId="2651"/>
    <cellStyle name="20% - Accent3 3 2 4 2" xfId="2652"/>
    <cellStyle name="20% - Accent3 3 2 4 2 2" xfId="2653"/>
    <cellStyle name="20% - Accent3 3 2 4 3" xfId="2654"/>
    <cellStyle name="20% - Accent3 3 2 5" xfId="2655"/>
    <cellStyle name="20% - Accent3 3 2 5 2" xfId="2656"/>
    <cellStyle name="20% - Accent3 3 2 6" xfId="2657"/>
    <cellStyle name="20% - Accent3 3 2 7" xfId="2658"/>
    <cellStyle name="20% - Accent3 3 3" xfId="2659"/>
    <cellStyle name="20% - Accent3 3 3 2" xfId="2660"/>
    <cellStyle name="20% - Accent3 3 3 2 2" xfId="2661"/>
    <cellStyle name="20% - Accent3 3 3 2 2 2" xfId="2662"/>
    <cellStyle name="20% - Accent3 3 3 2 2 2 2" xfId="2663"/>
    <cellStyle name="20% - Accent3 3 3 2 2 3" xfId="2664"/>
    <cellStyle name="20% - Accent3 3 3 2 3" xfId="2665"/>
    <cellStyle name="20% - Accent3 3 3 2 3 2" xfId="2666"/>
    <cellStyle name="20% - Accent3 3 3 2 4" xfId="2667"/>
    <cellStyle name="20% - Accent3 3 3 3" xfId="2668"/>
    <cellStyle name="20% - Accent3 3 3 3 2" xfId="2669"/>
    <cellStyle name="20% - Accent3 3 3 3 2 2" xfId="2670"/>
    <cellStyle name="20% - Accent3 3 3 3 3" xfId="2671"/>
    <cellStyle name="20% - Accent3 3 3 4" xfId="2672"/>
    <cellStyle name="20% - Accent3 3 3 4 2" xfId="2673"/>
    <cellStyle name="20% - Accent3 3 3 5" xfId="2674"/>
    <cellStyle name="20% - Accent3 3 3 6" xfId="2675"/>
    <cellStyle name="20% - Accent3 3 4" xfId="2676"/>
    <cellStyle name="20% - Accent3 3 4 2" xfId="2677"/>
    <cellStyle name="20% - Accent3 3 4 2 2" xfId="2678"/>
    <cellStyle name="20% - Accent3 3 4 2 2 2" xfId="2679"/>
    <cellStyle name="20% - Accent3 3 4 2 3" xfId="2680"/>
    <cellStyle name="20% - Accent3 3 4 3" xfId="2681"/>
    <cellStyle name="20% - Accent3 3 4 3 2" xfId="2682"/>
    <cellStyle name="20% - Accent3 3 4 4" xfId="2683"/>
    <cellStyle name="20% - Accent3 3 4 5" xfId="2684"/>
    <cellStyle name="20% - Accent3 3 5" xfId="2685"/>
    <cellStyle name="20% - Accent3 3 5 2" xfId="2686"/>
    <cellStyle name="20% - Accent3 3 5 2 2" xfId="2687"/>
    <cellStyle name="20% - Accent3 3 5 3" xfId="2688"/>
    <cellStyle name="20% - Accent3 3 6" xfId="2689"/>
    <cellStyle name="20% - Accent3 3 6 2" xfId="2690"/>
    <cellStyle name="20% - Accent3 3 7" xfId="2691"/>
    <cellStyle name="20% - Accent3 3 8" xfId="2692"/>
    <cellStyle name="20% - Accent3 3 9" xfId="2693"/>
    <cellStyle name="20% - Accent3 30" xfId="188"/>
    <cellStyle name="20% - Accent3 31" xfId="189"/>
    <cellStyle name="20% - Accent3 32" xfId="190"/>
    <cellStyle name="20% - Accent3 33" xfId="191"/>
    <cellStyle name="20% - Accent3 34" xfId="192"/>
    <cellStyle name="20% - Accent3 35" xfId="193"/>
    <cellStyle name="20% - Accent3 4" xfId="194"/>
    <cellStyle name="20% - Accent3 4 2" xfId="2694"/>
    <cellStyle name="20% - Accent3 4 2 2" xfId="2695"/>
    <cellStyle name="20% - Accent3 4 2 2 2" xfId="2696"/>
    <cellStyle name="20% - Accent3 4 2 2 2 2" xfId="2697"/>
    <cellStyle name="20% - Accent3 4 2 2 2 2 2" xfId="2698"/>
    <cellStyle name="20% - Accent3 4 2 2 2 3" xfId="2699"/>
    <cellStyle name="20% - Accent3 4 2 2 3" xfId="2700"/>
    <cellStyle name="20% - Accent3 4 2 2 3 2" xfId="2701"/>
    <cellStyle name="20% - Accent3 4 2 2 4" xfId="2702"/>
    <cellStyle name="20% - Accent3 4 2 3" xfId="2703"/>
    <cellStyle name="20% - Accent3 4 2 3 2" xfId="2704"/>
    <cellStyle name="20% - Accent3 4 2 3 2 2" xfId="2705"/>
    <cellStyle name="20% - Accent3 4 2 3 3" xfId="2706"/>
    <cellStyle name="20% - Accent3 4 2 4" xfId="2707"/>
    <cellStyle name="20% - Accent3 4 2 4 2" xfId="2708"/>
    <cellStyle name="20% - Accent3 4 2 5" xfId="2709"/>
    <cellStyle name="20% - Accent3 4 2 6" xfId="2710"/>
    <cellStyle name="20% - Accent3 4 3" xfId="2711"/>
    <cellStyle name="20% - Accent3 4 3 2" xfId="2712"/>
    <cellStyle name="20% - Accent3 4 3 2 2" xfId="2713"/>
    <cellStyle name="20% - Accent3 4 3 2 2 2" xfId="2714"/>
    <cellStyle name="20% - Accent3 4 3 2 3" xfId="2715"/>
    <cellStyle name="20% - Accent3 4 3 3" xfId="2716"/>
    <cellStyle name="20% - Accent3 4 3 3 2" xfId="2717"/>
    <cellStyle name="20% - Accent3 4 3 4" xfId="2718"/>
    <cellStyle name="20% - Accent3 4 3 5" xfId="2719"/>
    <cellStyle name="20% - Accent3 4 4" xfId="2720"/>
    <cellStyle name="20% - Accent3 4 4 2" xfId="2721"/>
    <cellStyle name="20% - Accent3 4 4 2 2" xfId="2722"/>
    <cellStyle name="20% - Accent3 4 4 3" xfId="2723"/>
    <cellStyle name="20% - Accent3 4 5" xfId="2724"/>
    <cellStyle name="20% - Accent3 4 5 2" xfId="2725"/>
    <cellStyle name="20% - Accent3 4 6" xfId="2726"/>
    <cellStyle name="20% - Accent3 4 7" xfId="2727"/>
    <cellStyle name="20% - Accent3 5" xfId="195"/>
    <cellStyle name="20% - Accent3 5 2" xfId="2728"/>
    <cellStyle name="20% - Accent3 5 2 2" xfId="2729"/>
    <cellStyle name="20% - Accent3 5 2 2 2" xfId="2730"/>
    <cellStyle name="20% - Accent3 5 2 2 2 2" xfId="2731"/>
    <cellStyle name="20% - Accent3 5 2 2 3" xfId="2732"/>
    <cellStyle name="20% - Accent3 5 2 3" xfId="2733"/>
    <cellStyle name="20% - Accent3 5 2 3 2" xfId="2734"/>
    <cellStyle name="20% - Accent3 5 2 4" xfId="2735"/>
    <cellStyle name="20% - Accent3 5 2 5" xfId="2736"/>
    <cellStyle name="20% - Accent3 5 3" xfId="2737"/>
    <cellStyle name="20% - Accent3 5 3 2" xfId="2738"/>
    <cellStyle name="20% - Accent3 5 3 2 2" xfId="2739"/>
    <cellStyle name="20% - Accent3 5 3 3" xfId="2740"/>
    <cellStyle name="20% - Accent3 5 4" xfId="2741"/>
    <cellStyle name="20% - Accent3 5 4 2" xfId="2742"/>
    <cellStyle name="20% - Accent3 5 5" xfId="2743"/>
    <cellStyle name="20% - Accent3 5 6" xfId="2744"/>
    <cellStyle name="20% - Accent3 6" xfId="196"/>
    <cellStyle name="20% - Accent3 6 2" xfId="2745"/>
    <cellStyle name="20% - Accent3 6 2 2" xfId="2746"/>
    <cellStyle name="20% - Accent3 6 2 2 2" xfId="2747"/>
    <cellStyle name="20% - Accent3 6 2 3" xfId="2748"/>
    <cellStyle name="20% - Accent3 6 2 4" xfId="2749"/>
    <cellStyle name="20% - Accent3 6 2 5" xfId="2750"/>
    <cellStyle name="20% - Accent3 6 3" xfId="2751"/>
    <cellStyle name="20% - Accent3 6 3 2" xfId="2752"/>
    <cellStyle name="20% - Accent3 6 4" xfId="2753"/>
    <cellStyle name="20% - Accent3 6 5" xfId="2754"/>
    <cellStyle name="20% - Accent3 7" xfId="197"/>
    <cellStyle name="20% - Accent3 7 2" xfId="2755"/>
    <cellStyle name="20% - Accent3 7 2 2" xfId="2756"/>
    <cellStyle name="20% - Accent3 7 2 2 2" xfId="2757"/>
    <cellStyle name="20% - Accent3 7 2 3" xfId="2758"/>
    <cellStyle name="20% - Accent3 7 3" xfId="2759"/>
    <cellStyle name="20% - Accent3 7 3 2" xfId="2760"/>
    <cellStyle name="20% - Accent3 7 4" xfId="2761"/>
    <cellStyle name="20% - Accent3 7 5" xfId="2762"/>
    <cellStyle name="20% - Accent3 8" xfId="198"/>
    <cellStyle name="20% - Accent3 8 2" xfId="2763"/>
    <cellStyle name="20% - Accent3 8 2 2" xfId="2764"/>
    <cellStyle name="20% - Accent3 8 2 2 2" xfId="2765"/>
    <cellStyle name="20% - Accent3 8 2 3" xfId="2766"/>
    <cellStyle name="20% - Accent3 8 3" xfId="2767"/>
    <cellStyle name="20% - Accent3 8 3 2" xfId="2768"/>
    <cellStyle name="20% - Accent3 8 4" xfId="2769"/>
    <cellStyle name="20% - Accent3 8 5" xfId="2770"/>
    <cellStyle name="20% - Accent3 9" xfId="199"/>
    <cellStyle name="20% - Accent3 9 2" xfId="2771"/>
    <cellStyle name="20% - Accent3 9 2 2" xfId="2772"/>
    <cellStyle name="20% - Accent3 9 3" xfId="2773"/>
    <cellStyle name="20% - Accent3 9 4" xfId="2774"/>
    <cellStyle name="20% - Accent4 10" xfId="200"/>
    <cellStyle name="20% - Accent4 10 2" xfId="2775"/>
    <cellStyle name="20% - Accent4 10 2 2" xfId="2776"/>
    <cellStyle name="20% - Accent4 10 3" xfId="2777"/>
    <cellStyle name="20% - Accent4 10 4" xfId="2778"/>
    <cellStyle name="20% - Accent4 11" xfId="201"/>
    <cellStyle name="20% - Accent4 11 2" xfId="2779"/>
    <cellStyle name="20% - Accent4 11 2 2" xfId="2780"/>
    <cellStyle name="20% - Accent4 11 3" xfId="2781"/>
    <cellStyle name="20% - Accent4 11 4" xfId="2782"/>
    <cellStyle name="20% - Accent4 12" xfId="202"/>
    <cellStyle name="20% - Accent4 12 2" xfId="2783"/>
    <cellStyle name="20% - Accent4 12 2 2" xfId="2784"/>
    <cellStyle name="20% - Accent4 12 3" xfId="2785"/>
    <cellStyle name="20% - Accent4 12 4" xfId="2786"/>
    <cellStyle name="20% - Accent4 13" xfId="203"/>
    <cellStyle name="20% - Accent4 13 2" xfId="2787"/>
    <cellStyle name="20% - Accent4 13 3" xfId="2788"/>
    <cellStyle name="20% - Accent4 14" xfId="204"/>
    <cellStyle name="20% - Accent4 14 2" xfId="2789"/>
    <cellStyle name="20% - Accent4 15" xfId="205"/>
    <cellStyle name="20% - Accent4 15 2" xfId="206"/>
    <cellStyle name="20% - Accent4 15 3" xfId="207"/>
    <cellStyle name="20% - Accent4 15 4" xfId="208"/>
    <cellStyle name="20% - Accent4 15 5" xfId="209"/>
    <cellStyle name="20% - Accent4 16" xfId="210"/>
    <cellStyle name="20% - Accent4 16 2" xfId="211"/>
    <cellStyle name="20% - Accent4 16 3" xfId="212"/>
    <cellStyle name="20% - Accent4 16 4" xfId="213"/>
    <cellStyle name="20% - Accent4 16 5" xfId="214"/>
    <cellStyle name="20% - Accent4 17" xfId="215"/>
    <cellStyle name="20% - Accent4 17 2" xfId="216"/>
    <cellStyle name="20% - Accent4 17 3" xfId="217"/>
    <cellStyle name="20% - Accent4 17 4" xfId="218"/>
    <cellStyle name="20% - Accent4 17 5" xfId="219"/>
    <cellStyle name="20% - Accent4 18" xfId="220"/>
    <cellStyle name="20% - Accent4 19" xfId="221"/>
    <cellStyle name="20% - Accent4 2" xfId="222"/>
    <cellStyle name="20% - Accent4 2 10" xfId="2790"/>
    <cellStyle name="20% - Accent4 2 11" xfId="2791"/>
    <cellStyle name="20% - Accent4 2 12" xfId="2792"/>
    <cellStyle name="20% - Accent4 2 13" xfId="2793"/>
    <cellStyle name="20% - Accent4 2 2" xfId="223"/>
    <cellStyle name="20% - Accent4 2 2 10" xfId="2794"/>
    <cellStyle name="20% - Accent4 2 2 2" xfId="224"/>
    <cellStyle name="20% - Accent4 2 2 2 2" xfId="225"/>
    <cellStyle name="20% - Accent4 2 2 2 2 2" xfId="2795"/>
    <cellStyle name="20% - Accent4 2 2 2 2 2 2" xfId="2796"/>
    <cellStyle name="20% - Accent4 2 2 2 2 2 2 2" xfId="2797"/>
    <cellStyle name="20% - Accent4 2 2 2 2 2 3" xfId="2798"/>
    <cellStyle name="20% - Accent4 2 2 2 2 3" xfId="2799"/>
    <cellStyle name="20% - Accent4 2 2 2 2 3 2" xfId="2800"/>
    <cellStyle name="20% - Accent4 2 2 2 2 4" xfId="2801"/>
    <cellStyle name="20% - Accent4 2 2 2 2 5" xfId="2802"/>
    <cellStyle name="20% - Accent4 2 2 2 2 6" xfId="2803"/>
    <cellStyle name="20% - Accent4 2 2 2 3" xfId="226"/>
    <cellStyle name="20% - Accent4 2 2 2 3 2" xfId="2804"/>
    <cellStyle name="20% - Accent4 2 2 2 3 2 2" xfId="2805"/>
    <cellStyle name="20% - Accent4 2 2 2 3 3" xfId="2806"/>
    <cellStyle name="20% - Accent4 2 2 2 4" xfId="227"/>
    <cellStyle name="20% - Accent4 2 2 2 4 2" xfId="2807"/>
    <cellStyle name="20% - Accent4 2 2 2 5" xfId="228"/>
    <cellStyle name="20% - Accent4 2 2 2 6" xfId="2808"/>
    <cellStyle name="20% - Accent4 2 2 2 7" xfId="2809"/>
    <cellStyle name="20% - Accent4 2 2 3" xfId="229"/>
    <cellStyle name="20% - Accent4 2 2 3 2" xfId="2810"/>
    <cellStyle name="20% - Accent4 2 2 3 2 2" xfId="2811"/>
    <cellStyle name="20% - Accent4 2 2 3 2 2 2" xfId="2812"/>
    <cellStyle name="20% - Accent4 2 2 3 2 3" xfId="2813"/>
    <cellStyle name="20% - Accent4 2 2 3 3" xfId="2814"/>
    <cellStyle name="20% - Accent4 2 2 3 3 2" xfId="2815"/>
    <cellStyle name="20% - Accent4 2 2 3 4" xfId="2816"/>
    <cellStyle name="20% - Accent4 2 2 3 5" xfId="2817"/>
    <cellStyle name="20% - Accent4 2 2 3 6" xfId="2818"/>
    <cellStyle name="20% - Accent4 2 2 4" xfId="230"/>
    <cellStyle name="20% - Accent4 2 2 4 2" xfId="2819"/>
    <cellStyle name="20% - Accent4 2 2 4 2 2" xfId="2820"/>
    <cellStyle name="20% - Accent4 2 2 4 3" xfId="2821"/>
    <cellStyle name="20% - Accent4 2 2 4 4" xfId="2822"/>
    <cellStyle name="20% - Accent4 2 2 5" xfId="231"/>
    <cellStyle name="20% - Accent4 2 2 5 2" xfId="2823"/>
    <cellStyle name="20% - Accent4 2 2 5 3" xfId="2824"/>
    <cellStyle name="20% - Accent4 2 2 6" xfId="2825"/>
    <cellStyle name="20% - Accent4 2 2 6 2" xfId="2826"/>
    <cellStyle name="20% - Accent4 2 2 7" xfId="2827"/>
    <cellStyle name="20% - Accent4 2 2 8" xfId="2828"/>
    <cellStyle name="20% - Accent4 2 2 9" xfId="2829"/>
    <cellStyle name="20% - Accent4 2 3" xfId="232"/>
    <cellStyle name="20% - Accent4 2 3 2" xfId="2830"/>
    <cellStyle name="20% - Accent4 2 3 2 2" xfId="2831"/>
    <cellStyle name="20% - Accent4 2 3 2 2 2" xfId="2832"/>
    <cellStyle name="20% - Accent4 2 3 2 2 2 2" xfId="2833"/>
    <cellStyle name="20% - Accent4 2 3 2 2 3" xfId="2834"/>
    <cellStyle name="20% - Accent4 2 3 2 2 4" xfId="2835"/>
    <cellStyle name="20% - Accent4 2 3 2 3" xfId="2836"/>
    <cellStyle name="20% - Accent4 2 3 2 3 2" xfId="2837"/>
    <cellStyle name="20% - Accent4 2 3 2 4" xfId="2838"/>
    <cellStyle name="20% - Accent4 2 3 2 5" xfId="2839"/>
    <cellStyle name="20% - Accent4 2 3 3" xfId="2840"/>
    <cellStyle name="20% - Accent4 2 3 3 2" xfId="2841"/>
    <cellStyle name="20% - Accent4 2 3 3 2 2" xfId="2842"/>
    <cellStyle name="20% - Accent4 2 3 3 3" xfId="2843"/>
    <cellStyle name="20% - Accent4 2 3 3 4" xfId="2844"/>
    <cellStyle name="20% - Accent4 2 3 4" xfId="2845"/>
    <cellStyle name="20% - Accent4 2 3 4 2" xfId="2846"/>
    <cellStyle name="20% - Accent4 2 3 5" xfId="2847"/>
    <cellStyle name="20% - Accent4 2 3 6" xfId="2848"/>
    <cellStyle name="20% - Accent4 2 3 7" xfId="2849"/>
    <cellStyle name="20% - Accent4 2 4" xfId="233"/>
    <cellStyle name="20% - Accent4 2 4 2" xfId="2850"/>
    <cellStyle name="20% - Accent4 2 4 2 2" xfId="2851"/>
    <cellStyle name="20% - Accent4 2 4 2 2 2" xfId="2852"/>
    <cellStyle name="20% - Accent4 2 4 2 2 2 2" xfId="2853"/>
    <cellStyle name="20% - Accent4 2 4 2 2 3" xfId="2854"/>
    <cellStyle name="20% - Accent4 2 4 2 2 4" xfId="2855"/>
    <cellStyle name="20% - Accent4 2 4 2 3" xfId="2856"/>
    <cellStyle name="20% - Accent4 2 4 2 3 2" xfId="2857"/>
    <cellStyle name="20% - Accent4 2 4 2 4" xfId="2858"/>
    <cellStyle name="20% - Accent4 2 4 2 5" xfId="2859"/>
    <cellStyle name="20% - Accent4 2 4 3" xfId="2860"/>
    <cellStyle name="20% - Accent4 2 4 3 2" xfId="2861"/>
    <cellStyle name="20% - Accent4 2 4 3 2 2" xfId="2862"/>
    <cellStyle name="20% - Accent4 2 4 3 3" xfId="2863"/>
    <cellStyle name="20% - Accent4 2 4 3 4" xfId="2864"/>
    <cellStyle name="20% - Accent4 2 4 4" xfId="2865"/>
    <cellStyle name="20% - Accent4 2 4 4 2" xfId="2866"/>
    <cellStyle name="20% - Accent4 2 4 5" xfId="2867"/>
    <cellStyle name="20% - Accent4 2 4 6" xfId="2868"/>
    <cellStyle name="20% - Accent4 2 4 7" xfId="2869"/>
    <cellStyle name="20% - Accent4 2 5" xfId="234"/>
    <cellStyle name="20% - Accent4 2 5 2" xfId="2870"/>
    <cellStyle name="20% - Accent4 2 5 2 2" xfId="2871"/>
    <cellStyle name="20% - Accent4 2 5 2 2 2" xfId="2872"/>
    <cellStyle name="20% - Accent4 2 5 2 3" xfId="2873"/>
    <cellStyle name="20% - Accent4 2 5 2 4" xfId="2874"/>
    <cellStyle name="20% - Accent4 2 5 3" xfId="2875"/>
    <cellStyle name="20% - Accent4 2 5 3 2" xfId="2876"/>
    <cellStyle name="20% - Accent4 2 5 4" xfId="2877"/>
    <cellStyle name="20% - Accent4 2 5 5" xfId="2878"/>
    <cellStyle name="20% - Accent4 2 5 6" xfId="2879"/>
    <cellStyle name="20% - Accent4 2 6" xfId="235"/>
    <cellStyle name="20% - Accent4 2 6 2" xfId="2880"/>
    <cellStyle name="20% - Accent4 2 6 2 2" xfId="2881"/>
    <cellStyle name="20% - Accent4 2 6 3" xfId="2882"/>
    <cellStyle name="20% - Accent4 2 6 4" xfId="2883"/>
    <cellStyle name="20% - Accent4 2 6 5" xfId="2884"/>
    <cellStyle name="20% - Accent4 2 7" xfId="236"/>
    <cellStyle name="20% - Accent4 2 7 2" xfId="2885"/>
    <cellStyle name="20% - Accent4 2 7 3" xfId="2886"/>
    <cellStyle name="20% - Accent4 2 7 4" xfId="2887"/>
    <cellStyle name="20% - Accent4 2 8" xfId="237"/>
    <cellStyle name="20% - Accent4 2 8 2" xfId="2888"/>
    <cellStyle name="20% - Accent4 2 8 3" xfId="2889"/>
    <cellStyle name="20% - Accent4 2 9" xfId="238"/>
    <cellStyle name="20% - Accent4 2 9 2" xfId="2890"/>
    <cellStyle name="20% - Accent4 20" xfId="239"/>
    <cellStyle name="20% - Accent4 21" xfId="240"/>
    <cellStyle name="20% - Accent4 22" xfId="241"/>
    <cellStyle name="20% - Accent4 23" xfId="242"/>
    <cellStyle name="20% - Accent4 24" xfId="243"/>
    <cellStyle name="20% - Accent4 25" xfId="244"/>
    <cellStyle name="20% - Accent4 26" xfId="245"/>
    <cellStyle name="20% - Accent4 27" xfId="246"/>
    <cellStyle name="20% - Accent4 28" xfId="247"/>
    <cellStyle name="20% - Accent4 29" xfId="248"/>
    <cellStyle name="20% - Accent4 3" xfId="249"/>
    <cellStyle name="20% - Accent4 3 2" xfId="2891"/>
    <cellStyle name="20% - Accent4 3 2 2" xfId="2892"/>
    <cellStyle name="20% - Accent4 3 2 2 2" xfId="2893"/>
    <cellStyle name="20% - Accent4 3 2 2 2 2" xfId="2894"/>
    <cellStyle name="20% - Accent4 3 2 2 2 2 2" xfId="2895"/>
    <cellStyle name="20% - Accent4 3 2 2 2 2 2 2" xfId="2896"/>
    <cellStyle name="20% - Accent4 3 2 2 2 2 3" xfId="2897"/>
    <cellStyle name="20% - Accent4 3 2 2 2 3" xfId="2898"/>
    <cellStyle name="20% - Accent4 3 2 2 2 3 2" xfId="2899"/>
    <cellStyle name="20% - Accent4 3 2 2 2 4" xfId="2900"/>
    <cellStyle name="20% - Accent4 3 2 2 2 5" xfId="2901"/>
    <cellStyle name="20% - Accent4 3 2 2 3" xfId="2902"/>
    <cellStyle name="20% - Accent4 3 2 2 3 2" xfId="2903"/>
    <cellStyle name="20% - Accent4 3 2 2 3 2 2" xfId="2904"/>
    <cellStyle name="20% - Accent4 3 2 2 3 3" xfId="2905"/>
    <cellStyle name="20% - Accent4 3 2 2 4" xfId="2906"/>
    <cellStyle name="20% - Accent4 3 2 2 4 2" xfId="2907"/>
    <cellStyle name="20% - Accent4 3 2 2 5" xfId="2908"/>
    <cellStyle name="20% - Accent4 3 2 2 6" xfId="2909"/>
    <cellStyle name="20% - Accent4 3 2 2 7" xfId="2910"/>
    <cellStyle name="20% - Accent4 3 2 3" xfId="2911"/>
    <cellStyle name="20% - Accent4 3 2 3 2" xfId="2912"/>
    <cellStyle name="20% - Accent4 3 2 3 2 2" xfId="2913"/>
    <cellStyle name="20% - Accent4 3 2 3 2 2 2" xfId="2914"/>
    <cellStyle name="20% - Accent4 3 2 3 2 3" xfId="2915"/>
    <cellStyle name="20% - Accent4 3 2 3 3" xfId="2916"/>
    <cellStyle name="20% - Accent4 3 2 3 3 2" xfId="2917"/>
    <cellStyle name="20% - Accent4 3 2 3 4" xfId="2918"/>
    <cellStyle name="20% - Accent4 3 2 3 5" xfId="2919"/>
    <cellStyle name="20% - Accent4 3 2 4" xfId="2920"/>
    <cellStyle name="20% - Accent4 3 2 4 2" xfId="2921"/>
    <cellStyle name="20% - Accent4 3 2 4 2 2" xfId="2922"/>
    <cellStyle name="20% - Accent4 3 2 4 3" xfId="2923"/>
    <cellStyle name="20% - Accent4 3 2 4 4" xfId="2924"/>
    <cellStyle name="20% - Accent4 3 2 5" xfId="2925"/>
    <cellStyle name="20% - Accent4 3 2 5 2" xfId="2926"/>
    <cellStyle name="20% - Accent4 3 2 6" xfId="2927"/>
    <cellStyle name="20% - Accent4 3 2 7" xfId="2928"/>
    <cellStyle name="20% - Accent4 3 2 8" xfId="2929"/>
    <cellStyle name="20% - Accent4 3 2 9" xfId="2930"/>
    <cellStyle name="20% - Accent4 3 3" xfId="2931"/>
    <cellStyle name="20% - Accent4 3 3 2" xfId="2932"/>
    <cellStyle name="20% - Accent4 3 3 2 2" xfId="2933"/>
    <cellStyle name="20% - Accent4 3 3 2 2 2" xfId="2934"/>
    <cellStyle name="20% - Accent4 3 3 2 2 2 2" xfId="2935"/>
    <cellStyle name="20% - Accent4 3 3 2 2 3" xfId="2936"/>
    <cellStyle name="20% - Accent4 3 3 2 2 4" xfId="2937"/>
    <cellStyle name="20% - Accent4 3 3 2 3" xfId="2938"/>
    <cellStyle name="20% - Accent4 3 3 2 3 2" xfId="2939"/>
    <cellStyle name="20% - Accent4 3 3 2 4" xfId="2940"/>
    <cellStyle name="20% - Accent4 3 3 2 5" xfId="2941"/>
    <cellStyle name="20% - Accent4 3 3 3" xfId="2942"/>
    <cellStyle name="20% - Accent4 3 3 3 2" xfId="2943"/>
    <cellStyle name="20% - Accent4 3 3 3 2 2" xfId="2944"/>
    <cellStyle name="20% - Accent4 3 3 3 3" xfId="2945"/>
    <cellStyle name="20% - Accent4 3 3 3 4" xfId="2946"/>
    <cellStyle name="20% - Accent4 3 3 4" xfId="2947"/>
    <cellStyle name="20% - Accent4 3 3 4 2" xfId="2948"/>
    <cellStyle name="20% - Accent4 3 3 4 3" xfId="2949"/>
    <cellStyle name="20% - Accent4 3 3 4 4" xfId="2950"/>
    <cellStyle name="20% - Accent4 3 3 5" xfId="2951"/>
    <cellStyle name="20% - Accent4 3 3 5 2" xfId="2952"/>
    <cellStyle name="20% - Accent4 3 3 6" xfId="2953"/>
    <cellStyle name="20% - Accent4 3 3 7" xfId="2954"/>
    <cellStyle name="20% - Accent4 3 3 8" xfId="2955"/>
    <cellStyle name="20% - Accent4 3 3 9" xfId="2956"/>
    <cellStyle name="20% - Accent4 3 4" xfId="2957"/>
    <cellStyle name="20% - Accent4 3 4 2" xfId="2958"/>
    <cellStyle name="20% - Accent4 3 4 2 2" xfId="2959"/>
    <cellStyle name="20% - Accent4 3 4 2 2 2" xfId="2960"/>
    <cellStyle name="20% - Accent4 3 4 2 2 2 2" xfId="2961"/>
    <cellStyle name="20% - Accent4 3 4 2 2 3" xfId="2962"/>
    <cellStyle name="20% - Accent4 3 4 2 2 4" xfId="2963"/>
    <cellStyle name="20% - Accent4 3 4 2 3" xfId="2964"/>
    <cellStyle name="20% - Accent4 3 4 2 3 2" xfId="2965"/>
    <cellStyle name="20% - Accent4 3 4 2 4" xfId="2966"/>
    <cellStyle name="20% - Accent4 3 4 2 5" xfId="2967"/>
    <cellStyle name="20% - Accent4 3 4 3" xfId="2968"/>
    <cellStyle name="20% - Accent4 3 4 3 2" xfId="2969"/>
    <cellStyle name="20% - Accent4 3 4 3 2 2" xfId="2970"/>
    <cellStyle name="20% - Accent4 3 4 3 3" xfId="2971"/>
    <cellStyle name="20% - Accent4 3 4 3 4" xfId="2972"/>
    <cellStyle name="20% - Accent4 3 4 4" xfId="2973"/>
    <cellStyle name="20% - Accent4 3 4 4 2" xfId="2974"/>
    <cellStyle name="20% - Accent4 3 4 4 3" xfId="2975"/>
    <cellStyle name="20% - Accent4 3 4 4 4" xfId="2976"/>
    <cellStyle name="20% - Accent4 3 4 5" xfId="2977"/>
    <cellStyle name="20% - Accent4 3 4 5 2" xfId="2978"/>
    <cellStyle name="20% - Accent4 3 4 6" xfId="2979"/>
    <cellStyle name="20% - Accent4 3 4 7" xfId="2980"/>
    <cellStyle name="20% - Accent4 3 4 8" xfId="2981"/>
    <cellStyle name="20% - Accent4 3 4 9" xfId="2982"/>
    <cellStyle name="20% - Accent4 3 5" xfId="2983"/>
    <cellStyle name="20% - Accent4 3 5 2" xfId="2984"/>
    <cellStyle name="20% - Accent4 3 5 2 2" xfId="2985"/>
    <cellStyle name="20% - Accent4 3 5 2 2 2" xfId="2986"/>
    <cellStyle name="20% - Accent4 3 5 2 3" xfId="2987"/>
    <cellStyle name="20% - Accent4 3 5 2 4" xfId="2988"/>
    <cellStyle name="20% - Accent4 3 5 3" xfId="2989"/>
    <cellStyle name="20% - Accent4 3 5 3 2" xfId="2990"/>
    <cellStyle name="20% - Accent4 3 5 4" xfId="2991"/>
    <cellStyle name="20% - Accent4 3 5 5" xfId="2992"/>
    <cellStyle name="20% - Accent4 3 6" xfId="2993"/>
    <cellStyle name="20% - Accent4 3 6 2" xfId="2994"/>
    <cellStyle name="20% - Accent4 3 6 2 2" xfId="2995"/>
    <cellStyle name="20% - Accent4 3 6 3" xfId="2996"/>
    <cellStyle name="20% - Accent4 3 6 4" xfId="2997"/>
    <cellStyle name="20% - Accent4 3 7" xfId="2998"/>
    <cellStyle name="20% - Accent4 3 7 2" xfId="2999"/>
    <cellStyle name="20% - Accent4 3 7 3" xfId="3000"/>
    <cellStyle name="20% - Accent4 3 7 4" xfId="3001"/>
    <cellStyle name="20% - Accent4 3 8" xfId="3002"/>
    <cellStyle name="20% - Accent4 3 9" xfId="3003"/>
    <cellStyle name="20% - Accent4 30" xfId="250"/>
    <cellStyle name="20% - Accent4 31" xfId="251"/>
    <cellStyle name="20% - Accent4 32" xfId="252"/>
    <cellStyle name="20% - Accent4 33" xfId="253"/>
    <cellStyle name="20% - Accent4 34" xfId="254"/>
    <cellStyle name="20% - Accent4 35" xfId="255"/>
    <cellStyle name="20% - Accent4 4" xfId="256"/>
    <cellStyle name="20% - Accent4 4 2" xfId="3004"/>
    <cellStyle name="20% - Accent4 4 2 2" xfId="3005"/>
    <cellStyle name="20% - Accent4 4 2 2 2" xfId="3006"/>
    <cellStyle name="20% - Accent4 4 2 2 2 2" xfId="3007"/>
    <cellStyle name="20% - Accent4 4 2 2 2 2 2" xfId="3008"/>
    <cellStyle name="20% - Accent4 4 2 2 2 2 2 2" xfId="3009"/>
    <cellStyle name="20% - Accent4 4 2 2 2 2 3" xfId="3010"/>
    <cellStyle name="20% - Accent4 4 2 2 2 3" xfId="3011"/>
    <cellStyle name="20% - Accent4 4 2 2 2 3 2" xfId="3012"/>
    <cellStyle name="20% - Accent4 4 2 2 2 4" xfId="3013"/>
    <cellStyle name="20% - Accent4 4 2 2 2 5" xfId="3014"/>
    <cellStyle name="20% - Accent4 4 2 2 3" xfId="3015"/>
    <cellStyle name="20% - Accent4 4 2 2 3 2" xfId="3016"/>
    <cellStyle name="20% - Accent4 4 2 2 3 2 2" xfId="3017"/>
    <cellStyle name="20% - Accent4 4 2 2 3 3" xfId="3018"/>
    <cellStyle name="20% - Accent4 4 2 2 4" xfId="3019"/>
    <cellStyle name="20% - Accent4 4 2 2 4 2" xfId="3020"/>
    <cellStyle name="20% - Accent4 4 2 2 5" xfId="3021"/>
    <cellStyle name="20% - Accent4 4 2 2 6" xfId="3022"/>
    <cellStyle name="20% - Accent4 4 2 3" xfId="3023"/>
    <cellStyle name="20% - Accent4 4 2 3 2" xfId="3024"/>
    <cellStyle name="20% - Accent4 4 2 3 2 2" xfId="3025"/>
    <cellStyle name="20% - Accent4 4 2 3 2 2 2" xfId="3026"/>
    <cellStyle name="20% - Accent4 4 2 3 2 3" xfId="3027"/>
    <cellStyle name="20% - Accent4 4 2 3 3" xfId="3028"/>
    <cellStyle name="20% - Accent4 4 2 3 3 2" xfId="3029"/>
    <cellStyle name="20% - Accent4 4 2 3 4" xfId="3030"/>
    <cellStyle name="20% - Accent4 4 2 3 5" xfId="3031"/>
    <cellStyle name="20% - Accent4 4 2 4" xfId="3032"/>
    <cellStyle name="20% - Accent4 4 2 4 2" xfId="3033"/>
    <cellStyle name="20% - Accent4 4 2 4 2 2" xfId="3034"/>
    <cellStyle name="20% - Accent4 4 2 4 3" xfId="3035"/>
    <cellStyle name="20% - Accent4 4 2 4 4" xfId="3036"/>
    <cellStyle name="20% - Accent4 4 2 5" xfId="3037"/>
    <cellStyle name="20% - Accent4 4 2 5 2" xfId="3038"/>
    <cellStyle name="20% - Accent4 4 2 6" xfId="3039"/>
    <cellStyle name="20% - Accent4 4 2 7" xfId="3040"/>
    <cellStyle name="20% - Accent4 4 2 8" xfId="3041"/>
    <cellStyle name="20% - Accent4 4 2 9" xfId="3042"/>
    <cellStyle name="20% - Accent4 4 3" xfId="3043"/>
    <cellStyle name="20% - Accent4 4 3 2" xfId="3044"/>
    <cellStyle name="20% - Accent4 4 3 2 2" xfId="3045"/>
    <cellStyle name="20% - Accent4 4 3 2 2 2" xfId="3046"/>
    <cellStyle name="20% - Accent4 4 3 2 2 2 2" xfId="3047"/>
    <cellStyle name="20% - Accent4 4 3 2 2 3" xfId="3048"/>
    <cellStyle name="20% - Accent4 4 3 2 2 4" xfId="3049"/>
    <cellStyle name="20% - Accent4 4 3 2 3" xfId="3050"/>
    <cellStyle name="20% - Accent4 4 3 2 3 2" xfId="3051"/>
    <cellStyle name="20% - Accent4 4 3 2 4" xfId="3052"/>
    <cellStyle name="20% - Accent4 4 3 2 5" xfId="3053"/>
    <cellStyle name="20% - Accent4 4 3 3" xfId="3054"/>
    <cellStyle name="20% - Accent4 4 3 3 2" xfId="3055"/>
    <cellStyle name="20% - Accent4 4 3 3 2 2" xfId="3056"/>
    <cellStyle name="20% - Accent4 4 3 3 3" xfId="3057"/>
    <cellStyle name="20% - Accent4 4 3 3 4" xfId="3058"/>
    <cellStyle name="20% - Accent4 4 3 4" xfId="3059"/>
    <cellStyle name="20% - Accent4 4 3 4 2" xfId="3060"/>
    <cellStyle name="20% - Accent4 4 3 4 3" xfId="3061"/>
    <cellStyle name="20% - Accent4 4 3 4 4" xfId="3062"/>
    <cellStyle name="20% - Accent4 4 3 5" xfId="3063"/>
    <cellStyle name="20% - Accent4 4 3 5 2" xfId="3064"/>
    <cellStyle name="20% - Accent4 4 3 6" xfId="3065"/>
    <cellStyle name="20% - Accent4 4 3 7" xfId="3066"/>
    <cellStyle name="20% - Accent4 4 3 8" xfId="3067"/>
    <cellStyle name="20% - Accent4 4 3 9" xfId="3068"/>
    <cellStyle name="20% - Accent4 4 4" xfId="3069"/>
    <cellStyle name="20% - Accent4 4 4 2" xfId="3070"/>
    <cellStyle name="20% - Accent4 4 4 2 2" xfId="3071"/>
    <cellStyle name="20% - Accent4 4 4 2 2 2" xfId="3072"/>
    <cellStyle name="20% - Accent4 4 4 2 2 2 2" xfId="3073"/>
    <cellStyle name="20% - Accent4 4 4 2 2 3" xfId="3074"/>
    <cellStyle name="20% - Accent4 4 4 2 2 4" xfId="3075"/>
    <cellStyle name="20% - Accent4 4 4 2 3" xfId="3076"/>
    <cellStyle name="20% - Accent4 4 4 2 3 2" xfId="3077"/>
    <cellStyle name="20% - Accent4 4 4 2 4" xfId="3078"/>
    <cellStyle name="20% - Accent4 4 4 2 5" xfId="3079"/>
    <cellStyle name="20% - Accent4 4 4 3" xfId="3080"/>
    <cellStyle name="20% - Accent4 4 4 3 2" xfId="3081"/>
    <cellStyle name="20% - Accent4 4 4 3 2 2" xfId="3082"/>
    <cellStyle name="20% - Accent4 4 4 3 3" xfId="3083"/>
    <cellStyle name="20% - Accent4 4 4 3 4" xfId="3084"/>
    <cellStyle name="20% - Accent4 4 4 4" xfId="3085"/>
    <cellStyle name="20% - Accent4 4 4 4 2" xfId="3086"/>
    <cellStyle name="20% - Accent4 4 4 5" xfId="3087"/>
    <cellStyle name="20% - Accent4 4 4 6" xfId="3088"/>
    <cellStyle name="20% - Accent4 4 5" xfId="3089"/>
    <cellStyle name="20% - Accent4 4 5 2" xfId="3090"/>
    <cellStyle name="20% - Accent4 4 5 2 2" xfId="3091"/>
    <cellStyle name="20% - Accent4 4 5 2 2 2" xfId="3092"/>
    <cellStyle name="20% - Accent4 4 5 2 3" xfId="3093"/>
    <cellStyle name="20% - Accent4 4 5 2 4" xfId="3094"/>
    <cellStyle name="20% - Accent4 4 5 3" xfId="3095"/>
    <cellStyle name="20% - Accent4 4 5 3 2" xfId="3096"/>
    <cellStyle name="20% - Accent4 4 5 4" xfId="3097"/>
    <cellStyle name="20% - Accent4 4 5 5" xfId="3098"/>
    <cellStyle name="20% - Accent4 4 6" xfId="3099"/>
    <cellStyle name="20% - Accent4 4 6 2" xfId="3100"/>
    <cellStyle name="20% - Accent4 4 6 2 2" xfId="3101"/>
    <cellStyle name="20% - Accent4 4 6 3" xfId="3102"/>
    <cellStyle name="20% - Accent4 4 6 4" xfId="3103"/>
    <cellStyle name="20% - Accent4 4 7" xfId="3104"/>
    <cellStyle name="20% - Accent4 4 7 2" xfId="3105"/>
    <cellStyle name="20% - Accent4 4 7 3" xfId="3106"/>
    <cellStyle name="20% - Accent4 4 7 4" xfId="3107"/>
    <cellStyle name="20% - Accent4 4 8" xfId="3108"/>
    <cellStyle name="20% - Accent4 4 9" xfId="3109"/>
    <cellStyle name="20% - Accent4 5" xfId="257"/>
    <cellStyle name="20% - Accent4 5 2" xfId="3110"/>
    <cellStyle name="20% - Accent4 5 2 2" xfId="3111"/>
    <cellStyle name="20% - Accent4 5 2 2 2" xfId="3112"/>
    <cellStyle name="20% - Accent4 5 2 2 2 2" xfId="3113"/>
    <cellStyle name="20% - Accent4 5 2 2 2 2 2" xfId="3114"/>
    <cellStyle name="20% - Accent4 5 2 2 2 3" xfId="3115"/>
    <cellStyle name="20% - Accent4 5 2 2 3" xfId="3116"/>
    <cellStyle name="20% - Accent4 5 2 2 3 2" xfId="3117"/>
    <cellStyle name="20% - Accent4 5 2 2 4" xfId="3118"/>
    <cellStyle name="20% - Accent4 5 2 3" xfId="3119"/>
    <cellStyle name="20% - Accent4 5 2 3 2" xfId="3120"/>
    <cellStyle name="20% - Accent4 5 2 3 2 2" xfId="3121"/>
    <cellStyle name="20% - Accent4 5 2 3 3" xfId="3122"/>
    <cellStyle name="20% - Accent4 5 2 4" xfId="3123"/>
    <cellStyle name="20% - Accent4 5 2 4 2" xfId="3124"/>
    <cellStyle name="20% - Accent4 5 2 5" xfId="3125"/>
    <cellStyle name="20% - Accent4 5 2 6" xfId="3126"/>
    <cellStyle name="20% - Accent4 5 3" xfId="3127"/>
    <cellStyle name="20% - Accent4 5 3 2" xfId="3128"/>
    <cellStyle name="20% - Accent4 5 3 2 2" xfId="3129"/>
    <cellStyle name="20% - Accent4 5 3 2 2 2" xfId="3130"/>
    <cellStyle name="20% - Accent4 5 3 2 3" xfId="3131"/>
    <cellStyle name="20% - Accent4 5 3 3" xfId="3132"/>
    <cellStyle name="20% - Accent4 5 3 3 2" xfId="3133"/>
    <cellStyle name="20% - Accent4 5 3 4" xfId="3134"/>
    <cellStyle name="20% - Accent4 5 4" xfId="3135"/>
    <cellStyle name="20% - Accent4 5 4 2" xfId="3136"/>
    <cellStyle name="20% - Accent4 5 4 2 2" xfId="3137"/>
    <cellStyle name="20% - Accent4 5 4 3" xfId="3138"/>
    <cellStyle name="20% - Accent4 5 5" xfId="3139"/>
    <cellStyle name="20% - Accent4 5 5 2" xfId="3140"/>
    <cellStyle name="20% - Accent4 5 6" xfId="3141"/>
    <cellStyle name="20% - Accent4 5 7" xfId="3142"/>
    <cellStyle name="20% - Accent4 5 8" xfId="3143"/>
    <cellStyle name="20% - Accent4 6" xfId="258"/>
    <cellStyle name="20% - Accent4 6 2" xfId="3144"/>
    <cellStyle name="20% - Accent4 6 2 2" xfId="3145"/>
    <cellStyle name="20% - Accent4 6 2 2 2" xfId="3146"/>
    <cellStyle name="20% - Accent4 6 2 2 2 2" xfId="3147"/>
    <cellStyle name="20% - Accent4 6 2 2 3" xfId="3148"/>
    <cellStyle name="20% - Accent4 6 2 3" xfId="3149"/>
    <cellStyle name="20% - Accent4 6 2 3 2" xfId="3150"/>
    <cellStyle name="20% - Accent4 6 2 4" xfId="3151"/>
    <cellStyle name="20% - Accent4 6 2 5" xfId="3152"/>
    <cellStyle name="20% - Accent4 6 3" xfId="3153"/>
    <cellStyle name="20% - Accent4 6 3 2" xfId="3154"/>
    <cellStyle name="20% - Accent4 6 3 2 2" xfId="3155"/>
    <cellStyle name="20% - Accent4 6 3 3" xfId="3156"/>
    <cellStyle name="20% - Accent4 6 4" xfId="3157"/>
    <cellStyle name="20% - Accent4 6 4 2" xfId="3158"/>
    <cellStyle name="20% - Accent4 6 5" xfId="3159"/>
    <cellStyle name="20% - Accent4 6 6" xfId="3160"/>
    <cellStyle name="20% - Accent4 7" xfId="259"/>
    <cellStyle name="20% - Accent4 7 2" xfId="3161"/>
    <cellStyle name="20% - Accent4 7 2 2" xfId="3162"/>
    <cellStyle name="20% - Accent4 7 2 2 2" xfId="3163"/>
    <cellStyle name="20% - Accent4 7 2 3" xfId="3164"/>
    <cellStyle name="20% - Accent4 7 3" xfId="3165"/>
    <cellStyle name="20% - Accent4 7 3 2" xfId="3166"/>
    <cellStyle name="20% - Accent4 7 4" xfId="3167"/>
    <cellStyle name="20% - Accent4 7 5" xfId="3168"/>
    <cellStyle name="20% - Accent4 8" xfId="260"/>
    <cellStyle name="20% - Accent4 8 2" xfId="3169"/>
    <cellStyle name="20% - Accent4 8 2 2" xfId="3170"/>
    <cellStyle name="20% - Accent4 8 2 2 2" xfId="3171"/>
    <cellStyle name="20% - Accent4 8 2 3" xfId="3172"/>
    <cellStyle name="20% - Accent4 8 3" xfId="3173"/>
    <cellStyle name="20% - Accent4 8 3 2" xfId="3174"/>
    <cellStyle name="20% - Accent4 8 4" xfId="3175"/>
    <cellStyle name="20% - Accent4 8 5" xfId="3176"/>
    <cellStyle name="20% - Accent4 9" xfId="261"/>
    <cellStyle name="20% - Accent4 9 2" xfId="3177"/>
    <cellStyle name="20% - Accent4 9 2 2" xfId="3178"/>
    <cellStyle name="20% - Accent4 9 2 2 2" xfId="3179"/>
    <cellStyle name="20% - Accent4 9 2 3" xfId="3180"/>
    <cellStyle name="20% - Accent4 9 3" xfId="3181"/>
    <cellStyle name="20% - Accent4 9 3 2" xfId="3182"/>
    <cellStyle name="20% - Accent4 9 4" xfId="3183"/>
    <cellStyle name="20% - Accent4 9 5" xfId="3184"/>
    <cellStyle name="20% - Accent5 10" xfId="262"/>
    <cellStyle name="20% - Accent5 10 2" xfId="3185"/>
    <cellStyle name="20% - Accent5 10 2 2" xfId="3186"/>
    <cellStyle name="20% - Accent5 10 3" xfId="3187"/>
    <cellStyle name="20% - Accent5 10 4" xfId="3188"/>
    <cellStyle name="20% - Accent5 11" xfId="263"/>
    <cellStyle name="20% - Accent5 11 2" xfId="3189"/>
    <cellStyle name="20% - Accent5 11 2 2" xfId="3190"/>
    <cellStyle name="20% - Accent5 11 3" xfId="3191"/>
    <cellStyle name="20% - Accent5 11 4" xfId="3192"/>
    <cellStyle name="20% - Accent5 12" xfId="264"/>
    <cellStyle name="20% - Accent5 12 2" xfId="3193"/>
    <cellStyle name="20% - Accent5 12 3" xfId="3194"/>
    <cellStyle name="20% - Accent5 13" xfId="265"/>
    <cellStyle name="20% - Accent5 13 2" xfId="3195"/>
    <cellStyle name="20% - Accent5 14" xfId="266"/>
    <cellStyle name="20% - Accent5 15" xfId="267"/>
    <cellStyle name="20% - Accent5 15 2" xfId="268"/>
    <cellStyle name="20% - Accent5 15 3" xfId="269"/>
    <cellStyle name="20% - Accent5 15 4" xfId="270"/>
    <cellStyle name="20% - Accent5 15 5" xfId="271"/>
    <cellStyle name="20% - Accent5 16" xfId="272"/>
    <cellStyle name="20% - Accent5 16 2" xfId="273"/>
    <cellStyle name="20% - Accent5 16 3" xfId="274"/>
    <cellStyle name="20% - Accent5 16 4" xfId="275"/>
    <cellStyle name="20% - Accent5 16 5" xfId="276"/>
    <cellStyle name="20% - Accent5 17" xfId="277"/>
    <cellStyle name="20% - Accent5 17 2" xfId="278"/>
    <cellStyle name="20% - Accent5 17 3" xfId="279"/>
    <cellStyle name="20% - Accent5 17 4" xfId="280"/>
    <cellStyle name="20% - Accent5 17 5" xfId="281"/>
    <cellStyle name="20% - Accent5 18" xfId="282"/>
    <cellStyle name="20% - Accent5 19" xfId="283"/>
    <cellStyle name="20% - Accent5 2" xfId="284"/>
    <cellStyle name="20% - Accent5 2 2" xfId="285"/>
    <cellStyle name="20% - Accent5 2 2 2" xfId="286"/>
    <cellStyle name="20% - Accent5 2 2 2 2" xfId="287"/>
    <cellStyle name="20% - Accent5 2 2 2 2 2" xfId="3196"/>
    <cellStyle name="20% - Accent5 2 2 2 2 2 2" xfId="3197"/>
    <cellStyle name="20% - Accent5 2 2 2 2 2 2 2" xfId="3198"/>
    <cellStyle name="20% - Accent5 2 2 2 2 2 3" xfId="3199"/>
    <cellStyle name="20% - Accent5 2 2 2 2 3" xfId="3200"/>
    <cellStyle name="20% - Accent5 2 2 2 2 3 2" xfId="3201"/>
    <cellStyle name="20% - Accent5 2 2 2 2 4" xfId="3202"/>
    <cellStyle name="20% - Accent5 2 2 2 2 5" xfId="3203"/>
    <cellStyle name="20% - Accent5 2 2 2 3" xfId="288"/>
    <cellStyle name="20% - Accent5 2 2 2 3 2" xfId="3204"/>
    <cellStyle name="20% - Accent5 2 2 2 3 2 2" xfId="3205"/>
    <cellStyle name="20% - Accent5 2 2 2 3 3" xfId="3206"/>
    <cellStyle name="20% - Accent5 2 2 2 4" xfId="289"/>
    <cellStyle name="20% - Accent5 2 2 2 4 2" xfId="3207"/>
    <cellStyle name="20% - Accent5 2 2 2 5" xfId="290"/>
    <cellStyle name="20% - Accent5 2 2 2 6" xfId="3208"/>
    <cellStyle name="20% - Accent5 2 2 3" xfId="291"/>
    <cellStyle name="20% - Accent5 2 2 3 2" xfId="3209"/>
    <cellStyle name="20% - Accent5 2 2 3 2 2" xfId="3210"/>
    <cellStyle name="20% - Accent5 2 2 3 2 2 2" xfId="3211"/>
    <cellStyle name="20% - Accent5 2 2 3 2 3" xfId="3212"/>
    <cellStyle name="20% - Accent5 2 2 3 3" xfId="3213"/>
    <cellStyle name="20% - Accent5 2 2 3 3 2" xfId="3214"/>
    <cellStyle name="20% - Accent5 2 2 3 4" xfId="3215"/>
    <cellStyle name="20% - Accent5 2 2 3 5" xfId="3216"/>
    <cellStyle name="20% - Accent5 2 2 4" xfId="292"/>
    <cellStyle name="20% - Accent5 2 2 4 2" xfId="3217"/>
    <cellStyle name="20% - Accent5 2 2 4 2 2" xfId="3218"/>
    <cellStyle name="20% - Accent5 2 2 4 3" xfId="3219"/>
    <cellStyle name="20% - Accent5 2 2 5" xfId="293"/>
    <cellStyle name="20% - Accent5 2 2 5 2" xfId="3220"/>
    <cellStyle name="20% - Accent5 2 2 6" xfId="3221"/>
    <cellStyle name="20% - Accent5 2 2 7" xfId="3222"/>
    <cellStyle name="20% - Accent5 2 3" xfId="294"/>
    <cellStyle name="20% - Accent5 2 3 2" xfId="3223"/>
    <cellStyle name="20% - Accent5 2 3 2 2" xfId="3224"/>
    <cellStyle name="20% - Accent5 2 3 2 2 2" xfId="3225"/>
    <cellStyle name="20% - Accent5 2 3 2 2 2 2" xfId="3226"/>
    <cellStyle name="20% - Accent5 2 3 2 2 3" xfId="3227"/>
    <cellStyle name="20% - Accent5 2 3 2 3" xfId="3228"/>
    <cellStyle name="20% - Accent5 2 3 2 3 2" xfId="3229"/>
    <cellStyle name="20% - Accent5 2 3 2 4" xfId="3230"/>
    <cellStyle name="20% - Accent5 2 3 3" xfId="3231"/>
    <cellStyle name="20% - Accent5 2 3 3 2" xfId="3232"/>
    <cellStyle name="20% - Accent5 2 3 3 2 2" xfId="3233"/>
    <cellStyle name="20% - Accent5 2 3 3 3" xfId="3234"/>
    <cellStyle name="20% - Accent5 2 3 4" xfId="3235"/>
    <cellStyle name="20% - Accent5 2 3 4 2" xfId="3236"/>
    <cellStyle name="20% - Accent5 2 3 5" xfId="3237"/>
    <cellStyle name="20% - Accent5 2 3 6" xfId="3238"/>
    <cellStyle name="20% - Accent5 2 4" xfId="295"/>
    <cellStyle name="20% - Accent5 2 4 2" xfId="3239"/>
    <cellStyle name="20% - Accent5 2 4 2 2" xfId="3240"/>
    <cellStyle name="20% - Accent5 2 4 2 2 2" xfId="3241"/>
    <cellStyle name="20% - Accent5 2 4 2 3" xfId="3242"/>
    <cellStyle name="20% - Accent5 2 4 3" xfId="3243"/>
    <cellStyle name="20% - Accent5 2 4 3 2" xfId="3244"/>
    <cellStyle name="20% - Accent5 2 4 4" xfId="3245"/>
    <cellStyle name="20% - Accent5 2 4 5" xfId="3246"/>
    <cellStyle name="20% - Accent5 2 5" xfId="296"/>
    <cellStyle name="20% - Accent5 2 5 2" xfId="3247"/>
    <cellStyle name="20% - Accent5 2 5 2 2" xfId="3248"/>
    <cellStyle name="20% - Accent5 2 5 3" xfId="3249"/>
    <cellStyle name="20% - Accent5 2 5 4" xfId="3250"/>
    <cellStyle name="20% - Accent5 2 6" xfId="297"/>
    <cellStyle name="20% - Accent5 2 6 2" xfId="3251"/>
    <cellStyle name="20% - Accent5 2 6 3" xfId="3252"/>
    <cellStyle name="20% - Accent5 2 7" xfId="298"/>
    <cellStyle name="20% - Accent5 2 8" xfId="299"/>
    <cellStyle name="20% - Accent5 2 9" xfId="300"/>
    <cellStyle name="20% - Accent5 20" xfId="301"/>
    <cellStyle name="20% - Accent5 21" xfId="302"/>
    <cellStyle name="20% - Accent5 22" xfId="303"/>
    <cellStyle name="20% - Accent5 23" xfId="304"/>
    <cellStyle name="20% - Accent5 24" xfId="305"/>
    <cellStyle name="20% - Accent5 25" xfId="306"/>
    <cellStyle name="20% - Accent5 26" xfId="307"/>
    <cellStyle name="20% - Accent5 27" xfId="308"/>
    <cellStyle name="20% - Accent5 28" xfId="309"/>
    <cellStyle name="20% - Accent5 29" xfId="310"/>
    <cellStyle name="20% - Accent5 3" xfId="311"/>
    <cellStyle name="20% - Accent5 3 2" xfId="3253"/>
    <cellStyle name="20% - Accent5 3 2 2" xfId="3254"/>
    <cellStyle name="20% - Accent5 3 2 2 2" xfId="3255"/>
    <cellStyle name="20% - Accent5 3 2 2 2 2" xfId="3256"/>
    <cellStyle name="20% - Accent5 3 2 2 2 2 2" xfId="3257"/>
    <cellStyle name="20% - Accent5 3 2 2 2 2 2 2" xfId="3258"/>
    <cellStyle name="20% - Accent5 3 2 2 2 2 3" xfId="3259"/>
    <cellStyle name="20% - Accent5 3 2 2 2 3" xfId="3260"/>
    <cellStyle name="20% - Accent5 3 2 2 2 3 2" xfId="3261"/>
    <cellStyle name="20% - Accent5 3 2 2 2 4" xfId="3262"/>
    <cellStyle name="20% - Accent5 3 2 2 3" xfId="3263"/>
    <cellStyle name="20% - Accent5 3 2 2 3 2" xfId="3264"/>
    <cellStyle name="20% - Accent5 3 2 2 3 2 2" xfId="3265"/>
    <cellStyle name="20% - Accent5 3 2 2 3 3" xfId="3266"/>
    <cellStyle name="20% - Accent5 3 2 2 4" xfId="3267"/>
    <cellStyle name="20% - Accent5 3 2 2 4 2" xfId="3268"/>
    <cellStyle name="20% - Accent5 3 2 2 5" xfId="3269"/>
    <cellStyle name="20% - Accent5 3 2 2 6" xfId="3270"/>
    <cellStyle name="20% - Accent5 3 2 3" xfId="3271"/>
    <cellStyle name="20% - Accent5 3 2 3 2" xfId="3272"/>
    <cellStyle name="20% - Accent5 3 2 3 2 2" xfId="3273"/>
    <cellStyle name="20% - Accent5 3 2 3 2 2 2" xfId="3274"/>
    <cellStyle name="20% - Accent5 3 2 3 2 3" xfId="3275"/>
    <cellStyle name="20% - Accent5 3 2 3 3" xfId="3276"/>
    <cellStyle name="20% - Accent5 3 2 3 3 2" xfId="3277"/>
    <cellStyle name="20% - Accent5 3 2 3 4" xfId="3278"/>
    <cellStyle name="20% - Accent5 3 2 4" xfId="3279"/>
    <cellStyle name="20% - Accent5 3 2 4 2" xfId="3280"/>
    <cellStyle name="20% - Accent5 3 2 4 2 2" xfId="3281"/>
    <cellStyle name="20% - Accent5 3 2 4 3" xfId="3282"/>
    <cellStyle name="20% - Accent5 3 2 5" xfId="3283"/>
    <cellStyle name="20% - Accent5 3 2 5 2" xfId="3284"/>
    <cellStyle name="20% - Accent5 3 2 6" xfId="3285"/>
    <cellStyle name="20% - Accent5 3 2 7" xfId="3286"/>
    <cellStyle name="20% - Accent5 3 3" xfId="3287"/>
    <cellStyle name="20% - Accent5 3 3 2" xfId="3288"/>
    <cellStyle name="20% - Accent5 3 3 2 2" xfId="3289"/>
    <cellStyle name="20% - Accent5 3 3 2 2 2" xfId="3290"/>
    <cellStyle name="20% - Accent5 3 3 2 2 2 2" xfId="3291"/>
    <cellStyle name="20% - Accent5 3 3 2 2 3" xfId="3292"/>
    <cellStyle name="20% - Accent5 3 3 2 3" xfId="3293"/>
    <cellStyle name="20% - Accent5 3 3 2 3 2" xfId="3294"/>
    <cellStyle name="20% - Accent5 3 3 2 4" xfId="3295"/>
    <cellStyle name="20% - Accent5 3 3 3" xfId="3296"/>
    <cellStyle name="20% - Accent5 3 3 3 2" xfId="3297"/>
    <cellStyle name="20% - Accent5 3 3 3 2 2" xfId="3298"/>
    <cellStyle name="20% - Accent5 3 3 3 3" xfId="3299"/>
    <cellStyle name="20% - Accent5 3 3 4" xfId="3300"/>
    <cellStyle name="20% - Accent5 3 3 4 2" xfId="3301"/>
    <cellStyle name="20% - Accent5 3 3 5" xfId="3302"/>
    <cellStyle name="20% - Accent5 3 3 6" xfId="3303"/>
    <cellStyle name="20% - Accent5 3 4" xfId="3304"/>
    <cellStyle name="20% - Accent5 3 4 2" xfId="3305"/>
    <cellStyle name="20% - Accent5 3 4 2 2" xfId="3306"/>
    <cellStyle name="20% - Accent5 3 4 2 2 2" xfId="3307"/>
    <cellStyle name="20% - Accent5 3 4 2 3" xfId="3308"/>
    <cellStyle name="20% - Accent5 3 4 3" xfId="3309"/>
    <cellStyle name="20% - Accent5 3 4 3 2" xfId="3310"/>
    <cellStyle name="20% - Accent5 3 4 4" xfId="3311"/>
    <cellStyle name="20% - Accent5 3 4 5" xfId="3312"/>
    <cellStyle name="20% - Accent5 3 5" xfId="3313"/>
    <cellStyle name="20% - Accent5 3 5 2" xfId="3314"/>
    <cellStyle name="20% - Accent5 3 5 2 2" xfId="3315"/>
    <cellStyle name="20% - Accent5 3 5 3" xfId="3316"/>
    <cellStyle name="20% - Accent5 3 6" xfId="3317"/>
    <cellStyle name="20% - Accent5 3 6 2" xfId="3318"/>
    <cellStyle name="20% - Accent5 3 7" xfId="3319"/>
    <cellStyle name="20% - Accent5 3 8" xfId="3320"/>
    <cellStyle name="20% - Accent5 3 9" xfId="3321"/>
    <cellStyle name="20% - Accent5 30" xfId="312"/>
    <cellStyle name="20% - Accent5 31" xfId="313"/>
    <cellStyle name="20% - Accent5 32" xfId="314"/>
    <cellStyle name="20% - Accent5 33" xfId="315"/>
    <cellStyle name="20% - Accent5 34" xfId="316"/>
    <cellStyle name="20% - Accent5 35" xfId="317"/>
    <cellStyle name="20% - Accent5 4" xfId="318"/>
    <cellStyle name="20% - Accent5 4 2" xfId="3322"/>
    <cellStyle name="20% - Accent5 4 2 2" xfId="3323"/>
    <cellStyle name="20% - Accent5 4 2 2 2" xfId="3324"/>
    <cellStyle name="20% - Accent5 4 2 2 2 2" xfId="3325"/>
    <cellStyle name="20% - Accent5 4 2 2 2 2 2" xfId="3326"/>
    <cellStyle name="20% - Accent5 4 2 2 2 3" xfId="3327"/>
    <cellStyle name="20% - Accent5 4 2 2 3" xfId="3328"/>
    <cellStyle name="20% - Accent5 4 2 2 3 2" xfId="3329"/>
    <cellStyle name="20% - Accent5 4 2 2 4" xfId="3330"/>
    <cellStyle name="20% - Accent5 4 2 3" xfId="3331"/>
    <cellStyle name="20% - Accent5 4 2 3 2" xfId="3332"/>
    <cellStyle name="20% - Accent5 4 2 3 2 2" xfId="3333"/>
    <cellStyle name="20% - Accent5 4 2 3 3" xfId="3334"/>
    <cellStyle name="20% - Accent5 4 2 4" xfId="3335"/>
    <cellStyle name="20% - Accent5 4 2 4 2" xfId="3336"/>
    <cellStyle name="20% - Accent5 4 2 5" xfId="3337"/>
    <cellStyle name="20% - Accent5 4 2 6" xfId="3338"/>
    <cellStyle name="20% - Accent5 4 3" xfId="3339"/>
    <cellStyle name="20% - Accent5 4 3 2" xfId="3340"/>
    <cellStyle name="20% - Accent5 4 3 2 2" xfId="3341"/>
    <cellStyle name="20% - Accent5 4 3 2 2 2" xfId="3342"/>
    <cellStyle name="20% - Accent5 4 3 2 3" xfId="3343"/>
    <cellStyle name="20% - Accent5 4 3 3" xfId="3344"/>
    <cellStyle name="20% - Accent5 4 3 3 2" xfId="3345"/>
    <cellStyle name="20% - Accent5 4 3 4" xfId="3346"/>
    <cellStyle name="20% - Accent5 4 3 5" xfId="3347"/>
    <cellStyle name="20% - Accent5 4 4" xfId="3348"/>
    <cellStyle name="20% - Accent5 4 4 2" xfId="3349"/>
    <cellStyle name="20% - Accent5 4 4 2 2" xfId="3350"/>
    <cellStyle name="20% - Accent5 4 4 3" xfId="3351"/>
    <cellStyle name="20% - Accent5 4 5" xfId="3352"/>
    <cellStyle name="20% - Accent5 4 5 2" xfId="3353"/>
    <cellStyle name="20% - Accent5 4 6" xfId="3354"/>
    <cellStyle name="20% - Accent5 4 7" xfId="3355"/>
    <cellStyle name="20% - Accent5 5" xfId="319"/>
    <cellStyle name="20% - Accent5 5 2" xfId="3356"/>
    <cellStyle name="20% - Accent5 5 2 2" xfId="3357"/>
    <cellStyle name="20% - Accent5 5 2 2 2" xfId="3358"/>
    <cellStyle name="20% - Accent5 5 2 2 2 2" xfId="3359"/>
    <cellStyle name="20% - Accent5 5 2 2 3" xfId="3360"/>
    <cellStyle name="20% - Accent5 5 2 3" xfId="3361"/>
    <cellStyle name="20% - Accent5 5 2 3 2" xfId="3362"/>
    <cellStyle name="20% - Accent5 5 2 4" xfId="3363"/>
    <cellStyle name="20% - Accent5 5 2 5" xfId="3364"/>
    <cellStyle name="20% - Accent5 5 3" xfId="3365"/>
    <cellStyle name="20% - Accent5 5 3 2" xfId="3366"/>
    <cellStyle name="20% - Accent5 5 3 2 2" xfId="3367"/>
    <cellStyle name="20% - Accent5 5 3 3" xfId="3368"/>
    <cellStyle name="20% - Accent5 5 4" xfId="3369"/>
    <cellStyle name="20% - Accent5 5 4 2" xfId="3370"/>
    <cellStyle name="20% - Accent5 5 5" xfId="3371"/>
    <cellStyle name="20% - Accent5 5 6" xfId="3372"/>
    <cellStyle name="20% - Accent5 6" xfId="320"/>
    <cellStyle name="20% - Accent5 6 2" xfId="3373"/>
    <cellStyle name="20% - Accent5 6 2 2" xfId="3374"/>
    <cellStyle name="20% - Accent5 6 2 2 2" xfId="3375"/>
    <cellStyle name="20% - Accent5 6 2 3" xfId="3376"/>
    <cellStyle name="20% - Accent5 6 2 4" xfId="3377"/>
    <cellStyle name="20% - Accent5 6 2 5" xfId="3378"/>
    <cellStyle name="20% - Accent5 6 3" xfId="3379"/>
    <cellStyle name="20% - Accent5 6 3 2" xfId="3380"/>
    <cellStyle name="20% - Accent5 6 4" xfId="3381"/>
    <cellStyle name="20% - Accent5 6 5" xfId="3382"/>
    <cellStyle name="20% - Accent5 7" xfId="321"/>
    <cellStyle name="20% - Accent5 7 2" xfId="3383"/>
    <cellStyle name="20% - Accent5 7 2 2" xfId="3384"/>
    <cellStyle name="20% - Accent5 7 2 2 2" xfId="3385"/>
    <cellStyle name="20% - Accent5 7 2 3" xfId="3386"/>
    <cellStyle name="20% - Accent5 7 3" xfId="3387"/>
    <cellStyle name="20% - Accent5 7 3 2" xfId="3388"/>
    <cellStyle name="20% - Accent5 7 4" xfId="3389"/>
    <cellStyle name="20% - Accent5 7 5" xfId="3390"/>
    <cellStyle name="20% - Accent5 8" xfId="322"/>
    <cellStyle name="20% - Accent5 8 2" xfId="3391"/>
    <cellStyle name="20% - Accent5 8 2 2" xfId="3392"/>
    <cellStyle name="20% - Accent5 8 2 2 2" xfId="3393"/>
    <cellStyle name="20% - Accent5 8 2 3" xfId="3394"/>
    <cellStyle name="20% - Accent5 8 3" xfId="3395"/>
    <cellStyle name="20% - Accent5 8 3 2" xfId="3396"/>
    <cellStyle name="20% - Accent5 8 4" xfId="3397"/>
    <cellStyle name="20% - Accent5 8 5" xfId="3398"/>
    <cellStyle name="20% - Accent5 9" xfId="323"/>
    <cellStyle name="20% - Accent5 9 2" xfId="3399"/>
    <cellStyle name="20% - Accent5 9 2 2" xfId="3400"/>
    <cellStyle name="20% - Accent5 9 3" xfId="3401"/>
    <cellStyle name="20% - Accent5 9 4" xfId="3402"/>
    <cellStyle name="20% - Accent6 10" xfId="324"/>
    <cellStyle name="20% - Accent6 10 2" xfId="3403"/>
    <cellStyle name="20% - Accent6 10 2 2" xfId="3404"/>
    <cellStyle name="20% - Accent6 10 3" xfId="3405"/>
    <cellStyle name="20% - Accent6 10 4" xfId="3406"/>
    <cellStyle name="20% - Accent6 11" xfId="325"/>
    <cellStyle name="20% - Accent6 11 2" xfId="3407"/>
    <cellStyle name="20% - Accent6 11 2 2" xfId="3408"/>
    <cellStyle name="20% - Accent6 11 3" xfId="3409"/>
    <cellStyle name="20% - Accent6 11 4" xfId="3410"/>
    <cellStyle name="20% - Accent6 12" xfId="326"/>
    <cellStyle name="20% - Accent6 12 2" xfId="3411"/>
    <cellStyle name="20% - Accent6 12 3" xfId="3412"/>
    <cellStyle name="20% - Accent6 13" xfId="327"/>
    <cellStyle name="20% - Accent6 13 2" xfId="3413"/>
    <cellStyle name="20% - Accent6 14" xfId="328"/>
    <cellStyle name="20% - Accent6 15" xfId="329"/>
    <cellStyle name="20% - Accent6 15 2" xfId="330"/>
    <cellStyle name="20% - Accent6 15 3" xfId="331"/>
    <cellStyle name="20% - Accent6 15 4" xfId="332"/>
    <cellStyle name="20% - Accent6 15 5" xfId="333"/>
    <cellStyle name="20% - Accent6 16" xfId="334"/>
    <cellStyle name="20% - Accent6 16 2" xfId="335"/>
    <cellStyle name="20% - Accent6 16 3" xfId="336"/>
    <cellStyle name="20% - Accent6 16 4" xfId="337"/>
    <cellStyle name="20% - Accent6 16 5" xfId="338"/>
    <cellStyle name="20% - Accent6 17" xfId="339"/>
    <cellStyle name="20% - Accent6 17 2" xfId="340"/>
    <cellStyle name="20% - Accent6 17 3" xfId="341"/>
    <cellStyle name="20% - Accent6 17 4" xfId="342"/>
    <cellStyle name="20% - Accent6 17 5" xfId="343"/>
    <cellStyle name="20% - Accent6 18" xfId="344"/>
    <cellStyle name="20% - Accent6 19" xfId="345"/>
    <cellStyle name="20% - Accent6 2" xfId="346"/>
    <cellStyle name="20% - Accent6 2 2" xfId="347"/>
    <cellStyle name="20% - Accent6 2 2 2" xfId="348"/>
    <cellStyle name="20% - Accent6 2 2 2 2" xfId="349"/>
    <cellStyle name="20% - Accent6 2 2 2 2 2" xfId="3414"/>
    <cellStyle name="20% - Accent6 2 2 2 2 2 2" xfId="3415"/>
    <cellStyle name="20% - Accent6 2 2 2 2 2 2 2" xfId="3416"/>
    <cellStyle name="20% - Accent6 2 2 2 2 2 3" xfId="3417"/>
    <cellStyle name="20% - Accent6 2 2 2 2 3" xfId="3418"/>
    <cellStyle name="20% - Accent6 2 2 2 2 3 2" xfId="3419"/>
    <cellStyle name="20% - Accent6 2 2 2 2 4" xfId="3420"/>
    <cellStyle name="20% - Accent6 2 2 2 2 5" xfId="3421"/>
    <cellStyle name="20% - Accent6 2 2 2 3" xfId="350"/>
    <cellStyle name="20% - Accent6 2 2 2 3 2" xfId="3422"/>
    <cellStyle name="20% - Accent6 2 2 2 3 2 2" xfId="3423"/>
    <cellStyle name="20% - Accent6 2 2 2 3 3" xfId="3424"/>
    <cellStyle name="20% - Accent6 2 2 2 4" xfId="351"/>
    <cellStyle name="20% - Accent6 2 2 2 4 2" xfId="3425"/>
    <cellStyle name="20% - Accent6 2 2 2 5" xfId="352"/>
    <cellStyle name="20% - Accent6 2 2 2 6" xfId="3426"/>
    <cellStyle name="20% - Accent6 2 2 3" xfId="353"/>
    <cellStyle name="20% - Accent6 2 2 3 2" xfId="3427"/>
    <cellStyle name="20% - Accent6 2 2 3 2 2" xfId="3428"/>
    <cellStyle name="20% - Accent6 2 2 3 2 2 2" xfId="3429"/>
    <cellStyle name="20% - Accent6 2 2 3 2 3" xfId="3430"/>
    <cellStyle name="20% - Accent6 2 2 3 3" xfId="3431"/>
    <cellStyle name="20% - Accent6 2 2 3 3 2" xfId="3432"/>
    <cellStyle name="20% - Accent6 2 2 3 4" xfId="3433"/>
    <cellStyle name="20% - Accent6 2 2 3 5" xfId="3434"/>
    <cellStyle name="20% - Accent6 2 2 4" xfId="354"/>
    <cellStyle name="20% - Accent6 2 2 4 2" xfId="3435"/>
    <cellStyle name="20% - Accent6 2 2 4 2 2" xfId="3436"/>
    <cellStyle name="20% - Accent6 2 2 4 3" xfId="3437"/>
    <cellStyle name="20% - Accent6 2 2 5" xfId="355"/>
    <cellStyle name="20% - Accent6 2 2 5 2" xfId="3438"/>
    <cellStyle name="20% - Accent6 2 2 6" xfId="3439"/>
    <cellStyle name="20% - Accent6 2 2 7" xfId="3440"/>
    <cellStyle name="20% - Accent6 2 3" xfId="356"/>
    <cellStyle name="20% - Accent6 2 3 2" xfId="3441"/>
    <cellStyle name="20% - Accent6 2 3 2 2" xfId="3442"/>
    <cellStyle name="20% - Accent6 2 3 2 2 2" xfId="3443"/>
    <cellStyle name="20% - Accent6 2 3 2 2 2 2" xfId="3444"/>
    <cellStyle name="20% - Accent6 2 3 2 2 3" xfId="3445"/>
    <cellStyle name="20% - Accent6 2 3 2 3" xfId="3446"/>
    <cellStyle name="20% - Accent6 2 3 2 3 2" xfId="3447"/>
    <cellStyle name="20% - Accent6 2 3 2 4" xfId="3448"/>
    <cellStyle name="20% - Accent6 2 3 3" xfId="3449"/>
    <cellStyle name="20% - Accent6 2 3 3 2" xfId="3450"/>
    <cellStyle name="20% - Accent6 2 3 3 2 2" xfId="3451"/>
    <cellStyle name="20% - Accent6 2 3 3 3" xfId="3452"/>
    <cellStyle name="20% - Accent6 2 3 4" xfId="3453"/>
    <cellStyle name="20% - Accent6 2 3 4 2" xfId="3454"/>
    <cellStyle name="20% - Accent6 2 3 5" xfId="3455"/>
    <cellStyle name="20% - Accent6 2 3 6" xfId="3456"/>
    <cellStyle name="20% - Accent6 2 4" xfId="357"/>
    <cellStyle name="20% - Accent6 2 4 2" xfId="3457"/>
    <cellStyle name="20% - Accent6 2 4 2 2" xfId="3458"/>
    <cellStyle name="20% - Accent6 2 4 2 2 2" xfId="3459"/>
    <cellStyle name="20% - Accent6 2 4 2 3" xfId="3460"/>
    <cellStyle name="20% - Accent6 2 4 3" xfId="3461"/>
    <cellStyle name="20% - Accent6 2 4 3 2" xfId="3462"/>
    <cellStyle name="20% - Accent6 2 4 4" xfId="3463"/>
    <cellStyle name="20% - Accent6 2 4 5" xfId="3464"/>
    <cellStyle name="20% - Accent6 2 5" xfId="358"/>
    <cellStyle name="20% - Accent6 2 5 2" xfId="3465"/>
    <cellStyle name="20% - Accent6 2 5 2 2" xfId="3466"/>
    <cellStyle name="20% - Accent6 2 5 3" xfId="3467"/>
    <cellStyle name="20% - Accent6 2 5 4" xfId="3468"/>
    <cellStyle name="20% - Accent6 2 6" xfId="359"/>
    <cellStyle name="20% - Accent6 2 6 2" xfId="3469"/>
    <cellStyle name="20% - Accent6 2 6 3" xfId="3470"/>
    <cellStyle name="20% - Accent6 2 7" xfId="360"/>
    <cellStyle name="20% - Accent6 2 8" xfId="361"/>
    <cellStyle name="20% - Accent6 2 9" xfId="362"/>
    <cellStyle name="20% - Accent6 20" xfId="363"/>
    <cellStyle name="20% - Accent6 21" xfId="364"/>
    <cellStyle name="20% - Accent6 22" xfId="365"/>
    <cellStyle name="20% - Accent6 23" xfId="366"/>
    <cellStyle name="20% - Accent6 24" xfId="367"/>
    <cellStyle name="20% - Accent6 25" xfId="368"/>
    <cellStyle name="20% - Accent6 26" xfId="369"/>
    <cellStyle name="20% - Accent6 27" xfId="370"/>
    <cellStyle name="20% - Accent6 28" xfId="371"/>
    <cellStyle name="20% - Accent6 29" xfId="372"/>
    <cellStyle name="20% - Accent6 3" xfId="373"/>
    <cellStyle name="20% - Accent6 3 2" xfId="3471"/>
    <cellStyle name="20% - Accent6 3 2 2" xfId="3472"/>
    <cellStyle name="20% - Accent6 3 2 2 2" xfId="3473"/>
    <cellStyle name="20% - Accent6 3 2 2 2 2" xfId="3474"/>
    <cellStyle name="20% - Accent6 3 2 2 2 2 2" xfId="3475"/>
    <cellStyle name="20% - Accent6 3 2 2 2 2 2 2" xfId="3476"/>
    <cellStyle name="20% - Accent6 3 2 2 2 2 3" xfId="3477"/>
    <cellStyle name="20% - Accent6 3 2 2 2 3" xfId="3478"/>
    <cellStyle name="20% - Accent6 3 2 2 2 3 2" xfId="3479"/>
    <cellStyle name="20% - Accent6 3 2 2 2 4" xfId="3480"/>
    <cellStyle name="20% - Accent6 3 2 2 3" xfId="3481"/>
    <cellStyle name="20% - Accent6 3 2 2 3 2" xfId="3482"/>
    <cellStyle name="20% - Accent6 3 2 2 3 2 2" xfId="3483"/>
    <cellStyle name="20% - Accent6 3 2 2 3 3" xfId="3484"/>
    <cellStyle name="20% - Accent6 3 2 2 4" xfId="3485"/>
    <cellStyle name="20% - Accent6 3 2 2 4 2" xfId="3486"/>
    <cellStyle name="20% - Accent6 3 2 2 5" xfId="3487"/>
    <cellStyle name="20% - Accent6 3 2 2 6" xfId="3488"/>
    <cellStyle name="20% - Accent6 3 2 3" xfId="3489"/>
    <cellStyle name="20% - Accent6 3 2 3 2" xfId="3490"/>
    <cellStyle name="20% - Accent6 3 2 3 2 2" xfId="3491"/>
    <cellStyle name="20% - Accent6 3 2 3 2 2 2" xfId="3492"/>
    <cellStyle name="20% - Accent6 3 2 3 2 3" xfId="3493"/>
    <cellStyle name="20% - Accent6 3 2 3 3" xfId="3494"/>
    <cellStyle name="20% - Accent6 3 2 3 3 2" xfId="3495"/>
    <cellStyle name="20% - Accent6 3 2 3 4" xfId="3496"/>
    <cellStyle name="20% - Accent6 3 2 4" xfId="3497"/>
    <cellStyle name="20% - Accent6 3 2 4 2" xfId="3498"/>
    <cellStyle name="20% - Accent6 3 2 4 2 2" xfId="3499"/>
    <cellStyle name="20% - Accent6 3 2 4 3" xfId="3500"/>
    <cellStyle name="20% - Accent6 3 2 5" xfId="3501"/>
    <cellStyle name="20% - Accent6 3 2 5 2" xfId="3502"/>
    <cellStyle name="20% - Accent6 3 2 6" xfId="3503"/>
    <cellStyle name="20% - Accent6 3 2 7" xfId="3504"/>
    <cellStyle name="20% - Accent6 3 3" xfId="3505"/>
    <cellStyle name="20% - Accent6 3 3 2" xfId="3506"/>
    <cellStyle name="20% - Accent6 3 3 2 2" xfId="3507"/>
    <cellStyle name="20% - Accent6 3 3 2 2 2" xfId="3508"/>
    <cellStyle name="20% - Accent6 3 3 2 2 2 2" xfId="3509"/>
    <cellStyle name="20% - Accent6 3 3 2 2 3" xfId="3510"/>
    <cellStyle name="20% - Accent6 3 3 2 3" xfId="3511"/>
    <cellStyle name="20% - Accent6 3 3 2 3 2" xfId="3512"/>
    <cellStyle name="20% - Accent6 3 3 2 4" xfId="3513"/>
    <cellStyle name="20% - Accent6 3 3 3" xfId="3514"/>
    <cellStyle name="20% - Accent6 3 3 3 2" xfId="3515"/>
    <cellStyle name="20% - Accent6 3 3 3 2 2" xfId="3516"/>
    <cellStyle name="20% - Accent6 3 3 3 3" xfId="3517"/>
    <cellStyle name="20% - Accent6 3 3 4" xfId="3518"/>
    <cellStyle name="20% - Accent6 3 3 4 2" xfId="3519"/>
    <cellStyle name="20% - Accent6 3 3 5" xfId="3520"/>
    <cellStyle name="20% - Accent6 3 3 6" xfId="3521"/>
    <cellStyle name="20% - Accent6 3 4" xfId="3522"/>
    <cellStyle name="20% - Accent6 3 4 2" xfId="3523"/>
    <cellStyle name="20% - Accent6 3 4 2 2" xfId="3524"/>
    <cellStyle name="20% - Accent6 3 4 2 2 2" xfId="3525"/>
    <cellStyle name="20% - Accent6 3 4 2 3" xfId="3526"/>
    <cellStyle name="20% - Accent6 3 4 3" xfId="3527"/>
    <cellStyle name="20% - Accent6 3 4 3 2" xfId="3528"/>
    <cellStyle name="20% - Accent6 3 4 4" xfId="3529"/>
    <cellStyle name="20% - Accent6 3 4 5" xfId="3530"/>
    <cellStyle name="20% - Accent6 3 5" xfId="3531"/>
    <cellStyle name="20% - Accent6 3 5 2" xfId="3532"/>
    <cellStyle name="20% - Accent6 3 5 2 2" xfId="3533"/>
    <cellStyle name="20% - Accent6 3 5 3" xfId="3534"/>
    <cellStyle name="20% - Accent6 3 6" xfId="3535"/>
    <cellStyle name="20% - Accent6 3 6 2" xfId="3536"/>
    <cellStyle name="20% - Accent6 3 7" xfId="3537"/>
    <cellStyle name="20% - Accent6 3 8" xfId="3538"/>
    <cellStyle name="20% - Accent6 3 9" xfId="3539"/>
    <cellStyle name="20% - Accent6 30" xfId="374"/>
    <cellStyle name="20% - Accent6 31" xfId="375"/>
    <cellStyle name="20% - Accent6 32" xfId="376"/>
    <cellStyle name="20% - Accent6 33" xfId="377"/>
    <cellStyle name="20% - Accent6 34" xfId="378"/>
    <cellStyle name="20% - Accent6 35" xfId="379"/>
    <cellStyle name="20% - Accent6 4" xfId="380"/>
    <cellStyle name="20% - Accent6 4 2" xfId="3540"/>
    <cellStyle name="20% - Accent6 4 2 2" xfId="3541"/>
    <cellStyle name="20% - Accent6 4 2 2 2" xfId="3542"/>
    <cellStyle name="20% - Accent6 4 2 2 2 2" xfId="3543"/>
    <cellStyle name="20% - Accent6 4 2 2 2 2 2" xfId="3544"/>
    <cellStyle name="20% - Accent6 4 2 2 2 3" xfId="3545"/>
    <cellStyle name="20% - Accent6 4 2 2 3" xfId="3546"/>
    <cellStyle name="20% - Accent6 4 2 2 3 2" xfId="3547"/>
    <cellStyle name="20% - Accent6 4 2 2 4" xfId="3548"/>
    <cellStyle name="20% - Accent6 4 2 3" xfId="3549"/>
    <cellStyle name="20% - Accent6 4 2 3 2" xfId="3550"/>
    <cellStyle name="20% - Accent6 4 2 3 2 2" xfId="3551"/>
    <cellStyle name="20% - Accent6 4 2 3 3" xfId="3552"/>
    <cellStyle name="20% - Accent6 4 2 4" xfId="3553"/>
    <cellStyle name="20% - Accent6 4 2 4 2" xfId="3554"/>
    <cellStyle name="20% - Accent6 4 2 5" xfId="3555"/>
    <cellStyle name="20% - Accent6 4 2 6" xfId="3556"/>
    <cellStyle name="20% - Accent6 4 3" xfId="3557"/>
    <cellStyle name="20% - Accent6 4 3 2" xfId="3558"/>
    <cellStyle name="20% - Accent6 4 3 2 2" xfId="3559"/>
    <cellStyle name="20% - Accent6 4 3 2 2 2" xfId="3560"/>
    <cellStyle name="20% - Accent6 4 3 2 3" xfId="3561"/>
    <cellStyle name="20% - Accent6 4 3 3" xfId="3562"/>
    <cellStyle name="20% - Accent6 4 3 3 2" xfId="3563"/>
    <cellStyle name="20% - Accent6 4 3 4" xfId="3564"/>
    <cellStyle name="20% - Accent6 4 3 5" xfId="3565"/>
    <cellStyle name="20% - Accent6 4 4" xfId="3566"/>
    <cellStyle name="20% - Accent6 4 4 2" xfId="3567"/>
    <cellStyle name="20% - Accent6 4 4 2 2" xfId="3568"/>
    <cellStyle name="20% - Accent6 4 4 3" xfId="3569"/>
    <cellStyle name="20% - Accent6 4 5" xfId="3570"/>
    <cellStyle name="20% - Accent6 4 5 2" xfId="3571"/>
    <cellStyle name="20% - Accent6 4 6" xfId="3572"/>
    <cellStyle name="20% - Accent6 4 7" xfId="3573"/>
    <cellStyle name="20% - Accent6 5" xfId="381"/>
    <cellStyle name="20% - Accent6 5 2" xfId="3574"/>
    <cellStyle name="20% - Accent6 5 2 2" xfId="3575"/>
    <cellStyle name="20% - Accent6 5 2 2 2" xfId="3576"/>
    <cellStyle name="20% - Accent6 5 2 2 2 2" xfId="3577"/>
    <cellStyle name="20% - Accent6 5 2 2 3" xfId="3578"/>
    <cellStyle name="20% - Accent6 5 2 3" xfId="3579"/>
    <cellStyle name="20% - Accent6 5 2 3 2" xfId="3580"/>
    <cellStyle name="20% - Accent6 5 2 4" xfId="3581"/>
    <cellStyle name="20% - Accent6 5 2 5" xfId="3582"/>
    <cellStyle name="20% - Accent6 5 3" xfId="3583"/>
    <cellStyle name="20% - Accent6 5 3 2" xfId="3584"/>
    <cellStyle name="20% - Accent6 5 3 2 2" xfId="3585"/>
    <cellStyle name="20% - Accent6 5 3 3" xfId="3586"/>
    <cellStyle name="20% - Accent6 5 4" xfId="3587"/>
    <cellStyle name="20% - Accent6 5 4 2" xfId="3588"/>
    <cellStyle name="20% - Accent6 5 5" xfId="3589"/>
    <cellStyle name="20% - Accent6 5 6" xfId="3590"/>
    <cellStyle name="20% - Accent6 6" xfId="382"/>
    <cellStyle name="20% - Accent6 6 2" xfId="3591"/>
    <cellStyle name="20% - Accent6 6 2 2" xfId="3592"/>
    <cellStyle name="20% - Accent6 6 2 2 2" xfId="3593"/>
    <cellStyle name="20% - Accent6 6 2 3" xfId="3594"/>
    <cellStyle name="20% - Accent6 6 2 4" xfId="3595"/>
    <cellStyle name="20% - Accent6 6 2 5" xfId="3596"/>
    <cellStyle name="20% - Accent6 6 3" xfId="3597"/>
    <cellStyle name="20% - Accent6 6 3 2" xfId="3598"/>
    <cellStyle name="20% - Accent6 6 4" xfId="3599"/>
    <cellStyle name="20% - Accent6 6 5" xfId="3600"/>
    <cellStyle name="20% - Accent6 7" xfId="383"/>
    <cellStyle name="20% - Accent6 7 2" xfId="3601"/>
    <cellStyle name="20% - Accent6 7 2 2" xfId="3602"/>
    <cellStyle name="20% - Accent6 7 2 2 2" xfId="3603"/>
    <cellStyle name="20% - Accent6 7 2 3" xfId="3604"/>
    <cellStyle name="20% - Accent6 7 3" xfId="3605"/>
    <cellStyle name="20% - Accent6 7 3 2" xfId="3606"/>
    <cellStyle name="20% - Accent6 7 4" xfId="3607"/>
    <cellStyle name="20% - Accent6 7 5" xfId="3608"/>
    <cellStyle name="20% - Accent6 8" xfId="384"/>
    <cellStyle name="20% - Accent6 8 2" xfId="3609"/>
    <cellStyle name="20% - Accent6 8 2 2" xfId="3610"/>
    <cellStyle name="20% - Accent6 8 2 2 2" xfId="3611"/>
    <cellStyle name="20% - Accent6 8 2 3" xfId="3612"/>
    <cellStyle name="20% - Accent6 8 3" xfId="3613"/>
    <cellStyle name="20% - Accent6 8 3 2" xfId="3614"/>
    <cellStyle name="20% - Accent6 8 4" xfId="3615"/>
    <cellStyle name="20% - Accent6 8 5" xfId="3616"/>
    <cellStyle name="20% - Accent6 9" xfId="385"/>
    <cellStyle name="20% - Accent6 9 2" xfId="3617"/>
    <cellStyle name="20% - Accent6 9 2 2" xfId="3618"/>
    <cellStyle name="20% - Accent6 9 3" xfId="3619"/>
    <cellStyle name="20% - Accent6 9 4" xfId="3620"/>
    <cellStyle name="40% - Accent1 10" xfId="386"/>
    <cellStyle name="40% - Accent1 10 2" xfId="3621"/>
    <cellStyle name="40% - Accent1 10 2 2" xfId="3622"/>
    <cellStyle name="40% - Accent1 10 3" xfId="3623"/>
    <cellStyle name="40% - Accent1 10 4" xfId="3624"/>
    <cellStyle name="40% - Accent1 11" xfId="387"/>
    <cellStyle name="40% - Accent1 11 2" xfId="3625"/>
    <cellStyle name="40% - Accent1 11 2 2" xfId="3626"/>
    <cellStyle name="40% - Accent1 11 3" xfId="3627"/>
    <cellStyle name="40% - Accent1 11 4" xfId="3628"/>
    <cellStyle name="40% - Accent1 12" xfId="388"/>
    <cellStyle name="40% - Accent1 12 2" xfId="3629"/>
    <cellStyle name="40% - Accent1 12 3" xfId="3630"/>
    <cellStyle name="40% - Accent1 13" xfId="389"/>
    <cellStyle name="40% - Accent1 13 2" xfId="3631"/>
    <cellStyle name="40% - Accent1 14" xfId="390"/>
    <cellStyle name="40% - Accent1 15" xfId="391"/>
    <cellStyle name="40% - Accent1 15 2" xfId="392"/>
    <cellStyle name="40% - Accent1 15 3" xfId="393"/>
    <cellStyle name="40% - Accent1 15 4" xfId="394"/>
    <cellStyle name="40% - Accent1 15 5" xfId="395"/>
    <cellStyle name="40% - Accent1 16" xfId="396"/>
    <cellStyle name="40% - Accent1 16 2" xfId="397"/>
    <cellStyle name="40% - Accent1 16 3" xfId="398"/>
    <cellStyle name="40% - Accent1 16 4" xfId="399"/>
    <cellStyle name="40% - Accent1 16 5" xfId="400"/>
    <cellStyle name="40% - Accent1 17" xfId="401"/>
    <cellStyle name="40% - Accent1 17 2" xfId="402"/>
    <cellStyle name="40% - Accent1 17 3" xfId="403"/>
    <cellStyle name="40% - Accent1 17 4" xfId="404"/>
    <cellStyle name="40% - Accent1 17 5" xfId="405"/>
    <cellStyle name="40% - Accent1 18" xfId="406"/>
    <cellStyle name="40% - Accent1 19" xfId="407"/>
    <cellStyle name="40% - Accent1 2" xfId="408"/>
    <cellStyle name="40% - Accent1 2 2" xfId="409"/>
    <cellStyle name="40% - Accent1 2 2 2" xfId="410"/>
    <cellStyle name="40% - Accent1 2 2 2 2" xfId="411"/>
    <cellStyle name="40% - Accent1 2 2 2 2 2" xfId="3632"/>
    <cellStyle name="40% - Accent1 2 2 2 2 2 2" xfId="3633"/>
    <cellStyle name="40% - Accent1 2 2 2 2 2 2 2" xfId="3634"/>
    <cellStyle name="40% - Accent1 2 2 2 2 2 3" xfId="3635"/>
    <cellStyle name="40% - Accent1 2 2 2 2 3" xfId="3636"/>
    <cellStyle name="40% - Accent1 2 2 2 2 3 2" xfId="3637"/>
    <cellStyle name="40% - Accent1 2 2 2 2 4" xfId="3638"/>
    <cellStyle name="40% - Accent1 2 2 2 2 5" xfId="3639"/>
    <cellStyle name="40% - Accent1 2 2 2 3" xfId="412"/>
    <cellStyle name="40% - Accent1 2 2 2 3 2" xfId="3640"/>
    <cellStyle name="40% - Accent1 2 2 2 3 2 2" xfId="3641"/>
    <cellStyle name="40% - Accent1 2 2 2 3 3" xfId="3642"/>
    <cellStyle name="40% - Accent1 2 2 2 4" xfId="413"/>
    <cellStyle name="40% - Accent1 2 2 2 4 2" xfId="3643"/>
    <cellStyle name="40% - Accent1 2 2 2 5" xfId="414"/>
    <cellStyle name="40% - Accent1 2 2 2 6" xfId="3644"/>
    <cellStyle name="40% - Accent1 2 2 3" xfId="415"/>
    <cellStyle name="40% - Accent1 2 2 3 2" xfId="3645"/>
    <cellStyle name="40% - Accent1 2 2 3 2 2" xfId="3646"/>
    <cellStyle name="40% - Accent1 2 2 3 2 2 2" xfId="3647"/>
    <cellStyle name="40% - Accent1 2 2 3 2 3" xfId="3648"/>
    <cellStyle name="40% - Accent1 2 2 3 3" xfId="3649"/>
    <cellStyle name="40% - Accent1 2 2 3 3 2" xfId="3650"/>
    <cellStyle name="40% - Accent1 2 2 3 4" xfId="3651"/>
    <cellStyle name="40% - Accent1 2 2 3 5" xfId="3652"/>
    <cellStyle name="40% - Accent1 2 2 4" xfId="416"/>
    <cellStyle name="40% - Accent1 2 2 4 2" xfId="3653"/>
    <cellStyle name="40% - Accent1 2 2 4 2 2" xfId="3654"/>
    <cellStyle name="40% - Accent1 2 2 4 3" xfId="3655"/>
    <cellStyle name="40% - Accent1 2 2 5" xfId="417"/>
    <cellStyle name="40% - Accent1 2 2 5 2" xfId="3656"/>
    <cellStyle name="40% - Accent1 2 2 6" xfId="3657"/>
    <cellStyle name="40% - Accent1 2 2 7" xfId="3658"/>
    <cellStyle name="40% - Accent1 2 3" xfId="418"/>
    <cellStyle name="40% - Accent1 2 3 2" xfId="3659"/>
    <cellStyle name="40% - Accent1 2 3 2 2" xfId="3660"/>
    <cellStyle name="40% - Accent1 2 3 2 2 2" xfId="3661"/>
    <cellStyle name="40% - Accent1 2 3 2 2 2 2" xfId="3662"/>
    <cellStyle name="40% - Accent1 2 3 2 2 3" xfId="3663"/>
    <cellStyle name="40% - Accent1 2 3 2 3" xfId="3664"/>
    <cellStyle name="40% - Accent1 2 3 2 3 2" xfId="3665"/>
    <cellStyle name="40% - Accent1 2 3 2 4" xfId="3666"/>
    <cellStyle name="40% - Accent1 2 3 3" xfId="3667"/>
    <cellStyle name="40% - Accent1 2 3 3 2" xfId="3668"/>
    <cellStyle name="40% - Accent1 2 3 3 2 2" xfId="3669"/>
    <cellStyle name="40% - Accent1 2 3 3 3" xfId="3670"/>
    <cellStyle name="40% - Accent1 2 3 4" xfId="3671"/>
    <cellStyle name="40% - Accent1 2 3 4 2" xfId="3672"/>
    <cellStyle name="40% - Accent1 2 3 5" xfId="3673"/>
    <cellStyle name="40% - Accent1 2 3 6" xfId="3674"/>
    <cellStyle name="40% - Accent1 2 4" xfId="419"/>
    <cellStyle name="40% - Accent1 2 4 2" xfId="3675"/>
    <cellStyle name="40% - Accent1 2 4 2 2" xfId="3676"/>
    <cellStyle name="40% - Accent1 2 4 2 2 2" xfId="3677"/>
    <cellStyle name="40% - Accent1 2 4 2 3" xfId="3678"/>
    <cellStyle name="40% - Accent1 2 4 3" xfId="3679"/>
    <cellStyle name="40% - Accent1 2 4 3 2" xfId="3680"/>
    <cellStyle name="40% - Accent1 2 4 4" xfId="3681"/>
    <cellStyle name="40% - Accent1 2 4 5" xfId="3682"/>
    <cellStyle name="40% - Accent1 2 5" xfId="420"/>
    <cellStyle name="40% - Accent1 2 5 2" xfId="3683"/>
    <cellStyle name="40% - Accent1 2 5 2 2" xfId="3684"/>
    <cellStyle name="40% - Accent1 2 5 3" xfId="3685"/>
    <cellStyle name="40% - Accent1 2 5 4" xfId="3686"/>
    <cellStyle name="40% - Accent1 2 6" xfId="421"/>
    <cellStyle name="40% - Accent1 2 6 2" xfId="3687"/>
    <cellStyle name="40% - Accent1 2 6 3" xfId="3688"/>
    <cellStyle name="40% - Accent1 2 7" xfId="422"/>
    <cellStyle name="40% - Accent1 2 8" xfId="423"/>
    <cellStyle name="40% - Accent1 2 9" xfId="424"/>
    <cellStyle name="40% - Accent1 20" xfId="425"/>
    <cellStyle name="40% - Accent1 21" xfId="426"/>
    <cellStyle name="40% - Accent1 22" xfId="427"/>
    <cellStyle name="40% - Accent1 23" xfId="428"/>
    <cellStyle name="40% - Accent1 24" xfId="429"/>
    <cellStyle name="40% - Accent1 25" xfId="430"/>
    <cellStyle name="40% - Accent1 26" xfId="431"/>
    <cellStyle name="40% - Accent1 27" xfId="432"/>
    <cellStyle name="40% - Accent1 28" xfId="433"/>
    <cellStyle name="40% - Accent1 29" xfId="434"/>
    <cellStyle name="40% - Accent1 3" xfId="435"/>
    <cellStyle name="40% - Accent1 3 2" xfId="3689"/>
    <cellStyle name="40% - Accent1 3 2 2" xfId="3690"/>
    <cellStyle name="40% - Accent1 3 2 2 2" xfId="3691"/>
    <cellStyle name="40% - Accent1 3 2 2 2 2" xfId="3692"/>
    <cellStyle name="40% - Accent1 3 2 2 2 2 2" xfId="3693"/>
    <cellStyle name="40% - Accent1 3 2 2 2 2 2 2" xfId="3694"/>
    <cellStyle name="40% - Accent1 3 2 2 2 2 3" xfId="3695"/>
    <cellStyle name="40% - Accent1 3 2 2 2 3" xfId="3696"/>
    <cellStyle name="40% - Accent1 3 2 2 2 3 2" xfId="3697"/>
    <cellStyle name="40% - Accent1 3 2 2 2 4" xfId="3698"/>
    <cellStyle name="40% - Accent1 3 2 2 3" xfId="3699"/>
    <cellStyle name="40% - Accent1 3 2 2 3 2" xfId="3700"/>
    <cellStyle name="40% - Accent1 3 2 2 3 2 2" xfId="3701"/>
    <cellStyle name="40% - Accent1 3 2 2 3 3" xfId="3702"/>
    <cellStyle name="40% - Accent1 3 2 2 4" xfId="3703"/>
    <cellStyle name="40% - Accent1 3 2 2 4 2" xfId="3704"/>
    <cellStyle name="40% - Accent1 3 2 2 5" xfId="3705"/>
    <cellStyle name="40% - Accent1 3 2 2 6" xfId="3706"/>
    <cellStyle name="40% - Accent1 3 2 3" xfId="3707"/>
    <cellStyle name="40% - Accent1 3 2 3 2" xfId="3708"/>
    <cellStyle name="40% - Accent1 3 2 3 2 2" xfId="3709"/>
    <cellStyle name="40% - Accent1 3 2 3 2 2 2" xfId="3710"/>
    <cellStyle name="40% - Accent1 3 2 3 2 3" xfId="3711"/>
    <cellStyle name="40% - Accent1 3 2 3 3" xfId="3712"/>
    <cellStyle name="40% - Accent1 3 2 3 3 2" xfId="3713"/>
    <cellStyle name="40% - Accent1 3 2 3 4" xfId="3714"/>
    <cellStyle name="40% - Accent1 3 2 4" xfId="3715"/>
    <cellStyle name="40% - Accent1 3 2 4 2" xfId="3716"/>
    <cellStyle name="40% - Accent1 3 2 4 2 2" xfId="3717"/>
    <cellStyle name="40% - Accent1 3 2 4 3" xfId="3718"/>
    <cellStyle name="40% - Accent1 3 2 5" xfId="3719"/>
    <cellStyle name="40% - Accent1 3 2 5 2" xfId="3720"/>
    <cellStyle name="40% - Accent1 3 2 6" xfId="3721"/>
    <cellStyle name="40% - Accent1 3 2 7" xfId="3722"/>
    <cellStyle name="40% - Accent1 3 3" xfId="3723"/>
    <cellStyle name="40% - Accent1 3 3 2" xfId="3724"/>
    <cellStyle name="40% - Accent1 3 3 2 2" xfId="3725"/>
    <cellStyle name="40% - Accent1 3 3 2 2 2" xfId="3726"/>
    <cellStyle name="40% - Accent1 3 3 2 2 2 2" xfId="3727"/>
    <cellStyle name="40% - Accent1 3 3 2 2 3" xfId="3728"/>
    <cellStyle name="40% - Accent1 3 3 2 3" xfId="3729"/>
    <cellStyle name="40% - Accent1 3 3 2 3 2" xfId="3730"/>
    <cellStyle name="40% - Accent1 3 3 2 4" xfId="3731"/>
    <cellStyle name="40% - Accent1 3 3 3" xfId="3732"/>
    <cellStyle name="40% - Accent1 3 3 3 2" xfId="3733"/>
    <cellStyle name="40% - Accent1 3 3 3 2 2" xfId="3734"/>
    <cellStyle name="40% - Accent1 3 3 3 3" xfId="3735"/>
    <cellStyle name="40% - Accent1 3 3 4" xfId="3736"/>
    <cellStyle name="40% - Accent1 3 3 4 2" xfId="3737"/>
    <cellStyle name="40% - Accent1 3 3 5" xfId="3738"/>
    <cellStyle name="40% - Accent1 3 3 6" xfId="3739"/>
    <cellStyle name="40% - Accent1 3 4" xfId="3740"/>
    <cellStyle name="40% - Accent1 3 4 2" xfId="3741"/>
    <cellStyle name="40% - Accent1 3 4 2 2" xfId="3742"/>
    <cellStyle name="40% - Accent1 3 4 2 2 2" xfId="3743"/>
    <cellStyle name="40% - Accent1 3 4 2 3" xfId="3744"/>
    <cellStyle name="40% - Accent1 3 4 3" xfId="3745"/>
    <cellStyle name="40% - Accent1 3 4 3 2" xfId="3746"/>
    <cellStyle name="40% - Accent1 3 4 4" xfId="3747"/>
    <cellStyle name="40% - Accent1 3 4 5" xfId="3748"/>
    <cellStyle name="40% - Accent1 3 5" xfId="3749"/>
    <cellStyle name="40% - Accent1 3 5 2" xfId="3750"/>
    <cellStyle name="40% - Accent1 3 5 2 2" xfId="3751"/>
    <cellStyle name="40% - Accent1 3 5 3" xfId="3752"/>
    <cellStyle name="40% - Accent1 3 6" xfId="3753"/>
    <cellStyle name="40% - Accent1 3 6 2" xfId="3754"/>
    <cellStyle name="40% - Accent1 3 7" xfId="3755"/>
    <cellStyle name="40% - Accent1 3 8" xfId="3756"/>
    <cellStyle name="40% - Accent1 3 9" xfId="3757"/>
    <cellStyle name="40% - Accent1 30" xfId="436"/>
    <cellStyle name="40% - Accent1 31" xfId="437"/>
    <cellStyle name="40% - Accent1 32" xfId="438"/>
    <cellStyle name="40% - Accent1 33" xfId="439"/>
    <cellStyle name="40% - Accent1 34" xfId="440"/>
    <cellStyle name="40% - Accent1 35" xfId="441"/>
    <cellStyle name="40% - Accent1 4" xfId="442"/>
    <cellStyle name="40% - Accent1 4 2" xfId="3758"/>
    <cellStyle name="40% - Accent1 4 2 2" xfId="3759"/>
    <cellStyle name="40% - Accent1 4 2 2 2" xfId="3760"/>
    <cellStyle name="40% - Accent1 4 2 2 2 2" xfId="3761"/>
    <cellStyle name="40% - Accent1 4 2 2 2 2 2" xfId="3762"/>
    <cellStyle name="40% - Accent1 4 2 2 2 3" xfId="3763"/>
    <cellStyle name="40% - Accent1 4 2 2 3" xfId="3764"/>
    <cellStyle name="40% - Accent1 4 2 2 3 2" xfId="3765"/>
    <cellStyle name="40% - Accent1 4 2 2 4" xfId="3766"/>
    <cellStyle name="40% - Accent1 4 2 3" xfId="3767"/>
    <cellStyle name="40% - Accent1 4 2 3 2" xfId="3768"/>
    <cellStyle name="40% - Accent1 4 2 3 2 2" xfId="3769"/>
    <cellStyle name="40% - Accent1 4 2 3 3" xfId="3770"/>
    <cellStyle name="40% - Accent1 4 2 4" xfId="3771"/>
    <cellStyle name="40% - Accent1 4 2 4 2" xfId="3772"/>
    <cellStyle name="40% - Accent1 4 2 5" xfId="3773"/>
    <cellStyle name="40% - Accent1 4 2 6" xfId="3774"/>
    <cellStyle name="40% - Accent1 4 3" xfId="3775"/>
    <cellStyle name="40% - Accent1 4 3 2" xfId="3776"/>
    <cellStyle name="40% - Accent1 4 3 2 2" xfId="3777"/>
    <cellStyle name="40% - Accent1 4 3 2 2 2" xfId="3778"/>
    <cellStyle name="40% - Accent1 4 3 2 3" xfId="3779"/>
    <cellStyle name="40% - Accent1 4 3 3" xfId="3780"/>
    <cellStyle name="40% - Accent1 4 3 3 2" xfId="3781"/>
    <cellStyle name="40% - Accent1 4 3 4" xfId="3782"/>
    <cellStyle name="40% - Accent1 4 3 5" xfId="3783"/>
    <cellStyle name="40% - Accent1 4 4" xfId="3784"/>
    <cellStyle name="40% - Accent1 4 4 2" xfId="3785"/>
    <cellStyle name="40% - Accent1 4 4 2 2" xfId="3786"/>
    <cellStyle name="40% - Accent1 4 4 3" xfId="3787"/>
    <cellStyle name="40% - Accent1 4 5" xfId="3788"/>
    <cellStyle name="40% - Accent1 4 5 2" xfId="3789"/>
    <cellStyle name="40% - Accent1 4 6" xfId="3790"/>
    <cellStyle name="40% - Accent1 4 7" xfId="3791"/>
    <cellStyle name="40% - Accent1 5" xfId="443"/>
    <cellStyle name="40% - Accent1 5 2" xfId="3792"/>
    <cellStyle name="40% - Accent1 5 2 2" xfId="3793"/>
    <cellStyle name="40% - Accent1 5 2 2 2" xfId="3794"/>
    <cellStyle name="40% - Accent1 5 2 2 2 2" xfId="3795"/>
    <cellStyle name="40% - Accent1 5 2 2 3" xfId="3796"/>
    <cellStyle name="40% - Accent1 5 2 3" xfId="3797"/>
    <cellStyle name="40% - Accent1 5 2 3 2" xfId="3798"/>
    <cellStyle name="40% - Accent1 5 2 4" xfId="3799"/>
    <cellStyle name="40% - Accent1 5 2 5" xfId="3800"/>
    <cellStyle name="40% - Accent1 5 3" xfId="3801"/>
    <cellStyle name="40% - Accent1 5 3 2" xfId="3802"/>
    <cellStyle name="40% - Accent1 5 3 2 2" xfId="3803"/>
    <cellStyle name="40% - Accent1 5 3 3" xfId="3804"/>
    <cellStyle name="40% - Accent1 5 4" xfId="3805"/>
    <cellStyle name="40% - Accent1 5 4 2" xfId="3806"/>
    <cellStyle name="40% - Accent1 5 5" xfId="3807"/>
    <cellStyle name="40% - Accent1 5 6" xfId="3808"/>
    <cellStyle name="40% - Accent1 6" xfId="444"/>
    <cellStyle name="40% - Accent1 6 2" xfId="3809"/>
    <cellStyle name="40% - Accent1 6 2 2" xfId="3810"/>
    <cellStyle name="40% - Accent1 6 2 2 2" xfId="3811"/>
    <cellStyle name="40% - Accent1 6 2 3" xfId="3812"/>
    <cellStyle name="40% - Accent1 6 2 4" xfId="3813"/>
    <cellStyle name="40% - Accent1 6 2 5" xfId="3814"/>
    <cellStyle name="40% - Accent1 6 3" xfId="3815"/>
    <cellStyle name="40% - Accent1 6 3 2" xfId="3816"/>
    <cellStyle name="40% - Accent1 6 4" xfId="3817"/>
    <cellStyle name="40% - Accent1 6 5" xfId="3818"/>
    <cellStyle name="40% - Accent1 7" xfId="445"/>
    <cellStyle name="40% - Accent1 7 2" xfId="3819"/>
    <cellStyle name="40% - Accent1 7 2 2" xfId="3820"/>
    <cellStyle name="40% - Accent1 7 2 2 2" xfId="3821"/>
    <cellStyle name="40% - Accent1 7 2 3" xfId="3822"/>
    <cellStyle name="40% - Accent1 7 3" xfId="3823"/>
    <cellStyle name="40% - Accent1 7 3 2" xfId="3824"/>
    <cellStyle name="40% - Accent1 7 4" xfId="3825"/>
    <cellStyle name="40% - Accent1 7 5" xfId="3826"/>
    <cellStyle name="40% - Accent1 8" xfId="446"/>
    <cellStyle name="40% - Accent1 8 2" xfId="3827"/>
    <cellStyle name="40% - Accent1 8 2 2" xfId="3828"/>
    <cellStyle name="40% - Accent1 8 2 2 2" xfId="3829"/>
    <cellStyle name="40% - Accent1 8 2 3" xfId="3830"/>
    <cellStyle name="40% - Accent1 8 3" xfId="3831"/>
    <cellStyle name="40% - Accent1 8 3 2" xfId="3832"/>
    <cellStyle name="40% - Accent1 8 4" xfId="3833"/>
    <cellStyle name="40% - Accent1 8 5" xfId="3834"/>
    <cellStyle name="40% - Accent1 9" xfId="447"/>
    <cellStyle name="40% - Accent1 9 2" xfId="3835"/>
    <cellStyle name="40% - Accent1 9 2 2" xfId="3836"/>
    <cellStyle name="40% - Accent1 9 3" xfId="3837"/>
    <cellStyle name="40% - Accent1 9 4" xfId="3838"/>
    <cellStyle name="40% - Accent2 10" xfId="448"/>
    <cellStyle name="40% - Accent2 10 2" xfId="3839"/>
    <cellStyle name="40% - Accent2 10 2 2" xfId="3840"/>
    <cellStyle name="40% - Accent2 10 3" xfId="3841"/>
    <cellStyle name="40% - Accent2 10 4" xfId="3842"/>
    <cellStyle name="40% - Accent2 11" xfId="449"/>
    <cellStyle name="40% - Accent2 11 2" xfId="3843"/>
    <cellStyle name="40% - Accent2 11 2 2" xfId="3844"/>
    <cellStyle name="40% - Accent2 11 3" xfId="3845"/>
    <cellStyle name="40% - Accent2 11 4" xfId="3846"/>
    <cellStyle name="40% - Accent2 12" xfId="450"/>
    <cellStyle name="40% - Accent2 12 2" xfId="3847"/>
    <cellStyle name="40% - Accent2 12 3" xfId="3848"/>
    <cellStyle name="40% - Accent2 13" xfId="451"/>
    <cellStyle name="40% - Accent2 13 2" xfId="3849"/>
    <cellStyle name="40% - Accent2 14" xfId="452"/>
    <cellStyle name="40% - Accent2 15" xfId="453"/>
    <cellStyle name="40% - Accent2 15 2" xfId="454"/>
    <cellStyle name="40% - Accent2 15 3" xfId="455"/>
    <cellStyle name="40% - Accent2 15 4" xfId="456"/>
    <cellStyle name="40% - Accent2 15 5" xfId="457"/>
    <cellStyle name="40% - Accent2 16" xfId="458"/>
    <cellStyle name="40% - Accent2 16 2" xfId="459"/>
    <cellStyle name="40% - Accent2 16 3" xfId="460"/>
    <cellStyle name="40% - Accent2 16 4" xfId="461"/>
    <cellStyle name="40% - Accent2 16 5" xfId="462"/>
    <cellStyle name="40% - Accent2 17" xfId="463"/>
    <cellStyle name="40% - Accent2 17 2" xfId="464"/>
    <cellStyle name="40% - Accent2 17 3" xfId="465"/>
    <cellStyle name="40% - Accent2 17 4" xfId="466"/>
    <cellStyle name="40% - Accent2 17 5" xfId="467"/>
    <cellStyle name="40% - Accent2 18" xfId="468"/>
    <cellStyle name="40% - Accent2 19" xfId="469"/>
    <cellStyle name="40% - Accent2 2" xfId="470"/>
    <cellStyle name="40% - Accent2 2 2" xfId="471"/>
    <cellStyle name="40% - Accent2 2 2 2" xfId="472"/>
    <cellStyle name="40% - Accent2 2 2 2 2" xfId="473"/>
    <cellStyle name="40% - Accent2 2 2 2 2 2" xfId="3850"/>
    <cellStyle name="40% - Accent2 2 2 2 2 2 2" xfId="3851"/>
    <cellStyle name="40% - Accent2 2 2 2 2 2 2 2" xfId="3852"/>
    <cellStyle name="40% - Accent2 2 2 2 2 2 3" xfId="3853"/>
    <cellStyle name="40% - Accent2 2 2 2 2 3" xfId="3854"/>
    <cellStyle name="40% - Accent2 2 2 2 2 3 2" xfId="3855"/>
    <cellStyle name="40% - Accent2 2 2 2 2 4" xfId="3856"/>
    <cellStyle name="40% - Accent2 2 2 2 2 5" xfId="3857"/>
    <cellStyle name="40% - Accent2 2 2 2 3" xfId="474"/>
    <cellStyle name="40% - Accent2 2 2 2 3 2" xfId="3858"/>
    <cellStyle name="40% - Accent2 2 2 2 3 2 2" xfId="3859"/>
    <cellStyle name="40% - Accent2 2 2 2 3 3" xfId="3860"/>
    <cellStyle name="40% - Accent2 2 2 2 4" xfId="475"/>
    <cellStyle name="40% - Accent2 2 2 2 4 2" xfId="3861"/>
    <cellStyle name="40% - Accent2 2 2 2 5" xfId="476"/>
    <cellStyle name="40% - Accent2 2 2 2 6" xfId="3862"/>
    <cellStyle name="40% - Accent2 2 2 3" xfId="477"/>
    <cellStyle name="40% - Accent2 2 2 3 2" xfId="3863"/>
    <cellStyle name="40% - Accent2 2 2 3 2 2" xfId="3864"/>
    <cellStyle name="40% - Accent2 2 2 3 2 2 2" xfId="3865"/>
    <cellStyle name="40% - Accent2 2 2 3 2 3" xfId="3866"/>
    <cellStyle name="40% - Accent2 2 2 3 3" xfId="3867"/>
    <cellStyle name="40% - Accent2 2 2 3 3 2" xfId="3868"/>
    <cellStyle name="40% - Accent2 2 2 3 4" xfId="3869"/>
    <cellStyle name="40% - Accent2 2 2 3 5" xfId="3870"/>
    <cellStyle name="40% - Accent2 2 2 4" xfId="478"/>
    <cellStyle name="40% - Accent2 2 2 4 2" xfId="3871"/>
    <cellStyle name="40% - Accent2 2 2 4 2 2" xfId="3872"/>
    <cellStyle name="40% - Accent2 2 2 4 3" xfId="3873"/>
    <cellStyle name="40% - Accent2 2 2 5" xfId="479"/>
    <cellStyle name="40% - Accent2 2 2 5 2" xfId="3874"/>
    <cellStyle name="40% - Accent2 2 2 6" xfId="3875"/>
    <cellStyle name="40% - Accent2 2 2 7" xfId="3876"/>
    <cellStyle name="40% - Accent2 2 3" xfId="480"/>
    <cellStyle name="40% - Accent2 2 3 2" xfId="3877"/>
    <cellStyle name="40% - Accent2 2 3 2 2" xfId="3878"/>
    <cellStyle name="40% - Accent2 2 3 2 2 2" xfId="3879"/>
    <cellStyle name="40% - Accent2 2 3 2 2 2 2" xfId="3880"/>
    <cellStyle name="40% - Accent2 2 3 2 2 3" xfId="3881"/>
    <cellStyle name="40% - Accent2 2 3 2 3" xfId="3882"/>
    <cellStyle name="40% - Accent2 2 3 2 3 2" xfId="3883"/>
    <cellStyle name="40% - Accent2 2 3 2 4" xfId="3884"/>
    <cellStyle name="40% - Accent2 2 3 3" xfId="3885"/>
    <cellStyle name="40% - Accent2 2 3 3 2" xfId="3886"/>
    <cellStyle name="40% - Accent2 2 3 3 2 2" xfId="3887"/>
    <cellStyle name="40% - Accent2 2 3 3 3" xfId="3888"/>
    <cellStyle name="40% - Accent2 2 3 4" xfId="3889"/>
    <cellStyle name="40% - Accent2 2 3 4 2" xfId="3890"/>
    <cellStyle name="40% - Accent2 2 3 5" xfId="3891"/>
    <cellStyle name="40% - Accent2 2 3 6" xfId="3892"/>
    <cellStyle name="40% - Accent2 2 4" xfId="481"/>
    <cellStyle name="40% - Accent2 2 4 2" xfId="3893"/>
    <cellStyle name="40% - Accent2 2 4 2 2" xfId="3894"/>
    <cellStyle name="40% - Accent2 2 4 2 2 2" xfId="3895"/>
    <cellStyle name="40% - Accent2 2 4 2 3" xfId="3896"/>
    <cellStyle name="40% - Accent2 2 4 3" xfId="3897"/>
    <cellStyle name="40% - Accent2 2 4 3 2" xfId="3898"/>
    <cellStyle name="40% - Accent2 2 4 4" xfId="3899"/>
    <cellStyle name="40% - Accent2 2 4 5" xfId="3900"/>
    <cellStyle name="40% - Accent2 2 5" xfId="482"/>
    <cellStyle name="40% - Accent2 2 5 2" xfId="3901"/>
    <cellStyle name="40% - Accent2 2 5 2 2" xfId="3902"/>
    <cellStyle name="40% - Accent2 2 5 3" xfId="3903"/>
    <cellStyle name="40% - Accent2 2 5 4" xfId="3904"/>
    <cellStyle name="40% - Accent2 2 6" xfId="483"/>
    <cellStyle name="40% - Accent2 2 6 2" xfId="3905"/>
    <cellStyle name="40% - Accent2 2 6 3" xfId="3906"/>
    <cellStyle name="40% - Accent2 2 7" xfId="484"/>
    <cellStyle name="40% - Accent2 2 8" xfId="485"/>
    <cellStyle name="40% - Accent2 2 9" xfId="486"/>
    <cellStyle name="40% - Accent2 20" xfId="487"/>
    <cellStyle name="40% - Accent2 21" xfId="488"/>
    <cellStyle name="40% - Accent2 22" xfId="489"/>
    <cellStyle name="40% - Accent2 23" xfId="490"/>
    <cellStyle name="40% - Accent2 24" xfId="491"/>
    <cellStyle name="40% - Accent2 25" xfId="492"/>
    <cellStyle name="40% - Accent2 26" xfId="493"/>
    <cellStyle name="40% - Accent2 27" xfId="494"/>
    <cellStyle name="40% - Accent2 28" xfId="495"/>
    <cellStyle name="40% - Accent2 29" xfId="496"/>
    <cellStyle name="40% - Accent2 3" xfId="497"/>
    <cellStyle name="40% - Accent2 3 2" xfId="3907"/>
    <cellStyle name="40% - Accent2 3 2 2" xfId="3908"/>
    <cellStyle name="40% - Accent2 3 2 2 2" xfId="3909"/>
    <cellStyle name="40% - Accent2 3 2 2 2 2" xfId="3910"/>
    <cellStyle name="40% - Accent2 3 2 2 2 2 2" xfId="3911"/>
    <cellStyle name="40% - Accent2 3 2 2 2 2 2 2" xfId="3912"/>
    <cellStyle name="40% - Accent2 3 2 2 2 2 3" xfId="3913"/>
    <cellStyle name="40% - Accent2 3 2 2 2 3" xfId="3914"/>
    <cellStyle name="40% - Accent2 3 2 2 2 3 2" xfId="3915"/>
    <cellStyle name="40% - Accent2 3 2 2 2 4" xfId="3916"/>
    <cellStyle name="40% - Accent2 3 2 2 3" xfId="3917"/>
    <cellStyle name="40% - Accent2 3 2 2 3 2" xfId="3918"/>
    <cellStyle name="40% - Accent2 3 2 2 3 2 2" xfId="3919"/>
    <cellStyle name="40% - Accent2 3 2 2 3 3" xfId="3920"/>
    <cellStyle name="40% - Accent2 3 2 2 4" xfId="3921"/>
    <cellStyle name="40% - Accent2 3 2 2 4 2" xfId="3922"/>
    <cellStyle name="40% - Accent2 3 2 2 5" xfId="3923"/>
    <cellStyle name="40% - Accent2 3 2 2 6" xfId="3924"/>
    <cellStyle name="40% - Accent2 3 2 3" xfId="3925"/>
    <cellStyle name="40% - Accent2 3 2 3 2" xfId="3926"/>
    <cellStyle name="40% - Accent2 3 2 3 2 2" xfId="3927"/>
    <cellStyle name="40% - Accent2 3 2 3 2 2 2" xfId="3928"/>
    <cellStyle name="40% - Accent2 3 2 3 2 3" xfId="3929"/>
    <cellStyle name="40% - Accent2 3 2 3 3" xfId="3930"/>
    <cellStyle name="40% - Accent2 3 2 3 3 2" xfId="3931"/>
    <cellStyle name="40% - Accent2 3 2 3 4" xfId="3932"/>
    <cellStyle name="40% - Accent2 3 2 4" xfId="3933"/>
    <cellStyle name="40% - Accent2 3 2 4 2" xfId="3934"/>
    <cellStyle name="40% - Accent2 3 2 4 2 2" xfId="3935"/>
    <cellStyle name="40% - Accent2 3 2 4 3" xfId="3936"/>
    <cellStyle name="40% - Accent2 3 2 5" xfId="3937"/>
    <cellStyle name="40% - Accent2 3 2 5 2" xfId="3938"/>
    <cellStyle name="40% - Accent2 3 2 6" xfId="3939"/>
    <cellStyle name="40% - Accent2 3 2 7" xfId="3940"/>
    <cellStyle name="40% - Accent2 3 3" xfId="3941"/>
    <cellStyle name="40% - Accent2 3 3 2" xfId="3942"/>
    <cellStyle name="40% - Accent2 3 3 2 2" xfId="3943"/>
    <cellStyle name="40% - Accent2 3 3 2 2 2" xfId="3944"/>
    <cellStyle name="40% - Accent2 3 3 2 2 2 2" xfId="3945"/>
    <cellStyle name="40% - Accent2 3 3 2 2 3" xfId="3946"/>
    <cellStyle name="40% - Accent2 3 3 2 3" xfId="3947"/>
    <cellStyle name="40% - Accent2 3 3 2 3 2" xfId="3948"/>
    <cellStyle name="40% - Accent2 3 3 2 4" xfId="3949"/>
    <cellStyle name="40% - Accent2 3 3 3" xfId="3950"/>
    <cellStyle name="40% - Accent2 3 3 3 2" xfId="3951"/>
    <cellStyle name="40% - Accent2 3 3 3 2 2" xfId="3952"/>
    <cellStyle name="40% - Accent2 3 3 3 3" xfId="3953"/>
    <cellStyle name="40% - Accent2 3 3 4" xfId="3954"/>
    <cellStyle name="40% - Accent2 3 3 4 2" xfId="3955"/>
    <cellStyle name="40% - Accent2 3 3 5" xfId="3956"/>
    <cellStyle name="40% - Accent2 3 3 6" xfId="3957"/>
    <cellStyle name="40% - Accent2 3 4" xfId="3958"/>
    <cellStyle name="40% - Accent2 3 4 2" xfId="3959"/>
    <cellStyle name="40% - Accent2 3 4 2 2" xfId="3960"/>
    <cellStyle name="40% - Accent2 3 4 2 2 2" xfId="3961"/>
    <cellStyle name="40% - Accent2 3 4 2 3" xfId="3962"/>
    <cellStyle name="40% - Accent2 3 4 3" xfId="3963"/>
    <cellStyle name="40% - Accent2 3 4 3 2" xfId="3964"/>
    <cellStyle name="40% - Accent2 3 4 4" xfId="3965"/>
    <cellStyle name="40% - Accent2 3 4 5" xfId="3966"/>
    <cellStyle name="40% - Accent2 3 5" xfId="3967"/>
    <cellStyle name="40% - Accent2 3 5 2" xfId="3968"/>
    <cellStyle name="40% - Accent2 3 5 2 2" xfId="3969"/>
    <cellStyle name="40% - Accent2 3 5 3" xfId="3970"/>
    <cellStyle name="40% - Accent2 3 6" xfId="3971"/>
    <cellStyle name="40% - Accent2 3 6 2" xfId="3972"/>
    <cellStyle name="40% - Accent2 3 7" xfId="3973"/>
    <cellStyle name="40% - Accent2 3 8" xfId="3974"/>
    <cellStyle name="40% - Accent2 3 9" xfId="3975"/>
    <cellStyle name="40% - Accent2 30" xfId="498"/>
    <cellStyle name="40% - Accent2 31" xfId="499"/>
    <cellStyle name="40% - Accent2 32" xfId="500"/>
    <cellStyle name="40% - Accent2 33" xfId="501"/>
    <cellStyle name="40% - Accent2 34" xfId="502"/>
    <cellStyle name="40% - Accent2 35" xfId="503"/>
    <cellStyle name="40% - Accent2 4" xfId="504"/>
    <cellStyle name="40% - Accent2 4 2" xfId="3976"/>
    <cellStyle name="40% - Accent2 4 2 2" xfId="3977"/>
    <cellStyle name="40% - Accent2 4 2 2 2" xfId="3978"/>
    <cellStyle name="40% - Accent2 4 2 2 2 2" xfId="3979"/>
    <cellStyle name="40% - Accent2 4 2 2 2 2 2" xfId="3980"/>
    <cellStyle name="40% - Accent2 4 2 2 2 3" xfId="3981"/>
    <cellStyle name="40% - Accent2 4 2 2 3" xfId="3982"/>
    <cellStyle name="40% - Accent2 4 2 2 3 2" xfId="3983"/>
    <cellStyle name="40% - Accent2 4 2 2 4" xfId="3984"/>
    <cellStyle name="40% - Accent2 4 2 3" xfId="3985"/>
    <cellStyle name="40% - Accent2 4 2 3 2" xfId="3986"/>
    <cellStyle name="40% - Accent2 4 2 3 2 2" xfId="3987"/>
    <cellStyle name="40% - Accent2 4 2 3 3" xfId="3988"/>
    <cellStyle name="40% - Accent2 4 2 4" xfId="3989"/>
    <cellStyle name="40% - Accent2 4 2 4 2" xfId="3990"/>
    <cellStyle name="40% - Accent2 4 2 5" xfId="3991"/>
    <cellStyle name="40% - Accent2 4 2 6" xfId="3992"/>
    <cellStyle name="40% - Accent2 4 3" xfId="3993"/>
    <cellStyle name="40% - Accent2 4 3 2" xfId="3994"/>
    <cellStyle name="40% - Accent2 4 3 2 2" xfId="3995"/>
    <cellStyle name="40% - Accent2 4 3 2 2 2" xfId="3996"/>
    <cellStyle name="40% - Accent2 4 3 2 3" xfId="3997"/>
    <cellStyle name="40% - Accent2 4 3 3" xfId="3998"/>
    <cellStyle name="40% - Accent2 4 3 3 2" xfId="3999"/>
    <cellStyle name="40% - Accent2 4 3 4" xfId="4000"/>
    <cellStyle name="40% - Accent2 4 3 5" xfId="4001"/>
    <cellStyle name="40% - Accent2 4 4" xfId="4002"/>
    <cellStyle name="40% - Accent2 4 4 2" xfId="4003"/>
    <cellStyle name="40% - Accent2 4 4 2 2" xfId="4004"/>
    <cellStyle name="40% - Accent2 4 4 3" xfId="4005"/>
    <cellStyle name="40% - Accent2 4 5" xfId="4006"/>
    <cellStyle name="40% - Accent2 4 5 2" xfId="4007"/>
    <cellStyle name="40% - Accent2 4 6" xfId="4008"/>
    <cellStyle name="40% - Accent2 4 7" xfId="4009"/>
    <cellStyle name="40% - Accent2 5" xfId="505"/>
    <cellStyle name="40% - Accent2 5 2" xfId="4010"/>
    <cellStyle name="40% - Accent2 5 2 2" xfId="4011"/>
    <cellStyle name="40% - Accent2 5 2 2 2" xfId="4012"/>
    <cellStyle name="40% - Accent2 5 2 2 2 2" xfId="4013"/>
    <cellStyle name="40% - Accent2 5 2 2 3" xfId="4014"/>
    <cellStyle name="40% - Accent2 5 2 3" xfId="4015"/>
    <cellStyle name="40% - Accent2 5 2 3 2" xfId="4016"/>
    <cellStyle name="40% - Accent2 5 2 4" xfId="4017"/>
    <cellStyle name="40% - Accent2 5 2 5" xfId="4018"/>
    <cellStyle name="40% - Accent2 5 3" xfId="4019"/>
    <cellStyle name="40% - Accent2 5 3 2" xfId="4020"/>
    <cellStyle name="40% - Accent2 5 3 2 2" xfId="4021"/>
    <cellStyle name="40% - Accent2 5 3 3" xfId="4022"/>
    <cellStyle name="40% - Accent2 5 4" xfId="4023"/>
    <cellStyle name="40% - Accent2 5 4 2" xfId="4024"/>
    <cellStyle name="40% - Accent2 5 5" xfId="4025"/>
    <cellStyle name="40% - Accent2 5 6" xfId="4026"/>
    <cellStyle name="40% - Accent2 6" xfId="506"/>
    <cellStyle name="40% - Accent2 6 2" xfId="4027"/>
    <cellStyle name="40% - Accent2 6 2 2" xfId="4028"/>
    <cellStyle name="40% - Accent2 6 2 2 2" xfId="4029"/>
    <cellStyle name="40% - Accent2 6 2 3" xfId="4030"/>
    <cellStyle name="40% - Accent2 6 2 4" xfId="4031"/>
    <cellStyle name="40% - Accent2 6 2 5" xfId="4032"/>
    <cellStyle name="40% - Accent2 6 3" xfId="4033"/>
    <cellStyle name="40% - Accent2 6 3 2" xfId="4034"/>
    <cellStyle name="40% - Accent2 6 4" xfId="4035"/>
    <cellStyle name="40% - Accent2 6 5" xfId="4036"/>
    <cellStyle name="40% - Accent2 7" xfId="507"/>
    <cellStyle name="40% - Accent2 7 2" xfId="4037"/>
    <cellStyle name="40% - Accent2 7 2 2" xfId="4038"/>
    <cellStyle name="40% - Accent2 7 2 2 2" xfId="4039"/>
    <cellStyle name="40% - Accent2 7 2 3" xfId="4040"/>
    <cellStyle name="40% - Accent2 7 3" xfId="4041"/>
    <cellStyle name="40% - Accent2 7 3 2" xfId="4042"/>
    <cellStyle name="40% - Accent2 7 4" xfId="4043"/>
    <cellStyle name="40% - Accent2 7 5" xfId="4044"/>
    <cellStyle name="40% - Accent2 8" xfId="508"/>
    <cellStyle name="40% - Accent2 8 2" xfId="4045"/>
    <cellStyle name="40% - Accent2 8 2 2" xfId="4046"/>
    <cellStyle name="40% - Accent2 8 2 2 2" xfId="4047"/>
    <cellStyle name="40% - Accent2 8 2 3" xfId="4048"/>
    <cellStyle name="40% - Accent2 8 3" xfId="4049"/>
    <cellStyle name="40% - Accent2 8 3 2" xfId="4050"/>
    <cellStyle name="40% - Accent2 8 4" xfId="4051"/>
    <cellStyle name="40% - Accent2 8 5" xfId="4052"/>
    <cellStyle name="40% - Accent2 9" xfId="509"/>
    <cellStyle name="40% - Accent2 9 2" xfId="4053"/>
    <cellStyle name="40% - Accent2 9 2 2" xfId="4054"/>
    <cellStyle name="40% - Accent2 9 3" xfId="4055"/>
    <cellStyle name="40% - Accent2 9 4" xfId="4056"/>
    <cellStyle name="40% - Accent3 10" xfId="510"/>
    <cellStyle name="40% - Accent3 10 2" xfId="4057"/>
    <cellStyle name="40% - Accent3 10 2 2" xfId="4058"/>
    <cellStyle name="40% - Accent3 10 3" xfId="4059"/>
    <cellStyle name="40% - Accent3 10 4" xfId="4060"/>
    <cellStyle name="40% - Accent3 11" xfId="511"/>
    <cellStyle name="40% - Accent3 11 2" xfId="4061"/>
    <cellStyle name="40% - Accent3 11 2 2" xfId="4062"/>
    <cellStyle name="40% - Accent3 11 3" xfId="4063"/>
    <cellStyle name="40% - Accent3 11 4" xfId="4064"/>
    <cellStyle name="40% - Accent3 12" xfId="512"/>
    <cellStyle name="40% - Accent3 12 2" xfId="4065"/>
    <cellStyle name="40% - Accent3 12 3" xfId="4066"/>
    <cellStyle name="40% - Accent3 13" xfId="513"/>
    <cellStyle name="40% - Accent3 13 2" xfId="4067"/>
    <cellStyle name="40% - Accent3 14" xfId="514"/>
    <cellStyle name="40% - Accent3 15" xfId="515"/>
    <cellStyle name="40% - Accent3 15 2" xfId="516"/>
    <cellStyle name="40% - Accent3 15 3" xfId="517"/>
    <cellStyle name="40% - Accent3 15 4" xfId="518"/>
    <cellStyle name="40% - Accent3 15 5" xfId="519"/>
    <cellStyle name="40% - Accent3 16" xfId="520"/>
    <cellStyle name="40% - Accent3 16 2" xfId="521"/>
    <cellStyle name="40% - Accent3 16 3" xfId="522"/>
    <cellStyle name="40% - Accent3 16 4" xfId="523"/>
    <cellStyle name="40% - Accent3 16 5" xfId="524"/>
    <cellStyle name="40% - Accent3 17" xfId="525"/>
    <cellStyle name="40% - Accent3 17 2" xfId="526"/>
    <cellStyle name="40% - Accent3 17 3" xfId="527"/>
    <cellStyle name="40% - Accent3 17 4" xfId="528"/>
    <cellStyle name="40% - Accent3 17 5" xfId="529"/>
    <cellStyle name="40% - Accent3 18" xfId="530"/>
    <cellStyle name="40% - Accent3 19" xfId="531"/>
    <cellStyle name="40% - Accent3 2" xfId="532"/>
    <cellStyle name="40% - Accent3 2 2" xfId="533"/>
    <cellStyle name="40% - Accent3 2 2 2" xfId="534"/>
    <cellStyle name="40% - Accent3 2 2 2 2" xfId="535"/>
    <cellStyle name="40% - Accent3 2 2 2 2 2" xfId="4068"/>
    <cellStyle name="40% - Accent3 2 2 2 2 2 2" xfId="4069"/>
    <cellStyle name="40% - Accent3 2 2 2 2 2 2 2" xfId="4070"/>
    <cellStyle name="40% - Accent3 2 2 2 2 2 3" xfId="4071"/>
    <cellStyle name="40% - Accent3 2 2 2 2 3" xfId="4072"/>
    <cellStyle name="40% - Accent3 2 2 2 2 3 2" xfId="4073"/>
    <cellStyle name="40% - Accent3 2 2 2 2 4" xfId="4074"/>
    <cellStyle name="40% - Accent3 2 2 2 2 5" xfId="4075"/>
    <cellStyle name="40% - Accent3 2 2 2 3" xfId="536"/>
    <cellStyle name="40% - Accent3 2 2 2 3 2" xfId="4076"/>
    <cellStyle name="40% - Accent3 2 2 2 3 2 2" xfId="4077"/>
    <cellStyle name="40% - Accent3 2 2 2 3 3" xfId="4078"/>
    <cellStyle name="40% - Accent3 2 2 2 4" xfId="537"/>
    <cellStyle name="40% - Accent3 2 2 2 4 2" xfId="4079"/>
    <cellStyle name="40% - Accent3 2 2 2 5" xfId="538"/>
    <cellStyle name="40% - Accent3 2 2 2 6" xfId="4080"/>
    <cellStyle name="40% - Accent3 2 2 3" xfId="539"/>
    <cellStyle name="40% - Accent3 2 2 3 2" xfId="4081"/>
    <cellStyle name="40% - Accent3 2 2 3 2 2" xfId="4082"/>
    <cellStyle name="40% - Accent3 2 2 3 2 2 2" xfId="4083"/>
    <cellStyle name="40% - Accent3 2 2 3 2 3" xfId="4084"/>
    <cellStyle name="40% - Accent3 2 2 3 3" xfId="4085"/>
    <cellStyle name="40% - Accent3 2 2 3 3 2" xfId="4086"/>
    <cellStyle name="40% - Accent3 2 2 3 4" xfId="4087"/>
    <cellStyle name="40% - Accent3 2 2 3 5" xfId="4088"/>
    <cellStyle name="40% - Accent3 2 2 4" xfId="540"/>
    <cellStyle name="40% - Accent3 2 2 4 2" xfId="4089"/>
    <cellStyle name="40% - Accent3 2 2 4 2 2" xfId="4090"/>
    <cellStyle name="40% - Accent3 2 2 4 3" xfId="4091"/>
    <cellStyle name="40% - Accent3 2 2 5" xfId="541"/>
    <cellStyle name="40% - Accent3 2 2 5 2" xfId="4092"/>
    <cellStyle name="40% - Accent3 2 2 6" xfId="4093"/>
    <cellStyle name="40% - Accent3 2 2 7" xfId="4094"/>
    <cellStyle name="40% - Accent3 2 3" xfId="542"/>
    <cellStyle name="40% - Accent3 2 3 2" xfId="4095"/>
    <cellStyle name="40% - Accent3 2 3 2 2" xfId="4096"/>
    <cellStyle name="40% - Accent3 2 3 2 2 2" xfId="4097"/>
    <cellStyle name="40% - Accent3 2 3 2 2 2 2" xfId="4098"/>
    <cellStyle name="40% - Accent3 2 3 2 2 3" xfId="4099"/>
    <cellStyle name="40% - Accent3 2 3 2 3" xfId="4100"/>
    <cellStyle name="40% - Accent3 2 3 2 3 2" xfId="4101"/>
    <cellStyle name="40% - Accent3 2 3 2 4" xfId="4102"/>
    <cellStyle name="40% - Accent3 2 3 3" xfId="4103"/>
    <cellStyle name="40% - Accent3 2 3 3 2" xfId="4104"/>
    <cellStyle name="40% - Accent3 2 3 3 2 2" xfId="4105"/>
    <cellStyle name="40% - Accent3 2 3 3 3" xfId="4106"/>
    <cellStyle name="40% - Accent3 2 3 4" xfId="4107"/>
    <cellStyle name="40% - Accent3 2 3 4 2" xfId="4108"/>
    <cellStyle name="40% - Accent3 2 3 5" xfId="4109"/>
    <cellStyle name="40% - Accent3 2 3 6" xfId="4110"/>
    <cellStyle name="40% - Accent3 2 4" xfId="543"/>
    <cellStyle name="40% - Accent3 2 4 2" xfId="4111"/>
    <cellStyle name="40% - Accent3 2 4 2 2" xfId="4112"/>
    <cellStyle name="40% - Accent3 2 4 2 2 2" xfId="4113"/>
    <cellStyle name="40% - Accent3 2 4 2 3" xfId="4114"/>
    <cellStyle name="40% - Accent3 2 4 3" xfId="4115"/>
    <cellStyle name="40% - Accent3 2 4 3 2" xfId="4116"/>
    <cellStyle name="40% - Accent3 2 4 4" xfId="4117"/>
    <cellStyle name="40% - Accent3 2 4 5" xfId="4118"/>
    <cellStyle name="40% - Accent3 2 5" xfId="544"/>
    <cellStyle name="40% - Accent3 2 5 2" xfId="4119"/>
    <cellStyle name="40% - Accent3 2 5 2 2" xfId="4120"/>
    <cellStyle name="40% - Accent3 2 5 3" xfId="4121"/>
    <cellStyle name="40% - Accent3 2 5 4" xfId="4122"/>
    <cellStyle name="40% - Accent3 2 6" xfId="545"/>
    <cellStyle name="40% - Accent3 2 6 2" xfId="4123"/>
    <cellStyle name="40% - Accent3 2 6 3" xfId="4124"/>
    <cellStyle name="40% - Accent3 2 7" xfId="546"/>
    <cellStyle name="40% - Accent3 2 8" xfId="547"/>
    <cellStyle name="40% - Accent3 2 9" xfId="548"/>
    <cellStyle name="40% - Accent3 20" xfId="549"/>
    <cellStyle name="40% - Accent3 21" xfId="550"/>
    <cellStyle name="40% - Accent3 22" xfId="551"/>
    <cellStyle name="40% - Accent3 23" xfId="552"/>
    <cellStyle name="40% - Accent3 24" xfId="553"/>
    <cellStyle name="40% - Accent3 25" xfId="554"/>
    <cellStyle name="40% - Accent3 26" xfId="555"/>
    <cellStyle name="40% - Accent3 27" xfId="556"/>
    <cellStyle name="40% - Accent3 28" xfId="557"/>
    <cellStyle name="40% - Accent3 29" xfId="558"/>
    <cellStyle name="40% - Accent3 3" xfId="559"/>
    <cellStyle name="40% - Accent3 3 2" xfId="4125"/>
    <cellStyle name="40% - Accent3 3 2 2" xfId="4126"/>
    <cellStyle name="40% - Accent3 3 2 2 2" xfId="4127"/>
    <cellStyle name="40% - Accent3 3 2 2 2 2" xfId="4128"/>
    <cellStyle name="40% - Accent3 3 2 2 2 2 2" xfId="4129"/>
    <cellStyle name="40% - Accent3 3 2 2 2 2 2 2" xfId="4130"/>
    <cellStyle name="40% - Accent3 3 2 2 2 2 3" xfId="4131"/>
    <cellStyle name="40% - Accent3 3 2 2 2 3" xfId="4132"/>
    <cellStyle name="40% - Accent3 3 2 2 2 3 2" xfId="4133"/>
    <cellStyle name="40% - Accent3 3 2 2 2 4" xfId="4134"/>
    <cellStyle name="40% - Accent3 3 2 2 3" xfId="4135"/>
    <cellStyle name="40% - Accent3 3 2 2 3 2" xfId="4136"/>
    <cellStyle name="40% - Accent3 3 2 2 3 2 2" xfId="4137"/>
    <cellStyle name="40% - Accent3 3 2 2 3 3" xfId="4138"/>
    <cellStyle name="40% - Accent3 3 2 2 4" xfId="4139"/>
    <cellStyle name="40% - Accent3 3 2 2 4 2" xfId="4140"/>
    <cellStyle name="40% - Accent3 3 2 2 5" xfId="4141"/>
    <cellStyle name="40% - Accent3 3 2 2 6" xfId="4142"/>
    <cellStyle name="40% - Accent3 3 2 3" xfId="4143"/>
    <cellStyle name="40% - Accent3 3 2 3 2" xfId="4144"/>
    <cellStyle name="40% - Accent3 3 2 3 2 2" xfId="4145"/>
    <cellStyle name="40% - Accent3 3 2 3 2 2 2" xfId="4146"/>
    <cellStyle name="40% - Accent3 3 2 3 2 3" xfId="4147"/>
    <cellStyle name="40% - Accent3 3 2 3 3" xfId="4148"/>
    <cellStyle name="40% - Accent3 3 2 3 3 2" xfId="4149"/>
    <cellStyle name="40% - Accent3 3 2 3 4" xfId="4150"/>
    <cellStyle name="40% - Accent3 3 2 4" xfId="4151"/>
    <cellStyle name="40% - Accent3 3 2 4 2" xfId="4152"/>
    <cellStyle name="40% - Accent3 3 2 4 2 2" xfId="4153"/>
    <cellStyle name="40% - Accent3 3 2 4 3" xfId="4154"/>
    <cellStyle name="40% - Accent3 3 2 5" xfId="4155"/>
    <cellStyle name="40% - Accent3 3 2 5 2" xfId="4156"/>
    <cellStyle name="40% - Accent3 3 2 6" xfId="4157"/>
    <cellStyle name="40% - Accent3 3 2 7" xfId="4158"/>
    <cellStyle name="40% - Accent3 3 3" xfId="4159"/>
    <cellStyle name="40% - Accent3 3 3 2" xfId="4160"/>
    <cellStyle name="40% - Accent3 3 3 2 2" xfId="4161"/>
    <cellStyle name="40% - Accent3 3 3 2 2 2" xfId="4162"/>
    <cellStyle name="40% - Accent3 3 3 2 2 2 2" xfId="4163"/>
    <cellStyle name="40% - Accent3 3 3 2 2 3" xfId="4164"/>
    <cellStyle name="40% - Accent3 3 3 2 3" xfId="4165"/>
    <cellStyle name="40% - Accent3 3 3 2 3 2" xfId="4166"/>
    <cellStyle name="40% - Accent3 3 3 2 4" xfId="4167"/>
    <cellStyle name="40% - Accent3 3 3 3" xfId="4168"/>
    <cellStyle name="40% - Accent3 3 3 3 2" xfId="4169"/>
    <cellStyle name="40% - Accent3 3 3 3 2 2" xfId="4170"/>
    <cellStyle name="40% - Accent3 3 3 3 3" xfId="4171"/>
    <cellStyle name="40% - Accent3 3 3 4" xfId="4172"/>
    <cellStyle name="40% - Accent3 3 3 4 2" xfId="4173"/>
    <cellStyle name="40% - Accent3 3 3 5" xfId="4174"/>
    <cellStyle name="40% - Accent3 3 3 6" xfId="4175"/>
    <cellStyle name="40% - Accent3 3 4" xfId="4176"/>
    <cellStyle name="40% - Accent3 3 4 2" xfId="4177"/>
    <cellStyle name="40% - Accent3 3 4 2 2" xfId="4178"/>
    <cellStyle name="40% - Accent3 3 4 2 2 2" xfId="4179"/>
    <cellStyle name="40% - Accent3 3 4 2 3" xfId="4180"/>
    <cellStyle name="40% - Accent3 3 4 3" xfId="4181"/>
    <cellStyle name="40% - Accent3 3 4 3 2" xfId="4182"/>
    <cellStyle name="40% - Accent3 3 4 4" xfId="4183"/>
    <cellStyle name="40% - Accent3 3 4 5" xfId="4184"/>
    <cellStyle name="40% - Accent3 3 5" xfId="4185"/>
    <cellStyle name="40% - Accent3 3 5 2" xfId="4186"/>
    <cellStyle name="40% - Accent3 3 5 2 2" xfId="4187"/>
    <cellStyle name="40% - Accent3 3 5 3" xfId="4188"/>
    <cellStyle name="40% - Accent3 3 6" xfId="4189"/>
    <cellStyle name="40% - Accent3 3 6 2" xfId="4190"/>
    <cellStyle name="40% - Accent3 3 7" xfId="4191"/>
    <cellStyle name="40% - Accent3 3 8" xfId="4192"/>
    <cellStyle name="40% - Accent3 3 9" xfId="4193"/>
    <cellStyle name="40% - Accent3 30" xfId="560"/>
    <cellStyle name="40% - Accent3 31" xfId="561"/>
    <cellStyle name="40% - Accent3 32" xfId="562"/>
    <cellStyle name="40% - Accent3 33" xfId="563"/>
    <cellStyle name="40% - Accent3 34" xfId="564"/>
    <cellStyle name="40% - Accent3 35" xfId="565"/>
    <cellStyle name="40% - Accent3 4" xfId="566"/>
    <cellStyle name="40% - Accent3 4 2" xfId="4194"/>
    <cellStyle name="40% - Accent3 4 2 2" xfId="4195"/>
    <cellStyle name="40% - Accent3 4 2 2 2" xfId="4196"/>
    <cellStyle name="40% - Accent3 4 2 2 2 2" xfId="4197"/>
    <cellStyle name="40% - Accent3 4 2 2 2 2 2" xfId="4198"/>
    <cellStyle name="40% - Accent3 4 2 2 2 3" xfId="4199"/>
    <cellStyle name="40% - Accent3 4 2 2 3" xfId="4200"/>
    <cellStyle name="40% - Accent3 4 2 2 3 2" xfId="4201"/>
    <cellStyle name="40% - Accent3 4 2 2 4" xfId="4202"/>
    <cellStyle name="40% - Accent3 4 2 3" xfId="4203"/>
    <cellStyle name="40% - Accent3 4 2 3 2" xfId="4204"/>
    <cellStyle name="40% - Accent3 4 2 3 2 2" xfId="4205"/>
    <cellStyle name="40% - Accent3 4 2 3 3" xfId="4206"/>
    <cellStyle name="40% - Accent3 4 2 4" xfId="4207"/>
    <cellStyle name="40% - Accent3 4 2 4 2" xfId="4208"/>
    <cellStyle name="40% - Accent3 4 2 5" xfId="4209"/>
    <cellStyle name="40% - Accent3 4 2 6" xfId="4210"/>
    <cellStyle name="40% - Accent3 4 3" xfId="4211"/>
    <cellStyle name="40% - Accent3 4 3 2" xfId="4212"/>
    <cellStyle name="40% - Accent3 4 3 2 2" xfId="4213"/>
    <cellStyle name="40% - Accent3 4 3 2 2 2" xfId="4214"/>
    <cellStyle name="40% - Accent3 4 3 2 3" xfId="4215"/>
    <cellStyle name="40% - Accent3 4 3 3" xfId="4216"/>
    <cellStyle name="40% - Accent3 4 3 3 2" xfId="4217"/>
    <cellStyle name="40% - Accent3 4 3 4" xfId="4218"/>
    <cellStyle name="40% - Accent3 4 3 5" xfId="4219"/>
    <cellStyle name="40% - Accent3 4 4" xfId="4220"/>
    <cellStyle name="40% - Accent3 4 4 2" xfId="4221"/>
    <cellStyle name="40% - Accent3 4 4 2 2" xfId="4222"/>
    <cellStyle name="40% - Accent3 4 4 3" xfId="4223"/>
    <cellStyle name="40% - Accent3 4 5" xfId="4224"/>
    <cellStyle name="40% - Accent3 4 5 2" xfId="4225"/>
    <cellStyle name="40% - Accent3 4 6" xfId="4226"/>
    <cellStyle name="40% - Accent3 4 7" xfId="4227"/>
    <cellStyle name="40% - Accent3 5" xfId="567"/>
    <cellStyle name="40% - Accent3 5 2" xfId="4228"/>
    <cellStyle name="40% - Accent3 5 2 2" xfId="4229"/>
    <cellStyle name="40% - Accent3 5 2 2 2" xfId="4230"/>
    <cellStyle name="40% - Accent3 5 2 2 2 2" xfId="4231"/>
    <cellStyle name="40% - Accent3 5 2 2 3" xfId="4232"/>
    <cellStyle name="40% - Accent3 5 2 3" xfId="4233"/>
    <cellStyle name="40% - Accent3 5 2 3 2" xfId="4234"/>
    <cellStyle name="40% - Accent3 5 2 4" xfId="4235"/>
    <cellStyle name="40% - Accent3 5 2 5" xfId="4236"/>
    <cellStyle name="40% - Accent3 5 3" xfId="4237"/>
    <cellStyle name="40% - Accent3 5 3 2" xfId="4238"/>
    <cellStyle name="40% - Accent3 5 3 2 2" xfId="4239"/>
    <cellStyle name="40% - Accent3 5 3 3" xfId="4240"/>
    <cellStyle name="40% - Accent3 5 4" xfId="4241"/>
    <cellStyle name="40% - Accent3 5 4 2" xfId="4242"/>
    <cellStyle name="40% - Accent3 5 5" xfId="4243"/>
    <cellStyle name="40% - Accent3 5 6" xfId="4244"/>
    <cellStyle name="40% - Accent3 6" xfId="568"/>
    <cellStyle name="40% - Accent3 6 2" xfId="4245"/>
    <cellStyle name="40% - Accent3 6 2 2" xfId="4246"/>
    <cellStyle name="40% - Accent3 6 2 2 2" xfId="4247"/>
    <cellStyle name="40% - Accent3 6 2 3" xfId="4248"/>
    <cellStyle name="40% - Accent3 6 2 4" xfId="4249"/>
    <cellStyle name="40% - Accent3 6 2 5" xfId="4250"/>
    <cellStyle name="40% - Accent3 6 3" xfId="4251"/>
    <cellStyle name="40% - Accent3 6 3 2" xfId="4252"/>
    <cellStyle name="40% - Accent3 6 4" xfId="4253"/>
    <cellStyle name="40% - Accent3 6 5" xfId="4254"/>
    <cellStyle name="40% - Accent3 7" xfId="569"/>
    <cellStyle name="40% - Accent3 7 2" xfId="4255"/>
    <cellStyle name="40% - Accent3 7 2 2" xfId="4256"/>
    <cellStyle name="40% - Accent3 7 2 2 2" xfId="4257"/>
    <cellStyle name="40% - Accent3 7 2 3" xfId="4258"/>
    <cellStyle name="40% - Accent3 7 3" xfId="4259"/>
    <cellStyle name="40% - Accent3 7 3 2" xfId="4260"/>
    <cellStyle name="40% - Accent3 7 4" xfId="4261"/>
    <cellStyle name="40% - Accent3 7 5" xfId="4262"/>
    <cellStyle name="40% - Accent3 8" xfId="570"/>
    <cellStyle name="40% - Accent3 8 2" xfId="4263"/>
    <cellStyle name="40% - Accent3 8 2 2" xfId="4264"/>
    <cellStyle name="40% - Accent3 8 2 2 2" xfId="4265"/>
    <cellStyle name="40% - Accent3 8 2 3" xfId="4266"/>
    <cellStyle name="40% - Accent3 8 3" xfId="4267"/>
    <cellStyle name="40% - Accent3 8 3 2" xfId="4268"/>
    <cellStyle name="40% - Accent3 8 4" xfId="4269"/>
    <cellStyle name="40% - Accent3 8 5" xfId="4270"/>
    <cellStyle name="40% - Accent3 9" xfId="571"/>
    <cellStyle name="40% - Accent3 9 2" xfId="4271"/>
    <cellStyle name="40% - Accent3 9 2 2" xfId="4272"/>
    <cellStyle name="40% - Accent3 9 3" xfId="4273"/>
    <cellStyle name="40% - Accent3 9 4" xfId="4274"/>
    <cellStyle name="40% - Accent4 10" xfId="572"/>
    <cellStyle name="40% - Accent4 10 2" xfId="4275"/>
    <cellStyle name="40% - Accent4 10 2 2" xfId="4276"/>
    <cellStyle name="40% - Accent4 10 3" xfId="4277"/>
    <cellStyle name="40% - Accent4 10 4" xfId="4278"/>
    <cellStyle name="40% - Accent4 11" xfId="573"/>
    <cellStyle name="40% - Accent4 11 2" xfId="4279"/>
    <cellStyle name="40% - Accent4 11 2 2" xfId="4280"/>
    <cellStyle name="40% - Accent4 11 3" xfId="4281"/>
    <cellStyle name="40% - Accent4 11 4" xfId="4282"/>
    <cellStyle name="40% - Accent4 12" xfId="574"/>
    <cellStyle name="40% - Accent4 12 2" xfId="4283"/>
    <cellStyle name="40% - Accent4 12 3" xfId="4284"/>
    <cellStyle name="40% - Accent4 13" xfId="575"/>
    <cellStyle name="40% - Accent4 13 2" xfId="4285"/>
    <cellStyle name="40% - Accent4 14" xfId="576"/>
    <cellStyle name="40% - Accent4 15" xfId="577"/>
    <cellStyle name="40% - Accent4 15 2" xfId="578"/>
    <cellStyle name="40% - Accent4 15 3" xfId="579"/>
    <cellStyle name="40% - Accent4 15 4" xfId="580"/>
    <cellStyle name="40% - Accent4 15 5" xfId="581"/>
    <cellStyle name="40% - Accent4 16" xfId="582"/>
    <cellStyle name="40% - Accent4 16 2" xfId="583"/>
    <cellStyle name="40% - Accent4 16 3" xfId="584"/>
    <cellStyle name="40% - Accent4 16 4" xfId="585"/>
    <cellStyle name="40% - Accent4 16 5" xfId="586"/>
    <cellStyle name="40% - Accent4 17" xfId="587"/>
    <cellStyle name="40% - Accent4 17 2" xfId="588"/>
    <cellStyle name="40% - Accent4 17 3" xfId="589"/>
    <cellStyle name="40% - Accent4 17 4" xfId="590"/>
    <cellStyle name="40% - Accent4 17 5" xfId="591"/>
    <cellStyle name="40% - Accent4 18" xfId="592"/>
    <cellStyle name="40% - Accent4 19" xfId="593"/>
    <cellStyle name="40% - Accent4 2" xfId="594"/>
    <cellStyle name="40% - Accent4 2 2" xfId="595"/>
    <cellStyle name="40% - Accent4 2 2 2" xfId="596"/>
    <cellStyle name="40% - Accent4 2 2 2 2" xfId="597"/>
    <cellStyle name="40% - Accent4 2 2 2 2 2" xfId="4286"/>
    <cellStyle name="40% - Accent4 2 2 2 2 2 2" xfId="4287"/>
    <cellStyle name="40% - Accent4 2 2 2 2 2 2 2" xfId="4288"/>
    <cellStyle name="40% - Accent4 2 2 2 2 2 3" xfId="4289"/>
    <cellStyle name="40% - Accent4 2 2 2 2 3" xfId="4290"/>
    <cellStyle name="40% - Accent4 2 2 2 2 3 2" xfId="4291"/>
    <cellStyle name="40% - Accent4 2 2 2 2 4" xfId="4292"/>
    <cellStyle name="40% - Accent4 2 2 2 2 5" xfId="4293"/>
    <cellStyle name="40% - Accent4 2 2 2 3" xfId="598"/>
    <cellStyle name="40% - Accent4 2 2 2 3 2" xfId="4294"/>
    <cellStyle name="40% - Accent4 2 2 2 3 2 2" xfId="4295"/>
    <cellStyle name="40% - Accent4 2 2 2 3 3" xfId="4296"/>
    <cellStyle name="40% - Accent4 2 2 2 4" xfId="599"/>
    <cellStyle name="40% - Accent4 2 2 2 4 2" xfId="4297"/>
    <cellStyle name="40% - Accent4 2 2 2 5" xfId="600"/>
    <cellStyle name="40% - Accent4 2 2 2 6" xfId="4298"/>
    <cellStyle name="40% - Accent4 2 2 3" xfId="601"/>
    <cellStyle name="40% - Accent4 2 2 3 2" xfId="4299"/>
    <cellStyle name="40% - Accent4 2 2 3 2 2" xfId="4300"/>
    <cellStyle name="40% - Accent4 2 2 3 2 2 2" xfId="4301"/>
    <cellStyle name="40% - Accent4 2 2 3 2 3" xfId="4302"/>
    <cellStyle name="40% - Accent4 2 2 3 3" xfId="4303"/>
    <cellStyle name="40% - Accent4 2 2 3 3 2" xfId="4304"/>
    <cellStyle name="40% - Accent4 2 2 3 4" xfId="4305"/>
    <cellStyle name="40% - Accent4 2 2 3 5" xfId="4306"/>
    <cellStyle name="40% - Accent4 2 2 4" xfId="602"/>
    <cellStyle name="40% - Accent4 2 2 4 2" xfId="4307"/>
    <cellStyle name="40% - Accent4 2 2 4 2 2" xfId="4308"/>
    <cellStyle name="40% - Accent4 2 2 4 3" xfId="4309"/>
    <cellStyle name="40% - Accent4 2 2 5" xfId="603"/>
    <cellStyle name="40% - Accent4 2 2 5 2" xfId="4310"/>
    <cellStyle name="40% - Accent4 2 2 6" xfId="4311"/>
    <cellStyle name="40% - Accent4 2 2 7" xfId="4312"/>
    <cellStyle name="40% - Accent4 2 3" xfId="604"/>
    <cellStyle name="40% - Accent4 2 3 2" xfId="4313"/>
    <cellStyle name="40% - Accent4 2 3 2 2" xfId="4314"/>
    <cellStyle name="40% - Accent4 2 3 2 2 2" xfId="4315"/>
    <cellStyle name="40% - Accent4 2 3 2 2 2 2" xfId="4316"/>
    <cellStyle name="40% - Accent4 2 3 2 2 3" xfId="4317"/>
    <cellStyle name="40% - Accent4 2 3 2 3" xfId="4318"/>
    <cellStyle name="40% - Accent4 2 3 2 3 2" xfId="4319"/>
    <cellStyle name="40% - Accent4 2 3 2 4" xfId="4320"/>
    <cellStyle name="40% - Accent4 2 3 3" xfId="4321"/>
    <cellStyle name="40% - Accent4 2 3 3 2" xfId="4322"/>
    <cellStyle name="40% - Accent4 2 3 3 2 2" xfId="4323"/>
    <cellStyle name="40% - Accent4 2 3 3 3" xfId="4324"/>
    <cellStyle name="40% - Accent4 2 3 4" xfId="4325"/>
    <cellStyle name="40% - Accent4 2 3 4 2" xfId="4326"/>
    <cellStyle name="40% - Accent4 2 3 5" xfId="4327"/>
    <cellStyle name="40% - Accent4 2 3 6" xfId="4328"/>
    <cellStyle name="40% - Accent4 2 4" xfId="605"/>
    <cellStyle name="40% - Accent4 2 4 2" xfId="4329"/>
    <cellStyle name="40% - Accent4 2 4 2 2" xfId="4330"/>
    <cellStyle name="40% - Accent4 2 4 2 2 2" xfId="4331"/>
    <cellStyle name="40% - Accent4 2 4 2 3" xfId="4332"/>
    <cellStyle name="40% - Accent4 2 4 3" xfId="4333"/>
    <cellStyle name="40% - Accent4 2 4 3 2" xfId="4334"/>
    <cellStyle name="40% - Accent4 2 4 4" xfId="4335"/>
    <cellStyle name="40% - Accent4 2 4 5" xfId="4336"/>
    <cellStyle name="40% - Accent4 2 5" xfId="606"/>
    <cellStyle name="40% - Accent4 2 5 2" xfId="4337"/>
    <cellStyle name="40% - Accent4 2 5 2 2" xfId="4338"/>
    <cellStyle name="40% - Accent4 2 5 3" xfId="4339"/>
    <cellStyle name="40% - Accent4 2 5 4" xfId="4340"/>
    <cellStyle name="40% - Accent4 2 6" xfId="607"/>
    <cellStyle name="40% - Accent4 2 6 2" xfId="4341"/>
    <cellStyle name="40% - Accent4 2 6 3" xfId="4342"/>
    <cellStyle name="40% - Accent4 2 7" xfId="608"/>
    <cellStyle name="40% - Accent4 2 8" xfId="609"/>
    <cellStyle name="40% - Accent4 2 9" xfId="610"/>
    <cellStyle name="40% - Accent4 20" xfId="611"/>
    <cellStyle name="40% - Accent4 21" xfId="612"/>
    <cellStyle name="40% - Accent4 22" xfId="613"/>
    <cellStyle name="40% - Accent4 23" xfId="614"/>
    <cellStyle name="40% - Accent4 24" xfId="615"/>
    <cellStyle name="40% - Accent4 25" xfId="616"/>
    <cellStyle name="40% - Accent4 26" xfId="617"/>
    <cellStyle name="40% - Accent4 27" xfId="618"/>
    <cellStyle name="40% - Accent4 28" xfId="619"/>
    <cellStyle name="40% - Accent4 29" xfId="620"/>
    <cellStyle name="40% - Accent4 3" xfId="621"/>
    <cellStyle name="40% - Accent4 3 2" xfId="4343"/>
    <cellStyle name="40% - Accent4 3 2 2" xfId="4344"/>
    <cellStyle name="40% - Accent4 3 2 2 2" xfId="4345"/>
    <cellStyle name="40% - Accent4 3 2 2 2 2" xfId="4346"/>
    <cellStyle name="40% - Accent4 3 2 2 2 2 2" xfId="4347"/>
    <cellStyle name="40% - Accent4 3 2 2 2 2 2 2" xfId="4348"/>
    <cellStyle name="40% - Accent4 3 2 2 2 2 3" xfId="4349"/>
    <cellStyle name="40% - Accent4 3 2 2 2 3" xfId="4350"/>
    <cellStyle name="40% - Accent4 3 2 2 2 3 2" xfId="4351"/>
    <cellStyle name="40% - Accent4 3 2 2 2 4" xfId="4352"/>
    <cellStyle name="40% - Accent4 3 2 2 3" xfId="4353"/>
    <cellStyle name="40% - Accent4 3 2 2 3 2" xfId="4354"/>
    <cellStyle name="40% - Accent4 3 2 2 3 2 2" xfId="4355"/>
    <cellStyle name="40% - Accent4 3 2 2 3 3" xfId="4356"/>
    <cellStyle name="40% - Accent4 3 2 2 4" xfId="4357"/>
    <cellStyle name="40% - Accent4 3 2 2 4 2" xfId="4358"/>
    <cellStyle name="40% - Accent4 3 2 2 5" xfId="4359"/>
    <cellStyle name="40% - Accent4 3 2 2 6" xfId="4360"/>
    <cellStyle name="40% - Accent4 3 2 3" xfId="4361"/>
    <cellStyle name="40% - Accent4 3 2 3 2" xfId="4362"/>
    <cellStyle name="40% - Accent4 3 2 3 2 2" xfId="4363"/>
    <cellStyle name="40% - Accent4 3 2 3 2 2 2" xfId="4364"/>
    <cellStyle name="40% - Accent4 3 2 3 2 3" xfId="4365"/>
    <cellStyle name="40% - Accent4 3 2 3 3" xfId="4366"/>
    <cellStyle name="40% - Accent4 3 2 3 3 2" xfId="4367"/>
    <cellStyle name="40% - Accent4 3 2 3 4" xfId="4368"/>
    <cellStyle name="40% - Accent4 3 2 4" xfId="4369"/>
    <cellStyle name="40% - Accent4 3 2 4 2" xfId="4370"/>
    <cellStyle name="40% - Accent4 3 2 4 2 2" xfId="4371"/>
    <cellStyle name="40% - Accent4 3 2 4 3" xfId="4372"/>
    <cellStyle name="40% - Accent4 3 2 5" xfId="4373"/>
    <cellStyle name="40% - Accent4 3 2 5 2" xfId="4374"/>
    <cellStyle name="40% - Accent4 3 2 6" xfId="4375"/>
    <cellStyle name="40% - Accent4 3 2 7" xfId="4376"/>
    <cellStyle name="40% - Accent4 3 3" xfId="4377"/>
    <cellStyle name="40% - Accent4 3 3 2" xfId="4378"/>
    <cellStyle name="40% - Accent4 3 3 2 2" xfId="4379"/>
    <cellStyle name="40% - Accent4 3 3 2 2 2" xfId="4380"/>
    <cellStyle name="40% - Accent4 3 3 2 2 2 2" xfId="4381"/>
    <cellStyle name="40% - Accent4 3 3 2 2 3" xfId="4382"/>
    <cellStyle name="40% - Accent4 3 3 2 3" xfId="4383"/>
    <cellStyle name="40% - Accent4 3 3 2 3 2" xfId="4384"/>
    <cellStyle name="40% - Accent4 3 3 2 4" xfId="4385"/>
    <cellStyle name="40% - Accent4 3 3 3" xfId="4386"/>
    <cellStyle name="40% - Accent4 3 3 3 2" xfId="4387"/>
    <cellStyle name="40% - Accent4 3 3 3 2 2" xfId="4388"/>
    <cellStyle name="40% - Accent4 3 3 3 3" xfId="4389"/>
    <cellStyle name="40% - Accent4 3 3 4" xfId="4390"/>
    <cellStyle name="40% - Accent4 3 3 4 2" xfId="4391"/>
    <cellStyle name="40% - Accent4 3 3 5" xfId="4392"/>
    <cellStyle name="40% - Accent4 3 3 6" xfId="4393"/>
    <cellStyle name="40% - Accent4 3 4" xfId="4394"/>
    <cellStyle name="40% - Accent4 3 4 2" xfId="4395"/>
    <cellStyle name="40% - Accent4 3 4 2 2" xfId="4396"/>
    <cellStyle name="40% - Accent4 3 4 2 2 2" xfId="4397"/>
    <cellStyle name="40% - Accent4 3 4 2 3" xfId="4398"/>
    <cellStyle name="40% - Accent4 3 4 3" xfId="4399"/>
    <cellStyle name="40% - Accent4 3 4 3 2" xfId="4400"/>
    <cellStyle name="40% - Accent4 3 4 4" xfId="4401"/>
    <cellStyle name="40% - Accent4 3 4 5" xfId="4402"/>
    <cellStyle name="40% - Accent4 3 5" xfId="4403"/>
    <cellStyle name="40% - Accent4 3 5 2" xfId="4404"/>
    <cellStyle name="40% - Accent4 3 5 2 2" xfId="4405"/>
    <cellStyle name="40% - Accent4 3 5 3" xfId="4406"/>
    <cellStyle name="40% - Accent4 3 6" xfId="4407"/>
    <cellStyle name="40% - Accent4 3 6 2" xfId="4408"/>
    <cellStyle name="40% - Accent4 3 7" xfId="4409"/>
    <cellStyle name="40% - Accent4 3 8" xfId="4410"/>
    <cellStyle name="40% - Accent4 3 9" xfId="4411"/>
    <cellStyle name="40% - Accent4 30" xfId="622"/>
    <cellStyle name="40% - Accent4 31" xfId="623"/>
    <cellStyle name="40% - Accent4 32" xfId="624"/>
    <cellStyle name="40% - Accent4 33" xfId="625"/>
    <cellStyle name="40% - Accent4 34" xfId="626"/>
    <cellStyle name="40% - Accent4 35" xfId="627"/>
    <cellStyle name="40% - Accent4 4" xfId="628"/>
    <cellStyle name="40% - Accent4 4 2" xfId="4412"/>
    <cellStyle name="40% - Accent4 4 2 2" xfId="4413"/>
    <cellStyle name="40% - Accent4 4 2 2 2" xfId="4414"/>
    <cellStyle name="40% - Accent4 4 2 2 2 2" xfId="4415"/>
    <cellStyle name="40% - Accent4 4 2 2 2 2 2" xfId="4416"/>
    <cellStyle name="40% - Accent4 4 2 2 2 3" xfId="4417"/>
    <cellStyle name="40% - Accent4 4 2 2 3" xfId="4418"/>
    <cellStyle name="40% - Accent4 4 2 2 3 2" xfId="4419"/>
    <cellStyle name="40% - Accent4 4 2 2 4" xfId="4420"/>
    <cellStyle name="40% - Accent4 4 2 3" xfId="4421"/>
    <cellStyle name="40% - Accent4 4 2 3 2" xfId="4422"/>
    <cellStyle name="40% - Accent4 4 2 3 2 2" xfId="4423"/>
    <cellStyle name="40% - Accent4 4 2 3 3" xfId="4424"/>
    <cellStyle name="40% - Accent4 4 2 4" xfId="4425"/>
    <cellStyle name="40% - Accent4 4 2 4 2" xfId="4426"/>
    <cellStyle name="40% - Accent4 4 2 5" xfId="4427"/>
    <cellStyle name="40% - Accent4 4 2 6" xfId="4428"/>
    <cellStyle name="40% - Accent4 4 3" xfId="4429"/>
    <cellStyle name="40% - Accent4 4 3 2" xfId="4430"/>
    <cellStyle name="40% - Accent4 4 3 2 2" xfId="4431"/>
    <cellStyle name="40% - Accent4 4 3 2 2 2" xfId="4432"/>
    <cellStyle name="40% - Accent4 4 3 2 3" xfId="4433"/>
    <cellStyle name="40% - Accent4 4 3 3" xfId="4434"/>
    <cellStyle name="40% - Accent4 4 3 3 2" xfId="4435"/>
    <cellStyle name="40% - Accent4 4 3 4" xfId="4436"/>
    <cellStyle name="40% - Accent4 4 3 5" xfId="4437"/>
    <cellStyle name="40% - Accent4 4 4" xfId="4438"/>
    <cellStyle name="40% - Accent4 4 4 2" xfId="4439"/>
    <cellStyle name="40% - Accent4 4 4 2 2" xfId="4440"/>
    <cellStyle name="40% - Accent4 4 4 3" xfId="4441"/>
    <cellStyle name="40% - Accent4 4 5" xfId="4442"/>
    <cellStyle name="40% - Accent4 4 5 2" xfId="4443"/>
    <cellStyle name="40% - Accent4 4 6" xfId="4444"/>
    <cellStyle name="40% - Accent4 4 7" xfId="4445"/>
    <cellStyle name="40% - Accent4 5" xfId="629"/>
    <cellStyle name="40% - Accent4 5 2" xfId="4446"/>
    <cellStyle name="40% - Accent4 5 2 2" xfId="4447"/>
    <cellStyle name="40% - Accent4 5 2 2 2" xfId="4448"/>
    <cellStyle name="40% - Accent4 5 2 2 2 2" xfId="4449"/>
    <cellStyle name="40% - Accent4 5 2 2 3" xfId="4450"/>
    <cellStyle name="40% - Accent4 5 2 3" xfId="4451"/>
    <cellStyle name="40% - Accent4 5 2 3 2" xfId="4452"/>
    <cellStyle name="40% - Accent4 5 2 4" xfId="4453"/>
    <cellStyle name="40% - Accent4 5 2 5" xfId="4454"/>
    <cellStyle name="40% - Accent4 5 3" xfId="4455"/>
    <cellStyle name="40% - Accent4 5 3 2" xfId="4456"/>
    <cellStyle name="40% - Accent4 5 3 2 2" xfId="4457"/>
    <cellStyle name="40% - Accent4 5 3 3" xfId="4458"/>
    <cellStyle name="40% - Accent4 5 4" xfId="4459"/>
    <cellStyle name="40% - Accent4 5 4 2" xfId="4460"/>
    <cellStyle name="40% - Accent4 5 5" xfId="4461"/>
    <cellStyle name="40% - Accent4 5 6" xfId="4462"/>
    <cellStyle name="40% - Accent4 6" xfId="630"/>
    <cellStyle name="40% - Accent4 6 2" xfId="4463"/>
    <cellStyle name="40% - Accent4 6 2 2" xfId="4464"/>
    <cellStyle name="40% - Accent4 6 2 2 2" xfId="4465"/>
    <cellStyle name="40% - Accent4 6 2 3" xfId="4466"/>
    <cellStyle name="40% - Accent4 6 2 4" xfId="4467"/>
    <cellStyle name="40% - Accent4 6 2 5" xfId="4468"/>
    <cellStyle name="40% - Accent4 6 3" xfId="4469"/>
    <cellStyle name="40% - Accent4 6 3 2" xfId="4470"/>
    <cellStyle name="40% - Accent4 6 4" xfId="4471"/>
    <cellStyle name="40% - Accent4 6 5" xfId="4472"/>
    <cellStyle name="40% - Accent4 7" xfId="631"/>
    <cellStyle name="40% - Accent4 7 2" xfId="4473"/>
    <cellStyle name="40% - Accent4 7 2 2" xfId="4474"/>
    <cellStyle name="40% - Accent4 7 2 2 2" xfId="4475"/>
    <cellStyle name="40% - Accent4 7 2 3" xfId="4476"/>
    <cellStyle name="40% - Accent4 7 3" xfId="4477"/>
    <cellStyle name="40% - Accent4 7 3 2" xfId="4478"/>
    <cellStyle name="40% - Accent4 7 4" xfId="4479"/>
    <cellStyle name="40% - Accent4 7 5" xfId="4480"/>
    <cellStyle name="40% - Accent4 8" xfId="632"/>
    <cellStyle name="40% - Accent4 8 2" xfId="4481"/>
    <cellStyle name="40% - Accent4 8 2 2" xfId="4482"/>
    <cellStyle name="40% - Accent4 8 2 2 2" xfId="4483"/>
    <cellStyle name="40% - Accent4 8 2 3" xfId="4484"/>
    <cellStyle name="40% - Accent4 8 3" xfId="4485"/>
    <cellStyle name="40% - Accent4 8 3 2" xfId="4486"/>
    <cellStyle name="40% - Accent4 8 4" xfId="4487"/>
    <cellStyle name="40% - Accent4 8 5" xfId="4488"/>
    <cellStyle name="40% - Accent4 9" xfId="633"/>
    <cellStyle name="40% - Accent4 9 2" xfId="4489"/>
    <cellStyle name="40% - Accent4 9 2 2" xfId="4490"/>
    <cellStyle name="40% - Accent4 9 3" xfId="4491"/>
    <cellStyle name="40% - Accent4 9 4" xfId="4492"/>
    <cellStyle name="40% - Accent5 10" xfId="634"/>
    <cellStyle name="40% - Accent5 10 2" xfId="4493"/>
    <cellStyle name="40% - Accent5 10 2 2" xfId="4494"/>
    <cellStyle name="40% - Accent5 10 3" xfId="4495"/>
    <cellStyle name="40% - Accent5 10 4" xfId="4496"/>
    <cellStyle name="40% - Accent5 11" xfId="635"/>
    <cellStyle name="40% - Accent5 11 2" xfId="4497"/>
    <cellStyle name="40% - Accent5 11 2 2" xfId="4498"/>
    <cellStyle name="40% - Accent5 11 3" xfId="4499"/>
    <cellStyle name="40% - Accent5 11 4" xfId="4500"/>
    <cellStyle name="40% - Accent5 12" xfId="636"/>
    <cellStyle name="40% - Accent5 12 2" xfId="4501"/>
    <cellStyle name="40% - Accent5 12 3" xfId="4502"/>
    <cellStyle name="40% - Accent5 13" xfId="637"/>
    <cellStyle name="40% - Accent5 13 2" xfId="4503"/>
    <cellStyle name="40% - Accent5 14" xfId="638"/>
    <cellStyle name="40% - Accent5 15" xfId="639"/>
    <cellStyle name="40% - Accent5 15 2" xfId="640"/>
    <cellStyle name="40% - Accent5 15 3" xfId="641"/>
    <cellStyle name="40% - Accent5 15 4" xfId="642"/>
    <cellStyle name="40% - Accent5 15 5" xfId="643"/>
    <cellStyle name="40% - Accent5 16" xfId="644"/>
    <cellStyle name="40% - Accent5 16 2" xfId="645"/>
    <cellStyle name="40% - Accent5 16 3" xfId="646"/>
    <cellStyle name="40% - Accent5 16 4" xfId="647"/>
    <cellStyle name="40% - Accent5 16 5" xfId="648"/>
    <cellStyle name="40% - Accent5 17" xfId="649"/>
    <cellStyle name="40% - Accent5 17 2" xfId="650"/>
    <cellStyle name="40% - Accent5 17 3" xfId="651"/>
    <cellStyle name="40% - Accent5 17 4" xfId="652"/>
    <cellStyle name="40% - Accent5 17 5" xfId="653"/>
    <cellStyle name="40% - Accent5 18" xfId="654"/>
    <cellStyle name="40% - Accent5 19" xfId="655"/>
    <cellStyle name="40% - Accent5 2" xfId="656"/>
    <cellStyle name="40% - Accent5 2 2" xfId="657"/>
    <cellStyle name="40% - Accent5 2 2 2" xfId="658"/>
    <cellStyle name="40% - Accent5 2 2 2 2" xfId="659"/>
    <cellStyle name="40% - Accent5 2 2 2 2 2" xfId="4504"/>
    <cellStyle name="40% - Accent5 2 2 2 2 2 2" xfId="4505"/>
    <cellStyle name="40% - Accent5 2 2 2 2 2 2 2" xfId="4506"/>
    <cellStyle name="40% - Accent5 2 2 2 2 2 3" xfId="4507"/>
    <cellStyle name="40% - Accent5 2 2 2 2 3" xfId="4508"/>
    <cellStyle name="40% - Accent5 2 2 2 2 3 2" xfId="4509"/>
    <cellStyle name="40% - Accent5 2 2 2 2 4" xfId="4510"/>
    <cellStyle name="40% - Accent5 2 2 2 2 5" xfId="4511"/>
    <cellStyle name="40% - Accent5 2 2 2 3" xfId="660"/>
    <cellStyle name="40% - Accent5 2 2 2 3 2" xfId="4512"/>
    <cellStyle name="40% - Accent5 2 2 2 3 2 2" xfId="4513"/>
    <cellStyle name="40% - Accent5 2 2 2 3 3" xfId="4514"/>
    <cellStyle name="40% - Accent5 2 2 2 4" xfId="661"/>
    <cellStyle name="40% - Accent5 2 2 2 4 2" xfId="4515"/>
    <cellStyle name="40% - Accent5 2 2 2 5" xfId="662"/>
    <cellStyle name="40% - Accent5 2 2 2 6" xfId="4516"/>
    <cellStyle name="40% - Accent5 2 2 3" xfId="663"/>
    <cellStyle name="40% - Accent5 2 2 3 2" xfId="4517"/>
    <cellStyle name="40% - Accent5 2 2 3 2 2" xfId="4518"/>
    <cellStyle name="40% - Accent5 2 2 3 2 2 2" xfId="4519"/>
    <cellStyle name="40% - Accent5 2 2 3 2 3" xfId="4520"/>
    <cellStyle name="40% - Accent5 2 2 3 3" xfId="4521"/>
    <cellStyle name="40% - Accent5 2 2 3 3 2" xfId="4522"/>
    <cellStyle name="40% - Accent5 2 2 3 4" xfId="4523"/>
    <cellStyle name="40% - Accent5 2 2 3 5" xfId="4524"/>
    <cellStyle name="40% - Accent5 2 2 4" xfId="664"/>
    <cellStyle name="40% - Accent5 2 2 4 2" xfId="4525"/>
    <cellStyle name="40% - Accent5 2 2 4 2 2" xfId="4526"/>
    <cellStyle name="40% - Accent5 2 2 4 3" xfId="4527"/>
    <cellStyle name="40% - Accent5 2 2 5" xfId="665"/>
    <cellStyle name="40% - Accent5 2 2 5 2" xfId="4528"/>
    <cellStyle name="40% - Accent5 2 2 6" xfId="4529"/>
    <cellStyle name="40% - Accent5 2 2 7" xfId="4530"/>
    <cellStyle name="40% - Accent5 2 3" xfId="666"/>
    <cellStyle name="40% - Accent5 2 3 2" xfId="4531"/>
    <cellStyle name="40% - Accent5 2 3 2 2" xfId="4532"/>
    <cellStyle name="40% - Accent5 2 3 2 2 2" xfId="4533"/>
    <cellStyle name="40% - Accent5 2 3 2 2 2 2" xfId="4534"/>
    <cellStyle name="40% - Accent5 2 3 2 2 3" xfId="4535"/>
    <cellStyle name="40% - Accent5 2 3 2 3" xfId="4536"/>
    <cellStyle name="40% - Accent5 2 3 2 3 2" xfId="4537"/>
    <cellStyle name="40% - Accent5 2 3 2 4" xfId="4538"/>
    <cellStyle name="40% - Accent5 2 3 3" xfId="4539"/>
    <cellStyle name="40% - Accent5 2 3 3 2" xfId="4540"/>
    <cellStyle name="40% - Accent5 2 3 3 2 2" xfId="4541"/>
    <cellStyle name="40% - Accent5 2 3 3 3" xfId="4542"/>
    <cellStyle name="40% - Accent5 2 3 4" xfId="4543"/>
    <cellStyle name="40% - Accent5 2 3 4 2" xfId="4544"/>
    <cellStyle name="40% - Accent5 2 3 5" xfId="4545"/>
    <cellStyle name="40% - Accent5 2 3 6" xfId="4546"/>
    <cellStyle name="40% - Accent5 2 4" xfId="667"/>
    <cellStyle name="40% - Accent5 2 4 2" xfId="4547"/>
    <cellStyle name="40% - Accent5 2 4 2 2" xfId="4548"/>
    <cellStyle name="40% - Accent5 2 4 2 2 2" xfId="4549"/>
    <cellStyle name="40% - Accent5 2 4 2 3" xfId="4550"/>
    <cellStyle name="40% - Accent5 2 4 3" xfId="4551"/>
    <cellStyle name="40% - Accent5 2 4 3 2" xfId="4552"/>
    <cellStyle name="40% - Accent5 2 4 4" xfId="4553"/>
    <cellStyle name="40% - Accent5 2 4 5" xfId="4554"/>
    <cellStyle name="40% - Accent5 2 5" xfId="668"/>
    <cellStyle name="40% - Accent5 2 5 2" xfId="4555"/>
    <cellStyle name="40% - Accent5 2 5 2 2" xfId="4556"/>
    <cellStyle name="40% - Accent5 2 5 3" xfId="4557"/>
    <cellStyle name="40% - Accent5 2 5 4" xfId="4558"/>
    <cellStyle name="40% - Accent5 2 6" xfId="669"/>
    <cellStyle name="40% - Accent5 2 6 2" xfId="4559"/>
    <cellStyle name="40% - Accent5 2 6 3" xfId="4560"/>
    <cellStyle name="40% - Accent5 2 7" xfId="670"/>
    <cellStyle name="40% - Accent5 2 8" xfId="671"/>
    <cellStyle name="40% - Accent5 2 9" xfId="672"/>
    <cellStyle name="40% - Accent5 20" xfId="673"/>
    <cellStyle name="40% - Accent5 21" xfId="674"/>
    <cellStyle name="40% - Accent5 22" xfId="675"/>
    <cellStyle name="40% - Accent5 23" xfId="676"/>
    <cellStyle name="40% - Accent5 24" xfId="677"/>
    <cellStyle name="40% - Accent5 25" xfId="678"/>
    <cellStyle name="40% - Accent5 26" xfId="679"/>
    <cellStyle name="40% - Accent5 27" xfId="680"/>
    <cellStyle name="40% - Accent5 28" xfId="681"/>
    <cellStyle name="40% - Accent5 29" xfId="682"/>
    <cellStyle name="40% - Accent5 3" xfId="683"/>
    <cellStyle name="40% - Accent5 3 2" xfId="4561"/>
    <cellStyle name="40% - Accent5 3 2 2" xfId="4562"/>
    <cellStyle name="40% - Accent5 3 2 2 2" xfId="4563"/>
    <cellStyle name="40% - Accent5 3 2 2 2 2" xfId="4564"/>
    <cellStyle name="40% - Accent5 3 2 2 2 2 2" xfId="4565"/>
    <cellStyle name="40% - Accent5 3 2 2 2 2 2 2" xfId="4566"/>
    <cellStyle name="40% - Accent5 3 2 2 2 2 3" xfId="4567"/>
    <cellStyle name="40% - Accent5 3 2 2 2 3" xfId="4568"/>
    <cellStyle name="40% - Accent5 3 2 2 2 3 2" xfId="4569"/>
    <cellStyle name="40% - Accent5 3 2 2 2 4" xfId="4570"/>
    <cellStyle name="40% - Accent5 3 2 2 3" xfId="4571"/>
    <cellStyle name="40% - Accent5 3 2 2 3 2" xfId="4572"/>
    <cellStyle name="40% - Accent5 3 2 2 3 2 2" xfId="4573"/>
    <cellStyle name="40% - Accent5 3 2 2 3 3" xfId="4574"/>
    <cellStyle name="40% - Accent5 3 2 2 4" xfId="4575"/>
    <cellStyle name="40% - Accent5 3 2 2 4 2" xfId="4576"/>
    <cellStyle name="40% - Accent5 3 2 2 5" xfId="4577"/>
    <cellStyle name="40% - Accent5 3 2 2 6" xfId="4578"/>
    <cellStyle name="40% - Accent5 3 2 3" xfId="4579"/>
    <cellStyle name="40% - Accent5 3 2 3 2" xfId="4580"/>
    <cellStyle name="40% - Accent5 3 2 3 2 2" xfId="4581"/>
    <cellStyle name="40% - Accent5 3 2 3 2 2 2" xfId="4582"/>
    <cellStyle name="40% - Accent5 3 2 3 2 3" xfId="4583"/>
    <cellStyle name="40% - Accent5 3 2 3 3" xfId="4584"/>
    <cellStyle name="40% - Accent5 3 2 3 3 2" xfId="4585"/>
    <cellStyle name="40% - Accent5 3 2 3 4" xfId="4586"/>
    <cellStyle name="40% - Accent5 3 2 4" xfId="4587"/>
    <cellStyle name="40% - Accent5 3 2 4 2" xfId="4588"/>
    <cellStyle name="40% - Accent5 3 2 4 2 2" xfId="4589"/>
    <cellStyle name="40% - Accent5 3 2 4 3" xfId="4590"/>
    <cellStyle name="40% - Accent5 3 2 5" xfId="4591"/>
    <cellStyle name="40% - Accent5 3 2 5 2" xfId="4592"/>
    <cellStyle name="40% - Accent5 3 2 6" xfId="4593"/>
    <cellStyle name="40% - Accent5 3 2 7" xfId="4594"/>
    <cellStyle name="40% - Accent5 3 3" xfId="4595"/>
    <cellStyle name="40% - Accent5 3 3 2" xfId="4596"/>
    <cellStyle name="40% - Accent5 3 3 2 2" xfId="4597"/>
    <cellStyle name="40% - Accent5 3 3 2 2 2" xfId="4598"/>
    <cellStyle name="40% - Accent5 3 3 2 2 2 2" xfId="4599"/>
    <cellStyle name="40% - Accent5 3 3 2 2 3" xfId="4600"/>
    <cellStyle name="40% - Accent5 3 3 2 3" xfId="4601"/>
    <cellStyle name="40% - Accent5 3 3 2 3 2" xfId="4602"/>
    <cellStyle name="40% - Accent5 3 3 2 4" xfId="4603"/>
    <cellStyle name="40% - Accent5 3 3 3" xfId="4604"/>
    <cellStyle name="40% - Accent5 3 3 3 2" xfId="4605"/>
    <cellStyle name="40% - Accent5 3 3 3 2 2" xfId="4606"/>
    <cellStyle name="40% - Accent5 3 3 3 3" xfId="4607"/>
    <cellStyle name="40% - Accent5 3 3 4" xfId="4608"/>
    <cellStyle name="40% - Accent5 3 3 4 2" xfId="4609"/>
    <cellStyle name="40% - Accent5 3 3 5" xfId="4610"/>
    <cellStyle name="40% - Accent5 3 3 6" xfId="4611"/>
    <cellStyle name="40% - Accent5 3 4" xfId="4612"/>
    <cellStyle name="40% - Accent5 3 4 2" xfId="4613"/>
    <cellStyle name="40% - Accent5 3 4 2 2" xfId="4614"/>
    <cellStyle name="40% - Accent5 3 4 2 2 2" xfId="4615"/>
    <cellStyle name="40% - Accent5 3 4 2 3" xfId="4616"/>
    <cellStyle name="40% - Accent5 3 4 3" xfId="4617"/>
    <cellStyle name="40% - Accent5 3 4 3 2" xfId="4618"/>
    <cellStyle name="40% - Accent5 3 4 4" xfId="4619"/>
    <cellStyle name="40% - Accent5 3 4 5" xfId="4620"/>
    <cellStyle name="40% - Accent5 3 5" xfId="4621"/>
    <cellStyle name="40% - Accent5 3 5 2" xfId="4622"/>
    <cellStyle name="40% - Accent5 3 5 2 2" xfId="4623"/>
    <cellStyle name="40% - Accent5 3 5 3" xfId="4624"/>
    <cellStyle name="40% - Accent5 3 6" xfId="4625"/>
    <cellStyle name="40% - Accent5 3 6 2" xfId="4626"/>
    <cellStyle name="40% - Accent5 3 7" xfId="4627"/>
    <cellStyle name="40% - Accent5 3 8" xfId="4628"/>
    <cellStyle name="40% - Accent5 3 9" xfId="4629"/>
    <cellStyle name="40% - Accent5 30" xfId="684"/>
    <cellStyle name="40% - Accent5 31" xfId="685"/>
    <cellStyle name="40% - Accent5 32" xfId="686"/>
    <cellStyle name="40% - Accent5 33" xfId="687"/>
    <cellStyle name="40% - Accent5 34" xfId="688"/>
    <cellStyle name="40% - Accent5 35" xfId="689"/>
    <cellStyle name="40% - Accent5 4" xfId="690"/>
    <cellStyle name="40% - Accent5 4 2" xfId="4630"/>
    <cellStyle name="40% - Accent5 4 2 2" xfId="4631"/>
    <cellStyle name="40% - Accent5 4 2 2 2" xfId="4632"/>
    <cellStyle name="40% - Accent5 4 2 2 2 2" xfId="4633"/>
    <cellStyle name="40% - Accent5 4 2 2 2 2 2" xfId="4634"/>
    <cellStyle name="40% - Accent5 4 2 2 2 3" xfId="4635"/>
    <cellStyle name="40% - Accent5 4 2 2 3" xfId="4636"/>
    <cellStyle name="40% - Accent5 4 2 2 3 2" xfId="4637"/>
    <cellStyle name="40% - Accent5 4 2 2 4" xfId="4638"/>
    <cellStyle name="40% - Accent5 4 2 3" xfId="4639"/>
    <cellStyle name="40% - Accent5 4 2 3 2" xfId="4640"/>
    <cellStyle name="40% - Accent5 4 2 3 2 2" xfId="4641"/>
    <cellStyle name="40% - Accent5 4 2 3 3" xfId="4642"/>
    <cellStyle name="40% - Accent5 4 2 4" xfId="4643"/>
    <cellStyle name="40% - Accent5 4 2 4 2" xfId="4644"/>
    <cellStyle name="40% - Accent5 4 2 5" xfId="4645"/>
    <cellStyle name="40% - Accent5 4 2 6" xfId="4646"/>
    <cellStyle name="40% - Accent5 4 3" xfId="4647"/>
    <cellStyle name="40% - Accent5 4 3 2" xfId="4648"/>
    <cellStyle name="40% - Accent5 4 3 2 2" xfId="4649"/>
    <cellStyle name="40% - Accent5 4 3 2 2 2" xfId="4650"/>
    <cellStyle name="40% - Accent5 4 3 2 3" xfId="4651"/>
    <cellStyle name="40% - Accent5 4 3 3" xfId="4652"/>
    <cellStyle name="40% - Accent5 4 3 3 2" xfId="4653"/>
    <cellStyle name="40% - Accent5 4 3 4" xfId="4654"/>
    <cellStyle name="40% - Accent5 4 3 5" xfId="4655"/>
    <cellStyle name="40% - Accent5 4 4" xfId="4656"/>
    <cellStyle name="40% - Accent5 4 4 2" xfId="4657"/>
    <cellStyle name="40% - Accent5 4 4 2 2" xfId="4658"/>
    <cellStyle name="40% - Accent5 4 4 3" xfId="4659"/>
    <cellStyle name="40% - Accent5 4 5" xfId="4660"/>
    <cellStyle name="40% - Accent5 4 5 2" xfId="4661"/>
    <cellStyle name="40% - Accent5 4 6" xfId="4662"/>
    <cellStyle name="40% - Accent5 4 7" xfId="4663"/>
    <cellStyle name="40% - Accent5 5" xfId="691"/>
    <cellStyle name="40% - Accent5 5 2" xfId="4664"/>
    <cellStyle name="40% - Accent5 5 2 2" xfId="4665"/>
    <cellStyle name="40% - Accent5 5 2 2 2" xfId="4666"/>
    <cellStyle name="40% - Accent5 5 2 2 2 2" xfId="4667"/>
    <cellStyle name="40% - Accent5 5 2 2 3" xfId="4668"/>
    <cellStyle name="40% - Accent5 5 2 3" xfId="4669"/>
    <cellStyle name="40% - Accent5 5 2 3 2" xfId="4670"/>
    <cellStyle name="40% - Accent5 5 2 4" xfId="4671"/>
    <cellStyle name="40% - Accent5 5 2 5" xfId="4672"/>
    <cellStyle name="40% - Accent5 5 3" xfId="4673"/>
    <cellStyle name="40% - Accent5 5 3 2" xfId="4674"/>
    <cellStyle name="40% - Accent5 5 3 2 2" xfId="4675"/>
    <cellStyle name="40% - Accent5 5 3 3" xfId="4676"/>
    <cellStyle name="40% - Accent5 5 4" xfId="4677"/>
    <cellStyle name="40% - Accent5 5 4 2" xfId="4678"/>
    <cellStyle name="40% - Accent5 5 5" xfId="4679"/>
    <cellStyle name="40% - Accent5 5 6" xfId="4680"/>
    <cellStyle name="40% - Accent5 6" xfId="692"/>
    <cellStyle name="40% - Accent5 6 2" xfId="4681"/>
    <cellStyle name="40% - Accent5 6 2 2" xfId="4682"/>
    <cellStyle name="40% - Accent5 6 2 2 2" xfId="4683"/>
    <cellStyle name="40% - Accent5 6 2 3" xfId="4684"/>
    <cellStyle name="40% - Accent5 6 2 4" xfId="4685"/>
    <cellStyle name="40% - Accent5 6 2 5" xfId="4686"/>
    <cellStyle name="40% - Accent5 6 3" xfId="4687"/>
    <cellStyle name="40% - Accent5 6 3 2" xfId="4688"/>
    <cellStyle name="40% - Accent5 6 4" xfId="4689"/>
    <cellStyle name="40% - Accent5 6 5" xfId="4690"/>
    <cellStyle name="40% - Accent5 7" xfId="693"/>
    <cellStyle name="40% - Accent5 7 2" xfId="4691"/>
    <cellStyle name="40% - Accent5 7 2 2" xfId="4692"/>
    <cellStyle name="40% - Accent5 7 2 2 2" xfId="4693"/>
    <cellStyle name="40% - Accent5 7 2 3" xfId="4694"/>
    <cellStyle name="40% - Accent5 7 3" xfId="4695"/>
    <cellStyle name="40% - Accent5 7 3 2" xfId="4696"/>
    <cellStyle name="40% - Accent5 7 4" xfId="4697"/>
    <cellStyle name="40% - Accent5 7 5" xfId="4698"/>
    <cellStyle name="40% - Accent5 8" xfId="694"/>
    <cellStyle name="40% - Accent5 8 2" xfId="4699"/>
    <cellStyle name="40% - Accent5 8 2 2" xfId="4700"/>
    <cellStyle name="40% - Accent5 8 2 2 2" xfId="4701"/>
    <cellStyle name="40% - Accent5 8 2 3" xfId="4702"/>
    <cellStyle name="40% - Accent5 8 3" xfId="4703"/>
    <cellStyle name="40% - Accent5 8 3 2" xfId="4704"/>
    <cellStyle name="40% - Accent5 8 4" xfId="4705"/>
    <cellStyle name="40% - Accent5 8 5" xfId="4706"/>
    <cellStyle name="40% - Accent5 9" xfId="695"/>
    <cellStyle name="40% - Accent5 9 2" xfId="4707"/>
    <cellStyle name="40% - Accent5 9 2 2" xfId="4708"/>
    <cellStyle name="40% - Accent5 9 3" xfId="4709"/>
    <cellStyle name="40% - Accent5 9 4" xfId="4710"/>
    <cellStyle name="40% - Accent6 10" xfId="696"/>
    <cellStyle name="40% - Accent6 10 2" xfId="4711"/>
    <cellStyle name="40% - Accent6 10 2 2" xfId="4712"/>
    <cellStyle name="40% - Accent6 10 3" xfId="4713"/>
    <cellStyle name="40% - Accent6 10 4" xfId="4714"/>
    <cellStyle name="40% - Accent6 11" xfId="697"/>
    <cellStyle name="40% - Accent6 11 2" xfId="4715"/>
    <cellStyle name="40% - Accent6 11 2 2" xfId="4716"/>
    <cellStyle name="40% - Accent6 11 3" xfId="4717"/>
    <cellStyle name="40% - Accent6 11 4" xfId="4718"/>
    <cellStyle name="40% - Accent6 12" xfId="698"/>
    <cellStyle name="40% - Accent6 12 2" xfId="4719"/>
    <cellStyle name="40% - Accent6 12 3" xfId="4720"/>
    <cellStyle name="40% - Accent6 13" xfId="699"/>
    <cellStyle name="40% - Accent6 13 2" xfId="4721"/>
    <cellStyle name="40% - Accent6 14" xfId="700"/>
    <cellStyle name="40% - Accent6 15" xfId="701"/>
    <cellStyle name="40% - Accent6 15 2" xfId="702"/>
    <cellStyle name="40% - Accent6 15 3" xfId="703"/>
    <cellStyle name="40% - Accent6 15 4" xfId="704"/>
    <cellStyle name="40% - Accent6 15 5" xfId="705"/>
    <cellStyle name="40% - Accent6 16" xfId="706"/>
    <cellStyle name="40% - Accent6 16 2" xfId="707"/>
    <cellStyle name="40% - Accent6 16 3" xfId="708"/>
    <cellStyle name="40% - Accent6 16 4" xfId="709"/>
    <cellStyle name="40% - Accent6 16 5" xfId="710"/>
    <cellStyle name="40% - Accent6 17" xfId="711"/>
    <cellStyle name="40% - Accent6 17 2" xfId="712"/>
    <cellStyle name="40% - Accent6 17 3" xfId="713"/>
    <cellStyle name="40% - Accent6 17 4" xfId="714"/>
    <cellStyle name="40% - Accent6 17 5" xfId="715"/>
    <cellStyle name="40% - Accent6 18" xfId="716"/>
    <cellStyle name="40% - Accent6 19" xfId="717"/>
    <cellStyle name="40% - Accent6 2" xfId="718"/>
    <cellStyle name="40% - Accent6 2 2" xfId="719"/>
    <cellStyle name="40% - Accent6 2 2 2" xfId="720"/>
    <cellStyle name="40% - Accent6 2 2 2 2" xfId="721"/>
    <cellStyle name="40% - Accent6 2 2 2 2 2" xfId="4722"/>
    <cellStyle name="40% - Accent6 2 2 2 2 2 2" xfId="4723"/>
    <cellStyle name="40% - Accent6 2 2 2 2 2 2 2" xfId="4724"/>
    <cellStyle name="40% - Accent6 2 2 2 2 2 3" xfId="4725"/>
    <cellStyle name="40% - Accent6 2 2 2 2 3" xfId="4726"/>
    <cellStyle name="40% - Accent6 2 2 2 2 3 2" xfId="4727"/>
    <cellStyle name="40% - Accent6 2 2 2 2 4" xfId="4728"/>
    <cellStyle name="40% - Accent6 2 2 2 2 5" xfId="4729"/>
    <cellStyle name="40% - Accent6 2 2 2 3" xfId="722"/>
    <cellStyle name="40% - Accent6 2 2 2 3 2" xfId="4730"/>
    <cellStyle name="40% - Accent6 2 2 2 3 2 2" xfId="4731"/>
    <cellStyle name="40% - Accent6 2 2 2 3 3" xfId="4732"/>
    <cellStyle name="40% - Accent6 2 2 2 4" xfId="723"/>
    <cellStyle name="40% - Accent6 2 2 2 4 2" xfId="4733"/>
    <cellStyle name="40% - Accent6 2 2 2 5" xfId="724"/>
    <cellStyle name="40% - Accent6 2 2 2 6" xfId="4734"/>
    <cellStyle name="40% - Accent6 2 2 3" xfId="725"/>
    <cellStyle name="40% - Accent6 2 2 3 2" xfId="4735"/>
    <cellStyle name="40% - Accent6 2 2 3 2 2" xfId="4736"/>
    <cellStyle name="40% - Accent6 2 2 3 2 2 2" xfId="4737"/>
    <cellStyle name="40% - Accent6 2 2 3 2 3" xfId="4738"/>
    <cellStyle name="40% - Accent6 2 2 3 3" xfId="4739"/>
    <cellStyle name="40% - Accent6 2 2 3 3 2" xfId="4740"/>
    <cellStyle name="40% - Accent6 2 2 3 4" xfId="4741"/>
    <cellStyle name="40% - Accent6 2 2 3 5" xfId="4742"/>
    <cellStyle name="40% - Accent6 2 2 4" xfId="726"/>
    <cellStyle name="40% - Accent6 2 2 4 2" xfId="4743"/>
    <cellStyle name="40% - Accent6 2 2 4 2 2" xfId="4744"/>
    <cellStyle name="40% - Accent6 2 2 4 3" xfId="4745"/>
    <cellStyle name="40% - Accent6 2 2 5" xfId="727"/>
    <cellStyle name="40% - Accent6 2 2 5 2" xfId="4746"/>
    <cellStyle name="40% - Accent6 2 2 6" xfId="4747"/>
    <cellStyle name="40% - Accent6 2 2 7" xfId="4748"/>
    <cellStyle name="40% - Accent6 2 3" xfId="728"/>
    <cellStyle name="40% - Accent6 2 3 2" xfId="4749"/>
    <cellStyle name="40% - Accent6 2 3 2 2" xfId="4750"/>
    <cellStyle name="40% - Accent6 2 3 2 2 2" xfId="4751"/>
    <cellStyle name="40% - Accent6 2 3 2 2 2 2" xfId="4752"/>
    <cellStyle name="40% - Accent6 2 3 2 2 3" xfId="4753"/>
    <cellStyle name="40% - Accent6 2 3 2 3" xfId="4754"/>
    <cellStyle name="40% - Accent6 2 3 2 3 2" xfId="4755"/>
    <cellStyle name="40% - Accent6 2 3 2 4" xfId="4756"/>
    <cellStyle name="40% - Accent6 2 3 3" xfId="4757"/>
    <cellStyle name="40% - Accent6 2 3 3 2" xfId="4758"/>
    <cellStyle name="40% - Accent6 2 3 3 2 2" xfId="4759"/>
    <cellStyle name="40% - Accent6 2 3 3 3" xfId="4760"/>
    <cellStyle name="40% - Accent6 2 3 4" xfId="4761"/>
    <cellStyle name="40% - Accent6 2 3 4 2" xfId="4762"/>
    <cellStyle name="40% - Accent6 2 3 5" xfId="4763"/>
    <cellStyle name="40% - Accent6 2 3 6" xfId="4764"/>
    <cellStyle name="40% - Accent6 2 4" xfId="729"/>
    <cellStyle name="40% - Accent6 2 4 2" xfId="4765"/>
    <cellStyle name="40% - Accent6 2 4 2 2" xfId="4766"/>
    <cellStyle name="40% - Accent6 2 4 2 2 2" xfId="4767"/>
    <cellStyle name="40% - Accent6 2 4 2 3" xfId="4768"/>
    <cellStyle name="40% - Accent6 2 4 3" xfId="4769"/>
    <cellStyle name="40% - Accent6 2 4 3 2" xfId="4770"/>
    <cellStyle name="40% - Accent6 2 4 4" xfId="4771"/>
    <cellStyle name="40% - Accent6 2 4 5" xfId="4772"/>
    <cellStyle name="40% - Accent6 2 5" xfId="730"/>
    <cellStyle name="40% - Accent6 2 5 2" xfId="4773"/>
    <cellStyle name="40% - Accent6 2 5 2 2" xfId="4774"/>
    <cellStyle name="40% - Accent6 2 5 3" xfId="4775"/>
    <cellStyle name="40% - Accent6 2 5 4" xfId="4776"/>
    <cellStyle name="40% - Accent6 2 6" xfId="731"/>
    <cellStyle name="40% - Accent6 2 6 2" xfId="4777"/>
    <cellStyle name="40% - Accent6 2 6 3" xfId="4778"/>
    <cellStyle name="40% - Accent6 2 7" xfId="732"/>
    <cellStyle name="40% - Accent6 2 8" xfId="733"/>
    <cellStyle name="40% - Accent6 2 9" xfId="734"/>
    <cellStyle name="40% - Accent6 20" xfId="735"/>
    <cellStyle name="40% - Accent6 21" xfId="736"/>
    <cellStyle name="40% - Accent6 22" xfId="737"/>
    <cellStyle name="40% - Accent6 23" xfId="738"/>
    <cellStyle name="40% - Accent6 24" xfId="739"/>
    <cellStyle name="40% - Accent6 25" xfId="740"/>
    <cellStyle name="40% - Accent6 26" xfId="741"/>
    <cellStyle name="40% - Accent6 27" xfId="742"/>
    <cellStyle name="40% - Accent6 28" xfId="743"/>
    <cellStyle name="40% - Accent6 29" xfId="744"/>
    <cellStyle name="40% - Accent6 3" xfId="745"/>
    <cellStyle name="40% - Accent6 3 2" xfId="4779"/>
    <cellStyle name="40% - Accent6 3 2 2" xfId="4780"/>
    <cellStyle name="40% - Accent6 3 2 2 2" xfId="4781"/>
    <cellStyle name="40% - Accent6 3 2 2 2 2" xfId="4782"/>
    <cellStyle name="40% - Accent6 3 2 2 2 2 2" xfId="4783"/>
    <cellStyle name="40% - Accent6 3 2 2 2 2 2 2" xfId="4784"/>
    <cellStyle name="40% - Accent6 3 2 2 2 2 3" xfId="4785"/>
    <cellStyle name="40% - Accent6 3 2 2 2 3" xfId="4786"/>
    <cellStyle name="40% - Accent6 3 2 2 2 3 2" xfId="4787"/>
    <cellStyle name="40% - Accent6 3 2 2 2 4" xfId="4788"/>
    <cellStyle name="40% - Accent6 3 2 2 3" xfId="4789"/>
    <cellStyle name="40% - Accent6 3 2 2 3 2" xfId="4790"/>
    <cellStyle name="40% - Accent6 3 2 2 3 2 2" xfId="4791"/>
    <cellStyle name="40% - Accent6 3 2 2 3 3" xfId="4792"/>
    <cellStyle name="40% - Accent6 3 2 2 4" xfId="4793"/>
    <cellStyle name="40% - Accent6 3 2 2 4 2" xfId="4794"/>
    <cellStyle name="40% - Accent6 3 2 2 5" xfId="4795"/>
    <cellStyle name="40% - Accent6 3 2 2 6" xfId="4796"/>
    <cellStyle name="40% - Accent6 3 2 3" xfId="4797"/>
    <cellStyle name="40% - Accent6 3 2 3 2" xfId="4798"/>
    <cellStyle name="40% - Accent6 3 2 3 2 2" xfId="4799"/>
    <cellStyle name="40% - Accent6 3 2 3 2 2 2" xfId="4800"/>
    <cellStyle name="40% - Accent6 3 2 3 2 3" xfId="4801"/>
    <cellStyle name="40% - Accent6 3 2 3 3" xfId="4802"/>
    <cellStyle name="40% - Accent6 3 2 3 3 2" xfId="4803"/>
    <cellStyle name="40% - Accent6 3 2 3 4" xfId="4804"/>
    <cellStyle name="40% - Accent6 3 2 4" xfId="4805"/>
    <cellStyle name="40% - Accent6 3 2 4 2" xfId="4806"/>
    <cellStyle name="40% - Accent6 3 2 4 2 2" xfId="4807"/>
    <cellStyle name="40% - Accent6 3 2 4 3" xfId="4808"/>
    <cellStyle name="40% - Accent6 3 2 5" xfId="4809"/>
    <cellStyle name="40% - Accent6 3 2 5 2" xfId="4810"/>
    <cellStyle name="40% - Accent6 3 2 6" xfId="4811"/>
    <cellStyle name="40% - Accent6 3 2 7" xfId="4812"/>
    <cellStyle name="40% - Accent6 3 3" xfId="4813"/>
    <cellStyle name="40% - Accent6 3 3 2" xfId="4814"/>
    <cellStyle name="40% - Accent6 3 3 2 2" xfId="4815"/>
    <cellStyle name="40% - Accent6 3 3 2 2 2" xfId="4816"/>
    <cellStyle name="40% - Accent6 3 3 2 2 2 2" xfId="4817"/>
    <cellStyle name="40% - Accent6 3 3 2 2 3" xfId="4818"/>
    <cellStyle name="40% - Accent6 3 3 2 3" xfId="4819"/>
    <cellStyle name="40% - Accent6 3 3 2 3 2" xfId="4820"/>
    <cellStyle name="40% - Accent6 3 3 2 4" xfId="4821"/>
    <cellStyle name="40% - Accent6 3 3 3" xfId="4822"/>
    <cellStyle name="40% - Accent6 3 3 3 2" xfId="4823"/>
    <cellStyle name="40% - Accent6 3 3 3 2 2" xfId="4824"/>
    <cellStyle name="40% - Accent6 3 3 3 3" xfId="4825"/>
    <cellStyle name="40% - Accent6 3 3 4" xfId="4826"/>
    <cellStyle name="40% - Accent6 3 3 4 2" xfId="4827"/>
    <cellStyle name="40% - Accent6 3 3 5" xfId="4828"/>
    <cellStyle name="40% - Accent6 3 3 6" xfId="4829"/>
    <cellStyle name="40% - Accent6 3 4" xfId="4830"/>
    <cellStyle name="40% - Accent6 3 4 2" xfId="4831"/>
    <cellStyle name="40% - Accent6 3 4 2 2" xfId="4832"/>
    <cellStyle name="40% - Accent6 3 4 2 2 2" xfId="4833"/>
    <cellStyle name="40% - Accent6 3 4 2 3" xfId="4834"/>
    <cellStyle name="40% - Accent6 3 4 3" xfId="4835"/>
    <cellStyle name="40% - Accent6 3 4 3 2" xfId="4836"/>
    <cellStyle name="40% - Accent6 3 4 4" xfId="4837"/>
    <cellStyle name="40% - Accent6 3 4 5" xfId="4838"/>
    <cellStyle name="40% - Accent6 3 5" xfId="4839"/>
    <cellStyle name="40% - Accent6 3 5 2" xfId="4840"/>
    <cellStyle name="40% - Accent6 3 5 2 2" xfId="4841"/>
    <cellStyle name="40% - Accent6 3 5 3" xfId="4842"/>
    <cellStyle name="40% - Accent6 3 6" xfId="4843"/>
    <cellStyle name="40% - Accent6 3 6 2" xfId="4844"/>
    <cellStyle name="40% - Accent6 3 7" xfId="4845"/>
    <cellStyle name="40% - Accent6 3 8" xfId="4846"/>
    <cellStyle name="40% - Accent6 3 9" xfId="4847"/>
    <cellStyle name="40% - Accent6 30" xfId="746"/>
    <cellStyle name="40% - Accent6 31" xfId="747"/>
    <cellStyle name="40% - Accent6 32" xfId="748"/>
    <cellStyle name="40% - Accent6 33" xfId="749"/>
    <cellStyle name="40% - Accent6 34" xfId="750"/>
    <cellStyle name="40% - Accent6 35" xfId="751"/>
    <cellStyle name="40% - Accent6 4" xfId="752"/>
    <cellStyle name="40% - Accent6 4 2" xfId="4848"/>
    <cellStyle name="40% - Accent6 4 2 2" xfId="4849"/>
    <cellStyle name="40% - Accent6 4 2 2 2" xfId="4850"/>
    <cellStyle name="40% - Accent6 4 2 2 2 2" xfId="4851"/>
    <cellStyle name="40% - Accent6 4 2 2 2 2 2" xfId="4852"/>
    <cellStyle name="40% - Accent6 4 2 2 2 3" xfId="4853"/>
    <cellStyle name="40% - Accent6 4 2 2 3" xfId="4854"/>
    <cellStyle name="40% - Accent6 4 2 2 3 2" xfId="4855"/>
    <cellStyle name="40% - Accent6 4 2 2 4" xfId="4856"/>
    <cellStyle name="40% - Accent6 4 2 3" xfId="4857"/>
    <cellStyle name="40% - Accent6 4 2 3 2" xfId="4858"/>
    <cellStyle name="40% - Accent6 4 2 3 2 2" xfId="4859"/>
    <cellStyle name="40% - Accent6 4 2 3 3" xfId="4860"/>
    <cellStyle name="40% - Accent6 4 2 4" xfId="4861"/>
    <cellStyle name="40% - Accent6 4 2 4 2" xfId="4862"/>
    <cellStyle name="40% - Accent6 4 2 5" xfId="4863"/>
    <cellStyle name="40% - Accent6 4 2 6" xfId="4864"/>
    <cellStyle name="40% - Accent6 4 3" xfId="4865"/>
    <cellStyle name="40% - Accent6 4 3 2" xfId="4866"/>
    <cellStyle name="40% - Accent6 4 3 2 2" xfId="4867"/>
    <cellStyle name="40% - Accent6 4 3 2 2 2" xfId="4868"/>
    <cellStyle name="40% - Accent6 4 3 2 3" xfId="4869"/>
    <cellStyle name="40% - Accent6 4 3 3" xfId="4870"/>
    <cellStyle name="40% - Accent6 4 3 3 2" xfId="4871"/>
    <cellStyle name="40% - Accent6 4 3 4" xfId="4872"/>
    <cellStyle name="40% - Accent6 4 3 5" xfId="4873"/>
    <cellStyle name="40% - Accent6 4 4" xfId="4874"/>
    <cellStyle name="40% - Accent6 4 4 2" xfId="4875"/>
    <cellStyle name="40% - Accent6 4 4 2 2" xfId="4876"/>
    <cellStyle name="40% - Accent6 4 4 3" xfId="4877"/>
    <cellStyle name="40% - Accent6 4 5" xfId="4878"/>
    <cellStyle name="40% - Accent6 4 5 2" xfId="4879"/>
    <cellStyle name="40% - Accent6 4 6" xfId="4880"/>
    <cellStyle name="40% - Accent6 4 7" xfId="4881"/>
    <cellStyle name="40% - Accent6 5" xfId="753"/>
    <cellStyle name="40% - Accent6 5 2" xfId="4882"/>
    <cellStyle name="40% - Accent6 5 2 2" xfId="4883"/>
    <cellStyle name="40% - Accent6 5 2 2 2" xfId="4884"/>
    <cellStyle name="40% - Accent6 5 2 2 2 2" xfId="4885"/>
    <cellStyle name="40% - Accent6 5 2 2 3" xfId="4886"/>
    <cellStyle name="40% - Accent6 5 2 3" xfId="4887"/>
    <cellStyle name="40% - Accent6 5 2 3 2" xfId="4888"/>
    <cellStyle name="40% - Accent6 5 2 4" xfId="4889"/>
    <cellStyle name="40% - Accent6 5 2 5" xfId="4890"/>
    <cellStyle name="40% - Accent6 5 3" xfId="4891"/>
    <cellStyle name="40% - Accent6 5 3 2" xfId="4892"/>
    <cellStyle name="40% - Accent6 5 3 2 2" xfId="4893"/>
    <cellStyle name="40% - Accent6 5 3 3" xfId="4894"/>
    <cellStyle name="40% - Accent6 5 4" xfId="4895"/>
    <cellStyle name="40% - Accent6 5 4 2" xfId="4896"/>
    <cellStyle name="40% - Accent6 5 5" xfId="4897"/>
    <cellStyle name="40% - Accent6 5 6" xfId="4898"/>
    <cellStyle name="40% - Accent6 6" xfId="754"/>
    <cellStyle name="40% - Accent6 6 2" xfId="4899"/>
    <cellStyle name="40% - Accent6 6 2 2" xfId="4900"/>
    <cellStyle name="40% - Accent6 6 2 2 2" xfId="4901"/>
    <cellStyle name="40% - Accent6 6 2 3" xfId="4902"/>
    <cellStyle name="40% - Accent6 6 2 4" xfId="4903"/>
    <cellStyle name="40% - Accent6 6 2 5" xfId="4904"/>
    <cellStyle name="40% - Accent6 6 3" xfId="4905"/>
    <cellStyle name="40% - Accent6 6 3 2" xfId="4906"/>
    <cellStyle name="40% - Accent6 6 4" xfId="4907"/>
    <cellStyle name="40% - Accent6 6 5" xfId="4908"/>
    <cellStyle name="40% - Accent6 7" xfId="755"/>
    <cellStyle name="40% - Accent6 7 2" xfId="4909"/>
    <cellStyle name="40% - Accent6 7 2 2" xfId="4910"/>
    <cellStyle name="40% - Accent6 7 2 2 2" xfId="4911"/>
    <cellStyle name="40% - Accent6 7 2 3" xfId="4912"/>
    <cellStyle name="40% - Accent6 7 3" xfId="4913"/>
    <cellStyle name="40% - Accent6 7 3 2" xfId="4914"/>
    <cellStyle name="40% - Accent6 7 4" xfId="4915"/>
    <cellStyle name="40% - Accent6 7 5" xfId="4916"/>
    <cellStyle name="40% - Accent6 8" xfId="756"/>
    <cellStyle name="40% - Accent6 8 2" xfId="4917"/>
    <cellStyle name="40% - Accent6 8 2 2" xfId="4918"/>
    <cellStyle name="40% - Accent6 8 2 2 2" xfId="4919"/>
    <cellStyle name="40% - Accent6 8 2 3" xfId="4920"/>
    <cellStyle name="40% - Accent6 8 3" xfId="4921"/>
    <cellStyle name="40% - Accent6 8 3 2" xfId="4922"/>
    <cellStyle name="40% - Accent6 8 4" xfId="4923"/>
    <cellStyle name="40% - Accent6 8 5" xfId="4924"/>
    <cellStyle name="40% - Accent6 9" xfId="757"/>
    <cellStyle name="40% - Accent6 9 2" xfId="4925"/>
    <cellStyle name="40% - Accent6 9 2 2" xfId="4926"/>
    <cellStyle name="40% - Accent6 9 3" xfId="4927"/>
    <cellStyle name="40% - Accent6 9 4" xfId="4928"/>
    <cellStyle name="60% - Accent1 10" xfId="758"/>
    <cellStyle name="60% - Accent1 11" xfId="759"/>
    <cellStyle name="60% - Accent1 12" xfId="760"/>
    <cellStyle name="60% - Accent1 13" xfId="761"/>
    <cellStyle name="60% - Accent1 14" xfId="762"/>
    <cellStyle name="60% - Accent1 15" xfId="763"/>
    <cellStyle name="60% - Accent1 16" xfId="764"/>
    <cellStyle name="60% - Accent1 17" xfId="765"/>
    <cellStyle name="60% - Accent1 17 2" xfId="4929"/>
    <cellStyle name="60% - Accent1 18" xfId="766"/>
    <cellStyle name="60% - Accent1 19" xfId="767"/>
    <cellStyle name="60% - Accent1 2" xfId="768"/>
    <cellStyle name="60% - Accent1 2 2" xfId="769"/>
    <cellStyle name="60% - Accent1 2 2 2" xfId="770"/>
    <cellStyle name="60% - Accent1 2 2 2 2" xfId="771"/>
    <cellStyle name="60% - Accent1 2 2 2 3" xfId="772"/>
    <cellStyle name="60% - Accent1 2 2 2 4" xfId="773"/>
    <cellStyle name="60% - Accent1 2 2 2 5" xfId="774"/>
    <cellStyle name="60% - Accent1 2 2 3" xfId="775"/>
    <cellStyle name="60% - Accent1 2 2 4" xfId="776"/>
    <cellStyle name="60% - Accent1 2 2 5" xfId="777"/>
    <cellStyle name="60% - Accent1 2 3" xfId="778"/>
    <cellStyle name="60% - Accent1 2 4" xfId="779"/>
    <cellStyle name="60% - Accent1 2 5" xfId="780"/>
    <cellStyle name="60% - Accent1 2 6" xfId="781"/>
    <cellStyle name="60% - Accent1 2 7" xfId="782"/>
    <cellStyle name="60% - Accent1 2 8" xfId="783"/>
    <cellStyle name="60% - Accent1 2 9" xfId="784"/>
    <cellStyle name="60% - Accent1 20" xfId="785"/>
    <cellStyle name="60% - Accent1 21" xfId="786"/>
    <cellStyle name="60% - Accent1 22" xfId="787"/>
    <cellStyle name="60% - Accent1 3" xfId="788"/>
    <cellStyle name="60% - Accent1 3 2" xfId="4930"/>
    <cellStyle name="60% - Accent1 4" xfId="789"/>
    <cellStyle name="60% - Accent1 4 2" xfId="4931"/>
    <cellStyle name="60% - Accent1 5" xfId="790"/>
    <cellStyle name="60% - Accent1 6" xfId="791"/>
    <cellStyle name="60% - Accent1 7" xfId="792"/>
    <cellStyle name="60% - Accent1 8" xfId="793"/>
    <cellStyle name="60% - Accent1 9" xfId="794"/>
    <cellStyle name="60% - Accent2 10" xfId="795"/>
    <cellStyle name="60% - Accent2 11" xfId="796"/>
    <cellStyle name="60% - Accent2 12" xfId="797"/>
    <cellStyle name="60% - Accent2 13" xfId="798"/>
    <cellStyle name="60% - Accent2 14" xfId="799"/>
    <cellStyle name="60% - Accent2 15" xfId="800"/>
    <cellStyle name="60% - Accent2 16" xfId="801"/>
    <cellStyle name="60% - Accent2 17" xfId="802"/>
    <cellStyle name="60% - Accent2 17 2" xfId="4932"/>
    <cellStyle name="60% - Accent2 18" xfId="803"/>
    <cellStyle name="60% - Accent2 19" xfId="804"/>
    <cellStyle name="60% - Accent2 2" xfId="805"/>
    <cellStyle name="60% - Accent2 2 2" xfId="806"/>
    <cellStyle name="60% - Accent2 2 2 2" xfId="807"/>
    <cellStyle name="60% - Accent2 2 2 2 2" xfId="808"/>
    <cellStyle name="60% - Accent2 2 2 2 3" xfId="809"/>
    <cellStyle name="60% - Accent2 2 2 2 4" xfId="810"/>
    <cellStyle name="60% - Accent2 2 2 2 5" xfId="811"/>
    <cellStyle name="60% - Accent2 2 2 3" xfId="812"/>
    <cellStyle name="60% - Accent2 2 2 4" xfId="813"/>
    <cellStyle name="60% - Accent2 2 2 5" xfId="814"/>
    <cellStyle name="60% - Accent2 2 3" xfId="815"/>
    <cellStyle name="60% - Accent2 2 4" xfId="816"/>
    <cellStyle name="60% - Accent2 2 5" xfId="817"/>
    <cellStyle name="60% - Accent2 2 6" xfId="818"/>
    <cellStyle name="60% - Accent2 2 7" xfId="819"/>
    <cellStyle name="60% - Accent2 2 8" xfId="820"/>
    <cellStyle name="60% - Accent2 2 9" xfId="821"/>
    <cellStyle name="60% - Accent2 20" xfId="822"/>
    <cellStyle name="60% - Accent2 21" xfId="823"/>
    <cellStyle name="60% - Accent2 22" xfId="824"/>
    <cellStyle name="60% - Accent2 3" xfId="825"/>
    <cellStyle name="60% - Accent2 3 2" xfId="4933"/>
    <cellStyle name="60% - Accent2 4" xfId="826"/>
    <cellStyle name="60% - Accent2 4 2" xfId="4934"/>
    <cellStyle name="60% - Accent2 5" xfId="827"/>
    <cellStyle name="60% - Accent2 6" xfId="828"/>
    <cellStyle name="60% - Accent2 7" xfId="829"/>
    <cellStyle name="60% - Accent2 8" xfId="830"/>
    <cellStyle name="60% - Accent2 9" xfId="831"/>
    <cellStyle name="60% - Accent3 10" xfId="832"/>
    <cellStyle name="60% - Accent3 11" xfId="833"/>
    <cellStyle name="60% - Accent3 12" xfId="834"/>
    <cellStyle name="60% - Accent3 13" xfId="835"/>
    <cellStyle name="60% - Accent3 14" xfId="836"/>
    <cellStyle name="60% - Accent3 15" xfId="837"/>
    <cellStyle name="60% - Accent3 16" xfId="838"/>
    <cellStyle name="60% - Accent3 17" xfId="839"/>
    <cellStyle name="60% - Accent3 17 2" xfId="4935"/>
    <cellStyle name="60% - Accent3 18" xfId="840"/>
    <cellStyle name="60% - Accent3 19" xfId="841"/>
    <cellStyle name="60% - Accent3 2" xfId="842"/>
    <cellStyle name="60% - Accent3 2 2" xfId="843"/>
    <cellStyle name="60% - Accent3 2 2 2" xfId="844"/>
    <cellStyle name="60% - Accent3 2 2 2 2" xfId="845"/>
    <cellStyle name="60% - Accent3 2 2 2 3" xfId="846"/>
    <cellStyle name="60% - Accent3 2 2 2 4" xfId="847"/>
    <cellStyle name="60% - Accent3 2 2 2 5" xfId="848"/>
    <cellStyle name="60% - Accent3 2 2 3" xfId="849"/>
    <cellStyle name="60% - Accent3 2 2 4" xfId="850"/>
    <cellStyle name="60% - Accent3 2 2 5" xfId="851"/>
    <cellStyle name="60% - Accent3 2 3" xfId="852"/>
    <cellStyle name="60% - Accent3 2 4" xfId="853"/>
    <cellStyle name="60% - Accent3 2 5" xfId="854"/>
    <cellStyle name="60% - Accent3 2 6" xfId="855"/>
    <cellStyle name="60% - Accent3 2 7" xfId="856"/>
    <cellStyle name="60% - Accent3 2 8" xfId="857"/>
    <cellStyle name="60% - Accent3 2 9" xfId="858"/>
    <cellStyle name="60% - Accent3 20" xfId="859"/>
    <cellStyle name="60% - Accent3 21" xfId="860"/>
    <cellStyle name="60% - Accent3 22" xfId="861"/>
    <cellStyle name="60% - Accent3 3" xfId="862"/>
    <cellStyle name="60% - Accent3 3 2" xfId="4936"/>
    <cellStyle name="60% - Accent3 4" xfId="863"/>
    <cellStyle name="60% - Accent3 4 2" xfId="4937"/>
    <cellStyle name="60% - Accent3 5" xfId="864"/>
    <cellStyle name="60% - Accent3 6" xfId="865"/>
    <cellStyle name="60% - Accent3 7" xfId="866"/>
    <cellStyle name="60% - Accent3 8" xfId="867"/>
    <cellStyle name="60% - Accent3 9" xfId="868"/>
    <cellStyle name="60% - Accent4 10" xfId="869"/>
    <cellStyle name="60% - Accent4 11" xfId="870"/>
    <cellStyle name="60% - Accent4 12" xfId="871"/>
    <cellStyle name="60% - Accent4 13" xfId="872"/>
    <cellStyle name="60% - Accent4 14" xfId="873"/>
    <cellStyle name="60% - Accent4 15" xfId="874"/>
    <cellStyle name="60% - Accent4 16" xfId="875"/>
    <cellStyle name="60% - Accent4 17" xfId="876"/>
    <cellStyle name="60% - Accent4 17 2" xfId="4938"/>
    <cellStyle name="60% - Accent4 18" xfId="877"/>
    <cellStyle name="60% - Accent4 19" xfId="878"/>
    <cellStyle name="60% - Accent4 2" xfId="879"/>
    <cellStyle name="60% - Accent4 2 2" xfId="880"/>
    <cellStyle name="60% - Accent4 2 2 2" xfId="881"/>
    <cellStyle name="60% - Accent4 2 2 2 2" xfId="882"/>
    <cellStyle name="60% - Accent4 2 2 2 3" xfId="883"/>
    <cellStyle name="60% - Accent4 2 2 2 4" xfId="884"/>
    <cellStyle name="60% - Accent4 2 2 2 5" xfId="885"/>
    <cellStyle name="60% - Accent4 2 2 3" xfId="886"/>
    <cellStyle name="60% - Accent4 2 2 4" xfId="887"/>
    <cellStyle name="60% - Accent4 2 2 5" xfId="888"/>
    <cellStyle name="60% - Accent4 2 3" xfId="889"/>
    <cellStyle name="60% - Accent4 2 4" xfId="890"/>
    <cellStyle name="60% - Accent4 2 5" xfId="891"/>
    <cellStyle name="60% - Accent4 2 6" xfId="892"/>
    <cellStyle name="60% - Accent4 2 7" xfId="893"/>
    <cellStyle name="60% - Accent4 2 8" xfId="894"/>
    <cellStyle name="60% - Accent4 2 9" xfId="895"/>
    <cellStyle name="60% - Accent4 20" xfId="896"/>
    <cellStyle name="60% - Accent4 21" xfId="897"/>
    <cellStyle name="60% - Accent4 22" xfId="898"/>
    <cellStyle name="60% - Accent4 3" xfId="899"/>
    <cellStyle name="60% - Accent4 3 2" xfId="4939"/>
    <cellStyle name="60% - Accent4 4" xfId="900"/>
    <cellStyle name="60% - Accent4 4 2" xfId="4940"/>
    <cellStyle name="60% - Accent4 5" xfId="901"/>
    <cellStyle name="60% - Accent4 6" xfId="902"/>
    <cellStyle name="60% - Accent4 7" xfId="903"/>
    <cellStyle name="60% - Accent4 8" xfId="904"/>
    <cellStyle name="60% - Accent4 9" xfId="905"/>
    <cellStyle name="60% - Accent5 10" xfId="906"/>
    <cellStyle name="60% - Accent5 11" xfId="907"/>
    <cellStyle name="60% - Accent5 12" xfId="908"/>
    <cellStyle name="60% - Accent5 13" xfId="909"/>
    <cellStyle name="60% - Accent5 14" xfId="910"/>
    <cellStyle name="60% - Accent5 15" xfId="911"/>
    <cellStyle name="60% - Accent5 16" xfId="912"/>
    <cellStyle name="60% - Accent5 17" xfId="913"/>
    <cellStyle name="60% - Accent5 17 2" xfId="4941"/>
    <cellStyle name="60% - Accent5 18" xfId="914"/>
    <cellStyle name="60% - Accent5 19" xfId="915"/>
    <cellStyle name="60% - Accent5 2" xfId="916"/>
    <cellStyle name="60% - Accent5 2 2" xfId="917"/>
    <cellStyle name="60% - Accent5 2 2 2" xfId="918"/>
    <cellStyle name="60% - Accent5 2 2 2 2" xfId="919"/>
    <cellStyle name="60% - Accent5 2 2 2 3" xfId="920"/>
    <cellStyle name="60% - Accent5 2 2 2 4" xfId="921"/>
    <cellStyle name="60% - Accent5 2 2 2 5" xfId="922"/>
    <cellStyle name="60% - Accent5 2 2 3" xfId="923"/>
    <cellStyle name="60% - Accent5 2 2 4" xfId="924"/>
    <cellStyle name="60% - Accent5 2 2 5" xfId="925"/>
    <cellStyle name="60% - Accent5 2 3" xfId="926"/>
    <cellStyle name="60% - Accent5 2 4" xfId="927"/>
    <cellStyle name="60% - Accent5 2 5" xfId="928"/>
    <cellStyle name="60% - Accent5 2 6" xfId="929"/>
    <cellStyle name="60% - Accent5 2 7" xfId="930"/>
    <cellStyle name="60% - Accent5 2 8" xfId="931"/>
    <cellStyle name="60% - Accent5 2 9" xfId="932"/>
    <cellStyle name="60% - Accent5 20" xfId="933"/>
    <cellStyle name="60% - Accent5 21" xfId="934"/>
    <cellStyle name="60% - Accent5 22" xfId="935"/>
    <cellStyle name="60% - Accent5 3" xfId="936"/>
    <cellStyle name="60% - Accent5 3 2" xfId="4942"/>
    <cellStyle name="60% - Accent5 4" xfId="937"/>
    <cellStyle name="60% - Accent5 4 2" xfId="4943"/>
    <cellStyle name="60% - Accent5 5" xfId="938"/>
    <cellStyle name="60% - Accent5 6" xfId="939"/>
    <cellStyle name="60% - Accent5 7" xfId="940"/>
    <cellStyle name="60% - Accent5 8" xfId="941"/>
    <cellStyle name="60% - Accent5 9" xfId="942"/>
    <cellStyle name="60% - Accent6 10" xfId="943"/>
    <cellStyle name="60% - Accent6 11" xfId="944"/>
    <cellStyle name="60% - Accent6 12" xfId="945"/>
    <cellStyle name="60% - Accent6 13" xfId="946"/>
    <cellStyle name="60% - Accent6 14" xfId="947"/>
    <cellStyle name="60% - Accent6 15" xfId="948"/>
    <cellStyle name="60% - Accent6 16" xfId="949"/>
    <cellStyle name="60% - Accent6 17" xfId="950"/>
    <cellStyle name="60% - Accent6 17 2" xfId="4944"/>
    <cellStyle name="60% - Accent6 18" xfId="951"/>
    <cellStyle name="60% - Accent6 19" xfId="952"/>
    <cellStyle name="60% - Accent6 2" xfId="953"/>
    <cellStyle name="60% - Accent6 2 2" xfId="954"/>
    <cellStyle name="60% - Accent6 2 2 2" xfId="955"/>
    <cellStyle name="60% - Accent6 2 2 2 2" xfId="956"/>
    <cellStyle name="60% - Accent6 2 2 2 3" xfId="957"/>
    <cellStyle name="60% - Accent6 2 2 2 4" xfId="958"/>
    <cellStyle name="60% - Accent6 2 2 2 5" xfId="959"/>
    <cellStyle name="60% - Accent6 2 2 3" xfId="960"/>
    <cellStyle name="60% - Accent6 2 2 4" xfId="961"/>
    <cellStyle name="60% - Accent6 2 2 5" xfId="962"/>
    <cellStyle name="60% - Accent6 2 3" xfId="963"/>
    <cellStyle name="60% - Accent6 2 4" xfId="964"/>
    <cellStyle name="60% - Accent6 2 5" xfId="965"/>
    <cellStyle name="60% - Accent6 2 6" xfId="966"/>
    <cellStyle name="60% - Accent6 2 7" xfId="967"/>
    <cellStyle name="60% - Accent6 2 8" xfId="968"/>
    <cellStyle name="60% - Accent6 2 9" xfId="969"/>
    <cellStyle name="60% - Accent6 20" xfId="970"/>
    <cellStyle name="60% - Accent6 21" xfId="971"/>
    <cellStyle name="60% - Accent6 22" xfId="972"/>
    <cellStyle name="60% - Accent6 3" xfId="973"/>
    <cellStyle name="60% - Accent6 3 2" xfId="4945"/>
    <cellStyle name="60% - Accent6 4" xfId="974"/>
    <cellStyle name="60% - Accent6 4 2" xfId="4946"/>
    <cellStyle name="60% - Accent6 5" xfId="975"/>
    <cellStyle name="60% - Accent6 6" xfId="976"/>
    <cellStyle name="60% - Accent6 7" xfId="977"/>
    <cellStyle name="60% - Accent6 8" xfId="978"/>
    <cellStyle name="60% - Accent6 9" xfId="979"/>
    <cellStyle name="ac" xfId="4947"/>
    <cellStyle name="Accent1 10" xfId="980"/>
    <cellStyle name="Accent1 11" xfId="981"/>
    <cellStyle name="Accent1 12" xfId="982"/>
    <cellStyle name="Accent1 13" xfId="983"/>
    <cellStyle name="Accent1 14" xfId="984"/>
    <cellStyle name="Accent1 15" xfId="985"/>
    <cellStyle name="Accent1 16" xfId="986"/>
    <cellStyle name="Accent1 17" xfId="987"/>
    <cellStyle name="Accent1 17 2" xfId="4948"/>
    <cellStyle name="Accent1 18" xfId="988"/>
    <cellStyle name="Accent1 19" xfId="989"/>
    <cellStyle name="Accent1 2" xfId="990"/>
    <cellStyle name="Accent1 2 2" xfId="991"/>
    <cellStyle name="Accent1 2 2 2" xfId="992"/>
    <cellStyle name="Accent1 2 2 2 2" xfId="993"/>
    <cellStyle name="Accent1 2 2 2 3" xfId="994"/>
    <cellStyle name="Accent1 2 2 2 4" xfId="995"/>
    <cellStyle name="Accent1 2 2 2 5" xfId="996"/>
    <cellStyle name="Accent1 2 2 3" xfId="997"/>
    <cellStyle name="Accent1 2 2 4" xfId="998"/>
    <cellStyle name="Accent1 2 2 5" xfId="999"/>
    <cellStyle name="Accent1 2 3" xfId="1000"/>
    <cellStyle name="Accent1 2 4" xfId="1001"/>
    <cellStyle name="Accent1 2 5" xfId="1002"/>
    <cellStyle name="Accent1 2 6" xfId="1003"/>
    <cellStyle name="Accent1 2 7" xfId="1004"/>
    <cellStyle name="Accent1 2 8" xfId="1005"/>
    <cellStyle name="Accent1 2 9" xfId="1006"/>
    <cellStyle name="Accent1 20" xfId="1007"/>
    <cellStyle name="Accent1 21" xfId="1008"/>
    <cellStyle name="Accent1 22" xfId="1009"/>
    <cellStyle name="Accent1 3" xfId="1010"/>
    <cellStyle name="Accent1 3 2" xfId="4949"/>
    <cellStyle name="Accent1 4" xfId="1011"/>
    <cellStyle name="Accent1 4 2" xfId="4950"/>
    <cellStyle name="Accent1 5" xfId="1012"/>
    <cellStyle name="Accent1 6" xfId="1013"/>
    <cellStyle name="Accent1 7" xfId="1014"/>
    <cellStyle name="Accent1 8" xfId="1015"/>
    <cellStyle name="Accent1 9" xfId="1016"/>
    <cellStyle name="Accent2 10" xfId="1017"/>
    <cellStyle name="Accent2 11" xfId="1018"/>
    <cellStyle name="Accent2 12" xfId="1019"/>
    <cellStyle name="Accent2 13" xfId="1020"/>
    <cellStyle name="Accent2 14" xfId="1021"/>
    <cellStyle name="Accent2 15" xfId="1022"/>
    <cellStyle name="Accent2 16" xfId="1023"/>
    <cellStyle name="Accent2 17" xfId="1024"/>
    <cellStyle name="Accent2 17 2" xfId="4951"/>
    <cellStyle name="Accent2 18" xfId="1025"/>
    <cellStyle name="Accent2 19" xfId="1026"/>
    <cellStyle name="Accent2 2" xfId="1027"/>
    <cellStyle name="Accent2 2 2" xfId="1028"/>
    <cellStyle name="Accent2 2 2 2" xfId="1029"/>
    <cellStyle name="Accent2 2 2 2 2" xfId="1030"/>
    <cellStyle name="Accent2 2 2 2 3" xfId="1031"/>
    <cellStyle name="Accent2 2 2 2 4" xfId="1032"/>
    <cellStyle name="Accent2 2 2 2 5" xfId="1033"/>
    <cellStyle name="Accent2 2 2 3" xfId="1034"/>
    <cellStyle name="Accent2 2 2 4" xfId="1035"/>
    <cellStyle name="Accent2 2 2 5" xfId="1036"/>
    <cellStyle name="Accent2 2 3" xfId="1037"/>
    <cellStyle name="Accent2 2 4" xfId="1038"/>
    <cellStyle name="Accent2 2 5" xfId="1039"/>
    <cellStyle name="Accent2 2 6" xfId="1040"/>
    <cellStyle name="Accent2 2 7" xfId="1041"/>
    <cellStyle name="Accent2 2 8" xfId="1042"/>
    <cellStyle name="Accent2 2 9" xfId="1043"/>
    <cellStyle name="Accent2 20" xfId="1044"/>
    <cellStyle name="Accent2 21" xfId="1045"/>
    <cellStyle name="Accent2 22" xfId="1046"/>
    <cellStyle name="Accent2 3" xfId="1047"/>
    <cellStyle name="Accent2 3 2" xfId="4952"/>
    <cellStyle name="Accent2 4" xfId="1048"/>
    <cellStyle name="Accent2 4 2" xfId="4953"/>
    <cellStyle name="Accent2 5" xfId="1049"/>
    <cellStyle name="Accent2 6" xfId="1050"/>
    <cellStyle name="Accent2 7" xfId="1051"/>
    <cellStyle name="Accent2 8" xfId="1052"/>
    <cellStyle name="Accent2 9" xfId="1053"/>
    <cellStyle name="Accent3 10" xfId="1054"/>
    <cellStyle name="Accent3 11" xfId="1055"/>
    <cellStyle name="Accent3 12" xfId="1056"/>
    <cellStyle name="Accent3 13" xfId="1057"/>
    <cellStyle name="Accent3 14" xfId="1058"/>
    <cellStyle name="Accent3 15" xfId="1059"/>
    <cellStyle name="Accent3 16" xfId="1060"/>
    <cellStyle name="Accent3 17" xfId="1061"/>
    <cellStyle name="Accent3 17 2" xfId="4954"/>
    <cellStyle name="Accent3 18" xfId="1062"/>
    <cellStyle name="Accent3 19" xfId="1063"/>
    <cellStyle name="Accent3 2" xfId="1064"/>
    <cellStyle name="Accent3 2 2" xfId="1065"/>
    <cellStyle name="Accent3 2 2 2" xfId="1066"/>
    <cellStyle name="Accent3 2 2 2 2" xfId="1067"/>
    <cellStyle name="Accent3 2 2 2 3" xfId="1068"/>
    <cellStyle name="Accent3 2 2 2 4" xfId="1069"/>
    <cellStyle name="Accent3 2 2 2 5" xfId="1070"/>
    <cellStyle name="Accent3 2 2 3" xfId="1071"/>
    <cellStyle name="Accent3 2 2 4" xfId="1072"/>
    <cellStyle name="Accent3 2 2 5" xfId="1073"/>
    <cellStyle name="Accent3 2 3" xfId="1074"/>
    <cellStyle name="Accent3 2 4" xfId="1075"/>
    <cellStyle name="Accent3 2 5" xfId="1076"/>
    <cellStyle name="Accent3 2 6" xfId="1077"/>
    <cellStyle name="Accent3 2 7" xfId="1078"/>
    <cellStyle name="Accent3 2 8" xfId="1079"/>
    <cellStyle name="Accent3 2 9" xfId="1080"/>
    <cellStyle name="Accent3 20" xfId="1081"/>
    <cellStyle name="Accent3 21" xfId="1082"/>
    <cellStyle name="Accent3 22" xfId="1083"/>
    <cellStyle name="Accent3 3" xfId="1084"/>
    <cellStyle name="Accent3 3 2" xfId="4955"/>
    <cellStyle name="Accent3 4" xfId="1085"/>
    <cellStyle name="Accent3 4 2" xfId="4956"/>
    <cellStyle name="Accent3 5" xfId="1086"/>
    <cellStyle name="Accent3 6" xfId="1087"/>
    <cellStyle name="Accent3 7" xfId="1088"/>
    <cellStyle name="Accent3 8" xfId="1089"/>
    <cellStyle name="Accent3 9" xfId="1090"/>
    <cellStyle name="Accent4 10" xfId="1091"/>
    <cellStyle name="Accent4 11" xfId="1092"/>
    <cellStyle name="Accent4 12" xfId="1093"/>
    <cellStyle name="Accent4 13" xfId="1094"/>
    <cellStyle name="Accent4 14" xfId="1095"/>
    <cellStyle name="Accent4 15" xfId="1096"/>
    <cellStyle name="Accent4 16" xfId="1097"/>
    <cellStyle name="Accent4 17" xfId="1098"/>
    <cellStyle name="Accent4 17 2" xfId="4957"/>
    <cellStyle name="Accent4 18" xfId="1099"/>
    <cellStyle name="Accent4 19" xfId="1100"/>
    <cellStyle name="Accent4 2" xfId="1101"/>
    <cellStyle name="Accent4 2 2" xfId="1102"/>
    <cellStyle name="Accent4 2 2 2" xfId="1103"/>
    <cellStyle name="Accent4 2 2 2 2" xfId="1104"/>
    <cellStyle name="Accent4 2 2 2 3" xfId="1105"/>
    <cellStyle name="Accent4 2 2 2 4" xfId="1106"/>
    <cellStyle name="Accent4 2 2 2 5" xfId="1107"/>
    <cellStyle name="Accent4 2 2 3" xfId="1108"/>
    <cellStyle name="Accent4 2 2 4" xfId="1109"/>
    <cellStyle name="Accent4 2 2 5" xfId="1110"/>
    <cellStyle name="Accent4 2 3" xfId="1111"/>
    <cellStyle name="Accent4 2 4" xfId="1112"/>
    <cellStyle name="Accent4 2 5" xfId="1113"/>
    <cellStyle name="Accent4 2 6" xfId="1114"/>
    <cellStyle name="Accent4 2 7" xfId="1115"/>
    <cellStyle name="Accent4 2 8" xfId="1116"/>
    <cellStyle name="Accent4 2 9" xfId="1117"/>
    <cellStyle name="Accent4 20" xfId="1118"/>
    <cellStyle name="Accent4 21" xfId="1119"/>
    <cellStyle name="Accent4 22" xfId="1120"/>
    <cellStyle name="Accent4 3" xfId="1121"/>
    <cellStyle name="Accent4 3 2" xfId="4958"/>
    <cellStyle name="Accent4 4" xfId="1122"/>
    <cellStyle name="Accent4 4 2" xfId="4959"/>
    <cellStyle name="Accent4 5" xfId="1123"/>
    <cellStyle name="Accent4 6" xfId="1124"/>
    <cellStyle name="Accent4 7" xfId="1125"/>
    <cellStyle name="Accent4 8" xfId="1126"/>
    <cellStyle name="Accent4 9" xfId="1127"/>
    <cellStyle name="Accent5 10" xfId="1128"/>
    <cellStyle name="Accent5 11" xfId="1129"/>
    <cellStyle name="Accent5 12" xfId="1130"/>
    <cellStyle name="Accent5 13" xfId="1131"/>
    <cellStyle name="Accent5 14" xfId="1132"/>
    <cellStyle name="Accent5 15" xfId="1133"/>
    <cellStyle name="Accent5 16" xfId="1134"/>
    <cellStyle name="Accent5 17" xfId="1135"/>
    <cellStyle name="Accent5 18" xfId="1136"/>
    <cellStyle name="Accent5 19" xfId="1137"/>
    <cellStyle name="Accent5 2" xfId="1138"/>
    <cellStyle name="Accent5 2 2" xfId="1139"/>
    <cellStyle name="Accent5 2 2 2" xfId="1140"/>
    <cellStyle name="Accent5 2 2 2 2" xfId="1141"/>
    <cellStyle name="Accent5 2 2 2 3" xfId="1142"/>
    <cellStyle name="Accent5 2 2 2 4" xfId="1143"/>
    <cellStyle name="Accent5 2 2 2 5" xfId="1144"/>
    <cellStyle name="Accent5 2 2 3" xfId="1145"/>
    <cellStyle name="Accent5 2 2 4" xfId="1146"/>
    <cellStyle name="Accent5 2 2 5" xfId="1147"/>
    <cellStyle name="Accent5 2 3" xfId="1148"/>
    <cellStyle name="Accent5 2 4" xfId="1149"/>
    <cellStyle name="Accent5 2 5" xfId="1150"/>
    <cellStyle name="Accent5 2 6" xfId="1151"/>
    <cellStyle name="Accent5 2 7" xfId="1152"/>
    <cellStyle name="Accent5 2 8" xfId="1153"/>
    <cellStyle name="Accent5 2 9" xfId="1154"/>
    <cellStyle name="Accent5 20" xfId="1155"/>
    <cellStyle name="Accent5 21" xfId="1156"/>
    <cellStyle name="Accent5 22" xfId="1157"/>
    <cellStyle name="Accent5 3" xfId="1158"/>
    <cellStyle name="Accent5 3 2" xfId="4960"/>
    <cellStyle name="Accent5 4" xfId="1159"/>
    <cellStyle name="Accent5 4 2" xfId="4961"/>
    <cellStyle name="Accent5 5" xfId="1160"/>
    <cellStyle name="Accent5 6" xfId="1161"/>
    <cellStyle name="Accent5 7" xfId="1162"/>
    <cellStyle name="Accent5 8" xfId="1163"/>
    <cellStyle name="Accent5 9" xfId="1164"/>
    <cellStyle name="Accent6 10" xfId="1165"/>
    <cellStyle name="Accent6 11" xfId="1166"/>
    <cellStyle name="Accent6 12" xfId="1167"/>
    <cellStyle name="Accent6 13" xfId="1168"/>
    <cellStyle name="Accent6 14" xfId="1169"/>
    <cellStyle name="Accent6 15" xfId="1170"/>
    <cellStyle name="Accent6 16" xfId="1171"/>
    <cellStyle name="Accent6 17" xfId="1172"/>
    <cellStyle name="Accent6 17 2" xfId="4962"/>
    <cellStyle name="Accent6 18" xfId="1173"/>
    <cellStyle name="Accent6 19" xfId="1174"/>
    <cellStyle name="Accent6 2" xfId="1175"/>
    <cellStyle name="Accent6 2 2" xfId="1176"/>
    <cellStyle name="Accent6 2 2 2" xfId="1177"/>
    <cellStyle name="Accent6 2 2 2 2" xfId="1178"/>
    <cellStyle name="Accent6 2 2 2 3" xfId="1179"/>
    <cellStyle name="Accent6 2 2 2 4" xfId="1180"/>
    <cellStyle name="Accent6 2 2 2 5" xfId="1181"/>
    <cellStyle name="Accent6 2 2 3" xfId="1182"/>
    <cellStyle name="Accent6 2 2 4" xfId="1183"/>
    <cellStyle name="Accent6 2 2 5" xfId="1184"/>
    <cellStyle name="Accent6 2 3" xfId="1185"/>
    <cellStyle name="Accent6 2 4" xfId="1186"/>
    <cellStyle name="Accent6 2 5" xfId="1187"/>
    <cellStyle name="Accent6 2 6" xfId="1188"/>
    <cellStyle name="Accent6 2 7" xfId="1189"/>
    <cellStyle name="Accent6 2 8" xfId="1190"/>
    <cellStyle name="Accent6 2 9" xfId="1191"/>
    <cellStyle name="Accent6 20" xfId="1192"/>
    <cellStyle name="Accent6 21" xfId="1193"/>
    <cellStyle name="Accent6 22" xfId="1194"/>
    <cellStyle name="Accent6 3" xfId="1195"/>
    <cellStyle name="Accent6 3 2" xfId="4963"/>
    <cellStyle name="Accent6 4" xfId="1196"/>
    <cellStyle name="Accent6 4 2" xfId="4964"/>
    <cellStyle name="Accent6 5" xfId="1197"/>
    <cellStyle name="Accent6 6" xfId="1198"/>
    <cellStyle name="Accent6 7" xfId="1199"/>
    <cellStyle name="Accent6 8" xfId="1200"/>
    <cellStyle name="Accent6 9" xfId="1201"/>
    <cellStyle name="Bad 10" xfId="1202"/>
    <cellStyle name="Bad 11" xfId="1203"/>
    <cellStyle name="Bad 12" xfId="1204"/>
    <cellStyle name="Bad 13" xfId="1205"/>
    <cellStyle name="Bad 14" xfId="1206"/>
    <cellStyle name="Bad 15" xfId="1207"/>
    <cellStyle name="Bad 16" xfId="1208"/>
    <cellStyle name="Bad 17" xfId="1209"/>
    <cellStyle name="Bad 17 2" xfId="4965"/>
    <cellStyle name="Bad 18" xfId="1210"/>
    <cellStyle name="Bad 19" xfId="1211"/>
    <cellStyle name="Bad 2" xfId="1212"/>
    <cellStyle name="Bad 2 2" xfId="1213"/>
    <cellStyle name="Bad 2 2 2" xfId="1214"/>
    <cellStyle name="Bad 2 2 2 2" xfId="1215"/>
    <cellStyle name="Bad 2 2 2 3" xfId="1216"/>
    <cellStyle name="Bad 2 2 2 4" xfId="1217"/>
    <cellStyle name="Bad 2 2 2 5" xfId="1218"/>
    <cellStyle name="Bad 2 2 3" xfId="1219"/>
    <cellStyle name="Bad 2 2 4" xfId="1220"/>
    <cellStyle name="Bad 2 2 5" xfId="1221"/>
    <cellStyle name="Bad 2 3" xfId="1222"/>
    <cellStyle name="Bad 2 4" xfId="1223"/>
    <cellStyle name="Bad 2 5" xfId="1224"/>
    <cellStyle name="Bad 2 6" xfId="1225"/>
    <cellStyle name="Bad 2 7" xfId="1226"/>
    <cellStyle name="Bad 2 8" xfId="1227"/>
    <cellStyle name="Bad 2 9" xfId="1228"/>
    <cellStyle name="Bad 20" xfId="1229"/>
    <cellStyle name="Bad 21" xfId="1230"/>
    <cellStyle name="Bad 22" xfId="1231"/>
    <cellStyle name="Bad 3" xfId="1232"/>
    <cellStyle name="Bad 3 2" xfId="4966"/>
    <cellStyle name="Bad 4" xfId="1233"/>
    <cellStyle name="Bad 5" xfId="1234"/>
    <cellStyle name="Bad 6" xfId="1235"/>
    <cellStyle name="Bad 7" xfId="1236"/>
    <cellStyle name="Bad 8" xfId="1237"/>
    <cellStyle name="Bad 9" xfId="1238"/>
    <cellStyle name="c" xfId="4967"/>
    <cellStyle name="Calculation 10" xfId="1239"/>
    <cellStyle name="Calculation 10 10" xfId="4968"/>
    <cellStyle name="Calculation 10 11" xfId="4969"/>
    <cellStyle name="Calculation 10 12" xfId="4970"/>
    <cellStyle name="Calculation 10 2" xfId="4971"/>
    <cellStyle name="Calculation 10 2 2" xfId="4972"/>
    <cellStyle name="Calculation 10 2 2 2" xfId="4973"/>
    <cellStyle name="Calculation 10 2 3" xfId="4974"/>
    <cellStyle name="Calculation 10 2 3 2" xfId="4975"/>
    <cellStyle name="Calculation 10 2 4" xfId="4976"/>
    <cellStyle name="Calculation 10 2 4 2" xfId="4977"/>
    <cellStyle name="Calculation 10 2 5" xfId="4978"/>
    <cellStyle name="Calculation 10 2 5 2" xfId="4979"/>
    <cellStyle name="Calculation 10 2 6" xfId="4980"/>
    <cellStyle name="Calculation 10 2 6 2" xfId="4981"/>
    <cellStyle name="Calculation 10 2 7" xfId="4982"/>
    <cellStyle name="Calculation 10 2 7 2" xfId="4983"/>
    <cellStyle name="Calculation 10 2 8" xfId="4984"/>
    <cellStyle name="Calculation 10 2 8 2" xfId="4985"/>
    <cellStyle name="Calculation 10 2 9" xfId="4986"/>
    <cellStyle name="Calculation 10 3" xfId="4987"/>
    <cellStyle name="Calculation 10 3 2" xfId="4988"/>
    <cellStyle name="Calculation 10 4" xfId="4989"/>
    <cellStyle name="Calculation 10 4 2" xfId="4990"/>
    <cellStyle name="Calculation 10 5" xfId="4991"/>
    <cellStyle name="Calculation 10 5 2" xfId="4992"/>
    <cellStyle name="Calculation 10 6" xfId="4993"/>
    <cellStyle name="Calculation 10 6 2" xfId="4994"/>
    <cellStyle name="Calculation 10 7" xfId="4995"/>
    <cellStyle name="Calculation 10 7 2" xfId="4996"/>
    <cellStyle name="Calculation 10 8" xfId="4997"/>
    <cellStyle name="Calculation 10 8 2" xfId="4998"/>
    <cellStyle name="Calculation 10 9" xfId="4999"/>
    <cellStyle name="Calculation 10 9 2" xfId="5000"/>
    <cellStyle name="Calculation 11" xfId="1240"/>
    <cellStyle name="Calculation 11 10" xfId="5001"/>
    <cellStyle name="Calculation 11 11" xfId="5002"/>
    <cellStyle name="Calculation 11 12" xfId="5003"/>
    <cellStyle name="Calculation 11 2" xfId="5004"/>
    <cellStyle name="Calculation 11 2 2" xfId="5005"/>
    <cellStyle name="Calculation 11 2 2 2" xfId="5006"/>
    <cellStyle name="Calculation 11 2 3" xfId="5007"/>
    <cellStyle name="Calculation 11 2 3 2" xfId="5008"/>
    <cellStyle name="Calculation 11 2 4" xfId="5009"/>
    <cellStyle name="Calculation 11 2 4 2" xfId="5010"/>
    <cellStyle name="Calculation 11 2 5" xfId="5011"/>
    <cellStyle name="Calculation 11 2 5 2" xfId="5012"/>
    <cellStyle name="Calculation 11 2 6" xfId="5013"/>
    <cellStyle name="Calculation 11 2 6 2" xfId="5014"/>
    <cellStyle name="Calculation 11 2 7" xfId="5015"/>
    <cellStyle name="Calculation 11 2 7 2" xfId="5016"/>
    <cellStyle name="Calculation 11 2 8" xfId="5017"/>
    <cellStyle name="Calculation 11 2 8 2" xfId="5018"/>
    <cellStyle name="Calculation 11 2 9" xfId="5019"/>
    <cellStyle name="Calculation 11 3" xfId="5020"/>
    <cellStyle name="Calculation 11 3 2" xfId="5021"/>
    <cellStyle name="Calculation 11 4" xfId="5022"/>
    <cellStyle name="Calculation 11 4 2" xfId="5023"/>
    <cellStyle name="Calculation 11 5" xfId="5024"/>
    <cellStyle name="Calculation 11 5 2" xfId="5025"/>
    <cellStyle name="Calculation 11 6" xfId="5026"/>
    <cellStyle name="Calculation 11 6 2" xfId="5027"/>
    <cellStyle name="Calculation 11 7" xfId="5028"/>
    <cellStyle name="Calculation 11 7 2" xfId="5029"/>
    <cellStyle name="Calculation 11 8" xfId="5030"/>
    <cellStyle name="Calculation 11 8 2" xfId="5031"/>
    <cellStyle name="Calculation 11 9" xfId="5032"/>
    <cellStyle name="Calculation 11 9 2" xfId="5033"/>
    <cellStyle name="Calculation 12" xfId="1241"/>
    <cellStyle name="Calculation 12 10" xfId="5034"/>
    <cellStyle name="Calculation 12 11" xfId="5035"/>
    <cellStyle name="Calculation 12 12" xfId="5036"/>
    <cellStyle name="Calculation 12 2" xfId="5037"/>
    <cellStyle name="Calculation 12 2 2" xfId="5038"/>
    <cellStyle name="Calculation 12 2 2 2" xfId="5039"/>
    <cellStyle name="Calculation 12 2 3" xfId="5040"/>
    <cellStyle name="Calculation 12 2 3 2" xfId="5041"/>
    <cellStyle name="Calculation 12 2 4" xfId="5042"/>
    <cellStyle name="Calculation 12 2 4 2" xfId="5043"/>
    <cellStyle name="Calculation 12 2 5" xfId="5044"/>
    <cellStyle name="Calculation 12 2 5 2" xfId="5045"/>
    <cellStyle name="Calculation 12 2 6" xfId="5046"/>
    <cellStyle name="Calculation 12 2 6 2" xfId="5047"/>
    <cellStyle name="Calculation 12 2 7" xfId="5048"/>
    <cellStyle name="Calculation 12 2 7 2" xfId="5049"/>
    <cellStyle name="Calculation 12 2 8" xfId="5050"/>
    <cellStyle name="Calculation 12 2 8 2" xfId="5051"/>
    <cellStyle name="Calculation 12 2 9" xfId="5052"/>
    <cellStyle name="Calculation 12 3" xfId="5053"/>
    <cellStyle name="Calculation 12 3 2" xfId="5054"/>
    <cellStyle name="Calculation 12 4" xfId="5055"/>
    <cellStyle name="Calculation 12 4 2" xfId="5056"/>
    <cellStyle name="Calculation 12 5" xfId="5057"/>
    <cellStyle name="Calculation 12 5 2" xfId="5058"/>
    <cellStyle name="Calculation 12 6" xfId="5059"/>
    <cellStyle name="Calculation 12 6 2" xfId="5060"/>
    <cellStyle name="Calculation 12 7" xfId="5061"/>
    <cellStyle name="Calculation 12 7 2" xfId="5062"/>
    <cellStyle name="Calculation 12 8" xfId="5063"/>
    <cellStyle name="Calculation 12 8 2" xfId="5064"/>
    <cellStyle name="Calculation 12 9" xfId="5065"/>
    <cellStyle name="Calculation 12 9 2" xfId="5066"/>
    <cellStyle name="Calculation 13" xfId="1242"/>
    <cellStyle name="Calculation 13 10" xfId="5067"/>
    <cellStyle name="Calculation 13 11" xfId="5068"/>
    <cellStyle name="Calculation 13 12" xfId="5069"/>
    <cellStyle name="Calculation 13 2" xfId="5070"/>
    <cellStyle name="Calculation 13 2 2" xfId="5071"/>
    <cellStyle name="Calculation 13 2 2 2" xfId="5072"/>
    <cellStyle name="Calculation 13 2 3" xfId="5073"/>
    <cellStyle name="Calculation 13 2 3 2" xfId="5074"/>
    <cellStyle name="Calculation 13 2 4" xfId="5075"/>
    <cellStyle name="Calculation 13 2 4 2" xfId="5076"/>
    <cellStyle name="Calculation 13 2 5" xfId="5077"/>
    <cellStyle name="Calculation 13 2 5 2" xfId="5078"/>
    <cellStyle name="Calculation 13 2 6" xfId="5079"/>
    <cellStyle name="Calculation 13 2 6 2" xfId="5080"/>
    <cellStyle name="Calculation 13 2 7" xfId="5081"/>
    <cellStyle name="Calculation 13 2 7 2" xfId="5082"/>
    <cellStyle name="Calculation 13 2 8" xfId="5083"/>
    <cellStyle name="Calculation 13 2 8 2" xfId="5084"/>
    <cellStyle name="Calculation 13 2 9" xfId="5085"/>
    <cellStyle name="Calculation 13 3" xfId="5086"/>
    <cellStyle name="Calculation 13 3 2" xfId="5087"/>
    <cellStyle name="Calculation 13 4" xfId="5088"/>
    <cellStyle name="Calculation 13 4 2" xfId="5089"/>
    <cellStyle name="Calculation 13 5" xfId="5090"/>
    <cellStyle name="Calculation 13 5 2" xfId="5091"/>
    <cellStyle name="Calculation 13 6" xfId="5092"/>
    <cellStyle name="Calculation 13 6 2" xfId="5093"/>
    <cellStyle name="Calculation 13 7" xfId="5094"/>
    <cellStyle name="Calculation 13 7 2" xfId="5095"/>
    <cellStyle name="Calculation 13 8" xfId="5096"/>
    <cellStyle name="Calculation 13 8 2" xfId="5097"/>
    <cellStyle name="Calculation 13 9" xfId="5098"/>
    <cellStyle name="Calculation 13 9 2" xfId="5099"/>
    <cellStyle name="Calculation 14" xfId="1243"/>
    <cellStyle name="Calculation 14 10" xfId="5100"/>
    <cellStyle name="Calculation 14 11" xfId="5101"/>
    <cellStyle name="Calculation 14 12" xfId="5102"/>
    <cellStyle name="Calculation 14 2" xfId="5103"/>
    <cellStyle name="Calculation 14 2 2" xfId="5104"/>
    <cellStyle name="Calculation 14 2 2 2" xfId="5105"/>
    <cellStyle name="Calculation 14 2 3" xfId="5106"/>
    <cellStyle name="Calculation 14 2 3 2" xfId="5107"/>
    <cellStyle name="Calculation 14 2 4" xfId="5108"/>
    <cellStyle name="Calculation 14 2 4 2" xfId="5109"/>
    <cellStyle name="Calculation 14 2 5" xfId="5110"/>
    <cellStyle name="Calculation 14 2 5 2" xfId="5111"/>
    <cellStyle name="Calculation 14 2 6" xfId="5112"/>
    <cellStyle name="Calculation 14 2 6 2" xfId="5113"/>
    <cellStyle name="Calculation 14 2 7" xfId="5114"/>
    <cellStyle name="Calculation 14 2 7 2" xfId="5115"/>
    <cellStyle name="Calculation 14 2 8" xfId="5116"/>
    <cellStyle name="Calculation 14 2 8 2" xfId="5117"/>
    <cellStyle name="Calculation 14 2 9" xfId="5118"/>
    <cellStyle name="Calculation 14 3" xfId="5119"/>
    <cellStyle name="Calculation 14 3 2" xfId="5120"/>
    <cellStyle name="Calculation 14 4" xfId="5121"/>
    <cellStyle name="Calculation 14 4 2" xfId="5122"/>
    <cellStyle name="Calculation 14 5" xfId="5123"/>
    <cellStyle name="Calculation 14 5 2" xfId="5124"/>
    <cellStyle name="Calculation 14 6" xfId="5125"/>
    <cellStyle name="Calculation 14 6 2" xfId="5126"/>
    <cellStyle name="Calculation 14 7" xfId="5127"/>
    <cellStyle name="Calculation 14 7 2" xfId="5128"/>
    <cellStyle name="Calculation 14 8" xfId="5129"/>
    <cellStyle name="Calculation 14 8 2" xfId="5130"/>
    <cellStyle name="Calculation 14 9" xfId="5131"/>
    <cellStyle name="Calculation 14 9 2" xfId="5132"/>
    <cellStyle name="Calculation 15" xfId="1244"/>
    <cellStyle name="Calculation 15 10" xfId="5133"/>
    <cellStyle name="Calculation 15 11" xfId="5134"/>
    <cellStyle name="Calculation 15 12" xfId="5135"/>
    <cellStyle name="Calculation 15 2" xfId="5136"/>
    <cellStyle name="Calculation 15 2 2" xfId="5137"/>
    <cellStyle name="Calculation 15 2 2 2" xfId="5138"/>
    <cellStyle name="Calculation 15 2 3" xfId="5139"/>
    <cellStyle name="Calculation 15 2 3 2" xfId="5140"/>
    <cellStyle name="Calculation 15 2 4" xfId="5141"/>
    <cellStyle name="Calculation 15 2 4 2" xfId="5142"/>
    <cellStyle name="Calculation 15 2 5" xfId="5143"/>
    <cellStyle name="Calculation 15 2 5 2" xfId="5144"/>
    <cellStyle name="Calculation 15 2 6" xfId="5145"/>
    <cellStyle name="Calculation 15 2 6 2" xfId="5146"/>
    <cellStyle name="Calculation 15 2 7" xfId="5147"/>
    <cellStyle name="Calculation 15 2 7 2" xfId="5148"/>
    <cellStyle name="Calculation 15 2 8" xfId="5149"/>
    <cellStyle name="Calculation 15 2 8 2" xfId="5150"/>
    <cellStyle name="Calculation 15 2 9" xfId="5151"/>
    <cellStyle name="Calculation 15 3" xfId="5152"/>
    <cellStyle name="Calculation 15 3 2" xfId="5153"/>
    <cellStyle name="Calculation 15 4" xfId="5154"/>
    <cellStyle name="Calculation 15 4 2" xfId="5155"/>
    <cellStyle name="Calculation 15 5" xfId="5156"/>
    <cellStyle name="Calculation 15 5 2" xfId="5157"/>
    <cellStyle name="Calculation 15 6" xfId="5158"/>
    <cellStyle name="Calculation 15 6 2" xfId="5159"/>
    <cellStyle name="Calculation 15 7" xfId="5160"/>
    <cellStyle name="Calculation 15 7 2" xfId="5161"/>
    <cellStyle name="Calculation 15 8" xfId="5162"/>
    <cellStyle name="Calculation 15 8 2" xfId="5163"/>
    <cellStyle name="Calculation 15 9" xfId="5164"/>
    <cellStyle name="Calculation 15 9 2" xfId="5165"/>
    <cellStyle name="Calculation 16" xfId="1245"/>
    <cellStyle name="Calculation 16 10" xfId="5166"/>
    <cellStyle name="Calculation 16 11" xfId="5167"/>
    <cellStyle name="Calculation 16 12" xfId="5168"/>
    <cellStyle name="Calculation 16 2" xfId="5169"/>
    <cellStyle name="Calculation 16 2 2" xfId="5170"/>
    <cellStyle name="Calculation 16 2 2 2" xfId="5171"/>
    <cellStyle name="Calculation 16 2 3" xfId="5172"/>
    <cellStyle name="Calculation 16 2 3 2" xfId="5173"/>
    <cellStyle name="Calculation 16 2 4" xfId="5174"/>
    <cellStyle name="Calculation 16 2 4 2" xfId="5175"/>
    <cellStyle name="Calculation 16 2 5" xfId="5176"/>
    <cellStyle name="Calculation 16 2 5 2" xfId="5177"/>
    <cellStyle name="Calculation 16 2 6" xfId="5178"/>
    <cellStyle name="Calculation 16 2 6 2" xfId="5179"/>
    <cellStyle name="Calculation 16 2 7" xfId="5180"/>
    <cellStyle name="Calculation 16 2 7 2" xfId="5181"/>
    <cellStyle name="Calculation 16 2 8" xfId="5182"/>
    <cellStyle name="Calculation 16 2 8 2" xfId="5183"/>
    <cellStyle name="Calculation 16 2 9" xfId="5184"/>
    <cellStyle name="Calculation 16 3" xfId="5185"/>
    <cellStyle name="Calculation 16 3 2" xfId="5186"/>
    <cellStyle name="Calculation 16 4" xfId="5187"/>
    <cellStyle name="Calculation 16 4 2" xfId="5188"/>
    <cellStyle name="Calculation 16 5" xfId="5189"/>
    <cellStyle name="Calculation 16 5 2" xfId="5190"/>
    <cellStyle name="Calculation 16 6" xfId="5191"/>
    <cellStyle name="Calculation 16 6 2" xfId="5192"/>
    <cellStyle name="Calculation 16 7" xfId="5193"/>
    <cellStyle name="Calculation 16 7 2" xfId="5194"/>
    <cellStyle name="Calculation 16 8" xfId="5195"/>
    <cellStyle name="Calculation 16 8 2" xfId="5196"/>
    <cellStyle name="Calculation 16 9" xfId="5197"/>
    <cellStyle name="Calculation 16 9 2" xfId="5198"/>
    <cellStyle name="Calculation 17" xfId="1246"/>
    <cellStyle name="Calculation 17 10" xfId="5199"/>
    <cellStyle name="Calculation 17 11" xfId="5200"/>
    <cellStyle name="Calculation 17 2" xfId="5201"/>
    <cellStyle name="Calculation 17 2 2" xfId="5202"/>
    <cellStyle name="Calculation 17 2 2 2" xfId="5203"/>
    <cellStyle name="Calculation 17 2 3" xfId="5204"/>
    <cellStyle name="Calculation 17 2 3 2" xfId="5205"/>
    <cellStyle name="Calculation 17 2 4" xfId="5206"/>
    <cellStyle name="Calculation 17 2 4 2" xfId="5207"/>
    <cellStyle name="Calculation 17 2 5" xfId="5208"/>
    <cellStyle name="Calculation 17 2 5 2" xfId="5209"/>
    <cellStyle name="Calculation 17 2 6" xfId="5210"/>
    <cellStyle name="Calculation 17 2 6 2" xfId="5211"/>
    <cellStyle name="Calculation 17 2 7" xfId="5212"/>
    <cellStyle name="Calculation 17 2 7 2" xfId="5213"/>
    <cellStyle name="Calculation 17 2 8" xfId="5214"/>
    <cellStyle name="Calculation 17 2 8 2" xfId="5215"/>
    <cellStyle name="Calculation 17 2 9" xfId="5216"/>
    <cellStyle name="Calculation 17 3" xfId="5217"/>
    <cellStyle name="Calculation 17 3 2" xfId="5218"/>
    <cellStyle name="Calculation 17 4" xfId="5219"/>
    <cellStyle name="Calculation 17 4 2" xfId="5220"/>
    <cellStyle name="Calculation 17 5" xfId="5221"/>
    <cellStyle name="Calculation 17 5 2" xfId="5222"/>
    <cellStyle name="Calculation 17 6" xfId="5223"/>
    <cellStyle name="Calculation 17 6 2" xfId="5224"/>
    <cellStyle name="Calculation 17 7" xfId="5225"/>
    <cellStyle name="Calculation 17 7 2" xfId="5226"/>
    <cellStyle name="Calculation 17 8" xfId="5227"/>
    <cellStyle name="Calculation 17 8 2" xfId="5228"/>
    <cellStyle name="Calculation 17 9" xfId="5229"/>
    <cellStyle name="Calculation 17 9 2" xfId="5230"/>
    <cellStyle name="Calculation 18" xfId="1247"/>
    <cellStyle name="Calculation 18 10" xfId="5231"/>
    <cellStyle name="Calculation 18 2" xfId="5232"/>
    <cellStyle name="Calculation 18 2 2" xfId="5233"/>
    <cellStyle name="Calculation 18 2 2 2" xfId="5234"/>
    <cellStyle name="Calculation 18 2 3" xfId="5235"/>
    <cellStyle name="Calculation 18 2 3 2" xfId="5236"/>
    <cellStyle name="Calculation 18 2 4" xfId="5237"/>
    <cellStyle name="Calculation 18 2 4 2" xfId="5238"/>
    <cellStyle name="Calculation 18 2 5" xfId="5239"/>
    <cellStyle name="Calculation 18 2 5 2" xfId="5240"/>
    <cellStyle name="Calculation 18 2 6" xfId="5241"/>
    <cellStyle name="Calculation 18 2 6 2" xfId="5242"/>
    <cellStyle name="Calculation 18 2 7" xfId="5243"/>
    <cellStyle name="Calculation 18 2 7 2" xfId="5244"/>
    <cellStyle name="Calculation 18 2 8" xfId="5245"/>
    <cellStyle name="Calculation 18 2 8 2" xfId="5246"/>
    <cellStyle name="Calculation 18 2 9" xfId="5247"/>
    <cellStyle name="Calculation 18 3" xfId="5248"/>
    <cellStyle name="Calculation 18 3 2" xfId="5249"/>
    <cellStyle name="Calculation 18 4" xfId="5250"/>
    <cellStyle name="Calculation 18 4 2" xfId="5251"/>
    <cellStyle name="Calculation 18 5" xfId="5252"/>
    <cellStyle name="Calculation 18 5 2" xfId="5253"/>
    <cellStyle name="Calculation 18 6" xfId="5254"/>
    <cellStyle name="Calculation 18 6 2" xfId="5255"/>
    <cellStyle name="Calculation 18 7" xfId="5256"/>
    <cellStyle name="Calculation 18 7 2" xfId="5257"/>
    <cellStyle name="Calculation 18 8" xfId="5258"/>
    <cellStyle name="Calculation 18 8 2" xfId="5259"/>
    <cellStyle name="Calculation 18 9" xfId="5260"/>
    <cellStyle name="Calculation 18 9 2" xfId="5261"/>
    <cellStyle name="Calculation 19" xfId="1248"/>
    <cellStyle name="Calculation 19 10" xfId="5262"/>
    <cellStyle name="Calculation 19 2" xfId="5263"/>
    <cellStyle name="Calculation 19 2 2" xfId="5264"/>
    <cellStyle name="Calculation 19 2 2 2" xfId="5265"/>
    <cellStyle name="Calculation 19 2 3" xfId="5266"/>
    <cellStyle name="Calculation 19 2 3 2" xfId="5267"/>
    <cellStyle name="Calculation 19 2 4" xfId="5268"/>
    <cellStyle name="Calculation 19 2 4 2" xfId="5269"/>
    <cellStyle name="Calculation 19 2 5" xfId="5270"/>
    <cellStyle name="Calculation 19 2 5 2" xfId="5271"/>
    <cellStyle name="Calculation 19 2 6" xfId="5272"/>
    <cellStyle name="Calculation 19 2 6 2" xfId="5273"/>
    <cellStyle name="Calculation 19 2 7" xfId="5274"/>
    <cellStyle name="Calculation 19 2 7 2" xfId="5275"/>
    <cellStyle name="Calculation 19 2 8" xfId="5276"/>
    <cellStyle name="Calculation 19 2 8 2" xfId="5277"/>
    <cellStyle name="Calculation 19 2 9" xfId="5278"/>
    <cellStyle name="Calculation 19 3" xfId="5279"/>
    <cellStyle name="Calculation 19 3 2" xfId="5280"/>
    <cellStyle name="Calculation 19 4" xfId="5281"/>
    <cellStyle name="Calculation 19 4 2" xfId="5282"/>
    <cellStyle name="Calculation 19 5" xfId="5283"/>
    <cellStyle name="Calculation 19 5 2" xfId="5284"/>
    <cellStyle name="Calculation 19 6" xfId="5285"/>
    <cellStyle name="Calculation 19 6 2" xfId="5286"/>
    <cellStyle name="Calculation 19 7" xfId="5287"/>
    <cellStyle name="Calculation 19 7 2" xfId="5288"/>
    <cellStyle name="Calculation 19 8" xfId="5289"/>
    <cellStyle name="Calculation 19 8 2" xfId="5290"/>
    <cellStyle name="Calculation 19 9" xfId="5291"/>
    <cellStyle name="Calculation 19 9 2" xfId="5292"/>
    <cellStyle name="Calculation 2" xfId="1249"/>
    <cellStyle name="Calculation 2 10" xfId="5293"/>
    <cellStyle name="Calculation 2 2" xfId="1250"/>
    <cellStyle name="Calculation 2 2 10" xfId="5294"/>
    <cellStyle name="Calculation 2 2 11" xfId="5295"/>
    <cellStyle name="Calculation 2 2 2" xfId="1251"/>
    <cellStyle name="Calculation 2 2 2 2" xfId="1252"/>
    <cellStyle name="Calculation 2 2 2 3" xfId="1253"/>
    <cellStyle name="Calculation 2 2 2 4" xfId="1254"/>
    <cellStyle name="Calculation 2 2 2 5" xfId="1255"/>
    <cellStyle name="Calculation 2 2 3" xfId="1256"/>
    <cellStyle name="Calculation 2 2 3 2" xfId="5296"/>
    <cellStyle name="Calculation 2 2 4" xfId="1257"/>
    <cellStyle name="Calculation 2 2 4 2" xfId="5297"/>
    <cellStyle name="Calculation 2 2 5" xfId="1258"/>
    <cellStyle name="Calculation 2 2 5 2" xfId="5298"/>
    <cellStyle name="Calculation 2 2 6" xfId="5299"/>
    <cellStyle name="Calculation 2 2 6 2" xfId="5300"/>
    <cellStyle name="Calculation 2 2 7" xfId="5301"/>
    <cellStyle name="Calculation 2 2 7 2" xfId="5302"/>
    <cellStyle name="Calculation 2 2 8" xfId="5303"/>
    <cellStyle name="Calculation 2 2 8 2" xfId="5304"/>
    <cellStyle name="Calculation 2 2 9" xfId="5305"/>
    <cellStyle name="Calculation 2 3" xfId="1259"/>
    <cellStyle name="Calculation 2 3 2" xfId="5306"/>
    <cellStyle name="Calculation 2 4" xfId="1260"/>
    <cellStyle name="Calculation 2 4 2" xfId="5307"/>
    <cellStyle name="Calculation 2 5" xfId="1261"/>
    <cellStyle name="Calculation 2 5 2" xfId="5308"/>
    <cellStyle name="Calculation 2 6" xfId="1262"/>
    <cellStyle name="Calculation 2 6 2" xfId="5309"/>
    <cellStyle name="Calculation 2 7" xfId="1263"/>
    <cellStyle name="Calculation 2 7 2" xfId="5310"/>
    <cellStyle name="Calculation 2 8" xfId="1264"/>
    <cellStyle name="Calculation 2 8 2" xfId="5311"/>
    <cellStyle name="Calculation 2 9" xfId="1265"/>
    <cellStyle name="Calculation 20" xfId="1266"/>
    <cellStyle name="Calculation 20 10" xfId="5312"/>
    <cellStyle name="Calculation 20 2" xfId="5313"/>
    <cellStyle name="Calculation 20 2 2" xfId="5314"/>
    <cellStyle name="Calculation 20 2 2 2" xfId="5315"/>
    <cellStyle name="Calculation 20 2 3" xfId="5316"/>
    <cellStyle name="Calculation 20 2 3 2" xfId="5317"/>
    <cellStyle name="Calculation 20 2 4" xfId="5318"/>
    <cellStyle name="Calculation 20 2 4 2" xfId="5319"/>
    <cellStyle name="Calculation 20 2 5" xfId="5320"/>
    <cellStyle name="Calculation 20 2 5 2" xfId="5321"/>
    <cellStyle name="Calculation 20 2 6" xfId="5322"/>
    <cellStyle name="Calculation 20 2 6 2" xfId="5323"/>
    <cellStyle name="Calculation 20 2 7" xfId="5324"/>
    <cellStyle name="Calculation 20 2 7 2" xfId="5325"/>
    <cellStyle name="Calculation 20 2 8" xfId="5326"/>
    <cellStyle name="Calculation 20 2 8 2" xfId="5327"/>
    <cellStyle name="Calculation 20 2 9" xfId="5328"/>
    <cellStyle name="Calculation 20 3" xfId="5329"/>
    <cellStyle name="Calculation 20 3 2" xfId="5330"/>
    <cellStyle name="Calculation 20 4" xfId="5331"/>
    <cellStyle name="Calculation 20 4 2" xfId="5332"/>
    <cellStyle name="Calculation 20 5" xfId="5333"/>
    <cellStyle name="Calculation 20 5 2" xfId="5334"/>
    <cellStyle name="Calculation 20 6" xfId="5335"/>
    <cellStyle name="Calculation 20 6 2" xfId="5336"/>
    <cellStyle name="Calculation 20 7" xfId="5337"/>
    <cellStyle name="Calculation 20 7 2" xfId="5338"/>
    <cellStyle name="Calculation 20 8" xfId="5339"/>
    <cellStyle name="Calculation 20 8 2" xfId="5340"/>
    <cellStyle name="Calculation 20 9" xfId="5341"/>
    <cellStyle name="Calculation 20 9 2" xfId="5342"/>
    <cellStyle name="Calculation 21" xfId="1267"/>
    <cellStyle name="Calculation 21 10" xfId="5343"/>
    <cellStyle name="Calculation 21 2" xfId="5344"/>
    <cellStyle name="Calculation 21 2 2" xfId="5345"/>
    <cellStyle name="Calculation 21 2 2 2" xfId="5346"/>
    <cellStyle name="Calculation 21 2 3" xfId="5347"/>
    <cellStyle name="Calculation 21 2 3 2" xfId="5348"/>
    <cellStyle name="Calculation 21 2 4" xfId="5349"/>
    <cellStyle name="Calculation 21 2 4 2" xfId="5350"/>
    <cellStyle name="Calculation 21 2 5" xfId="5351"/>
    <cellStyle name="Calculation 21 2 5 2" xfId="5352"/>
    <cellStyle name="Calculation 21 2 6" xfId="5353"/>
    <cellStyle name="Calculation 21 2 6 2" xfId="5354"/>
    <cellStyle name="Calculation 21 2 7" xfId="5355"/>
    <cellStyle name="Calculation 21 2 7 2" xfId="5356"/>
    <cellStyle name="Calculation 21 2 8" xfId="5357"/>
    <cellStyle name="Calculation 21 2 8 2" xfId="5358"/>
    <cellStyle name="Calculation 21 2 9" xfId="5359"/>
    <cellStyle name="Calculation 21 3" xfId="5360"/>
    <cellStyle name="Calculation 21 3 2" xfId="5361"/>
    <cellStyle name="Calculation 21 4" xfId="5362"/>
    <cellStyle name="Calculation 21 4 2" xfId="5363"/>
    <cellStyle name="Calculation 21 5" xfId="5364"/>
    <cellStyle name="Calculation 21 5 2" xfId="5365"/>
    <cellStyle name="Calculation 21 6" xfId="5366"/>
    <cellStyle name="Calculation 21 6 2" xfId="5367"/>
    <cellStyle name="Calculation 21 7" xfId="5368"/>
    <cellStyle name="Calculation 21 7 2" xfId="5369"/>
    <cellStyle name="Calculation 21 8" xfId="5370"/>
    <cellStyle name="Calculation 21 8 2" xfId="5371"/>
    <cellStyle name="Calculation 21 9" xfId="5372"/>
    <cellStyle name="Calculation 21 9 2" xfId="5373"/>
    <cellStyle name="Calculation 22" xfId="1268"/>
    <cellStyle name="Calculation 22 2" xfId="5374"/>
    <cellStyle name="Calculation 22 2 2" xfId="5375"/>
    <cellStyle name="Calculation 22 3" xfId="5376"/>
    <cellStyle name="Calculation 22 3 2" xfId="5377"/>
    <cellStyle name="Calculation 22 4" xfId="5378"/>
    <cellStyle name="Calculation 22 4 2" xfId="5379"/>
    <cellStyle name="Calculation 22 5" xfId="5380"/>
    <cellStyle name="Calculation 22 5 2" xfId="5381"/>
    <cellStyle name="Calculation 22 6" xfId="5382"/>
    <cellStyle name="Calculation 22 6 2" xfId="5383"/>
    <cellStyle name="Calculation 22 7" xfId="5384"/>
    <cellStyle name="Calculation 22 7 2" xfId="5385"/>
    <cellStyle name="Calculation 22 8" xfId="5386"/>
    <cellStyle name="Calculation 22 8 2" xfId="5387"/>
    <cellStyle name="Calculation 22 9" xfId="5388"/>
    <cellStyle name="Calculation 3" xfId="1269"/>
    <cellStyle name="Calculation 3 10" xfId="5389"/>
    <cellStyle name="Calculation 3 11" xfId="5390"/>
    <cellStyle name="Calculation 3 2" xfId="5391"/>
    <cellStyle name="Calculation 3 2 10" xfId="5392"/>
    <cellStyle name="Calculation 3 2 2" xfId="5393"/>
    <cellStyle name="Calculation 3 2 2 2" xfId="5394"/>
    <cellStyle name="Calculation 3 2 3" xfId="5395"/>
    <cellStyle name="Calculation 3 2 3 2" xfId="5396"/>
    <cellStyle name="Calculation 3 2 4" xfId="5397"/>
    <cellStyle name="Calculation 3 2 4 2" xfId="5398"/>
    <cellStyle name="Calculation 3 2 5" xfId="5399"/>
    <cellStyle name="Calculation 3 2 5 2" xfId="5400"/>
    <cellStyle name="Calculation 3 2 6" xfId="5401"/>
    <cellStyle name="Calculation 3 2 6 2" xfId="5402"/>
    <cellStyle name="Calculation 3 2 7" xfId="5403"/>
    <cellStyle name="Calculation 3 2 7 2" xfId="5404"/>
    <cellStyle name="Calculation 3 2 8" xfId="5405"/>
    <cellStyle name="Calculation 3 2 8 2" xfId="5406"/>
    <cellStyle name="Calculation 3 2 9" xfId="5407"/>
    <cellStyle name="Calculation 3 3" xfId="5408"/>
    <cellStyle name="Calculation 3 3 2" xfId="5409"/>
    <cellStyle name="Calculation 3 4" xfId="5410"/>
    <cellStyle name="Calculation 3 4 2" xfId="5411"/>
    <cellStyle name="Calculation 3 5" xfId="5412"/>
    <cellStyle name="Calculation 3 5 2" xfId="5413"/>
    <cellStyle name="Calculation 3 6" xfId="5414"/>
    <cellStyle name="Calculation 3 6 2" xfId="5415"/>
    <cellStyle name="Calculation 3 7" xfId="5416"/>
    <cellStyle name="Calculation 3 7 2" xfId="5417"/>
    <cellStyle name="Calculation 3 8" xfId="5418"/>
    <cellStyle name="Calculation 3 8 2" xfId="5419"/>
    <cellStyle name="Calculation 3 9" xfId="5420"/>
    <cellStyle name="Calculation 3 9 2" xfId="5421"/>
    <cellStyle name="Calculation 4" xfId="1270"/>
    <cellStyle name="Calculation 4 10" xfId="5422"/>
    <cellStyle name="Calculation 4 11" xfId="5423"/>
    <cellStyle name="Calculation 4 12" xfId="5424"/>
    <cellStyle name="Calculation 4 2" xfId="5425"/>
    <cellStyle name="Calculation 4 2 2" xfId="5426"/>
    <cellStyle name="Calculation 4 2 2 2" xfId="5427"/>
    <cellStyle name="Calculation 4 2 3" xfId="5428"/>
    <cellStyle name="Calculation 4 2 3 2" xfId="5429"/>
    <cellStyle name="Calculation 4 2 4" xfId="5430"/>
    <cellStyle name="Calculation 4 2 4 2" xfId="5431"/>
    <cellStyle name="Calculation 4 2 5" xfId="5432"/>
    <cellStyle name="Calculation 4 2 5 2" xfId="5433"/>
    <cellStyle name="Calculation 4 2 6" xfId="5434"/>
    <cellStyle name="Calculation 4 2 6 2" xfId="5435"/>
    <cellStyle name="Calculation 4 2 7" xfId="5436"/>
    <cellStyle name="Calculation 4 2 7 2" xfId="5437"/>
    <cellStyle name="Calculation 4 2 8" xfId="5438"/>
    <cellStyle name="Calculation 4 2 8 2" xfId="5439"/>
    <cellStyle name="Calculation 4 2 9" xfId="5440"/>
    <cellStyle name="Calculation 4 3" xfId="5441"/>
    <cellStyle name="Calculation 4 3 2" xfId="5442"/>
    <cellStyle name="Calculation 4 4" xfId="5443"/>
    <cellStyle name="Calculation 4 4 2" xfId="5444"/>
    <cellStyle name="Calculation 4 5" xfId="5445"/>
    <cellStyle name="Calculation 4 5 2" xfId="5446"/>
    <cellStyle name="Calculation 4 6" xfId="5447"/>
    <cellStyle name="Calculation 4 6 2" xfId="5448"/>
    <cellStyle name="Calculation 4 7" xfId="5449"/>
    <cellStyle name="Calculation 4 7 2" xfId="5450"/>
    <cellStyle name="Calculation 4 8" xfId="5451"/>
    <cellStyle name="Calculation 4 8 2" xfId="5452"/>
    <cellStyle name="Calculation 4 9" xfId="5453"/>
    <cellStyle name="Calculation 4 9 2" xfId="5454"/>
    <cellStyle name="Calculation 5" xfId="1271"/>
    <cellStyle name="Calculation 5 10" xfId="5455"/>
    <cellStyle name="Calculation 5 11" xfId="5456"/>
    <cellStyle name="Calculation 5 12" xfId="5457"/>
    <cellStyle name="Calculation 5 2" xfId="5458"/>
    <cellStyle name="Calculation 5 2 2" xfId="5459"/>
    <cellStyle name="Calculation 5 2 2 2" xfId="5460"/>
    <cellStyle name="Calculation 5 2 3" xfId="5461"/>
    <cellStyle name="Calculation 5 2 3 2" xfId="5462"/>
    <cellStyle name="Calculation 5 2 4" xfId="5463"/>
    <cellStyle name="Calculation 5 2 4 2" xfId="5464"/>
    <cellStyle name="Calculation 5 2 5" xfId="5465"/>
    <cellStyle name="Calculation 5 2 5 2" xfId="5466"/>
    <cellStyle name="Calculation 5 2 6" xfId="5467"/>
    <cellStyle name="Calculation 5 2 6 2" xfId="5468"/>
    <cellStyle name="Calculation 5 2 7" xfId="5469"/>
    <cellStyle name="Calculation 5 2 7 2" xfId="5470"/>
    <cellStyle name="Calculation 5 2 8" xfId="5471"/>
    <cellStyle name="Calculation 5 2 8 2" xfId="5472"/>
    <cellStyle name="Calculation 5 2 9" xfId="5473"/>
    <cellStyle name="Calculation 5 3" xfId="5474"/>
    <cellStyle name="Calculation 5 3 2" xfId="5475"/>
    <cellStyle name="Calculation 5 4" xfId="5476"/>
    <cellStyle name="Calculation 5 4 2" xfId="5477"/>
    <cellStyle name="Calculation 5 5" xfId="5478"/>
    <cellStyle name="Calculation 5 5 2" xfId="5479"/>
    <cellStyle name="Calculation 5 6" xfId="5480"/>
    <cellStyle name="Calculation 5 6 2" xfId="5481"/>
    <cellStyle name="Calculation 5 7" xfId="5482"/>
    <cellStyle name="Calculation 5 7 2" xfId="5483"/>
    <cellStyle name="Calculation 5 8" xfId="5484"/>
    <cellStyle name="Calculation 5 8 2" xfId="5485"/>
    <cellStyle name="Calculation 5 9" xfId="5486"/>
    <cellStyle name="Calculation 5 9 2" xfId="5487"/>
    <cellStyle name="Calculation 6" xfId="1272"/>
    <cellStyle name="Calculation 6 10" xfId="5488"/>
    <cellStyle name="Calculation 6 11" xfId="5489"/>
    <cellStyle name="Calculation 6 12" xfId="5490"/>
    <cellStyle name="Calculation 6 2" xfId="5491"/>
    <cellStyle name="Calculation 6 2 2" xfId="5492"/>
    <cellStyle name="Calculation 6 2 2 2" xfId="5493"/>
    <cellStyle name="Calculation 6 2 3" xfId="5494"/>
    <cellStyle name="Calculation 6 2 3 2" xfId="5495"/>
    <cellStyle name="Calculation 6 2 4" xfId="5496"/>
    <cellStyle name="Calculation 6 2 4 2" xfId="5497"/>
    <cellStyle name="Calculation 6 2 5" xfId="5498"/>
    <cellStyle name="Calculation 6 2 5 2" xfId="5499"/>
    <cellStyle name="Calculation 6 2 6" xfId="5500"/>
    <cellStyle name="Calculation 6 2 6 2" xfId="5501"/>
    <cellStyle name="Calculation 6 2 7" xfId="5502"/>
    <cellStyle name="Calculation 6 2 7 2" xfId="5503"/>
    <cellStyle name="Calculation 6 2 8" xfId="5504"/>
    <cellStyle name="Calculation 6 2 8 2" xfId="5505"/>
    <cellStyle name="Calculation 6 2 9" xfId="5506"/>
    <cellStyle name="Calculation 6 3" xfId="5507"/>
    <cellStyle name="Calculation 6 3 2" xfId="5508"/>
    <cellStyle name="Calculation 6 4" xfId="5509"/>
    <cellStyle name="Calculation 6 4 2" xfId="5510"/>
    <cellStyle name="Calculation 6 5" xfId="5511"/>
    <cellStyle name="Calculation 6 5 2" xfId="5512"/>
    <cellStyle name="Calculation 6 6" xfId="5513"/>
    <cellStyle name="Calculation 6 6 2" xfId="5514"/>
    <cellStyle name="Calculation 6 7" xfId="5515"/>
    <cellStyle name="Calculation 6 7 2" xfId="5516"/>
    <cellStyle name="Calculation 6 8" xfId="5517"/>
    <cellStyle name="Calculation 6 8 2" xfId="5518"/>
    <cellStyle name="Calculation 6 9" xfId="5519"/>
    <cellStyle name="Calculation 6 9 2" xfId="5520"/>
    <cellStyle name="Calculation 7" xfId="1273"/>
    <cellStyle name="Calculation 7 10" xfId="5521"/>
    <cellStyle name="Calculation 7 11" xfId="5522"/>
    <cellStyle name="Calculation 7 12" xfId="5523"/>
    <cellStyle name="Calculation 7 2" xfId="5524"/>
    <cellStyle name="Calculation 7 2 2" xfId="5525"/>
    <cellStyle name="Calculation 7 2 2 2" xfId="5526"/>
    <cellStyle name="Calculation 7 2 3" xfId="5527"/>
    <cellStyle name="Calculation 7 2 3 2" xfId="5528"/>
    <cellStyle name="Calculation 7 2 4" xfId="5529"/>
    <cellStyle name="Calculation 7 2 4 2" xfId="5530"/>
    <cellStyle name="Calculation 7 2 5" xfId="5531"/>
    <cellStyle name="Calculation 7 2 5 2" xfId="5532"/>
    <cellStyle name="Calculation 7 2 6" xfId="5533"/>
    <cellStyle name="Calculation 7 2 6 2" xfId="5534"/>
    <cellStyle name="Calculation 7 2 7" xfId="5535"/>
    <cellStyle name="Calculation 7 2 7 2" xfId="5536"/>
    <cellStyle name="Calculation 7 2 8" xfId="5537"/>
    <cellStyle name="Calculation 7 2 8 2" xfId="5538"/>
    <cellStyle name="Calculation 7 2 9" xfId="5539"/>
    <cellStyle name="Calculation 7 3" xfId="5540"/>
    <cellStyle name="Calculation 7 3 2" xfId="5541"/>
    <cellStyle name="Calculation 7 4" xfId="5542"/>
    <cellStyle name="Calculation 7 4 2" xfId="5543"/>
    <cellStyle name="Calculation 7 5" xfId="5544"/>
    <cellStyle name="Calculation 7 5 2" xfId="5545"/>
    <cellStyle name="Calculation 7 6" xfId="5546"/>
    <cellStyle name="Calculation 7 6 2" xfId="5547"/>
    <cellStyle name="Calculation 7 7" xfId="5548"/>
    <cellStyle name="Calculation 7 7 2" xfId="5549"/>
    <cellStyle name="Calculation 7 8" xfId="5550"/>
    <cellStyle name="Calculation 7 8 2" xfId="5551"/>
    <cellStyle name="Calculation 7 9" xfId="5552"/>
    <cellStyle name="Calculation 7 9 2" xfId="5553"/>
    <cellStyle name="Calculation 8" xfId="1274"/>
    <cellStyle name="Calculation 8 10" xfId="5554"/>
    <cellStyle name="Calculation 8 11" xfId="5555"/>
    <cellStyle name="Calculation 8 12" xfId="5556"/>
    <cellStyle name="Calculation 8 2" xfId="5557"/>
    <cellStyle name="Calculation 8 2 2" xfId="5558"/>
    <cellStyle name="Calculation 8 2 2 2" xfId="5559"/>
    <cellStyle name="Calculation 8 2 3" xfId="5560"/>
    <cellStyle name="Calculation 8 2 3 2" xfId="5561"/>
    <cellStyle name="Calculation 8 2 4" xfId="5562"/>
    <cellStyle name="Calculation 8 2 4 2" xfId="5563"/>
    <cellStyle name="Calculation 8 2 5" xfId="5564"/>
    <cellStyle name="Calculation 8 2 5 2" xfId="5565"/>
    <cellStyle name="Calculation 8 2 6" xfId="5566"/>
    <cellStyle name="Calculation 8 2 6 2" xfId="5567"/>
    <cellStyle name="Calculation 8 2 7" xfId="5568"/>
    <cellStyle name="Calculation 8 2 7 2" xfId="5569"/>
    <cellStyle name="Calculation 8 2 8" xfId="5570"/>
    <cellStyle name="Calculation 8 2 8 2" xfId="5571"/>
    <cellStyle name="Calculation 8 2 9" xfId="5572"/>
    <cellStyle name="Calculation 8 3" xfId="5573"/>
    <cellStyle name="Calculation 8 3 2" xfId="5574"/>
    <cellStyle name="Calculation 8 4" xfId="5575"/>
    <cellStyle name="Calculation 8 4 2" xfId="5576"/>
    <cellStyle name="Calculation 8 5" xfId="5577"/>
    <cellStyle name="Calculation 8 5 2" xfId="5578"/>
    <cellStyle name="Calculation 8 6" xfId="5579"/>
    <cellStyle name="Calculation 8 6 2" xfId="5580"/>
    <cellStyle name="Calculation 8 7" xfId="5581"/>
    <cellStyle name="Calculation 8 7 2" xfId="5582"/>
    <cellStyle name="Calculation 8 8" xfId="5583"/>
    <cellStyle name="Calculation 8 8 2" xfId="5584"/>
    <cellStyle name="Calculation 8 9" xfId="5585"/>
    <cellStyle name="Calculation 8 9 2" xfId="5586"/>
    <cellStyle name="Calculation 9" xfId="1275"/>
    <cellStyle name="Calculation 9 10" xfId="5587"/>
    <cellStyle name="Calculation 9 11" xfId="5588"/>
    <cellStyle name="Calculation 9 12" xfId="5589"/>
    <cellStyle name="Calculation 9 2" xfId="5590"/>
    <cellStyle name="Calculation 9 2 2" xfId="5591"/>
    <cellStyle name="Calculation 9 2 2 2" xfId="5592"/>
    <cellStyle name="Calculation 9 2 3" xfId="5593"/>
    <cellStyle name="Calculation 9 2 3 2" xfId="5594"/>
    <cellStyle name="Calculation 9 2 4" xfId="5595"/>
    <cellStyle name="Calculation 9 2 4 2" xfId="5596"/>
    <cellStyle name="Calculation 9 2 5" xfId="5597"/>
    <cellStyle name="Calculation 9 2 5 2" xfId="5598"/>
    <cellStyle name="Calculation 9 2 6" xfId="5599"/>
    <cellStyle name="Calculation 9 2 6 2" xfId="5600"/>
    <cellStyle name="Calculation 9 2 7" xfId="5601"/>
    <cellStyle name="Calculation 9 2 7 2" xfId="5602"/>
    <cellStyle name="Calculation 9 2 8" xfId="5603"/>
    <cellStyle name="Calculation 9 2 8 2" xfId="5604"/>
    <cellStyle name="Calculation 9 2 9" xfId="5605"/>
    <cellStyle name="Calculation 9 3" xfId="5606"/>
    <cellStyle name="Calculation 9 3 2" xfId="5607"/>
    <cellStyle name="Calculation 9 4" xfId="5608"/>
    <cellStyle name="Calculation 9 4 2" xfId="5609"/>
    <cellStyle name="Calculation 9 5" xfId="5610"/>
    <cellStyle name="Calculation 9 5 2" xfId="5611"/>
    <cellStyle name="Calculation 9 6" xfId="5612"/>
    <cellStyle name="Calculation 9 6 2" xfId="5613"/>
    <cellStyle name="Calculation 9 7" xfId="5614"/>
    <cellStyle name="Calculation 9 7 2" xfId="5615"/>
    <cellStyle name="Calculation 9 8" xfId="5616"/>
    <cellStyle name="Calculation 9 8 2" xfId="5617"/>
    <cellStyle name="Calculation 9 9" xfId="5618"/>
    <cellStyle name="Calculation 9 9 2" xfId="5619"/>
    <cellStyle name="Check Cell 10" xfId="1276"/>
    <cellStyle name="Check Cell 11" xfId="1277"/>
    <cellStyle name="Check Cell 12" xfId="1278"/>
    <cellStyle name="Check Cell 13" xfId="1279"/>
    <cellStyle name="Check Cell 14" xfId="1280"/>
    <cellStyle name="Check Cell 15" xfId="1281"/>
    <cellStyle name="Check Cell 16" xfId="1282"/>
    <cellStyle name="Check Cell 17" xfId="1283"/>
    <cellStyle name="Check Cell 18" xfId="1284"/>
    <cellStyle name="Check Cell 19" xfId="1285"/>
    <cellStyle name="Check Cell 2" xfId="1286"/>
    <cellStyle name="Check Cell 2 2" xfId="1287"/>
    <cellStyle name="Check Cell 2 2 2" xfId="1288"/>
    <cellStyle name="Check Cell 2 2 2 2" xfId="1289"/>
    <cellStyle name="Check Cell 2 2 2 3" xfId="1290"/>
    <cellStyle name="Check Cell 2 2 2 4" xfId="1291"/>
    <cellStyle name="Check Cell 2 2 2 5" xfId="1292"/>
    <cellStyle name="Check Cell 2 2 3" xfId="1293"/>
    <cellStyle name="Check Cell 2 2 4" xfId="1294"/>
    <cellStyle name="Check Cell 2 2 5" xfId="1295"/>
    <cellStyle name="Check Cell 2 3" xfId="1296"/>
    <cellStyle name="Check Cell 2 4" xfId="1297"/>
    <cellStyle name="Check Cell 2 5" xfId="1298"/>
    <cellStyle name="Check Cell 2 6" xfId="1299"/>
    <cellStyle name="Check Cell 2 7" xfId="1300"/>
    <cellStyle name="Check Cell 2 8" xfId="1301"/>
    <cellStyle name="Check Cell 2 9" xfId="1302"/>
    <cellStyle name="Check Cell 20" xfId="1303"/>
    <cellStyle name="Check Cell 21" xfId="1304"/>
    <cellStyle name="Check Cell 22" xfId="1305"/>
    <cellStyle name="Check Cell 3" xfId="1306"/>
    <cellStyle name="Check Cell 3 2" xfId="5620"/>
    <cellStyle name="Check Cell 4" xfId="1307"/>
    <cellStyle name="Check Cell 5" xfId="1308"/>
    <cellStyle name="Check Cell 6" xfId="1309"/>
    <cellStyle name="Check Cell 7" xfId="1310"/>
    <cellStyle name="Check Cell 8" xfId="1311"/>
    <cellStyle name="Check Cell 9" xfId="1312"/>
    <cellStyle name="CodeEingabe" xfId="5621"/>
    <cellStyle name="ColumnAttributeAbovePrompt" xfId="5622"/>
    <cellStyle name="ColumnAttributeAbovePrompt 2" xfId="5623"/>
    <cellStyle name="ColumnAttributeAbovePrompt 2 2" xfId="5624"/>
    <cellStyle name="ColumnAttributeAbovePrompt 2 3" xfId="5625"/>
    <cellStyle name="ColumnAttributeAbovePrompt 3" xfId="5626"/>
    <cellStyle name="ColumnAttributePrompt" xfId="5627"/>
    <cellStyle name="ColumnAttributePrompt 2" xfId="5628"/>
    <cellStyle name="ColumnAttributePrompt 2 2" xfId="5629"/>
    <cellStyle name="ColumnAttributePrompt 2 3" xfId="5630"/>
    <cellStyle name="ColumnAttributePrompt 3" xfId="5631"/>
    <cellStyle name="ColumnAttributeValue" xfId="5632"/>
    <cellStyle name="ColumnAttributeValue 2" xfId="5633"/>
    <cellStyle name="ColumnAttributeValue 2 2" xfId="5634"/>
    <cellStyle name="ColumnAttributeValue 2 3" xfId="5635"/>
    <cellStyle name="ColumnAttributeValue 3" xfId="5636"/>
    <cellStyle name="ColumnHeadingPrompt" xfId="5637"/>
    <cellStyle name="ColumnHeadingPrompt 2" xfId="5638"/>
    <cellStyle name="ColumnHeadingPrompt 2 2" xfId="5639"/>
    <cellStyle name="ColumnHeadingPrompt 2 3" xfId="5640"/>
    <cellStyle name="ColumnHeadingPrompt 3" xfId="5641"/>
    <cellStyle name="ColumnHeadingValue" xfId="5642"/>
    <cellStyle name="ColumnHeadingValue 2" xfId="5643"/>
    <cellStyle name="ColumnHeadingValue 2 2" xfId="5644"/>
    <cellStyle name="ColumnHeadingValue 3" xfId="5645"/>
    <cellStyle name="Comma" xfId="1" builtinId="3"/>
    <cellStyle name="Comma [0] 2" xfId="5646"/>
    <cellStyle name="Comma [0] 2 2" xfId="5647"/>
    <cellStyle name="Comma [0] 3" xfId="5648"/>
    <cellStyle name="Comma [0] 3 2" xfId="5649"/>
    <cellStyle name="Comma [0] 3 2 2" xfId="5650"/>
    <cellStyle name="Comma [0] 3 2 2 2" xfId="5651"/>
    <cellStyle name="Comma [0] 3 2 3" xfId="5652"/>
    <cellStyle name="Comma [0] 3 2 4" xfId="5653"/>
    <cellStyle name="Comma [0] 3 3" xfId="5654"/>
    <cellStyle name="Comma [0] 3 4" xfId="5655"/>
    <cellStyle name="Comma [0] 3 4 2" xfId="5656"/>
    <cellStyle name="Comma [0] 3 5" xfId="5657"/>
    <cellStyle name="Comma [0] 4" xfId="5658"/>
    <cellStyle name="Comma [0] 4 2" xfId="5659"/>
    <cellStyle name="Comma [0] 5" xfId="5660"/>
    <cellStyle name="Comma [0] 5 2" xfId="5661"/>
    <cellStyle name="Comma [0] 5 2 2" xfId="5662"/>
    <cellStyle name="Comma [0] 5 2 3" xfId="5663"/>
    <cellStyle name="Comma [0] 5 3" xfId="5664"/>
    <cellStyle name="Comma [0] 5 4" xfId="5665"/>
    <cellStyle name="Comma [0] 6" xfId="5666"/>
    <cellStyle name="Comma [0] 6 2" xfId="5667"/>
    <cellStyle name="Comma [0] 6 2 2" xfId="5668"/>
    <cellStyle name="Comma [0] 6 3" xfId="5669"/>
    <cellStyle name="Comma 10" xfId="1313"/>
    <cellStyle name="Comma 10 2" xfId="5670"/>
    <cellStyle name="Comma 10 2 2" xfId="5671"/>
    <cellStyle name="Comma 10 2 2 2" xfId="5672"/>
    <cellStyle name="Comma 10 2 2 2 2" xfId="5673"/>
    <cellStyle name="Comma 10 2 2 2 2 2" xfId="5674"/>
    <cellStyle name="Comma 10 2 2 2 2 2 2" xfId="5675"/>
    <cellStyle name="Comma 10 2 2 2 2 3" xfId="5676"/>
    <cellStyle name="Comma 10 2 2 2 3" xfId="5677"/>
    <cellStyle name="Comma 10 2 2 2 3 2" xfId="5678"/>
    <cellStyle name="Comma 10 2 2 2 4" xfId="5679"/>
    <cellStyle name="Comma 10 2 2 3" xfId="5680"/>
    <cellStyle name="Comma 10 2 2 3 2" xfId="5681"/>
    <cellStyle name="Comma 10 2 2 3 2 2" xfId="5682"/>
    <cellStyle name="Comma 10 2 2 3 3" xfId="5683"/>
    <cellStyle name="Comma 10 2 2 4" xfId="5684"/>
    <cellStyle name="Comma 10 2 2 4 2" xfId="5685"/>
    <cellStyle name="Comma 10 2 2 5" xfId="5686"/>
    <cellStyle name="Comma 10 2 2 6" xfId="5687"/>
    <cellStyle name="Comma 10 2 3" xfId="5688"/>
    <cellStyle name="Comma 10 2 3 2" xfId="5689"/>
    <cellStyle name="Comma 10 2 3 2 2" xfId="5690"/>
    <cellStyle name="Comma 10 2 3 2 2 2" xfId="5691"/>
    <cellStyle name="Comma 10 2 3 2 3" xfId="5692"/>
    <cellStyle name="Comma 10 2 3 3" xfId="5693"/>
    <cellStyle name="Comma 10 2 3 3 2" xfId="5694"/>
    <cellStyle name="Comma 10 2 3 4" xfId="5695"/>
    <cellStyle name="Comma 10 2 4" xfId="5696"/>
    <cellStyle name="Comma 10 2 4 2" xfId="5697"/>
    <cellStyle name="Comma 10 2 4 2 2" xfId="5698"/>
    <cellStyle name="Comma 10 2 4 3" xfId="5699"/>
    <cellStyle name="Comma 10 2 5" xfId="5700"/>
    <cellStyle name="Comma 10 2 5 2" xfId="5701"/>
    <cellStyle name="Comma 10 2 6" xfId="5702"/>
    <cellStyle name="Comma 10 2 7" xfId="5703"/>
    <cellStyle name="Comma 10 3" xfId="5704"/>
    <cellStyle name="Comma 10 3 2" xfId="5705"/>
    <cellStyle name="Comma 10 3 2 2" xfId="5706"/>
    <cellStyle name="Comma 10 3 2 2 2" xfId="5707"/>
    <cellStyle name="Comma 10 3 2 2 2 2" xfId="5708"/>
    <cellStyle name="Comma 10 3 2 2 3" xfId="5709"/>
    <cellStyle name="Comma 10 3 2 3" xfId="5710"/>
    <cellStyle name="Comma 10 3 2 3 2" xfId="5711"/>
    <cellStyle name="Comma 10 3 2 4" xfId="5712"/>
    <cellStyle name="Comma 10 3 3" xfId="5713"/>
    <cellStyle name="Comma 10 3 3 2" xfId="5714"/>
    <cellStyle name="Comma 10 3 3 2 2" xfId="5715"/>
    <cellStyle name="Comma 10 3 3 3" xfId="5716"/>
    <cellStyle name="Comma 10 3 4" xfId="5717"/>
    <cellStyle name="Comma 10 3 4 2" xfId="5718"/>
    <cellStyle name="Comma 10 3 5" xfId="5719"/>
    <cellStyle name="Comma 10 3 6" xfId="5720"/>
    <cellStyle name="Comma 10 4" xfId="5721"/>
    <cellStyle name="Comma 10 4 2" xfId="5722"/>
    <cellStyle name="Comma 10 4 2 2" xfId="5723"/>
    <cellStyle name="Comma 10 4 2 2 2" xfId="5724"/>
    <cellStyle name="Comma 10 4 2 3" xfId="5725"/>
    <cellStyle name="Comma 10 4 3" xfId="5726"/>
    <cellStyle name="Comma 10 4 3 2" xfId="5727"/>
    <cellStyle name="Comma 10 4 4" xfId="5728"/>
    <cellStyle name="Comma 10 5" xfId="5729"/>
    <cellStyle name="Comma 10 5 2" xfId="5730"/>
    <cellStyle name="Comma 10 5 2 2" xfId="5731"/>
    <cellStyle name="Comma 10 5 3" xfId="5732"/>
    <cellStyle name="Comma 10 6" xfId="5733"/>
    <cellStyle name="Comma 10 6 2" xfId="5734"/>
    <cellStyle name="Comma 10 7" xfId="5735"/>
    <cellStyle name="Comma 10 8" xfId="5736"/>
    <cellStyle name="Comma 10 9" xfId="5737"/>
    <cellStyle name="Comma 11" xfId="1314"/>
    <cellStyle name="Comma 11 10" xfId="5738"/>
    <cellStyle name="Comma 11 2" xfId="5739"/>
    <cellStyle name="Comma 11 2 2" xfId="5740"/>
    <cellStyle name="Comma 11 2 2 2" xfId="5741"/>
    <cellStyle name="Comma 11 2 2 2 2" xfId="5742"/>
    <cellStyle name="Comma 11 2 2 2 3" xfId="5743"/>
    <cellStyle name="Comma 11 2 2 3" xfId="5744"/>
    <cellStyle name="Comma 11 2 2 3 2" xfId="5745"/>
    <cellStyle name="Comma 11 2 2 4" xfId="5746"/>
    <cellStyle name="Comma 11 2 2 5" xfId="5747"/>
    <cellStyle name="Comma 11 2 3" xfId="5748"/>
    <cellStyle name="Comma 11 2 3 2" xfId="5749"/>
    <cellStyle name="Comma 11 2 3 3" xfId="5750"/>
    <cellStyle name="Comma 11 2 4" xfId="5751"/>
    <cellStyle name="Comma 11 2 4 2" xfId="5752"/>
    <cellStyle name="Comma 11 2 5" xfId="5753"/>
    <cellStyle name="Comma 11 2 6" xfId="5754"/>
    <cellStyle name="Comma 11 3" xfId="5755"/>
    <cellStyle name="Comma 11 3 2" xfId="5756"/>
    <cellStyle name="Comma 11 3 2 2" xfId="5757"/>
    <cellStyle name="Comma 11 3 2 2 2" xfId="5758"/>
    <cellStyle name="Comma 11 3 2 3" xfId="5759"/>
    <cellStyle name="Comma 11 3 2 4" xfId="5760"/>
    <cellStyle name="Comma 11 3 2 5" xfId="5761"/>
    <cellStyle name="Comma 11 3 3" xfId="5762"/>
    <cellStyle name="Comma 11 3 3 2" xfId="5763"/>
    <cellStyle name="Comma 11 3 4" xfId="5764"/>
    <cellStyle name="Comma 11 3 5" xfId="5765"/>
    <cellStyle name="Comma 11 3 6" xfId="5766"/>
    <cellStyle name="Comma 11 4" xfId="5767"/>
    <cellStyle name="Comma 11 4 2" xfId="5768"/>
    <cellStyle name="Comma 11 4 2 2" xfId="5769"/>
    <cellStyle name="Comma 11 4 3" xfId="5770"/>
    <cellStyle name="Comma 11 4 4" xfId="5771"/>
    <cellStyle name="Comma 11 4 5" xfId="5772"/>
    <cellStyle name="Comma 11 5" xfId="5773"/>
    <cellStyle name="Comma 11 5 2" xfId="5774"/>
    <cellStyle name="Comma 11 5 2 2" xfId="5775"/>
    <cellStyle name="Comma 11 5 3" xfId="5776"/>
    <cellStyle name="Comma 11 5 4" xfId="5777"/>
    <cellStyle name="Comma 11 5 5" xfId="5778"/>
    <cellStyle name="Comma 11 6" xfId="5779"/>
    <cellStyle name="Comma 11 6 2" xfId="5780"/>
    <cellStyle name="Comma 11 6 3" xfId="5781"/>
    <cellStyle name="Comma 11 7" xfId="5782"/>
    <cellStyle name="Comma 11 7 2" xfId="5783"/>
    <cellStyle name="Comma 11 8" xfId="5784"/>
    <cellStyle name="Comma 11 9" xfId="5785"/>
    <cellStyle name="Comma 12" xfId="1315"/>
    <cellStyle name="Comma 12 2" xfId="5786"/>
    <cellStyle name="Comma 12 2 2" xfId="5787"/>
    <cellStyle name="Comma 12 2 3" xfId="5788"/>
    <cellStyle name="Comma 12 3" xfId="5789"/>
    <cellStyle name="Comma 12 3 2" xfId="5790"/>
    <cellStyle name="Comma 12 4" xfId="5791"/>
    <cellStyle name="Comma 12 5" xfId="5792"/>
    <cellStyle name="Comma 12 6" xfId="5793"/>
    <cellStyle name="Comma 13" xfId="1316"/>
    <cellStyle name="Comma 13 2" xfId="5794"/>
    <cellStyle name="Comma 13 2 2" xfId="5795"/>
    <cellStyle name="Comma 13 2 3" xfId="5796"/>
    <cellStyle name="Comma 13 2 4" xfId="5797"/>
    <cellStyle name="Comma 13 3" xfId="5798"/>
    <cellStyle name="Comma 13 3 2" xfId="5799"/>
    <cellStyle name="Comma 13 4" xfId="5800"/>
    <cellStyle name="Comma 13 5" xfId="5801"/>
    <cellStyle name="Comma 13 6" xfId="5802"/>
    <cellStyle name="Comma 14" xfId="1317"/>
    <cellStyle name="Comma 14 2" xfId="5803"/>
    <cellStyle name="Comma 14 2 2" xfId="5804"/>
    <cellStyle name="Comma 14 3" xfId="5805"/>
    <cellStyle name="Comma 14 4" xfId="5806"/>
    <cellStyle name="Comma 14 5" xfId="5807"/>
    <cellStyle name="Comma 15" xfId="1318"/>
    <cellStyle name="Comma 15 2" xfId="5808"/>
    <cellStyle name="Comma 15 2 2" xfId="5809"/>
    <cellStyle name="Comma 15 3" xfId="5810"/>
    <cellStyle name="Comma 15 4" xfId="5811"/>
    <cellStyle name="Comma 15 5" xfId="5812"/>
    <cellStyle name="Comma 16" xfId="12"/>
    <cellStyle name="Comma 16 2" xfId="5813"/>
    <cellStyle name="Comma 16 2 2" xfId="5814"/>
    <cellStyle name="Comma 16 3" xfId="5815"/>
    <cellStyle name="Comma 16 4" xfId="5816"/>
    <cellStyle name="Comma 16 5" xfId="5817"/>
    <cellStyle name="Comma 17" xfId="1319"/>
    <cellStyle name="Comma 17 2" xfId="5818"/>
    <cellStyle name="Comma 17 2 2" xfId="5819"/>
    <cellStyle name="Comma 17 3" xfId="5820"/>
    <cellStyle name="Comma 17 4" xfId="5821"/>
    <cellStyle name="Comma 17 5" xfId="5822"/>
    <cellStyle name="Comma 18" xfId="2111"/>
    <cellStyle name="Comma 18 2" xfId="5823"/>
    <cellStyle name="Comma 18 2 2" xfId="5824"/>
    <cellStyle name="Comma 18 3" xfId="5825"/>
    <cellStyle name="Comma 18 4" xfId="5826"/>
    <cellStyle name="Comma 18 5" xfId="5827"/>
    <cellStyle name="Comma 19" xfId="5828"/>
    <cellStyle name="Comma 19 2" xfId="5829"/>
    <cellStyle name="Comma 2" xfId="7"/>
    <cellStyle name="Comma 2 10" xfId="1320"/>
    <cellStyle name="Comma 2 10 2" xfId="5830"/>
    <cellStyle name="Comma 2 10 2 2" xfId="5831"/>
    <cellStyle name="Comma 2 10 2 2 2" xfId="5832"/>
    <cellStyle name="Comma 2 10 2 3" xfId="5833"/>
    <cellStyle name="Comma 2 10 2 4" xfId="5834"/>
    <cellStyle name="Comma 2 10 2 5" xfId="5835"/>
    <cellStyle name="Comma 2 10 3" xfId="5836"/>
    <cellStyle name="Comma 2 10 3 2" xfId="5837"/>
    <cellStyle name="Comma 2 10 3 2 2" xfId="5838"/>
    <cellStyle name="Comma 2 10 3 3" xfId="5839"/>
    <cellStyle name="Comma 2 10 3 4" xfId="5840"/>
    <cellStyle name="Comma 2 10 3 5" xfId="5841"/>
    <cellStyle name="Comma 2 10 4" xfId="5842"/>
    <cellStyle name="Comma 2 11" xfId="1321"/>
    <cellStyle name="Comma 2 11 2" xfId="5843"/>
    <cellStyle name="Comma 2 11 2 2" xfId="5844"/>
    <cellStyle name="Comma 2 11 2 2 2" xfId="5845"/>
    <cellStyle name="Comma 2 11 2 3" xfId="5846"/>
    <cellStyle name="Comma 2 11 2 4" xfId="5847"/>
    <cellStyle name="Comma 2 11 2 5" xfId="5848"/>
    <cellStyle name="Comma 2 11 2 6" xfId="5849"/>
    <cellStyle name="Comma 2 11 3" xfId="5850"/>
    <cellStyle name="Comma 2 12" xfId="1322"/>
    <cellStyle name="Comma 2 12 2" xfId="5851"/>
    <cellStyle name="Comma 2 12 3" xfId="5852"/>
    <cellStyle name="Comma 2 13" xfId="1323"/>
    <cellStyle name="Comma 2 13 2" xfId="5853"/>
    <cellStyle name="Comma 2 14" xfId="1324"/>
    <cellStyle name="Comma 2 14 2" xfId="5854"/>
    <cellStyle name="Comma 2 15" xfId="1325"/>
    <cellStyle name="Comma 2 15 2" xfId="5855"/>
    <cellStyle name="Comma 2 16" xfId="1326"/>
    <cellStyle name="Comma 2 17" xfId="1327"/>
    <cellStyle name="Comma 2 18" xfId="1328"/>
    <cellStyle name="Comma 2 19" xfId="1329"/>
    <cellStyle name="Comma 2 2" xfId="1330"/>
    <cellStyle name="Comma 2 2 2" xfId="5856"/>
    <cellStyle name="Comma 2 2 2 2" xfId="5857"/>
    <cellStyle name="Comma 2 2 2 2 2" xfId="5858"/>
    <cellStyle name="Comma 2 2 2 2 2 2" xfId="5859"/>
    <cellStyle name="Comma 2 2 2 2 2 2 2" xfId="5860"/>
    <cellStyle name="Comma 2 2 2 2 2 3" xfId="5861"/>
    <cellStyle name="Comma 2 2 2 2 2 4" xfId="5862"/>
    <cellStyle name="Comma 2 2 2 2 3" xfId="5863"/>
    <cellStyle name="Comma 2 2 2 2 3 2" xfId="5864"/>
    <cellStyle name="Comma 2 2 2 2 4" xfId="5865"/>
    <cellStyle name="Comma 2 2 2 2 5" xfId="5866"/>
    <cellStyle name="Comma 2 2 2 2 6" xfId="5867"/>
    <cellStyle name="Comma 2 2 2 3" xfId="5868"/>
    <cellStyle name="Comma 2 2 2 3 2" xfId="5869"/>
    <cellStyle name="Comma 2 2 2 3 2 2" xfId="5870"/>
    <cellStyle name="Comma 2 2 2 3 3" xfId="5871"/>
    <cellStyle name="Comma 2 2 2 3 4" xfId="5872"/>
    <cellStyle name="Comma 2 2 2 4" xfId="5873"/>
    <cellStyle name="Comma 2 2 2 4 2" xfId="5874"/>
    <cellStyle name="Comma 2 2 2 5" xfId="5875"/>
    <cellStyle name="Comma 2 2 2 5 2" xfId="5876"/>
    <cellStyle name="Comma 2 2 2 6" xfId="5877"/>
    <cellStyle name="Comma 2 2 2 7" xfId="5878"/>
    <cellStyle name="Comma 2 2 2 8" xfId="5879"/>
    <cellStyle name="Comma 2 2 3" xfId="5880"/>
    <cellStyle name="Comma 2 2 3 2" xfId="5881"/>
    <cellStyle name="Comma 2 2 3 3" xfId="5882"/>
    <cellStyle name="Comma 2 2 4" xfId="5883"/>
    <cellStyle name="Comma 2 2 5" xfId="5884"/>
    <cellStyle name="Comma 2 20" xfId="1331"/>
    <cellStyle name="Comma 2 21" xfId="1332"/>
    <cellStyle name="Comma 2 3" xfId="1333"/>
    <cellStyle name="Comma 2 3 2" xfId="5885"/>
    <cellStyle name="Comma 2 3 2 2" xfId="5886"/>
    <cellStyle name="Comma 2 3 2 2 2" xfId="5887"/>
    <cellStyle name="Comma 2 3 2 2 2 2" xfId="5888"/>
    <cellStyle name="Comma 2 3 2 2 2 2 2" xfId="5889"/>
    <cellStyle name="Comma 2 3 2 2 2 3" xfId="5890"/>
    <cellStyle name="Comma 2 3 2 2 3" xfId="5891"/>
    <cellStyle name="Comma 2 3 2 2 3 2" xfId="5892"/>
    <cellStyle name="Comma 2 3 2 2 4" xfId="5893"/>
    <cellStyle name="Comma 2 3 2 2 5" xfId="5894"/>
    <cellStyle name="Comma 2 3 2 2 6" xfId="5895"/>
    <cellStyle name="Comma 2 3 2 3" xfId="5896"/>
    <cellStyle name="Comma 2 3 2 3 2" xfId="5897"/>
    <cellStyle name="Comma 2 3 2 3 2 2" xfId="5898"/>
    <cellStyle name="Comma 2 3 2 3 3" xfId="5899"/>
    <cellStyle name="Comma 2 3 2 3 4" xfId="5900"/>
    <cellStyle name="Comma 2 3 2 4" xfId="5901"/>
    <cellStyle name="Comma 2 3 2 4 2" xfId="5902"/>
    <cellStyle name="Comma 2 3 2 5" xfId="5903"/>
    <cellStyle name="Comma 2 3 2 5 2" xfId="5904"/>
    <cellStyle name="Comma 2 3 2 6" xfId="5905"/>
    <cellStyle name="Comma 2 3 2 7" xfId="5906"/>
    <cellStyle name="Comma 2 3 2 8" xfId="5907"/>
    <cellStyle name="Comma 2 3 3" xfId="5908"/>
    <cellStyle name="Comma 2 3 3 2" xfId="5909"/>
    <cellStyle name="Comma 2 3 3 2 2" xfId="5910"/>
    <cellStyle name="Comma 2 3 3 2 2 2" xfId="5911"/>
    <cellStyle name="Comma 2 3 3 2 3" xfId="5912"/>
    <cellStyle name="Comma 2 3 3 3" xfId="5913"/>
    <cellStyle name="Comma 2 3 3 3 2" xfId="5914"/>
    <cellStyle name="Comma 2 3 3 4" xfId="5915"/>
    <cellStyle name="Comma 2 3 3 5" xfId="5916"/>
    <cellStyle name="Comma 2 3 3 6" xfId="5917"/>
    <cellStyle name="Comma 2 3 4" xfId="5918"/>
    <cellStyle name="Comma 2 3 4 2" xfId="5919"/>
    <cellStyle name="Comma 2 3 4 2 2" xfId="5920"/>
    <cellStyle name="Comma 2 3 4 3" xfId="5921"/>
    <cellStyle name="Comma 2 3 4 4" xfId="5922"/>
    <cellStyle name="Comma 2 3 5" xfId="5923"/>
    <cellStyle name="Comma 2 3 5 2" xfId="5924"/>
    <cellStyle name="Comma 2 3 6" xfId="5925"/>
    <cellStyle name="Comma 2 3 7" xfId="5926"/>
    <cellStyle name="Comma 2 4" xfId="1334"/>
    <cellStyle name="Comma 2 4 2" xfId="5927"/>
    <cellStyle name="Comma 2 4 2 10" xfId="5928"/>
    <cellStyle name="Comma 2 4 2 2" xfId="5929"/>
    <cellStyle name="Comma 2 4 2 2 2" xfId="5930"/>
    <cellStyle name="Comma 2 4 2 2 2 2" xfId="5931"/>
    <cellStyle name="Comma 2 4 2 2 2 2 2" xfId="5932"/>
    <cellStyle name="Comma 2 4 2 2 2 2 2 2" xfId="5933"/>
    <cellStyle name="Comma 2 4 2 2 2 2 2 3" xfId="5934"/>
    <cellStyle name="Comma 2 4 2 2 2 2 3" xfId="5935"/>
    <cellStyle name="Comma 2 4 2 2 2 2 3 2" xfId="5936"/>
    <cellStyle name="Comma 2 4 2 2 2 2 4" xfId="5937"/>
    <cellStyle name="Comma 2 4 2 2 2 2 5" xfId="5938"/>
    <cellStyle name="Comma 2 4 2 2 2 3" xfId="5939"/>
    <cellStyle name="Comma 2 4 2 2 2 3 2" xfId="5940"/>
    <cellStyle name="Comma 2 4 2 2 2 3 3" xfId="5941"/>
    <cellStyle name="Comma 2 4 2 2 2 4" xfId="5942"/>
    <cellStyle name="Comma 2 4 2 2 2 4 2" xfId="5943"/>
    <cellStyle name="Comma 2 4 2 2 2 5" xfId="5944"/>
    <cellStyle name="Comma 2 4 2 2 2 6" xfId="5945"/>
    <cellStyle name="Comma 2 4 2 2 3" xfId="5946"/>
    <cellStyle name="Comma 2 4 2 2 3 2" xfId="5947"/>
    <cellStyle name="Comma 2 4 2 2 3 2 2" xfId="5948"/>
    <cellStyle name="Comma 2 4 2 2 3 2 2 2" xfId="5949"/>
    <cellStyle name="Comma 2 4 2 2 3 2 3" xfId="5950"/>
    <cellStyle name="Comma 2 4 2 2 3 2 4" xfId="5951"/>
    <cellStyle name="Comma 2 4 2 2 3 2 5" xfId="5952"/>
    <cellStyle name="Comma 2 4 2 2 3 3" xfId="5953"/>
    <cellStyle name="Comma 2 4 2 2 3 3 2" xfId="5954"/>
    <cellStyle name="Comma 2 4 2 2 3 4" xfId="5955"/>
    <cellStyle name="Comma 2 4 2 2 3 5" xfId="5956"/>
    <cellStyle name="Comma 2 4 2 2 3 6" xfId="5957"/>
    <cellStyle name="Comma 2 4 2 2 4" xfId="5958"/>
    <cellStyle name="Comma 2 4 2 2 4 2" xfId="5959"/>
    <cellStyle name="Comma 2 4 2 2 4 2 2" xfId="5960"/>
    <cellStyle name="Comma 2 4 2 2 4 3" xfId="5961"/>
    <cellStyle name="Comma 2 4 2 2 4 4" xfId="5962"/>
    <cellStyle name="Comma 2 4 2 2 4 5" xfId="5963"/>
    <cellStyle name="Comma 2 4 2 2 5" xfId="5964"/>
    <cellStyle name="Comma 2 4 2 2 5 2" xfId="5965"/>
    <cellStyle name="Comma 2 4 2 2 5 2 2" xfId="5966"/>
    <cellStyle name="Comma 2 4 2 2 5 3" xfId="5967"/>
    <cellStyle name="Comma 2 4 2 2 5 4" xfId="5968"/>
    <cellStyle name="Comma 2 4 2 2 5 5" xfId="5969"/>
    <cellStyle name="Comma 2 4 2 2 6" xfId="5970"/>
    <cellStyle name="Comma 2 4 2 2 6 2" xfId="5971"/>
    <cellStyle name="Comma 2 4 2 2 7" xfId="5972"/>
    <cellStyle name="Comma 2 4 2 2 8" xfId="5973"/>
    <cellStyle name="Comma 2 4 2 2 9" xfId="5974"/>
    <cellStyle name="Comma 2 4 2 3" xfId="5975"/>
    <cellStyle name="Comma 2 4 2 3 2" xfId="5976"/>
    <cellStyle name="Comma 2 4 2 3 2 2" xfId="5977"/>
    <cellStyle name="Comma 2 4 2 3 2 2 2" xfId="5978"/>
    <cellStyle name="Comma 2 4 2 3 2 2 3" xfId="5979"/>
    <cellStyle name="Comma 2 4 2 3 2 3" xfId="5980"/>
    <cellStyle name="Comma 2 4 2 3 2 3 2" xfId="5981"/>
    <cellStyle name="Comma 2 4 2 3 2 4" xfId="5982"/>
    <cellStyle name="Comma 2 4 2 3 2 5" xfId="5983"/>
    <cellStyle name="Comma 2 4 2 3 3" xfId="5984"/>
    <cellStyle name="Comma 2 4 2 3 3 2" xfId="5985"/>
    <cellStyle name="Comma 2 4 2 3 3 3" xfId="5986"/>
    <cellStyle name="Comma 2 4 2 3 4" xfId="5987"/>
    <cellStyle name="Comma 2 4 2 3 4 2" xfId="5988"/>
    <cellStyle name="Comma 2 4 2 3 5" xfId="5989"/>
    <cellStyle name="Comma 2 4 2 3 6" xfId="5990"/>
    <cellStyle name="Comma 2 4 2 4" xfId="5991"/>
    <cellStyle name="Comma 2 4 2 4 2" xfId="5992"/>
    <cellStyle name="Comma 2 4 2 4 2 2" xfId="5993"/>
    <cellStyle name="Comma 2 4 2 4 2 2 2" xfId="5994"/>
    <cellStyle name="Comma 2 4 2 4 2 3" xfId="5995"/>
    <cellStyle name="Comma 2 4 2 4 2 4" xfId="5996"/>
    <cellStyle name="Comma 2 4 2 4 2 5" xfId="5997"/>
    <cellStyle name="Comma 2 4 2 4 3" xfId="5998"/>
    <cellStyle name="Comma 2 4 2 4 3 2" xfId="5999"/>
    <cellStyle name="Comma 2 4 2 4 4" xfId="6000"/>
    <cellStyle name="Comma 2 4 2 4 5" xfId="6001"/>
    <cellStyle name="Comma 2 4 2 4 6" xfId="6002"/>
    <cellStyle name="Comma 2 4 2 5" xfId="6003"/>
    <cellStyle name="Comma 2 4 2 5 2" xfId="6004"/>
    <cellStyle name="Comma 2 4 2 5 2 2" xfId="6005"/>
    <cellStyle name="Comma 2 4 2 5 3" xfId="6006"/>
    <cellStyle name="Comma 2 4 2 5 4" xfId="6007"/>
    <cellStyle name="Comma 2 4 2 5 5" xfId="6008"/>
    <cellStyle name="Comma 2 4 2 6" xfId="6009"/>
    <cellStyle name="Comma 2 4 2 6 2" xfId="6010"/>
    <cellStyle name="Comma 2 4 2 6 2 2" xfId="6011"/>
    <cellStyle name="Comma 2 4 2 6 3" xfId="6012"/>
    <cellStyle name="Comma 2 4 2 6 4" xfId="6013"/>
    <cellStyle name="Comma 2 4 2 6 5" xfId="6014"/>
    <cellStyle name="Comma 2 4 2 7" xfId="6015"/>
    <cellStyle name="Comma 2 4 2 7 2" xfId="6016"/>
    <cellStyle name="Comma 2 4 2 8" xfId="6017"/>
    <cellStyle name="Comma 2 4 2 9" xfId="6018"/>
    <cellStyle name="Comma 2 4 3" xfId="6019"/>
    <cellStyle name="Comma 2 4 3 2" xfId="6020"/>
    <cellStyle name="Comma 2 4 3 2 2" xfId="6021"/>
    <cellStyle name="Comma 2 4 3 2 2 2" xfId="6022"/>
    <cellStyle name="Comma 2 4 3 2 2 2 2" xfId="6023"/>
    <cellStyle name="Comma 2 4 3 2 2 2 3" xfId="6024"/>
    <cellStyle name="Comma 2 4 3 2 2 3" xfId="6025"/>
    <cellStyle name="Comma 2 4 3 2 2 3 2" xfId="6026"/>
    <cellStyle name="Comma 2 4 3 2 2 4" xfId="6027"/>
    <cellStyle name="Comma 2 4 3 2 2 5" xfId="6028"/>
    <cellStyle name="Comma 2 4 3 2 3" xfId="6029"/>
    <cellStyle name="Comma 2 4 3 2 3 2" xfId="6030"/>
    <cellStyle name="Comma 2 4 3 2 3 3" xfId="6031"/>
    <cellStyle name="Comma 2 4 3 2 4" xfId="6032"/>
    <cellStyle name="Comma 2 4 3 2 4 2" xfId="6033"/>
    <cellStyle name="Comma 2 4 3 2 5" xfId="6034"/>
    <cellStyle name="Comma 2 4 3 2 6" xfId="6035"/>
    <cellStyle name="Comma 2 4 3 3" xfId="6036"/>
    <cellStyle name="Comma 2 4 3 3 2" xfId="6037"/>
    <cellStyle name="Comma 2 4 3 3 2 2" xfId="6038"/>
    <cellStyle name="Comma 2 4 3 3 2 2 2" xfId="6039"/>
    <cellStyle name="Comma 2 4 3 3 2 3" xfId="6040"/>
    <cellStyle name="Comma 2 4 3 3 2 4" xfId="6041"/>
    <cellStyle name="Comma 2 4 3 3 2 5" xfId="6042"/>
    <cellStyle name="Comma 2 4 3 3 3" xfId="6043"/>
    <cellStyle name="Comma 2 4 3 3 3 2" xfId="6044"/>
    <cellStyle name="Comma 2 4 3 3 4" xfId="6045"/>
    <cellStyle name="Comma 2 4 3 3 5" xfId="6046"/>
    <cellStyle name="Comma 2 4 3 3 6" xfId="6047"/>
    <cellStyle name="Comma 2 4 3 4" xfId="6048"/>
    <cellStyle name="Comma 2 4 3 4 2" xfId="6049"/>
    <cellStyle name="Comma 2 4 3 4 2 2" xfId="6050"/>
    <cellStyle name="Comma 2 4 3 4 3" xfId="6051"/>
    <cellStyle name="Comma 2 4 3 4 4" xfId="6052"/>
    <cellStyle name="Comma 2 4 3 4 5" xfId="6053"/>
    <cellStyle name="Comma 2 4 3 5" xfId="6054"/>
    <cellStyle name="Comma 2 4 3 5 2" xfId="6055"/>
    <cellStyle name="Comma 2 4 3 5 2 2" xfId="6056"/>
    <cellStyle name="Comma 2 4 3 5 3" xfId="6057"/>
    <cellStyle name="Comma 2 4 3 5 4" xfId="6058"/>
    <cellStyle name="Comma 2 4 3 5 5" xfId="6059"/>
    <cellStyle name="Comma 2 4 3 6" xfId="6060"/>
    <cellStyle name="Comma 2 4 3 6 2" xfId="6061"/>
    <cellStyle name="Comma 2 4 3 7" xfId="6062"/>
    <cellStyle name="Comma 2 4 3 8" xfId="6063"/>
    <cellStyle name="Comma 2 4 3 9" xfId="6064"/>
    <cellStyle name="Comma 2 4 4" xfId="6065"/>
    <cellStyle name="Comma 2 4 4 2" xfId="6066"/>
    <cellStyle name="Comma 2 4 4 2 2" xfId="6067"/>
    <cellStyle name="Comma 2 4 4 2 2 2" xfId="6068"/>
    <cellStyle name="Comma 2 4 4 2 2 3" xfId="6069"/>
    <cellStyle name="Comma 2 4 4 2 3" xfId="6070"/>
    <cellStyle name="Comma 2 4 4 2 3 2" xfId="6071"/>
    <cellStyle name="Comma 2 4 4 2 4" xfId="6072"/>
    <cellStyle name="Comma 2 4 4 2 5" xfId="6073"/>
    <cellStyle name="Comma 2 4 4 3" xfId="6074"/>
    <cellStyle name="Comma 2 4 4 3 2" xfId="6075"/>
    <cellStyle name="Comma 2 4 4 3 3" xfId="6076"/>
    <cellStyle name="Comma 2 4 4 4" xfId="6077"/>
    <cellStyle name="Comma 2 4 4 4 2" xfId="6078"/>
    <cellStyle name="Comma 2 4 4 5" xfId="6079"/>
    <cellStyle name="Comma 2 4 4 6" xfId="6080"/>
    <cellStyle name="Comma 2 4 5" xfId="6081"/>
    <cellStyle name="Comma 2 4 5 2" xfId="6082"/>
    <cellStyle name="Comma 2 4 5 2 2" xfId="6083"/>
    <cellStyle name="Comma 2 4 5 2 2 2" xfId="6084"/>
    <cellStyle name="Comma 2 4 5 2 3" xfId="6085"/>
    <cellStyle name="Comma 2 4 5 2 4" xfId="6086"/>
    <cellStyle name="Comma 2 4 5 2 5" xfId="6087"/>
    <cellStyle name="Comma 2 4 5 3" xfId="6088"/>
    <cellStyle name="Comma 2 4 5 3 2" xfId="6089"/>
    <cellStyle name="Comma 2 4 5 4" xfId="6090"/>
    <cellStyle name="Comma 2 4 5 5" xfId="6091"/>
    <cellStyle name="Comma 2 4 5 6" xfId="6092"/>
    <cellStyle name="Comma 2 4 6" xfId="6093"/>
    <cellStyle name="Comma 2 4 6 2" xfId="6094"/>
    <cellStyle name="Comma 2 4 6 2 2" xfId="6095"/>
    <cellStyle name="Comma 2 4 6 3" xfId="6096"/>
    <cellStyle name="Comma 2 4 6 4" xfId="6097"/>
    <cellStyle name="Comma 2 4 6 5" xfId="6098"/>
    <cellStyle name="Comma 2 4 7" xfId="6099"/>
    <cellStyle name="Comma 2 4 7 2" xfId="6100"/>
    <cellStyle name="Comma 2 4 7 2 2" xfId="6101"/>
    <cellStyle name="Comma 2 4 7 3" xfId="6102"/>
    <cellStyle name="Comma 2 4 7 4" xfId="6103"/>
    <cellStyle name="Comma 2 4 7 5" xfId="6104"/>
    <cellStyle name="Comma 2 4 8" xfId="6105"/>
    <cellStyle name="Comma 2 4 8 2" xfId="6106"/>
    <cellStyle name="Comma 2 4 8 2 2" xfId="6107"/>
    <cellStyle name="Comma 2 4 8 3" xfId="6108"/>
    <cellStyle name="Comma 2 4 8 4" xfId="6109"/>
    <cellStyle name="Comma 2 4 8 5" xfId="6110"/>
    <cellStyle name="Comma 2 4 9" xfId="6111"/>
    <cellStyle name="Comma 2 5" xfId="1335"/>
    <cellStyle name="Comma 2 5 2" xfId="6112"/>
    <cellStyle name="Comma 2 5 2 10" xfId="6113"/>
    <cellStyle name="Comma 2 5 2 2" xfId="6114"/>
    <cellStyle name="Comma 2 5 2 2 2" xfId="6115"/>
    <cellStyle name="Comma 2 5 2 2 2 2" xfId="6116"/>
    <cellStyle name="Comma 2 5 2 2 2 2 2" xfId="6117"/>
    <cellStyle name="Comma 2 5 2 2 2 2 2 2" xfId="6118"/>
    <cellStyle name="Comma 2 5 2 2 2 2 2 3" xfId="6119"/>
    <cellStyle name="Comma 2 5 2 2 2 2 3" xfId="6120"/>
    <cellStyle name="Comma 2 5 2 2 2 2 3 2" xfId="6121"/>
    <cellStyle name="Comma 2 5 2 2 2 2 4" xfId="6122"/>
    <cellStyle name="Comma 2 5 2 2 2 2 5" xfId="6123"/>
    <cellStyle name="Comma 2 5 2 2 2 3" xfId="6124"/>
    <cellStyle name="Comma 2 5 2 2 2 3 2" xfId="6125"/>
    <cellStyle name="Comma 2 5 2 2 2 3 3" xfId="6126"/>
    <cellStyle name="Comma 2 5 2 2 2 4" xfId="6127"/>
    <cellStyle name="Comma 2 5 2 2 2 4 2" xfId="6128"/>
    <cellStyle name="Comma 2 5 2 2 2 5" xfId="6129"/>
    <cellStyle name="Comma 2 5 2 2 2 6" xfId="6130"/>
    <cellStyle name="Comma 2 5 2 2 3" xfId="6131"/>
    <cellStyle name="Comma 2 5 2 2 3 2" xfId="6132"/>
    <cellStyle name="Comma 2 5 2 2 3 2 2" xfId="6133"/>
    <cellStyle name="Comma 2 5 2 2 3 2 2 2" xfId="6134"/>
    <cellStyle name="Comma 2 5 2 2 3 2 3" xfId="6135"/>
    <cellStyle name="Comma 2 5 2 2 3 2 4" xfId="6136"/>
    <cellStyle name="Comma 2 5 2 2 3 2 5" xfId="6137"/>
    <cellStyle name="Comma 2 5 2 2 3 3" xfId="6138"/>
    <cellStyle name="Comma 2 5 2 2 3 3 2" xfId="6139"/>
    <cellStyle name="Comma 2 5 2 2 3 4" xfId="6140"/>
    <cellStyle name="Comma 2 5 2 2 3 5" xfId="6141"/>
    <cellStyle name="Comma 2 5 2 2 3 6" xfId="6142"/>
    <cellStyle name="Comma 2 5 2 2 4" xfId="6143"/>
    <cellStyle name="Comma 2 5 2 2 4 2" xfId="6144"/>
    <cellStyle name="Comma 2 5 2 2 4 2 2" xfId="6145"/>
    <cellStyle name="Comma 2 5 2 2 4 3" xfId="6146"/>
    <cellStyle name="Comma 2 5 2 2 4 4" xfId="6147"/>
    <cellStyle name="Comma 2 5 2 2 4 5" xfId="6148"/>
    <cellStyle name="Comma 2 5 2 2 5" xfId="6149"/>
    <cellStyle name="Comma 2 5 2 2 5 2" xfId="6150"/>
    <cellStyle name="Comma 2 5 2 2 5 2 2" xfId="6151"/>
    <cellStyle name="Comma 2 5 2 2 5 3" xfId="6152"/>
    <cellStyle name="Comma 2 5 2 2 5 4" xfId="6153"/>
    <cellStyle name="Comma 2 5 2 2 5 5" xfId="6154"/>
    <cellStyle name="Comma 2 5 2 2 6" xfId="6155"/>
    <cellStyle name="Comma 2 5 2 2 6 2" xfId="6156"/>
    <cellStyle name="Comma 2 5 2 2 7" xfId="6157"/>
    <cellStyle name="Comma 2 5 2 2 8" xfId="6158"/>
    <cellStyle name="Comma 2 5 2 2 9" xfId="6159"/>
    <cellStyle name="Comma 2 5 2 3" xfId="6160"/>
    <cellStyle name="Comma 2 5 2 3 2" xfId="6161"/>
    <cellStyle name="Comma 2 5 2 3 2 2" xfId="6162"/>
    <cellStyle name="Comma 2 5 2 3 2 2 2" xfId="6163"/>
    <cellStyle name="Comma 2 5 2 3 2 2 3" xfId="6164"/>
    <cellStyle name="Comma 2 5 2 3 2 3" xfId="6165"/>
    <cellStyle name="Comma 2 5 2 3 2 3 2" xfId="6166"/>
    <cellStyle name="Comma 2 5 2 3 2 4" xfId="6167"/>
    <cellStyle name="Comma 2 5 2 3 2 5" xfId="6168"/>
    <cellStyle name="Comma 2 5 2 3 3" xfId="6169"/>
    <cellStyle name="Comma 2 5 2 3 3 2" xfId="6170"/>
    <cellStyle name="Comma 2 5 2 3 3 3" xfId="6171"/>
    <cellStyle name="Comma 2 5 2 3 4" xfId="6172"/>
    <cellStyle name="Comma 2 5 2 3 4 2" xfId="6173"/>
    <cellStyle name="Comma 2 5 2 3 5" xfId="6174"/>
    <cellStyle name="Comma 2 5 2 3 6" xfId="6175"/>
    <cellStyle name="Comma 2 5 2 4" xfId="6176"/>
    <cellStyle name="Comma 2 5 2 4 2" xfId="6177"/>
    <cellStyle name="Comma 2 5 2 4 2 2" xfId="6178"/>
    <cellStyle name="Comma 2 5 2 4 2 2 2" xfId="6179"/>
    <cellStyle name="Comma 2 5 2 4 2 3" xfId="6180"/>
    <cellStyle name="Comma 2 5 2 4 2 4" xfId="6181"/>
    <cellStyle name="Comma 2 5 2 4 2 5" xfId="6182"/>
    <cellStyle name="Comma 2 5 2 4 3" xfId="6183"/>
    <cellStyle name="Comma 2 5 2 4 3 2" xfId="6184"/>
    <cellStyle name="Comma 2 5 2 4 4" xfId="6185"/>
    <cellStyle name="Comma 2 5 2 4 5" xfId="6186"/>
    <cellStyle name="Comma 2 5 2 4 6" xfId="6187"/>
    <cellStyle name="Comma 2 5 2 5" xfId="6188"/>
    <cellStyle name="Comma 2 5 2 5 2" xfId="6189"/>
    <cellStyle name="Comma 2 5 2 5 2 2" xfId="6190"/>
    <cellStyle name="Comma 2 5 2 5 3" xfId="6191"/>
    <cellStyle name="Comma 2 5 2 5 4" xfId="6192"/>
    <cellStyle name="Comma 2 5 2 5 5" xfId="6193"/>
    <cellStyle name="Comma 2 5 2 6" xfId="6194"/>
    <cellStyle name="Comma 2 5 2 6 2" xfId="6195"/>
    <cellStyle name="Comma 2 5 2 6 2 2" xfId="6196"/>
    <cellStyle name="Comma 2 5 2 6 3" xfId="6197"/>
    <cellStyle name="Comma 2 5 2 6 4" xfId="6198"/>
    <cellStyle name="Comma 2 5 2 6 5" xfId="6199"/>
    <cellStyle name="Comma 2 5 2 7" xfId="6200"/>
    <cellStyle name="Comma 2 5 2 7 2" xfId="6201"/>
    <cellStyle name="Comma 2 5 2 8" xfId="6202"/>
    <cellStyle name="Comma 2 5 2 9" xfId="6203"/>
    <cellStyle name="Comma 2 5 3" xfId="6204"/>
    <cellStyle name="Comma 2 5 3 2" xfId="6205"/>
    <cellStyle name="Comma 2 5 3 2 2" xfId="6206"/>
    <cellStyle name="Comma 2 5 3 2 2 2" xfId="6207"/>
    <cellStyle name="Comma 2 5 3 2 2 2 2" xfId="6208"/>
    <cellStyle name="Comma 2 5 3 2 2 2 3" xfId="6209"/>
    <cellStyle name="Comma 2 5 3 2 2 3" xfId="6210"/>
    <cellStyle name="Comma 2 5 3 2 2 3 2" xfId="6211"/>
    <cellStyle name="Comma 2 5 3 2 2 4" xfId="6212"/>
    <cellStyle name="Comma 2 5 3 2 2 5" xfId="6213"/>
    <cellStyle name="Comma 2 5 3 2 3" xfId="6214"/>
    <cellStyle name="Comma 2 5 3 2 3 2" xfId="6215"/>
    <cellStyle name="Comma 2 5 3 2 3 3" xfId="6216"/>
    <cellStyle name="Comma 2 5 3 2 4" xfId="6217"/>
    <cellStyle name="Comma 2 5 3 2 4 2" xfId="6218"/>
    <cellStyle name="Comma 2 5 3 2 5" xfId="6219"/>
    <cellStyle name="Comma 2 5 3 2 6" xfId="6220"/>
    <cellStyle name="Comma 2 5 3 3" xfId="6221"/>
    <cellStyle name="Comma 2 5 3 3 2" xfId="6222"/>
    <cellStyle name="Comma 2 5 3 3 2 2" xfId="6223"/>
    <cellStyle name="Comma 2 5 3 3 2 2 2" xfId="6224"/>
    <cellStyle name="Comma 2 5 3 3 2 3" xfId="6225"/>
    <cellStyle name="Comma 2 5 3 3 2 4" xfId="6226"/>
    <cellStyle name="Comma 2 5 3 3 2 5" xfId="6227"/>
    <cellStyle name="Comma 2 5 3 3 3" xfId="6228"/>
    <cellStyle name="Comma 2 5 3 3 3 2" xfId="6229"/>
    <cellStyle name="Comma 2 5 3 3 4" xfId="6230"/>
    <cellStyle name="Comma 2 5 3 3 5" xfId="6231"/>
    <cellStyle name="Comma 2 5 3 3 6" xfId="6232"/>
    <cellStyle name="Comma 2 5 3 4" xfId="6233"/>
    <cellStyle name="Comma 2 5 3 4 2" xfId="6234"/>
    <cellStyle name="Comma 2 5 3 4 2 2" xfId="6235"/>
    <cellStyle name="Comma 2 5 3 4 3" xfId="6236"/>
    <cellStyle name="Comma 2 5 3 4 4" xfId="6237"/>
    <cellStyle name="Comma 2 5 3 4 5" xfId="6238"/>
    <cellStyle name="Comma 2 5 3 5" xfId="6239"/>
    <cellStyle name="Comma 2 5 3 5 2" xfId="6240"/>
    <cellStyle name="Comma 2 5 3 5 2 2" xfId="6241"/>
    <cellStyle name="Comma 2 5 3 5 3" xfId="6242"/>
    <cellStyle name="Comma 2 5 3 5 4" xfId="6243"/>
    <cellStyle name="Comma 2 5 3 5 5" xfId="6244"/>
    <cellStyle name="Comma 2 5 3 6" xfId="6245"/>
    <cellStyle name="Comma 2 5 3 6 2" xfId="6246"/>
    <cellStyle name="Comma 2 5 3 7" xfId="6247"/>
    <cellStyle name="Comma 2 5 3 8" xfId="6248"/>
    <cellStyle name="Comma 2 5 3 9" xfId="6249"/>
    <cellStyle name="Comma 2 5 4" xfId="6250"/>
    <cellStyle name="Comma 2 5 4 2" xfId="6251"/>
    <cellStyle name="Comma 2 5 4 2 2" xfId="6252"/>
    <cellStyle name="Comma 2 5 4 2 2 2" xfId="6253"/>
    <cellStyle name="Comma 2 5 4 2 2 3" xfId="6254"/>
    <cellStyle name="Comma 2 5 4 2 3" xfId="6255"/>
    <cellStyle name="Comma 2 5 4 2 3 2" xfId="6256"/>
    <cellStyle name="Comma 2 5 4 2 4" xfId="6257"/>
    <cellStyle name="Comma 2 5 4 2 5" xfId="6258"/>
    <cellStyle name="Comma 2 5 4 3" xfId="6259"/>
    <cellStyle name="Comma 2 5 4 3 2" xfId="6260"/>
    <cellStyle name="Comma 2 5 4 3 3" xfId="6261"/>
    <cellStyle name="Comma 2 5 4 4" xfId="6262"/>
    <cellStyle name="Comma 2 5 4 4 2" xfId="6263"/>
    <cellStyle name="Comma 2 5 4 5" xfId="6264"/>
    <cellStyle name="Comma 2 5 4 6" xfId="6265"/>
    <cellStyle name="Comma 2 5 5" xfId="6266"/>
    <cellStyle name="Comma 2 5 5 2" xfId="6267"/>
    <cellStyle name="Comma 2 5 5 2 2" xfId="6268"/>
    <cellStyle name="Comma 2 5 5 2 2 2" xfId="6269"/>
    <cellStyle name="Comma 2 5 5 2 3" xfId="6270"/>
    <cellStyle name="Comma 2 5 5 2 4" xfId="6271"/>
    <cellStyle name="Comma 2 5 5 2 5" xfId="6272"/>
    <cellStyle name="Comma 2 5 5 3" xfId="6273"/>
    <cellStyle name="Comma 2 5 5 3 2" xfId="6274"/>
    <cellStyle name="Comma 2 5 5 4" xfId="6275"/>
    <cellStyle name="Comma 2 5 5 5" xfId="6276"/>
    <cellStyle name="Comma 2 5 5 6" xfId="6277"/>
    <cellStyle name="Comma 2 5 6" xfId="6278"/>
    <cellStyle name="Comma 2 5 6 2" xfId="6279"/>
    <cellStyle name="Comma 2 5 6 2 2" xfId="6280"/>
    <cellStyle name="Comma 2 5 6 3" xfId="6281"/>
    <cellStyle name="Comma 2 5 6 4" xfId="6282"/>
    <cellStyle name="Comma 2 5 6 5" xfId="6283"/>
    <cellStyle name="Comma 2 5 7" xfId="6284"/>
    <cellStyle name="Comma 2 5 7 2" xfId="6285"/>
    <cellStyle name="Comma 2 5 7 2 2" xfId="6286"/>
    <cellStyle name="Comma 2 5 7 3" xfId="6287"/>
    <cellStyle name="Comma 2 5 7 4" xfId="6288"/>
    <cellStyle name="Comma 2 5 7 5" xfId="6289"/>
    <cellStyle name="Comma 2 5 8" xfId="6290"/>
    <cellStyle name="Comma 2 5 8 2" xfId="6291"/>
    <cellStyle name="Comma 2 5 8 2 2" xfId="6292"/>
    <cellStyle name="Comma 2 5 8 3" xfId="6293"/>
    <cellStyle name="Comma 2 5 8 4" xfId="6294"/>
    <cellStyle name="Comma 2 5 8 5" xfId="6295"/>
    <cellStyle name="Comma 2 5 9" xfId="6296"/>
    <cellStyle name="Comma 2 6" xfId="1336"/>
    <cellStyle name="Comma 2 6 2" xfId="6297"/>
    <cellStyle name="Comma 2 6 2 2" xfId="6298"/>
    <cellStyle name="Comma 2 6 2 2 2" xfId="6299"/>
    <cellStyle name="Comma 2 6 2 2 2 2" xfId="6300"/>
    <cellStyle name="Comma 2 6 2 2 2 2 2" xfId="6301"/>
    <cellStyle name="Comma 2 6 2 2 2 2 3" xfId="6302"/>
    <cellStyle name="Comma 2 6 2 2 2 3" xfId="6303"/>
    <cellStyle name="Comma 2 6 2 2 2 3 2" xfId="6304"/>
    <cellStyle name="Comma 2 6 2 2 2 4" xfId="6305"/>
    <cellStyle name="Comma 2 6 2 2 2 5" xfId="6306"/>
    <cellStyle name="Comma 2 6 2 2 3" xfId="6307"/>
    <cellStyle name="Comma 2 6 2 2 3 2" xfId="6308"/>
    <cellStyle name="Comma 2 6 2 2 3 3" xfId="6309"/>
    <cellStyle name="Comma 2 6 2 2 4" xfId="6310"/>
    <cellStyle name="Comma 2 6 2 2 4 2" xfId="6311"/>
    <cellStyle name="Comma 2 6 2 2 5" xfId="6312"/>
    <cellStyle name="Comma 2 6 2 2 6" xfId="6313"/>
    <cellStyle name="Comma 2 6 2 3" xfId="6314"/>
    <cellStyle name="Comma 2 6 2 3 2" xfId="6315"/>
    <cellStyle name="Comma 2 6 2 3 2 2" xfId="6316"/>
    <cellStyle name="Comma 2 6 2 3 2 2 2" xfId="6317"/>
    <cellStyle name="Comma 2 6 2 3 2 3" xfId="6318"/>
    <cellStyle name="Comma 2 6 2 3 2 4" xfId="6319"/>
    <cellStyle name="Comma 2 6 2 3 2 5" xfId="6320"/>
    <cellStyle name="Comma 2 6 2 3 3" xfId="6321"/>
    <cellStyle name="Comma 2 6 2 3 3 2" xfId="6322"/>
    <cellStyle name="Comma 2 6 2 3 4" xfId="6323"/>
    <cellStyle name="Comma 2 6 2 3 5" xfId="6324"/>
    <cellStyle name="Comma 2 6 2 3 6" xfId="6325"/>
    <cellStyle name="Comma 2 6 2 4" xfId="6326"/>
    <cellStyle name="Comma 2 6 2 4 2" xfId="6327"/>
    <cellStyle name="Comma 2 6 2 4 2 2" xfId="6328"/>
    <cellStyle name="Comma 2 6 2 4 3" xfId="6329"/>
    <cellStyle name="Comma 2 6 2 4 4" xfId="6330"/>
    <cellStyle name="Comma 2 6 2 4 5" xfId="6331"/>
    <cellStyle name="Comma 2 6 2 5" xfId="6332"/>
    <cellStyle name="Comma 2 6 2 5 2" xfId="6333"/>
    <cellStyle name="Comma 2 6 2 5 2 2" xfId="6334"/>
    <cellStyle name="Comma 2 6 2 5 3" xfId="6335"/>
    <cellStyle name="Comma 2 6 2 5 4" xfId="6336"/>
    <cellStyle name="Comma 2 6 2 5 5" xfId="6337"/>
    <cellStyle name="Comma 2 6 2 6" xfId="6338"/>
    <cellStyle name="Comma 2 6 2 6 2" xfId="6339"/>
    <cellStyle name="Comma 2 6 2 7" xfId="6340"/>
    <cellStyle name="Comma 2 6 2 8" xfId="6341"/>
    <cellStyle name="Comma 2 6 2 9" xfId="6342"/>
    <cellStyle name="Comma 2 6 3" xfId="6343"/>
    <cellStyle name="Comma 2 6 3 2" xfId="6344"/>
    <cellStyle name="Comma 2 6 3 2 2" xfId="6345"/>
    <cellStyle name="Comma 2 6 3 2 2 2" xfId="6346"/>
    <cellStyle name="Comma 2 6 3 2 2 3" xfId="6347"/>
    <cellStyle name="Comma 2 6 3 2 3" xfId="6348"/>
    <cellStyle name="Comma 2 6 3 2 3 2" xfId="6349"/>
    <cellStyle name="Comma 2 6 3 2 4" xfId="6350"/>
    <cellStyle name="Comma 2 6 3 2 5" xfId="6351"/>
    <cellStyle name="Comma 2 6 3 3" xfId="6352"/>
    <cellStyle name="Comma 2 6 3 3 2" xfId="6353"/>
    <cellStyle name="Comma 2 6 3 3 3" xfId="6354"/>
    <cellStyle name="Comma 2 6 3 4" xfId="6355"/>
    <cellStyle name="Comma 2 6 3 4 2" xfId="6356"/>
    <cellStyle name="Comma 2 6 3 5" xfId="6357"/>
    <cellStyle name="Comma 2 6 3 6" xfId="6358"/>
    <cellStyle name="Comma 2 6 4" xfId="6359"/>
    <cellStyle name="Comma 2 6 4 2" xfId="6360"/>
    <cellStyle name="Comma 2 6 4 2 2" xfId="6361"/>
    <cellStyle name="Comma 2 6 4 2 2 2" xfId="6362"/>
    <cellStyle name="Comma 2 6 4 2 3" xfId="6363"/>
    <cellStyle name="Comma 2 6 4 2 4" xfId="6364"/>
    <cellStyle name="Comma 2 6 4 2 5" xfId="6365"/>
    <cellStyle name="Comma 2 6 4 3" xfId="6366"/>
    <cellStyle name="Comma 2 6 4 3 2" xfId="6367"/>
    <cellStyle name="Comma 2 6 4 4" xfId="6368"/>
    <cellStyle name="Comma 2 6 4 5" xfId="6369"/>
    <cellStyle name="Comma 2 6 4 6" xfId="6370"/>
    <cellStyle name="Comma 2 6 5" xfId="6371"/>
    <cellStyle name="Comma 2 6 5 2" xfId="6372"/>
    <cellStyle name="Comma 2 6 5 2 2" xfId="6373"/>
    <cellStyle name="Comma 2 6 5 3" xfId="6374"/>
    <cellStyle name="Comma 2 6 5 4" xfId="6375"/>
    <cellStyle name="Comma 2 6 5 5" xfId="6376"/>
    <cellStyle name="Comma 2 6 6" xfId="6377"/>
    <cellStyle name="Comma 2 6 6 2" xfId="6378"/>
    <cellStyle name="Comma 2 6 6 2 2" xfId="6379"/>
    <cellStyle name="Comma 2 6 6 3" xfId="6380"/>
    <cellStyle name="Comma 2 6 6 4" xfId="6381"/>
    <cellStyle name="Comma 2 6 6 5" xfId="6382"/>
    <cellStyle name="Comma 2 6 7" xfId="6383"/>
    <cellStyle name="Comma 2 6 7 2" xfId="6384"/>
    <cellStyle name="Comma 2 6 7 2 2" xfId="6385"/>
    <cellStyle name="Comma 2 6 7 3" xfId="6386"/>
    <cellStyle name="Comma 2 6 7 4" xfId="6387"/>
    <cellStyle name="Comma 2 6 7 5" xfId="6388"/>
    <cellStyle name="Comma 2 6 8" xfId="6389"/>
    <cellStyle name="Comma 2 7" xfId="1337"/>
    <cellStyle name="Comma 2 7 2" xfId="6390"/>
    <cellStyle name="Comma 2 7 2 2" xfId="6391"/>
    <cellStyle name="Comma 2 7 2 2 2" xfId="6392"/>
    <cellStyle name="Comma 2 7 2 2 2 2" xfId="6393"/>
    <cellStyle name="Comma 2 7 2 2 2 3" xfId="6394"/>
    <cellStyle name="Comma 2 7 2 2 3" xfId="6395"/>
    <cellStyle name="Comma 2 7 2 2 3 2" xfId="6396"/>
    <cellStyle name="Comma 2 7 2 2 4" xfId="6397"/>
    <cellStyle name="Comma 2 7 2 2 5" xfId="6398"/>
    <cellStyle name="Comma 2 7 2 3" xfId="6399"/>
    <cellStyle name="Comma 2 7 2 3 2" xfId="6400"/>
    <cellStyle name="Comma 2 7 2 3 3" xfId="6401"/>
    <cellStyle name="Comma 2 7 2 4" xfId="6402"/>
    <cellStyle name="Comma 2 7 2 4 2" xfId="6403"/>
    <cellStyle name="Comma 2 7 2 5" xfId="6404"/>
    <cellStyle name="Comma 2 7 2 6" xfId="6405"/>
    <cellStyle name="Comma 2 7 3" xfId="6406"/>
    <cellStyle name="Comma 2 7 3 2" xfId="6407"/>
    <cellStyle name="Comma 2 7 3 2 2" xfId="6408"/>
    <cellStyle name="Comma 2 7 3 2 2 2" xfId="6409"/>
    <cellStyle name="Comma 2 7 3 2 3" xfId="6410"/>
    <cellStyle name="Comma 2 7 3 2 4" xfId="6411"/>
    <cellStyle name="Comma 2 7 3 2 5" xfId="6412"/>
    <cellStyle name="Comma 2 7 3 3" xfId="6413"/>
    <cellStyle name="Comma 2 7 3 3 2" xfId="6414"/>
    <cellStyle name="Comma 2 7 3 4" xfId="6415"/>
    <cellStyle name="Comma 2 7 3 5" xfId="6416"/>
    <cellStyle name="Comma 2 7 3 6" xfId="6417"/>
    <cellStyle name="Comma 2 7 4" xfId="6418"/>
    <cellStyle name="Comma 2 7 4 2" xfId="6419"/>
    <cellStyle name="Comma 2 7 4 2 2" xfId="6420"/>
    <cellStyle name="Comma 2 7 4 3" xfId="6421"/>
    <cellStyle name="Comma 2 7 4 4" xfId="6422"/>
    <cellStyle name="Comma 2 7 4 5" xfId="6423"/>
    <cellStyle name="Comma 2 7 5" xfId="6424"/>
    <cellStyle name="Comma 2 7 5 2" xfId="6425"/>
    <cellStyle name="Comma 2 7 5 2 2" xfId="6426"/>
    <cellStyle name="Comma 2 7 5 3" xfId="6427"/>
    <cellStyle name="Comma 2 7 5 4" xfId="6428"/>
    <cellStyle name="Comma 2 7 5 5" xfId="6429"/>
    <cellStyle name="Comma 2 7 6" xfId="6430"/>
    <cellStyle name="Comma 2 7 6 2" xfId="6431"/>
    <cellStyle name="Comma 2 7 6 2 2" xfId="6432"/>
    <cellStyle name="Comma 2 7 6 3" xfId="6433"/>
    <cellStyle name="Comma 2 7 6 4" xfId="6434"/>
    <cellStyle name="Comma 2 7 6 5" xfId="6435"/>
    <cellStyle name="Comma 2 7 7" xfId="6436"/>
    <cellStyle name="Comma 2 8" xfId="1338"/>
    <cellStyle name="Comma 2 8 2" xfId="6437"/>
    <cellStyle name="Comma 2 8 2 2" xfId="6438"/>
    <cellStyle name="Comma 2 8 2 2 2" xfId="6439"/>
    <cellStyle name="Comma 2 8 2 2 3" xfId="6440"/>
    <cellStyle name="Comma 2 8 2 3" xfId="6441"/>
    <cellStyle name="Comma 2 8 2 3 2" xfId="6442"/>
    <cellStyle name="Comma 2 8 2 4" xfId="6443"/>
    <cellStyle name="Comma 2 8 2 5" xfId="6444"/>
    <cellStyle name="Comma 2 8 3" xfId="6445"/>
    <cellStyle name="Comma 2 8 3 2" xfId="6446"/>
    <cellStyle name="Comma 2 8 3 2 2" xfId="6447"/>
    <cellStyle name="Comma 2 8 3 3" xfId="6448"/>
    <cellStyle name="Comma 2 8 3 4" xfId="6449"/>
    <cellStyle name="Comma 2 8 3 5" xfId="6450"/>
    <cellStyle name="Comma 2 8 4" xfId="6451"/>
    <cellStyle name="Comma 2 8 4 2" xfId="6452"/>
    <cellStyle name="Comma 2 8 4 2 2" xfId="6453"/>
    <cellStyle name="Comma 2 8 4 3" xfId="6454"/>
    <cellStyle name="Comma 2 8 4 4" xfId="6455"/>
    <cellStyle name="Comma 2 8 4 5" xfId="6456"/>
    <cellStyle name="Comma 2 8 5" xfId="6457"/>
    <cellStyle name="Comma 2 9" xfId="1339"/>
    <cellStyle name="Comma 2 9 2" xfId="6458"/>
    <cellStyle name="Comma 2 9 2 2" xfId="6459"/>
    <cellStyle name="Comma 2 9 2 2 2" xfId="6460"/>
    <cellStyle name="Comma 2 9 2 3" xfId="6461"/>
    <cellStyle name="Comma 2 9 2 4" xfId="6462"/>
    <cellStyle name="Comma 2 9 2 5" xfId="6463"/>
    <cellStyle name="Comma 2 9 3" xfId="6464"/>
    <cellStyle name="Comma 2 9 3 2" xfId="6465"/>
    <cellStyle name="Comma 2 9 3 2 2" xfId="6466"/>
    <cellStyle name="Comma 2 9 3 3" xfId="6467"/>
    <cellStyle name="Comma 2 9 3 4" xfId="6468"/>
    <cellStyle name="Comma 2 9 3 5" xfId="6469"/>
    <cellStyle name="Comma 2 9 4" xfId="6470"/>
    <cellStyle name="Comma 20" xfId="6471"/>
    <cellStyle name="Comma 20 2" xfId="6472"/>
    <cellStyle name="Comma 21" xfId="6473"/>
    <cellStyle name="Comma 21 2" xfId="6474"/>
    <cellStyle name="Comma 22" xfId="6475"/>
    <cellStyle name="Comma 23" xfId="6476"/>
    <cellStyle name="Comma 24" xfId="6477"/>
    <cellStyle name="Comma 25" xfId="6478"/>
    <cellStyle name="Comma 26" xfId="6479"/>
    <cellStyle name="Comma 27" xfId="6480"/>
    <cellStyle name="Comma 28" xfId="6481"/>
    <cellStyle name="Comma 29" xfId="6482"/>
    <cellStyle name="Comma 29 2" xfId="6483"/>
    <cellStyle name="Comma 3" xfId="13"/>
    <cellStyle name="Comma 3 10" xfId="6484"/>
    <cellStyle name="Comma 3 11" xfId="6485"/>
    <cellStyle name="Comma 3 2" xfId="1340"/>
    <cellStyle name="Comma 3 2 2" xfId="2105"/>
    <cellStyle name="Comma 3 2 2 2" xfId="6486"/>
    <cellStyle name="Comma 3 2 2 2 2" xfId="6487"/>
    <cellStyle name="Comma 3 2 2 2 2 2" xfId="6488"/>
    <cellStyle name="Comma 3 2 2 2 2 2 2" xfId="6489"/>
    <cellStyle name="Comma 3 2 2 2 2 2 2 2" xfId="6490"/>
    <cellStyle name="Comma 3 2 2 2 2 2 3" xfId="6491"/>
    <cellStyle name="Comma 3 2 2 2 2 3" xfId="6492"/>
    <cellStyle name="Comma 3 2 2 2 2 3 2" xfId="6493"/>
    <cellStyle name="Comma 3 2 2 2 2 4" xfId="6494"/>
    <cellStyle name="Comma 3 2 2 2 3" xfId="6495"/>
    <cellStyle name="Comma 3 2 2 2 3 2" xfId="6496"/>
    <cellStyle name="Comma 3 2 2 2 3 2 2" xfId="6497"/>
    <cellStyle name="Comma 3 2 2 2 3 3" xfId="6498"/>
    <cellStyle name="Comma 3 2 2 2 4" xfId="6499"/>
    <cellStyle name="Comma 3 2 2 2 4 2" xfId="6500"/>
    <cellStyle name="Comma 3 2 2 2 5" xfId="6501"/>
    <cellStyle name="Comma 3 2 2 2 6" xfId="6502"/>
    <cellStyle name="Comma 3 2 2 2 7" xfId="6503"/>
    <cellStyle name="Comma 3 2 2 3" xfId="6504"/>
    <cellStyle name="Comma 3 2 2 3 2" xfId="6505"/>
    <cellStyle name="Comma 3 2 2 3 2 2" xfId="6506"/>
    <cellStyle name="Comma 3 2 2 3 2 2 2" xfId="6507"/>
    <cellStyle name="Comma 3 2 2 3 2 3" xfId="6508"/>
    <cellStyle name="Comma 3 2 2 3 3" xfId="6509"/>
    <cellStyle name="Comma 3 2 2 3 3 2" xfId="6510"/>
    <cellStyle name="Comma 3 2 2 3 4" xfId="6511"/>
    <cellStyle name="Comma 3 2 2 4" xfId="6512"/>
    <cellStyle name="Comma 3 2 2 4 2" xfId="6513"/>
    <cellStyle name="Comma 3 2 2 4 2 2" xfId="6514"/>
    <cellStyle name="Comma 3 2 2 4 3" xfId="6515"/>
    <cellStyle name="Comma 3 2 2 5" xfId="6516"/>
    <cellStyle name="Comma 3 2 2 5 2" xfId="6517"/>
    <cellStyle name="Comma 3 2 2 6" xfId="6518"/>
    <cellStyle name="Comma 3 2 2 7" xfId="6519"/>
    <cellStyle name="Comma 3 2 2 8" xfId="6520"/>
    <cellStyle name="Comma 3 2 3" xfId="6521"/>
    <cellStyle name="Comma 3 2 3 2" xfId="6522"/>
    <cellStyle name="Comma 3 2 3 2 2" xfId="6523"/>
    <cellStyle name="Comma 3 2 3 2 2 2" xfId="6524"/>
    <cellStyle name="Comma 3 2 3 2 2 2 2" xfId="6525"/>
    <cellStyle name="Comma 3 2 3 2 2 3" xfId="6526"/>
    <cellStyle name="Comma 3 2 3 2 3" xfId="6527"/>
    <cellStyle name="Comma 3 2 3 2 3 2" xfId="6528"/>
    <cellStyle name="Comma 3 2 3 2 4" xfId="6529"/>
    <cellStyle name="Comma 3 2 3 3" xfId="6530"/>
    <cellStyle name="Comma 3 2 3 3 2" xfId="6531"/>
    <cellStyle name="Comma 3 2 3 3 2 2" xfId="6532"/>
    <cellStyle name="Comma 3 2 3 3 3" xfId="6533"/>
    <cellStyle name="Comma 3 2 3 4" xfId="6534"/>
    <cellStyle name="Comma 3 2 3 4 2" xfId="6535"/>
    <cellStyle name="Comma 3 2 3 5" xfId="6536"/>
    <cellStyle name="Comma 3 2 3 6" xfId="6537"/>
    <cellStyle name="Comma 3 2 3 7" xfId="6538"/>
    <cellStyle name="Comma 3 2 4" xfId="6539"/>
    <cellStyle name="Comma 3 2 4 2" xfId="6540"/>
    <cellStyle name="Comma 3 2 4 2 2" xfId="6541"/>
    <cellStyle name="Comma 3 2 4 2 2 2" xfId="6542"/>
    <cellStyle name="Comma 3 2 4 2 2 2 2" xfId="6543"/>
    <cellStyle name="Comma 3 2 4 2 2 3" xfId="6544"/>
    <cellStyle name="Comma 3 2 4 2 3" xfId="6545"/>
    <cellStyle name="Comma 3 2 4 2 3 2" xfId="6546"/>
    <cellStyle name="Comma 3 2 4 2 4" xfId="6547"/>
    <cellStyle name="Comma 3 2 4 3" xfId="6548"/>
    <cellStyle name="Comma 3 2 4 3 2" xfId="6549"/>
    <cellStyle name="Comma 3 2 4 3 2 2" xfId="6550"/>
    <cellStyle name="Comma 3 2 4 3 3" xfId="6551"/>
    <cellStyle name="Comma 3 2 4 4" xfId="6552"/>
    <cellStyle name="Comma 3 2 4 4 2" xfId="6553"/>
    <cellStyle name="Comma 3 2 4 5" xfId="6554"/>
    <cellStyle name="Comma 3 2 5" xfId="6555"/>
    <cellStyle name="Comma 3 2 5 2" xfId="6556"/>
    <cellStyle name="Comma 3 2 5 2 2" xfId="6557"/>
    <cellStyle name="Comma 3 2 5 2 2 2" xfId="6558"/>
    <cellStyle name="Comma 3 2 5 2 3" xfId="6559"/>
    <cellStyle name="Comma 3 2 5 3" xfId="6560"/>
    <cellStyle name="Comma 3 2 5 3 2" xfId="6561"/>
    <cellStyle name="Comma 3 2 5 4" xfId="6562"/>
    <cellStyle name="Comma 3 2 6" xfId="6563"/>
    <cellStyle name="Comma 3 2 6 2" xfId="6564"/>
    <cellStyle name="Comma 3 2 6 2 2" xfId="6565"/>
    <cellStyle name="Comma 3 2 6 3" xfId="6566"/>
    <cellStyle name="Comma 3 2 7" xfId="6567"/>
    <cellStyle name="Comma 3 2 7 2" xfId="6568"/>
    <cellStyle name="Comma 3 2 8" xfId="6569"/>
    <cellStyle name="Comma 3 3" xfId="1341"/>
    <cellStyle name="Comma 3 3 2" xfId="6570"/>
    <cellStyle name="Comma 3 3 2 2" xfId="6571"/>
    <cellStyle name="Comma 3 3 2 2 2" xfId="6572"/>
    <cellStyle name="Comma 3 3 2 2 2 2" xfId="6573"/>
    <cellStyle name="Comma 3 3 2 2 2 2 2" xfId="6574"/>
    <cellStyle name="Comma 3 3 2 2 2 3" xfId="6575"/>
    <cellStyle name="Comma 3 3 2 2 3" xfId="6576"/>
    <cellStyle name="Comma 3 3 2 2 3 2" xfId="6577"/>
    <cellStyle name="Comma 3 3 2 2 4" xfId="6578"/>
    <cellStyle name="Comma 3 3 2 2 5" xfId="6579"/>
    <cellStyle name="Comma 3 3 2 2 6" xfId="6580"/>
    <cellStyle name="Comma 3 3 2 3" xfId="6581"/>
    <cellStyle name="Comma 3 3 2 3 2" xfId="6582"/>
    <cellStyle name="Comma 3 3 2 3 2 2" xfId="6583"/>
    <cellStyle name="Comma 3 3 2 3 3" xfId="6584"/>
    <cellStyle name="Comma 3 3 2 4" xfId="6585"/>
    <cellStyle name="Comma 3 3 2 4 2" xfId="6586"/>
    <cellStyle name="Comma 3 3 2 5" xfId="6587"/>
    <cellStyle name="Comma 3 3 2 6" xfId="6588"/>
    <cellStyle name="Comma 3 3 2 7" xfId="6589"/>
    <cellStyle name="Comma 3 3 3" xfId="6590"/>
    <cellStyle name="Comma 3 3 3 2" xfId="6591"/>
    <cellStyle name="Comma 3 3 3 2 2" xfId="6592"/>
    <cellStyle name="Comma 3 3 3 2 2 2" xfId="6593"/>
    <cellStyle name="Comma 3 3 3 2 3" xfId="6594"/>
    <cellStyle name="Comma 3 3 3 3" xfId="6595"/>
    <cellStyle name="Comma 3 3 3 3 2" xfId="6596"/>
    <cellStyle name="Comma 3 3 3 4" xfId="6597"/>
    <cellStyle name="Comma 3 3 3 5" xfId="6598"/>
    <cellStyle name="Comma 3 3 3 6" xfId="6599"/>
    <cellStyle name="Comma 3 3 4" xfId="6600"/>
    <cellStyle name="Comma 3 3 4 2" xfId="6601"/>
    <cellStyle name="Comma 3 3 4 2 2" xfId="6602"/>
    <cellStyle name="Comma 3 3 4 3" xfId="6603"/>
    <cellStyle name="Comma 3 3 5" xfId="6604"/>
    <cellStyle name="Comma 3 3 5 2" xfId="6605"/>
    <cellStyle name="Comma 3 3 6" xfId="6606"/>
    <cellStyle name="Comma 3 3 7" xfId="6607"/>
    <cellStyle name="Comma 3 3 8" xfId="6608"/>
    <cellStyle name="Comma 3 4" xfId="1342"/>
    <cellStyle name="Comma 3 4 2" xfId="6609"/>
    <cellStyle name="Comma 3 4 2 2" xfId="6610"/>
    <cellStyle name="Comma 3 4 2 2 2" xfId="6611"/>
    <cellStyle name="Comma 3 4 2 2 2 2" xfId="6612"/>
    <cellStyle name="Comma 3 4 2 2 3" xfId="6613"/>
    <cellStyle name="Comma 3 4 2 2 4" xfId="6614"/>
    <cellStyle name="Comma 3 4 2 3" xfId="6615"/>
    <cellStyle name="Comma 3 4 2 3 2" xfId="6616"/>
    <cellStyle name="Comma 3 4 2 4" xfId="6617"/>
    <cellStyle name="Comma 3 4 2 5" xfId="6618"/>
    <cellStyle name="Comma 3 4 2 6" xfId="6619"/>
    <cellStyle name="Comma 3 4 3" xfId="6620"/>
    <cellStyle name="Comma 3 4 3 2" xfId="6621"/>
    <cellStyle name="Comma 3 4 3 2 2" xfId="6622"/>
    <cellStyle name="Comma 3 4 3 3" xfId="6623"/>
    <cellStyle name="Comma 3 4 3 4" xfId="6624"/>
    <cellStyle name="Comma 3 4 4" xfId="6625"/>
    <cellStyle name="Comma 3 4 4 2" xfId="6626"/>
    <cellStyle name="Comma 3 4 5" xfId="6627"/>
    <cellStyle name="Comma 3 4 5 2" xfId="6628"/>
    <cellStyle name="Comma 3 4 6" xfId="6629"/>
    <cellStyle name="Comma 3 4 7" xfId="6630"/>
    <cellStyle name="Comma 3 4 8" xfId="6631"/>
    <cellStyle name="Comma 3 5" xfId="1343"/>
    <cellStyle name="Comma 3 5 2" xfId="6632"/>
    <cellStyle name="Comma 3 5 2 2" xfId="6633"/>
    <cellStyle name="Comma 3 5 2 2 2" xfId="6634"/>
    <cellStyle name="Comma 3 5 2 2 2 2" xfId="6635"/>
    <cellStyle name="Comma 3 5 2 2 3" xfId="6636"/>
    <cellStyle name="Comma 3 5 2 3" xfId="6637"/>
    <cellStyle name="Comma 3 5 2 3 2" xfId="6638"/>
    <cellStyle name="Comma 3 5 2 4" xfId="6639"/>
    <cellStyle name="Comma 3 5 2 5" xfId="6640"/>
    <cellStyle name="Comma 3 5 3" xfId="6641"/>
    <cellStyle name="Comma 3 5 3 2" xfId="6642"/>
    <cellStyle name="Comma 3 5 3 2 2" xfId="6643"/>
    <cellStyle name="Comma 3 5 3 3" xfId="6644"/>
    <cellStyle name="Comma 3 5 4" xfId="6645"/>
    <cellStyle name="Comma 3 5 4 2" xfId="6646"/>
    <cellStyle name="Comma 3 5 5" xfId="6647"/>
    <cellStyle name="Comma 3 5 6" xfId="6648"/>
    <cellStyle name="Comma 3 5 7" xfId="6649"/>
    <cellStyle name="Comma 3 6" xfId="6650"/>
    <cellStyle name="Comma 3 6 2" xfId="6651"/>
    <cellStyle name="Comma 3 6 2 2" xfId="6652"/>
    <cellStyle name="Comma 3 6 2 2 2" xfId="6653"/>
    <cellStyle name="Comma 3 6 2 3" xfId="6654"/>
    <cellStyle name="Comma 3 6 2 4" xfId="6655"/>
    <cellStyle name="Comma 3 6 3" xfId="6656"/>
    <cellStyle name="Comma 3 6 3 2" xfId="6657"/>
    <cellStyle name="Comma 3 6 4" xfId="6658"/>
    <cellStyle name="Comma 3 6 5" xfId="6659"/>
    <cellStyle name="Comma 3 7" xfId="6660"/>
    <cellStyle name="Comma 3 7 2" xfId="6661"/>
    <cellStyle name="Comma 3 7 2 2" xfId="6662"/>
    <cellStyle name="Comma 3 7 3" xfId="6663"/>
    <cellStyle name="Comma 3 7 4" xfId="6664"/>
    <cellStyle name="Comma 3 8" xfId="6665"/>
    <cellStyle name="Comma 3 8 2" xfId="6666"/>
    <cellStyle name="Comma 3 8 2 2" xfId="6667"/>
    <cellStyle name="Comma 3 8 3" xfId="6668"/>
    <cellStyle name="Comma 3 9" xfId="6669"/>
    <cellStyle name="Comma 3 9 2" xfId="6670"/>
    <cellStyle name="Comma 30" xfId="6671"/>
    <cellStyle name="Comma 30 2" xfId="6672"/>
    <cellStyle name="Comma 30 2 2" xfId="6673"/>
    <cellStyle name="Comma 30 2 2 2" xfId="6674"/>
    <cellStyle name="Comma 30 2 3" xfId="6675"/>
    <cellStyle name="Comma 30 3" xfId="6676"/>
    <cellStyle name="Comma 30 3 2" xfId="6677"/>
    <cellStyle name="Comma 30 4" xfId="6678"/>
    <cellStyle name="Comma 30 5" xfId="6679"/>
    <cellStyle name="Comma 31" xfId="6680"/>
    <cellStyle name="Comma 31 2" xfId="6681"/>
    <cellStyle name="Comma 32" xfId="6682"/>
    <cellStyle name="Comma 33" xfId="6683"/>
    <cellStyle name="Comma 33 2" xfId="6684"/>
    <cellStyle name="Comma 34" xfId="6685"/>
    <cellStyle name="Comma 34 2" xfId="6686"/>
    <cellStyle name="Comma 35" xfId="6687"/>
    <cellStyle name="Comma 35 2" xfId="6688"/>
    <cellStyle name="Comma 36" xfId="6689"/>
    <cellStyle name="Comma 36 2" xfId="6690"/>
    <cellStyle name="Comma 37" xfId="6691"/>
    <cellStyle name="Comma 37 2" xfId="6692"/>
    <cellStyle name="Comma 38" xfId="6693"/>
    <cellStyle name="Comma 39" xfId="6694"/>
    <cellStyle name="Comma 4" xfId="1344"/>
    <cellStyle name="Comma 4 10" xfId="6695"/>
    <cellStyle name="Comma 4 2" xfId="1345"/>
    <cellStyle name="Comma 4 2 2" xfId="6696"/>
    <cellStyle name="Comma 4 2 2 2" xfId="6697"/>
    <cellStyle name="Comma 4 2 2 2 2" xfId="6698"/>
    <cellStyle name="Comma 4 2 2 2 2 2" xfId="6699"/>
    <cellStyle name="Comma 4 2 2 2 3" xfId="6700"/>
    <cellStyle name="Comma 4 2 2 2 4" xfId="6701"/>
    <cellStyle name="Comma 4 2 2 2 5" xfId="6702"/>
    <cellStyle name="Comma 4 2 2 3" xfId="6703"/>
    <cellStyle name="Comma 4 2 2 3 2" xfId="6704"/>
    <cellStyle name="Comma 4 2 2 4" xfId="6705"/>
    <cellStyle name="Comma 4 2 2 4 2" xfId="6706"/>
    <cellStyle name="Comma 4 2 2 5" xfId="6707"/>
    <cellStyle name="Comma 4 2 2 6" xfId="6708"/>
    <cellStyle name="Comma 4 2 3" xfId="6709"/>
    <cellStyle name="Comma 4 2 3 2" xfId="6710"/>
    <cellStyle name="Comma 4 2 3 2 2" xfId="6711"/>
    <cellStyle name="Comma 4 2 3 3" xfId="6712"/>
    <cellStyle name="Comma 4 2 3 3 2" xfId="6713"/>
    <cellStyle name="Comma 4 2 3 4" xfId="6714"/>
    <cellStyle name="Comma 4 2 3 5" xfId="6715"/>
    <cellStyle name="Comma 4 2 4" xfId="6716"/>
    <cellStyle name="Comma 4 2 4 2" xfId="6717"/>
    <cellStyle name="Comma 4 2 4 3" xfId="6718"/>
    <cellStyle name="Comma 4 2 4 4" xfId="6719"/>
    <cellStyle name="Comma 4 2 5" xfId="6720"/>
    <cellStyle name="Comma 4 2 5 2" xfId="6721"/>
    <cellStyle name="Comma 4 2 6" xfId="6722"/>
    <cellStyle name="Comma 4 2 7" xfId="6723"/>
    <cellStyle name="Comma 4 2 8" xfId="6724"/>
    <cellStyle name="Comma 4 2 9" xfId="6725"/>
    <cellStyle name="Comma 4 3" xfId="1346"/>
    <cellStyle name="Comma 4 3 2" xfId="6726"/>
    <cellStyle name="Comma 4 3 2 2" xfId="6727"/>
    <cellStyle name="Comma 4 3 2 2 2" xfId="6728"/>
    <cellStyle name="Comma 4 3 2 2 2 2" xfId="6729"/>
    <cellStyle name="Comma 4 3 2 2 2 2 2" xfId="6730"/>
    <cellStyle name="Comma 4 3 2 2 2 3" xfId="6731"/>
    <cellStyle name="Comma 4 3 2 2 3" xfId="6732"/>
    <cellStyle name="Comma 4 3 2 2 3 2" xfId="6733"/>
    <cellStyle name="Comma 4 3 2 2 4" xfId="6734"/>
    <cellStyle name="Comma 4 3 2 2 5" xfId="6735"/>
    <cellStyle name="Comma 4 3 2 3" xfId="6736"/>
    <cellStyle name="Comma 4 3 2 3 2" xfId="6737"/>
    <cellStyle name="Comma 4 3 2 3 2 2" xfId="6738"/>
    <cellStyle name="Comma 4 3 2 3 3" xfId="6739"/>
    <cellStyle name="Comma 4 3 2 4" xfId="6740"/>
    <cellStyle name="Comma 4 3 2 4 2" xfId="6741"/>
    <cellStyle name="Comma 4 3 2 5" xfId="6742"/>
    <cellStyle name="Comma 4 3 2 6" xfId="6743"/>
    <cellStyle name="Comma 4 3 2 7" xfId="6744"/>
    <cellStyle name="Comma 4 3 3" xfId="6745"/>
    <cellStyle name="Comma 4 3 3 2" xfId="6746"/>
    <cellStyle name="Comma 4 3 3 2 2" xfId="6747"/>
    <cellStyle name="Comma 4 3 3 2 2 2" xfId="6748"/>
    <cellStyle name="Comma 4 3 3 2 3" xfId="6749"/>
    <cellStyle name="Comma 4 3 3 3" xfId="6750"/>
    <cellStyle name="Comma 4 3 3 3 2" xfId="6751"/>
    <cellStyle name="Comma 4 3 3 4" xfId="6752"/>
    <cellStyle name="Comma 4 3 3 5" xfId="6753"/>
    <cellStyle name="Comma 4 3 4" xfId="6754"/>
    <cellStyle name="Comma 4 3 4 2" xfId="6755"/>
    <cellStyle name="Comma 4 3 4 2 2" xfId="6756"/>
    <cellStyle name="Comma 4 3 4 3" xfId="6757"/>
    <cellStyle name="Comma 4 3 5" xfId="6758"/>
    <cellStyle name="Comma 4 3 5 2" xfId="6759"/>
    <cellStyle name="Comma 4 3 6" xfId="6760"/>
    <cellStyle name="Comma 4 3 7" xfId="6761"/>
    <cellStyle name="Comma 4 3 8" xfId="6762"/>
    <cellStyle name="Comma 4 4" xfId="1347"/>
    <cellStyle name="Comma 4 4 2" xfId="6763"/>
    <cellStyle name="Comma 4 4 2 2" xfId="6764"/>
    <cellStyle name="Comma 4 4 2 2 2" xfId="6765"/>
    <cellStyle name="Comma 4 4 2 2 2 2" xfId="6766"/>
    <cellStyle name="Comma 4 4 2 2 3" xfId="6767"/>
    <cellStyle name="Comma 4 4 2 2 4" xfId="6768"/>
    <cellStyle name="Comma 4 4 2 3" xfId="6769"/>
    <cellStyle name="Comma 4 4 2 3 2" xfId="6770"/>
    <cellStyle name="Comma 4 4 2 4" xfId="6771"/>
    <cellStyle name="Comma 4 4 2 5" xfId="6772"/>
    <cellStyle name="Comma 4 4 3" xfId="6773"/>
    <cellStyle name="Comma 4 4 3 2" xfId="6774"/>
    <cellStyle name="Comma 4 4 3 2 2" xfId="6775"/>
    <cellStyle name="Comma 4 4 3 3" xfId="6776"/>
    <cellStyle name="Comma 4 4 3 4" xfId="6777"/>
    <cellStyle name="Comma 4 4 4" xfId="6778"/>
    <cellStyle name="Comma 4 4 4 2" xfId="6779"/>
    <cellStyle name="Comma 4 4 5" xfId="6780"/>
    <cellStyle name="Comma 4 4 6" xfId="6781"/>
    <cellStyle name="Comma 4 4 7" xfId="6782"/>
    <cellStyle name="Comma 4 5" xfId="1348"/>
    <cellStyle name="Comma 4 5 2" xfId="6783"/>
    <cellStyle name="Comma 4 5 2 2" xfId="6784"/>
    <cellStyle name="Comma 4 5 2 2 2" xfId="6785"/>
    <cellStyle name="Comma 4 5 2 3" xfId="6786"/>
    <cellStyle name="Comma 4 5 2 4" xfId="6787"/>
    <cellStyle name="Comma 4 5 3" xfId="6788"/>
    <cellStyle name="Comma 4 5 3 2" xfId="6789"/>
    <cellStyle name="Comma 4 5 4" xfId="6790"/>
    <cellStyle name="Comma 4 5 5" xfId="6791"/>
    <cellStyle name="Comma 4 6" xfId="6792"/>
    <cellStyle name="Comma 4 6 2" xfId="6793"/>
    <cellStyle name="Comma 4 6 2 2" xfId="6794"/>
    <cellStyle name="Comma 4 6 3" xfId="6795"/>
    <cellStyle name="Comma 4 6 4" xfId="6796"/>
    <cellStyle name="Comma 4 7" xfId="6797"/>
    <cellStyle name="Comma 4 7 2" xfId="6798"/>
    <cellStyle name="Comma 4 8" xfId="6799"/>
    <cellStyle name="Comma 4 9" xfId="6800"/>
    <cellStyle name="Comma 40" xfId="6801"/>
    <cellStyle name="Comma 41" xfId="6802"/>
    <cellStyle name="Comma 42" xfId="6803"/>
    <cellStyle name="Comma 43" xfId="6804"/>
    <cellStyle name="Comma 44" xfId="6805"/>
    <cellStyle name="Comma 45" xfId="6806"/>
    <cellStyle name="Comma 46" xfId="6807"/>
    <cellStyle name="Comma 47" xfId="6808"/>
    <cellStyle name="Comma 48" xfId="6809"/>
    <cellStyle name="Comma 49" xfId="6810"/>
    <cellStyle name="Comma 5" xfId="1349"/>
    <cellStyle name="Comma 5 2" xfId="6811"/>
    <cellStyle name="Comma 5 2 2" xfId="6812"/>
    <cellStyle name="Comma 5 2 3" xfId="6813"/>
    <cellStyle name="Comma 5 3" xfId="6814"/>
    <cellStyle name="Comma 50" xfId="6815"/>
    <cellStyle name="Comma 50 2" xfId="6816"/>
    <cellStyle name="Comma 51" xfId="6817"/>
    <cellStyle name="Comma 52" xfId="6818"/>
    <cellStyle name="Comma 53" xfId="6819"/>
    <cellStyle name="Comma 54" xfId="6820"/>
    <cellStyle name="Comma 55" xfId="6821"/>
    <cellStyle name="Comma 56" xfId="6822"/>
    <cellStyle name="Comma 57" xfId="6823"/>
    <cellStyle name="Comma 58" xfId="6824"/>
    <cellStyle name="Comma 59" xfId="6825"/>
    <cellStyle name="Comma 6" xfId="1350"/>
    <cellStyle name="Comma 6 10" xfId="6826"/>
    <cellStyle name="Comma 6 10 2" xfId="6827"/>
    <cellStyle name="Comma 6 11" xfId="6828"/>
    <cellStyle name="Comma 6 12" xfId="6829"/>
    <cellStyle name="Comma 6 13" xfId="6830"/>
    <cellStyle name="Comma 6 2" xfId="6831"/>
    <cellStyle name="Comma 6 2 2" xfId="6832"/>
    <cellStyle name="Comma 6 2 2 2" xfId="6833"/>
    <cellStyle name="Comma 6 2 3" xfId="6834"/>
    <cellStyle name="Comma 6 2 3 2" xfId="6835"/>
    <cellStyle name="Comma 6 2 3 3" xfId="6836"/>
    <cellStyle name="Comma 6 2 3 4" xfId="6837"/>
    <cellStyle name="Comma 6 2 4" xfId="6838"/>
    <cellStyle name="Comma 6 2 4 2" xfId="6839"/>
    <cellStyle name="Comma 6 2 5" xfId="6840"/>
    <cellStyle name="Comma 6 2 6" xfId="6841"/>
    <cellStyle name="Comma 6 2 7" xfId="6842"/>
    <cellStyle name="Comma 6 3" xfId="6843"/>
    <cellStyle name="Comma 6 3 2" xfId="6844"/>
    <cellStyle name="Comma 6 3 2 2" xfId="6845"/>
    <cellStyle name="Comma 6 3 2 2 2" xfId="6846"/>
    <cellStyle name="Comma 6 3 2 2 2 2" xfId="6847"/>
    <cellStyle name="Comma 6 3 2 2 2 3" xfId="6848"/>
    <cellStyle name="Comma 6 3 2 2 3" xfId="6849"/>
    <cellStyle name="Comma 6 3 2 2 3 2" xfId="6850"/>
    <cellStyle name="Comma 6 3 2 2 4" xfId="6851"/>
    <cellStyle name="Comma 6 3 2 2 5" xfId="6852"/>
    <cellStyle name="Comma 6 3 2 3" xfId="6853"/>
    <cellStyle name="Comma 6 3 2 3 2" xfId="6854"/>
    <cellStyle name="Comma 6 3 2 3 3" xfId="6855"/>
    <cellStyle name="Comma 6 3 2 4" xfId="6856"/>
    <cellStyle name="Comma 6 3 2 4 2" xfId="6857"/>
    <cellStyle name="Comma 6 3 2 5" xfId="6858"/>
    <cellStyle name="Comma 6 3 2 6" xfId="6859"/>
    <cellStyle name="Comma 6 3 3" xfId="6860"/>
    <cellStyle name="Comma 6 3 3 2" xfId="6861"/>
    <cellStyle name="Comma 6 3 3 2 2" xfId="6862"/>
    <cellStyle name="Comma 6 3 3 2 2 2" xfId="6863"/>
    <cellStyle name="Comma 6 3 3 2 3" xfId="6864"/>
    <cellStyle name="Comma 6 3 3 2 4" xfId="6865"/>
    <cellStyle name="Comma 6 3 3 2 5" xfId="6866"/>
    <cellStyle name="Comma 6 3 3 3" xfId="6867"/>
    <cellStyle name="Comma 6 3 3 3 2" xfId="6868"/>
    <cellStyle name="Comma 6 3 3 4" xfId="6869"/>
    <cellStyle name="Comma 6 3 3 5" xfId="6870"/>
    <cellStyle name="Comma 6 3 3 6" xfId="6871"/>
    <cellStyle name="Comma 6 3 4" xfId="6872"/>
    <cellStyle name="Comma 6 3 4 2" xfId="6873"/>
    <cellStyle name="Comma 6 3 4 2 2" xfId="6874"/>
    <cellStyle name="Comma 6 3 4 3" xfId="6875"/>
    <cellStyle name="Comma 6 3 4 4" xfId="6876"/>
    <cellStyle name="Comma 6 3 4 5" xfId="6877"/>
    <cellStyle name="Comma 6 3 5" xfId="6878"/>
    <cellStyle name="Comma 6 3 5 2" xfId="6879"/>
    <cellStyle name="Comma 6 3 5 2 2" xfId="6880"/>
    <cellStyle name="Comma 6 3 5 3" xfId="6881"/>
    <cellStyle name="Comma 6 3 5 4" xfId="6882"/>
    <cellStyle name="Comma 6 3 5 5" xfId="6883"/>
    <cellStyle name="Comma 6 3 6" xfId="6884"/>
    <cellStyle name="Comma 6 3 6 2" xfId="6885"/>
    <cellStyle name="Comma 6 3 6 3" xfId="6886"/>
    <cellStyle name="Comma 6 3 7" xfId="6887"/>
    <cellStyle name="Comma 6 3 8" xfId="6888"/>
    <cellStyle name="Comma 6 3 9" xfId="6889"/>
    <cellStyle name="Comma 6 4" xfId="6890"/>
    <cellStyle name="Comma 6 4 2" xfId="6891"/>
    <cellStyle name="Comma 6 4 2 2" xfId="6892"/>
    <cellStyle name="Comma 6 4 2 2 2" xfId="6893"/>
    <cellStyle name="Comma 6 4 2 2 3" xfId="6894"/>
    <cellStyle name="Comma 6 4 2 3" xfId="6895"/>
    <cellStyle name="Comma 6 4 2 3 2" xfId="6896"/>
    <cellStyle name="Comma 6 4 2 4" xfId="6897"/>
    <cellStyle name="Comma 6 4 2 5" xfId="6898"/>
    <cellStyle name="Comma 6 4 3" xfId="6899"/>
    <cellStyle name="Comma 6 4 3 2" xfId="6900"/>
    <cellStyle name="Comma 6 4 3 3" xfId="6901"/>
    <cellStyle name="Comma 6 4 4" xfId="6902"/>
    <cellStyle name="Comma 6 4 4 2" xfId="6903"/>
    <cellStyle name="Comma 6 4 5" xfId="6904"/>
    <cellStyle name="Comma 6 4 6" xfId="6905"/>
    <cellStyle name="Comma 6 5" xfId="6906"/>
    <cellStyle name="Comma 6 5 2" xfId="6907"/>
    <cellStyle name="Comma 6 5 2 2" xfId="6908"/>
    <cellStyle name="Comma 6 5 2 2 2" xfId="6909"/>
    <cellStyle name="Comma 6 5 2 3" xfId="6910"/>
    <cellStyle name="Comma 6 5 2 4" xfId="6911"/>
    <cellStyle name="Comma 6 5 2 5" xfId="6912"/>
    <cellStyle name="Comma 6 5 3" xfId="6913"/>
    <cellStyle name="Comma 6 5 3 2" xfId="6914"/>
    <cellStyle name="Comma 6 5 4" xfId="6915"/>
    <cellStyle name="Comma 6 5 5" xfId="6916"/>
    <cellStyle name="Comma 6 5 6" xfId="6917"/>
    <cellStyle name="Comma 6 6" xfId="6918"/>
    <cellStyle name="Comma 6 6 2" xfId="6919"/>
    <cellStyle name="Comma 6 6 2 2" xfId="6920"/>
    <cellStyle name="Comma 6 6 3" xfId="6921"/>
    <cellStyle name="Comma 6 6 4" xfId="6922"/>
    <cellStyle name="Comma 6 6 5" xfId="6923"/>
    <cellStyle name="Comma 6 7" xfId="6924"/>
    <cellStyle name="Comma 6 7 2" xfId="6925"/>
    <cellStyle name="Comma 6 7 2 2" xfId="6926"/>
    <cellStyle name="Comma 6 7 3" xfId="6927"/>
    <cellStyle name="Comma 6 7 4" xfId="6928"/>
    <cellStyle name="Comma 6 7 5" xfId="6929"/>
    <cellStyle name="Comma 6 8" xfId="6930"/>
    <cellStyle name="Comma 6 8 2" xfId="6931"/>
    <cellStyle name="Comma 6 8 2 2" xfId="6932"/>
    <cellStyle name="Comma 6 8 3" xfId="6933"/>
    <cellStyle name="Comma 6 8 4" xfId="6934"/>
    <cellStyle name="Comma 6 8 5" xfId="6935"/>
    <cellStyle name="Comma 6 9" xfId="6936"/>
    <cellStyle name="Comma 6 9 2" xfId="6937"/>
    <cellStyle name="Comma 6 9 3" xfId="6938"/>
    <cellStyle name="Comma 60" xfId="6939"/>
    <cellStyle name="Comma 61" xfId="6940"/>
    <cellStyle name="Comma 62" xfId="6941"/>
    <cellStyle name="Comma 62 2" xfId="6942"/>
    <cellStyle name="Comma 62 2 2" xfId="6943"/>
    <cellStyle name="Comma 62 3" xfId="6944"/>
    <cellStyle name="Comma 63" xfId="6945"/>
    <cellStyle name="Comma 63 2" xfId="6946"/>
    <cellStyle name="Comma 63 2 2" xfId="6947"/>
    <cellStyle name="Comma 63 3" xfId="6948"/>
    <cellStyle name="Comma 64" xfId="6949"/>
    <cellStyle name="Comma 64 2" xfId="6950"/>
    <cellStyle name="Comma 64 2 2" xfId="6951"/>
    <cellStyle name="Comma 64 3" xfId="6952"/>
    <cellStyle name="Comma 65" xfId="6953"/>
    <cellStyle name="Comma 65 2" xfId="6954"/>
    <cellStyle name="Comma 66" xfId="6955"/>
    <cellStyle name="Comma 66 2" xfId="6956"/>
    <cellStyle name="Comma 67" xfId="6957"/>
    <cellStyle name="Comma 68" xfId="6958"/>
    <cellStyle name="Comma 69" xfId="6959"/>
    <cellStyle name="Comma 7" xfId="1351"/>
    <cellStyle name="Comma 7 2" xfId="6960"/>
    <cellStyle name="Comma 7 2 2" xfId="6961"/>
    <cellStyle name="Comma 7 2 2 2" xfId="6962"/>
    <cellStyle name="Comma 7 2 2 2 2" xfId="6963"/>
    <cellStyle name="Comma 7 2 2 2 2 2" xfId="6964"/>
    <cellStyle name="Comma 7 2 2 2 3" xfId="6965"/>
    <cellStyle name="Comma 7 2 2 2 4" xfId="6966"/>
    <cellStyle name="Comma 7 2 2 2 5" xfId="6967"/>
    <cellStyle name="Comma 7 2 2 3" xfId="6968"/>
    <cellStyle name="Comma 7 2 2 3 2" xfId="6969"/>
    <cellStyle name="Comma 7 2 2 4" xfId="6970"/>
    <cellStyle name="Comma 7 2 2 4 2" xfId="6971"/>
    <cellStyle name="Comma 7 2 2 5" xfId="6972"/>
    <cellStyle name="Comma 7 2 2 6" xfId="6973"/>
    <cellStyle name="Comma 7 2 3" xfId="6974"/>
    <cellStyle name="Comma 7 2 3 2" xfId="6975"/>
    <cellStyle name="Comma 7 2 3 2 2" xfId="6976"/>
    <cellStyle name="Comma 7 2 3 3" xfId="6977"/>
    <cellStyle name="Comma 7 2 3 4" xfId="6978"/>
    <cellStyle name="Comma 7 2 3 5" xfId="6979"/>
    <cellStyle name="Comma 7 2 4" xfId="6980"/>
    <cellStyle name="Comma 7 2 4 2" xfId="6981"/>
    <cellStyle name="Comma 7 2 5" xfId="6982"/>
    <cellStyle name="Comma 7 2 5 2" xfId="6983"/>
    <cellStyle name="Comma 7 2 6" xfId="6984"/>
    <cellStyle name="Comma 7 2 7" xfId="6985"/>
    <cellStyle name="Comma 7 3" xfId="6986"/>
    <cellStyle name="Comma 7 3 2" xfId="6987"/>
    <cellStyle name="Comma 7 3 2 2" xfId="6988"/>
    <cellStyle name="Comma 7 3 2 2 2" xfId="6989"/>
    <cellStyle name="Comma 7 3 2 3" xfId="6990"/>
    <cellStyle name="Comma 7 3 2 4" xfId="6991"/>
    <cellStyle name="Comma 7 3 3" xfId="6992"/>
    <cellStyle name="Comma 7 3 3 2" xfId="6993"/>
    <cellStyle name="Comma 7 3 4" xfId="6994"/>
    <cellStyle name="Comma 7 3 5" xfId="6995"/>
    <cellStyle name="Comma 7 3 6" xfId="6996"/>
    <cellStyle name="Comma 7 4" xfId="6997"/>
    <cellStyle name="Comma 7 4 2" xfId="6998"/>
    <cellStyle name="Comma 7 4 2 2" xfId="6999"/>
    <cellStyle name="Comma 7 4 2 2 2" xfId="7000"/>
    <cellStyle name="Comma 7 4 2 3" xfId="7001"/>
    <cellStyle name="Comma 7 4 2 4" xfId="7002"/>
    <cellStyle name="Comma 7 4 3" xfId="7003"/>
    <cellStyle name="Comma 7 4 3 2" xfId="7004"/>
    <cellStyle name="Comma 7 4 4" xfId="7005"/>
    <cellStyle name="Comma 7 4 5" xfId="7006"/>
    <cellStyle name="Comma 7 5" xfId="7007"/>
    <cellStyle name="Comma 7 5 2" xfId="7008"/>
    <cellStyle name="Comma 7 5 2 2" xfId="7009"/>
    <cellStyle name="Comma 7 5 2 2 2" xfId="7010"/>
    <cellStyle name="Comma 7 5 2 3" xfId="7011"/>
    <cellStyle name="Comma 7 5 2 4" xfId="7012"/>
    <cellStyle name="Comma 7 5 3" xfId="7013"/>
    <cellStyle name="Comma 7 5 3 2" xfId="7014"/>
    <cellStyle name="Comma 7 5 4" xfId="7015"/>
    <cellStyle name="Comma 7 5 5" xfId="7016"/>
    <cellStyle name="Comma 7 6" xfId="7017"/>
    <cellStyle name="Comma 7 6 2" xfId="7018"/>
    <cellStyle name="Comma 7 6 2 2" xfId="7019"/>
    <cellStyle name="Comma 7 6 2 2 2" xfId="7020"/>
    <cellStyle name="Comma 7 6 2 3" xfId="7021"/>
    <cellStyle name="Comma 7 6 2 4" xfId="7022"/>
    <cellStyle name="Comma 7 6 3" xfId="7023"/>
    <cellStyle name="Comma 7 6 3 2" xfId="7024"/>
    <cellStyle name="Comma 7 6 4" xfId="7025"/>
    <cellStyle name="Comma 7 6 5" xfId="7026"/>
    <cellStyle name="Comma 7 7" xfId="7027"/>
    <cellStyle name="Comma 7 7 2" xfId="7028"/>
    <cellStyle name="Comma 7 7 2 2" xfId="7029"/>
    <cellStyle name="Comma 7 7 3" xfId="7030"/>
    <cellStyle name="Comma 7 7 4" xfId="7031"/>
    <cellStyle name="Comma 7 8" xfId="7032"/>
    <cellStyle name="Comma 70" xfId="7033"/>
    <cellStyle name="Comma 71" xfId="7034"/>
    <cellStyle name="Comma 71 2" xfId="7035"/>
    <cellStyle name="Comma 72" xfId="7036"/>
    <cellStyle name="Comma 73" xfId="7037"/>
    <cellStyle name="Comma 73 2" xfId="7038"/>
    <cellStyle name="Comma 73 3" xfId="7039"/>
    <cellStyle name="Comma 74" xfId="7040"/>
    <cellStyle name="Comma 74 2" xfId="7041"/>
    <cellStyle name="Comma 74 3" xfId="7042"/>
    <cellStyle name="Comma 75" xfId="7043"/>
    <cellStyle name="Comma 76" xfId="7044"/>
    <cellStyle name="Comma 77" xfId="7045"/>
    <cellStyle name="Comma 78" xfId="7046"/>
    <cellStyle name="Comma 79" xfId="7047"/>
    <cellStyle name="Comma 8" xfId="1352"/>
    <cellStyle name="Comma 8 2" xfId="7048"/>
    <cellStyle name="Comma 8 2 2" xfId="7049"/>
    <cellStyle name="Comma 8 2 2 2" xfId="7050"/>
    <cellStyle name="Comma 8 2 2 2 2" xfId="7051"/>
    <cellStyle name="Comma 8 2 2 3" xfId="7052"/>
    <cellStyle name="Comma 8 2 2 3 2" xfId="7053"/>
    <cellStyle name="Comma 8 2 2 4" xfId="7054"/>
    <cellStyle name="Comma 8 2 2 5" xfId="7055"/>
    <cellStyle name="Comma 8 2 3" xfId="7056"/>
    <cellStyle name="Comma 8 2 3 2" xfId="7057"/>
    <cellStyle name="Comma 8 2 3 3" xfId="7058"/>
    <cellStyle name="Comma 8 2 3 4" xfId="7059"/>
    <cellStyle name="Comma 8 2 3 5" xfId="7060"/>
    <cellStyle name="Comma 8 2 4" xfId="7061"/>
    <cellStyle name="Comma 8 2 4 2" xfId="7062"/>
    <cellStyle name="Comma 8 2 5" xfId="7063"/>
    <cellStyle name="Comma 8 2 6" xfId="7064"/>
    <cellStyle name="Comma 8 2 7" xfId="7065"/>
    <cellStyle name="Comma 8 2 8" xfId="7066"/>
    <cellStyle name="Comma 8 3" xfId="7067"/>
    <cellStyle name="Comma 8 3 2" xfId="7068"/>
    <cellStyle name="Comma 8 3 2 2" xfId="7069"/>
    <cellStyle name="Comma 8 3 3" xfId="7070"/>
    <cellStyle name="Comma 8 3 3 2" xfId="7071"/>
    <cellStyle name="Comma 8 3 4" xfId="7072"/>
    <cellStyle name="Comma 8 3 5" xfId="7073"/>
    <cellStyle name="Comma 8 4" xfId="7074"/>
    <cellStyle name="Comma 8 4 2" xfId="7075"/>
    <cellStyle name="Comma 8 4 3" xfId="7076"/>
    <cellStyle name="Comma 8 4 3 2" xfId="7077"/>
    <cellStyle name="Comma 8 4 4" xfId="7078"/>
    <cellStyle name="Comma 8 4 5" xfId="7079"/>
    <cellStyle name="Comma 8 5" xfId="7080"/>
    <cellStyle name="Comma 8 5 2" xfId="7081"/>
    <cellStyle name="Comma 8 6" xfId="7082"/>
    <cellStyle name="Comma 8 7" xfId="7083"/>
    <cellStyle name="Comma 8 8" xfId="7084"/>
    <cellStyle name="Comma 8 9" xfId="7085"/>
    <cellStyle name="Comma 80" xfId="7086"/>
    <cellStyle name="Comma 81" xfId="7087"/>
    <cellStyle name="Comma 82" xfId="7088"/>
    <cellStyle name="Comma 83" xfId="7089"/>
    <cellStyle name="Comma 84" xfId="7090"/>
    <cellStyle name="Comma 85" xfId="7091"/>
    <cellStyle name="Comma 86" xfId="7092"/>
    <cellStyle name="Comma 87" xfId="7093"/>
    <cellStyle name="Comma 9" xfId="1353"/>
    <cellStyle name="Comma 9 2" xfId="7094"/>
    <cellStyle name="Comma 9 2 2" xfId="7095"/>
    <cellStyle name="Comma 9 2 2 2" xfId="7096"/>
    <cellStyle name="Comma 9 2 2 2 2" xfId="7097"/>
    <cellStyle name="Comma 9 2 2 2 2 2" xfId="7098"/>
    <cellStyle name="Comma 9 2 2 2 2 2 2" xfId="7099"/>
    <cellStyle name="Comma 9 2 2 2 2 3" xfId="7100"/>
    <cellStyle name="Comma 9 2 2 2 3" xfId="7101"/>
    <cellStyle name="Comma 9 2 2 2 3 2" xfId="7102"/>
    <cellStyle name="Comma 9 2 2 2 4" xfId="7103"/>
    <cellStyle name="Comma 9 2 2 3" xfId="7104"/>
    <cellStyle name="Comma 9 2 2 3 2" xfId="7105"/>
    <cellStyle name="Comma 9 2 2 3 2 2" xfId="7106"/>
    <cellStyle name="Comma 9 2 2 3 3" xfId="7107"/>
    <cellStyle name="Comma 9 2 2 4" xfId="7108"/>
    <cellStyle name="Comma 9 2 2 4 2" xfId="7109"/>
    <cellStyle name="Comma 9 2 2 5" xfId="7110"/>
    <cellStyle name="Comma 9 2 2 6" xfId="7111"/>
    <cellStyle name="Comma 9 2 3" xfId="7112"/>
    <cellStyle name="Comma 9 2 3 2" xfId="7113"/>
    <cellStyle name="Comma 9 2 3 2 2" xfId="7114"/>
    <cellStyle name="Comma 9 2 3 2 2 2" xfId="7115"/>
    <cellStyle name="Comma 9 2 3 2 3" xfId="7116"/>
    <cellStyle name="Comma 9 2 3 3" xfId="7117"/>
    <cellStyle name="Comma 9 2 3 3 2" xfId="7118"/>
    <cellStyle name="Comma 9 2 3 4" xfId="7119"/>
    <cellStyle name="Comma 9 2 4" xfId="7120"/>
    <cellStyle name="Comma 9 2 4 2" xfId="7121"/>
    <cellStyle name="Comma 9 2 4 2 2" xfId="7122"/>
    <cellStyle name="Comma 9 2 4 3" xfId="7123"/>
    <cellStyle name="Comma 9 2 5" xfId="7124"/>
    <cellStyle name="Comma 9 2 5 2" xfId="7125"/>
    <cellStyle name="Comma 9 2 6" xfId="7126"/>
    <cellStyle name="Comma 9 2 7" xfId="7127"/>
    <cellStyle name="Comma 9 3" xfId="7128"/>
    <cellStyle name="Comma 9 3 2" xfId="7129"/>
    <cellStyle name="Comma 9 3 2 2" xfId="7130"/>
    <cellStyle name="Comma 9 3 2 2 2" xfId="7131"/>
    <cellStyle name="Comma 9 3 2 2 2 2" xfId="7132"/>
    <cellStyle name="Comma 9 3 2 2 3" xfId="7133"/>
    <cellStyle name="Comma 9 3 2 3" xfId="7134"/>
    <cellStyle name="Comma 9 3 2 3 2" xfId="7135"/>
    <cellStyle name="Comma 9 3 2 4" xfId="7136"/>
    <cellStyle name="Comma 9 3 3" xfId="7137"/>
    <cellStyle name="Comma 9 3 3 2" xfId="7138"/>
    <cellStyle name="Comma 9 3 3 2 2" xfId="7139"/>
    <cellStyle name="Comma 9 3 3 3" xfId="7140"/>
    <cellStyle name="Comma 9 3 4" xfId="7141"/>
    <cellStyle name="Comma 9 3 4 2" xfId="7142"/>
    <cellStyle name="Comma 9 3 5" xfId="7143"/>
    <cellStyle name="Comma 9 3 6" xfId="7144"/>
    <cellStyle name="Comma 9 4" xfId="7145"/>
    <cellStyle name="Comma 9 4 2" xfId="7146"/>
    <cellStyle name="Comma 9 4 2 2" xfId="7147"/>
    <cellStyle name="Comma 9 4 2 2 2" xfId="7148"/>
    <cellStyle name="Comma 9 4 2 3" xfId="7149"/>
    <cellStyle name="Comma 9 4 3" xfId="7150"/>
    <cellStyle name="Comma 9 4 3 2" xfId="7151"/>
    <cellStyle name="Comma 9 4 4" xfId="7152"/>
    <cellStyle name="Comma 9 5" xfId="7153"/>
    <cellStyle name="Comma 9 5 2" xfId="7154"/>
    <cellStyle name="Comma 9 5 2 2" xfId="7155"/>
    <cellStyle name="Comma 9 5 3" xfId="7156"/>
    <cellStyle name="Comma 9 6" xfId="7157"/>
    <cellStyle name="Comma 9 6 2" xfId="7158"/>
    <cellStyle name="Comma 9 7" xfId="7159"/>
    <cellStyle name="Comma 9 8" xfId="7160"/>
    <cellStyle name="Comma 9 9" xfId="7161"/>
    <cellStyle name="Comma0" xfId="1354"/>
    <cellStyle name="Comma0 2" xfId="7162"/>
    <cellStyle name="Comma0 2 2" xfId="7163"/>
    <cellStyle name="Comma0 2 2 2" xfId="7164"/>
    <cellStyle name="Comma0 2 3" xfId="7165"/>
    <cellStyle name="Comma0 2 4" xfId="7166"/>
    <cellStyle name="Comma0 3" xfId="7167"/>
    <cellStyle name="Comma0 3 2" xfId="7168"/>
    <cellStyle name="Comma0 3 2 2" xfId="7169"/>
    <cellStyle name="Comma0 3 3" xfId="7170"/>
    <cellStyle name="Comma0 3 4" xfId="7171"/>
    <cellStyle name="Comma0 4" xfId="7172"/>
    <cellStyle name="Comma0_SCH11 Not Done" xfId="7173"/>
    <cellStyle name="Currency" xfId="2" builtinId="4"/>
    <cellStyle name="Currency [0] 2" xfId="7174"/>
    <cellStyle name="Currency [0] 2 2" xfId="7175"/>
    <cellStyle name="Currency [0] 2 2 2" xfId="7176"/>
    <cellStyle name="Currency [0] 2 2 2 2" xfId="7177"/>
    <cellStyle name="Currency [0] 2 2 3" xfId="7178"/>
    <cellStyle name="Currency [0] 2 2 4" xfId="7179"/>
    <cellStyle name="Currency [0] 2 3" xfId="7180"/>
    <cellStyle name="Currency [0] 2 3 2" xfId="7181"/>
    <cellStyle name="Currency [0] 2 4" xfId="7182"/>
    <cellStyle name="Currency [0] 2 4 2" xfId="7183"/>
    <cellStyle name="Currency [0] 2 5" xfId="7184"/>
    <cellStyle name="Currency [0] 2 6" xfId="7185"/>
    <cellStyle name="Currency [0] 3" xfId="7186"/>
    <cellStyle name="Currency [0] 3 2" xfId="7187"/>
    <cellStyle name="Currency [0] 3 2 2" xfId="7188"/>
    <cellStyle name="Currency [0] 3 3" xfId="7189"/>
    <cellStyle name="Currency [0] 3 4" xfId="7190"/>
    <cellStyle name="Currency [0] 4" xfId="7191"/>
    <cellStyle name="Currency [0] 4 2" xfId="7192"/>
    <cellStyle name="Currency [0] 5" xfId="7193"/>
    <cellStyle name="Currency [0] 5 2" xfId="7194"/>
    <cellStyle name="Currency 10" xfId="7195"/>
    <cellStyle name="Currency 10 2" xfId="7196"/>
    <cellStyle name="Currency 10 2 2" xfId="7197"/>
    <cellStyle name="Currency 10 2 3" xfId="7198"/>
    <cellStyle name="Currency 10 3" xfId="7199"/>
    <cellStyle name="Currency 10 3 2" xfId="7200"/>
    <cellStyle name="Currency 10 4" xfId="7201"/>
    <cellStyle name="Currency 10 5" xfId="7202"/>
    <cellStyle name="Currency 10 6" xfId="7203"/>
    <cellStyle name="Currency 100" xfId="7204"/>
    <cellStyle name="Currency 101" xfId="7205"/>
    <cellStyle name="Currency 102" xfId="7206"/>
    <cellStyle name="Currency 103" xfId="7207"/>
    <cellStyle name="Currency 104" xfId="7208"/>
    <cellStyle name="Currency 105" xfId="7209"/>
    <cellStyle name="Currency 106" xfId="7210"/>
    <cellStyle name="Currency 107" xfId="7211"/>
    <cellStyle name="Currency 108" xfId="7212"/>
    <cellStyle name="Currency 109" xfId="7213"/>
    <cellStyle name="Currency 11" xfId="7214"/>
    <cellStyle name="Currency 11 2" xfId="7215"/>
    <cellStyle name="Currency 11 2 2" xfId="7216"/>
    <cellStyle name="Currency 11 3" xfId="7217"/>
    <cellStyle name="Currency 11 3 2" xfId="7218"/>
    <cellStyle name="Currency 11 4" xfId="7219"/>
    <cellStyle name="Currency 11 5" xfId="7220"/>
    <cellStyle name="Currency 110" xfId="7221"/>
    <cellStyle name="Currency 111" xfId="7222"/>
    <cellStyle name="Currency 112" xfId="7223"/>
    <cellStyle name="Currency 113" xfId="7224"/>
    <cellStyle name="Currency 114" xfId="7225"/>
    <cellStyle name="Currency 115" xfId="7226"/>
    <cellStyle name="Currency 116" xfId="7227"/>
    <cellStyle name="Currency 117" xfId="7228"/>
    <cellStyle name="Currency 118" xfId="7229"/>
    <cellStyle name="Currency 119" xfId="7230"/>
    <cellStyle name="Currency 12" xfId="7231"/>
    <cellStyle name="Currency 12 2" xfId="7232"/>
    <cellStyle name="Currency 12 2 2" xfId="7233"/>
    <cellStyle name="Currency 12 3" xfId="7234"/>
    <cellStyle name="Currency 12 3 2" xfId="7235"/>
    <cellStyle name="Currency 12 4" xfId="7236"/>
    <cellStyle name="Currency 12 5" xfId="7237"/>
    <cellStyle name="Currency 120" xfId="7238"/>
    <cellStyle name="Currency 120 2" xfId="7239"/>
    <cellStyle name="Currency 120 3" xfId="7240"/>
    <cellStyle name="Currency 121" xfId="7241"/>
    <cellStyle name="Currency 121 2" xfId="7242"/>
    <cellStyle name="Currency 121 3" xfId="7243"/>
    <cellStyle name="Currency 122" xfId="7244"/>
    <cellStyle name="Currency 122 2" xfId="7245"/>
    <cellStyle name="Currency 123" xfId="7246"/>
    <cellStyle name="Currency 123 2" xfId="7247"/>
    <cellStyle name="Currency 124" xfId="7248"/>
    <cellStyle name="Currency 124 2" xfId="7249"/>
    <cellStyle name="Currency 125" xfId="7250"/>
    <cellStyle name="Currency 126" xfId="7251"/>
    <cellStyle name="Currency 127" xfId="7252"/>
    <cellStyle name="Currency 128" xfId="7253"/>
    <cellStyle name="Currency 129" xfId="7254"/>
    <cellStyle name="Currency 13" xfId="7255"/>
    <cellStyle name="Currency 13 2" xfId="7256"/>
    <cellStyle name="Currency 13 2 2" xfId="7257"/>
    <cellStyle name="Currency 13 3" xfId="7258"/>
    <cellStyle name="Currency 13 3 2" xfId="7259"/>
    <cellStyle name="Currency 13 4" xfId="7260"/>
    <cellStyle name="Currency 13 5" xfId="7261"/>
    <cellStyle name="Currency 130" xfId="7262"/>
    <cellStyle name="Currency 131" xfId="7263"/>
    <cellStyle name="Currency 132" xfId="7264"/>
    <cellStyle name="Currency 133" xfId="7265"/>
    <cellStyle name="Currency 134" xfId="7266"/>
    <cellStyle name="Currency 135" xfId="7267"/>
    <cellStyle name="Currency 136" xfId="7268"/>
    <cellStyle name="Currency 136 2" xfId="7269"/>
    <cellStyle name="Currency 137" xfId="7270"/>
    <cellStyle name="Currency 138" xfId="7271"/>
    <cellStyle name="Currency 139" xfId="7272"/>
    <cellStyle name="Currency 14" xfId="7273"/>
    <cellStyle name="Currency 14 2" xfId="7274"/>
    <cellStyle name="Currency 14 2 2" xfId="7275"/>
    <cellStyle name="Currency 14 3" xfId="7276"/>
    <cellStyle name="Currency 14 3 2" xfId="7277"/>
    <cellStyle name="Currency 14 4" xfId="7278"/>
    <cellStyle name="Currency 14 5" xfId="7279"/>
    <cellStyle name="Currency 140" xfId="7280"/>
    <cellStyle name="Currency 141" xfId="7281"/>
    <cellStyle name="Currency 142" xfId="7282"/>
    <cellStyle name="Currency 143" xfId="7283"/>
    <cellStyle name="Currency 144" xfId="7284"/>
    <cellStyle name="Currency 145" xfId="7285"/>
    <cellStyle name="Currency 146" xfId="7286"/>
    <cellStyle name="Currency 147" xfId="7287"/>
    <cellStyle name="Currency 148" xfId="7288"/>
    <cellStyle name="Currency 149" xfId="7289"/>
    <cellStyle name="Currency 15" xfId="7290"/>
    <cellStyle name="Currency 15 2" xfId="7291"/>
    <cellStyle name="Currency 15 2 2" xfId="7292"/>
    <cellStyle name="Currency 15 3" xfId="7293"/>
    <cellStyle name="Currency 15 3 2" xfId="7294"/>
    <cellStyle name="Currency 15 4" xfId="7295"/>
    <cellStyle name="Currency 15 5" xfId="7296"/>
    <cellStyle name="Currency 150" xfId="7297"/>
    <cellStyle name="Currency 150 2" xfId="7298"/>
    <cellStyle name="Currency 151" xfId="7299"/>
    <cellStyle name="Currency 152" xfId="7300"/>
    <cellStyle name="Currency 153" xfId="7301"/>
    <cellStyle name="Currency 154" xfId="7302"/>
    <cellStyle name="Currency 155" xfId="7303"/>
    <cellStyle name="Currency 156" xfId="7304"/>
    <cellStyle name="Currency 157" xfId="7305"/>
    <cellStyle name="Currency 158" xfId="7306"/>
    <cellStyle name="Currency 159" xfId="7307"/>
    <cellStyle name="Currency 16" xfId="7308"/>
    <cellStyle name="Currency 16 2" xfId="7309"/>
    <cellStyle name="Currency 16 2 2" xfId="7310"/>
    <cellStyle name="Currency 16 3" xfId="7311"/>
    <cellStyle name="Currency 16 3 2" xfId="7312"/>
    <cellStyle name="Currency 16 4" xfId="7313"/>
    <cellStyle name="Currency 16 5" xfId="7314"/>
    <cellStyle name="Currency 160" xfId="7315"/>
    <cellStyle name="Currency 161" xfId="7316"/>
    <cellStyle name="Currency 162" xfId="7317"/>
    <cellStyle name="Currency 163" xfId="7318"/>
    <cellStyle name="Currency 17" xfId="7319"/>
    <cellStyle name="Currency 17 2" xfId="7320"/>
    <cellStyle name="Currency 17 2 2" xfId="7321"/>
    <cellStyle name="Currency 17 3" xfId="7322"/>
    <cellStyle name="Currency 17 3 2" xfId="7323"/>
    <cellStyle name="Currency 17 4" xfId="7324"/>
    <cellStyle name="Currency 17 5" xfId="7325"/>
    <cellStyle name="Currency 18" xfId="7326"/>
    <cellStyle name="Currency 18 2" xfId="7327"/>
    <cellStyle name="Currency 18 2 2" xfId="7328"/>
    <cellStyle name="Currency 18 3" xfId="7329"/>
    <cellStyle name="Currency 18 3 2" xfId="7330"/>
    <cellStyle name="Currency 18 4" xfId="7331"/>
    <cellStyle name="Currency 18 5" xfId="7332"/>
    <cellStyle name="Currency 19" xfId="7333"/>
    <cellStyle name="Currency 19 2" xfId="7334"/>
    <cellStyle name="Currency 19 2 2" xfId="7335"/>
    <cellStyle name="Currency 19 3" xfId="7336"/>
    <cellStyle name="Currency 19 3 2" xfId="7337"/>
    <cellStyle name="Currency 19 4" xfId="7338"/>
    <cellStyle name="Currency 19 5" xfId="7339"/>
    <cellStyle name="Currency 2" xfId="1355"/>
    <cellStyle name="Currency 2 2" xfId="1356"/>
    <cellStyle name="Currency 2 2 2" xfId="7340"/>
    <cellStyle name="Currency 2 2 2 2" xfId="7341"/>
    <cellStyle name="Currency 2 2 3" xfId="7342"/>
    <cellStyle name="Currency 2 3" xfId="1357"/>
    <cellStyle name="Currency 2 3 2" xfId="7343"/>
    <cellStyle name="Currency 2 3 2 2" xfId="7344"/>
    <cellStyle name="Currency 2 3 3" xfId="7345"/>
    <cellStyle name="Currency 2 4" xfId="1358"/>
    <cellStyle name="Currency 2 5" xfId="1359"/>
    <cellStyle name="Currency 20" xfId="7346"/>
    <cellStyle name="Currency 20 2" xfId="7347"/>
    <cellStyle name="Currency 20 2 2" xfId="7348"/>
    <cellStyle name="Currency 20 3" xfId="7349"/>
    <cellStyle name="Currency 20 3 2" xfId="7350"/>
    <cellStyle name="Currency 20 4" xfId="7351"/>
    <cellStyle name="Currency 20 5" xfId="7352"/>
    <cellStyle name="Currency 21" xfId="7353"/>
    <cellStyle name="Currency 21 2" xfId="7354"/>
    <cellStyle name="Currency 21 2 2" xfId="7355"/>
    <cellStyle name="Currency 21 3" xfId="7356"/>
    <cellStyle name="Currency 21 3 2" xfId="7357"/>
    <cellStyle name="Currency 21 4" xfId="7358"/>
    <cellStyle name="Currency 21 5" xfId="7359"/>
    <cellStyle name="Currency 22" xfId="7360"/>
    <cellStyle name="Currency 22 2" xfId="7361"/>
    <cellStyle name="Currency 22 2 2" xfId="7362"/>
    <cellStyle name="Currency 22 3" xfId="7363"/>
    <cellStyle name="Currency 22 3 2" xfId="7364"/>
    <cellStyle name="Currency 22 4" xfId="7365"/>
    <cellStyle name="Currency 22 5" xfId="7366"/>
    <cellStyle name="Currency 23" xfId="7367"/>
    <cellStyle name="Currency 23 2" xfId="7368"/>
    <cellStyle name="Currency 23 2 2" xfId="7369"/>
    <cellStyle name="Currency 23 3" xfId="7370"/>
    <cellStyle name="Currency 23 3 2" xfId="7371"/>
    <cellStyle name="Currency 23 4" xfId="7372"/>
    <cellStyle name="Currency 23 5" xfId="7373"/>
    <cellStyle name="Currency 24" xfId="7374"/>
    <cellStyle name="Currency 24 2" xfId="7375"/>
    <cellStyle name="Currency 24 2 2" xfId="7376"/>
    <cellStyle name="Currency 24 3" xfId="7377"/>
    <cellStyle name="Currency 24 3 2" xfId="7378"/>
    <cellStyle name="Currency 24 4" xfId="7379"/>
    <cellStyle name="Currency 24 5" xfId="7380"/>
    <cellStyle name="Currency 25" xfId="7381"/>
    <cellStyle name="Currency 25 2" xfId="7382"/>
    <cellStyle name="Currency 25 2 2" xfId="7383"/>
    <cellStyle name="Currency 25 3" xfId="7384"/>
    <cellStyle name="Currency 25 3 2" xfId="7385"/>
    <cellStyle name="Currency 25 4" xfId="7386"/>
    <cellStyle name="Currency 25 5" xfId="7387"/>
    <cellStyle name="Currency 26" xfId="7388"/>
    <cellStyle name="Currency 26 2" xfId="7389"/>
    <cellStyle name="Currency 26 2 2" xfId="7390"/>
    <cellStyle name="Currency 26 3" xfId="7391"/>
    <cellStyle name="Currency 26 3 2" xfId="7392"/>
    <cellStyle name="Currency 26 4" xfId="7393"/>
    <cellStyle name="Currency 26 5" xfId="7394"/>
    <cellStyle name="Currency 27" xfId="7395"/>
    <cellStyle name="Currency 27 2" xfId="7396"/>
    <cellStyle name="Currency 27 2 2" xfId="7397"/>
    <cellStyle name="Currency 27 2 2 2" xfId="7398"/>
    <cellStyle name="Currency 27 2 3" xfId="7399"/>
    <cellStyle name="Currency 27 2 4" xfId="7400"/>
    <cellStyle name="Currency 27 3" xfId="7401"/>
    <cellStyle name="Currency 27 3 2" xfId="7402"/>
    <cellStyle name="Currency 27 4" xfId="7403"/>
    <cellStyle name="Currency 27 4 2" xfId="7404"/>
    <cellStyle name="Currency 27 5" xfId="7405"/>
    <cellStyle name="Currency 27 6" xfId="7406"/>
    <cellStyle name="Currency 28" xfId="7407"/>
    <cellStyle name="Currency 28 2" xfId="7408"/>
    <cellStyle name="Currency 28 2 2" xfId="7409"/>
    <cellStyle name="Currency 28 3" xfId="7410"/>
    <cellStyle name="Currency 28 3 2" xfId="7411"/>
    <cellStyle name="Currency 28 4" xfId="7412"/>
    <cellStyle name="Currency 28 5" xfId="7413"/>
    <cellStyle name="Currency 29" xfId="7414"/>
    <cellStyle name="Currency 29 2" xfId="7415"/>
    <cellStyle name="Currency 29 2 2" xfId="7416"/>
    <cellStyle name="Currency 29 3" xfId="7417"/>
    <cellStyle name="Currency 29 3 2" xfId="7418"/>
    <cellStyle name="Currency 29 4" xfId="7419"/>
    <cellStyle name="Currency 29 5" xfId="7420"/>
    <cellStyle name="Currency 3" xfId="1360"/>
    <cellStyle name="Currency 3 2" xfId="1361"/>
    <cellStyle name="Currency 3 2 2" xfId="7421"/>
    <cellStyle name="Currency 3 2 2 2" xfId="7422"/>
    <cellStyle name="Currency 3 2 2 2 2" xfId="7423"/>
    <cellStyle name="Currency 3 2 2 3" xfId="7424"/>
    <cellStyle name="Currency 3 2 2 3 2" xfId="7425"/>
    <cellStyle name="Currency 3 2 2 4" xfId="7426"/>
    <cellStyle name="Currency 3 2 2 5" xfId="7427"/>
    <cellStyle name="Currency 3 2 2 6" xfId="7428"/>
    <cellStyle name="Currency 3 2 3" xfId="7429"/>
    <cellStyle name="Currency 3 2 3 2" xfId="7430"/>
    <cellStyle name="Currency 3 2 3 3" xfId="7431"/>
    <cellStyle name="Currency 3 2 3 4" xfId="7432"/>
    <cellStyle name="Currency 3 2 4" xfId="7433"/>
    <cellStyle name="Currency 3 2 5" xfId="7434"/>
    <cellStyle name="Currency 3 3" xfId="1362"/>
    <cellStyle name="Currency 3 3 2" xfId="7435"/>
    <cellStyle name="Currency 3 3 2 2" xfId="7436"/>
    <cellStyle name="Currency 3 3 3" xfId="7437"/>
    <cellStyle name="Currency 3 3 3 2" xfId="7438"/>
    <cellStyle name="Currency 3 3 4" xfId="7439"/>
    <cellStyle name="Currency 3 3 5" xfId="7440"/>
    <cellStyle name="Currency 3 4" xfId="1363"/>
    <cellStyle name="Currency 3 4 2" xfId="7441"/>
    <cellStyle name="Currency 3 4 3" xfId="7442"/>
    <cellStyle name="Currency 3 4 3 2" xfId="7443"/>
    <cellStyle name="Currency 3 4 4" xfId="7444"/>
    <cellStyle name="Currency 3 4 5" xfId="7445"/>
    <cellStyle name="Currency 3 5" xfId="1364"/>
    <cellStyle name="Currency 3 6" xfId="7446"/>
    <cellStyle name="Currency 30" xfId="7447"/>
    <cellStyle name="Currency 30 2" xfId="7448"/>
    <cellStyle name="Currency 30 2 2" xfId="7449"/>
    <cellStyle name="Currency 30 3" xfId="7450"/>
    <cellStyle name="Currency 30 3 2" xfId="7451"/>
    <cellStyle name="Currency 30 4" xfId="7452"/>
    <cellStyle name="Currency 30 5" xfId="7453"/>
    <cellStyle name="Currency 31" xfId="7454"/>
    <cellStyle name="Currency 31 2" xfId="7455"/>
    <cellStyle name="Currency 31 2 2" xfId="7456"/>
    <cellStyle name="Currency 31 3" xfId="7457"/>
    <cellStyle name="Currency 31 3 2" xfId="7458"/>
    <cellStyle name="Currency 31 4" xfId="7459"/>
    <cellStyle name="Currency 31 5" xfId="7460"/>
    <cellStyle name="Currency 32" xfId="7461"/>
    <cellStyle name="Currency 32 2" xfId="7462"/>
    <cellStyle name="Currency 32 2 2" xfId="7463"/>
    <cellStyle name="Currency 32 3" xfId="7464"/>
    <cellStyle name="Currency 32 3 2" xfId="7465"/>
    <cellStyle name="Currency 32 4" xfId="7466"/>
    <cellStyle name="Currency 32 5" xfId="7467"/>
    <cellStyle name="Currency 33" xfId="7468"/>
    <cellStyle name="Currency 34" xfId="7469"/>
    <cellStyle name="Currency 35" xfId="7470"/>
    <cellStyle name="Currency 36" xfId="7471"/>
    <cellStyle name="Currency 37" xfId="7472"/>
    <cellStyle name="Currency 38" xfId="7473"/>
    <cellStyle name="Currency 39" xfId="7474"/>
    <cellStyle name="Currency 4" xfId="1365"/>
    <cellStyle name="Currency 4 2" xfId="7475"/>
    <cellStyle name="Currency 4 2 2" xfId="7476"/>
    <cellStyle name="Currency 4 2 2 2" xfId="7477"/>
    <cellStyle name="Currency 4 2 2 2 2" xfId="7478"/>
    <cellStyle name="Currency 4 2 2 3" xfId="7479"/>
    <cellStyle name="Currency 4 2 2 4" xfId="7480"/>
    <cellStyle name="Currency 4 2 3" xfId="7481"/>
    <cellStyle name="Currency 4 2 3 2" xfId="7482"/>
    <cellStyle name="Currency 4 2 3 2 2" xfId="7483"/>
    <cellStyle name="Currency 4 2 3 3" xfId="7484"/>
    <cellStyle name="Currency 4 2 3 4" xfId="7485"/>
    <cellStyle name="Currency 4 2 4" xfId="7486"/>
    <cellStyle name="Currency 4 2 4 2" xfId="7487"/>
    <cellStyle name="Currency 4 2 4 3" xfId="7488"/>
    <cellStyle name="Currency 4 2 4 4" xfId="7489"/>
    <cellStyle name="Currency 4 2 5" xfId="7490"/>
    <cellStyle name="Currency 4 2 6" xfId="7491"/>
    <cellStyle name="Currency 4 3" xfId="7492"/>
    <cellStyle name="Currency 4 3 2" xfId="7493"/>
    <cellStyle name="Currency 4 3 2 2" xfId="7494"/>
    <cellStyle name="Currency 4 3 3" xfId="7495"/>
    <cellStyle name="Currency 4 3 4" xfId="7496"/>
    <cellStyle name="Currency 4 3 5" xfId="7497"/>
    <cellStyle name="Currency 4 4" xfId="7498"/>
    <cellStyle name="Currency 4 4 2" xfId="7499"/>
    <cellStyle name="Currency 4 4 2 2" xfId="7500"/>
    <cellStyle name="Currency 4 4 3" xfId="7501"/>
    <cellStyle name="Currency 4 4 4" xfId="7502"/>
    <cellStyle name="Currency 4 5" xfId="7503"/>
    <cellStyle name="Currency 40" xfId="7504"/>
    <cellStyle name="Currency 41" xfId="7505"/>
    <cellStyle name="Currency 42" xfId="7506"/>
    <cellStyle name="Currency 43" xfId="7507"/>
    <cellStyle name="Currency 44" xfId="7508"/>
    <cellStyle name="Currency 45" xfId="7509"/>
    <cellStyle name="Currency 46" xfId="7510"/>
    <cellStyle name="Currency 47" xfId="7511"/>
    <cellStyle name="Currency 48" xfId="7512"/>
    <cellStyle name="Currency 49" xfId="7513"/>
    <cellStyle name="Currency 5" xfId="2112"/>
    <cellStyle name="Currency 5 2" xfId="7514"/>
    <cellStyle name="Currency 5 2 2" xfId="7515"/>
    <cellStyle name="Currency 5 2 2 2" xfId="7516"/>
    <cellStyle name="Currency 5 2 2 3" xfId="7517"/>
    <cellStyle name="Currency 5 2 2 4" xfId="7518"/>
    <cellStyle name="Currency 5 2 3" xfId="7519"/>
    <cellStyle name="Currency 5 2 3 2" xfId="7520"/>
    <cellStyle name="Currency 5 2 4" xfId="7521"/>
    <cellStyle name="Currency 5 2 5" xfId="7522"/>
    <cellStyle name="Currency 5 2 6" xfId="7523"/>
    <cellStyle name="Currency 5 2 7" xfId="7524"/>
    <cellStyle name="Currency 5 3" xfId="7525"/>
    <cellStyle name="Currency 5 3 2" xfId="7526"/>
    <cellStyle name="Currency 5 3 3" xfId="7527"/>
    <cellStyle name="Currency 5 3 4" xfId="7528"/>
    <cellStyle name="Currency 5 4" xfId="7529"/>
    <cellStyle name="Currency 5 4 2" xfId="7530"/>
    <cellStyle name="Currency 5 5" xfId="7531"/>
    <cellStyle name="Currency 5 6" xfId="7532"/>
    <cellStyle name="Currency 5 7" xfId="7533"/>
    <cellStyle name="Currency 5 8" xfId="7534"/>
    <cellStyle name="Currency 50" xfId="7535"/>
    <cellStyle name="Currency 51" xfId="7536"/>
    <cellStyle name="Currency 52" xfId="7537"/>
    <cellStyle name="Currency 53" xfId="7538"/>
    <cellStyle name="Currency 54" xfId="7539"/>
    <cellStyle name="Currency 55" xfId="7540"/>
    <cellStyle name="Currency 56" xfId="7541"/>
    <cellStyle name="Currency 56 2" xfId="7542"/>
    <cellStyle name="Currency 57" xfId="7543"/>
    <cellStyle name="Currency 57 2" xfId="7544"/>
    <cellStyle name="Currency 58" xfId="7545"/>
    <cellStyle name="Currency 59" xfId="7546"/>
    <cellStyle name="Currency 6" xfId="7547"/>
    <cellStyle name="Currency 6 2" xfId="7548"/>
    <cellStyle name="Currency 6 2 2" xfId="7549"/>
    <cellStyle name="Currency 6 2 2 2" xfId="7550"/>
    <cellStyle name="Currency 6 2 2 2 2" xfId="7551"/>
    <cellStyle name="Currency 6 2 2 2 3" xfId="7552"/>
    <cellStyle name="Currency 6 2 2 3" xfId="7553"/>
    <cellStyle name="Currency 6 2 2 3 2" xfId="7554"/>
    <cellStyle name="Currency 6 2 2 4" xfId="7555"/>
    <cellStyle name="Currency 6 2 2 5" xfId="7556"/>
    <cellStyle name="Currency 6 2 2 6" xfId="7557"/>
    <cellStyle name="Currency 6 2 3" xfId="7558"/>
    <cellStyle name="Currency 6 2 3 2" xfId="7559"/>
    <cellStyle name="Currency 6 2 3 3" xfId="7560"/>
    <cellStyle name="Currency 6 2 4" xfId="7561"/>
    <cellStyle name="Currency 6 2 4 2" xfId="7562"/>
    <cellStyle name="Currency 6 2 5" xfId="7563"/>
    <cellStyle name="Currency 6 3" xfId="7564"/>
    <cellStyle name="Currency 6 3 2" xfId="7565"/>
    <cellStyle name="Currency 6 3 2 2" xfId="7566"/>
    <cellStyle name="Currency 6 3 2 2 2" xfId="7567"/>
    <cellStyle name="Currency 6 3 2 3" xfId="7568"/>
    <cellStyle name="Currency 6 3 2 4" xfId="7569"/>
    <cellStyle name="Currency 6 3 2 5" xfId="7570"/>
    <cellStyle name="Currency 6 3 3" xfId="7571"/>
    <cellStyle name="Currency 6 3 3 2" xfId="7572"/>
    <cellStyle name="Currency 6 3 4" xfId="7573"/>
    <cellStyle name="Currency 6 3 5" xfId="7574"/>
    <cellStyle name="Currency 6 3 6" xfId="7575"/>
    <cellStyle name="Currency 6 3 7" xfId="7576"/>
    <cellStyle name="Currency 6 4" xfId="7577"/>
    <cellStyle name="Currency 6 4 2" xfId="7578"/>
    <cellStyle name="Currency 6 4 2 2" xfId="7579"/>
    <cellStyle name="Currency 6 4 3" xfId="7580"/>
    <cellStyle name="Currency 6 4 4" xfId="7581"/>
    <cellStyle name="Currency 6 4 5" xfId="7582"/>
    <cellStyle name="Currency 6 5" xfId="7583"/>
    <cellStyle name="Currency 6 5 2" xfId="7584"/>
    <cellStyle name="Currency 6 5 2 2" xfId="7585"/>
    <cellStyle name="Currency 6 5 3" xfId="7586"/>
    <cellStyle name="Currency 6 5 4" xfId="7587"/>
    <cellStyle name="Currency 6 5 5" xfId="7588"/>
    <cellStyle name="Currency 6 6" xfId="7589"/>
    <cellStyle name="Currency 6 6 2" xfId="7590"/>
    <cellStyle name="Currency 6 6 2 2" xfId="7591"/>
    <cellStyle name="Currency 6 6 3" xfId="7592"/>
    <cellStyle name="Currency 6 6 4" xfId="7593"/>
    <cellStyle name="Currency 6 6 5" xfId="7594"/>
    <cellStyle name="Currency 6 7" xfId="7595"/>
    <cellStyle name="Currency 60" xfId="7596"/>
    <cellStyle name="Currency 61" xfId="7597"/>
    <cellStyle name="Currency 62" xfId="7598"/>
    <cellStyle name="Currency 62 2" xfId="7599"/>
    <cellStyle name="Currency 63" xfId="7600"/>
    <cellStyle name="Currency 64" xfId="7601"/>
    <cellStyle name="Currency 65" xfId="7602"/>
    <cellStyle name="Currency 66" xfId="7603"/>
    <cellStyle name="Currency 67" xfId="7604"/>
    <cellStyle name="Currency 68" xfId="7605"/>
    <cellStyle name="Currency 69" xfId="7606"/>
    <cellStyle name="Currency 7" xfId="7607"/>
    <cellStyle name="Currency 7 2" xfId="7608"/>
    <cellStyle name="Currency 7 2 2" xfId="7609"/>
    <cellStyle name="Currency 7 2 2 2" xfId="7610"/>
    <cellStyle name="Currency 7 2 3" xfId="7611"/>
    <cellStyle name="Currency 7 2 4" xfId="7612"/>
    <cellStyle name="Currency 7 3" xfId="7613"/>
    <cellStyle name="Currency 7 3 2" xfId="7614"/>
    <cellStyle name="Currency 7 3 3" xfId="7615"/>
    <cellStyle name="Currency 7 3 4" xfId="7616"/>
    <cellStyle name="Currency 7 4" xfId="7617"/>
    <cellStyle name="Currency 7 4 2" xfId="7618"/>
    <cellStyle name="Currency 7 5" xfId="7619"/>
    <cellStyle name="Currency 7 6" xfId="7620"/>
    <cellStyle name="Currency 7 7" xfId="7621"/>
    <cellStyle name="Currency 7 8" xfId="7622"/>
    <cellStyle name="Currency 70" xfId="7623"/>
    <cellStyle name="Currency 71" xfId="7624"/>
    <cellStyle name="Currency 72" xfId="7625"/>
    <cellStyle name="Currency 73" xfId="7626"/>
    <cellStyle name="Currency 74" xfId="7627"/>
    <cellStyle name="Currency 75" xfId="7628"/>
    <cellStyle name="Currency 76" xfId="7629"/>
    <cellStyle name="Currency 77" xfId="7630"/>
    <cellStyle name="Currency 78" xfId="7631"/>
    <cellStyle name="Currency 79" xfId="7632"/>
    <cellStyle name="Currency 8" xfId="7633"/>
    <cellStyle name="Currency 8 2" xfId="7634"/>
    <cellStyle name="Currency 8 2 2" xfId="7635"/>
    <cellStyle name="Currency 8 2 3" xfId="7636"/>
    <cellStyle name="Currency 8 2 3 2" xfId="7637"/>
    <cellStyle name="Currency 8 2 4" xfId="7638"/>
    <cellStyle name="Currency 8 2 5" xfId="7639"/>
    <cellStyle name="Currency 8 3" xfId="7640"/>
    <cellStyle name="Currency 8 3 2" xfId="7641"/>
    <cellStyle name="Currency 8 3 3" xfId="7642"/>
    <cellStyle name="Currency 8 4" xfId="7643"/>
    <cellStyle name="Currency 8 5" xfId="7644"/>
    <cellStyle name="Currency 8 6" xfId="7645"/>
    <cellStyle name="Currency 8 7" xfId="7646"/>
    <cellStyle name="Currency 80" xfId="7647"/>
    <cellStyle name="Currency 81" xfId="7648"/>
    <cellStyle name="Currency 82" xfId="7649"/>
    <cellStyle name="Currency 83" xfId="7650"/>
    <cellStyle name="Currency 84" xfId="7651"/>
    <cellStyle name="Currency 85" xfId="7652"/>
    <cellStyle name="Currency 86" xfId="7653"/>
    <cellStyle name="Currency 87" xfId="7654"/>
    <cellStyle name="Currency 88" xfId="7655"/>
    <cellStyle name="Currency 89" xfId="7656"/>
    <cellStyle name="Currency 9" xfId="7657"/>
    <cellStyle name="Currency 9 2" xfId="7658"/>
    <cellStyle name="Currency 9 2 2" xfId="7659"/>
    <cellStyle name="Currency 9 2 3" xfId="7660"/>
    <cellStyle name="Currency 9 3" xfId="7661"/>
    <cellStyle name="Currency 9 3 2" xfId="7662"/>
    <cellStyle name="Currency 9 4" xfId="7663"/>
    <cellStyle name="Currency 9 5" xfId="7664"/>
    <cellStyle name="Currency 9 6" xfId="7665"/>
    <cellStyle name="Currency 90" xfId="7666"/>
    <cellStyle name="Currency 91" xfId="7667"/>
    <cellStyle name="Currency 92" xfId="7668"/>
    <cellStyle name="Currency 93" xfId="7669"/>
    <cellStyle name="Currency 94" xfId="7670"/>
    <cellStyle name="Currency 95" xfId="7671"/>
    <cellStyle name="Currency 96" xfId="7672"/>
    <cellStyle name="Currency 97" xfId="7673"/>
    <cellStyle name="Currency 98" xfId="7674"/>
    <cellStyle name="Currency 99" xfId="7675"/>
    <cellStyle name="Currency0" xfId="1366"/>
    <cellStyle name="Currency0 2" xfId="7676"/>
    <cellStyle name="Currency0 2 2" xfId="7677"/>
    <cellStyle name="Currency0 2 3" xfId="7678"/>
    <cellStyle name="Currency0 3" xfId="7679"/>
    <cellStyle name="Currency0 3 2" xfId="7680"/>
    <cellStyle name="Currency0 3 3" xfId="7681"/>
    <cellStyle name="Custom - Style1" xfId="7682"/>
    <cellStyle name="Data   - Style2" xfId="7683"/>
    <cellStyle name="Date" xfId="1367"/>
    <cellStyle name="Date 2" xfId="7684"/>
    <cellStyle name="Date 2 2" xfId="7685"/>
    <cellStyle name="Date 2 3" xfId="7686"/>
    <cellStyle name="Date 3" xfId="7687"/>
    <cellStyle name="Date 3 2" xfId="7688"/>
    <cellStyle name="Date 3 3" xfId="7689"/>
    <cellStyle name="Eingabe" xfId="7690"/>
    <cellStyle name="Eingabe 2" xfId="7691"/>
    <cellStyle name="Euro" xfId="7692"/>
    <cellStyle name="Euro 2" xfId="7693"/>
    <cellStyle name="Euro 2 2" xfId="7694"/>
    <cellStyle name="Euro 2 2 2" xfId="7695"/>
    <cellStyle name="Euro 2 3" xfId="7696"/>
    <cellStyle name="Euro 3" xfId="7697"/>
    <cellStyle name="Euro 3 2" xfId="7698"/>
    <cellStyle name="Euro 3 3" xfId="7699"/>
    <cellStyle name="Explanatory Text 10" xfId="1368"/>
    <cellStyle name="Explanatory Text 11" xfId="1369"/>
    <cellStyle name="Explanatory Text 12" xfId="1370"/>
    <cellStyle name="Explanatory Text 13" xfId="1371"/>
    <cellStyle name="Explanatory Text 14" xfId="1372"/>
    <cellStyle name="Explanatory Text 15" xfId="1373"/>
    <cellStyle name="Explanatory Text 16" xfId="1374"/>
    <cellStyle name="Explanatory Text 17" xfId="1375"/>
    <cellStyle name="Explanatory Text 18" xfId="1376"/>
    <cellStyle name="Explanatory Text 19" xfId="1377"/>
    <cellStyle name="Explanatory Text 2" xfId="1378"/>
    <cellStyle name="Explanatory Text 2 2" xfId="1379"/>
    <cellStyle name="Explanatory Text 2 2 2" xfId="1380"/>
    <cellStyle name="Explanatory Text 2 2 2 2" xfId="1381"/>
    <cellStyle name="Explanatory Text 2 2 2 3" xfId="1382"/>
    <cellStyle name="Explanatory Text 2 2 2 4" xfId="1383"/>
    <cellStyle name="Explanatory Text 2 2 2 5" xfId="1384"/>
    <cellStyle name="Explanatory Text 2 2 3" xfId="1385"/>
    <cellStyle name="Explanatory Text 2 2 4" xfId="1386"/>
    <cellStyle name="Explanatory Text 2 2 5" xfId="1387"/>
    <cellStyle name="Explanatory Text 2 3" xfId="1388"/>
    <cellStyle name="Explanatory Text 2 4" xfId="1389"/>
    <cellStyle name="Explanatory Text 2 5" xfId="1390"/>
    <cellStyle name="Explanatory Text 2 6" xfId="1391"/>
    <cellStyle name="Explanatory Text 2 7" xfId="1392"/>
    <cellStyle name="Explanatory Text 2 8" xfId="1393"/>
    <cellStyle name="Explanatory Text 2 9" xfId="1394"/>
    <cellStyle name="Explanatory Text 20" xfId="1395"/>
    <cellStyle name="Explanatory Text 21" xfId="1396"/>
    <cellStyle name="Explanatory Text 22" xfId="1397"/>
    <cellStyle name="Explanatory Text 3" xfId="1398"/>
    <cellStyle name="Explanatory Text 3 2" xfId="7700"/>
    <cellStyle name="Explanatory Text 4" xfId="1399"/>
    <cellStyle name="Explanatory Text 5" xfId="1400"/>
    <cellStyle name="Explanatory Text 6" xfId="1401"/>
    <cellStyle name="Explanatory Text 7" xfId="1402"/>
    <cellStyle name="Explanatory Text 8" xfId="1403"/>
    <cellStyle name="Explanatory Text 9" xfId="1404"/>
    <cellStyle name="F2" xfId="1405"/>
    <cellStyle name="F2 2" xfId="1406"/>
    <cellStyle name="F2 2 2" xfId="7701"/>
    <cellStyle name="F2 3" xfId="1407"/>
    <cellStyle name="F2 3 2" xfId="7702"/>
    <cellStyle name="F2 4" xfId="1408"/>
    <cellStyle name="F2 5" xfId="1409"/>
    <cellStyle name="F2 6" xfId="1410"/>
    <cellStyle name="F2 7" xfId="1411"/>
    <cellStyle name="F2 8" xfId="7703"/>
    <cellStyle name="F2 9" xfId="7704"/>
    <cellStyle name="F2_Regenerated Revenues LGE Gas 2008-04 with Elec Gen-Seelye final version " xfId="7705"/>
    <cellStyle name="F3" xfId="1412"/>
    <cellStyle name="F3 2" xfId="1413"/>
    <cellStyle name="F3 2 2" xfId="7706"/>
    <cellStyle name="F3 3" xfId="1414"/>
    <cellStyle name="F3 3 2" xfId="7707"/>
    <cellStyle name="F3 4" xfId="1415"/>
    <cellStyle name="F3 5" xfId="1416"/>
    <cellStyle name="F3 6" xfId="1417"/>
    <cellStyle name="F3 7" xfId="1418"/>
    <cellStyle name="F3 8" xfId="7708"/>
    <cellStyle name="F3 9" xfId="7709"/>
    <cellStyle name="F3_Regenerated Revenues LGE Gas 2008-04 with Elec Gen-Seelye final version " xfId="7710"/>
    <cellStyle name="F4" xfId="1419"/>
    <cellStyle name="F4 2" xfId="1420"/>
    <cellStyle name="F4 2 2" xfId="7711"/>
    <cellStyle name="F4 3" xfId="1421"/>
    <cellStyle name="F4 3 2" xfId="7712"/>
    <cellStyle name="F4 4" xfId="1422"/>
    <cellStyle name="F4 5" xfId="1423"/>
    <cellStyle name="F4 6" xfId="1424"/>
    <cellStyle name="F4 7" xfId="1425"/>
    <cellStyle name="F4 8" xfId="7713"/>
    <cellStyle name="F4 9" xfId="7714"/>
    <cellStyle name="F4_Regenerated Revenues LGE Gas 2008-04 with Elec Gen-Seelye final version " xfId="7715"/>
    <cellStyle name="F5" xfId="1426"/>
    <cellStyle name="F5 2" xfId="1427"/>
    <cellStyle name="F5 2 2" xfId="7716"/>
    <cellStyle name="F5 3" xfId="1428"/>
    <cellStyle name="F5 3 2" xfId="7717"/>
    <cellStyle name="F5 4" xfId="1429"/>
    <cellStyle name="F5 5" xfId="1430"/>
    <cellStyle name="F5 6" xfId="1431"/>
    <cellStyle name="F5 7" xfId="1432"/>
    <cellStyle name="F5 8" xfId="7718"/>
    <cellStyle name="F5 9" xfId="7719"/>
    <cellStyle name="F5_Regenerated Revenues LGE Gas 2008-04 with Elec Gen-Seelye final version " xfId="7720"/>
    <cellStyle name="F6" xfId="1433"/>
    <cellStyle name="F6 10" xfId="7721"/>
    <cellStyle name="F6 10 2" xfId="7722"/>
    <cellStyle name="F6 11" xfId="7723"/>
    <cellStyle name="F6 2" xfId="1434"/>
    <cellStyle name="F6 2 2" xfId="7724"/>
    <cellStyle name="F6 2 2 2" xfId="7725"/>
    <cellStyle name="F6 3" xfId="1435"/>
    <cellStyle name="F6 3 2" xfId="7726"/>
    <cellStyle name="F6 4" xfId="1436"/>
    <cellStyle name="F6 5" xfId="1437"/>
    <cellStyle name="F6 6" xfId="1438"/>
    <cellStyle name="F6 7" xfId="1439"/>
    <cellStyle name="F6 8" xfId="7727"/>
    <cellStyle name="F6 9" xfId="7728"/>
    <cellStyle name="F6_Regenerated Revenues LGE Gas 2008-04 with Elec Gen-Seelye final version " xfId="7729"/>
    <cellStyle name="F7" xfId="1440"/>
    <cellStyle name="F7 2" xfId="1441"/>
    <cellStyle name="F7 2 2" xfId="7730"/>
    <cellStyle name="F7 3" xfId="1442"/>
    <cellStyle name="F7 3 2" xfId="7731"/>
    <cellStyle name="F7 4" xfId="1443"/>
    <cellStyle name="F7 5" xfId="1444"/>
    <cellStyle name="F7 6" xfId="1445"/>
    <cellStyle name="F7 7" xfId="1446"/>
    <cellStyle name="F7 8" xfId="7732"/>
    <cellStyle name="F7 9" xfId="7733"/>
    <cellStyle name="F7_Regenerated Revenues LGE Gas 2008-04 with Elec Gen-Seelye final version " xfId="7734"/>
    <cellStyle name="F8" xfId="1447"/>
    <cellStyle name="F8 2" xfId="1448"/>
    <cellStyle name="F8 2 2" xfId="7735"/>
    <cellStyle name="F8 3" xfId="1449"/>
    <cellStyle name="F8 3 2" xfId="7736"/>
    <cellStyle name="F8 4" xfId="1450"/>
    <cellStyle name="F8 5" xfId="1451"/>
    <cellStyle name="F8 6" xfId="1452"/>
    <cellStyle name="F8 7" xfId="1453"/>
    <cellStyle name="F8 8" xfId="7737"/>
    <cellStyle name="F8 9" xfId="7738"/>
    <cellStyle name="F8_Regenerated Revenues LGE Gas 2008-04 with Elec Gen-Seelye final version " xfId="7739"/>
    <cellStyle name="Fixed" xfId="1454"/>
    <cellStyle name="Fixed 2" xfId="7740"/>
    <cellStyle name="Fixed 2 2" xfId="7741"/>
    <cellStyle name="Fixed 2 3" xfId="7742"/>
    <cellStyle name="Fixed 3" xfId="7743"/>
    <cellStyle name="Fixed 3 2" xfId="7744"/>
    <cellStyle name="Fixed 3 3" xfId="7745"/>
    <cellStyle name="Good 10" xfId="1455"/>
    <cellStyle name="Good 11" xfId="1456"/>
    <cellStyle name="Good 12" xfId="1457"/>
    <cellStyle name="Good 13" xfId="1458"/>
    <cellStyle name="Good 14" xfId="1459"/>
    <cellStyle name="Good 15" xfId="1460"/>
    <cellStyle name="Good 16" xfId="1461"/>
    <cellStyle name="Good 17" xfId="1462"/>
    <cellStyle name="Good 17 2" xfId="7746"/>
    <cellStyle name="Good 18" xfId="1463"/>
    <cellStyle name="Good 19" xfId="1464"/>
    <cellStyle name="Good 2" xfId="1465"/>
    <cellStyle name="Good 2 2" xfId="1466"/>
    <cellStyle name="Good 2 2 2" xfId="1467"/>
    <cellStyle name="Good 2 2 2 2" xfId="1468"/>
    <cellStyle name="Good 2 2 2 3" xfId="1469"/>
    <cellStyle name="Good 2 2 2 4" xfId="1470"/>
    <cellStyle name="Good 2 2 2 5" xfId="1471"/>
    <cellStyle name="Good 2 2 3" xfId="1472"/>
    <cellStyle name="Good 2 2 4" xfId="1473"/>
    <cellStyle name="Good 2 2 5" xfId="1474"/>
    <cellStyle name="Good 2 3" xfId="1475"/>
    <cellStyle name="Good 2 4" xfId="1476"/>
    <cellStyle name="Good 2 5" xfId="1477"/>
    <cellStyle name="Good 2 6" xfId="1478"/>
    <cellStyle name="Good 2 7" xfId="1479"/>
    <cellStyle name="Good 2 8" xfId="1480"/>
    <cellStyle name="Good 2 9" xfId="1481"/>
    <cellStyle name="Good 20" xfId="1482"/>
    <cellStyle name="Good 21" xfId="1483"/>
    <cellStyle name="Good 22" xfId="1484"/>
    <cellStyle name="Good 3" xfId="1485"/>
    <cellStyle name="Good 3 2" xfId="7747"/>
    <cellStyle name="Good 4" xfId="1486"/>
    <cellStyle name="Good 5" xfId="1487"/>
    <cellStyle name="Good 6" xfId="1488"/>
    <cellStyle name="Good 7" xfId="1489"/>
    <cellStyle name="Good 8" xfId="1490"/>
    <cellStyle name="Good 9" xfId="1491"/>
    <cellStyle name="Heading 1 10" xfId="1492"/>
    <cellStyle name="Heading 1 11" xfId="1493"/>
    <cellStyle name="Heading 1 12" xfId="1494"/>
    <cellStyle name="Heading 1 13" xfId="1495"/>
    <cellStyle name="Heading 1 14" xfId="1496"/>
    <cellStyle name="Heading 1 15" xfId="1497"/>
    <cellStyle name="Heading 1 16" xfId="1498"/>
    <cellStyle name="Heading 1 17" xfId="1499"/>
    <cellStyle name="Heading 1 17 2" xfId="7748"/>
    <cellStyle name="Heading 1 17 3" xfId="7749"/>
    <cellStyle name="Heading 1 17 4" xfId="7750"/>
    <cellStyle name="Heading 1 18" xfId="1500"/>
    <cellStyle name="Heading 1 19" xfId="1501"/>
    <cellStyle name="Heading 1 2" xfId="1502"/>
    <cellStyle name="Heading 1 2 2" xfId="1503"/>
    <cellStyle name="Heading 1 2 2 2" xfId="1504"/>
    <cellStyle name="Heading 1 2 2 2 2" xfId="1505"/>
    <cellStyle name="Heading 1 2 2 2 3" xfId="1506"/>
    <cellStyle name="Heading 1 2 2 2 4" xfId="1507"/>
    <cellStyle name="Heading 1 2 2 2 5" xfId="1508"/>
    <cellStyle name="Heading 1 2 2 3" xfId="1509"/>
    <cellStyle name="Heading 1 2 2 4" xfId="1510"/>
    <cellStyle name="Heading 1 2 2 5" xfId="1511"/>
    <cellStyle name="Heading 1 2 3" xfId="1512"/>
    <cellStyle name="Heading 1 2 4" xfId="1513"/>
    <cellStyle name="Heading 1 2 5" xfId="1514"/>
    <cellStyle name="Heading 1 2 6" xfId="1515"/>
    <cellStyle name="Heading 1 2 7" xfId="1516"/>
    <cellStyle name="Heading 1 2 8" xfId="1517"/>
    <cellStyle name="Heading 1 2 9" xfId="1518"/>
    <cellStyle name="Heading 1 20" xfId="1519"/>
    <cellStyle name="Heading 1 21" xfId="1520"/>
    <cellStyle name="Heading 1 22" xfId="1521"/>
    <cellStyle name="Heading 1 23" xfId="1522"/>
    <cellStyle name="Heading 1 24" xfId="1523"/>
    <cellStyle name="Heading 1 3" xfId="1524"/>
    <cellStyle name="Heading 1 3 2" xfId="7751"/>
    <cellStyle name="Heading 1 3 2 2" xfId="7752"/>
    <cellStyle name="Heading 1 4" xfId="1525"/>
    <cellStyle name="Heading 1 5" xfId="1526"/>
    <cellStyle name="Heading 1 6" xfId="1527"/>
    <cellStyle name="Heading 1 7" xfId="1528"/>
    <cellStyle name="Heading 1 8" xfId="1529"/>
    <cellStyle name="Heading 1 9" xfId="1530"/>
    <cellStyle name="Heading 2 10" xfId="1531"/>
    <cellStyle name="Heading 2 11" xfId="1532"/>
    <cellStyle name="Heading 2 12" xfId="1533"/>
    <cellStyle name="Heading 2 13" xfId="1534"/>
    <cellStyle name="Heading 2 14" xfId="1535"/>
    <cellStyle name="Heading 2 15" xfId="1536"/>
    <cellStyle name="Heading 2 16" xfId="1537"/>
    <cellStyle name="Heading 2 17" xfId="1538"/>
    <cellStyle name="Heading 2 17 2" xfId="7753"/>
    <cellStyle name="Heading 2 17 3" xfId="7754"/>
    <cellStyle name="Heading 2 17 4" xfId="7755"/>
    <cellStyle name="Heading 2 18" xfId="1539"/>
    <cellStyle name="Heading 2 19" xfId="1540"/>
    <cellStyle name="Heading 2 2" xfId="1541"/>
    <cellStyle name="Heading 2 2 2" xfId="1542"/>
    <cellStyle name="Heading 2 2 2 2" xfId="1543"/>
    <cellStyle name="Heading 2 2 2 2 2" xfId="1544"/>
    <cellStyle name="Heading 2 2 2 2 3" xfId="1545"/>
    <cellStyle name="Heading 2 2 2 2 4" xfId="1546"/>
    <cellStyle name="Heading 2 2 2 2 5" xfId="1547"/>
    <cellStyle name="Heading 2 2 2 3" xfId="1548"/>
    <cellStyle name="Heading 2 2 2 4" xfId="1549"/>
    <cellStyle name="Heading 2 2 2 5" xfId="1550"/>
    <cellStyle name="Heading 2 2 3" xfId="1551"/>
    <cellStyle name="Heading 2 2 4" xfId="1552"/>
    <cellStyle name="Heading 2 2 5" xfId="1553"/>
    <cellStyle name="Heading 2 2 6" xfId="1554"/>
    <cellStyle name="Heading 2 2 7" xfId="1555"/>
    <cellStyle name="Heading 2 2 8" xfId="1556"/>
    <cellStyle name="Heading 2 2 9" xfId="1557"/>
    <cellStyle name="Heading 2 20" xfId="1558"/>
    <cellStyle name="Heading 2 21" xfId="1559"/>
    <cellStyle name="Heading 2 22" xfId="1560"/>
    <cellStyle name="Heading 2 23" xfId="1561"/>
    <cellStyle name="Heading 2 24" xfId="1562"/>
    <cellStyle name="Heading 2 3" xfId="1563"/>
    <cellStyle name="Heading 2 3 2" xfId="7756"/>
    <cellStyle name="Heading 2 3 2 2" xfId="7757"/>
    <cellStyle name="Heading 2 4" xfId="1564"/>
    <cellStyle name="Heading 2 5" xfId="1565"/>
    <cellStyle name="Heading 2 6" xfId="1566"/>
    <cellStyle name="Heading 2 7" xfId="1567"/>
    <cellStyle name="Heading 2 8" xfId="1568"/>
    <cellStyle name="Heading 2 9" xfId="1569"/>
    <cellStyle name="Heading 3 10" xfId="1570"/>
    <cellStyle name="Heading 3 11" xfId="1571"/>
    <cellStyle name="Heading 3 12" xfId="1572"/>
    <cellStyle name="Heading 3 13" xfId="1573"/>
    <cellStyle name="Heading 3 14" xfId="1574"/>
    <cellStyle name="Heading 3 15" xfId="1575"/>
    <cellStyle name="Heading 3 16" xfId="1576"/>
    <cellStyle name="Heading 3 17" xfId="1577"/>
    <cellStyle name="Heading 3 17 2" xfId="7758"/>
    <cellStyle name="Heading 3 18" xfId="1578"/>
    <cellStyle name="Heading 3 19" xfId="1579"/>
    <cellStyle name="Heading 3 2" xfId="1580"/>
    <cellStyle name="Heading 3 2 2" xfId="1581"/>
    <cellStyle name="Heading 3 2 2 2" xfId="1582"/>
    <cellStyle name="Heading 3 2 2 2 2" xfId="1583"/>
    <cellStyle name="Heading 3 2 2 2 3" xfId="1584"/>
    <cellStyle name="Heading 3 2 2 2 4" xfId="1585"/>
    <cellStyle name="Heading 3 2 2 2 5" xfId="1586"/>
    <cellStyle name="Heading 3 2 2 3" xfId="1587"/>
    <cellStyle name="Heading 3 2 2 4" xfId="1588"/>
    <cellStyle name="Heading 3 2 2 5" xfId="1589"/>
    <cellStyle name="Heading 3 2 3" xfId="1590"/>
    <cellStyle name="Heading 3 2 4" xfId="1591"/>
    <cellStyle name="Heading 3 2 5" xfId="1592"/>
    <cellStyle name="Heading 3 2 6" xfId="1593"/>
    <cellStyle name="Heading 3 2 7" xfId="1594"/>
    <cellStyle name="Heading 3 2 8" xfId="1595"/>
    <cellStyle name="Heading 3 2 9" xfId="1596"/>
    <cellStyle name="Heading 3 20" xfId="1597"/>
    <cellStyle name="Heading 3 21" xfId="1598"/>
    <cellStyle name="Heading 3 22" xfId="1599"/>
    <cellStyle name="Heading 3 3" xfId="1600"/>
    <cellStyle name="Heading 3 3 2" xfId="7759"/>
    <cellStyle name="Heading 3 4" xfId="1601"/>
    <cellStyle name="Heading 3 4 2" xfId="7760"/>
    <cellStyle name="Heading 3 5" xfId="1602"/>
    <cellStyle name="Heading 3 5 2" xfId="7761"/>
    <cellStyle name="Heading 3 6" xfId="1603"/>
    <cellStyle name="Heading 3 7" xfId="1604"/>
    <cellStyle name="Heading 3 8" xfId="1605"/>
    <cellStyle name="Heading 3 9" xfId="1606"/>
    <cellStyle name="Heading 4 10" xfId="1607"/>
    <cellStyle name="Heading 4 11" xfId="1608"/>
    <cellStyle name="Heading 4 12" xfId="1609"/>
    <cellStyle name="Heading 4 13" xfId="1610"/>
    <cellStyle name="Heading 4 14" xfId="1611"/>
    <cellStyle name="Heading 4 15" xfId="1612"/>
    <cellStyle name="Heading 4 16" xfId="1613"/>
    <cellStyle name="Heading 4 17" xfId="1614"/>
    <cellStyle name="Heading 4 17 2" xfId="7762"/>
    <cellStyle name="Heading 4 18" xfId="1615"/>
    <cellStyle name="Heading 4 19" xfId="1616"/>
    <cellStyle name="Heading 4 2" xfId="1617"/>
    <cellStyle name="Heading 4 2 2" xfId="1618"/>
    <cellStyle name="Heading 4 2 2 2" xfId="1619"/>
    <cellStyle name="Heading 4 2 2 2 2" xfId="1620"/>
    <cellStyle name="Heading 4 2 2 2 3" xfId="1621"/>
    <cellStyle name="Heading 4 2 2 2 4" xfId="1622"/>
    <cellStyle name="Heading 4 2 2 2 5" xfId="1623"/>
    <cellStyle name="Heading 4 2 2 3" xfId="1624"/>
    <cellStyle name="Heading 4 2 2 4" xfId="1625"/>
    <cellStyle name="Heading 4 2 2 5" xfId="1626"/>
    <cellStyle name="Heading 4 2 3" xfId="1627"/>
    <cellStyle name="Heading 4 2 4" xfId="1628"/>
    <cellStyle name="Heading 4 2 5" xfId="1629"/>
    <cellStyle name="Heading 4 2 6" xfId="1630"/>
    <cellStyle name="Heading 4 2 7" xfId="1631"/>
    <cellStyle name="Heading 4 2 8" xfId="1632"/>
    <cellStyle name="Heading 4 2 9" xfId="1633"/>
    <cellStyle name="Heading 4 20" xfId="1634"/>
    <cellStyle name="Heading 4 21" xfId="1635"/>
    <cellStyle name="Heading 4 22" xfId="1636"/>
    <cellStyle name="Heading 4 3" xfId="1637"/>
    <cellStyle name="Heading 4 3 2" xfId="7763"/>
    <cellStyle name="Heading 4 4" xfId="1638"/>
    <cellStyle name="Heading 4 5" xfId="1639"/>
    <cellStyle name="Heading 4 6" xfId="1640"/>
    <cellStyle name="Heading 4 7" xfId="1641"/>
    <cellStyle name="Heading 4 8" xfId="1642"/>
    <cellStyle name="Heading 4 9" xfId="1643"/>
    <cellStyle name="Hyperlink 2" xfId="7764"/>
    <cellStyle name="Input 10" xfId="1644"/>
    <cellStyle name="Input 10 10" xfId="7765"/>
    <cellStyle name="Input 10 11" xfId="7766"/>
    <cellStyle name="Input 10 12" xfId="7767"/>
    <cellStyle name="Input 10 2" xfId="7768"/>
    <cellStyle name="Input 10 2 2" xfId="7769"/>
    <cellStyle name="Input 10 2 2 2" xfId="7770"/>
    <cellStyle name="Input 10 2 3" xfId="7771"/>
    <cellStyle name="Input 10 2 3 2" xfId="7772"/>
    <cellStyle name="Input 10 2 4" xfId="7773"/>
    <cellStyle name="Input 10 2 4 2" xfId="7774"/>
    <cellStyle name="Input 10 2 5" xfId="7775"/>
    <cellStyle name="Input 10 2 5 2" xfId="7776"/>
    <cellStyle name="Input 10 2 6" xfId="7777"/>
    <cellStyle name="Input 10 2 6 2" xfId="7778"/>
    <cellStyle name="Input 10 2 7" xfId="7779"/>
    <cellStyle name="Input 10 2 7 2" xfId="7780"/>
    <cellStyle name="Input 10 2 8" xfId="7781"/>
    <cellStyle name="Input 10 2 8 2" xfId="7782"/>
    <cellStyle name="Input 10 2 9" xfId="7783"/>
    <cellStyle name="Input 10 3" xfId="7784"/>
    <cellStyle name="Input 10 3 2" xfId="7785"/>
    <cellStyle name="Input 10 4" xfId="7786"/>
    <cellStyle name="Input 10 4 2" xfId="7787"/>
    <cellStyle name="Input 10 5" xfId="7788"/>
    <cellStyle name="Input 10 5 2" xfId="7789"/>
    <cellStyle name="Input 10 6" xfId="7790"/>
    <cellStyle name="Input 10 6 2" xfId="7791"/>
    <cellStyle name="Input 10 7" xfId="7792"/>
    <cellStyle name="Input 10 7 2" xfId="7793"/>
    <cellStyle name="Input 10 8" xfId="7794"/>
    <cellStyle name="Input 10 8 2" xfId="7795"/>
    <cellStyle name="Input 10 9" xfId="7796"/>
    <cellStyle name="Input 10 9 2" xfId="7797"/>
    <cellStyle name="Input 11" xfId="1645"/>
    <cellStyle name="Input 11 10" xfId="7798"/>
    <cellStyle name="Input 11 11" xfId="7799"/>
    <cellStyle name="Input 11 12" xfId="7800"/>
    <cellStyle name="Input 11 2" xfId="7801"/>
    <cellStyle name="Input 11 2 2" xfId="7802"/>
    <cellStyle name="Input 11 2 2 2" xfId="7803"/>
    <cellStyle name="Input 11 2 3" xfId="7804"/>
    <cellStyle name="Input 11 2 3 2" xfId="7805"/>
    <cellStyle name="Input 11 2 4" xfId="7806"/>
    <cellStyle name="Input 11 2 4 2" xfId="7807"/>
    <cellStyle name="Input 11 2 5" xfId="7808"/>
    <cellStyle name="Input 11 2 5 2" xfId="7809"/>
    <cellStyle name="Input 11 2 6" xfId="7810"/>
    <cellStyle name="Input 11 2 6 2" xfId="7811"/>
    <cellStyle name="Input 11 2 7" xfId="7812"/>
    <cellStyle name="Input 11 2 7 2" xfId="7813"/>
    <cellStyle name="Input 11 2 8" xfId="7814"/>
    <cellStyle name="Input 11 2 8 2" xfId="7815"/>
    <cellStyle name="Input 11 2 9" xfId="7816"/>
    <cellStyle name="Input 11 3" xfId="7817"/>
    <cellStyle name="Input 11 3 2" xfId="7818"/>
    <cellStyle name="Input 11 4" xfId="7819"/>
    <cellStyle name="Input 11 4 2" xfId="7820"/>
    <cellStyle name="Input 11 5" xfId="7821"/>
    <cellStyle name="Input 11 5 2" xfId="7822"/>
    <cellStyle name="Input 11 6" xfId="7823"/>
    <cellStyle name="Input 11 6 2" xfId="7824"/>
    <cellStyle name="Input 11 7" xfId="7825"/>
    <cellStyle name="Input 11 7 2" xfId="7826"/>
    <cellStyle name="Input 11 8" xfId="7827"/>
    <cellStyle name="Input 11 8 2" xfId="7828"/>
    <cellStyle name="Input 11 9" xfId="7829"/>
    <cellStyle name="Input 11 9 2" xfId="7830"/>
    <cellStyle name="Input 12" xfId="1646"/>
    <cellStyle name="Input 12 10" xfId="7831"/>
    <cellStyle name="Input 12 11" xfId="7832"/>
    <cellStyle name="Input 12 12" xfId="7833"/>
    <cellStyle name="Input 12 2" xfId="7834"/>
    <cellStyle name="Input 12 2 2" xfId="7835"/>
    <cellStyle name="Input 12 2 2 2" xfId="7836"/>
    <cellStyle name="Input 12 2 3" xfId="7837"/>
    <cellStyle name="Input 12 2 3 2" xfId="7838"/>
    <cellStyle name="Input 12 2 4" xfId="7839"/>
    <cellStyle name="Input 12 2 4 2" xfId="7840"/>
    <cellStyle name="Input 12 2 5" xfId="7841"/>
    <cellStyle name="Input 12 2 5 2" xfId="7842"/>
    <cellStyle name="Input 12 2 6" xfId="7843"/>
    <cellStyle name="Input 12 2 6 2" xfId="7844"/>
    <cellStyle name="Input 12 2 7" xfId="7845"/>
    <cellStyle name="Input 12 2 7 2" xfId="7846"/>
    <cellStyle name="Input 12 2 8" xfId="7847"/>
    <cellStyle name="Input 12 2 8 2" xfId="7848"/>
    <cellStyle name="Input 12 2 9" xfId="7849"/>
    <cellStyle name="Input 12 3" xfId="7850"/>
    <cellStyle name="Input 12 3 2" xfId="7851"/>
    <cellStyle name="Input 12 4" xfId="7852"/>
    <cellStyle name="Input 12 4 2" xfId="7853"/>
    <cellStyle name="Input 12 5" xfId="7854"/>
    <cellStyle name="Input 12 5 2" xfId="7855"/>
    <cellStyle name="Input 12 6" xfId="7856"/>
    <cellStyle name="Input 12 6 2" xfId="7857"/>
    <cellStyle name="Input 12 7" xfId="7858"/>
    <cellStyle name="Input 12 7 2" xfId="7859"/>
    <cellStyle name="Input 12 8" xfId="7860"/>
    <cellStyle name="Input 12 8 2" xfId="7861"/>
    <cellStyle name="Input 12 9" xfId="7862"/>
    <cellStyle name="Input 12 9 2" xfId="7863"/>
    <cellStyle name="Input 13" xfId="1647"/>
    <cellStyle name="Input 13 10" xfId="7864"/>
    <cellStyle name="Input 13 11" xfId="7865"/>
    <cellStyle name="Input 13 12" xfId="7866"/>
    <cellStyle name="Input 13 2" xfId="7867"/>
    <cellStyle name="Input 13 2 2" xfId="7868"/>
    <cellStyle name="Input 13 2 2 2" xfId="7869"/>
    <cellStyle name="Input 13 2 3" xfId="7870"/>
    <cellStyle name="Input 13 2 3 2" xfId="7871"/>
    <cellStyle name="Input 13 2 4" xfId="7872"/>
    <cellStyle name="Input 13 2 4 2" xfId="7873"/>
    <cellStyle name="Input 13 2 5" xfId="7874"/>
    <cellStyle name="Input 13 2 5 2" xfId="7875"/>
    <cellStyle name="Input 13 2 6" xfId="7876"/>
    <cellStyle name="Input 13 2 6 2" xfId="7877"/>
    <cellStyle name="Input 13 2 7" xfId="7878"/>
    <cellStyle name="Input 13 2 7 2" xfId="7879"/>
    <cellStyle name="Input 13 2 8" xfId="7880"/>
    <cellStyle name="Input 13 2 8 2" xfId="7881"/>
    <cellStyle name="Input 13 2 9" xfId="7882"/>
    <cellStyle name="Input 13 3" xfId="7883"/>
    <cellStyle name="Input 13 3 2" xfId="7884"/>
    <cellStyle name="Input 13 4" xfId="7885"/>
    <cellStyle name="Input 13 4 2" xfId="7886"/>
    <cellStyle name="Input 13 5" xfId="7887"/>
    <cellStyle name="Input 13 5 2" xfId="7888"/>
    <cellStyle name="Input 13 6" xfId="7889"/>
    <cellStyle name="Input 13 6 2" xfId="7890"/>
    <cellStyle name="Input 13 7" xfId="7891"/>
    <cellStyle name="Input 13 7 2" xfId="7892"/>
    <cellStyle name="Input 13 8" xfId="7893"/>
    <cellStyle name="Input 13 8 2" xfId="7894"/>
    <cellStyle name="Input 13 9" xfId="7895"/>
    <cellStyle name="Input 13 9 2" xfId="7896"/>
    <cellStyle name="Input 14" xfId="1648"/>
    <cellStyle name="Input 14 10" xfId="7897"/>
    <cellStyle name="Input 14 11" xfId="7898"/>
    <cellStyle name="Input 14 12" xfId="7899"/>
    <cellStyle name="Input 14 2" xfId="7900"/>
    <cellStyle name="Input 14 2 2" xfId="7901"/>
    <cellStyle name="Input 14 2 2 2" xfId="7902"/>
    <cellStyle name="Input 14 2 3" xfId="7903"/>
    <cellStyle name="Input 14 2 3 2" xfId="7904"/>
    <cellStyle name="Input 14 2 4" xfId="7905"/>
    <cellStyle name="Input 14 2 4 2" xfId="7906"/>
    <cellStyle name="Input 14 2 5" xfId="7907"/>
    <cellStyle name="Input 14 2 5 2" xfId="7908"/>
    <cellStyle name="Input 14 2 6" xfId="7909"/>
    <cellStyle name="Input 14 2 6 2" xfId="7910"/>
    <cellStyle name="Input 14 2 7" xfId="7911"/>
    <cellStyle name="Input 14 2 7 2" xfId="7912"/>
    <cellStyle name="Input 14 2 8" xfId="7913"/>
    <cellStyle name="Input 14 2 8 2" xfId="7914"/>
    <cellStyle name="Input 14 2 9" xfId="7915"/>
    <cellStyle name="Input 14 3" xfId="7916"/>
    <cellStyle name="Input 14 3 2" xfId="7917"/>
    <cellStyle name="Input 14 4" xfId="7918"/>
    <cellStyle name="Input 14 4 2" xfId="7919"/>
    <cellStyle name="Input 14 5" xfId="7920"/>
    <cellStyle name="Input 14 5 2" xfId="7921"/>
    <cellStyle name="Input 14 6" xfId="7922"/>
    <cellStyle name="Input 14 6 2" xfId="7923"/>
    <cellStyle name="Input 14 7" xfId="7924"/>
    <cellStyle name="Input 14 7 2" xfId="7925"/>
    <cellStyle name="Input 14 8" xfId="7926"/>
    <cellStyle name="Input 14 8 2" xfId="7927"/>
    <cellStyle name="Input 14 9" xfId="7928"/>
    <cellStyle name="Input 14 9 2" xfId="7929"/>
    <cellStyle name="Input 15" xfId="1649"/>
    <cellStyle name="Input 15 10" xfId="7930"/>
    <cellStyle name="Input 15 11" xfId="7931"/>
    <cellStyle name="Input 15 12" xfId="7932"/>
    <cellStyle name="Input 15 2" xfId="7933"/>
    <cellStyle name="Input 15 2 2" xfId="7934"/>
    <cellStyle name="Input 15 2 2 2" xfId="7935"/>
    <cellStyle name="Input 15 2 3" xfId="7936"/>
    <cellStyle name="Input 15 2 3 2" xfId="7937"/>
    <cellStyle name="Input 15 2 4" xfId="7938"/>
    <cellStyle name="Input 15 2 4 2" xfId="7939"/>
    <cellStyle name="Input 15 2 5" xfId="7940"/>
    <cellStyle name="Input 15 2 5 2" xfId="7941"/>
    <cellStyle name="Input 15 2 6" xfId="7942"/>
    <cellStyle name="Input 15 2 6 2" xfId="7943"/>
    <cellStyle name="Input 15 2 7" xfId="7944"/>
    <cellStyle name="Input 15 2 7 2" xfId="7945"/>
    <cellStyle name="Input 15 2 8" xfId="7946"/>
    <cellStyle name="Input 15 2 8 2" xfId="7947"/>
    <cellStyle name="Input 15 2 9" xfId="7948"/>
    <cellStyle name="Input 15 3" xfId="7949"/>
    <cellStyle name="Input 15 3 2" xfId="7950"/>
    <cellStyle name="Input 15 4" xfId="7951"/>
    <cellStyle name="Input 15 4 2" xfId="7952"/>
    <cellStyle name="Input 15 5" xfId="7953"/>
    <cellStyle name="Input 15 5 2" xfId="7954"/>
    <cellStyle name="Input 15 6" xfId="7955"/>
    <cellStyle name="Input 15 6 2" xfId="7956"/>
    <cellStyle name="Input 15 7" xfId="7957"/>
    <cellStyle name="Input 15 7 2" xfId="7958"/>
    <cellStyle name="Input 15 8" xfId="7959"/>
    <cellStyle name="Input 15 8 2" xfId="7960"/>
    <cellStyle name="Input 15 9" xfId="7961"/>
    <cellStyle name="Input 15 9 2" xfId="7962"/>
    <cellStyle name="Input 16" xfId="1650"/>
    <cellStyle name="Input 16 10" xfId="7963"/>
    <cellStyle name="Input 16 11" xfId="7964"/>
    <cellStyle name="Input 16 12" xfId="7965"/>
    <cellStyle name="Input 16 2" xfId="7966"/>
    <cellStyle name="Input 16 2 2" xfId="7967"/>
    <cellStyle name="Input 16 2 2 2" xfId="7968"/>
    <cellStyle name="Input 16 2 3" xfId="7969"/>
    <cellStyle name="Input 16 2 3 2" xfId="7970"/>
    <cellStyle name="Input 16 2 4" xfId="7971"/>
    <cellStyle name="Input 16 2 4 2" xfId="7972"/>
    <cellStyle name="Input 16 2 5" xfId="7973"/>
    <cellStyle name="Input 16 2 5 2" xfId="7974"/>
    <cellStyle name="Input 16 2 6" xfId="7975"/>
    <cellStyle name="Input 16 2 6 2" xfId="7976"/>
    <cellStyle name="Input 16 2 7" xfId="7977"/>
    <cellStyle name="Input 16 2 7 2" xfId="7978"/>
    <cellStyle name="Input 16 2 8" xfId="7979"/>
    <cellStyle name="Input 16 2 8 2" xfId="7980"/>
    <cellStyle name="Input 16 2 9" xfId="7981"/>
    <cellStyle name="Input 16 3" xfId="7982"/>
    <cellStyle name="Input 16 3 2" xfId="7983"/>
    <cellStyle name="Input 16 4" xfId="7984"/>
    <cellStyle name="Input 16 4 2" xfId="7985"/>
    <cellStyle name="Input 16 5" xfId="7986"/>
    <cellStyle name="Input 16 5 2" xfId="7987"/>
    <cellStyle name="Input 16 6" xfId="7988"/>
    <cellStyle name="Input 16 6 2" xfId="7989"/>
    <cellStyle name="Input 16 7" xfId="7990"/>
    <cellStyle name="Input 16 7 2" xfId="7991"/>
    <cellStyle name="Input 16 8" xfId="7992"/>
    <cellStyle name="Input 16 8 2" xfId="7993"/>
    <cellStyle name="Input 16 9" xfId="7994"/>
    <cellStyle name="Input 16 9 2" xfId="7995"/>
    <cellStyle name="Input 17" xfId="1651"/>
    <cellStyle name="Input 17 10" xfId="7996"/>
    <cellStyle name="Input 17 11" xfId="7997"/>
    <cellStyle name="Input 17 2" xfId="7998"/>
    <cellStyle name="Input 17 2 2" xfId="7999"/>
    <cellStyle name="Input 17 2 2 2" xfId="8000"/>
    <cellStyle name="Input 17 2 3" xfId="8001"/>
    <cellStyle name="Input 17 2 3 2" xfId="8002"/>
    <cellStyle name="Input 17 2 4" xfId="8003"/>
    <cellStyle name="Input 17 2 4 2" xfId="8004"/>
    <cellStyle name="Input 17 2 5" xfId="8005"/>
    <cellStyle name="Input 17 2 5 2" xfId="8006"/>
    <cellStyle name="Input 17 2 6" xfId="8007"/>
    <cellStyle name="Input 17 2 6 2" xfId="8008"/>
    <cellStyle name="Input 17 2 7" xfId="8009"/>
    <cellStyle name="Input 17 2 7 2" xfId="8010"/>
    <cellStyle name="Input 17 2 8" xfId="8011"/>
    <cellStyle name="Input 17 2 8 2" xfId="8012"/>
    <cellStyle name="Input 17 2 9" xfId="8013"/>
    <cellStyle name="Input 17 3" xfId="8014"/>
    <cellStyle name="Input 17 3 2" xfId="8015"/>
    <cellStyle name="Input 17 4" xfId="8016"/>
    <cellStyle name="Input 17 4 2" xfId="8017"/>
    <cellStyle name="Input 17 5" xfId="8018"/>
    <cellStyle name="Input 17 5 2" xfId="8019"/>
    <cellStyle name="Input 17 6" xfId="8020"/>
    <cellStyle name="Input 17 6 2" xfId="8021"/>
    <cellStyle name="Input 17 7" xfId="8022"/>
    <cellStyle name="Input 17 7 2" xfId="8023"/>
    <cellStyle name="Input 17 8" xfId="8024"/>
    <cellStyle name="Input 17 8 2" xfId="8025"/>
    <cellStyle name="Input 17 9" xfId="8026"/>
    <cellStyle name="Input 17 9 2" xfId="8027"/>
    <cellStyle name="Input 18" xfId="1652"/>
    <cellStyle name="Input 18 10" xfId="8028"/>
    <cellStyle name="Input 18 2" xfId="8029"/>
    <cellStyle name="Input 18 2 2" xfId="8030"/>
    <cellStyle name="Input 18 2 2 2" xfId="8031"/>
    <cellStyle name="Input 18 2 3" xfId="8032"/>
    <cellStyle name="Input 18 2 3 2" xfId="8033"/>
    <cellStyle name="Input 18 2 4" xfId="8034"/>
    <cellStyle name="Input 18 2 4 2" xfId="8035"/>
    <cellStyle name="Input 18 2 5" xfId="8036"/>
    <cellStyle name="Input 18 2 5 2" xfId="8037"/>
    <cellStyle name="Input 18 2 6" xfId="8038"/>
    <cellStyle name="Input 18 2 6 2" xfId="8039"/>
    <cellStyle name="Input 18 2 7" xfId="8040"/>
    <cellStyle name="Input 18 2 7 2" xfId="8041"/>
    <cellStyle name="Input 18 2 8" xfId="8042"/>
    <cellStyle name="Input 18 2 8 2" xfId="8043"/>
    <cellStyle name="Input 18 2 9" xfId="8044"/>
    <cellStyle name="Input 18 3" xfId="8045"/>
    <cellStyle name="Input 18 3 2" xfId="8046"/>
    <cellStyle name="Input 18 4" xfId="8047"/>
    <cellStyle name="Input 18 4 2" xfId="8048"/>
    <cellStyle name="Input 18 5" xfId="8049"/>
    <cellStyle name="Input 18 5 2" xfId="8050"/>
    <cellStyle name="Input 18 6" xfId="8051"/>
    <cellStyle name="Input 18 6 2" xfId="8052"/>
    <cellStyle name="Input 18 7" xfId="8053"/>
    <cellStyle name="Input 18 7 2" xfId="8054"/>
    <cellStyle name="Input 18 8" xfId="8055"/>
    <cellStyle name="Input 18 8 2" xfId="8056"/>
    <cellStyle name="Input 18 9" xfId="8057"/>
    <cellStyle name="Input 18 9 2" xfId="8058"/>
    <cellStyle name="Input 19" xfId="1653"/>
    <cellStyle name="Input 19 10" xfId="8059"/>
    <cellStyle name="Input 19 2" xfId="8060"/>
    <cellStyle name="Input 19 2 2" xfId="8061"/>
    <cellStyle name="Input 19 2 2 2" xfId="8062"/>
    <cellStyle name="Input 19 2 3" xfId="8063"/>
    <cellStyle name="Input 19 2 3 2" xfId="8064"/>
    <cellStyle name="Input 19 2 4" xfId="8065"/>
    <cellStyle name="Input 19 2 4 2" xfId="8066"/>
    <cellStyle name="Input 19 2 5" xfId="8067"/>
    <cellStyle name="Input 19 2 5 2" xfId="8068"/>
    <cellStyle name="Input 19 2 6" xfId="8069"/>
    <cellStyle name="Input 19 2 6 2" xfId="8070"/>
    <cellStyle name="Input 19 2 7" xfId="8071"/>
    <cellStyle name="Input 19 2 7 2" xfId="8072"/>
    <cellStyle name="Input 19 2 8" xfId="8073"/>
    <cellStyle name="Input 19 2 8 2" xfId="8074"/>
    <cellStyle name="Input 19 2 9" xfId="8075"/>
    <cellStyle name="Input 19 3" xfId="8076"/>
    <cellStyle name="Input 19 3 2" xfId="8077"/>
    <cellStyle name="Input 19 4" xfId="8078"/>
    <cellStyle name="Input 19 4 2" xfId="8079"/>
    <cellStyle name="Input 19 5" xfId="8080"/>
    <cellStyle name="Input 19 5 2" xfId="8081"/>
    <cellStyle name="Input 19 6" xfId="8082"/>
    <cellStyle name="Input 19 6 2" xfId="8083"/>
    <cellStyle name="Input 19 7" xfId="8084"/>
    <cellStyle name="Input 19 7 2" xfId="8085"/>
    <cellStyle name="Input 19 8" xfId="8086"/>
    <cellStyle name="Input 19 8 2" xfId="8087"/>
    <cellStyle name="Input 19 9" xfId="8088"/>
    <cellStyle name="Input 19 9 2" xfId="8089"/>
    <cellStyle name="Input 2" xfId="1654"/>
    <cellStyle name="Input 2 10" xfId="8090"/>
    <cellStyle name="Input 2 2" xfId="1655"/>
    <cellStyle name="Input 2 2 10" xfId="8091"/>
    <cellStyle name="Input 2 2 11" xfId="8092"/>
    <cellStyle name="Input 2 2 2" xfId="1656"/>
    <cellStyle name="Input 2 2 2 2" xfId="1657"/>
    <cellStyle name="Input 2 2 2 3" xfId="1658"/>
    <cellStyle name="Input 2 2 2 4" xfId="1659"/>
    <cellStyle name="Input 2 2 2 5" xfId="1660"/>
    <cellStyle name="Input 2 2 3" xfId="1661"/>
    <cellStyle name="Input 2 2 3 2" xfId="8093"/>
    <cellStyle name="Input 2 2 4" xfId="1662"/>
    <cellStyle name="Input 2 2 4 2" xfId="8094"/>
    <cellStyle name="Input 2 2 5" xfId="1663"/>
    <cellStyle name="Input 2 2 5 2" xfId="8095"/>
    <cellStyle name="Input 2 2 6" xfId="8096"/>
    <cellStyle name="Input 2 2 6 2" xfId="8097"/>
    <cellStyle name="Input 2 2 7" xfId="8098"/>
    <cellStyle name="Input 2 2 7 2" xfId="8099"/>
    <cellStyle name="Input 2 2 8" xfId="8100"/>
    <cellStyle name="Input 2 2 8 2" xfId="8101"/>
    <cellStyle name="Input 2 2 9" xfId="8102"/>
    <cellStyle name="Input 2 3" xfId="1664"/>
    <cellStyle name="Input 2 3 2" xfId="8103"/>
    <cellStyle name="Input 2 4" xfId="1665"/>
    <cellStyle name="Input 2 4 2" xfId="8104"/>
    <cellStyle name="Input 2 5" xfId="1666"/>
    <cellStyle name="Input 2 5 2" xfId="8105"/>
    <cellStyle name="Input 2 6" xfId="1667"/>
    <cellStyle name="Input 2 6 2" xfId="8106"/>
    <cellStyle name="Input 2 7" xfId="1668"/>
    <cellStyle name="Input 2 7 2" xfId="8107"/>
    <cellStyle name="Input 2 8" xfId="1669"/>
    <cellStyle name="Input 2 8 2" xfId="8108"/>
    <cellStyle name="Input 2 9" xfId="1670"/>
    <cellStyle name="Input 20" xfId="1671"/>
    <cellStyle name="Input 20 10" xfId="8109"/>
    <cellStyle name="Input 20 2" xfId="8110"/>
    <cellStyle name="Input 20 2 2" xfId="8111"/>
    <cellStyle name="Input 20 2 2 2" xfId="8112"/>
    <cellStyle name="Input 20 2 3" xfId="8113"/>
    <cellStyle name="Input 20 2 3 2" xfId="8114"/>
    <cellStyle name="Input 20 2 4" xfId="8115"/>
    <cellStyle name="Input 20 2 4 2" xfId="8116"/>
    <cellStyle name="Input 20 2 5" xfId="8117"/>
    <cellStyle name="Input 20 2 5 2" xfId="8118"/>
    <cellStyle name="Input 20 2 6" xfId="8119"/>
    <cellStyle name="Input 20 2 6 2" xfId="8120"/>
    <cellStyle name="Input 20 2 7" xfId="8121"/>
    <cellStyle name="Input 20 2 7 2" xfId="8122"/>
    <cellStyle name="Input 20 2 8" xfId="8123"/>
    <cellStyle name="Input 20 2 8 2" xfId="8124"/>
    <cellStyle name="Input 20 2 9" xfId="8125"/>
    <cellStyle name="Input 20 3" xfId="8126"/>
    <cellStyle name="Input 20 3 2" xfId="8127"/>
    <cellStyle name="Input 20 4" xfId="8128"/>
    <cellStyle name="Input 20 4 2" xfId="8129"/>
    <cellStyle name="Input 20 5" xfId="8130"/>
    <cellStyle name="Input 20 5 2" xfId="8131"/>
    <cellStyle name="Input 20 6" xfId="8132"/>
    <cellStyle name="Input 20 6 2" xfId="8133"/>
    <cellStyle name="Input 20 7" xfId="8134"/>
    <cellStyle name="Input 20 7 2" xfId="8135"/>
    <cellStyle name="Input 20 8" xfId="8136"/>
    <cellStyle name="Input 20 8 2" xfId="8137"/>
    <cellStyle name="Input 20 9" xfId="8138"/>
    <cellStyle name="Input 20 9 2" xfId="8139"/>
    <cellStyle name="Input 21" xfId="1672"/>
    <cellStyle name="Input 21 10" xfId="8140"/>
    <cellStyle name="Input 21 2" xfId="8141"/>
    <cellStyle name="Input 21 2 2" xfId="8142"/>
    <cellStyle name="Input 21 2 2 2" xfId="8143"/>
    <cellStyle name="Input 21 2 3" xfId="8144"/>
    <cellStyle name="Input 21 2 3 2" xfId="8145"/>
    <cellStyle name="Input 21 2 4" xfId="8146"/>
    <cellStyle name="Input 21 2 4 2" xfId="8147"/>
    <cellStyle name="Input 21 2 5" xfId="8148"/>
    <cellStyle name="Input 21 2 5 2" xfId="8149"/>
    <cellStyle name="Input 21 2 6" xfId="8150"/>
    <cellStyle name="Input 21 2 6 2" xfId="8151"/>
    <cellStyle name="Input 21 2 7" xfId="8152"/>
    <cellStyle name="Input 21 2 7 2" xfId="8153"/>
    <cellStyle name="Input 21 2 8" xfId="8154"/>
    <cellStyle name="Input 21 2 8 2" xfId="8155"/>
    <cellStyle name="Input 21 2 9" xfId="8156"/>
    <cellStyle name="Input 21 3" xfId="8157"/>
    <cellStyle name="Input 21 3 2" xfId="8158"/>
    <cellStyle name="Input 21 4" xfId="8159"/>
    <cellStyle name="Input 21 4 2" xfId="8160"/>
    <cellStyle name="Input 21 5" xfId="8161"/>
    <cellStyle name="Input 21 5 2" xfId="8162"/>
    <cellStyle name="Input 21 6" xfId="8163"/>
    <cellStyle name="Input 21 6 2" xfId="8164"/>
    <cellStyle name="Input 21 7" xfId="8165"/>
    <cellStyle name="Input 21 7 2" xfId="8166"/>
    <cellStyle name="Input 21 8" xfId="8167"/>
    <cellStyle name="Input 21 8 2" xfId="8168"/>
    <cellStyle name="Input 21 9" xfId="8169"/>
    <cellStyle name="Input 21 9 2" xfId="8170"/>
    <cellStyle name="Input 22" xfId="1673"/>
    <cellStyle name="Input 22 2" xfId="8171"/>
    <cellStyle name="Input 22 2 2" xfId="8172"/>
    <cellStyle name="Input 22 3" xfId="8173"/>
    <cellStyle name="Input 22 3 2" xfId="8174"/>
    <cellStyle name="Input 22 4" xfId="8175"/>
    <cellStyle name="Input 22 4 2" xfId="8176"/>
    <cellStyle name="Input 22 5" xfId="8177"/>
    <cellStyle name="Input 22 5 2" xfId="8178"/>
    <cellStyle name="Input 22 6" xfId="8179"/>
    <cellStyle name="Input 22 6 2" xfId="8180"/>
    <cellStyle name="Input 22 7" xfId="8181"/>
    <cellStyle name="Input 22 7 2" xfId="8182"/>
    <cellStyle name="Input 22 8" xfId="8183"/>
    <cellStyle name="Input 22 8 2" xfId="8184"/>
    <cellStyle name="Input 22 9" xfId="8185"/>
    <cellStyle name="Input 3" xfId="1674"/>
    <cellStyle name="Input 3 10" xfId="8186"/>
    <cellStyle name="Input 3 11" xfId="8187"/>
    <cellStyle name="Input 3 2" xfId="8188"/>
    <cellStyle name="Input 3 2 10" xfId="8189"/>
    <cellStyle name="Input 3 2 2" xfId="8190"/>
    <cellStyle name="Input 3 2 2 2" xfId="8191"/>
    <cellStyle name="Input 3 2 3" xfId="8192"/>
    <cellStyle name="Input 3 2 3 2" xfId="8193"/>
    <cellStyle name="Input 3 2 4" xfId="8194"/>
    <cellStyle name="Input 3 2 4 2" xfId="8195"/>
    <cellStyle name="Input 3 2 5" xfId="8196"/>
    <cellStyle name="Input 3 2 5 2" xfId="8197"/>
    <cellStyle name="Input 3 2 6" xfId="8198"/>
    <cellStyle name="Input 3 2 6 2" xfId="8199"/>
    <cellStyle name="Input 3 2 7" xfId="8200"/>
    <cellStyle name="Input 3 2 7 2" xfId="8201"/>
    <cellStyle name="Input 3 2 8" xfId="8202"/>
    <cellStyle name="Input 3 2 8 2" xfId="8203"/>
    <cellStyle name="Input 3 2 9" xfId="8204"/>
    <cellStyle name="Input 3 3" xfId="8205"/>
    <cellStyle name="Input 3 3 2" xfId="8206"/>
    <cellStyle name="Input 3 4" xfId="8207"/>
    <cellStyle name="Input 3 4 2" xfId="8208"/>
    <cellStyle name="Input 3 5" xfId="8209"/>
    <cellStyle name="Input 3 5 2" xfId="8210"/>
    <cellStyle name="Input 3 6" xfId="8211"/>
    <cellStyle name="Input 3 6 2" xfId="8212"/>
    <cellStyle name="Input 3 7" xfId="8213"/>
    <cellStyle name="Input 3 7 2" xfId="8214"/>
    <cellStyle name="Input 3 8" xfId="8215"/>
    <cellStyle name="Input 3 8 2" xfId="8216"/>
    <cellStyle name="Input 3 9" xfId="8217"/>
    <cellStyle name="Input 3 9 2" xfId="8218"/>
    <cellStyle name="Input 4" xfId="1675"/>
    <cellStyle name="Input 4 10" xfId="8219"/>
    <cellStyle name="Input 4 11" xfId="8220"/>
    <cellStyle name="Input 4 12" xfId="8221"/>
    <cellStyle name="Input 4 2" xfId="8222"/>
    <cellStyle name="Input 4 2 2" xfId="8223"/>
    <cellStyle name="Input 4 2 2 2" xfId="8224"/>
    <cellStyle name="Input 4 2 3" xfId="8225"/>
    <cellStyle name="Input 4 2 3 2" xfId="8226"/>
    <cellStyle name="Input 4 2 4" xfId="8227"/>
    <cellStyle name="Input 4 2 4 2" xfId="8228"/>
    <cellStyle name="Input 4 2 5" xfId="8229"/>
    <cellStyle name="Input 4 2 5 2" xfId="8230"/>
    <cellStyle name="Input 4 2 6" xfId="8231"/>
    <cellStyle name="Input 4 2 6 2" xfId="8232"/>
    <cellStyle name="Input 4 2 7" xfId="8233"/>
    <cellStyle name="Input 4 2 7 2" xfId="8234"/>
    <cellStyle name="Input 4 2 8" xfId="8235"/>
    <cellStyle name="Input 4 2 8 2" xfId="8236"/>
    <cellStyle name="Input 4 2 9" xfId="8237"/>
    <cellStyle name="Input 4 3" xfId="8238"/>
    <cellStyle name="Input 4 3 2" xfId="8239"/>
    <cellStyle name="Input 4 4" xfId="8240"/>
    <cellStyle name="Input 4 4 2" xfId="8241"/>
    <cellStyle name="Input 4 5" xfId="8242"/>
    <cellStyle name="Input 4 5 2" xfId="8243"/>
    <cellStyle name="Input 4 6" xfId="8244"/>
    <cellStyle name="Input 4 6 2" xfId="8245"/>
    <cellStyle name="Input 4 7" xfId="8246"/>
    <cellStyle name="Input 4 7 2" xfId="8247"/>
    <cellStyle name="Input 4 8" xfId="8248"/>
    <cellStyle name="Input 4 8 2" xfId="8249"/>
    <cellStyle name="Input 4 9" xfId="8250"/>
    <cellStyle name="Input 4 9 2" xfId="8251"/>
    <cellStyle name="Input 5" xfId="1676"/>
    <cellStyle name="Input 5 10" xfId="8252"/>
    <cellStyle name="Input 5 11" xfId="8253"/>
    <cellStyle name="Input 5 12" xfId="8254"/>
    <cellStyle name="Input 5 2" xfId="8255"/>
    <cellStyle name="Input 5 2 2" xfId="8256"/>
    <cellStyle name="Input 5 2 2 2" xfId="8257"/>
    <cellStyle name="Input 5 2 3" xfId="8258"/>
    <cellStyle name="Input 5 2 3 2" xfId="8259"/>
    <cellStyle name="Input 5 2 4" xfId="8260"/>
    <cellStyle name="Input 5 2 4 2" xfId="8261"/>
    <cellStyle name="Input 5 2 5" xfId="8262"/>
    <cellStyle name="Input 5 2 5 2" xfId="8263"/>
    <cellStyle name="Input 5 2 6" xfId="8264"/>
    <cellStyle name="Input 5 2 6 2" xfId="8265"/>
    <cellStyle name="Input 5 2 7" xfId="8266"/>
    <cellStyle name="Input 5 2 7 2" xfId="8267"/>
    <cellStyle name="Input 5 2 8" xfId="8268"/>
    <cellStyle name="Input 5 2 8 2" xfId="8269"/>
    <cellStyle name="Input 5 2 9" xfId="8270"/>
    <cellStyle name="Input 5 3" xfId="8271"/>
    <cellStyle name="Input 5 3 2" xfId="8272"/>
    <cellStyle name="Input 5 4" xfId="8273"/>
    <cellStyle name="Input 5 4 2" xfId="8274"/>
    <cellStyle name="Input 5 5" xfId="8275"/>
    <cellStyle name="Input 5 5 2" xfId="8276"/>
    <cellStyle name="Input 5 6" xfId="8277"/>
    <cellStyle name="Input 5 6 2" xfId="8278"/>
    <cellStyle name="Input 5 7" xfId="8279"/>
    <cellStyle name="Input 5 7 2" xfId="8280"/>
    <cellStyle name="Input 5 8" xfId="8281"/>
    <cellStyle name="Input 5 8 2" xfId="8282"/>
    <cellStyle name="Input 5 9" xfId="8283"/>
    <cellStyle name="Input 5 9 2" xfId="8284"/>
    <cellStyle name="Input 6" xfId="1677"/>
    <cellStyle name="Input 6 10" xfId="8285"/>
    <cellStyle name="Input 6 11" xfId="8286"/>
    <cellStyle name="Input 6 12" xfId="8287"/>
    <cellStyle name="Input 6 2" xfId="8288"/>
    <cellStyle name="Input 6 2 2" xfId="8289"/>
    <cellStyle name="Input 6 2 2 2" xfId="8290"/>
    <cellStyle name="Input 6 2 3" xfId="8291"/>
    <cellStyle name="Input 6 2 3 2" xfId="8292"/>
    <cellStyle name="Input 6 2 4" xfId="8293"/>
    <cellStyle name="Input 6 2 4 2" xfId="8294"/>
    <cellStyle name="Input 6 2 5" xfId="8295"/>
    <cellStyle name="Input 6 2 5 2" xfId="8296"/>
    <cellStyle name="Input 6 2 6" xfId="8297"/>
    <cellStyle name="Input 6 2 6 2" xfId="8298"/>
    <cellStyle name="Input 6 2 7" xfId="8299"/>
    <cellStyle name="Input 6 2 7 2" xfId="8300"/>
    <cellStyle name="Input 6 2 8" xfId="8301"/>
    <cellStyle name="Input 6 2 8 2" xfId="8302"/>
    <cellStyle name="Input 6 2 9" xfId="8303"/>
    <cellStyle name="Input 6 3" xfId="8304"/>
    <cellStyle name="Input 6 3 2" xfId="8305"/>
    <cellStyle name="Input 6 4" xfId="8306"/>
    <cellStyle name="Input 6 4 2" xfId="8307"/>
    <cellStyle name="Input 6 5" xfId="8308"/>
    <cellStyle name="Input 6 5 2" xfId="8309"/>
    <cellStyle name="Input 6 6" xfId="8310"/>
    <cellStyle name="Input 6 6 2" xfId="8311"/>
    <cellStyle name="Input 6 7" xfId="8312"/>
    <cellStyle name="Input 6 7 2" xfId="8313"/>
    <cellStyle name="Input 6 8" xfId="8314"/>
    <cellStyle name="Input 6 8 2" xfId="8315"/>
    <cellStyle name="Input 6 9" xfId="8316"/>
    <cellStyle name="Input 6 9 2" xfId="8317"/>
    <cellStyle name="Input 7" xfId="1678"/>
    <cellStyle name="Input 7 10" xfId="8318"/>
    <cellStyle name="Input 7 11" xfId="8319"/>
    <cellStyle name="Input 7 12" xfId="8320"/>
    <cellStyle name="Input 7 2" xfId="8321"/>
    <cellStyle name="Input 7 2 2" xfId="8322"/>
    <cellStyle name="Input 7 2 2 2" xfId="8323"/>
    <cellStyle name="Input 7 2 3" xfId="8324"/>
    <cellStyle name="Input 7 2 3 2" xfId="8325"/>
    <cellStyle name="Input 7 2 4" xfId="8326"/>
    <cellStyle name="Input 7 2 4 2" xfId="8327"/>
    <cellStyle name="Input 7 2 5" xfId="8328"/>
    <cellStyle name="Input 7 2 5 2" xfId="8329"/>
    <cellStyle name="Input 7 2 6" xfId="8330"/>
    <cellStyle name="Input 7 2 6 2" xfId="8331"/>
    <cellStyle name="Input 7 2 7" xfId="8332"/>
    <cellStyle name="Input 7 2 7 2" xfId="8333"/>
    <cellStyle name="Input 7 2 8" xfId="8334"/>
    <cellStyle name="Input 7 2 8 2" xfId="8335"/>
    <cellStyle name="Input 7 2 9" xfId="8336"/>
    <cellStyle name="Input 7 3" xfId="8337"/>
    <cellStyle name="Input 7 3 2" xfId="8338"/>
    <cellStyle name="Input 7 4" xfId="8339"/>
    <cellStyle name="Input 7 4 2" xfId="8340"/>
    <cellStyle name="Input 7 5" xfId="8341"/>
    <cellStyle name="Input 7 5 2" xfId="8342"/>
    <cellStyle name="Input 7 6" xfId="8343"/>
    <cellStyle name="Input 7 6 2" xfId="8344"/>
    <cellStyle name="Input 7 7" xfId="8345"/>
    <cellStyle name="Input 7 7 2" xfId="8346"/>
    <cellStyle name="Input 7 8" xfId="8347"/>
    <cellStyle name="Input 7 8 2" xfId="8348"/>
    <cellStyle name="Input 7 9" xfId="8349"/>
    <cellStyle name="Input 7 9 2" xfId="8350"/>
    <cellStyle name="Input 8" xfId="1679"/>
    <cellStyle name="Input 8 10" xfId="8351"/>
    <cellStyle name="Input 8 11" xfId="8352"/>
    <cellStyle name="Input 8 12" xfId="8353"/>
    <cellStyle name="Input 8 2" xfId="8354"/>
    <cellStyle name="Input 8 2 2" xfId="8355"/>
    <cellStyle name="Input 8 2 2 2" xfId="8356"/>
    <cellStyle name="Input 8 2 3" xfId="8357"/>
    <cellStyle name="Input 8 2 3 2" xfId="8358"/>
    <cellStyle name="Input 8 2 4" xfId="8359"/>
    <cellStyle name="Input 8 2 4 2" xfId="8360"/>
    <cellStyle name="Input 8 2 5" xfId="8361"/>
    <cellStyle name="Input 8 2 5 2" xfId="8362"/>
    <cellStyle name="Input 8 2 6" xfId="8363"/>
    <cellStyle name="Input 8 2 6 2" xfId="8364"/>
    <cellStyle name="Input 8 2 7" xfId="8365"/>
    <cellStyle name="Input 8 2 7 2" xfId="8366"/>
    <cellStyle name="Input 8 2 8" xfId="8367"/>
    <cellStyle name="Input 8 2 8 2" xfId="8368"/>
    <cellStyle name="Input 8 2 9" xfId="8369"/>
    <cellStyle name="Input 8 3" xfId="8370"/>
    <cellStyle name="Input 8 3 2" xfId="8371"/>
    <cellStyle name="Input 8 4" xfId="8372"/>
    <cellStyle name="Input 8 4 2" xfId="8373"/>
    <cellStyle name="Input 8 5" xfId="8374"/>
    <cellStyle name="Input 8 5 2" xfId="8375"/>
    <cellStyle name="Input 8 6" xfId="8376"/>
    <cellStyle name="Input 8 6 2" xfId="8377"/>
    <cellStyle name="Input 8 7" xfId="8378"/>
    <cellStyle name="Input 8 7 2" xfId="8379"/>
    <cellStyle name="Input 8 8" xfId="8380"/>
    <cellStyle name="Input 8 8 2" xfId="8381"/>
    <cellStyle name="Input 8 9" xfId="8382"/>
    <cellStyle name="Input 8 9 2" xfId="8383"/>
    <cellStyle name="Input 9" xfId="1680"/>
    <cellStyle name="Input 9 10" xfId="8384"/>
    <cellStyle name="Input 9 11" xfId="8385"/>
    <cellStyle name="Input 9 12" xfId="8386"/>
    <cellStyle name="Input 9 2" xfId="8387"/>
    <cellStyle name="Input 9 2 2" xfId="8388"/>
    <cellStyle name="Input 9 2 2 2" xfId="8389"/>
    <cellStyle name="Input 9 2 3" xfId="8390"/>
    <cellStyle name="Input 9 2 3 2" xfId="8391"/>
    <cellStyle name="Input 9 2 4" xfId="8392"/>
    <cellStyle name="Input 9 2 4 2" xfId="8393"/>
    <cellStyle name="Input 9 2 5" xfId="8394"/>
    <cellStyle name="Input 9 2 5 2" xfId="8395"/>
    <cellStyle name="Input 9 2 6" xfId="8396"/>
    <cellStyle name="Input 9 2 6 2" xfId="8397"/>
    <cellStyle name="Input 9 2 7" xfId="8398"/>
    <cellStyle name="Input 9 2 7 2" xfId="8399"/>
    <cellStyle name="Input 9 2 8" xfId="8400"/>
    <cellStyle name="Input 9 2 8 2" xfId="8401"/>
    <cellStyle name="Input 9 2 9" xfId="8402"/>
    <cellStyle name="Input 9 3" xfId="8403"/>
    <cellStyle name="Input 9 3 2" xfId="8404"/>
    <cellStyle name="Input 9 4" xfId="8405"/>
    <cellStyle name="Input 9 4 2" xfId="8406"/>
    <cellStyle name="Input 9 5" xfId="8407"/>
    <cellStyle name="Input 9 5 2" xfId="8408"/>
    <cellStyle name="Input 9 6" xfId="8409"/>
    <cellStyle name="Input 9 6 2" xfId="8410"/>
    <cellStyle name="Input 9 7" xfId="8411"/>
    <cellStyle name="Input 9 7 2" xfId="8412"/>
    <cellStyle name="Input 9 8" xfId="8413"/>
    <cellStyle name="Input 9 8 2" xfId="8414"/>
    <cellStyle name="Input 9 9" xfId="8415"/>
    <cellStyle name="Input 9 9 2" xfId="8416"/>
    <cellStyle name="Labels - Style3" xfId="8417"/>
    <cellStyle name="LineItemPrompt" xfId="8418"/>
    <cellStyle name="LineItemPrompt 2" xfId="8419"/>
    <cellStyle name="LineItemPrompt 2 2" xfId="8420"/>
    <cellStyle name="LineItemPrompt 2 3" xfId="8421"/>
    <cellStyle name="LineItemPrompt 3" xfId="8422"/>
    <cellStyle name="LineItemValue" xfId="8423"/>
    <cellStyle name="LineItemValue 2" xfId="8424"/>
    <cellStyle name="LineItemValue 2 2" xfId="8425"/>
    <cellStyle name="LineItemValue 2 3" xfId="8426"/>
    <cellStyle name="LineItemValue 3" xfId="8427"/>
    <cellStyle name="LineItemValue 4" xfId="8428"/>
    <cellStyle name="Linked Cell 10" xfId="1681"/>
    <cellStyle name="Linked Cell 11" xfId="1682"/>
    <cellStyle name="Linked Cell 12" xfId="1683"/>
    <cellStyle name="Linked Cell 13" xfId="1684"/>
    <cellStyle name="Linked Cell 14" xfId="1685"/>
    <cellStyle name="Linked Cell 15" xfId="1686"/>
    <cellStyle name="Linked Cell 16" xfId="1687"/>
    <cellStyle name="Linked Cell 17" xfId="1688"/>
    <cellStyle name="Linked Cell 17 2" xfId="8429"/>
    <cellStyle name="Linked Cell 18" xfId="1689"/>
    <cellStyle name="Linked Cell 19" xfId="1690"/>
    <cellStyle name="Linked Cell 2" xfId="1691"/>
    <cellStyle name="Linked Cell 2 2" xfId="1692"/>
    <cellStyle name="Linked Cell 2 2 2" xfId="1693"/>
    <cellStyle name="Linked Cell 2 2 2 2" xfId="1694"/>
    <cellStyle name="Linked Cell 2 2 2 3" xfId="1695"/>
    <cellStyle name="Linked Cell 2 2 2 4" xfId="1696"/>
    <cellStyle name="Linked Cell 2 2 2 5" xfId="1697"/>
    <cellStyle name="Linked Cell 2 2 3" xfId="1698"/>
    <cellStyle name="Linked Cell 2 2 4" xfId="1699"/>
    <cellStyle name="Linked Cell 2 2 5" xfId="1700"/>
    <cellStyle name="Linked Cell 2 3" xfId="1701"/>
    <cellStyle name="Linked Cell 2 4" xfId="1702"/>
    <cellStyle name="Linked Cell 2 5" xfId="1703"/>
    <cellStyle name="Linked Cell 2 6" xfId="1704"/>
    <cellStyle name="Linked Cell 2 7" xfId="1705"/>
    <cellStyle name="Linked Cell 2 8" xfId="1706"/>
    <cellStyle name="Linked Cell 2 9" xfId="1707"/>
    <cellStyle name="Linked Cell 20" xfId="1708"/>
    <cellStyle name="Linked Cell 21" xfId="1709"/>
    <cellStyle name="Linked Cell 22" xfId="1710"/>
    <cellStyle name="Linked Cell 3" xfId="1711"/>
    <cellStyle name="Linked Cell 3 2" xfId="8430"/>
    <cellStyle name="Linked Cell 4" xfId="1712"/>
    <cellStyle name="Linked Cell 5" xfId="1713"/>
    <cellStyle name="Linked Cell 6" xfId="1714"/>
    <cellStyle name="Linked Cell 7" xfId="1715"/>
    <cellStyle name="Linked Cell 8" xfId="1716"/>
    <cellStyle name="Linked Cell 9" xfId="1717"/>
    <cellStyle name="Milliers [0]_EDYAN" xfId="8431"/>
    <cellStyle name="Milliers_EDYAN" xfId="8432"/>
    <cellStyle name="Monétaire [0]_EDYAN" xfId="8433"/>
    <cellStyle name="Monétaire_EDYAN" xfId="8434"/>
    <cellStyle name="Neutral 10" xfId="1718"/>
    <cellStyle name="Neutral 11" xfId="1719"/>
    <cellStyle name="Neutral 12" xfId="1720"/>
    <cellStyle name="Neutral 13" xfId="1721"/>
    <cellStyle name="Neutral 14" xfId="1722"/>
    <cellStyle name="Neutral 15" xfId="1723"/>
    <cellStyle name="Neutral 16" xfId="1724"/>
    <cellStyle name="Neutral 17" xfId="1725"/>
    <cellStyle name="Neutral 17 2" xfId="8435"/>
    <cellStyle name="Neutral 18" xfId="1726"/>
    <cellStyle name="Neutral 19" xfId="1727"/>
    <cellStyle name="Neutral 2" xfId="1728"/>
    <cellStyle name="Neutral 2 2" xfId="1729"/>
    <cellStyle name="Neutral 2 2 2" xfId="1730"/>
    <cellStyle name="Neutral 2 2 2 2" xfId="1731"/>
    <cellStyle name="Neutral 2 2 2 3" xfId="1732"/>
    <cellStyle name="Neutral 2 2 2 4" xfId="1733"/>
    <cellStyle name="Neutral 2 2 2 5" xfId="1734"/>
    <cellStyle name="Neutral 2 2 3" xfId="1735"/>
    <cellStyle name="Neutral 2 2 4" xfId="1736"/>
    <cellStyle name="Neutral 2 2 5" xfId="1737"/>
    <cellStyle name="Neutral 2 3" xfId="1738"/>
    <cellStyle name="Neutral 2 4" xfId="1739"/>
    <cellStyle name="Neutral 2 5" xfId="1740"/>
    <cellStyle name="Neutral 2 6" xfId="1741"/>
    <cellStyle name="Neutral 2 7" xfId="1742"/>
    <cellStyle name="Neutral 2 8" xfId="1743"/>
    <cellStyle name="Neutral 2 9" xfId="1744"/>
    <cellStyle name="Neutral 20" xfId="1745"/>
    <cellStyle name="Neutral 21" xfId="1746"/>
    <cellStyle name="Neutral 22" xfId="1747"/>
    <cellStyle name="Neutral 3" xfId="1748"/>
    <cellStyle name="Neutral 3 2" xfId="8436"/>
    <cellStyle name="Neutral 4" xfId="1749"/>
    <cellStyle name="Neutral 5" xfId="1750"/>
    <cellStyle name="Neutral 6" xfId="1751"/>
    <cellStyle name="Neutral 7" xfId="1752"/>
    <cellStyle name="Neutral 8" xfId="1753"/>
    <cellStyle name="Neutral 9" xfId="1754"/>
    <cellStyle name="Normal" xfId="0" builtinId="0" customBuiltin="1"/>
    <cellStyle name="Normal - Style1" xfId="8437"/>
    <cellStyle name="Normal - Style1 2" xfId="8438"/>
    <cellStyle name="Normal - Style2" xfId="8439"/>
    <cellStyle name="Normal - Style3" xfId="8440"/>
    <cellStyle name="Normal - Style4" xfId="8441"/>
    <cellStyle name="Normal - Style5" xfId="8442"/>
    <cellStyle name="Normal - Style6" xfId="8443"/>
    <cellStyle name="Normal - Style7" xfId="8444"/>
    <cellStyle name="Normal - Style8" xfId="8445"/>
    <cellStyle name="Normal 10" xfId="1755"/>
    <cellStyle name="Normal 10 2" xfId="2106"/>
    <cellStyle name="Normal 10 2 2" xfId="8446"/>
    <cellStyle name="Normal 10 3" xfId="8447"/>
    <cellStyle name="Normal 11" xfId="1756"/>
    <cellStyle name="Normal 11 2" xfId="1757"/>
    <cellStyle name="Normal 11 2 2" xfId="8448"/>
    <cellStyle name="Normal 11 3" xfId="1758"/>
    <cellStyle name="Normal 11 4" xfId="1759"/>
    <cellStyle name="Normal 11 5" xfId="1760"/>
    <cellStyle name="Normal 12" xfId="1761"/>
    <cellStyle name="Normal 12 2" xfId="8449"/>
    <cellStyle name="Normal 12 2 2" xfId="8450"/>
    <cellStyle name="Normal 12 2 2 2" xfId="8451"/>
    <cellStyle name="Normal 12 2 2 2 2" xfId="8452"/>
    <cellStyle name="Normal 12 2 2 2 2 2" xfId="8453"/>
    <cellStyle name="Normal 12 2 2 2 2 2 2" xfId="8454"/>
    <cellStyle name="Normal 12 2 2 2 2 3" xfId="8455"/>
    <cellStyle name="Normal 12 2 2 2 3" xfId="8456"/>
    <cellStyle name="Normal 12 2 2 2 3 2" xfId="8457"/>
    <cellStyle name="Normal 12 2 2 2 4" xfId="8458"/>
    <cellStyle name="Normal 12 2 2 2 5" xfId="8459"/>
    <cellStyle name="Normal 12 2 2 3" xfId="8460"/>
    <cellStyle name="Normal 12 2 2 3 2" xfId="8461"/>
    <cellStyle name="Normal 12 2 2 3 2 2" xfId="8462"/>
    <cellStyle name="Normal 12 2 2 3 3" xfId="8463"/>
    <cellStyle name="Normal 12 2 2 4" xfId="8464"/>
    <cellStyle name="Normal 12 2 2 4 2" xfId="8465"/>
    <cellStyle name="Normal 12 2 2 5" xfId="8466"/>
    <cellStyle name="Normal 12 2 2 6" xfId="8467"/>
    <cellStyle name="Normal 12 2 3" xfId="8468"/>
    <cellStyle name="Normal 12 2 3 2" xfId="8469"/>
    <cellStyle name="Normal 12 2 3 2 2" xfId="8470"/>
    <cellStyle name="Normal 12 2 3 2 2 2" xfId="8471"/>
    <cellStyle name="Normal 12 2 3 2 3" xfId="8472"/>
    <cellStyle name="Normal 12 2 3 3" xfId="8473"/>
    <cellStyle name="Normal 12 2 3 3 2" xfId="8474"/>
    <cellStyle name="Normal 12 2 3 4" xfId="8475"/>
    <cellStyle name="Normal 12 2 3 5" xfId="8476"/>
    <cellStyle name="Normal 12 2 4" xfId="8477"/>
    <cellStyle name="Normal 12 2 4 2" xfId="8478"/>
    <cellStyle name="Normal 12 2 4 2 2" xfId="8479"/>
    <cellStyle name="Normal 12 2 4 3" xfId="8480"/>
    <cellStyle name="Normal 12 2 5" xfId="8481"/>
    <cellStyle name="Normal 12 2 5 2" xfId="8482"/>
    <cellStyle name="Normal 12 2 6" xfId="8483"/>
    <cellStyle name="Normal 12 2 7" xfId="8484"/>
    <cellStyle name="Normal 12 3" xfId="8485"/>
    <cellStyle name="Normal 12 3 2" xfId="8486"/>
    <cellStyle name="Normal 12 3 2 2" xfId="8487"/>
    <cellStyle name="Normal 12 3 2 2 2" xfId="8488"/>
    <cellStyle name="Normal 12 3 2 2 2 2" xfId="8489"/>
    <cellStyle name="Normal 12 3 2 2 3" xfId="8490"/>
    <cellStyle name="Normal 12 3 2 3" xfId="8491"/>
    <cellStyle name="Normal 12 3 2 3 2" xfId="8492"/>
    <cellStyle name="Normal 12 3 2 4" xfId="8493"/>
    <cellStyle name="Normal 12 3 3" xfId="8494"/>
    <cellStyle name="Normal 12 3 3 2" xfId="8495"/>
    <cellStyle name="Normal 12 3 3 2 2" xfId="8496"/>
    <cellStyle name="Normal 12 3 3 3" xfId="8497"/>
    <cellStyle name="Normal 12 3 4" xfId="8498"/>
    <cellStyle name="Normal 12 3 4 2" xfId="8499"/>
    <cellStyle name="Normal 12 3 5" xfId="8500"/>
    <cellStyle name="Normal 12 3 6" xfId="8501"/>
    <cellStyle name="Normal 12 4" xfId="8502"/>
    <cellStyle name="Normal 12 4 2" xfId="8503"/>
    <cellStyle name="Normal 12 4 2 2" xfId="8504"/>
    <cellStyle name="Normal 12 4 2 2 2" xfId="8505"/>
    <cellStyle name="Normal 12 4 2 3" xfId="8506"/>
    <cellStyle name="Normal 12 4 3" xfId="8507"/>
    <cellStyle name="Normal 12 4 3 2" xfId="8508"/>
    <cellStyle name="Normal 12 4 4" xfId="8509"/>
    <cellStyle name="Normal 12 5" xfId="8510"/>
    <cellStyle name="Normal 12 5 2" xfId="8511"/>
    <cellStyle name="Normal 12 5 2 2" xfId="8512"/>
    <cellStyle name="Normal 12 5 3" xfId="8513"/>
    <cellStyle name="Normal 12 6" xfId="8514"/>
    <cellStyle name="Normal 12 6 2" xfId="8515"/>
    <cellStyle name="Normal 12 7" xfId="8516"/>
    <cellStyle name="Normal 12 8" xfId="8517"/>
    <cellStyle name="Normal 13" xfId="1762"/>
    <cellStyle name="Normal 13 2" xfId="1763"/>
    <cellStyle name="Normal 13 2 2" xfId="8518"/>
    <cellStyle name="Normal 13 2 3" xfId="8519"/>
    <cellStyle name="Normal 13 3" xfId="1764"/>
    <cellStyle name="Normal 13 4" xfId="1765"/>
    <cellStyle name="Normal 13 5" xfId="1766"/>
    <cellStyle name="Normal 14" xfId="1767"/>
    <cellStyle name="Normal 14 2" xfId="8520"/>
    <cellStyle name="Normal 14 2 2" xfId="8521"/>
    <cellStyle name="Normal 14 2 2 2" xfId="8522"/>
    <cellStyle name="Normal 14 2 2 2 2" xfId="8523"/>
    <cellStyle name="Normal 14 2 2 3" xfId="8524"/>
    <cellStyle name="Normal 14 2 2 4" xfId="8525"/>
    <cellStyle name="Normal 14 2 3" xfId="8526"/>
    <cellStyle name="Normal 14 2 3 2" xfId="8527"/>
    <cellStyle name="Normal 14 2 4" xfId="8528"/>
    <cellStyle name="Normal 14 2 4 2" xfId="8529"/>
    <cellStyle name="Normal 14 2 5" xfId="8530"/>
    <cellStyle name="Normal 14 2 6" xfId="8531"/>
    <cellStyle name="Normal 14 2 7" xfId="8532"/>
    <cellStyle name="Normal 14 3" xfId="8533"/>
    <cellStyle name="Normal 14 3 2" xfId="8534"/>
    <cellStyle name="Normal 14 3 2 2" xfId="8535"/>
    <cellStyle name="Normal 14 3 3" xfId="8536"/>
    <cellStyle name="Normal 14 3 4" xfId="8537"/>
    <cellStyle name="Normal 14 4" xfId="8538"/>
    <cellStyle name="Normal 14 4 2" xfId="8539"/>
    <cellStyle name="Normal 14 4 3" xfId="8540"/>
    <cellStyle name="Normal 14 4 4" xfId="8541"/>
    <cellStyle name="Normal 14 5" xfId="8542"/>
    <cellStyle name="Normal 15" xfId="1768"/>
    <cellStyle name="Normal 15 2" xfId="8543"/>
    <cellStyle name="Normal 15 2 10" xfId="8544"/>
    <cellStyle name="Normal 15 2 11" xfId="8545"/>
    <cellStyle name="Normal 15 2 2" xfId="8546"/>
    <cellStyle name="Normal 15 2 2 2" xfId="8547"/>
    <cellStyle name="Normal 15 2 2 2 2" xfId="8548"/>
    <cellStyle name="Normal 15 2 2 2 2 2" xfId="8549"/>
    <cellStyle name="Normal 15 2 2 2 2 3" xfId="8550"/>
    <cellStyle name="Normal 15 2 2 2 3" xfId="8551"/>
    <cellStyle name="Normal 15 2 2 2 3 2" xfId="8552"/>
    <cellStyle name="Normal 15 2 2 2 4" xfId="8553"/>
    <cellStyle name="Normal 15 2 2 2 5" xfId="8554"/>
    <cellStyle name="Normal 15 2 2 2 6" xfId="8555"/>
    <cellStyle name="Normal 15 2 2 3" xfId="8556"/>
    <cellStyle name="Normal 15 2 2 3 2" xfId="8557"/>
    <cellStyle name="Normal 15 2 2 3 3" xfId="8558"/>
    <cellStyle name="Normal 15 2 2 4" xfId="8559"/>
    <cellStyle name="Normal 15 2 2 4 2" xfId="8560"/>
    <cellStyle name="Normal 15 2 2 5" xfId="8561"/>
    <cellStyle name="Normal 15 2 2 6" xfId="8562"/>
    <cellStyle name="Normal 15 2 2 7" xfId="8563"/>
    <cellStyle name="Normal 15 2 3" xfId="8564"/>
    <cellStyle name="Normal 15 2 3 2" xfId="8565"/>
    <cellStyle name="Normal 15 2 3 2 2" xfId="8566"/>
    <cellStyle name="Normal 15 2 3 2 2 2" xfId="8567"/>
    <cellStyle name="Normal 15 2 3 2 3" xfId="8568"/>
    <cellStyle name="Normal 15 2 3 2 4" xfId="8569"/>
    <cellStyle name="Normal 15 2 3 2 5" xfId="8570"/>
    <cellStyle name="Normal 15 2 3 2 6" xfId="8571"/>
    <cellStyle name="Normal 15 2 3 3" xfId="8572"/>
    <cellStyle name="Normal 15 2 3 3 2" xfId="8573"/>
    <cellStyle name="Normal 15 2 3 4" xfId="8574"/>
    <cellStyle name="Normal 15 2 3 5" xfId="8575"/>
    <cellStyle name="Normal 15 2 3 6" xfId="8576"/>
    <cellStyle name="Normal 15 2 3 7" xfId="8577"/>
    <cellStyle name="Normal 15 2 4" xfId="8578"/>
    <cellStyle name="Normal 15 2 4 2" xfId="8579"/>
    <cellStyle name="Normal 15 2 4 2 2" xfId="8580"/>
    <cellStyle name="Normal 15 2 4 3" xfId="8581"/>
    <cellStyle name="Normal 15 2 4 4" xfId="8582"/>
    <cellStyle name="Normal 15 2 4 5" xfId="8583"/>
    <cellStyle name="Normal 15 2 4 6" xfId="8584"/>
    <cellStyle name="Normal 15 2 5" xfId="8585"/>
    <cellStyle name="Normal 15 2 5 2" xfId="8586"/>
    <cellStyle name="Normal 15 2 5 2 2" xfId="8587"/>
    <cellStyle name="Normal 15 2 5 3" xfId="8588"/>
    <cellStyle name="Normal 15 2 5 4" xfId="8589"/>
    <cellStyle name="Normal 15 2 5 5" xfId="8590"/>
    <cellStyle name="Normal 15 2 6" xfId="8591"/>
    <cellStyle name="Normal 15 2 6 2" xfId="8592"/>
    <cellStyle name="Normal 15 2 7" xfId="8593"/>
    <cellStyle name="Normal 15 2 8" xfId="8594"/>
    <cellStyle name="Normal 15 2 9" xfId="8595"/>
    <cellStyle name="Normal 15 3" xfId="8596"/>
    <cellStyle name="Normal 15 3 2" xfId="8597"/>
    <cellStyle name="Normal 15 3 2 2" xfId="8598"/>
    <cellStyle name="Normal 15 3 2 2 2" xfId="8599"/>
    <cellStyle name="Normal 15 3 2 2 3" xfId="8600"/>
    <cellStyle name="Normal 15 3 2 3" xfId="8601"/>
    <cellStyle name="Normal 15 3 2 3 2" xfId="8602"/>
    <cellStyle name="Normal 15 3 2 4" xfId="8603"/>
    <cellStyle name="Normal 15 3 2 5" xfId="8604"/>
    <cellStyle name="Normal 15 3 2 6" xfId="8605"/>
    <cellStyle name="Normal 15 3 3" xfId="8606"/>
    <cellStyle name="Normal 15 3 3 2" xfId="8607"/>
    <cellStyle name="Normal 15 3 3 3" xfId="8608"/>
    <cellStyle name="Normal 15 3 4" xfId="8609"/>
    <cellStyle name="Normal 15 3 4 2" xfId="8610"/>
    <cellStyle name="Normal 15 3 5" xfId="8611"/>
    <cellStyle name="Normal 15 3 6" xfId="8612"/>
    <cellStyle name="Normal 15 3 7" xfId="8613"/>
    <cellStyle name="Normal 15 4" xfId="8614"/>
    <cellStyle name="Normal 15 4 2" xfId="8615"/>
    <cellStyle name="Normal 15 4 2 2" xfId="8616"/>
    <cellStyle name="Normal 15 4 2 2 2" xfId="8617"/>
    <cellStyle name="Normal 15 4 2 3" xfId="8618"/>
    <cellStyle name="Normal 15 4 2 4" xfId="8619"/>
    <cellStyle name="Normal 15 4 2 5" xfId="8620"/>
    <cellStyle name="Normal 15 4 2 6" xfId="8621"/>
    <cellStyle name="Normal 15 4 3" xfId="8622"/>
    <cellStyle name="Normal 15 4 3 2" xfId="8623"/>
    <cellStyle name="Normal 15 4 4" xfId="8624"/>
    <cellStyle name="Normal 15 4 5" xfId="8625"/>
    <cellStyle name="Normal 15 4 6" xfId="8626"/>
    <cellStyle name="Normal 15 4 7" xfId="8627"/>
    <cellStyle name="Normal 15 5" xfId="8628"/>
    <cellStyle name="Normal 15 5 2" xfId="8629"/>
    <cellStyle name="Normal 15 5 2 2" xfId="8630"/>
    <cellStyle name="Normal 15 5 2 3" xfId="8631"/>
    <cellStyle name="Normal 15 5 3" xfId="8632"/>
    <cellStyle name="Normal 15 5 4" xfId="8633"/>
    <cellStyle name="Normal 15 5 5" xfId="8634"/>
    <cellStyle name="Normal 15 6" xfId="8635"/>
    <cellStyle name="Normal 15 6 2" xfId="8636"/>
    <cellStyle name="Normal 15 6 2 2" xfId="8637"/>
    <cellStyle name="Normal 15 6 3" xfId="8638"/>
    <cellStyle name="Normal 15 6 4" xfId="8639"/>
    <cellStyle name="Normal 15 6 5" xfId="8640"/>
    <cellStyle name="Normal 15 7" xfId="8641"/>
    <cellStyle name="Normal 15 7 2" xfId="8642"/>
    <cellStyle name="Normal 15 7 2 2" xfId="8643"/>
    <cellStyle name="Normal 15 7 3" xfId="8644"/>
    <cellStyle name="Normal 15 7 4" xfId="8645"/>
    <cellStyle name="Normal 15 7 5" xfId="8646"/>
    <cellStyle name="Normal 16" xfId="1769"/>
    <cellStyle name="Normal 16 2" xfId="8647"/>
    <cellStyle name="Normal 16 2 2" xfId="8648"/>
    <cellStyle name="Normal 17" xfId="1770"/>
    <cellStyle name="Normal 17 2" xfId="8649"/>
    <cellStyle name="Normal 17 2 2" xfId="8650"/>
    <cellStyle name="Normal 17 2 2 2" xfId="8651"/>
    <cellStyle name="Normal 17 2 2 2 2" xfId="8652"/>
    <cellStyle name="Normal 17 2 2 2 3" xfId="8653"/>
    <cellStyle name="Normal 17 2 2 3" xfId="8654"/>
    <cellStyle name="Normal 17 2 2 3 2" xfId="8655"/>
    <cellStyle name="Normal 17 2 2 4" xfId="8656"/>
    <cellStyle name="Normal 17 2 2 5" xfId="8657"/>
    <cellStyle name="Normal 17 2 2 6" xfId="8658"/>
    <cellStyle name="Normal 17 2 3" xfId="8659"/>
    <cellStyle name="Normal 17 2 3 2" xfId="8660"/>
    <cellStyle name="Normal 17 2 3 3" xfId="8661"/>
    <cellStyle name="Normal 17 2 4" xfId="8662"/>
    <cellStyle name="Normal 17 2 4 2" xfId="8663"/>
    <cellStyle name="Normal 17 2 5" xfId="8664"/>
    <cellStyle name="Normal 17 2 6" xfId="8665"/>
    <cellStyle name="Normal 17 2 7" xfId="8666"/>
    <cellStyle name="Normal 17 2 8" xfId="8667"/>
    <cellStyle name="Normal 17 3" xfId="8668"/>
    <cellStyle name="Normal 17 3 2" xfId="8669"/>
    <cellStyle name="Normal 17 3 2 2" xfId="8670"/>
    <cellStyle name="Normal 17 3 2 2 2" xfId="8671"/>
    <cellStyle name="Normal 17 3 2 3" xfId="8672"/>
    <cellStyle name="Normal 17 3 2 4" xfId="8673"/>
    <cellStyle name="Normal 17 3 2 5" xfId="8674"/>
    <cellStyle name="Normal 17 3 3" xfId="8675"/>
    <cellStyle name="Normal 17 3 3 2" xfId="8676"/>
    <cellStyle name="Normal 17 3 4" xfId="8677"/>
    <cellStyle name="Normal 17 3 5" xfId="8678"/>
    <cellStyle name="Normal 17 3 6" xfId="8679"/>
    <cellStyle name="Normal 17 3 7" xfId="8680"/>
    <cellStyle name="Normal 17 4" xfId="8681"/>
    <cellStyle name="Normal 17 4 2" xfId="8682"/>
    <cellStyle name="Normal 17 4 2 2" xfId="8683"/>
    <cellStyle name="Normal 17 4 3" xfId="8684"/>
    <cellStyle name="Normal 17 4 4" xfId="8685"/>
    <cellStyle name="Normal 17 4 5" xfId="8686"/>
    <cellStyle name="Normal 17 5" xfId="8687"/>
    <cellStyle name="Normal 17 5 2" xfId="8688"/>
    <cellStyle name="Normal 17 5 2 2" xfId="8689"/>
    <cellStyle name="Normal 17 5 3" xfId="8690"/>
    <cellStyle name="Normal 17 5 4" xfId="8691"/>
    <cellStyle name="Normal 17 5 5" xfId="8692"/>
    <cellStyle name="Normal 17 6" xfId="8693"/>
    <cellStyle name="Normal 17 6 2" xfId="8694"/>
    <cellStyle name="Normal 17 6 2 2" xfId="8695"/>
    <cellStyle name="Normal 17 6 3" xfId="8696"/>
    <cellStyle name="Normal 17 6 4" xfId="8697"/>
    <cellStyle name="Normal 17 6 5" xfId="8698"/>
    <cellStyle name="Normal 17 7" xfId="8699"/>
    <cellStyle name="Normal 18" xfId="1771"/>
    <cellStyle name="Normal 18 2" xfId="8700"/>
    <cellStyle name="Normal 18 2 2" xfId="8701"/>
    <cellStyle name="Normal 18 2 2 2" xfId="8702"/>
    <cellStyle name="Normal 18 2 2 3" xfId="8703"/>
    <cellStyle name="Normal 18 2 3" xfId="8704"/>
    <cellStyle name="Normal 18 2 4" xfId="8705"/>
    <cellStyle name="Normal 18 2 5" xfId="8706"/>
    <cellStyle name="Normal 18 2 6" xfId="8707"/>
    <cellStyle name="Normal 18 2 7" xfId="8708"/>
    <cellStyle name="Normal 18 3" xfId="8709"/>
    <cellStyle name="Normal 18 3 2" xfId="8710"/>
    <cellStyle name="Normal 18 3 2 2" xfId="8711"/>
    <cellStyle name="Normal 18 3 3" xfId="8712"/>
    <cellStyle name="Normal 18 3 4" xfId="8713"/>
    <cellStyle name="Normal 18 3 5" xfId="8714"/>
    <cellStyle name="Normal 18 3 6" xfId="8715"/>
    <cellStyle name="Normal 18 4" xfId="8716"/>
    <cellStyle name="Normal 19" xfId="1772"/>
    <cellStyle name="Normal 19 2" xfId="8717"/>
    <cellStyle name="Normal 19 2 2" xfId="8718"/>
    <cellStyle name="Normal 19 3" xfId="2110"/>
    <cellStyle name="Normal 2" xfId="5"/>
    <cellStyle name="Normal 2 10" xfId="1773"/>
    <cellStyle name="Normal 2 10 2" xfId="8719"/>
    <cellStyle name="Normal 2 10 2 2" xfId="8720"/>
    <cellStyle name="Normal 2 10 3" xfId="8721"/>
    <cellStyle name="Normal 2 11" xfId="1774"/>
    <cellStyle name="Normal 2 11 2" xfId="8722"/>
    <cellStyle name="Normal 2 11 2 2" xfId="8723"/>
    <cellStyle name="Normal 2 11 3" xfId="8724"/>
    <cellStyle name="Normal 2 12" xfId="1775"/>
    <cellStyle name="Normal 2 12 2" xfId="8725"/>
    <cellStyle name="Normal 2 13" xfId="1776"/>
    <cellStyle name="Normal 2 14" xfId="1777"/>
    <cellStyle name="Normal 2 15" xfId="1778"/>
    <cellStyle name="Normal 2 16" xfId="1779"/>
    <cellStyle name="Normal 2 17" xfId="1780"/>
    <cellStyle name="Normal 2 18" xfId="1781"/>
    <cellStyle name="Normal 2 18 2" xfId="8726"/>
    <cellStyle name="Normal 2 18 2 2" xfId="8727"/>
    <cellStyle name="Normal 2 18 3" xfId="8728"/>
    <cellStyle name="Normal 2 18 4" xfId="8729"/>
    <cellStyle name="Normal 2 19" xfId="1782"/>
    <cellStyle name="Normal 2 19 2" xfId="1783"/>
    <cellStyle name="Normal 2 19 3" xfId="1784"/>
    <cellStyle name="Normal 2 19 4" xfId="1785"/>
    <cellStyle name="Normal 2 19 5" xfId="1786"/>
    <cellStyle name="Normal 2 2" xfId="6"/>
    <cellStyle name="Normal 2 2 2" xfId="1787"/>
    <cellStyle name="Normal 2 2 2 2" xfId="8730"/>
    <cellStyle name="Normal 2 2 2 2 2" xfId="8731"/>
    <cellStyle name="Normal 2 2 2 3" xfId="8732"/>
    <cellStyle name="Normal 2 2 2 3 2" xfId="8733"/>
    <cellStyle name="Normal 2 2 2 4" xfId="8734"/>
    <cellStyle name="Normal 2 2 2 4 2" xfId="8735"/>
    <cellStyle name="Normal 2 2 2 5" xfId="8736"/>
    <cellStyle name="Normal 2 2 3" xfId="8737"/>
    <cellStyle name="Normal 2 2 3 2" xfId="8738"/>
    <cellStyle name="Normal 2 2 3 3" xfId="8739"/>
    <cellStyle name="Normal 2 2 4" xfId="8740"/>
    <cellStyle name="Normal 2 2 4 2" xfId="8741"/>
    <cellStyle name="Normal 2 2 4 2 2" xfId="8742"/>
    <cellStyle name="Normal 2 2 4 2 2 2" xfId="8743"/>
    <cellStyle name="Normal 2 2 4 2 2 2 2" xfId="8744"/>
    <cellStyle name="Normal 2 2 4 2 2 3" xfId="8745"/>
    <cellStyle name="Normal 2 2 4 2 2 4" xfId="8746"/>
    <cellStyle name="Normal 2 2 4 2 3" xfId="8747"/>
    <cellStyle name="Normal 2 2 4 2 3 2" xfId="8748"/>
    <cellStyle name="Normal 2 2 4 2 4" xfId="8749"/>
    <cellStyle name="Normal 2 2 4 2 5" xfId="8750"/>
    <cellStyle name="Normal 2 2 4 3" xfId="8751"/>
    <cellStyle name="Normal 2 2 4 3 2" xfId="8752"/>
    <cellStyle name="Normal 2 2 4 3 2 2" xfId="8753"/>
    <cellStyle name="Normal 2 2 4 3 3" xfId="8754"/>
    <cellStyle name="Normal 2 2 4 3 4" xfId="8755"/>
    <cellStyle name="Normal 2 2 4 4" xfId="8756"/>
    <cellStyle name="Normal 2 2 4 4 2" xfId="8757"/>
    <cellStyle name="Normal 2 2 4 5" xfId="8758"/>
    <cellStyle name="Normal 2 2 4 5 2" xfId="8759"/>
    <cellStyle name="Normal 2 2 4 6" xfId="8760"/>
    <cellStyle name="Normal 2 2 4 7" xfId="8761"/>
    <cellStyle name="Normal 2 2 5" xfId="8762"/>
    <cellStyle name="Normal 2 2 5 2" xfId="8763"/>
    <cellStyle name="Normal 2 2 5 2 2" xfId="8764"/>
    <cellStyle name="Normal 2 2 5 2 3" xfId="8765"/>
    <cellStyle name="Normal 2 2 5 3" xfId="8766"/>
    <cellStyle name="Normal 2 2 5 4" xfId="8767"/>
    <cellStyle name="Normal 2 2 5 5" xfId="8768"/>
    <cellStyle name="Normal 2 2 5 6" xfId="8769"/>
    <cellStyle name="Normal 2 2 6" xfId="8770"/>
    <cellStyle name="Normal 2 2 6 2" xfId="8771"/>
    <cellStyle name="Normal 2 2 6 2 2" xfId="8772"/>
    <cellStyle name="Normal 2 2 6 3" xfId="8773"/>
    <cellStyle name="Normal 2 2 6 4" xfId="8774"/>
    <cellStyle name="Normal 2 2 6 5" xfId="8775"/>
    <cellStyle name="Normal 2 2 7" xfId="8776"/>
    <cellStyle name="Normal 2 2 8" xfId="8777"/>
    <cellStyle name="Normal 2 2 8 2" xfId="8778"/>
    <cellStyle name="Normal 2 2 8 3" xfId="8779"/>
    <cellStyle name="Normal 2 20" xfId="1788"/>
    <cellStyle name="Normal 2 20 2" xfId="8780"/>
    <cellStyle name="Normal 2 20 3" xfId="8781"/>
    <cellStyle name="Normal 2 21" xfId="1789"/>
    <cellStyle name="Normal 2 21 2" xfId="8782"/>
    <cellStyle name="Normal 2 22" xfId="1790"/>
    <cellStyle name="Normal 2 23" xfId="1791"/>
    <cellStyle name="Normal 2 24" xfId="1792"/>
    <cellStyle name="Normal 2 25" xfId="1793"/>
    <cellStyle name="Normal 2 3" xfId="1794"/>
    <cellStyle name="Normal 2 3 2" xfId="8783"/>
    <cellStyle name="Normal 2 3 2 2" xfId="8784"/>
    <cellStyle name="Normal 2 3 2 3" xfId="8785"/>
    <cellStyle name="Normal 2 3 3" xfId="8786"/>
    <cellStyle name="Normal 2 3 4" xfId="8787"/>
    <cellStyle name="Normal 2 3 4 2" xfId="8788"/>
    <cellStyle name="Normal 2 3 4 2 2" xfId="8789"/>
    <cellStyle name="Normal 2 3 4 3" xfId="8790"/>
    <cellStyle name="Normal 2 3 4 4" xfId="8791"/>
    <cellStyle name="Normal 2 3 4 5" xfId="8792"/>
    <cellStyle name="Normal 2 3 5" xfId="8793"/>
    <cellStyle name="Normal 2 3 5 2" xfId="8794"/>
    <cellStyle name="Normal 2 3 5 2 2" xfId="8795"/>
    <cellStyle name="Normal 2 3 5 3" xfId="8796"/>
    <cellStyle name="Normal 2 3 5 4" xfId="8797"/>
    <cellStyle name="Normal 2 3 5 5" xfId="8798"/>
    <cellStyle name="Normal 2 3 6" xfId="8799"/>
    <cellStyle name="Normal 2 3 6 2" xfId="8800"/>
    <cellStyle name="Normal 2 4" xfId="1795"/>
    <cellStyle name="Normal 2 4 2" xfId="8801"/>
    <cellStyle name="Normal 2 4 2 2" xfId="8802"/>
    <cellStyle name="Normal 2 4 2 3" xfId="8803"/>
    <cellStyle name="Normal 2 4 3" xfId="8804"/>
    <cellStyle name="Normal 2 4 3 2" xfId="8805"/>
    <cellStyle name="Normal 2 4 4" xfId="8806"/>
    <cellStyle name="Normal 2 4 4 2" xfId="8807"/>
    <cellStyle name="Normal 2 4 5" xfId="8808"/>
    <cellStyle name="Normal 2 41" xfId="8809"/>
    <cellStyle name="Normal 2 43" xfId="8810"/>
    <cellStyle name="Normal 2 5" xfId="1796"/>
    <cellStyle name="Normal 2 5 2" xfId="8811"/>
    <cellStyle name="Normal 2 5 2 2" xfId="8812"/>
    <cellStyle name="Normal 2 5 2 2 2" xfId="8813"/>
    <cellStyle name="Normal 2 5 2 2 2 2" xfId="8814"/>
    <cellStyle name="Normal 2 5 2 2 3" xfId="8815"/>
    <cellStyle name="Normal 2 5 2 2 4" xfId="8816"/>
    <cellStyle name="Normal 2 5 2 3" xfId="8817"/>
    <cellStyle name="Normal 2 5 2 3 2" xfId="8818"/>
    <cellStyle name="Normal 2 5 2 3 2 2" xfId="8819"/>
    <cellStyle name="Normal 2 5 2 3 3" xfId="8820"/>
    <cellStyle name="Normal 2 5 2 3 4" xfId="8821"/>
    <cellStyle name="Normal 2 5 2 4" xfId="8822"/>
    <cellStyle name="Normal 2 5 2 4 2" xfId="8823"/>
    <cellStyle name="Normal 2 5 2 5" xfId="8824"/>
    <cellStyle name="Normal 2 5 2 6" xfId="8825"/>
    <cellStyle name="Normal 2 5 2 7" xfId="8826"/>
    <cellStyle name="Normal 2 5 3" xfId="8827"/>
    <cellStyle name="Normal 2 5 3 2" xfId="8828"/>
    <cellStyle name="Normal 2 5 3 2 2" xfId="8829"/>
    <cellStyle name="Normal 2 5 3 3" xfId="8830"/>
    <cellStyle name="Normal 2 5 3 4" xfId="8831"/>
    <cellStyle name="Normal 2 5 4" xfId="8832"/>
    <cellStyle name="Normal 2 5 4 2" xfId="8833"/>
    <cellStyle name="Normal 2 5 4 2 2" xfId="8834"/>
    <cellStyle name="Normal 2 5 4 3" xfId="8835"/>
    <cellStyle name="Normal 2 5 4 4" xfId="8836"/>
    <cellStyle name="Normal 2 5 5" xfId="8837"/>
    <cellStyle name="Normal 2 5 6" xfId="8838"/>
    <cellStyle name="Normal 2 6" xfId="1797"/>
    <cellStyle name="Normal 2 6 2" xfId="8839"/>
    <cellStyle name="Normal 2 6 3" xfId="8840"/>
    <cellStyle name="Normal 2 7" xfId="1798"/>
    <cellStyle name="Normal 2 7 2" xfId="8841"/>
    <cellStyle name="Normal 2 7 2 2" xfId="8842"/>
    <cellStyle name="Normal 2 7 2 2 2" xfId="8843"/>
    <cellStyle name="Normal 2 7 2 2 3" xfId="8844"/>
    <cellStyle name="Normal 2 7 2 3" xfId="8845"/>
    <cellStyle name="Normal 2 7 2 3 2" xfId="8846"/>
    <cellStyle name="Normal 2 7 2 4" xfId="8847"/>
    <cellStyle name="Normal 2 7 2 5" xfId="8848"/>
    <cellStyle name="Normal 2 7 3" xfId="8849"/>
    <cellStyle name="Normal 2 7 3 2" xfId="8850"/>
    <cellStyle name="Normal 2 7 3 2 2" xfId="8851"/>
    <cellStyle name="Normal 2 7 3 3" xfId="8852"/>
    <cellStyle name="Normal 2 7 3 4" xfId="8853"/>
    <cellStyle name="Normal 2 7 3 5" xfId="8854"/>
    <cellStyle name="Normal 2 7 4" xfId="8855"/>
    <cellStyle name="Normal 2 7 4 2" xfId="8856"/>
    <cellStyle name="Normal 2 7 4 2 2" xfId="8857"/>
    <cellStyle name="Normal 2 7 4 3" xfId="8858"/>
    <cellStyle name="Normal 2 7 4 4" xfId="8859"/>
    <cellStyle name="Normal 2 7 4 5" xfId="8860"/>
    <cellStyle name="Normal 2 7 5" xfId="8861"/>
    <cellStyle name="Normal 2 8" xfId="1799"/>
    <cellStyle name="Normal 2 8 2" xfId="8862"/>
    <cellStyle name="Normal 2 8 2 2" xfId="8863"/>
    <cellStyle name="Normal 2 8 2 2 2" xfId="8864"/>
    <cellStyle name="Normal 2 8 2 3" xfId="8865"/>
    <cellStyle name="Normal 2 8 2 4" xfId="8866"/>
    <cellStyle name="Normal 2 8 2 5" xfId="8867"/>
    <cellStyle name="Normal 2 8 3" xfId="8868"/>
    <cellStyle name="Normal 2 8 3 2" xfId="8869"/>
    <cellStyle name="Normal 2 8 3 2 2" xfId="8870"/>
    <cellStyle name="Normal 2 8 3 3" xfId="8871"/>
    <cellStyle name="Normal 2 8 3 4" xfId="8872"/>
    <cellStyle name="Normal 2 8 3 5" xfId="8873"/>
    <cellStyle name="Normal 2 8 4" xfId="8874"/>
    <cellStyle name="Normal 2 9" xfId="1800"/>
    <cellStyle name="Normal 2 9 2" xfId="8875"/>
    <cellStyle name="Normal 2 9 2 2" xfId="8876"/>
    <cellStyle name="Normal 2 9 2 2 2" xfId="8877"/>
    <cellStyle name="Normal 2 9 2 3" xfId="8878"/>
    <cellStyle name="Normal 2 9 2 4" xfId="8879"/>
    <cellStyle name="Normal 2 9 2 5" xfId="8880"/>
    <cellStyle name="Normal 2 9 3" xfId="8881"/>
    <cellStyle name="Normal 2_LGEElecBillingDeterminants2009-10" xfId="8882"/>
    <cellStyle name="Normal 20" xfId="1801"/>
    <cellStyle name="Normal 20 2" xfId="1802"/>
    <cellStyle name="Normal 20 2 2" xfId="8883"/>
    <cellStyle name="Normal 20 2 2 2" xfId="8884"/>
    <cellStyle name="Normal 20 2 3" xfId="8885"/>
    <cellStyle name="Normal 20 2 4" xfId="8886"/>
    <cellStyle name="Normal 20 2 5" xfId="8887"/>
    <cellStyle name="Normal 20 3" xfId="1803"/>
    <cellStyle name="Normal 20 3 2" xfId="8888"/>
    <cellStyle name="Normal 20 3 3" xfId="8889"/>
    <cellStyle name="Normal 20 3 4" xfId="8890"/>
    <cellStyle name="Normal 20 4" xfId="1804"/>
    <cellStyle name="Normal 20 5" xfId="1805"/>
    <cellStyle name="Normal 21" xfId="1806"/>
    <cellStyle name="Normal 21 2" xfId="8891"/>
    <cellStyle name="Normal 22" xfId="1807"/>
    <cellStyle name="Normal 22 2" xfId="8892"/>
    <cellStyle name="Normal 22 2 2" xfId="8893"/>
    <cellStyle name="Normal 22 2 3" xfId="8894"/>
    <cellStyle name="Normal 22 2 4" xfId="8895"/>
    <cellStyle name="Normal 22 2 5" xfId="8896"/>
    <cellStyle name="Normal 22 3" xfId="8897"/>
    <cellStyle name="Normal 23" xfId="1808"/>
    <cellStyle name="Normal 23 2" xfId="8898"/>
    <cellStyle name="Normal 23 2 2" xfId="8899"/>
    <cellStyle name="Normal 23 2 3" xfId="8900"/>
    <cellStyle name="Normal 23 2 4" xfId="8901"/>
    <cellStyle name="Normal 23 2 5" xfId="8902"/>
    <cellStyle name="Normal 23 3" xfId="8903"/>
    <cellStyle name="Normal 24" xfId="1809"/>
    <cellStyle name="Normal 24 2" xfId="8904"/>
    <cellStyle name="Normal 24 3" xfId="8905"/>
    <cellStyle name="Normal 25" xfId="1810"/>
    <cellStyle name="Normal 25 2" xfId="8906"/>
    <cellStyle name="Normal 26" xfId="1811"/>
    <cellStyle name="Normal 26 2" xfId="8907"/>
    <cellStyle name="Normal 26 2 2" xfId="8908"/>
    <cellStyle name="Normal 26 3" xfId="8909"/>
    <cellStyle name="Normal 26 3 2" xfId="8910"/>
    <cellStyle name="Normal 26 3 3" xfId="8911"/>
    <cellStyle name="Normal 26 4" xfId="8912"/>
    <cellStyle name="Normal 26 4 2" xfId="8913"/>
    <cellStyle name="Normal 26 4 3" xfId="8914"/>
    <cellStyle name="Normal 26 5" xfId="8915"/>
    <cellStyle name="Normal 26 5 2" xfId="8916"/>
    <cellStyle name="Normal 26 6" xfId="8917"/>
    <cellStyle name="Normal 26 7" xfId="8918"/>
    <cellStyle name="Normal 26 8" xfId="8919"/>
    <cellStyle name="Normal 27" xfId="1812"/>
    <cellStyle name="Normal 27 2" xfId="8920"/>
    <cellStyle name="Normal 27 2 2" xfId="8921"/>
    <cellStyle name="Normal 27 2 2 2" xfId="8922"/>
    <cellStyle name="Normal 27 2 2 3" xfId="8923"/>
    <cellStyle name="Normal 27 2 3" xfId="8924"/>
    <cellStyle name="Normal 27 2 4" xfId="8925"/>
    <cellStyle name="Normal 27 3" xfId="8926"/>
    <cellStyle name="Normal 27 3 2" xfId="8927"/>
    <cellStyle name="Normal 27 3 3" xfId="8928"/>
    <cellStyle name="Normal 27 4" xfId="8929"/>
    <cellStyle name="Normal 27 5" xfId="8930"/>
    <cellStyle name="Normal 28" xfId="1813"/>
    <cellStyle name="Normal 28 2" xfId="8931"/>
    <cellStyle name="Normal 28 2 2" xfId="8932"/>
    <cellStyle name="Normal 28 2 2 2" xfId="8933"/>
    <cellStyle name="Normal 28 2 3" xfId="8934"/>
    <cellStyle name="Normal 28 2 3 2" xfId="8935"/>
    <cellStyle name="Normal 28 2 4" xfId="8936"/>
    <cellStyle name="Normal 28 3" xfId="8937"/>
    <cellStyle name="Normal 28 3 2" xfId="8938"/>
    <cellStyle name="Normal 28 4" xfId="8939"/>
    <cellStyle name="Normal 28 4 2" xfId="8940"/>
    <cellStyle name="Normal 28 4 3" xfId="8941"/>
    <cellStyle name="Normal 28 5" xfId="8942"/>
    <cellStyle name="Normal 28 5 2" xfId="8943"/>
    <cellStyle name="Normal 28 6" xfId="8944"/>
    <cellStyle name="Normal 28 7" xfId="8945"/>
    <cellStyle name="Normal 28 8" xfId="8946"/>
    <cellStyle name="Normal 29" xfId="1814"/>
    <cellStyle name="Normal 29 2" xfId="8947"/>
    <cellStyle name="Normal 29 2 2" xfId="8948"/>
    <cellStyle name="Normal 29 2 3" xfId="8949"/>
    <cellStyle name="Normal 29 2 4" xfId="8950"/>
    <cellStyle name="Normal 29 3" xfId="8951"/>
    <cellStyle name="Normal 29 3 2" xfId="8952"/>
    <cellStyle name="Normal 29 4" xfId="8953"/>
    <cellStyle name="Normal 29 5" xfId="8954"/>
    <cellStyle name="Normal 29 6" xfId="8955"/>
    <cellStyle name="Normal 3" xfId="8"/>
    <cellStyle name="Normal 3 10" xfId="1815"/>
    <cellStyle name="Normal 3 11" xfId="1816"/>
    <cellStyle name="Normal 3 12" xfId="1817"/>
    <cellStyle name="Normal 3 13" xfId="1818"/>
    <cellStyle name="Normal 3 14" xfId="1819"/>
    <cellStyle name="Normal 3 15" xfId="1820"/>
    <cellStyle name="Normal 3 16" xfId="1821"/>
    <cellStyle name="Normal 3 17" xfId="1822"/>
    <cellStyle name="Normal 3 17 2" xfId="8956"/>
    <cellStyle name="Normal 3 17 2 2" xfId="8957"/>
    <cellStyle name="Normal 3 17 3" xfId="8958"/>
    <cellStyle name="Normal 3 18" xfId="1823"/>
    <cellStyle name="Normal 3 18 2" xfId="8959"/>
    <cellStyle name="Normal 3 18 2 2" xfId="8960"/>
    <cellStyle name="Normal 3 18 2 3" xfId="8961"/>
    <cellStyle name="Normal 3 18 3" xfId="8962"/>
    <cellStyle name="Normal 3 18 3 2" xfId="8963"/>
    <cellStyle name="Normal 3 18 4" xfId="8964"/>
    <cellStyle name="Normal 3 18 5" xfId="8965"/>
    <cellStyle name="Normal 3 18 6" xfId="8966"/>
    <cellStyle name="Normal 3 19" xfId="8967"/>
    <cellStyle name="Normal 3 19 2" xfId="8968"/>
    <cellStyle name="Normal 3 19 3" xfId="8969"/>
    <cellStyle name="Normal 3 2" xfId="1824"/>
    <cellStyle name="Normal 3 2 2" xfId="8970"/>
    <cellStyle name="Normal 3 2 2 2" xfId="8971"/>
    <cellStyle name="Normal 3 2 2 3" xfId="8972"/>
    <cellStyle name="Normal 3 2 3" xfId="8973"/>
    <cellStyle name="Normal 3 2 3 2" xfId="8974"/>
    <cellStyle name="Normal 3 2 4" xfId="8975"/>
    <cellStyle name="Normal 3 2 4 2" xfId="8976"/>
    <cellStyle name="Normal 3 2 4 3" xfId="8977"/>
    <cellStyle name="Normal 3 2 4 4" xfId="8978"/>
    <cellStyle name="Normal 3 20" xfId="8979"/>
    <cellStyle name="Normal 3 20 2" xfId="8980"/>
    <cellStyle name="Normal 3 20 3" xfId="8981"/>
    <cellStyle name="Normal 3 21" xfId="8982"/>
    <cellStyle name="Normal 3 22" xfId="8983"/>
    <cellStyle name="Normal 3 23" xfId="8984"/>
    <cellStyle name="Normal 3 3" xfId="1825"/>
    <cellStyle name="Normal 3 3 2" xfId="8985"/>
    <cellStyle name="Normal 3 3 2 2" xfId="8986"/>
    <cellStyle name="Normal 3 3 2 3" xfId="8987"/>
    <cellStyle name="Normal 3 3 3" xfId="8988"/>
    <cellStyle name="Normal 3 3 3 2" xfId="8989"/>
    <cellStyle name="Normal 3 3 4" xfId="8990"/>
    <cellStyle name="Normal 3 3 5" xfId="8991"/>
    <cellStyle name="Normal 3 4" xfId="1826"/>
    <cellStyle name="Normal 3 4 2" xfId="8992"/>
    <cellStyle name="Normal 3 4 3" xfId="8993"/>
    <cellStyle name="Normal 3 4 3 2" xfId="8994"/>
    <cellStyle name="Normal 3 4 4" xfId="8995"/>
    <cellStyle name="Normal 3 4 5" xfId="8996"/>
    <cellStyle name="Normal 3 5" xfId="1827"/>
    <cellStyle name="Normal 3 5 2" xfId="8997"/>
    <cellStyle name="Normal 3 6" xfId="1828"/>
    <cellStyle name="Normal 3 7" xfId="1829"/>
    <cellStyle name="Normal 3 8" xfId="1830"/>
    <cellStyle name="Normal 3 9" xfId="1831"/>
    <cellStyle name="Normal 3_LGEElecBillingDeterminants2009-10" xfId="8998"/>
    <cellStyle name="Normal 30" xfId="1832"/>
    <cellStyle name="Normal 30 2" xfId="8999"/>
    <cellStyle name="Normal 30 2 2" xfId="9000"/>
    <cellStyle name="Normal 30 2 3" xfId="9001"/>
    <cellStyle name="Normal 30 2 4" xfId="9002"/>
    <cellStyle name="Normal 30 3" xfId="9003"/>
    <cellStyle name="Normal 30 3 2" xfId="9004"/>
    <cellStyle name="Normal 30 4" xfId="9005"/>
    <cellStyle name="Normal 30 5" xfId="9006"/>
    <cellStyle name="Normal 30 6" xfId="9007"/>
    <cellStyle name="Normal 30 7" xfId="9008"/>
    <cellStyle name="Normal 31" xfId="1833"/>
    <cellStyle name="Normal 31 2" xfId="1834"/>
    <cellStyle name="Normal 31 2 2" xfId="9009"/>
    <cellStyle name="Normal 31 2 3" xfId="9010"/>
    <cellStyle name="Normal 31 2 4" xfId="9011"/>
    <cellStyle name="Normal 31 3" xfId="1835"/>
    <cellStyle name="Normal 31 3 2" xfId="9012"/>
    <cellStyle name="Normal 31 4" xfId="1836"/>
    <cellStyle name="Normal 31 5" xfId="1837"/>
    <cellStyle name="Normal 31 6" xfId="9013"/>
    <cellStyle name="Normal 31 7" xfId="9014"/>
    <cellStyle name="Normal 32" xfId="1838"/>
    <cellStyle name="Normal 32 2" xfId="9015"/>
    <cellStyle name="Normal 32 2 2" xfId="9016"/>
    <cellStyle name="Normal 32 2 3" xfId="9017"/>
    <cellStyle name="Normal 32 2 4" xfId="9018"/>
    <cellStyle name="Normal 32 3" xfId="9019"/>
    <cellStyle name="Normal 32 3 2" xfId="9020"/>
    <cellStyle name="Normal 32 4" xfId="9021"/>
    <cellStyle name="Normal 32 5" xfId="9022"/>
    <cellStyle name="Normal 32 6" xfId="9023"/>
    <cellStyle name="Normal 32 7" xfId="9024"/>
    <cellStyle name="Normal 33" xfId="1839"/>
    <cellStyle name="Normal 33 2" xfId="9025"/>
    <cellStyle name="Normal 33 2 2" xfId="9026"/>
    <cellStyle name="Normal 33 2 3" xfId="9027"/>
    <cellStyle name="Normal 33 2 4" xfId="9028"/>
    <cellStyle name="Normal 33 3" xfId="9029"/>
    <cellStyle name="Normal 33 4" xfId="9030"/>
    <cellStyle name="Normal 33 5" xfId="9031"/>
    <cellStyle name="Normal 33 6" xfId="9032"/>
    <cellStyle name="Normal 34" xfId="1840"/>
    <cellStyle name="Normal 34 2" xfId="9033"/>
    <cellStyle name="Normal 34 2 2" xfId="9034"/>
    <cellStyle name="Normal 34 3" xfId="9035"/>
    <cellStyle name="Normal 34 4" xfId="9036"/>
    <cellStyle name="Normal 34 4 2" xfId="9037"/>
    <cellStyle name="Normal 34 4 3" xfId="9038"/>
    <cellStyle name="Normal 34 5" xfId="9039"/>
    <cellStyle name="Normal 34 6" xfId="9040"/>
    <cellStyle name="Normal 34 7" xfId="9041"/>
    <cellStyle name="Normal 35" xfId="11"/>
    <cellStyle name="Normal 35 2" xfId="9042"/>
    <cellStyle name="Normal 35 2 2" xfId="9043"/>
    <cellStyle name="Normal 35 2 3" xfId="9044"/>
    <cellStyle name="Normal 35 3" xfId="9045"/>
    <cellStyle name="Normal 35 4" xfId="9046"/>
    <cellStyle name="Normal 35 5" xfId="9047"/>
    <cellStyle name="Normal 36" xfId="2107"/>
    <cellStyle name="Normal 36 2" xfId="1841"/>
    <cellStyle name="Normal 36 2 2" xfId="9048"/>
    <cellStyle name="Normal 36 2 3" xfId="9049"/>
    <cellStyle name="Normal 36 3" xfId="1842"/>
    <cellStyle name="Normal 36 4" xfId="1843"/>
    <cellStyle name="Normal 36 5" xfId="1844"/>
    <cellStyle name="Normal 37" xfId="1845"/>
    <cellStyle name="Normal 37 2" xfId="9050"/>
    <cellStyle name="Normal 37 2 2" xfId="9051"/>
    <cellStyle name="Normal 37 3" xfId="9052"/>
    <cellStyle name="Normal 37 4" xfId="9053"/>
    <cellStyle name="Normal 37 5" xfId="9054"/>
    <cellStyle name="Normal 38" xfId="1846"/>
    <cellStyle name="Normal 38 2" xfId="9055"/>
    <cellStyle name="Normal 38 2 2" xfId="9056"/>
    <cellStyle name="Normal 38 3" xfId="9057"/>
    <cellStyle name="Normal 38 4" xfId="9058"/>
    <cellStyle name="Normal 38 5" xfId="9059"/>
    <cellStyle name="Normal 39" xfId="9060"/>
    <cellStyle name="Normal 39 2" xfId="9061"/>
    <cellStyle name="Normal 39 3" xfId="9062"/>
    <cellStyle name="Normal 4" xfId="9"/>
    <cellStyle name="Normal 4 10" xfId="9063"/>
    <cellStyle name="Normal 4 11" xfId="9064"/>
    <cellStyle name="Normal 4 2" xfId="10"/>
    <cellStyle name="Normal 4 2 10" xfId="9065"/>
    <cellStyle name="Normal 4 2 10 2" xfId="9066"/>
    <cellStyle name="Normal 4 2 10 2 2" xfId="9067"/>
    <cellStyle name="Normal 4 2 10 3" xfId="9068"/>
    <cellStyle name="Normal 4 2 10 4" xfId="9069"/>
    <cellStyle name="Normal 4 2 10 5" xfId="9070"/>
    <cellStyle name="Normal 4 2 11" xfId="9071"/>
    <cellStyle name="Normal 4 2 2" xfId="9072"/>
    <cellStyle name="Normal 4 2 2 10" xfId="9073"/>
    <cellStyle name="Normal 4 2 2 11" xfId="9074"/>
    <cellStyle name="Normal 4 2 2 2" xfId="9075"/>
    <cellStyle name="Normal 4 2 2 2 10" xfId="9076"/>
    <cellStyle name="Normal 4 2 2 2 2" xfId="9077"/>
    <cellStyle name="Normal 4 2 2 2 2 2" xfId="9078"/>
    <cellStyle name="Normal 4 2 2 2 2 2 2" xfId="9079"/>
    <cellStyle name="Normal 4 2 2 2 2 2 2 2" xfId="9080"/>
    <cellStyle name="Normal 4 2 2 2 2 2 2 2 2" xfId="9081"/>
    <cellStyle name="Normal 4 2 2 2 2 2 2 2 3" xfId="9082"/>
    <cellStyle name="Normal 4 2 2 2 2 2 2 3" xfId="9083"/>
    <cellStyle name="Normal 4 2 2 2 2 2 2 3 2" xfId="9084"/>
    <cellStyle name="Normal 4 2 2 2 2 2 2 4" xfId="9085"/>
    <cellStyle name="Normal 4 2 2 2 2 2 2 5" xfId="9086"/>
    <cellStyle name="Normal 4 2 2 2 2 2 3" xfId="9087"/>
    <cellStyle name="Normal 4 2 2 2 2 2 3 2" xfId="9088"/>
    <cellStyle name="Normal 4 2 2 2 2 2 3 3" xfId="9089"/>
    <cellStyle name="Normal 4 2 2 2 2 2 4" xfId="9090"/>
    <cellStyle name="Normal 4 2 2 2 2 2 4 2" xfId="9091"/>
    <cellStyle name="Normal 4 2 2 2 2 2 5" xfId="9092"/>
    <cellStyle name="Normal 4 2 2 2 2 2 6" xfId="9093"/>
    <cellStyle name="Normal 4 2 2 2 2 3" xfId="9094"/>
    <cellStyle name="Normal 4 2 2 2 2 3 2" xfId="9095"/>
    <cellStyle name="Normal 4 2 2 2 2 3 2 2" xfId="9096"/>
    <cellStyle name="Normal 4 2 2 2 2 3 2 2 2" xfId="9097"/>
    <cellStyle name="Normal 4 2 2 2 2 3 2 3" xfId="9098"/>
    <cellStyle name="Normal 4 2 2 2 2 3 2 4" xfId="9099"/>
    <cellStyle name="Normal 4 2 2 2 2 3 2 5" xfId="9100"/>
    <cellStyle name="Normal 4 2 2 2 2 3 3" xfId="9101"/>
    <cellStyle name="Normal 4 2 2 2 2 3 3 2" xfId="9102"/>
    <cellStyle name="Normal 4 2 2 2 2 3 4" xfId="9103"/>
    <cellStyle name="Normal 4 2 2 2 2 3 5" xfId="9104"/>
    <cellStyle name="Normal 4 2 2 2 2 3 6" xfId="9105"/>
    <cellStyle name="Normal 4 2 2 2 2 4" xfId="9106"/>
    <cellStyle name="Normal 4 2 2 2 2 4 2" xfId="9107"/>
    <cellStyle name="Normal 4 2 2 2 2 4 2 2" xfId="9108"/>
    <cellStyle name="Normal 4 2 2 2 2 4 3" xfId="9109"/>
    <cellStyle name="Normal 4 2 2 2 2 4 4" xfId="9110"/>
    <cellStyle name="Normal 4 2 2 2 2 4 5" xfId="9111"/>
    <cellStyle name="Normal 4 2 2 2 2 5" xfId="9112"/>
    <cellStyle name="Normal 4 2 2 2 2 5 2" xfId="9113"/>
    <cellStyle name="Normal 4 2 2 2 2 5 2 2" xfId="9114"/>
    <cellStyle name="Normal 4 2 2 2 2 5 3" xfId="9115"/>
    <cellStyle name="Normal 4 2 2 2 2 5 4" xfId="9116"/>
    <cellStyle name="Normal 4 2 2 2 2 5 5" xfId="9117"/>
    <cellStyle name="Normal 4 2 2 2 2 6" xfId="9118"/>
    <cellStyle name="Normal 4 2 2 2 2 6 2" xfId="9119"/>
    <cellStyle name="Normal 4 2 2 2 2 7" xfId="9120"/>
    <cellStyle name="Normal 4 2 2 2 2 8" xfId="9121"/>
    <cellStyle name="Normal 4 2 2 2 2 9" xfId="9122"/>
    <cellStyle name="Normal 4 2 2 2 3" xfId="9123"/>
    <cellStyle name="Normal 4 2 2 2 3 2" xfId="9124"/>
    <cellStyle name="Normal 4 2 2 2 3 2 2" xfId="9125"/>
    <cellStyle name="Normal 4 2 2 2 3 2 2 2" xfId="9126"/>
    <cellStyle name="Normal 4 2 2 2 3 2 2 3" xfId="9127"/>
    <cellStyle name="Normal 4 2 2 2 3 2 3" xfId="9128"/>
    <cellStyle name="Normal 4 2 2 2 3 2 3 2" xfId="9129"/>
    <cellStyle name="Normal 4 2 2 2 3 2 4" xfId="9130"/>
    <cellStyle name="Normal 4 2 2 2 3 2 5" xfId="9131"/>
    <cellStyle name="Normal 4 2 2 2 3 3" xfId="9132"/>
    <cellStyle name="Normal 4 2 2 2 3 3 2" xfId="9133"/>
    <cellStyle name="Normal 4 2 2 2 3 3 3" xfId="9134"/>
    <cellStyle name="Normal 4 2 2 2 3 4" xfId="9135"/>
    <cellStyle name="Normal 4 2 2 2 3 4 2" xfId="9136"/>
    <cellStyle name="Normal 4 2 2 2 3 5" xfId="9137"/>
    <cellStyle name="Normal 4 2 2 2 3 6" xfId="9138"/>
    <cellStyle name="Normal 4 2 2 2 4" xfId="9139"/>
    <cellStyle name="Normal 4 2 2 2 4 2" xfId="9140"/>
    <cellStyle name="Normal 4 2 2 2 4 2 2" xfId="9141"/>
    <cellStyle name="Normal 4 2 2 2 4 2 2 2" xfId="9142"/>
    <cellStyle name="Normal 4 2 2 2 4 2 3" xfId="9143"/>
    <cellStyle name="Normal 4 2 2 2 4 2 4" xfId="9144"/>
    <cellStyle name="Normal 4 2 2 2 4 2 5" xfId="9145"/>
    <cellStyle name="Normal 4 2 2 2 4 3" xfId="9146"/>
    <cellStyle name="Normal 4 2 2 2 4 3 2" xfId="9147"/>
    <cellStyle name="Normal 4 2 2 2 4 4" xfId="9148"/>
    <cellStyle name="Normal 4 2 2 2 4 5" xfId="9149"/>
    <cellStyle name="Normal 4 2 2 2 4 6" xfId="9150"/>
    <cellStyle name="Normal 4 2 2 2 5" xfId="9151"/>
    <cellStyle name="Normal 4 2 2 2 5 2" xfId="9152"/>
    <cellStyle name="Normal 4 2 2 2 5 2 2" xfId="9153"/>
    <cellStyle name="Normal 4 2 2 2 5 3" xfId="9154"/>
    <cellStyle name="Normal 4 2 2 2 5 4" xfId="9155"/>
    <cellStyle name="Normal 4 2 2 2 5 5" xfId="9156"/>
    <cellStyle name="Normal 4 2 2 2 6" xfId="9157"/>
    <cellStyle name="Normal 4 2 2 2 6 2" xfId="9158"/>
    <cellStyle name="Normal 4 2 2 2 6 2 2" xfId="9159"/>
    <cellStyle name="Normal 4 2 2 2 6 3" xfId="9160"/>
    <cellStyle name="Normal 4 2 2 2 6 4" xfId="9161"/>
    <cellStyle name="Normal 4 2 2 2 6 5" xfId="9162"/>
    <cellStyle name="Normal 4 2 2 2 7" xfId="9163"/>
    <cellStyle name="Normal 4 2 2 2 7 2" xfId="9164"/>
    <cellStyle name="Normal 4 2 2 2 8" xfId="9165"/>
    <cellStyle name="Normal 4 2 2 2 9" xfId="9166"/>
    <cellStyle name="Normal 4 2 2 3" xfId="9167"/>
    <cellStyle name="Normal 4 2 2 3 2" xfId="9168"/>
    <cellStyle name="Normal 4 2 2 3 2 2" xfId="9169"/>
    <cellStyle name="Normal 4 2 2 3 2 2 2" xfId="9170"/>
    <cellStyle name="Normal 4 2 2 3 2 2 2 2" xfId="9171"/>
    <cellStyle name="Normal 4 2 2 3 2 2 2 3" xfId="9172"/>
    <cellStyle name="Normal 4 2 2 3 2 2 3" xfId="9173"/>
    <cellStyle name="Normal 4 2 2 3 2 2 3 2" xfId="9174"/>
    <cellStyle name="Normal 4 2 2 3 2 2 4" xfId="9175"/>
    <cellStyle name="Normal 4 2 2 3 2 2 5" xfId="9176"/>
    <cellStyle name="Normal 4 2 2 3 2 3" xfId="9177"/>
    <cellStyle name="Normal 4 2 2 3 2 3 2" xfId="9178"/>
    <cellStyle name="Normal 4 2 2 3 2 3 3" xfId="9179"/>
    <cellStyle name="Normal 4 2 2 3 2 4" xfId="9180"/>
    <cellStyle name="Normal 4 2 2 3 2 4 2" xfId="9181"/>
    <cellStyle name="Normal 4 2 2 3 2 5" xfId="9182"/>
    <cellStyle name="Normal 4 2 2 3 2 6" xfId="9183"/>
    <cellStyle name="Normal 4 2 2 3 3" xfId="9184"/>
    <cellStyle name="Normal 4 2 2 3 3 2" xfId="9185"/>
    <cellStyle name="Normal 4 2 2 3 3 2 2" xfId="9186"/>
    <cellStyle name="Normal 4 2 2 3 3 2 2 2" xfId="9187"/>
    <cellStyle name="Normal 4 2 2 3 3 2 3" xfId="9188"/>
    <cellStyle name="Normal 4 2 2 3 3 2 4" xfId="9189"/>
    <cellStyle name="Normal 4 2 2 3 3 2 5" xfId="9190"/>
    <cellStyle name="Normal 4 2 2 3 3 3" xfId="9191"/>
    <cellStyle name="Normal 4 2 2 3 3 3 2" xfId="9192"/>
    <cellStyle name="Normal 4 2 2 3 3 4" xfId="9193"/>
    <cellStyle name="Normal 4 2 2 3 3 5" xfId="9194"/>
    <cellStyle name="Normal 4 2 2 3 3 6" xfId="9195"/>
    <cellStyle name="Normal 4 2 2 3 4" xfId="9196"/>
    <cellStyle name="Normal 4 2 2 3 4 2" xfId="9197"/>
    <cellStyle name="Normal 4 2 2 3 4 2 2" xfId="9198"/>
    <cellStyle name="Normal 4 2 2 3 4 3" xfId="9199"/>
    <cellStyle name="Normal 4 2 2 3 4 4" xfId="9200"/>
    <cellStyle name="Normal 4 2 2 3 4 5" xfId="9201"/>
    <cellStyle name="Normal 4 2 2 3 5" xfId="9202"/>
    <cellStyle name="Normal 4 2 2 3 5 2" xfId="9203"/>
    <cellStyle name="Normal 4 2 2 3 5 2 2" xfId="9204"/>
    <cellStyle name="Normal 4 2 2 3 5 3" xfId="9205"/>
    <cellStyle name="Normal 4 2 2 3 5 4" xfId="9206"/>
    <cellStyle name="Normal 4 2 2 3 5 5" xfId="9207"/>
    <cellStyle name="Normal 4 2 2 3 6" xfId="9208"/>
    <cellStyle name="Normal 4 2 2 3 6 2" xfId="9209"/>
    <cellStyle name="Normal 4 2 2 3 7" xfId="9210"/>
    <cellStyle name="Normal 4 2 2 3 8" xfId="9211"/>
    <cellStyle name="Normal 4 2 2 3 9" xfId="9212"/>
    <cellStyle name="Normal 4 2 2 4" xfId="9213"/>
    <cellStyle name="Normal 4 2 2 4 2" xfId="9214"/>
    <cellStyle name="Normal 4 2 2 4 2 2" xfId="9215"/>
    <cellStyle name="Normal 4 2 2 4 2 2 2" xfId="9216"/>
    <cellStyle name="Normal 4 2 2 4 2 2 3" xfId="9217"/>
    <cellStyle name="Normal 4 2 2 4 2 3" xfId="9218"/>
    <cellStyle name="Normal 4 2 2 4 2 3 2" xfId="9219"/>
    <cellStyle name="Normal 4 2 2 4 2 4" xfId="9220"/>
    <cellStyle name="Normal 4 2 2 4 2 5" xfId="9221"/>
    <cellStyle name="Normal 4 2 2 4 3" xfId="9222"/>
    <cellStyle name="Normal 4 2 2 4 3 2" xfId="9223"/>
    <cellStyle name="Normal 4 2 2 4 3 3" xfId="9224"/>
    <cellStyle name="Normal 4 2 2 4 4" xfId="9225"/>
    <cellStyle name="Normal 4 2 2 4 4 2" xfId="9226"/>
    <cellStyle name="Normal 4 2 2 4 5" xfId="9227"/>
    <cellStyle name="Normal 4 2 2 4 6" xfId="9228"/>
    <cellStyle name="Normal 4 2 2 5" xfId="9229"/>
    <cellStyle name="Normal 4 2 2 5 2" xfId="9230"/>
    <cellStyle name="Normal 4 2 2 5 2 2" xfId="9231"/>
    <cellStyle name="Normal 4 2 2 5 2 2 2" xfId="9232"/>
    <cellStyle name="Normal 4 2 2 5 2 3" xfId="9233"/>
    <cellStyle name="Normal 4 2 2 5 2 4" xfId="9234"/>
    <cellStyle name="Normal 4 2 2 5 2 5" xfId="9235"/>
    <cellStyle name="Normal 4 2 2 5 3" xfId="9236"/>
    <cellStyle name="Normal 4 2 2 5 3 2" xfId="9237"/>
    <cellStyle name="Normal 4 2 2 5 4" xfId="9238"/>
    <cellStyle name="Normal 4 2 2 5 5" xfId="9239"/>
    <cellStyle name="Normal 4 2 2 5 6" xfId="9240"/>
    <cellStyle name="Normal 4 2 2 6" xfId="9241"/>
    <cellStyle name="Normal 4 2 2 6 2" xfId="9242"/>
    <cellStyle name="Normal 4 2 2 6 2 2" xfId="9243"/>
    <cellStyle name="Normal 4 2 2 6 3" xfId="9244"/>
    <cellStyle name="Normal 4 2 2 6 4" xfId="9245"/>
    <cellStyle name="Normal 4 2 2 6 5" xfId="9246"/>
    <cellStyle name="Normal 4 2 2 7" xfId="9247"/>
    <cellStyle name="Normal 4 2 2 7 2" xfId="9248"/>
    <cellStyle name="Normal 4 2 2 7 2 2" xfId="9249"/>
    <cellStyle name="Normal 4 2 2 7 3" xfId="9250"/>
    <cellStyle name="Normal 4 2 2 7 4" xfId="9251"/>
    <cellStyle name="Normal 4 2 2 7 5" xfId="9252"/>
    <cellStyle name="Normal 4 2 2 8" xfId="9253"/>
    <cellStyle name="Normal 4 2 2 8 2" xfId="9254"/>
    <cellStyle name="Normal 4 2 2 9" xfId="9255"/>
    <cellStyle name="Normal 4 2 3" xfId="9256"/>
    <cellStyle name="Normal 4 2 3 10" xfId="9257"/>
    <cellStyle name="Normal 4 2 3 11" xfId="9258"/>
    <cellStyle name="Normal 4 2 3 2" xfId="9259"/>
    <cellStyle name="Normal 4 2 3 2 10" xfId="9260"/>
    <cellStyle name="Normal 4 2 3 2 2" xfId="9261"/>
    <cellStyle name="Normal 4 2 3 2 2 2" xfId="9262"/>
    <cellStyle name="Normal 4 2 3 2 2 2 2" xfId="9263"/>
    <cellStyle name="Normal 4 2 3 2 2 2 2 2" xfId="9264"/>
    <cellStyle name="Normal 4 2 3 2 2 2 2 2 2" xfId="9265"/>
    <cellStyle name="Normal 4 2 3 2 2 2 2 2 3" xfId="9266"/>
    <cellStyle name="Normal 4 2 3 2 2 2 2 3" xfId="9267"/>
    <cellStyle name="Normal 4 2 3 2 2 2 2 3 2" xfId="9268"/>
    <cellStyle name="Normal 4 2 3 2 2 2 2 4" xfId="9269"/>
    <cellStyle name="Normal 4 2 3 2 2 2 2 5" xfId="9270"/>
    <cellStyle name="Normal 4 2 3 2 2 2 3" xfId="9271"/>
    <cellStyle name="Normal 4 2 3 2 2 2 3 2" xfId="9272"/>
    <cellStyle name="Normal 4 2 3 2 2 2 3 3" xfId="9273"/>
    <cellStyle name="Normal 4 2 3 2 2 2 4" xfId="9274"/>
    <cellStyle name="Normal 4 2 3 2 2 2 4 2" xfId="9275"/>
    <cellStyle name="Normal 4 2 3 2 2 2 5" xfId="9276"/>
    <cellStyle name="Normal 4 2 3 2 2 2 6" xfId="9277"/>
    <cellStyle name="Normal 4 2 3 2 2 3" xfId="9278"/>
    <cellStyle name="Normal 4 2 3 2 2 3 2" xfId="9279"/>
    <cellStyle name="Normal 4 2 3 2 2 3 2 2" xfId="9280"/>
    <cellStyle name="Normal 4 2 3 2 2 3 2 2 2" xfId="9281"/>
    <cellStyle name="Normal 4 2 3 2 2 3 2 3" xfId="9282"/>
    <cellStyle name="Normal 4 2 3 2 2 3 2 4" xfId="9283"/>
    <cellStyle name="Normal 4 2 3 2 2 3 2 5" xfId="9284"/>
    <cellStyle name="Normal 4 2 3 2 2 3 3" xfId="9285"/>
    <cellStyle name="Normal 4 2 3 2 2 3 3 2" xfId="9286"/>
    <cellStyle name="Normal 4 2 3 2 2 3 4" xfId="9287"/>
    <cellStyle name="Normal 4 2 3 2 2 3 5" xfId="9288"/>
    <cellStyle name="Normal 4 2 3 2 2 3 6" xfId="9289"/>
    <cellStyle name="Normal 4 2 3 2 2 4" xfId="9290"/>
    <cellStyle name="Normal 4 2 3 2 2 4 2" xfId="9291"/>
    <cellStyle name="Normal 4 2 3 2 2 4 2 2" xfId="9292"/>
    <cellStyle name="Normal 4 2 3 2 2 4 3" xfId="9293"/>
    <cellStyle name="Normal 4 2 3 2 2 4 4" xfId="9294"/>
    <cellStyle name="Normal 4 2 3 2 2 4 5" xfId="9295"/>
    <cellStyle name="Normal 4 2 3 2 2 5" xfId="9296"/>
    <cellStyle name="Normal 4 2 3 2 2 5 2" xfId="9297"/>
    <cellStyle name="Normal 4 2 3 2 2 5 2 2" xfId="9298"/>
    <cellStyle name="Normal 4 2 3 2 2 5 3" xfId="9299"/>
    <cellStyle name="Normal 4 2 3 2 2 5 4" xfId="9300"/>
    <cellStyle name="Normal 4 2 3 2 2 5 5" xfId="9301"/>
    <cellStyle name="Normal 4 2 3 2 2 6" xfId="9302"/>
    <cellStyle name="Normal 4 2 3 2 2 6 2" xfId="9303"/>
    <cellStyle name="Normal 4 2 3 2 2 7" xfId="9304"/>
    <cellStyle name="Normal 4 2 3 2 2 8" xfId="9305"/>
    <cellStyle name="Normal 4 2 3 2 2 9" xfId="9306"/>
    <cellStyle name="Normal 4 2 3 2 3" xfId="9307"/>
    <cellStyle name="Normal 4 2 3 2 3 2" xfId="9308"/>
    <cellStyle name="Normal 4 2 3 2 3 2 2" xfId="9309"/>
    <cellStyle name="Normal 4 2 3 2 3 2 2 2" xfId="9310"/>
    <cellStyle name="Normal 4 2 3 2 3 2 2 3" xfId="9311"/>
    <cellStyle name="Normal 4 2 3 2 3 2 3" xfId="9312"/>
    <cellStyle name="Normal 4 2 3 2 3 2 3 2" xfId="9313"/>
    <cellStyle name="Normal 4 2 3 2 3 2 4" xfId="9314"/>
    <cellStyle name="Normal 4 2 3 2 3 2 5" xfId="9315"/>
    <cellStyle name="Normal 4 2 3 2 3 3" xfId="9316"/>
    <cellStyle name="Normal 4 2 3 2 3 3 2" xfId="9317"/>
    <cellStyle name="Normal 4 2 3 2 3 3 3" xfId="9318"/>
    <cellStyle name="Normal 4 2 3 2 3 4" xfId="9319"/>
    <cellStyle name="Normal 4 2 3 2 3 4 2" xfId="9320"/>
    <cellStyle name="Normal 4 2 3 2 3 5" xfId="9321"/>
    <cellStyle name="Normal 4 2 3 2 3 6" xfId="9322"/>
    <cellStyle name="Normal 4 2 3 2 4" xfId="9323"/>
    <cellStyle name="Normal 4 2 3 2 4 2" xfId="9324"/>
    <cellStyle name="Normal 4 2 3 2 4 2 2" xfId="9325"/>
    <cellStyle name="Normal 4 2 3 2 4 2 2 2" xfId="9326"/>
    <cellStyle name="Normal 4 2 3 2 4 2 3" xfId="9327"/>
    <cellStyle name="Normal 4 2 3 2 4 2 4" xfId="9328"/>
    <cellStyle name="Normal 4 2 3 2 4 2 5" xfId="9329"/>
    <cellStyle name="Normal 4 2 3 2 4 3" xfId="9330"/>
    <cellStyle name="Normal 4 2 3 2 4 3 2" xfId="9331"/>
    <cellStyle name="Normal 4 2 3 2 4 4" xfId="9332"/>
    <cellStyle name="Normal 4 2 3 2 4 5" xfId="9333"/>
    <cellStyle name="Normal 4 2 3 2 4 6" xfId="9334"/>
    <cellStyle name="Normal 4 2 3 2 5" xfId="9335"/>
    <cellStyle name="Normal 4 2 3 2 5 2" xfId="9336"/>
    <cellStyle name="Normal 4 2 3 2 5 2 2" xfId="9337"/>
    <cellStyle name="Normal 4 2 3 2 5 3" xfId="9338"/>
    <cellStyle name="Normal 4 2 3 2 5 4" xfId="9339"/>
    <cellStyle name="Normal 4 2 3 2 5 5" xfId="9340"/>
    <cellStyle name="Normal 4 2 3 2 6" xfId="9341"/>
    <cellStyle name="Normal 4 2 3 2 6 2" xfId="9342"/>
    <cellStyle name="Normal 4 2 3 2 6 2 2" xfId="9343"/>
    <cellStyle name="Normal 4 2 3 2 6 3" xfId="9344"/>
    <cellStyle name="Normal 4 2 3 2 6 4" xfId="9345"/>
    <cellStyle name="Normal 4 2 3 2 6 5" xfId="9346"/>
    <cellStyle name="Normal 4 2 3 2 7" xfId="9347"/>
    <cellStyle name="Normal 4 2 3 2 7 2" xfId="9348"/>
    <cellStyle name="Normal 4 2 3 2 8" xfId="9349"/>
    <cellStyle name="Normal 4 2 3 2 9" xfId="9350"/>
    <cellStyle name="Normal 4 2 3 3" xfId="9351"/>
    <cellStyle name="Normal 4 2 3 3 2" xfId="9352"/>
    <cellStyle name="Normal 4 2 3 3 2 2" xfId="9353"/>
    <cellStyle name="Normal 4 2 3 3 2 2 2" xfId="9354"/>
    <cellStyle name="Normal 4 2 3 3 2 2 2 2" xfId="9355"/>
    <cellStyle name="Normal 4 2 3 3 2 2 2 3" xfId="9356"/>
    <cellStyle name="Normal 4 2 3 3 2 2 3" xfId="9357"/>
    <cellStyle name="Normal 4 2 3 3 2 2 3 2" xfId="9358"/>
    <cellStyle name="Normal 4 2 3 3 2 2 4" xfId="9359"/>
    <cellStyle name="Normal 4 2 3 3 2 2 5" xfId="9360"/>
    <cellStyle name="Normal 4 2 3 3 2 3" xfId="9361"/>
    <cellStyle name="Normal 4 2 3 3 2 3 2" xfId="9362"/>
    <cellStyle name="Normal 4 2 3 3 2 3 3" xfId="9363"/>
    <cellStyle name="Normal 4 2 3 3 2 4" xfId="9364"/>
    <cellStyle name="Normal 4 2 3 3 2 4 2" xfId="9365"/>
    <cellStyle name="Normal 4 2 3 3 2 5" xfId="9366"/>
    <cellStyle name="Normal 4 2 3 3 2 6" xfId="9367"/>
    <cellStyle name="Normal 4 2 3 3 3" xfId="9368"/>
    <cellStyle name="Normal 4 2 3 3 3 2" xfId="9369"/>
    <cellStyle name="Normal 4 2 3 3 3 2 2" xfId="9370"/>
    <cellStyle name="Normal 4 2 3 3 3 2 2 2" xfId="9371"/>
    <cellStyle name="Normal 4 2 3 3 3 2 3" xfId="9372"/>
    <cellStyle name="Normal 4 2 3 3 3 2 4" xfId="9373"/>
    <cellStyle name="Normal 4 2 3 3 3 2 5" xfId="9374"/>
    <cellStyle name="Normal 4 2 3 3 3 3" xfId="9375"/>
    <cellStyle name="Normal 4 2 3 3 3 3 2" xfId="9376"/>
    <cellStyle name="Normal 4 2 3 3 3 4" xfId="9377"/>
    <cellStyle name="Normal 4 2 3 3 3 5" xfId="9378"/>
    <cellStyle name="Normal 4 2 3 3 3 6" xfId="9379"/>
    <cellStyle name="Normal 4 2 3 3 4" xfId="9380"/>
    <cellStyle name="Normal 4 2 3 3 4 2" xfId="9381"/>
    <cellStyle name="Normal 4 2 3 3 4 2 2" xfId="9382"/>
    <cellStyle name="Normal 4 2 3 3 4 3" xfId="9383"/>
    <cellStyle name="Normal 4 2 3 3 4 4" xfId="9384"/>
    <cellStyle name="Normal 4 2 3 3 4 5" xfId="9385"/>
    <cellStyle name="Normal 4 2 3 3 5" xfId="9386"/>
    <cellStyle name="Normal 4 2 3 3 5 2" xfId="9387"/>
    <cellStyle name="Normal 4 2 3 3 5 2 2" xfId="9388"/>
    <cellStyle name="Normal 4 2 3 3 5 3" xfId="9389"/>
    <cellStyle name="Normal 4 2 3 3 5 4" xfId="9390"/>
    <cellStyle name="Normal 4 2 3 3 5 5" xfId="9391"/>
    <cellStyle name="Normal 4 2 3 3 6" xfId="9392"/>
    <cellStyle name="Normal 4 2 3 3 6 2" xfId="9393"/>
    <cellStyle name="Normal 4 2 3 3 7" xfId="9394"/>
    <cellStyle name="Normal 4 2 3 3 8" xfId="9395"/>
    <cellStyle name="Normal 4 2 3 3 9" xfId="9396"/>
    <cellStyle name="Normal 4 2 3 4" xfId="9397"/>
    <cellStyle name="Normal 4 2 3 4 2" xfId="9398"/>
    <cellStyle name="Normal 4 2 3 4 2 2" xfId="9399"/>
    <cellStyle name="Normal 4 2 3 4 2 2 2" xfId="9400"/>
    <cellStyle name="Normal 4 2 3 4 2 2 3" xfId="9401"/>
    <cellStyle name="Normal 4 2 3 4 2 3" xfId="9402"/>
    <cellStyle name="Normal 4 2 3 4 2 3 2" xfId="9403"/>
    <cellStyle name="Normal 4 2 3 4 2 4" xfId="9404"/>
    <cellStyle name="Normal 4 2 3 4 2 5" xfId="9405"/>
    <cellStyle name="Normal 4 2 3 4 3" xfId="9406"/>
    <cellStyle name="Normal 4 2 3 4 3 2" xfId="9407"/>
    <cellStyle name="Normal 4 2 3 4 3 3" xfId="9408"/>
    <cellStyle name="Normal 4 2 3 4 4" xfId="9409"/>
    <cellStyle name="Normal 4 2 3 4 4 2" xfId="9410"/>
    <cellStyle name="Normal 4 2 3 4 5" xfId="9411"/>
    <cellStyle name="Normal 4 2 3 4 6" xfId="9412"/>
    <cellStyle name="Normal 4 2 3 5" xfId="9413"/>
    <cellStyle name="Normal 4 2 3 5 2" xfId="9414"/>
    <cellStyle name="Normal 4 2 3 5 2 2" xfId="9415"/>
    <cellStyle name="Normal 4 2 3 5 2 2 2" xfId="9416"/>
    <cellStyle name="Normal 4 2 3 5 2 3" xfId="9417"/>
    <cellStyle name="Normal 4 2 3 5 2 4" xfId="9418"/>
    <cellStyle name="Normal 4 2 3 5 2 5" xfId="9419"/>
    <cellStyle name="Normal 4 2 3 5 3" xfId="9420"/>
    <cellStyle name="Normal 4 2 3 5 3 2" xfId="9421"/>
    <cellStyle name="Normal 4 2 3 5 4" xfId="9422"/>
    <cellStyle name="Normal 4 2 3 5 5" xfId="9423"/>
    <cellStyle name="Normal 4 2 3 5 6" xfId="9424"/>
    <cellStyle name="Normal 4 2 3 6" xfId="9425"/>
    <cellStyle name="Normal 4 2 3 6 2" xfId="9426"/>
    <cellStyle name="Normal 4 2 3 6 2 2" xfId="9427"/>
    <cellStyle name="Normal 4 2 3 6 3" xfId="9428"/>
    <cellStyle name="Normal 4 2 3 6 4" xfId="9429"/>
    <cellStyle name="Normal 4 2 3 6 5" xfId="9430"/>
    <cellStyle name="Normal 4 2 3 7" xfId="9431"/>
    <cellStyle name="Normal 4 2 3 7 2" xfId="9432"/>
    <cellStyle name="Normal 4 2 3 7 2 2" xfId="9433"/>
    <cellStyle name="Normal 4 2 3 7 3" xfId="9434"/>
    <cellStyle name="Normal 4 2 3 7 4" xfId="9435"/>
    <cellStyle name="Normal 4 2 3 7 5" xfId="9436"/>
    <cellStyle name="Normal 4 2 3 8" xfId="9437"/>
    <cellStyle name="Normal 4 2 3 8 2" xfId="9438"/>
    <cellStyle name="Normal 4 2 3 9" xfId="9439"/>
    <cellStyle name="Normal 4 2 4" xfId="9440"/>
    <cellStyle name="Normal 4 2 4 10" xfId="9441"/>
    <cellStyle name="Normal 4 2 4 2" xfId="9442"/>
    <cellStyle name="Normal 4 2 4 2 2" xfId="9443"/>
    <cellStyle name="Normal 4 2 4 2 2 2" xfId="9444"/>
    <cellStyle name="Normal 4 2 4 2 2 2 2" xfId="9445"/>
    <cellStyle name="Normal 4 2 4 2 2 2 2 2" xfId="9446"/>
    <cellStyle name="Normal 4 2 4 2 2 2 2 3" xfId="9447"/>
    <cellStyle name="Normal 4 2 4 2 2 2 3" xfId="9448"/>
    <cellStyle name="Normal 4 2 4 2 2 2 3 2" xfId="9449"/>
    <cellStyle name="Normal 4 2 4 2 2 2 4" xfId="9450"/>
    <cellStyle name="Normal 4 2 4 2 2 2 5" xfId="9451"/>
    <cellStyle name="Normal 4 2 4 2 2 3" xfId="9452"/>
    <cellStyle name="Normal 4 2 4 2 2 3 2" xfId="9453"/>
    <cellStyle name="Normal 4 2 4 2 2 3 3" xfId="9454"/>
    <cellStyle name="Normal 4 2 4 2 2 4" xfId="9455"/>
    <cellStyle name="Normal 4 2 4 2 2 4 2" xfId="9456"/>
    <cellStyle name="Normal 4 2 4 2 2 5" xfId="9457"/>
    <cellStyle name="Normal 4 2 4 2 2 6" xfId="9458"/>
    <cellStyle name="Normal 4 2 4 2 3" xfId="9459"/>
    <cellStyle name="Normal 4 2 4 2 3 2" xfId="9460"/>
    <cellStyle name="Normal 4 2 4 2 3 2 2" xfId="9461"/>
    <cellStyle name="Normal 4 2 4 2 3 2 2 2" xfId="9462"/>
    <cellStyle name="Normal 4 2 4 2 3 2 3" xfId="9463"/>
    <cellStyle name="Normal 4 2 4 2 3 2 4" xfId="9464"/>
    <cellStyle name="Normal 4 2 4 2 3 2 5" xfId="9465"/>
    <cellStyle name="Normal 4 2 4 2 3 3" xfId="9466"/>
    <cellStyle name="Normal 4 2 4 2 3 3 2" xfId="9467"/>
    <cellStyle name="Normal 4 2 4 2 3 4" xfId="9468"/>
    <cellStyle name="Normal 4 2 4 2 3 5" xfId="9469"/>
    <cellStyle name="Normal 4 2 4 2 3 6" xfId="9470"/>
    <cellStyle name="Normal 4 2 4 2 4" xfId="9471"/>
    <cellStyle name="Normal 4 2 4 2 4 2" xfId="9472"/>
    <cellStyle name="Normal 4 2 4 2 4 2 2" xfId="9473"/>
    <cellStyle name="Normal 4 2 4 2 4 3" xfId="9474"/>
    <cellStyle name="Normal 4 2 4 2 4 4" xfId="9475"/>
    <cellStyle name="Normal 4 2 4 2 4 5" xfId="9476"/>
    <cellStyle name="Normal 4 2 4 2 5" xfId="9477"/>
    <cellStyle name="Normal 4 2 4 2 5 2" xfId="9478"/>
    <cellStyle name="Normal 4 2 4 2 5 2 2" xfId="9479"/>
    <cellStyle name="Normal 4 2 4 2 5 3" xfId="9480"/>
    <cellStyle name="Normal 4 2 4 2 5 4" xfId="9481"/>
    <cellStyle name="Normal 4 2 4 2 5 5" xfId="9482"/>
    <cellStyle name="Normal 4 2 4 2 6" xfId="9483"/>
    <cellStyle name="Normal 4 2 4 2 6 2" xfId="9484"/>
    <cellStyle name="Normal 4 2 4 2 7" xfId="9485"/>
    <cellStyle name="Normal 4 2 4 2 8" xfId="9486"/>
    <cellStyle name="Normal 4 2 4 2 9" xfId="9487"/>
    <cellStyle name="Normal 4 2 4 3" xfId="9488"/>
    <cellStyle name="Normal 4 2 4 3 2" xfId="9489"/>
    <cellStyle name="Normal 4 2 4 3 2 2" xfId="9490"/>
    <cellStyle name="Normal 4 2 4 3 2 2 2" xfId="9491"/>
    <cellStyle name="Normal 4 2 4 3 2 2 3" xfId="9492"/>
    <cellStyle name="Normal 4 2 4 3 2 3" xfId="9493"/>
    <cellStyle name="Normal 4 2 4 3 2 3 2" xfId="9494"/>
    <cellStyle name="Normal 4 2 4 3 2 4" xfId="9495"/>
    <cellStyle name="Normal 4 2 4 3 2 5" xfId="9496"/>
    <cellStyle name="Normal 4 2 4 3 3" xfId="9497"/>
    <cellStyle name="Normal 4 2 4 3 3 2" xfId="9498"/>
    <cellStyle name="Normal 4 2 4 3 3 3" xfId="9499"/>
    <cellStyle name="Normal 4 2 4 3 4" xfId="9500"/>
    <cellStyle name="Normal 4 2 4 3 4 2" xfId="9501"/>
    <cellStyle name="Normal 4 2 4 3 5" xfId="9502"/>
    <cellStyle name="Normal 4 2 4 3 6" xfId="9503"/>
    <cellStyle name="Normal 4 2 4 4" xfId="9504"/>
    <cellStyle name="Normal 4 2 4 4 2" xfId="9505"/>
    <cellStyle name="Normal 4 2 4 4 2 2" xfId="9506"/>
    <cellStyle name="Normal 4 2 4 4 2 2 2" xfId="9507"/>
    <cellStyle name="Normal 4 2 4 4 2 3" xfId="9508"/>
    <cellStyle name="Normal 4 2 4 4 2 4" xfId="9509"/>
    <cellStyle name="Normal 4 2 4 4 2 5" xfId="9510"/>
    <cellStyle name="Normal 4 2 4 4 3" xfId="9511"/>
    <cellStyle name="Normal 4 2 4 4 3 2" xfId="9512"/>
    <cellStyle name="Normal 4 2 4 4 4" xfId="9513"/>
    <cellStyle name="Normal 4 2 4 4 5" xfId="9514"/>
    <cellStyle name="Normal 4 2 4 4 6" xfId="9515"/>
    <cellStyle name="Normal 4 2 4 5" xfId="9516"/>
    <cellStyle name="Normal 4 2 4 5 2" xfId="9517"/>
    <cellStyle name="Normal 4 2 4 5 2 2" xfId="9518"/>
    <cellStyle name="Normal 4 2 4 5 3" xfId="9519"/>
    <cellStyle name="Normal 4 2 4 5 4" xfId="9520"/>
    <cellStyle name="Normal 4 2 4 5 5" xfId="9521"/>
    <cellStyle name="Normal 4 2 4 6" xfId="9522"/>
    <cellStyle name="Normal 4 2 4 6 2" xfId="9523"/>
    <cellStyle name="Normal 4 2 4 6 2 2" xfId="9524"/>
    <cellStyle name="Normal 4 2 4 6 3" xfId="9525"/>
    <cellStyle name="Normal 4 2 4 6 4" xfId="9526"/>
    <cellStyle name="Normal 4 2 4 6 5" xfId="9527"/>
    <cellStyle name="Normal 4 2 4 7" xfId="9528"/>
    <cellStyle name="Normal 4 2 4 7 2" xfId="9529"/>
    <cellStyle name="Normal 4 2 4 8" xfId="9530"/>
    <cellStyle name="Normal 4 2 4 9" xfId="9531"/>
    <cellStyle name="Normal 4 2 5" xfId="9532"/>
    <cellStyle name="Normal 4 2 5 2" xfId="9533"/>
    <cellStyle name="Normal 4 2 5 2 2" xfId="9534"/>
    <cellStyle name="Normal 4 2 5 2 2 2" xfId="9535"/>
    <cellStyle name="Normal 4 2 5 2 2 2 2" xfId="9536"/>
    <cellStyle name="Normal 4 2 5 2 2 2 3" xfId="9537"/>
    <cellStyle name="Normal 4 2 5 2 2 3" xfId="9538"/>
    <cellStyle name="Normal 4 2 5 2 2 3 2" xfId="9539"/>
    <cellStyle name="Normal 4 2 5 2 2 4" xfId="9540"/>
    <cellStyle name="Normal 4 2 5 2 2 5" xfId="9541"/>
    <cellStyle name="Normal 4 2 5 2 3" xfId="9542"/>
    <cellStyle name="Normal 4 2 5 2 3 2" xfId="9543"/>
    <cellStyle name="Normal 4 2 5 2 3 3" xfId="9544"/>
    <cellStyle name="Normal 4 2 5 2 4" xfId="9545"/>
    <cellStyle name="Normal 4 2 5 2 4 2" xfId="9546"/>
    <cellStyle name="Normal 4 2 5 2 5" xfId="9547"/>
    <cellStyle name="Normal 4 2 5 2 6" xfId="9548"/>
    <cellStyle name="Normal 4 2 5 3" xfId="9549"/>
    <cellStyle name="Normal 4 2 5 3 2" xfId="9550"/>
    <cellStyle name="Normal 4 2 5 3 2 2" xfId="9551"/>
    <cellStyle name="Normal 4 2 5 3 2 2 2" xfId="9552"/>
    <cellStyle name="Normal 4 2 5 3 2 3" xfId="9553"/>
    <cellStyle name="Normal 4 2 5 3 2 4" xfId="9554"/>
    <cellStyle name="Normal 4 2 5 3 2 5" xfId="9555"/>
    <cellStyle name="Normal 4 2 5 3 3" xfId="9556"/>
    <cellStyle name="Normal 4 2 5 3 3 2" xfId="9557"/>
    <cellStyle name="Normal 4 2 5 3 4" xfId="9558"/>
    <cellStyle name="Normal 4 2 5 3 5" xfId="9559"/>
    <cellStyle name="Normal 4 2 5 3 6" xfId="9560"/>
    <cellStyle name="Normal 4 2 5 4" xfId="9561"/>
    <cellStyle name="Normal 4 2 5 4 2" xfId="9562"/>
    <cellStyle name="Normal 4 2 5 4 2 2" xfId="9563"/>
    <cellStyle name="Normal 4 2 5 4 3" xfId="9564"/>
    <cellStyle name="Normal 4 2 5 4 4" xfId="9565"/>
    <cellStyle name="Normal 4 2 5 4 5" xfId="9566"/>
    <cellStyle name="Normal 4 2 5 5" xfId="9567"/>
    <cellStyle name="Normal 4 2 5 5 2" xfId="9568"/>
    <cellStyle name="Normal 4 2 5 5 2 2" xfId="9569"/>
    <cellStyle name="Normal 4 2 5 5 3" xfId="9570"/>
    <cellStyle name="Normal 4 2 5 5 4" xfId="9571"/>
    <cellStyle name="Normal 4 2 5 5 5" xfId="9572"/>
    <cellStyle name="Normal 4 2 5 6" xfId="9573"/>
    <cellStyle name="Normal 4 2 5 6 2" xfId="9574"/>
    <cellStyle name="Normal 4 2 5 7" xfId="9575"/>
    <cellStyle name="Normal 4 2 5 8" xfId="9576"/>
    <cellStyle name="Normal 4 2 5 9" xfId="9577"/>
    <cellStyle name="Normal 4 2 6" xfId="9578"/>
    <cellStyle name="Normal 4 2 6 2" xfId="9579"/>
    <cellStyle name="Normal 4 2 6 2 2" xfId="9580"/>
    <cellStyle name="Normal 4 2 6 2 2 2" xfId="9581"/>
    <cellStyle name="Normal 4 2 6 2 2 3" xfId="9582"/>
    <cellStyle name="Normal 4 2 6 2 3" xfId="9583"/>
    <cellStyle name="Normal 4 2 6 2 3 2" xfId="9584"/>
    <cellStyle name="Normal 4 2 6 2 4" xfId="9585"/>
    <cellStyle name="Normal 4 2 6 2 5" xfId="9586"/>
    <cellStyle name="Normal 4 2 6 3" xfId="9587"/>
    <cellStyle name="Normal 4 2 6 3 2" xfId="9588"/>
    <cellStyle name="Normal 4 2 6 3 3" xfId="9589"/>
    <cellStyle name="Normal 4 2 6 4" xfId="9590"/>
    <cellStyle name="Normal 4 2 6 4 2" xfId="9591"/>
    <cellStyle name="Normal 4 2 6 5" xfId="9592"/>
    <cellStyle name="Normal 4 2 6 6" xfId="9593"/>
    <cellStyle name="Normal 4 2 7" xfId="9594"/>
    <cellStyle name="Normal 4 2 7 2" xfId="9595"/>
    <cellStyle name="Normal 4 2 7 2 2" xfId="9596"/>
    <cellStyle name="Normal 4 2 7 2 2 2" xfId="9597"/>
    <cellStyle name="Normal 4 2 7 2 3" xfId="9598"/>
    <cellStyle name="Normal 4 2 7 2 4" xfId="9599"/>
    <cellStyle name="Normal 4 2 7 2 5" xfId="9600"/>
    <cellStyle name="Normal 4 2 7 3" xfId="9601"/>
    <cellStyle name="Normal 4 2 7 3 2" xfId="9602"/>
    <cellStyle name="Normal 4 2 7 4" xfId="9603"/>
    <cellStyle name="Normal 4 2 7 5" xfId="9604"/>
    <cellStyle name="Normal 4 2 7 6" xfId="9605"/>
    <cellStyle name="Normal 4 2 8" xfId="9606"/>
    <cellStyle name="Normal 4 2 8 2" xfId="9607"/>
    <cellStyle name="Normal 4 2 8 2 2" xfId="9608"/>
    <cellStyle name="Normal 4 2 8 3" xfId="9609"/>
    <cellStyle name="Normal 4 2 8 4" xfId="9610"/>
    <cellStyle name="Normal 4 2 8 5" xfId="9611"/>
    <cellStyle name="Normal 4 2 9" xfId="9612"/>
    <cellStyle name="Normal 4 2 9 2" xfId="9613"/>
    <cellStyle name="Normal 4 2 9 2 2" xfId="9614"/>
    <cellStyle name="Normal 4 2 9 3" xfId="9615"/>
    <cellStyle name="Normal 4 2 9 4" xfId="9616"/>
    <cellStyle name="Normal 4 2 9 5" xfId="9617"/>
    <cellStyle name="Normal 4 3" xfId="2103"/>
    <cellStyle name="Normal 4 3 2" xfId="9618"/>
    <cellStyle name="Normal 4 3 2 2" xfId="9619"/>
    <cellStyle name="Normal 4 3 2 2 2" xfId="9620"/>
    <cellStyle name="Normal 4 3 2 2 2 2" xfId="9621"/>
    <cellStyle name="Normal 4 3 2 2 3" xfId="9622"/>
    <cellStyle name="Normal 4 3 2 3" xfId="9623"/>
    <cellStyle name="Normal 4 3 2 3 2" xfId="9624"/>
    <cellStyle name="Normal 4 3 2 4" xfId="9625"/>
    <cellStyle name="Normal 4 3 2 5" xfId="9626"/>
    <cellStyle name="Normal 4 3 3" xfId="9627"/>
    <cellStyle name="Normal 4 3 3 2" xfId="9628"/>
    <cellStyle name="Normal 4 3 3 2 2" xfId="9629"/>
    <cellStyle name="Normal 4 3 3 3" xfId="9630"/>
    <cellStyle name="Normal 4 3 4" xfId="9631"/>
    <cellStyle name="Normal 4 3 4 2" xfId="9632"/>
    <cellStyle name="Normal 4 3 5" xfId="9633"/>
    <cellStyle name="Normal 4 3 6" xfId="9634"/>
    <cellStyle name="Normal 4 4" xfId="9635"/>
    <cellStyle name="Normal 4 4 2" xfId="9636"/>
    <cellStyle name="Normal 4 4 2 2" xfId="9637"/>
    <cellStyle name="Normal 4 4 2 2 2" xfId="9638"/>
    <cellStyle name="Normal 4 4 2 2 3" xfId="9639"/>
    <cellStyle name="Normal 4 4 2 3" xfId="9640"/>
    <cellStyle name="Normal 4 4 2 4" xfId="9641"/>
    <cellStyle name="Normal 4 4 3" xfId="9642"/>
    <cellStyle name="Normal 4 4 3 2" xfId="9643"/>
    <cellStyle name="Normal 4 4 3 3" xfId="9644"/>
    <cellStyle name="Normal 4 4 4" xfId="9645"/>
    <cellStyle name="Normal 4 4 5" xfId="9646"/>
    <cellStyle name="Normal 4 4 6" xfId="9647"/>
    <cellStyle name="Normal 4 4 7" xfId="9648"/>
    <cellStyle name="Normal 4 5" xfId="9649"/>
    <cellStyle name="Normal 4 5 2" xfId="9650"/>
    <cellStyle name="Normal 4 5 2 2" xfId="9651"/>
    <cellStyle name="Normal 4 5 2 3" xfId="9652"/>
    <cellStyle name="Normal 4 5 3" xfId="9653"/>
    <cellStyle name="Normal 4 5 4" xfId="9654"/>
    <cellStyle name="Normal 4 6" xfId="9655"/>
    <cellStyle name="Normal 4 6 2" xfId="9656"/>
    <cellStyle name="Normal 4 6 3" xfId="9657"/>
    <cellStyle name="Normal 4 7" xfId="9658"/>
    <cellStyle name="Normal 4 7 2" xfId="9659"/>
    <cellStyle name="Normal 4 8" xfId="9660"/>
    <cellStyle name="Normal 4 9" xfId="9661"/>
    <cellStyle name="Normal 4_Regenerated Revenues LGE Gas 10312009" xfId="9662"/>
    <cellStyle name="Normal 40" xfId="1847"/>
    <cellStyle name="Normal 40 2" xfId="9663"/>
    <cellStyle name="Normal 41" xfId="9664"/>
    <cellStyle name="Normal 41 2" xfId="9665"/>
    <cellStyle name="Normal 42" xfId="1848"/>
    <cellStyle name="Normal 42 2" xfId="9666"/>
    <cellStyle name="Normal 42 3" xfId="9667"/>
    <cellStyle name="Normal 42 4" xfId="9668"/>
    <cellStyle name="Normal 43" xfId="1849"/>
    <cellStyle name="Normal 43 2" xfId="9669"/>
    <cellStyle name="Normal 43 3" xfId="9670"/>
    <cellStyle name="Normal 44" xfId="9671"/>
    <cellStyle name="Normal 44 2" xfId="9672"/>
    <cellStyle name="Normal 44 3" xfId="9673"/>
    <cellStyle name="Normal 45" xfId="1850"/>
    <cellStyle name="Normal 45 2" xfId="9674"/>
    <cellStyle name="Normal 45 3" xfId="9675"/>
    <cellStyle name="Normal 46" xfId="1851"/>
    <cellStyle name="Normal 46 2" xfId="9676"/>
    <cellStyle name="Normal 46 3" xfId="9677"/>
    <cellStyle name="Normal 47" xfId="2113"/>
    <cellStyle name="Normal 47 2" xfId="9678"/>
    <cellStyle name="Normal 47 3" xfId="9679"/>
    <cellStyle name="Normal 48" xfId="1852"/>
    <cellStyle name="Normal 48 2" xfId="9680"/>
    <cellStyle name="Normal 48 3" xfId="9681"/>
    <cellStyle name="Normal 49" xfId="1853"/>
    <cellStyle name="Normal 49 2" xfId="9682"/>
    <cellStyle name="Normal 49 3" xfId="9683"/>
    <cellStyle name="Normal 5" xfId="1854"/>
    <cellStyle name="Normal 5 10" xfId="9684"/>
    <cellStyle name="Normal 5 10 2" xfId="9685"/>
    <cellStyle name="Normal 5 10 2 2" xfId="9686"/>
    <cellStyle name="Normal 5 10 2 2 2" xfId="9687"/>
    <cellStyle name="Normal 5 10 2 3" xfId="9688"/>
    <cellStyle name="Normal 5 10 3" xfId="9689"/>
    <cellStyle name="Normal 5 10 3 2" xfId="9690"/>
    <cellStyle name="Normal 5 10 4" xfId="9691"/>
    <cellStyle name="Normal 5 11" xfId="9692"/>
    <cellStyle name="Normal 5 11 2" xfId="9693"/>
    <cellStyle name="Normal 5 11 2 2" xfId="9694"/>
    <cellStyle name="Normal 5 11 3" xfId="9695"/>
    <cellStyle name="Normal 5 12" xfId="9696"/>
    <cellStyle name="Normal 5 12 2" xfId="9697"/>
    <cellStyle name="Normal 5 2" xfId="9698"/>
    <cellStyle name="Normal 5 2 10" xfId="9699"/>
    <cellStyle name="Normal 5 2 11" xfId="9700"/>
    <cellStyle name="Normal 5 2 2" xfId="9701"/>
    <cellStyle name="Normal 5 2 2 2" xfId="9702"/>
    <cellStyle name="Normal 5 2 2 2 2" xfId="9703"/>
    <cellStyle name="Normal 5 2 2 2 2 2" xfId="9704"/>
    <cellStyle name="Normal 5 2 2 2 2 2 2" xfId="9705"/>
    <cellStyle name="Normal 5 2 2 2 2 2 2 2" xfId="9706"/>
    <cellStyle name="Normal 5 2 2 2 2 2 2 2 2" xfId="9707"/>
    <cellStyle name="Normal 5 2 2 2 2 2 2 3" xfId="9708"/>
    <cellStyle name="Normal 5 2 2 2 2 2 3" xfId="9709"/>
    <cellStyle name="Normal 5 2 2 2 2 2 3 2" xfId="9710"/>
    <cellStyle name="Normal 5 2 2 2 2 2 4" xfId="9711"/>
    <cellStyle name="Normal 5 2 2 2 2 3" xfId="9712"/>
    <cellStyle name="Normal 5 2 2 2 2 3 2" xfId="9713"/>
    <cellStyle name="Normal 5 2 2 2 2 3 2 2" xfId="9714"/>
    <cellStyle name="Normal 5 2 2 2 2 3 3" xfId="9715"/>
    <cellStyle name="Normal 5 2 2 2 2 4" xfId="9716"/>
    <cellStyle name="Normal 5 2 2 2 2 4 2" xfId="9717"/>
    <cellStyle name="Normal 5 2 2 2 2 5" xfId="9718"/>
    <cellStyle name="Normal 5 2 2 2 2 6" xfId="9719"/>
    <cellStyle name="Normal 5 2 2 2 3" xfId="9720"/>
    <cellStyle name="Normal 5 2 2 2 3 2" xfId="9721"/>
    <cellStyle name="Normal 5 2 2 2 3 2 2" xfId="9722"/>
    <cellStyle name="Normal 5 2 2 2 3 2 2 2" xfId="9723"/>
    <cellStyle name="Normal 5 2 2 2 3 2 3" xfId="9724"/>
    <cellStyle name="Normal 5 2 2 2 3 3" xfId="9725"/>
    <cellStyle name="Normal 5 2 2 2 3 3 2" xfId="9726"/>
    <cellStyle name="Normal 5 2 2 2 3 4" xfId="9727"/>
    <cellStyle name="Normal 5 2 2 2 4" xfId="9728"/>
    <cellStyle name="Normal 5 2 2 2 4 2" xfId="9729"/>
    <cellStyle name="Normal 5 2 2 2 4 2 2" xfId="9730"/>
    <cellStyle name="Normal 5 2 2 2 4 3" xfId="9731"/>
    <cellStyle name="Normal 5 2 2 2 5" xfId="9732"/>
    <cellStyle name="Normal 5 2 2 2 5 2" xfId="9733"/>
    <cellStyle name="Normal 5 2 2 2 6" xfId="9734"/>
    <cellStyle name="Normal 5 2 2 2 7" xfId="9735"/>
    <cellStyle name="Normal 5 2 2 3" xfId="9736"/>
    <cellStyle name="Normal 5 2 2 3 2" xfId="9737"/>
    <cellStyle name="Normal 5 2 2 3 2 2" xfId="9738"/>
    <cellStyle name="Normal 5 2 2 3 2 2 2" xfId="9739"/>
    <cellStyle name="Normal 5 2 2 3 2 2 2 2" xfId="9740"/>
    <cellStyle name="Normal 5 2 2 3 2 2 3" xfId="9741"/>
    <cellStyle name="Normal 5 2 2 3 2 3" xfId="9742"/>
    <cellStyle name="Normal 5 2 2 3 2 3 2" xfId="9743"/>
    <cellStyle name="Normal 5 2 2 3 2 4" xfId="9744"/>
    <cellStyle name="Normal 5 2 2 3 3" xfId="9745"/>
    <cellStyle name="Normal 5 2 2 3 3 2" xfId="9746"/>
    <cellStyle name="Normal 5 2 2 3 3 2 2" xfId="9747"/>
    <cellStyle name="Normal 5 2 2 3 3 3" xfId="9748"/>
    <cellStyle name="Normal 5 2 2 3 4" xfId="9749"/>
    <cellStyle name="Normal 5 2 2 3 4 2" xfId="9750"/>
    <cellStyle name="Normal 5 2 2 3 5" xfId="9751"/>
    <cellStyle name="Normal 5 2 2 3 6" xfId="9752"/>
    <cellStyle name="Normal 5 2 2 4" xfId="9753"/>
    <cellStyle name="Normal 5 2 2 4 2" xfId="9754"/>
    <cellStyle name="Normal 5 2 2 4 2 2" xfId="9755"/>
    <cellStyle name="Normal 5 2 2 4 2 2 2" xfId="9756"/>
    <cellStyle name="Normal 5 2 2 4 2 2 2 2" xfId="9757"/>
    <cellStyle name="Normal 5 2 2 4 2 2 3" xfId="9758"/>
    <cellStyle name="Normal 5 2 2 4 2 3" xfId="9759"/>
    <cellStyle name="Normal 5 2 2 4 2 3 2" xfId="9760"/>
    <cellStyle name="Normal 5 2 2 4 2 4" xfId="9761"/>
    <cellStyle name="Normal 5 2 2 4 3" xfId="9762"/>
    <cellStyle name="Normal 5 2 2 4 3 2" xfId="9763"/>
    <cellStyle name="Normal 5 2 2 4 3 2 2" xfId="9764"/>
    <cellStyle name="Normal 5 2 2 4 3 3" xfId="9765"/>
    <cellStyle name="Normal 5 2 2 4 4" xfId="9766"/>
    <cellStyle name="Normal 5 2 2 4 4 2" xfId="9767"/>
    <cellStyle name="Normal 5 2 2 4 5" xfId="9768"/>
    <cellStyle name="Normal 5 2 2 5" xfId="9769"/>
    <cellStyle name="Normal 5 2 2 5 2" xfId="9770"/>
    <cellStyle name="Normal 5 2 2 5 2 2" xfId="9771"/>
    <cellStyle name="Normal 5 2 2 5 2 2 2" xfId="9772"/>
    <cellStyle name="Normal 5 2 2 5 2 3" xfId="9773"/>
    <cellStyle name="Normal 5 2 2 5 3" xfId="9774"/>
    <cellStyle name="Normal 5 2 2 5 3 2" xfId="9775"/>
    <cellStyle name="Normal 5 2 2 5 4" xfId="9776"/>
    <cellStyle name="Normal 5 2 2 6" xfId="9777"/>
    <cellStyle name="Normal 5 2 2 6 2" xfId="9778"/>
    <cellStyle name="Normal 5 2 2 6 2 2" xfId="9779"/>
    <cellStyle name="Normal 5 2 2 6 3" xfId="9780"/>
    <cellStyle name="Normal 5 2 2 7" xfId="9781"/>
    <cellStyle name="Normal 5 2 2 7 2" xfId="9782"/>
    <cellStyle name="Normal 5 2 2 8" xfId="9783"/>
    <cellStyle name="Normal 5 2 2 9" xfId="9784"/>
    <cellStyle name="Normal 5 2 3" xfId="9785"/>
    <cellStyle name="Normal 5 2 3 2" xfId="9786"/>
    <cellStyle name="Normal 5 2 3 2 2" xfId="9787"/>
    <cellStyle name="Normal 5 2 3 2 2 2" xfId="9788"/>
    <cellStyle name="Normal 5 2 3 2 2 2 2" xfId="9789"/>
    <cellStyle name="Normal 5 2 3 2 2 2 2 2" xfId="9790"/>
    <cellStyle name="Normal 5 2 3 2 2 2 3" xfId="9791"/>
    <cellStyle name="Normal 5 2 3 2 2 3" xfId="9792"/>
    <cellStyle name="Normal 5 2 3 2 2 3 2" xfId="9793"/>
    <cellStyle name="Normal 5 2 3 2 2 4" xfId="9794"/>
    <cellStyle name="Normal 5 2 3 2 3" xfId="9795"/>
    <cellStyle name="Normal 5 2 3 2 3 2" xfId="9796"/>
    <cellStyle name="Normal 5 2 3 2 3 2 2" xfId="9797"/>
    <cellStyle name="Normal 5 2 3 2 3 3" xfId="9798"/>
    <cellStyle name="Normal 5 2 3 2 4" xfId="9799"/>
    <cellStyle name="Normal 5 2 3 2 4 2" xfId="9800"/>
    <cellStyle name="Normal 5 2 3 2 5" xfId="9801"/>
    <cellStyle name="Normal 5 2 3 3" xfId="9802"/>
    <cellStyle name="Normal 5 2 3 3 2" xfId="9803"/>
    <cellStyle name="Normal 5 2 3 3 2 2" xfId="9804"/>
    <cellStyle name="Normal 5 2 3 3 2 2 2" xfId="9805"/>
    <cellStyle name="Normal 5 2 3 3 2 3" xfId="9806"/>
    <cellStyle name="Normal 5 2 3 3 3" xfId="9807"/>
    <cellStyle name="Normal 5 2 3 3 3 2" xfId="9808"/>
    <cellStyle name="Normal 5 2 3 3 4" xfId="9809"/>
    <cellStyle name="Normal 5 2 3 4" xfId="9810"/>
    <cellStyle name="Normal 5 2 3 4 2" xfId="9811"/>
    <cellStyle name="Normal 5 2 3 4 2 2" xfId="9812"/>
    <cellStyle name="Normal 5 2 3 4 3" xfId="9813"/>
    <cellStyle name="Normal 5 2 3 5" xfId="9814"/>
    <cellStyle name="Normal 5 2 3 5 2" xfId="9815"/>
    <cellStyle name="Normal 5 2 3 6" xfId="9816"/>
    <cellStyle name="Normal 5 2 3 7" xfId="9817"/>
    <cellStyle name="Normal 5 2 4" xfId="9818"/>
    <cellStyle name="Normal 5 2 4 2" xfId="9819"/>
    <cellStyle name="Normal 5 2 4 2 2" xfId="9820"/>
    <cellStyle name="Normal 5 2 4 2 2 2" xfId="9821"/>
    <cellStyle name="Normal 5 2 4 2 2 2 2" xfId="9822"/>
    <cellStyle name="Normal 5 2 4 2 2 3" xfId="9823"/>
    <cellStyle name="Normal 5 2 4 2 3" xfId="9824"/>
    <cellStyle name="Normal 5 2 4 2 3 2" xfId="9825"/>
    <cellStyle name="Normal 5 2 4 2 4" xfId="9826"/>
    <cellStyle name="Normal 5 2 4 2 5" xfId="9827"/>
    <cellStyle name="Normal 5 2 4 3" xfId="9828"/>
    <cellStyle name="Normal 5 2 4 3 2" xfId="9829"/>
    <cellStyle name="Normal 5 2 4 3 2 2" xfId="9830"/>
    <cellStyle name="Normal 5 2 4 3 3" xfId="9831"/>
    <cellStyle name="Normal 5 2 4 4" xfId="9832"/>
    <cellStyle name="Normal 5 2 4 4 2" xfId="9833"/>
    <cellStyle name="Normal 5 2 4 5" xfId="9834"/>
    <cellStyle name="Normal 5 2 4 6" xfId="9835"/>
    <cellStyle name="Normal 5 2 5" xfId="9836"/>
    <cellStyle name="Normal 5 2 5 2" xfId="9837"/>
    <cellStyle name="Normal 5 2 5 2 2" xfId="9838"/>
    <cellStyle name="Normal 5 2 5 2 2 2" xfId="9839"/>
    <cellStyle name="Normal 5 2 5 2 2 2 2" xfId="9840"/>
    <cellStyle name="Normal 5 2 5 2 2 3" xfId="9841"/>
    <cellStyle name="Normal 5 2 5 2 3" xfId="9842"/>
    <cellStyle name="Normal 5 2 5 2 3 2" xfId="9843"/>
    <cellStyle name="Normal 5 2 5 2 4" xfId="9844"/>
    <cellStyle name="Normal 5 2 5 3" xfId="9845"/>
    <cellStyle name="Normal 5 2 5 3 2" xfId="9846"/>
    <cellStyle name="Normal 5 2 5 3 2 2" xfId="9847"/>
    <cellStyle name="Normal 5 2 5 3 3" xfId="9848"/>
    <cellStyle name="Normal 5 2 5 4" xfId="9849"/>
    <cellStyle name="Normal 5 2 5 4 2" xfId="9850"/>
    <cellStyle name="Normal 5 2 5 5" xfId="9851"/>
    <cellStyle name="Normal 5 2 5 6" xfId="9852"/>
    <cellStyle name="Normal 5 2 6" xfId="9853"/>
    <cellStyle name="Normal 5 2 6 2" xfId="9854"/>
    <cellStyle name="Normal 5 2 6 2 2" xfId="9855"/>
    <cellStyle name="Normal 5 2 6 2 2 2" xfId="9856"/>
    <cellStyle name="Normal 5 2 6 2 3" xfId="9857"/>
    <cellStyle name="Normal 5 2 6 3" xfId="9858"/>
    <cellStyle name="Normal 5 2 6 3 2" xfId="9859"/>
    <cellStyle name="Normal 5 2 6 4" xfId="9860"/>
    <cellStyle name="Normal 5 2 7" xfId="9861"/>
    <cellStyle name="Normal 5 2 7 2" xfId="9862"/>
    <cellStyle name="Normal 5 2 7 2 2" xfId="9863"/>
    <cellStyle name="Normal 5 2 7 3" xfId="9864"/>
    <cellStyle name="Normal 5 2 8" xfId="9865"/>
    <cellStyle name="Normal 5 2 8 2" xfId="9866"/>
    <cellStyle name="Normal 5 2 9" xfId="9867"/>
    <cellStyle name="Normal 5 3" xfId="9868"/>
    <cellStyle name="Normal 5 3 10" xfId="9869"/>
    <cellStyle name="Normal 5 3 11" xfId="9870"/>
    <cellStyle name="Normal 5 3 2" xfId="9871"/>
    <cellStyle name="Normal 5 3 2 2" xfId="9872"/>
    <cellStyle name="Normal 5 3 2 2 2" xfId="9873"/>
    <cellStyle name="Normal 5 3 2 2 2 2" xfId="9874"/>
    <cellStyle name="Normal 5 3 2 2 2 2 2" xfId="9875"/>
    <cellStyle name="Normal 5 3 2 2 2 2 2 2" xfId="9876"/>
    <cellStyle name="Normal 5 3 2 2 2 2 2 2 2" xfId="9877"/>
    <cellStyle name="Normal 5 3 2 2 2 2 2 3" xfId="9878"/>
    <cellStyle name="Normal 5 3 2 2 2 2 3" xfId="9879"/>
    <cellStyle name="Normal 5 3 2 2 2 2 3 2" xfId="9880"/>
    <cellStyle name="Normal 5 3 2 2 2 2 4" xfId="9881"/>
    <cellStyle name="Normal 5 3 2 2 2 3" xfId="9882"/>
    <cellStyle name="Normal 5 3 2 2 2 3 2" xfId="9883"/>
    <cellStyle name="Normal 5 3 2 2 2 3 2 2" xfId="9884"/>
    <cellStyle name="Normal 5 3 2 2 2 3 3" xfId="9885"/>
    <cellStyle name="Normal 5 3 2 2 2 4" xfId="9886"/>
    <cellStyle name="Normal 5 3 2 2 2 4 2" xfId="9887"/>
    <cellStyle name="Normal 5 3 2 2 2 5" xfId="9888"/>
    <cellStyle name="Normal 5 3 2 2 3" xfId="9889"/>
    <cellStyle name="Normal 5 3 2 2 3 2" xfId="9890"/>
    <cellStyle name="Normal 5 3 2 2 3 2 2" xfId="9891"/>
    <cellStyle name="Normal 5 3 2 2 3 2 2 2" xfId="9892"/>
    <cellStyle name="Normal 5 3 2 2 3 2 3" xfId="9893"/>
    <cellStyle name="Normal 5 3 2 2 3 3" xfId="9894"/>
    <cellStyle name="Normal 5 3 2 2 3 3 2" xfId="9895"/>
    <cellStyle name="Normal 5 3 2 2 3 4" xfId="9896"/>
    <cellStyle name="Normal 5 3 2 2 4" xfId="9897"/>
    <cellStyle name="Normal 5 3 2 2 4 2" xfId="9898"/>
    <cellStyle name="Normal 5 3 2 2 4 2 2" xfId="9899"/>
    <cellStyle name="Normal 5 3 2 2 4 3" xfId="9900"/>
    <cellStyle name="Normal 5 3 2 2 5" xfId="9901"/>
    <cellStyle name="Normal 5 3 2 2 5 2" xfId="9902"/>
    <cellStyle name="Normal 5 3 2 2 6" xfId="9903"/>
    <cellStyle name="Normal 5 3 2 3" xfId="9904"/>
    <cellStyle name="Normal 5 3 2 3 2" xfId="9905"/>
    <cellStyle name="Normal 5 3 2 3 2 2" xfId="9906"/>
    <cellStyle name="Normal 5 3 2 3 2 2 2" xfId="9907"/>
    <cellStyle name="Normal 5 3 2 3 2 2 2 2" xfId="9908"/>
    <cellStyle name="Normal 5 3 2 3 2 2 3" xfId="9909"/>
    <cellStyle name="Normal 5 3 2 3 2 3" xfId="9910"/>
    <cellStyle name="Normal 5 3 2 3 2 3 2" xfId="9911"/>
    <cellStyle name="Normal 5 3 2 3 2 4" xfId="9912"/>
    <cellStyle name="Normal 5 3 2 3 3" xfId="9913"/>
    <cellStyle name="Normal 5 3 2 3 3 2" xfId="9914"/>
    <cellStyle name="Normal 5 3 2 3 3 2 2" xfId="9915"/>
    <cellStyle name="Normal 5 3 2 3 3 3" xfId="9916"/>
    <cellStyle name="Normal 5 3 2 3 4" xfId="9917"/>
    <cellStyle name="Normal 5 3 2 3 4 2" xfId="9918"/>
    <cellStyle name="Normal 5 3 2 3 5" xfId="9919"/>
    <cellStyle name="Normal 5 3 2 4" xfId="9920"/>
    <cellStyle name="Normal 5 3 2 4 2" xfId="9921"/>
    <cellStyle name="Normal 5 3 2 4 2 2" xfId="9922"/>
    <cellStyle name="Normal 5 3 2 4 2 2 2" xfId="9923"/>
    <cellStyle name="Normal 5 3 2 4 2 2 2 2" xfId="9924"/>
    <cellStyle name="Normal 5 3 2 4 2 2 3" xfId="9925"/>
    <cellStyle name="Normal 5 3 2 4 2 3" xfId="9926"/>
    <cellStyle name="Normal 5 3 2 4 2 3 2" xfId="9927"/>
    <cellStyle name="Normal 5 3 2 4 2 4" xfId="9928"/>
    <cellStyle name="Normal 5 3 2 4 3" xfId="9929"/>
    <cellStyle name="Normal 5 3 2 4 3 2" xfId="9930"/>
    <cellStyle name="Normal 5 3 2 4 3 2 2" xfId="9931"/>
    <cellStyle name="Normal 5 3 2 4 3 3" xfId="9932"/>
    <cellStyle name="Normal 5 3 2 4 4" xfId="9933"/>
    <cellStyle name="Normal 5 3 2 4 4 2" xfId="9934"/>
    <cellStyle name="Normal 5 3 2 4 5" xfId="9935"/>
    <cellStyle name="Normal 5 3 2 5" xfId="9936"/>
    <cellStyle name="Normal 5 3 2 5 2" xfId="9937"/>
    <cellStyle name="Normal 5 3 2 5 2 2" xfId="9938"/>
    <cellStyle name="Normal 5 3 2 5 2 2 2" xfId="9939"/>
    <cellStyle name="Normal 5 3 2 5 2 3" xfId="9940"/>
    <cellStyle name="Normal 5 3 2 5 3" xfId="9941"/>
    <cellStyle name="Normal 5 3 2 5 3 2" xfId="9942"/>
    <cellStyle name="Normal 5 3 2 5 4" xfId="9943"/>
    <cellStyle name="Normal 5 3 2 6" xfId="9944"/>
    <cellStyle name="Normal 5 3 2 6 2" xfId="9945"/>
    <cellStyle name="Normal 5 3 2 6 2 2" xfId="9946"/>
    <cellStyle name="Normal 5 3 2 6 3" xfId="9947"/>
    <cellStyle name="Normal 5 3 2 7" xfId="9948"/>
    <cellStyle name="Normal 5 3 2 7 2" xfId="9949"/>
    <cellStyle name="Normal 5 3 2 8" xfId="9950"/>
    <cellStyle name="Normal 5 3 3" xfId="9951"/>
    <cellStyle name="Normal 5 3 3 2" xfId="9952"/>
    <cellStyle name="Normal 5 3 3 2 2" xfId="9953"/>
    <cellStyle name="Normal 5 3 3 2 2 2" xfId="9954"/>
    <cellStyle name="Normal 5 3 3 2 2 2 2" xfId="9955"/>
    <cellStyle name="Normal 5 3 3 2 2 2 2 2" xfId="9956"/>
    <cellStyle name="Normal 5 3 3 2 2 2 3" xfId="9957"/>
    <cellStyle name="Normal 5 3 3 2 2 3" xfId="9958"/>
    <cellStyle name="Normal 5 3 3 2 2 3 2" xfId="9959"/>
    <cellStyle name="Normal 5 3 3 2 2 4" xfId="9960"/>
    <cellStyle name="Normal 5 3 3 2 3" xfId="9961"/>
    <cellStyle name="Normal 5 3 3 2 3 2" xfId="9962"/>
    <cellStyle name="Normal 5 3 3 2 3 2 2" xfId="9963"/>
    <cellStyle name="Normal 5 3 3 2 3 3" xfId="9964"/>
    <cellStyle name="Normal 5 3 3 2 4" xfId="9965"/>
    <cellStyle name="Normal 5 3 3 2 4 2" xfId="9966"/>
    <cellStyle name="Normal 5 3 3 2 5" xfId="9967"/>
    <cellStyle name="Normal 5 3 3 3" xfId="9968"/>
    <cellStyle name="Normal 5 3 3 3 2" xfId="9969"/>
    <cellStyle name="Normal 5 3 3 3 2 2" xfId="9970"/>
    <cellStyle name="Normal 5 3 3 3 2 2 2" xfId="9971"/>
    <cellStyle name="Normal 5 3 3 3 2 3" xfId="9972"/>
    <cellStyle name="Normal 5 3 3 3 3" xfId="9973"/>
    <cellStyle name="Normal 5 3 3 3 3 2" xfId="9974"/>
    <cellStyle name="Normal 5 3 3 3 4" xfId="9975"/>
    <cellStyle name="Normal 5 3 3 4" xfId="9976"/>
    <cellStyle name="Normal 5 3 3 4 2" xfId="9977"/>
    <cellStyle name="Normal 5 3 3 4 2 2" xfId="9978"/>
    <cellStyle name="Normal 5 3 3 4 3" xfId="9979"/>
    <cellStyle name="Normal 5 3 3 5" xfId="9980"/>
    <cellStyle name="Normal 5 3 3 5 2" xfId="9981"/>
    <cellStyle name="Normal 5 3 3 6" xfId="9982"/>
    <cellStyle name="Normal 5 3 4" xfId="9983"/>
    <cellStyle name="Normal 5 3 4 2" xfId="9984"/>
    <cellStyle name="Normal 5 3 4 2 2" xfId="9985"/>
    <cellStyle name="Normal 5 3 4 2 2 2" xfId="9986"/>
    <cellStyle name="Normal 5 3 4 2 2 2 2" xfId="9987"/>
    <cellStyle name="Normal 5 3 4 2 2 3" xfId="9988"/>
    <cellStyle name="Normal 5 3 4 2 3" xfId="9989"/>
    <cellStyle name="Normal 5 3 4 2 3 2" xfId="9990"/>
    <cellStyle name="Normal 5 3 4 2 4" xfId="9991"/>
    <cellStyle name="Normal 5 3 4 3" xfId="9992"/>
    <cellStyle name="Normal 5 3 4 3 2" xfId="9993"/>
    <cellStyle name="Normal 5 3 4 3 2 2" xfId="9994"/>
    <cellStyle name="Normal 5 3 4 3 3" xfId="9995"/>
    <cellStyle name="Normal 5 3 4 4" xfId="9996"/>
    <cellStyle name="Normal 5 3 4 4 2" xfId="9997"/>
    <cellStyle name="Normal 5 3 4 5" xfId="9998"/>
    <cellStyle name="Normal 5 3 5" xfId="9999"/>
    <cellStyle name="Normal 5 3 5 2" xfId="10000"/>
    <cellStyle name="Normal 5 3 5 2 2" xfId="10001"/>
    <cellStyle name="Normal 5 3 5 2 2 2" xfId="10002"/>
    <cellStyle name="Normal 5 3 5 2 2 2 2" xfId="10003"/>
    <cellStyle name="Normal 5 3 5 2 2 3" xfId="10004"/>
    <cellStyle name="Normal 5 3 5 2 3" xfId="10005"/>
    <cellStyle name="Normal 5 3 5 2 3 2" xfId="10006"/>
    <cellStyle name="Normal 5 3 5 2 4" xfId="10007"/>
    <cellStyle name="Normal 5 3 5 3" xfId="10008"/>
    <cellStyle name="Normal 5 3 5 3 2" xfId="10009"/>
    <cellStyle name="Normal 5 3 5 3 2 2" xfId="10010"/>
    <cellStyle name="Normal 5 3 5 3 3" xfId="10011"/>
    <cellStyle name="Normal 5 3 5 4" xfId="10012"/>
    <cellStyle name="Normal 5 3 5 4 2" xfId="10013"/>
    <cellStyle name="Normal 5 3 5 5" xfId="10014"/>
    <cellStyle name="Normal 5 3 6" xfId="10015"/>
    <cellStyle name="Normal 5 3 6 2" xfId="10016"/>
    <cellStyle name="Normal 5 3 6 2 2" xfId="10017"/>
    <cellStyle name="Normal 5 3 6 2 2 2" xfId="10018"/>
    <cellStyle name="Normal 5 3 6 2 3" xfId="10019"/>
    <cellStyle name="Normal 5 3 6 3" xfId="10020"/>
    <cellStyle name="Normal 5 3 6 3 2" xfId="10021"/>
    <cellStyle name="Normal 5 3 6 4" xfId="10022"/>
    <cellStyle name="Normal 5 3 7" xfId="10023"/>
    <cellStyle name="Normal 5 3 7 2" xfId="10024"/>
    <cellStyle name="Normal 5 3 7 2 2" xfId="10025"/>
    <cellStyle name="Normal 5 3 7 3" xfId="10026"/>
    <cellStyle name="Normal 5 3 8" xfId="10027"/>
    <cellStyle name="Normal 5 3 8 2" xfId="10028"/>
    <cellStyle name="Normal 5 3 9" xfId="10029"/>
    <cellStyle name="Normal 5 4" xfId="10030"/>
    <cellStyle name="Normal 5 4 10" xfId="10031"/>
    <cellStyle name="Normal 5 4 2" xfId="10032"/>
    <cellStyle name="Normal 5 4 2 2" xfId="10033"/>
    <cellStyle name="Normal 5 4 2 2 2" xfId="10034"/>
    <cellStyle name="Normal 5 4 2 2 2 2" xfId="10035"/>
    <cellStyle name="Normal 5 4 2 2 2 2 2" xfId="10036"/>
    <cellStyle name="Normal 5 4 2 2 2 2 2 2" xfId="10037"/>
    <cellStyle name="Normal 5 4 2 2 2 2 3" xfId="10038"/>
    <cellStyle name="Normal 5 4 2 2 2 3" xfId="10039"/>
    <cellStyle name="Normal 5 4 2 2 2 3 2" xfId="10040"/>
    <cellStyle name="Normal 5 4 2 2 2 4" xfId="10041"/>
    <cellStyle name="Normal 5 4 2 2 3" xfId="10042"/>
    <cellStyle name="Normal 5 4 2 2 3 2" xfId="10043"/>
    <cellStyle name="Normal 5 4 2 2 3 2 2" xfId="10044"/>
    <cellStyle name="Normal 5 4 2 2 3 3" xfId="10045"/>
    <cellStyle name="Normal 5 4 2 2 4" xfId="10046"/>
    <cellStyle name="Normal 5 4 2 2 4 2" xfId="10047"/>
    <cellStyle name="Normal 5 4 2 2 5" xfId="10048"/>
    <cellStyle name="Normal 5 4 2 2 6" xfId="10049"/>
    <cellStyle name="Normal 5 4 2 3" xfId="10050"/>
    <cellStyle name="Normal 5 4 2 3 2" xfId="10051"/>
    <cellStyle name="Normal 5 4 2 3 2 2" xfId="10052"/>
    <cellStyle name="Normal 5 4 2 3 2 2 2" xfId="10053"/>
    <cellStyle name="Normal 5 4 2 3 2 2 2 2" xfId="10054"/>
    <cellStyle name="Normal 5 4 2 3 2 2 3" xfId="10055"/>
    <cellStyle name="Normal 5 4 2 3 2 3" xfId="10056"/>
    <cellStyle name="Normal 5 4 2 3 2 3 2" xfId="10057"/>
    <cellStyle name="Normal 5 4 2 3 2 4" xfId="10058"/>
    <cellStyle name="Normal 5 4 2 3 3" xfId="10059"/>
    <cellStyle name="Normal 5 4 2 3 3 2" xfId="10060"/>
    <cellStyle name="Normal 5 4 2 3 3 2 2" xfId="10061"/>
    <cellStyle name="Normal 5 4 2 3 3 3" xfId="10062"/>
    <cellStyle name="Normal 5 4 2 3 4" xfId="10063"/>
    <cellStyle name="Normal 5 4 2 3 4 2" xfId="10064"/>
    <cellStyle name="Normal 5 4 2 3 5" xfId="10065"/>
    <cellStyle name="Normal 5 4 2 4" xfId="10066"/>
    <cellStyle name="Normal 5 4 2 4 2" xfId="10067"/>
    <cellStyle name="Normal 5 4 2 4 2 2" xfId="10068"/>
    <cellStyle name="Normal 5 4 2 4 2 2 2" xfId="10069"/>
    <cellStyle name="Normal 5 4 2 4 2 3" xfId="10070"/>
    <cellStyle name="Normal 5 4 2 4 3" xfId="10071"/>
    <cellStyle name="Normal 5 4 2 4 3 2" xfId="10072"/>
    <cellStyle name="Normal 5 4 2 4 4" xfId="10073"/>
    <cellStyle name="Normal 5 4 2 5" xfId="10074"/>
    <cellStyle name="Normal 5 4 2 5 2" xfId="10075"/>
    <cellStyle name="Normal 5 4 2 5 2 2" xfId="10076"/>
    <cellStyle name="Normal 5 4 2 5 3" xfId="10077"/>
    <cellStyle name="Normal 5 4 2 6" xfId="10078"/>
    <cellStyle name="Normal 5 4 2 6 2" xfId="10079"/>
    <cellStyle name="Normal 5 4 2 7" xfId="10080"/>
    <cellStyle name="Normal 5 4 2 8" xfId="10081"/>
    <cellStyle name="Normal 5 4 3" xfId="10082"/>
    <cellStyle name="Normal 5 4 3 2" xfId="10083"/>
    <cellStyle name="Normal 5 4 3 2 2" xfId="10084"/>
    <cellStyle name="Normal 5 4 3 2 2 2" xfId="10085"/>
    <cellStyle name="Normal 5 4 3 2 2 2 2" xfId="10086"/>
    <cellStyle name="Normal 5 4 3 2 2 2 2 2" xfId="10087"/>
    <cellStyle name="Normal 5 4 3 2 2 2 3" xfId="10088"/>
    <cellStyle name="Normal 5 4 3 2 2 3" xfId="10089"/>
    <cellStyle name="Normal 5 4 3 2 2 3 2" xfId="10090"/>
    <cellStyle name="Normal 5 4 3 2 2 4" xfId="10091"/>
    <cellStyle name="Normal 5 4 3 2 3" xfId="10092"/>
    <cellStyle name="Normal 5 4 3 2 3 2" xfId="10093"/>
    <cellStyle name="Normal 5 4 3 2 3 2 2" xfId="10094"/>
    <cellStyle name="Normal 5 4 3 2 3 3" xfId="10095"/>
    <cellStyle name="Normal 5 4 3 2 4" xfId="10096"/>
    <cellStyle name="Normal 5 4 3 2 4 2" xfId="10097"/>
    <cellStyle name="Normal 5 4 3 2 5" xfId="10098"/>
    <cellStyle name="Normal 5 4 3 3" xfId="10099"/>
    <cellStyle name="Normal 5 4 3 3 2" xfId="10100"/>
    <cellStyle name="Normal 5 4 3 3 2 2" xfId="10101"/>
    <cellStyle name="Normal 5 4 3 3 2 2 2" xfId="10102"/>
    <cellStyle name="Normal 5 4 3 3 2 3" xfId="10103"/>
    <cellStyle name="Normal 5 4 3 3 3" xfId="10104"/>
    <cellStyle name="Normal 5 4 3 3 3 2" xfId="10105"/>
    <cellStyle name="Normal 5 4 3 3 4" xfId="10106"/>
    <cellStyle name="Normal 5 4 3 4" xfId="10107"/>
    <cellStyle name="Normal 5 4 3 4 2" xfId="10108"/>
    <cellStyle name="Normal 5 4 3 4 2 2" xfId="10109"/>
    <cellStyle name="Normal 5 4 3 4 3" xfId="10110"/>
    <cellStyle name="Normal 5 4 3 5" xfId="10111"/>
    <cellStyle name="Normal 5 4 3 5 2" xfId="10112"/>
    <cellStyle name="Normal 5 4 3 6" xfId="10113"/>
    <cellStyle name="Normal 5 4 3 7" xfId="10114"/>
    <cellStyle name="Normal 5 4 4" xfId="10115"/>
    <cellStyle name="Normal 5 4 4 2" xfId="10116"/>
    <cellStyle name="Normal 5 4 4 2 2" xfId="10117"/>
    <cellStyle name="Normal 5 4 4 2 2 2" xfId="10118"/>
    <cellStyle name="Normal 5 4 4 2 2 2 2" xfId="10119"/>
    <cellStyle name="Normal 5 4 4 2 2 3" xfId="10120"/>
    <cellStyle name="Normal 5 4 4 2 3" xfId="10121"/>
    <cellStyle name="Normal 5 4 4 2 3 2" xfId="10122"/>
    <cellStyle name="Normal 5 4 4 2 4" xfId="10123"/>
    <cellStyle name="Normal 5 4 4 3" xfId="10124"/>
    <cellStyle name="Normal 5 4 4 3 2" xfId="10125"/>
    <cellStyle name="Normal 5 4 4 3 2 2" xfId="10126"/>
    <cellStyle name="Normal 5 4 4 3 3" xfId="10127"/>
    <cellStyle name="Normal 5 4 4 4" xfId="10128"/>
    <cellStyle name="Normal 5 4 4 4 2" xfId="10129"/>
    <cellStyle name="Normal 5 4 4 5" xfId="10130"/>
    <cellStyle name="Normal 5 4 5" xfId="10131"/>
    <cellStyle name="Normal 5 4 5 2" xfId="10132"/>
    <cellStyle name="Normal 5 4 5 2 2" xfId="10133"/>
    <cellStyle name="Normal 5 4 5 2 2 2" xfId="10134"/>
    <cellStyle name="Normal 5 4 5 2 2 2 2" xfId="10135"/>
    <cellStyle name="Normal 5 4 5 2 2 3" xfId="10136"/>
    <cellStyle name="Normal 5 4 5 2 3" xfId="10137"/>
    <cellStyle name="Normal 5 4 5 2 3 2" xfId="10138"/>
    <cellStyle name="Normal 5 4 5 2 4" xfId="10139"/>
    <cellStyle name="Normal 5 4 5 3" xfId="10140"/>
    <cellStyle name="Normal 5 4 5 3 2" xfId="10141"/>
    <cellStyle name="Normal 5 4 5 3 2 2" xfId="10142"/>
    <cellStyle name="Normal 5 4 5 3 3" xfId="10143"/>
    <cellStyle name="Normal 5 4 5 4" xfId="10144"/>
    <cellStyle name="Normal 5 4 5 4 2" xfId="10145"/>
    <cellStyle name="Normal 5 4 5 5" xfId="10146"/>
    <cellStyle name="Normal 5 4 6" xfId="10147"/>
    <cellStyle name="Normal 5 4 6 2" xfId="10148"/>
    <cellStyle name="Normal 5 4 6 2 2" xfId="10149"/>
    <cellStyle name="Normal 5 4 6 2 2 2" xfId="10150"/>
    <cellStyle name="Normal 5 4 6 2 3" xfId="10151"/>
    <cellStyle name="Normal 5 4 6 3" xfId="10152"/>
    <cellStyle name="Normal 5 4 6 3 2" xfId="10153"/>
    <cellStyle name="Normal 5 4 6 4" xfId="10154"/>
    <cellStyle name="Normal 5 4 7" xfId="10155"/>
    <cellStyle name="Normal 5 4 7 2" xfId="10156"/>
    <cellStyle name="Normal 5 4 7 2 2" xfId="10157"/>
    <cellStyle name="Normal 5 4 7 3" xfId="10158"/>
    <cellStyle name="Normal 5 4 8" xfId="10159"/>
    <cellStyle name="Normal 5 4 8 2" xfId="10160"/>
    <cellStyle name="Normal 5 4 9" xfId="10161"/>
    <cellStyle name="Normal 5 5" xfId="10162"/>
    <cellStyle name="Normal 5 5 2" xfId="10163"/>
    <cellStyle name="Normal 5 5 2 2" xfId="10164"/>
    <cellStyle name="Normal 5 5 2 2 2" xfId="10165"/>
    <cellStyle name="Normal 5 5 2 2 2 2" xfId="10166"/>
    <cellStyle name="Normal 5 5 2 2 2 2 2" xfId="10167"/>
    <cellStyle name="Normal 5 5 2 2 2 3" xfId="10168"/>
    <cellStyle name="Normal 5 5 2 2 3" xfId="10169"/>
    <cellStyle name="Normal 5 5 2 2 3 2" xfId="10170"/>
    <cellStyle name="Normal 5 5 2 2 4" xfId="10171"/>
    <cellStyle name="Normal 5 5 2 3" xfId="10172"/>
    <cellStyle name="Normal 5 5 2 3 2" xfId="10173"/>
    <cellStyle name="Normal 5 5 2 3 2 2" xfId="10174"/>
    <cellStyle name="Normal 5 5 2 3 3" xfId="10175"/>
    <cellStyle name="Normal 5 5 2 4" xfId="10176"/>
    <cellStyle name="Normal 5 5 2 4 2" xfId="10177"/>
    <cellStyle name="Normal 5 5 2 5" xfId="10178"/>
    <cellStyle name="Normal 5 5 3" xfId="10179"/>
    <cellStyle name="Normal 5 5 3 2" xfId="10180"/>
    <cellStyle name="Normal 5 5 3 2 2" xfId="10181"/>
    <cellStyle name="Normal 5 5 3 2 2 2" xfId="10182"/>
    <cellStyle name="Normal 5 5 3 2 2 2 2" xfId="10183"/>
    <cellStyle name="Normal 5 5 3 2 2 3" xfId="10184"/>
    <cellStyle name="Normal 5 5 3 2 3" xfId="10185"/>
    <cellStyle name="Normal 5 5 3 2 3 2" xfId="10186"/>
    <cellStyle name="Normal 5 5 3 2 4" xfId="10187"/>
    <cellStyle name="Normal 5 5 3 3" xfId="10188"/>
    <cellStyle name="Normal 5 5 3 3 2" xfId="10189"/>
    <cellStyle name="Normal 5 5 3 3 2 2" xfId="10190"/>
    <cellStyle name="Normal 5 5 3 3 3" xfId="10191"/>
    <cellStyle name="Normal 5 5 3 4" xfId="10192"/>
    <cellStyle name="Normal 5 5 3 4 2" xfId="10193"/>
    <cellStyle name="Normal 5 5 3 5" xfId="10194"/>
    <cellStyle name="Normal 5 5 4" xfId="10195"/>
    <cellStyle name="Normal 5 5 4 2" xfId="10196"/>
    <cellStyle name="Normal 5 5 4 2 2" xfId="10197"/>
    <cellStyle name="Normal 5 5 4 2 2 2" xfId="10198"/>
    <cellStyle name="Normal 5 5 4 2 3" xfId="10199"/>
    <cellStyle name="Normal 5 5 4 3" xfId="10200"/>
    <cellStyle name="Normal 5 5 4 3 2" xfId="10201"/>
    <cellStyle name="Normal 5 5 4 4" xfId="10202"/>
    <cellStyle name="Normal 5 5 5" xfId="10203"/>
    <cellStyle name="Normal 5 5 5 2" xfId="10204"/>
    <cellStyle name="Normal 5 5 5 2 2" xfId="10205"/>
    <cellStyle name="Normal 5 5 5 3" xfId="10206"/>
    <cellStyle name="Normal 5 5 6" xfId="10207"/>
    <cellStyle name="Normal 5 5 6 2" xfId="10208"/>
    <cellStyle name="Normal 5 5 7" xfId="10209"/>
    <cellStyle name="Normal 5 6" xfId="10210"/>
    <cellStyle name="Normal 5 6 2" xfId="10211"/>
    <cellStyle name="Normal 5 6 2 2" xfId="10212"/>
    <cellStyle name="Normal 5 6 2 2 2" xfId="10213"/>
    <cellStyle name="Normal 5 6 2 2 2 2" xfId="10214"/>
    <cellStyle name="Normal 5 6 2 2 2 2 2" xfId="10215"/>
    <cellStyle name="Normal 5 6 2 2 2 3" xfId="10216"/>
    <cellStyle name="Normal 5 6 2 2 3" xfId="10217"/>
    <cellStyle name="Normal 5 6 2 2 3 2" xfId="10218"/>
    <cellStyle name="Normal 5 6 2 2 4" xfId="10219"/>
    <cellStyle name="Normal 5 6 2 3" xfId="10220"/>
    <cellStyle name="Normal 5 6 2 3 2" xfId="10221"/>
    <cellStyle name="Normal 5 6 2 3 2 2" xfId="10222"/>
    <cellStyle name="Normal 5 6 2 3 3" xfId="10223"/>
    <cellStyle name="Normal 5 6 2 4" xfId="10224"/>
    <cellStyle name="Normal 5 6 2 4 2" xfId="10225"/>
    <cellStyle name="Normal 5 6 2 5" xfId="10226"/>
    <cellStyle name="Normal 5 6 3" xfId="10227"/>
    <cellStyle name="Normal 5 6 3 2" xfId="10228"/>
    <cellStyle name="Normal 5 6 3 2 2" xfId="10229"/>
    <cellStyle name="Normal 5 6 3 2 2 2" xfId="10230"/>
    <cellStyle name="Normal 5 6 3 2 3" xfId="10231"/>
    <cellStyle name="Normal 5 6 3 3" xfId="10232"/>
    <cellStyle name="Normal 5 6 3 3 2" xfId="10233"/>
    <cellStyle name="Normal 5 6 3 4" xfId="10234"/>
    <cellStyle name="Normal 5 6 4" xfId="10235"/>
    <cellStyle name="Normal 5 6 4 2" xfId="10236"/>
    <cellStyle name="Normal 5 6 4 2 2" xfId="10237"/>
    <cellStyle name="Normal 5 6 4 3" xfId="10238"/>
    <cellStyle name="Normal 5 6 5" xfId="10239"/>
    <cellStyle name="Normal 5 6 5 2" xfId="10240"/>
    <cellStyle name="Normal 5 6 6" xfId="10241"/>
    <cellStyle name="Normal 5 7" xfId="10242"/>
    <cellStyle name="Normal 5 7 2" xfId="10243"/>
    <cellStyle name="Normal 5 7 2 2" xfId="10244"/>
    <cellStyle name="Normal 5 7 2 2 2" xfId="10245"/>
    <cellStyle name="Normal 5 7 2 2 2 2" xfId="10246"/>
    <cellStyle name="Normal 5 7 2 2 3" xfId="10247"/>
    <cellStyle name="Normal 5 7 2 3" xfId="10248"/>
    <cellStyle name="Normal 5 7 2 3 2" xfId="10249"/>
    <cellStyle name="Normal 5 7 2 4" xfId="10250"/>
    <cellStyle name="Normal 5 7 3" xfId="10251"/>
    <cellStyle name="Normal 5 7 3 2" xfId="10252"/>
    <cellStyle name="Normal 5 7 3 2 2" xfId="10253"/>
    <cellStyle name="Normal 5 7 3 3" xfId="10254"/>
    <cellStyle name="Normal 5 7 4" xfId="10255"/>
    <cellStyle name="Normal 5 7 4 2" xfId="10256"/>
    <cellStyle name="Normal 5 7 5" xfId="10257"/>
    <cellStyle name="Normal 5 8" xfId="10258"/>
    <cellStyle name="Normal 5 8 2" xfId="10259"/>
    <cellStyle name="Normal 5 8 2 2" xfId="10260"/>
    <cellStyle name="Normal 5 8 2 2 2" xfId="10261"/>
    <cellStyle name="Normal 5 8 2 2 2 2" xfId="10262"/>
    <cellStyle name="Normal 5 8 2 2 3" xfId="10263"/>
    <cellStyle name="Normal 5 8 2 3" xfId="10264"/>
    <cellStyle name="Normal 5 8 2 3 2" xfId="10265"/>
    <cellStyle name="Normal 5 8 2 4" xfId="10266"/>
    <cellStyle name="Normal 5 8 3" xfId="10267"/>
    <cellStyle name="Normal 5 8 3 2" xfId="10268"/>
    <cellStyle name="Normal 5 8 3 2 2" xfId="10269"/>
    <cellStyle name="Normal 5 8 3 3" xfId="10270"/>
    <cellStyle name="Normal 5 8 4" xfId="10271"/>
    <cellStyle name="Normal 5 8 4 2" xfId="10272"/>
    <cellStyle name="Normal 5 8 5" xfId="10273"/>
    <cellStyle name="Normal 5 9" xfId="10274"/>
    <cellStyle name="Normal 5 9 2" xfId="10275"/>
    <cellStyle name="Normal 5 9 2 2" xfId="10276"/>
    <cellStyle name="Normal 5 9 2 2 2" xfId="10277"/>
    <cellStyle name="Normal 5 9 2 3" xfId="10278"/>
    <cellStyle name="Normal 5 9 3" xfId="10279"/>
    <cellStyle name="Normal 5 9 3 2" xfId="10280"/>
    <cellStyle name="Normal 5 9 4" xfId="10281"/>
    <cellStyle name="Normal 50" xfId="1855"/>
    <cellStyle name="Normal 50 2" xfId="10282"/>
    <cellStyle name="Normal 50 3" xfId="10283"/>
    <cellStyle name="Normal 51" xfId="1856"/>
    <cellStyle name="Normal 51 2" xfId="10284"/>
    <cellStyle name="Normal 51 3" xfId="10285"/>
    <cellStyle name="Normal 52" xfId="1857"/>
    <cellStyle name="Normal 52 2" xfId="10286"/>
    <cellStyle name="Normal 52 3" xfId="10287"/>
    <cellStyle name="Normal 53" xfId="10288"/>
    <cellStyle name="Normal 53 2" xfId="10289"/>
    <cellStyle name="Normal 53 3" xfId="10290"/>
    <cellStyle name="Normal 54" xfId="10291"/>
    <cellStyle name="Normal 54 2" xfId="10292"/>
    <cellStyle name="Normal 54 3" xfId="10293"/>
    <cellStyle name="Normal 55" xfId="10294"/>
    <cellStyle name="Normal 55 2" xfId="10295"/>
    <cellStyle name="Normal 55 3" xfId="10296"/>
    <cellStyle name="Normal 56" xfId="10297"/>
    <cellStyle name="Normal 56 2" xfId="10298"/>
    <cellStyle name="Normal 57" xfId="10299"/>
    <cellStyle name="Normal 57 2" xfId="10300"/>
    <cellStyle name="Normal 58" xfId="10301"/>
    <cellStyle name="Normal 58 2" xfId="10302"/>
    <cellStyle name="Normal 59" xfId="10303"/>
    <cellStyle name="Normal 6" xfId="1858"/>
    <cellStyle name="Normal 6 10" xfId="10304"/>
    <cellStyle name="Normal 6 11" xfId="10305"/>
    <cellStyle name="Normal 6 2" xfId="10306"/>
    <cellStyle name="Normal 6 2 2" xfId="10307"/>
    <cellStyle name="Normal 6 2 2 2" xfId="10308"/>
    <cellStyle name="Normal 6 2 2 2 2" xfId="10309"/>
    <cellStyle name="Normal 6 2 2 2 2 2" xfId="10310"/>
    <cellStyle name="Normal 6 2 2 2 2 2 2" xfId="10311"/>
    <cellStyle name="Normal 6 2 2 2 2 3" xfId="10312"/>
    <cellStyle name="Normal 6 2 2 2 3" xfId="10313"/>
    <cellStyle name="Normal 6 2 2 2 3 2" xfId="10314"/>
    <cellStyle name="Normal 6 2 2 2 4" xfId="10315"/>
    <cellStyle name="Normal 6 2 2 2 5" xfId="10316"/>
    <cellStyle name="Normal 6 2 2 3" xfId="10317"/>
    <cellStyle name="Normal 6 2 2 3 2" xfId="10318"/>
    <cellStyle name="Normal 6 2 2 3 2 2" xfId="10319"/>
    <cellStyle name="Normal 6 2 2 3 3" xfId="10320"/>
    <cellStyle name="Normal 6 2 2 4" xfId="10321"/>
    <cellStyle name="Normal 6 2 2 4 2" xfId="10322"/>
    <cellStyle name="Normal 6 2 2 5" xfId="10323"/>
    <cellStyle name="Normal 6 2 2 6" xfId="10324"/>
    <cellStyle name="Normal 6 2 3" xfId="10325"/>
    <cellStyle name="Normal 6 2 3 2" xfId="10326"/>
    <cellStyle name="Normal 6 2 3 2 2" xfId="10327"/>
    <cellStyle name="Normal 6 2 3 2 2 2" xfId="10328"/>
    <cellStyle name="Normal 6 2 3 2 3" xfId="10329"/>
    <cellStyle name="Normal 6 2 3 3" xfId="10330"/>
    <cellStyle name="Normal 6 2 3 3 2" xfId="10331"/>
    <cellStyle name="Normal 6 2 3 4" xfId="10332"/>
    <cellStyle name="Normal 6 2 3 5" xfId="10333"/>
    <cellStyle name="Normal 6 2 4" xfId="10334"/>
    <cellStyle name="Normal 6 2 4 2" xfId="10335"/>
    <cellStyle name="Normal 6 2 4 2 2" xfId="10336"/>
    <cellStyle name="Normal 6 2 4 3" xfId="10337"/>
    <cellStyle name="Normal 6 2 5" xfId="10338"/>
    <cellStyle name="Normal 6 2 5 2" xfId="10339"/>
    <cellStyle name="Normal 6 2 6" xfId="10340"/>
    <cellStyle name="Normal 6 2 7" xfId="10341"/>
    <cellStyle name="Normal 6 2 8" xfId="10342"/>
    <cellStyle name="Normal 6 3" xfId="10343"/>
    <cellStyle name="Normal 6 3 2" xfId="10344"/>
    <cellStyle name="Normal 6 3 2 2" xfId="10345"/>
    <cellStyle name="Normal 6 3 2 2 2" xfId="10346"/>
    <cellStyle name="Normal 6 3 2 2 2 2" xfId="10347"/>
    <cellStyle name="Normal 6 3 2 2 3" xfId="10348"/>
    <cellStyle name="Normal 6 3 2 3" xfId="10349"/>
    <cellStyle name="Normal 6 3 2 3 2" xfId="10350"/>
    <cellStyle name="Normal 6 3 2 4" xfId="10351"/>
    <cellStyle name="Normal 6 3 2 5" xfId="10352"/>
    <cellStyle name="Normal 6 3 3" xfId="10353"/>
    <cellStyle name="Normal 6 3 3 2" xfId="10354"/>
    <cellStyle name="Normal 6 3 3 2 2" xfId="10355"/>
    <cellStyle name="Normal 6 3 3 3" xfId="10356"/>
    <cellStyle name="Normal 6 3 4" xfId="10357"/>
    <cellStyle name="Normal 6 3 4 2" xfId="10358"/>
    <cellStyle name="Normal 6 3 5" xfId="10359"/>
    <cellStyle name="Normal 6 3 6" xfId="10360"/>
    <cellStyle name="Normal 6 3 7" xfId="10361"/>
    <cellStyle name="Normal 6 4" xfId="10362"/>
    <cellStyle name="Normal 6 4 2" xfId="10363"/>
    <cellStyle name="Normal 6 4 2 2" xfId="10364"/>
    <cellStyle name="Normal 6 4 2 2 2" xfId="10365"/>
    <cellStyle name="Normal 6 4 2 2 3" xfId="10366"/>
    <cellStyle name="Normal 6 4 2 3" xfId="10367"/>
    <cellStyle name="Normal 6 4 2 3 2" xfId="10368"/>
    <cellStyle name="Normal 6 4 2 4" xfId="10369"/>
    <cellStyle name="Normal 6 4 2 5" xfId="10370"/>
    <cellStyle name="Normal 6 4 2 6" xfId="10371"/>
    <cellStyle name="Normal 6 4 3" xfId="10372"/>
    <cellStyle name="Normal 6 4 3 2" xfId="10373"/>
    <cellStyle name="Normal 6 4 3 3" xfId="10374"/>
    <cellStyle name="Normal 6 4 4" xfId="10375"/>
    <cellStyle name="Normal 6 4 4 2" xfId="10376"/>
    <cellStyle name="Normal 6 4 4 3" xfId="10377"/>
    <cellStyle name="Normal 6 4 5" xfId="10378"/>
    <cellStyle name="Normal 6 4 5 2" xfId="10379"/>
    <cellStyle name="Normal 6 4 6" xfId="10380"/>
    <cellStyle name="Normal 6 4 7" xfId="10381"/>
    <cellStyle name="Normal 6 4 8" xfId="10382"/>
    <cellStyle name="Normal 6 5" xfId="10383"/>
    <cellStyle name="Normal 6 5 2" xfId="10384"/>
    <cellStyle name="Normal 6 5 2 2" xfId="10385"/>
    <cellStyle name="Normal 6 5 2 2 2" xfId="10386"/>
    <cellStyle name="Normal 6 5 2 3" xfId="10387"/>
    <cellStyle name="Normal 6 5 3" xfId="10388"/>
    <cellStyle name="Normal 6 5 3 2" xfId="10389"/>
    <cellStyle name="Normal 6 5 4" xfId="10390"/>
    <cellStyle name="Normal 6 5 5" xfId="10391"/>
    <cellStyle name="Normal 6 5 6" xfId="10392"/>
    <cellStyle name="Normal 6 6" xfId="10393"/>
    <cellStyle name="Normal 6 6 2" xfId="10394"/>
    <cellStyle name="Normal 6 6 2 2" xfId="10395"/>
    <cellStyle name="Normal 6 6 3" xfId="10396"/>
    <cellStyle name="Normal 6 6 4" xfId="10397"/>
    <cellStyle name="Normal 6 6 5" xfId="10398"/>
    <cellStyle name="Normal 6 7" xfId="10399"/>
    <cellStyle name="Normal 6 7 2" xfId="10400"/>
    <cellStyle name="Normal 6 7 3" xfId="10401"/>
    <cellStyle name="Normal 6 8" xfId="10402"/>
    <cellStyle name="Normal 6 8 2" xfId="10403"/>
    <cellStyle name="Normal 6 8 3" xfId="10404"/>
    <cellStyle name="Normal 6 9" xfId="10405"/>
    <cellStyle name="Normal 60" xfId="10406"/>
    <cellStyle name="Normal 61" xfId="10407"/>
    <cellStyle name="Normal 62" xfId="10408"/>
    <cellStyle name="Normal 63" xfId="10409"/>
    <cellStyle name="Normal 64" xfId="10410"/>
    <cellStyle name="Normal 65" xfId="10411"/>
    <cellStyle name="Normal 66" xfId="10412"/>
    <cellStyle name="Normal 67" xfId="10413"/>
    <cellStyle name="Normal 68" xfId="10414"/>
    <cellStyle name="Normal 69" xfId="10415"/>
    <cellStyle name="Normal 7" xfId="1859"/>
    <cellStyle name="Normal 7 10" xfId="10416"/>
    <cellStyle name="Normal 7 11" xfId="10417"/>
    <cellStyle name="Normal 7 2" xfId="10418"/>
    <cellStyle name="Normal 7 2 2" xfId="10419"/>
    <cellStyle name="Normal 7 2 2 2" xfId="10420"/>
    <cellStyle name="Normal 7 2 2 2 2" xfId="10421"/>
    <cellStyle name="Normal 7 2 2 2 2 2" xfId="10422"/>
    <cellStyle name="Normal 7 2 2 2 2 2 2" xfId="10423"/>
    <cellStyle name="Normal 7 2 2 2 2 2 2 2" xfId="10424"/>
    <cellStyle name="Normal 7 2 2 2 2 2 3" xfId="10425"/>
    <cellStyle name="Normal 7 2 2 2 2 3" xfId="10426"/>
    <cellStyle name="Normal 7 2 2 2 2 3 2" xfId="10427"/>
    <cellStyle name="Normal 7 2 2 2 2 4" xfId="10428"/>
    <cellStyle name="Normal 7 2 2 2 3" xfId="10429"/>
    <cellStyle name="Normal 7 2 2 2 3 2" xfId="10430"/>
    <cellStyle name="Normal 7 2 2 2 3 2 2" xfId="10431"/>
    <cellStyle name="Normal 7 2 2 2 3 3" xfId="10432"/>
    <cellStyle name="Normal 7 2 2 2 4" xfId="10433"/>
    <cellStyle name="Normal 7 2 2 2 4 2" xfId="10434"/>
    <cellStyle name="Normal 7 2 2 2 5" xfId="10435"/>
    <cellStyle name="Normal 7 2 2 2 6" xfId="10436"/>
    <cellStyle name="Normal 7 2 2 3" xfId="10437"/>
    <cellStyle name="Normal 7 2 2 3 2" xfId="10438"/>
    <cellStyle name="Normal 7 2 2 3 2 2" xfId="10439"/>
    <cellStyle name="Normal 7 2 2 3 2 2 2" xfId="10440"/>
    <cellStyle name="Normal 7 2 2 3 2 3" xfId="10441"/>
    <cellStyle name="Normal 7 2 2 3 3" xfId="10442"/>
    <cellStyle name="Normal 7 2 2 3 3 2" xfId="10443"/>
    <cellStyle name="Normal 7 2 2 3 4" xfId="10444"/>
    <cellStyle name="Normal 7 2 2 4" xfId="10445"/>
    <cellStyle name="Normal 7 2 2 4 2" xfId="10446"/>
    <cellStyle name="Normal 7 2 2 4 2 2" xfId="10447"/>
    <cellStyle name="Normal 7 2 2 4 3" xfId="10448"/>
    <cellStyle name="Normal 7 2 2 5" xfId="10449"/>
    <cellStyle name="Normal 7 2 2 5 2" xfId="10450"/>
    <cellStyle name="Normal 7 2 2 6" xfId="10451"/>
    <cellStyle name="Normal 7 2 2 7" xfId="10452"/>
    <cellStyle name="Normal 7 2 3" xfId="10453"/>
    <cellStyle name="Normal 7 2 3 2" xfId="10454"/>
    <cellStyle name="Normal 7 2 3 2 2" xfId="10455"/>
    <cellStyle name="Normal 7 2 3 2 2 2" xfId="10456"/>
    <cellStyle name="Normal 7 2 3 2 2 2 2" xfId="10457"/>
    <cellStyle name="Normal 7 2 3 2 2 3" xfId="10458"/>
    <cellStyle name="Normal 7 2 3 2 3" xfId="10459"/>
    <cellStyle name="Normal 7 2 3 2 3 2" xfId="10460"/>
    <cellStyle name="Normal 7 2 3 2 4" xfId="10461"/>
    <cellStyle name="Normal 7 2 3 3" xfId="10462"/>
    <cellStyle name="Normal 7 2 3 3 2" xfId="10463"/>
    <cellStyle name="Normal 7 2 3 3 2 2" xfId="10464"/>
    <cellStyle name="Normal 7 2 3 3 3" xfId="10465"/>
    <cellStyle name="Normal 7 2 3 4" xfId="10466"/>
    <cellStyle name="Normal 7 2 3 4 2" xfId="10467"/>
    <cellStyle name="Normal 7 2 3 5" xfId="10468"/>
    <cellStyle name="Normal 7 2 3 6" xfId="10469"/>
    <cellStyle name="Normal 7 2 4" xfId="10470"/>
    <cellStyle name="Normal 7 2 4 2" xfId="10471"/>
    <cellStyle name="Normal 7 2 4 2 2" xfId="10472"/>
    <cellStyle name="Normal 7 2 4 2 2 2" xfId="10473"/>
    <cellStyle name="Normal 7 2 4 2 2 2 2" xfId="10474"/>
    <cellStyle name="Normal 7 2 4 2 2 3" xfId="10475"/>
    <cellStyle name="Normal 7 2 4 2 3" xfId="10476"/>
    <cellStyle name="Normal 7 2 4 2 3 2" xfId="10477"/>
    <cellStyle name="Normal 7 2 4 2 4" xfId="10478"/>
    <cellStyle name="Normal 7 2 4 3" xfId="10479"/>
    <cellStyle name="Normal 7 2 4 3 2" xfId="10480"/>
    <cellStyle name="Normal 7 2 4 3 2 2" xfId="10481"/>
    <cellStyle name="Normal 7 2 4 3 3" xfId="10482"/>
    <cellStyle name="Normal 7 2 4 4" xfId="10483"/>
    <cellStyle name="Normal 7 2 4 4 2" xfId="10484"/>
    <cellStyle name="Normal 7 2 4 5" xfId="10485"/>
    <cellStyle name="Normal 7 2 5" xfId="10486"/>
    <cellStyle name="Normal 7 2 5 2" xfId="10487"/>
    <cellStyle name="Normal 7 2 5 2 2" xfId="10488"/>
    <cellStyle name="Normal 7 2 5 2 2 2" xfId="10489"/>
    <cellStyle name="Normal 7 2 5 2 3" xfId="10490"/>
    <cellStyle name="Normal 7 2 5 3" xfId="10491"/>
    <cellStyle name="Normal 7 2 5 3 2" xfId="10492"/>
    <cellStyle name="Normal 7 2 5 4" xfId="10493"/>
    <cellStyle name="Normal 7 2 6" xfId="10494"/>
    <cellStyle name="Normal 7 2 6 2" xfId="10495"/>
    <cellStyle name="Normal 7 2 6 2 2" xfId="10496"/>
    <cellStyle name="Normal 7 2 6 3" xfId="10497"/>
    <cellStyle name="Normal 7 2 7" xfId="10498"/>
    <cellStyle name="Normal 7 2 7 2" xfId="10499"/>
    <cellStyle name="Normal 7 2 8" xfId="10500"/>
    <cellStyle name="Normal 7 2 9" xfId="10501"/>
    <cellStyle name="Normal 7 3" xfId="10502"/>
    <cellStyle name="Normal 7 3 2" xfId="10503"/>
    <cellStyle name="Normal 7 3 2 2" xfId="10504"/>
    <cellStyle name="Normal 7 3 2 2 2" xfId="10505"/>
    <cellStyle name="Normal 7 3 2 2 2 2" xfId="10506"/>
    <cellStyle name="Normal 7 3 2 2 2 2 2" xfId="10507"/>
    <cellStyle name="Normal 7 3 2 2 2 3" xfId="10508"/>
    <cellStyle name="Normal 7 3 2 2 3" xfId="10509"/>
    <cellStyle name="Normal 7 3 2 2 3 2" xfId="10510"/>
    <cellStyle name="Normal 7 3 2 2 4" xfId="10511"/>
    <cellStyle name="Normal 7 3 2 3" xfId="10512"/>
    <cellStyle name="Normal 7 3 2 3 2" xfId="10513"/>
    <cellStyle name="Normal 7 3 2 3 2 2" xfId="10514"/>
    <cellStyle name="Normal 7 3 2 3 3" xfId="10515"/>
    <cellStyle name="Normal 7 3 2 4" xfId="10516"/>
    <cellStyle name="Normal 7 3 2 4 2" xfId="10517"/>
    <cellStyle name="Normal 7 3 2 5" xfId="10518"/>
    <cellStyle name="Normal 7 3 2 6" xfId="10519"/>
    <cellStyle name="Normal 7 3 3" xfId="10520"/>
    <cellStyle name="Normal 7 3 3 2" xfId="10521"/>
    <cellStyle name="Normal 7 3 3 2 2" xfId="10522"/>
    <cellStyle name="Normal 7 3 3 2 2 2" xfId="10523"/>
    <cellStyle name="Normal 7 3 3 2 3" xfId="10524"/>
    <cellStyle name="Normal 7 3 3 3" xfId="10525"/>
    <cellStyle name="Normal 7 3 3 3 2" xfId="10526"/>
    <cellStyle name="Normal 7 3 3 4" xfId="10527"/>
    <cellStyle name="Normal 7 3 4" xfId="10528"/>
    <cellStyle name="Normal 7 3 4 2" xfId="10529"/>
    <cellStyle name="Normal 7 3 4 2 2" xfId="10530"/>
    <cellStyle name="Normal 7 3 4 3" xfId="10531"/>
    <cellStyle name="Normal 7 3 5" xfId="10532"/>
    <cellStyle name="Normal 7 3 5 2" xfId="10533"/>
    <cellStyle name="Normal 7 3 6" xfId="10534"/>
    <cellStyle name="Normal 7 3 7" xfId="10535"/>
    <cellStyle name="Normal 7 4" xfId="10536"/>
    <cellStyle name="Normal 7 4 2" xfId="10537"/>
    <cellStyle name="Normal 7 4 2 2" xfId="10538"/>
    <cellStyle name="Normal 7 4 2 2 2" xfId="10539"/>
    <cellStyle name="Normal 7 4 2 2 2 2" xfId="10540"/>
    <cellStyle name="Normal 7 4 2 2 3" xfId="10541"/>
    <cellStyle name="Normal 7 4 2 3" xfId="10542"/>
    <cellStyle name="Normal 7 4 2 3 2" xfId="10543"/>
    <cellStyle name="Normal 7 4 2 4" xfId="10544"/>
    <cellStyle name="Normal 7 4 2 5" xfId="10545"/>
    <cellStyle name="Normal 7 4 3" xfId="10546"/>
    <cellStyle name="Normal 7 4 3 2" xfId="10547"/>
    <cellStyle name="Normal 7 4 3 2 2" xfId="10548"/>
    <cellStyle name="Normal 7 4 3 3" xfId="10549"/>
    <cellStyle name="Normal 7 4 4" xfId="10550"/>
    <cellStyle name="Normal 7 4 4 2" xfId="10551"/>
    <cellStyle name="Normal 7 4 5" xfId="10552"/>
    <cellStyle name="Normal 7 4 6" xfId="10553"/>
    <cellStyle name="Normal 7 4 7" xfId="10554"/>
    <cellStyle name="Normal 7 5" xfId="10555"/>
    <cellStyle name="Normal 7 5 2" xfId="10556"/>
    <cellStyle name="Normal 7 5 2 2" xfId="10557"/>
    <cellStyle name="Normal 7 5 2 2 2" xfId="10558"/>
    <cellStyle name="Normal 7 5 2 2 2 2" xfId="10559"/>
    <cellStyle name="Normal 7 5 2 2 3" xfId="10560"/>
    <cellStyle name="Normal 7 5 2 3" xfId="10561"/>
    <cellStyle name="Normal 7 5 2 3 2" xfId="10562"/>
    <cellStyle name="Normal 7 5 2 4" xfId="10563"/>
    <cellStyle name="Normal 7 5 3" xfId="10564"/>
    <cellStyle name="Normal 7 5 3 2" xfId="10565"/>
    <cellStyle name="Normal 7 5 3 2 2" xfId="10566"/>
    <cellStyle name="Normal 7 5 3 3" xfId="10567"/>
    <cellStyle name="Normal 7 5 4" xfId="10568"/>
    <cellStyle name="Normal 7 5 4 2" xfId="10569"/>
    <cellStyle name="Normal 7 5 5" xfId="10570"/>
    <cellStyle name="Normal 7 5 6" xfId="10571"/>
    <cellStyle name="Normal 7 6" xfId="10572"/>
    <cellStyle name="Normal 7 6 2" xfId="10573"/>
    <cellStyle name="Normal 7 6 2 2" xfId="10574"/>
    <cellStyle name="Normal 7 6 2 2 2" xfId="10575"/>
    <cellStyle name="Normal 7 6 2 3" xfId="10576"/>
    <cellStyle name="Normal 7 6 3" xfId="10577"/>
    <cellStyle name="Normal 7 6 3 2" xfId="10578"/>
    <cellStyle name="Normal 7 6 4" xfId="10579"/>
    <cellStyle name="Normal 7 7" xfId="10580"/>
    <cellStyle name="Normal 7 7 2" xfId="10581"/>
    <cellStyle name="Normal 7 7 2 2" xfId="10582"/>
    <cellStyle name="Normal 7 7 3" xfId="10583"/>
    <cellStyle name="Normal 7 8" xfId="10584"/>
    <cellStyle name="Normal 7 8 2" xfId="10585"/>
    <cellStyle name="Normal 7 8 2 2" xfId="10586"/>
    <cellStyle name="Normal 7 8 3" xfId="10587"/>
    <cellStyle name="Normal 7 9" xfId="10588"/>
    <cellStyle name="Normal 7 9 2" xfId="10589"/>
    <cellStyle name="Normal 70" xfId="10590"/>
    <cellStyle name="Normal 71" xfId="10591"/>
    <cellStyle name="Normal 8" xfId="1860"/>
    <cellStyle name="Normal 8 2" xfId="10592"/>
    <cellStyle name="Normal 8 2 2" xfId="2108"/>
    <cellStyle name="Normal 8 2 2 2" xfId="10593"/>
    <cellStyle name="Normal 8 2 2 2 2" xfId="10594"/>
    <cellStyle name="Normal 8 2 2 2 2 2" xfId="10595"/>
    <cellStyle name="Normal 8 2 2 2 2 2 2" xfId="10596"/>
    <cellStyle name="Normal 8 2 2 2 2 3" xfId="10597"/>
    <cellStyle name="Normal 8 2 2 2 3" xfId="10598"/>
    <cellStyle name="Normal 8 2 2 2 3 2" xfId="10599"/>
    <cellStyle name="Normal 8 2 2 2 4" xfId="10600"/>
    <cellStyle name="Normal 8 2 2 2 5" xfId="10601"/>
    <cellStyle name="Normal 8 2 2 3" xfId="10602"/>
    <cellStyle name="Normal 8 2 2 3 2" xfId="10603"/>
    <cellStyle name="Normal 8 2 2 3 2 2" xfId="10604"/>
    <cellStyle name="Normal 8 2 2 3 3" xfId="10605"/>
    <cellStyle name="Normal 8 2 2 4" xfId="10606"/>
    <cellStyle name="Normal 8 2 2 4 2" xfId="10607"/>
    <cellStyle name="Normal 8 2 2 5" xfId="10608"/>
    <cellStyle name="Normal 8 2 2 6" xfId="10609"/>
    <cellStyle name="Normal 8 2 3" xfId="10610"/>
    <cellStyle name="Normal 8 2 3 2" xfId="10611"/>
    <cellStyle name="Normal 8 2 3 2 2" xfId="10612"/>
    <cellStyle name="Normal 8 2 3 2 2 2" xfId="10613"/>
    <cellStyle name="Normal 8 2 3 2 3" xfId="10614"/>
    <cellStyle name="Normal 8 2 3 3" xfId="10615"/>
    <cellStyle name="Normal 8 2 3 3 2" xfId="10616"/>
    <cellStyle name="Normal 8 2 3 4" xfId="10617"/>
    <cellStyle name="Normal 8 2 3 5" xfId="10618"/>
    <cellStyle name="Normal 8 2 4" xfId="10619"/>
    <cellStyle name="Normal 8 2 4 2" xfId="10620"/>
    <cellStyle name="Normal 8 2 4 2 2" xfId="10621"/>
    <cellStyle name="Normal 8 2 4 3" xfId="10622"/>
    <cellStyle name="Normal 8 2 5" xfId="10623"/>
    <cellStyle name="Normal 8 2 5 2" xfId="10624"/>
    <cellStyle name="Normal 8 2 6" xfId="10625"/>
    <cellStyle name="Normal 8 2 7" xfId="10626"/>
    <cellStyle name="Normal 8 2 8" xfId="10627"/>
    <cellStyle name="Normal 8 3" xfId="2109"/>
    <cellStyle name="Normal 8 3 2" xfId="10628"/>
    <cellStyle name="Normal 8 3 2 2" xfId="10629"/>
    <cellStyle name="Normal 8 3 2 2 2" xfId="10630"/>
    <cellStyle name="Normal 8 3 2 2 2 2" xfId="10631"/>
    <cellStyle name="Normal 8 3 2 2 3" xfId="10632"/>
    <cellStyle name="Normal 8 3 2 3" xfId="10633"/>
    <cellStyle name="Normal 8 3 2 3 2" xfId="10634"/>
    <cellStyle name="Normal 8 3 2 4" xfId="10635"/>
    <cellStyle name="Normal 8 3 2 5" xfId="10636"/>
    <cellStyle name="Normal 8 3 3" xfId="10637"/>
    <cellStyle name="Normal 8 3 3 2" xfId="10638"/>
    <cellStyle name="Normal 8 3 3 2 2" xfId="10639"/>
    <cellStyle name="Normal 8 3 3 3" xfId="10640"/>
    <cellStyle name="Normal 8 3 4" xfId="10641"/>
    <cellStyle name="Normal 8 3 4 2" xfId="10642"/>
    <cellStyle name="Normal 8 3 5" xfId="10643"/>
    <cellStyle name="Normal 8 3 6" xfId="10644"/>
    <cellStyle name="Normal 8 4" xfId="10645"/>
    <cellStyle name="Normal 8 4 2" xfId="10646"/>
    <cellStyle name="Normal 8 4 2 2" xfId="10647"/>
    <cellStyle name="Normal 8 4 2 2 2" xfId="10648"/>
    <cellStyle name="Normal 8 4 2 3" xfId="10649"/>
    <cellStyle name="Normal 8 4 3" xfId="10650"/>
    <cellStyle name="Normal 8 4 3 2" xfId="10651"/>
    <cellStyle name="Normal 8 4 4" xfId="10652"/>
    <cellStyle name="Normal 8 4 5" xfId="10653"/>
    <cellStyle name="Normal 8 5" xfId="10654"/>
    <cellStyle name="Normal 8 5 2" xfId="10655"/>
    <cellStyle name="Normal 8 5 2 2" xfId="10656"/>
    <cellStyle name="Normal 8 5 3" xfId="10657"/>
    <cellStyle name="Normal 8 6" xfId="10658"/>
    <cellStyle name="Normal 8 6 2" xfId="10659"/>
    <cellStyle name="Normal 8 7" xfId="10660"/>
    <cellStyle name="Normal 8 8" xfId="10661"/>
    <cellStyle name="Normal 9" xfId="1861"/>
    <cellStyle name="Normal 9 2" xfId="10662"/>
    <cellStyle name="Normal 9 2 2" xfId="10663"/>
    <cellStyle name="Normal 9 2 2 2" xfId="10664"/>
    <cellStyle name="Normal 9 2 2 2 2" xfId="10665"/>
    <cellStyle name="Normal 9 2 2 2 2 2" xfId="10666"/>
    <cellStyle name="Normal 9 2 2 2 2 2 2" xfId="10667"/>
    <cellStyle name="Normal 9 2 2 2 2 3" xfId="10668"/>
    <cellStyle name="Normal 9 2 2 2 3" xfId="10669"/>
    <cellStyle name="Normal 9 2 2 2 3 2" xfId="10670"/>
    <cellStyle name="Normal 9 2 2 2 4" xfId="10671"/>
    <cellStyle name="Normal 9 2 2 2 5" xfId="10672"/>
    <cellStyle name="Normal 9 2 2 2 6" xfId="10673"/>
    <cellStyle name="Normal 9 2 2 3" xfId="10674"/>
    <cellStyle name="Normal 9 2 2 3 2" xfId="10675"/>
    <cellStyle name="Normal 9 2 2 3 2 2" xfId="10676"/>
    <cellStyle name="Normal 9 2 2 3 3" xfId="10677"/>
    <cellStyle name="Normal 9 2 2 4" xfId="10678"/>
    <cellStyle name="Normal 9 2 2 4 2" xfId="10679"/>
    <cellStyle name="Normal 9 2 2 5" xfId="10680"/>
    <cellStyle name="Normal 9 2 2 6" xfId="10681"/>
    <cellStyle name="Normal 9 2 2 7" xfId="10682"/>
    <cellStyle name="Normal 9 2 3" xfId="10683"/>
    <cellStyle name="Normal 9 2 3 2" xfId="10684"/>
    <cellStyle name="Normal 9 2 3 2 2" xfId="10685"/>
    <cellStyle name="Normal 9 2 3 2 2 2" xfId="10686"/>
    <cellStyle name="Normal 9 2 3 2 3" xfId="10687"/>
    <cellStyle name="Normal 9 2 3 3" xfId="10688"/>
    <cellStyle name="Normal 9 2 3 3 2" xfId="10689"/>
    <cellStyle name="Normal 9 2 3 4" xfId="10690"/>
    <cellStyle name="Normal 9 2 3 5" xfId="10691"/>
    <cellStyle name="Normal 9 2 3 6" xfId="10692"/>
    <cellStyle name="Normal 9 2 4" xfId="10693"/>
    <cellStyle name="Normal 9 2 4 2" xfId="10694"/>
    <cellStyle name="Normal 9 2 4 2 2" xfId="10695"/>
    <cellStyle name="Normal 9 2 4 3" xfId="10696"/>
    <cellStyle name="Normal 9 2 4 4" xfId="10697"/>
    <cellStyle name="Normal 9 2 5" xfId="10698"/>
    <cellStyle name="Normal 9 2 5 2" xfId="10699"/>
    <cellStyle name="Normal 9 2 6" xfId="10700"/>
    <cellStyle name="Normal 9 2 7" xfId="10701"/>
    <cellStyle name="Normal 9 2 8" xfId="10702"/>
    <cellStyle name="Normal 9 3" xfId="10703"/>
    <cellStyle name="Normal 9 3 2" xfId="10704"/>
    <cellStyle name="Normal 9 3 2 2" xfId="10705"/>
    <cellStyle name="Normal 9 3 2 2 2" xfId="10706"/>
    <cellStyle name="Normal 9 3 2 2 2 2" xfId="10707"/>
    <cellStyle name="Normal 9 3 2 2 3" xfId="10708"/>
    <cellStyle name="Normal 9 3 2 3" xfId="10709"/>
    <cellStyle name="Normal 9 3 2 3 2" xfId="10710"/>
    <cellStyle name="Normal 9 3 2 4" xfId="10711"/>
    <cellStyle name="Normal 9 3 2 5" xfId="10712"/>
    <cellStyle name="Normal 9 3 2 6" xfId="10713"/>
    <cellStyle name="Normal 9 3 3" xfId="10714"/>
    <cellStyle name="Normal 9 3 3 2" xfId="10715"/>
    <cellStyle name="Normal 9 3 3 2 2" xfId="10716"/>
    <cellStyle name="Normal 9 3 3 3" xfId="10717"/>
    <cellStyle name="Normal 9 3 3 4" xfId="10718"/>
    <cellStyle name="Normal 9 3 4" xfId="10719"/>
    <cellStyle name="Normal 9 3 4 2" xfId="10720"/>
    <cellStyle name="Normal 9 3 5" xfId="10721"/>
    <cellStyle name="Normal 9 3 6" xfId="10722"/>
    <cellStyle name="Normal 9 3 7" xfId="10723"/>
    <cellStyle name="Normal 9 4" xfId="10724"/>
    <cellStyle name="Normal 9 4 2" xfId="10725"/>
    <cellStyle name="Normal 9 4 2 2" xfId="10726"/>
    <cellStyle name="Normal 9 4 2 2 2" xfId="10727"/>
    <cellStyle name="Normal 9 4 2 3" xfId="10728"/>
    <cellStyle name="Normal 9 4 3" xfId="10729"/>
    <cellStyle name="Normal 9 4 3 2" xfId="10730"/>
    <cellStyle name="Normal 9 4 4" xfId="10731"/>
    <cellStyle name="Normal 9 4 5" xfId="10732"/>
    <cellStyle name="Normal 9 4 6" xfId="10733"/>
    <cellStyle name="Normal 9 5" xfId="10734"/>
    <cellStyle name="Normal 9 5 2" xfId="10735"/>
    <cellStyle name="Normal 9 5 2 2" xfId="10736"/>
    <cellStyle name="Normal 9 5 3" xfId="10737"/>
    <cellStyle name="Normal 9 5 4" xfId="10738"/>
    <cellStyle name="Normal 9 6" xfId="10739"/>
    <cellStyle name="Normal 9 6 2" xfId="10740"/>
    <cellStyle name="Normal 9 7" xfId="10741"/>
    <cellStyle name="Normal 9 8" xfId="10742"/>
    <cellStyle name="Normal 9 9" xfId="10743"/>
    <cellStyle name="Normal_LGE Filed Test Period Billing Exhibits - SBR Summary" xfId="4"/>
    <cellStyle name="Note 10" xfId="1862"/>
    <cellStyle name="Note 10 10" xfId="10744"/>
    <cellStyle name="Note 10 10 2" xfId="10745"/>
    <cellStyle name="Note 10 11" xfId="10746"/>
    <cellStyle name="Note 10 12" xfId="10747"/>
    <cellStyle name="Note 10 13" xfId="10748"/>
    <cellStyle name="Note 10 2" xfId="1863"/>
    <cellStyle name="Note 10 2 10" xfId="10749"/>
    <cellStyle name="Note 10 2 2" xfId="10750"/>
    <cellStyle name="Note 10 2 2 2" xfId="10751"/>
    <cellStyle name="Note 10 2 3" xfId="10752"/>
    <cellStyle name="Note 10 2 3 2" xfId="10753"/>
    <cellStyle name="Note 10 2 4" xfId="10754"/>
    <cellStyle name="Note 10 2 4 2" xfId="10755"/>
    <cellStyle name="Note 10 2 5" xfId="10756"/>
    <cellStyle name="Note 10 2 5 2" xfId="10757"/>
    <cellStyle name="Note 10 2 6" xfId="10758"/>
    <cellStyle name="Note 10 2 6 2" xfId="10759"/>
    <cellStyle name="Note 10 2 7" xfId="10760"/>
    <cellStyle name="Note 10 2 7 2" xfId="10761"/>
    <cellStyle name="Note 10 2 8" xfId="10762"/>
    <cellStyle name="Note 10 2 8 2" xfId="10763"/>
    <cellStyle name="Note 10 2 9" xfId="10764"/>
    <cellStyle name="Note 10 2 9 2" xfId="10765"/>
    <cellStyle name="Note 10 3" xfId="1864"/>
    <cellStyle name="Note 10 3 2" xfId="10766"/>
    <cellStyle name="Note 10 4" xfId="1865"/>
    <cellStyle name="Note 10 4 2" xfId="10767"/>
    <cellStyle name="Note 10 5" xfId="1866"/>
    <cellStyle name="Note 10 5 2" xfId="10768"/>
    <cellStyle name="Note 10 6" xfId="10769"/>
    <cellStyle name="Note 10 6 2" xfId="10770"/>
    <cellStyle name="Note 10 7" xfId="10771"/>
    <cellStyle name="Note 10 7 2" xfId="10772"/>
    <cellStyle name="Note 10 8" xfId="10773"/>
    <cellStyle name="Note 10 8 2" xfId="10774"/>
    <cellStyle name="Note 10 9" xfId="10775"/>
    <cellStyle name="Note 10 9 2" xfId="10776"/>
    <cellStyle name="Note 11" xfId="1867"/>
    <cellStyle name="Note 11 10" xfId="10777"/>
    <cellStyle name="Note 11 10 2" xfId="10778"/>
    <cellStyle name="Note 11 11" xfId="10779"/>
    <cellStyle name="Note 11 12" xfId="10780"/>
    <cellStyle name="Note 11 13" xfId="10781"/>
    <cellStyle name="Note 11 2" xfId="1868"/>
    <cellStyle name="Note 11 2 10" xfId="10782"/>
    <cellStyle name="Note 11 2 2" xfId="10783"/>
    <cellStyle name="Note 11 2 2 2" xfId="10784"/>
    <cellStyle name="Note 11 2 3" xfId="10785"/>
    <cellStyle name="Note 11 2 3 2" xfId="10786"/>
    <cellStyle name="Note 11 2 4" xfId="10787"/>
    <cellStyle name="Note 11 2 4 2" xfId="10788"/>
    <cellStyle name="Note 11 2 5" xfId="10789"/>
    <cellStyle name="Note 11 2 5 2" xfId="10790"/>
    <cellStyle name="Note 11 2 6" xfId="10791"/>
    <cellStyle name="Note 11 2 6 2" xfId="10792"/>
    <cellStyle name="Note 11 2 7" xfId="10793"/>
    <cellStyle name="Note 11 2 7 2" xfId="10794"/>
    <cellStyle name="Note 11 2 8" xfId="10795"/>
    <cellStyle name="Note 11 2 8 2" xfId="10796"/>
    <cellStyle name="Note 11 2 9" xfId="10797"/>
    <cellStyle name="Note 11 2 9 2" xfId="10798"/>
    <cellStyle name="Note 11 3" xfId="1869"/>
    <cellStyle name="Note 11 3 2" xfId="10799"/>
    <cellStyle name="Note 11 4" xfId="1870"/>
    <cellStyle name="Note 11 4 2" xfId="10800"/>
    <cellStyle name="Note 11 5" xfId="1871"/>
    <cellStyle name="Note 11 5 2" xfId="10801"/>
    <cellStyle name="Note 11 6" xfId="10802"/>
    <cellStyle name="Note 11 6 2" xfId="10803"/>
    <cellStyle name="Note 11 7" xfId="10804"/>
    <cellStyle name="Note 11 7 2" xfId="10805"/>
    <cellStyle name="Note 11 8" xfId="10806"/>
    <cellStyle name="Note 11 8 2" xfId="10807"/>
    <cellStyle name="Note 11 9" xfId="10808"/>
    <cellStyle name="Note 11 9 2" xfId="10809"/>
    <cellStyle name="Note 12" xfId="1872"/>
    <cellStyle name="Note 12 10" xfId="10810"/>
    <cellStyle name="Note 12 10 2" xfId="10811"/>
    <cellStyle name="Note 12 11" xfId="10812"/>
    <cellStyle name="Note 12 12" xfId="10813"/>
    <cellStyle name="Note 12 13" xfId="10814"/>
    <cellStyle name="Note 12 2" xfId="10815"/>
    <cellStyle name="Note 12 2 10" xfId="10816"/>
    <cellStyle name="Note 12 2 2" xfId="10817"/>
    <cellStyle name="Note 12 2 2 2" xfId="10818"/>
    <cellStyle name="Note 12 2 3" xfId="10819"/>
    <cellStyle name="Note 12 2 3 2" xfId="10820"/>
    <cellStyle name="Note 12 2 4" xfId="10821"/>
    <cellStyle name="Note 12 2 4 2" xfId="10822"/>
    <cellStyle name="Note 12 2 5" xfId="10823"/>
    <cellStyle name="Note 12 2 5 2" xfId="10824"/>
    <cellStyle name="Note 12 2 6" xfId="10825"/>
    <cellStyle name="Note 12 2 6 2" xfId="10826"/>
    <cellStyle name="Note 12 2 7" xfId="10827"/>
    <cellStyle name="Note 12 2 7 2" xfId="10828"/>
    <cellStyle name="Note 12 2 8" xfId="10829"/>
    <cellStyle name="Note 12 2 8 2" xfId="10830"/>
    <cellStyle name="Note 12 2 9" xfId="10831"/>
    <cellStyle name="Note 12 2 9 2" xfId="10832"/>
    <cellStyle name="Note 12 3" xfId="10833"/>
    <cellStyle name="Note 12 3 2" xfId="10834"/>
    <cellStyle name="Note 12 4" xfId="10835"/>
    <cellStyle name="Note 12 4 2" xfId="10836"/>
    <cellStyle name="Note 12 5" xfId="10837"/>
    <cellStyle name="Note 12 5 2" xfId="10838"/>
    <cellStyle name="Note 12 6" xfId="10839"/>
    <cellStyle name="Note 12 6 2" xfId="10840"/>
    <cellStyle name="Note 12 7" xfId="10841"/>
    <cellStyle name="Note 12 7 2" xfId="10842"/>
    <cellStyle name="Note 12 8" xfId="10843"/>
    <cellStyle name="Note 12 8 2" xfId="10844"/>
    <cellStyle name="Note 12 9" xfId="10845"/>
    <cellStyle name="Note 12 9 2" xfId="10846"/>
    <cellStyle name="Note 13" xfId="1873"/>
    <cellStyle name="Note 13 10" xfId="10847"/>
    <cellStyle name="Note 13 10 2" xfId="10848"/>
    <cellStyle name="Note 13 11" xfId="10849"/>
    <cellStyle name="Note 13 12" xfId="10850"/>
    <cellStyle name="Note 13 13" xfId="10851"/>
    <cellStyle name="Note 13 2" xfId="10852"/>
    <cellStyle name="Note 13 2 10" xfId="10853"/>
    <cellStyle name="Note 13 2 2" xfId="10854"/>
    <cellStyle name="Note 13 2 2 2" xfId="10855"/>
    <cellStyle name="Note 13 2 3" xfId="10856"/>
    <cellStyle name="Note 13 2 3 2" xfId="10857"/>
    <cellStyle name="Note 13 2 4" xfId="10858"/>
    <cellStyle name="Note 13 2 4 2" xfId="10859"/>
    <cellStyle name="Note 13 2 5" xfId="10860"/>
    <cellStyle name="Note 13 2 5 2" xfId="10861"/>
    <cellStyle name="Note 13 2 6" xfId="10862"/>
    <cellStyle name="Note 13 2 6 2" xfId="10863"/>
    <cellStyle name="Note 13 2 7" xfId="10864"/>
    <cellStyle name="Note 13 2 7 2" xfId="10865"/>
    <cellStyle name="Note 13 2 8" xfId="10866"/>
    <cellStyle name="Note 13 2 8 2" xfId="10867"/>
    <cellStyle name="Note 13 2 9" xfId="10868"/>
    <cellStyle name="Note 13 2 9 2" xfId="10869"/>
    <cellStyle name="Note 13 3" xfId="10870"/>
    <cellStyle name="Note 13 3 2" xfId="10871"/>
    <cellStyle name="Note 13 4" xfId="10872"/>
    <cellStyle name="Note 13 4 2" xfId="10873"/>
    <cellStyle name="Note 13 5" xfId="10874"/>
    <cellStyle name="Note 13 5 2" xfId="10875"/>
    <cellStyle name="Note 13 6" xfId="10876"/>
    <cellStyle name="Note 13 6 2" xfId="10877"/>
    <cellStyle name="Note 13 7" xfId="10878"/>
    <cellStyle name="Note 13 7 2" xfId="10879"/>
    <cellStyle name="Note 13 8" xfId="10880"/>
    <cellStyle name="Note 13 8 2" xfId="10881"/>
    <cellStyle name="Note 13 9" xfId="10882"/>
    <cellStyle name="Note 13 9 2" xfId="10883"/>
    <cellStyle name="Note 14" xfId="1874"/>
    <cellStyle name="Note 14 10" xfId="10884"/>
    <cellStyle name="Note 14 10 2" xfId="10885"/>
    <cellStyle name="Note 14 11" xfId="10886"/>
    <cellStyle name="Note 14 12" xfId="10887"/>
    <cellStyle name="Note 14 13" xfId="10888"/>
    <cellStyle name="Note 14 2" xfId="10889"/>
    <cellStyle name="Note 14 2 10" xfId="10890"/>
    <cellStyle name="Note 14 2 2" xfId="10891"/>
    <cellStyle name="Note 14 2 2 2" xfId="10892"/>
    <cellStyle name="Note 14 2 3" xfId="10893"/>
    <cellStyle name="Note 14 2 3 2" xfId="10894"/>
    <cellStyle name="Note 14 2 4" xfId="10895"/>
    <cellStyle name="Note 14 2 4 2" xfId="10896"/>
    <cellStyle name="Note 14 2 5" xfId="10897"/>
    <cellStyle name="Note 14 2 5 2" xfId="10898"/>
    <cellStyle name="Note 14 2 6" xfId="10899"/>
    <cellStyle name="Note 14 2 6 2" xfId="10900"/>
    <cellStyle name="Note 14 2 7" xfId="10901"/>
    <cellStyle name="Note 14 2 7 2" xfId="10902"/>
    <cellStyle name="Note 14 2 8" xfId="10903"/>
    <cellStyle name="Note 14 2 8 2" xfId="10904"/>
    <cellStyle name="Note 14 2 9" xfId="10905"/>
    <cellStyle name="Note 14 2 9 2" xfId="10906"/>
    <cellStyle name="Note 14 3" xfId="10907"/>
    <cellStyle name="Note 14 3 2" xfId="10908"/>
    <cellStyle name="Note 14 4" xfId="10909"/>
    <cellStyle name="Note 14 4 2" xfId="10910"/>
    <cellStyle name="Note 14 5" xfId="10911"/>
    <cellStyle name="Note 14 5 2" xfId="10912"/>
    <cellStyle name="Note 14 6" xfId="10913"/>
    <cellStyle name="Note 14 6 2" xfId="10914"/>
    <cellStyle name="Note 14 7" xfId="10915"/>
    <cellStyle name="Note 14 7 2" xfId="10916"/>
    <cellStyle name="Note 14 8" xfId="10917"/>
    <cellStyle name="Note 14 8 2" xfId="10918"/>
    <cellStyle name="Note 14 9" xfId="10919"/>
    <cellStyle name="Note 14 9 2" xfId="10920"/>
    <cellStyle name="Note 15" xfId="1875"/>
    <cellStyle name="Note 15 10" xfId="10921"/>
    <cellStyle name="Note 15 10 2" xfId="10922"/>
    <cellStyle name="Note 15 11" xfId="10923"/>
    <cellStyle name="Note 15 12" xfId="10924"/>
    <cellStyle name="Note 15 2" xfId="1876"/>
    <cellStyle name="Note 15 2 10" xfId="10925"/>
    <cellStyle name="Note 15 2 2" xfId="10926"/>
    <cellStyle name="Note 15 2 2 2" xfId="10927"/>
    <cellStyle name="Note 15 2 3" xfId="10928"/>
    <cellStyle name="Note 15 2 3 2" xfId="10929"/>
    <cellStyle name="Note 15 2 4" xfId="10930"/>
    <cellStyle name="Note 15 2 4 2" xfId="10931"/>
    <cellStyle name="Note 15 2 5" xfId="10932"/>
    <cellStyle name="Note 15 2 5 2" xfId="10933"/>
    <cellStyle name="Note 15 2 6" xfId="10934"/>
    <cellStyle name="Note 15 2 6 2" xfId="10935"/>
    <cellStyle name="Note 15 2 7" xfId="10936"/>
    <cellStyle name="Note 15 2 7 2" xfId="10937"/>
    <cellStyle name="Note 15 2 8" xfId="10938"/>
    <cellStyle name="Note 15 2 8 2" xfId="10939"/>
    <cellStyle name="Note 15 2 9" xfId="10940"/>
    <cellStyle name="Note 15 2 9 2" xfId="10941"/>
    <cellStyle name="Note 15 3" xfId="1877"/>
    <cellStyle name="Note 15 3 2" xfId="10942"/>
    <cellStyle name="Note 15 4" xfId="1878"/>
    <cellStyle name="Note 15 4 2" xfId="10943"/>
    <cellStyle name="Note 15 5" xfId="1879"/>
    <cellStyle name="Note 15 5 2" xfId="10944"/>
    <cellStyle name="Note 15 6" xfId="10945"/>
    <cellStyle name="Note 15 6 2" xfId="10946"/>
    <cellStyle name="Note 15 7" xfId="10947"/>
    <cellStyle name="Note 15 7 2" xfId="10948"/>
    <cellStyle name="Note 15 8" xfId="10949"/>
    <cellStyle name="Note 15 8 2" xfId="10950"/>
    <cellStyle name="Note 15 9" xfId="10951"/>
    <cellStyle name="Note 15 9 2" xfId="10952"/>
    <cellStyle name="Note 16" xfId="1880"/>
    <cellStyle name="Note 16 10" xfId="10953"/>
    <cellStyle name="Note 16 10 2" xfId="10954"/>
    <cellStyle name="Note 16 11" xfId="10955"/>
    <cellStyle name="Note 16 2" xfId="1881"/>
    <cellStyle name="Note 16 2 10" xfId="10956"/>
    <cellStyle name="Note 16 2 2" xfId="10957"/>
    <cellStyle name="Note 16 2 2 2" xfId="10958"/>
    <cellStyle name="Note 16 2 3" xfId="10959"/>
    <cellStyle name="Note 16 2 3 2" xfId="10960"/>
    <cellStyle name="Note 16 2 4" xfId="10961"/>
    <cellStyle name="Note 16 2 4 2" xfId="10962"/>
    <cellStyle name="Note 16 2 5" xfId="10963"/>
    <cellStyle name="Note 16 2 5 2" xfId="10964"/>
    <cellStyle name="Note 16 2 6" xfId="10965"/>
    <cellStyle name="Note 16 2 6 2" xfId="10966"/>
    <cellStyle name="Note 16 2 7" xfId="10967"/>
    <cellStyle name="Note 16 2 7 2" xfId="10968"/>
    <cellStyle name="Note 16 2 8" xfId="10969"/>
    <cellStyle name="Note 16 2 8 2" xfId="10970"/>
    <cellStyle name="Note 16 2 9" xfId="10971"/>
    <cellStyle name="Note 16 2 9 2" xfId="10972"/>
    <cellStyle name="Note 16 3" xfId="1882"/>
    <cellStyle name="Note 16 3 2" xfId="10973"/>
    <cellStyle name="Note 16 4" xfId="1883"/>
    <cellStyle name="Note 16 4 2" xfId="10974"/>
    <cellStyle name="Note 16 5" xfId="1884"/>
    <cellStyle name="Note 16 5 2" xfId="10975"/>
    <cellStyle name="Note 16 6" xfId="10976"/>
    <cellStyle name="Note 16 6 2" xfId="10977"/>
    <cellStyle name="Note 16 7" xfId="10978"/>
    <cellStyle name="Note 16 7 2" xfId="10979"/>
    <cellStyle name="Note 16 8" xfId="10980"/>
    <cellStyle name="Note 16 8 2" xfId="10981"/>
    <cellStyle name="Note 16 9" xfId="10982"/>
    <cellStyle name="Note 16 9 2" xfId="10983"/>
    <cellStyle name="Note 17" xfId="1885"/>
    <cellStyle name="Note 17 10" xfId="10984"/>
    <cellStyle name="Note 17 10 2" xfId="10985"/>
    <cellStyle name="Note 17 11" xfId="10986"/>
    <cellStyle name="Note 17 2" xfId="10987"/>
    <cellStyle name="Note 17 2 10" xfId="10988"/>
    <cellStyle name="Note 17 2 2" xfId="10989"/>
    <cellStyle name="Note 17 2 2 2" xfId="10990"/>
    <cellStyle name="Note 17 2 3" xfId="10991"/>
    <cellStyle name="Note 17 2 3 2" xfId="10992"/>
    <cellStyle name="Note 17 2 4" xfId="10993"/>
    <cellStyle name="Note 17 2 4 2" xfId="10994"/>
    <cellStyle name="Note 17 2 5" xfId="10995"/>
    <cellStyle name="Note 17 2 5 2" xfId="10996"/>
    <cellStyle name="Note 17 2 6" xfId="10997"/>
    <cellStyle name="Note 17 2 6 2" xfId="10998"/>
    <cellStyle name="Note 17 2 7" xfId="10999"/>
    <cellStyle name="Note 17 2 7 2" xfId="11000"/>
    <cellStyle name="Note 17 2 8" xfId="11001"/>
    <cellStyle name="Note 17 2 8 2" xfId="11002"/>
    <cellStyle name="Note 17 2 9" xfId="11003"/>
    <cellStyle name="Note 17 2 9 2" xfId="11004"/>
    <cellStyle name="Note 17 3" xfId="11005"/>
    <cellStyle name="Note 17 3 2" xfId="11006"/>
    <cellStyle name="Note 17 4" xfId="11007"/>
    <cellStyle name="Note 17 4 2" xfId="11008"/>
    <cellStyle name="Note 17 5" xfId="11009"/>
    <cellStyle name="Note 17 5 2" xfId="11010"/>
    <cellStyle name="Note 17 6" xfId="11011"/>
    <cellStyle name="Note 17 6 2" xfId="11012"/>
    <cellStyle name="Note 17 7" xfId="11013"/>
    <cellStyle name="Note 17 7 2" xfId="11014"/>
    <cellStyle name="Note 17 8" xfId="11015"/>
    <cellStyle name="Note 17 8 2" xfId="11016"/>
    <cellStyle name="Note 17 9" xfId="11017"/>
    <cellStyle name="Note 17 9 2" xfId="11018"/>
    <cellStyle name="Note 18" xfId="1886"/>
    <cellStyle name="Note 18 10" xfId="11019"/>
    <cellStyle name="Note 18 10 2" xfId="11020"/>
    <cellStyle name="Note 18 11" xfId="11021"/>
    <cellStyle name="Note 18 2" xfId="1887"/>
    <cellStyle name="Note 18 2 10" xfId="11022"/>
    <cellStyle name="Note 18 2 2" xfId="11023"/>
    <cellStyle name="Note 18 2 2 2" xfId="11024"/>
    <cellStyle name="Note 18 2 3" xfId="11025"/>
    <cellStyle name="Note 18 2 3 2" xfId="11026"/>
    <cellStyle name="Note 18 2 4" xfId="11027"/>
    <cellStyle name="Note 18 2 4 2" xfId="11028"/>
    <cellStyle name="Note 18 2 5" xfId="11029"/>
    <cellStyle name="Note 18 2 5 2" xfId="11030"/>
    <cellStyle name="Note 18 2 6" xfId="11031"/>
    <cellStyle name="Note 18 2 6 2" xfId="11032"/>
    <cellStyle name="Note 18 2 7" xfId="11033"/>
    <cellStyle name="Note 18 2 7 2" xfId="11034"/>
    <cellStyle name="Note 18 2 8" xfId="11035"/>
    <cellStyle name="Note 18 2 8 2" xfId="11036"/>
    <cellStyle name="Note 18 2 9" xfId="11037"/>
    <cellStyle name="Note 18 2 9 2" xfId="11038"/>
    <cellStyle name="Note 18 3" xfId="1888"/>
    <cellStyle name="Note 18 3 2" xfId="11039"/>
    <cellStyle name="Note 18 4" xfId="1889"/>
    <cellStyle name="Note 18 4 2" xfId="11040"/>
    <cellStyle name="Note 18 5" xfId="1890"/>
    <cellStyle name="Note 18 5 2" xfId="11041"/>
    <cellStyle name="Note 18 6" xfId="11042"/>
    <cellStyle name="Note 18 6 2" xfId="11043"/>
    <cellStyle name="Note 18 7" xfId="11044"/>
    <cellStyle name="Note 18 7 2" xfId="11045"/>
    <cellStyle name="Note 18 8" xfId="11046"/>
    <cellStyle name="Note 18 8 2" xfId="11047"/>
    <cellStyle name="Note 18 9" xfId="11048"/>
    <cellStyle name="Note 18 9 2" xfId="11049"/>
    <cellStyle name="Note 19" xfId="1891"/>
    <cellStyle name="Note 19 10" xfId="11050"/>
    <cellStyle name="Note 19 10 2" xfId="11051"/>
    <cellStyle name="Note 19 11" xfId="11052"/>
    <cellStyle name="Note 19 2" xfId="11053"/>
    <cellStyle name="Note 19 2 10" xfId="11054"/>
    <cellStyle name="Note 19 2 2" xfId="11055"/>
    <cellStyle name="Note 19 2 2 2" xfId="11056"/>
    <cellStyle name="Note 19 2 3" xfId="11057"/>
    <cellStyle name="Note 19 2 3 2" xfId="11058"/>
    <cellStyle name="Note 19 2 4" xfId="11059"/>
    <cellStyle name="Note 19 2 4 2" xfId="11060"/>
    <cellStyle name="Note 19 2 5" xfId="11061"/>
    <cellStyle name="Note 19 2 5 2" xfId="11062"/>
    <cellStyle name="Note 19 2 6" xfId="11063"/>
    <cellStyle name="Note 19 2 6 2" xfId="11064"/>
    <cellStyle name="Note 19 2 7" xfId="11065"/>
    <cellStyle name="Note 19 2 7 2" xfId="11066"/>
    <cellStyle name="Note 19 2 8" xfId="11067"/>
    <cellStyle name="Note 19 2 8 2" xfId="11068"/>
    <cellStyle name="Note 19 2 9" xfId="11069"/>
    <cellStyle name="Note 19 2 9 2" xfId="11070"/>
    <cellStyle name="Note 19 3" xfId="11071"/>
    <cellStyle name="Note 19 3 2" xfId="11072"/>
    <cellStyle name="Note 19 4" xfId="11073"/>
    <cellStyle name="Note 19 4 2" xfId="11074"/>
    <cellStyle name="Note 19 5" xfId="11075"/>
    <cellStyle name="Note 19 5 2" xfId="11076"/>
    <cellStyle name="Note 19 6" xfId="11077"/>
    <cellStyle name="Note 19 6 2" xfId="11078"/>
    <cellStyle name="Note 19 7" xfId="11079"/>
    <cellStyle name="Note 19 7 2" xfId="11080"/>
    <cellStyle name="Note 19 8" xfId="11081"/>
    <cellStyle name="Note 19 8 2" xfId="11082"/>
    <cellStyle name="Note 19 9" xfId="11083"/>
    <cellStyle name="Note 19 9 2" xfId="11084"/>
    <cellStyle name="Note 2" xfId="1892"/>
    <cellStyle name="Note 2 10" xfId="11085"/>
    <cellStyle name="Note 2 10 2" xfId="11086"/>
    <cellStyle name="Note 2 11" xfId="11087"/>
    <cellStyle name="Note 2 12" xfId="11088"/>
    <cellStyle name="Note 2 12 2" xfId="11089"/>
    <cellStyle name="Note 2 12 3" xfId="11090"/>
    <cellStyle name="Note 2 12 4" xfId="11091"/>
    <cellStyle name="Note 2 13" xfId="11092"/>
    <cellStyle name="Note 2 14" xfId="11093"/>
    <cellStyle name="Note 2 15" xfId="11094"/>
    <cellStyle name="Note 2 16" xfId="11095"/>
    <cellStyle name="Note 2 2" xfId="1893"/>
    <cellStyle name="Note 2 2 10" xfId="11096"/>
    <cellStyle name="Note 2 2 11" xfId="11097"/>
    <cellStyle name="Note 2 2 12" xfId="11098"/>
    <cellStyle name="Note 2 2 2" xfId="11099"/>
    <cellStyle name="Note 2 2 2 2" xfId="11100"/>
    <cellStyle name="Note 2 2 2 2 2" xfId="11101"/>
    <cellStyle name="Note 2 2 2 2 2 2" xfId="11102"/>
    <cellStyle name="Note 2 2 2 2 2 2 2" xfId="11103"/>
    <cellStyle name="Note 2 2 2 2 2 3" xfId="11104"/>
    <cellStyle name="Note 2 2 2 2 3" xfId="11105"/>
    <cellStyle name="Note 2 2 2 2 3 2" xfId="11106"/>
    <cellStyle name="Note 2 2 2 2 4" xfId="11107"/>
    <cellStyle name="Note 2 2 2 2 5" xfId="11108"/>
    <cellStyle name="Note 2 2 2 3" xfId="11109"/>
    <cellStyle name="Note 2 2 2 3 2" xfId="11110"/>
    <cellStyle name="Note 2 2 2 3 2 2" xfId="11111"/>
    <cellStyle name="Note 2 2 2 3 3" xfId="11112"/>
    <cellStyle name="Note 2 2 2 3 4" xfId="11113"/>
    <cellStyle name="Note 2 2 2 4" xfId="11114"/>
    <cellStyle name="Note 2 2 2 4 2" xfId="11115"/>
    <cellStyle name="Note 2 2 2 5" xfId="11116"/>
    <cellStyle name="Note 2 2 2 6" xfId="11117"/>
    <cellStyle name="Note 2 2 2 7" xfId="11118"/>
    <cellStyle name="Note 2 2 3" xfId="11119"/>
    <cellStyle name="Note 2 2 3 2" xfId="11120"/>
    <cellStyle name="Note 2 2 3 2 2" xfId="11121"/>
    <cellStyle name="Note 2 2 3 2 2 2" xfId="11122"/>
    <cellStyle name="Note 2 2 3 2 3" xfId="11123"/>
    <cellStyle name="Note 2 2 3 2 4" xfId="11124"/>
    <cellStyle name="Note 2 2 3 2 5" xfId="11125"/>
    <cellStyle name="Note 2 2 3 3" xfId="11126"/>
    <cellStyle name="Note 2 2 3 3 2" xfId="11127"/>
    <cellStyle name="Note 2 2 3 4" xfId="11128"/>
    <cellStyle name="Note 2 2 3 5" xfId="11129"/>
    <cellStyle name="Note 2 2 3 6" xfId="11130"/>
    <cellStyle name="Note 2 2 4" xfId="11131"/>
    <cellStyle name="Note 2 2 4 2" xfId="11132"/>
    <cellStyle name="Note 2 2 4 2 2" xfId="11133"/>
    <cellStyle name="Note 2 2 4 2 3" xfId="11134"/>
    <cellStyle name="Note 2 2 4 2 4" xfId="11135"/>
    <cellStyle name="Note 2 2 4 3" xfId="11136"/>
    <cellStyle name="Note 2 2 4 4" xfId="11137"/>
    <cellStyle name="Note 2 2 4 5" xfId="11138"/>
    <cellStyle name="Note 2 2 5" xfId="11139"/>
    <cellStyle name="Note 2 2 5 2" xfId="11140"/>
    <cellStyle name="Note 2 2 5 3" xfId="11141"/>
    <cellStyle name="Note 2 2 6" xfId="11142"/>
    <cellStyle name="Note 2 2 6 2" xfId="11143"/>
    <cellStyle name="Note 2 2 7" xfId="11144"/>
    <cellStyle name="Note 2 2 7 2" xfId="11145"/>
    <cellStyle name="Note 2 2 8" xfId="11146"/>
    <cellStyle name="Note 2 2 8 2" xfId="11147"/>
    <cellStyle name="Note 2 2 9" xfId="11148"/>
    <cellStyle name="Note 2 2 9 2" xfId="11149"/>
    <cellStyle name="Note 2 3" xfId="11150"/>
    <cellStyle name="Note 2 3 2" xfId="11151"/>
    <cellStyle name="Note 2 3 2 2" xfId="11152"/>
    <cellStyle name="Note 2 3 2 2 2" xfId="11153"/>
    <cellStyle name="Note 2 3 2 2 2 2" xfId="11154"/>
    <cellStyle name="Note 2 3 2 2 3" xfId="11155"/>
    <cellStyle name="Note 2 3 2 2 4" xfId="11156"/>
    <cellStyle name="Note 2 3 2 3" xfId="11157"/>
    <cellStyle name="Note 2 3 2 3 2" xfId="11158"/>
    <cellStyle name="Note 2 3 2 4" xfId="11159"/>
    <cellStyle name="Note 2 3 2 5" xfId="11160"/>
    <cellStyle name="Note 2 3 3" xfId="11161"/>
    <cellStyle name="Note 2 3 3 2" xfId="11162"/>
    <cellStyle name="Note 2 3 3 2 2" xfId="11163"/>
    <cellStyle name="Note 2 3 3 3" xfId="11164"/>
    <cellStyle name="Note 2 3 3 4" xfId="11165"/>
    <cellStyle name="Note 2 3 3 5" xfId="11166"/>
    <cellStyle name="Note 2 3 4" xfId="11167"/>
    <cellStyle name="Note 2 3 4 2" xfId="11168"/>
    <cellStyle name="Note 2 3 5" xfId="11169"/>
    <cellStyle name="Note 2 3 6" xfId="11170"/>
    <cellStyle name="Note 2 3 7" xfId="11171"/>
    <cellStyle name="Note 2 4" xfId="11172"/>
    <cellStyle name="Note 2 4 2" xfId="11173"/>
    <cellStyle name="Note 2 4 2 2" xfId="11174"/>
    <cellStyle name="Note 2 4 2 2 2" xfId="11175"/>
    <cellStyle name="Note 2 4 2 2 3" xfId="11176"/>
    <cellStyle name="Note 2 4 2 3" xfId="11177"/>
    <cellStyle name="Note 2 4 2 4" xfId="11178"/>
    <cellStyle name="Note 2 4 2 5" xfId="11179"/>
    <cellStyle name="Note 2 4 3" xfId="11180"/>
    <cellStyle name="Note 2 4 3 2" xfId="11181"/>
    <cellStyle name="Note 2 4 3 3" xfId="11182"/>
    <cellStyle name="Note 2 4 4" xfId="11183"/>
    <cellStyle name="Note 2 4 4 2" xfId="11184"/>
    <cellStyle name="Note 2 4 5" xfId="11185"/>
    <cellStyle name="Note 2 4 6" xfId="11186"/>
    <cellStyle name="Note 2 4 7" xfId="11187"/>
    <cellStyle name="Note 2 5" xfId="11188"/>
    <cellStyle name="Note 2 5 2" xfId="11189"/>
    <cellStyle name="Note 2 5 2 2" xfId="11190"/>
    <cellStyle name="Note 2 5 2 3" xfId="11191"/>
    <cellStyle name="Note 2 5 2 4" xfId="11192"/>
    <cellStyle name="Note 2 5 2 5" xfId="11193"/>
    <cellStyle name="Note 2 5 3" xfId="11194"/>
    <cellStyle name="Note 2 5 4" xfId="11195"/>
    <cellStyle name="Note 2 5 5" xfId="11196"/>
    <cellStyle name="Note 2 6" xfId="11197"/>
    <cellStyle name="Note 2 6 2" xfId="11198"/>
    <cellStyle name="Note 2 6 2 2" xfId="11199"/>
    <cellStyle name="Note 2 6 2 3" xfId="11200"/>
    <cellStyle name="Note 2 6 2 4" xfId="11201"/>
    <cellStyle name="Note 2 6 3" xfId="11202"/>
    <cellStyle name="Note 2 6 4" xfId="11203"/>
    <cellStyle name="Note 2 6 5" xfId="11204"/>
    <cellStyle name="Note 2 7" xfId="11205"/>
    <cellStyle name="Note 2 7 2" xfId="11206"/>
    <cellStyle name="Note 2 7 2 2" xfId="11207"/>
    <cellStyle name="Note 2 7 2 3" xfId="11208"/>
    <cellStyle name="Note 2 7 2 4" xfId="11209"/>
    <cellStyle name="Note 2 7 3" xfId="11210"/>
    <cellStyle name="Note 2 7 4" xfId="11211"/>
    <cellStyle name="Note 2 7 5" xfId="11212"/>
    <cellStyle name="Note 2 8" xfId="11213"/>
    <cellStyle name="Note 2 8 2" xfId="11214"/>
    <cellStyle name="Note 2 9" xfId="11215"/>
    <cellStyle name="Note 2 9 2" xfId="11216"/>
    <cellStyle name="Note 20" xfId="1894"/>
    <cellStyle name="Note 20 10" xfId="11217"/>
    <cellStyle name="Note 20 10 2" xfId="11218"/>
    <cellStyle name="Note 20 11" xfId="11219"/>
    <cellStyle name="Note 20 2" xfId="11220"/>
    <cellStyle name="Note 20 2 10" xfId="11221"/>
    <cellStyle name="Note 20 2 2" xfId="11222"/>
    <cellStyle name="Note 20 2 2 2" xfId="11223"/>
    <cellStyle name="Note 20 2 3" xfId="11224"/>
    <cellStyle name="Note 20 2 3 2" xfId="11225"/>
    <cellStyle name="Note 20 2 4" xfId="11226"/>
    <cellStyle name="Note 20 2 4 2" xfId="11227"/>
    <cellStyle name="Note 20 2 5" xfId="11228"/>
    <cellStyle name="Note 20 2 5 2" xfId="11229"/>
    <cellStyle name="Note 20 2 6" xfId="11230"/>
    <cellStyle name="Note 20 2 6 2" xfId="11231"/>
    <cellStyle name="Note 20 2 7" xfId="11232"/>
    <cellStyle name="Note 20 2 7 2" xfId="11233"/>
    <cellStyle name="Note 20 2 8" xfId="11234"/>
    <cellStyle name="Note 20 2 8 2" xfId="11235"/>
    <cellStyle name="Note 20 2 9" xfId="11236"/>
    <cellStyle name="Note 20 2 9 2" xfId="11237"/>
    <cellStyle name="Note 20 3" xfId="11238"/>
    <cellStyle name="Note 20 3 2" xfId="11239"/>
    <cellStyle name="Note 20 4" xfId="11240"/>
    <cellStyle name="Note 20 4 2" xfId="11241"/>
    <cellStyle name="Note 20 5" xfId="11242"/>
    <cellStyle name="Note 20 5 2" xfId="11243"/>
    <cellStyle name="Note 20 6" xfId="11244"/>
    <cellStyle name="Note 20 6 2" xfId="11245"/>
    <cellStyle name="Note 20 7" xfId="11246"/>
    <cellStyle name="Note 20 7 2" xfId="11247"/>
    <cellStyle name="Note 20 8" xfId="11248"/>
    <cellStyle name="Note 20 8 2" xfId="11249"/>
    <cellStyle name="Note 20 9" xfId="11250"/>
    <cellStyle name="Note 20 9 2" xfId="11251"/>
    <cellStyle name="Note 21" xfId="1895"/>
    <cellStyle name="Note 21 10" xfId="11252"/>
    <cellStyle name="Note 21 10 2" xfId="11253"/>
    <cellStyle name="Note 21 11" xfId="11254"/>
    <cellStyle name="Note 21 2" xfId="11255"/>
    <cellStyle name="Note 21 2 10" xfId="11256"/>
    <cellStyle name="Note 21 2 2" xfId="11257"/>
    <cellStyle name="Note 21 2 2 2" xfId="11258"/>
    <cellStyle name="Note 21 2 3" xfId="11259"/>
    <cellStyle name="Note 21 2 3 2" xfId="11260"/>
    <cellStyle name="Note 21 2 4" xfId="11261"/>
    <cellStyle name="Note 21 2 4 2" xfId="11262"/>
    <cellStyle name="Note 21 2 5" xfId="11263"/>
    <cellStyle name="Note 21 2 5 2" xfId="11264"/>
    <cellStyle name="Note 21 2 6" xfId="11265"/>
    <cellStyle name="Note 21 2 6 2" xfId="11266"/>
    <cellStyle name="Note 21 2 7" xfId="11267"/>
    <cellStyle name="Note 21 2 7 2" xfId="11268"/>
    <cellStyle name="Note 21 2 8" xfId="11269"/>
    <cellStyle name="Note 21 2 8 2" xfId="11270"/>
    <cellStyle name="Note 21 2 9" xfId="11271"/>
    <cellStyle name="Note 21 2 9 2" xfId="11272"/>
    <cellStyle name="Note 21 3" xfId="11273"/>
    <cellStyle name="Note 21 3 2" xfId="11274"/>
    <cellStyle name="Note 21 4" xfId="11275"/>
    <cellStyle name="Note 21 4 2" xfId="11276"/>
    <cellStyle name="Note 21 5" xfId="11277"/>
    <cellStyle name="Note 21 5 2" xfId="11278"/>
    <cellStyle name="Note 21 6" xfId="11279"/>
    <cellStyle name="Note 21 6 2" xfId="11280"/>
    <cellStyle name="Note 21 7" xfId="11281"/>
    <cellStyle name="Note 21 7 2" xfId="11282"/>
    <cellStyle name="Note 21 8" xfId="11283"/>
    <cellStyle name="Note 21 8 2" xfId="11284"/>
    <cellStyle name="Note 21 9" xfId="11285"/>
    <cellStyle name="Note 21 9 2" xfId="11286"/>
    <cellStyle name="Note 22" xfId="1896"/>
    <cellStyle name="Note 22 10" xfId="11287"/>
    <cellStyle name="Note 22 2" xfId="11288"/>
    <cellStyle name="Note 22 2 2" xfId="11289"/>
    <cellStyle name="Note 22 3" xfId="11290"/>
    <cellStyle name="Note 22 3 2" xfId="11291"/>
    <cellStyle name="Note 22 4" xfId="11292"/>
    <cellStyle name="Note 22 4 2" xfId="11293"/>
    <cellStyle name="Note 22 5" xfId="11294"/>
    <cellStyle name="Note 22 5 2" xfId="11295"/>
    <cellStyle name="Note 22 6" xfId="11296"/>
    <cellStyle name="Note 22 6 2" xfId="11297"/>
    <cellStyle name="Note 22 7" xfId="11298"/>
    <cellStyle name="Note 22 7 2" xfId="11299"/>
    <cellStyle name="Note 22 8" xfId="11300"/>
    <cellStyle name="Note 22 8 2" xfId="11301"/>
    <cellStyle name="Note 22 9" xfId="11302"/>
    <cellStyle name="Note 22 9 2" xfId="11303"/>
    <cellStyle name="Note 23" xfId="1897"/>
    <cellStyle name="Note 23 2" xfId="11304"/>
    <cellStyle name="Note 23 2 2" xfId="11305"/>
    <cellStyle name="Note 23 3" xfId="11306"/>
    <cellStyle name="Note 23 4" xfId="11307"/>
    <cellStyle name="Note 24" xfId="1898"/>
    <cellStyle name="Note 25" xfId="1899"/>
    <cellStyle name="Note 26" xfId="1900"/>
    <cellStyle name="Note 27" xfId="1901"/>
    <cellStyle name="Note 28" xfId="1902"/>
    <cellStyle name="Note 29" xfId="1903"/>
    <cellStyle name="Note 3" xfId="1904"/>
    <cellStyle name="Note 3 10" xfId="11308"/>
    <cellStyle name="Note 3 10 2" xfId="11309"/>
    <cellStyle name="Note 3 11" xfId="11310"/>
    <cellStyle name="Note 3 12" xfId="11311"/>
    <cellStyle name="Note 3 2" xfId="11312"/>
    <cellStyle name="Note 3 2 10" xfId="11313"/>
    <cellStyle name="Note 3 2 11" xfId="11314"/>
    <cellStyle name="Note 3 2 12" xfId="11315"/>
    <cellStyle name="Note 3 2 2" xfId="11316"/>
    <cellStyle name="Note 3 2 2 2" xfId="11317"/>
    <cellStyle name="Note 3 2 2 2 2" xfId="11318"/>
    <cellStyle name="Note 3 2 2 2 2 2" xfId="11319"/>
    <cellStyle name="Note 3 2 2 2 2 2 2" xfId="11320"/>
    <cellStyle name="Note 3 2 2 2 2 3" xfId="11321"/>
    <cellStyle name="Note 3 2 2 2 3" xfId="11322"/>
    <cellStyle name="Note 3 2 2 2 3 2" xfId="11323"/>
    <cellStyle name="Note 3 2 2 2 4" xfId="11324"/>
    <cellStyle name="Note 3 2 2 3" xfId="11325"/>
    <cellStyle name="Note 3 2 2 3 2" xfId="11326"/>
    <cellStyle name="Note 3 2 2 3 2 2" xfId="11327"/>
    <cellStyle name="Note 3 2 2 3 3" xfId="11328"/>
    <cellStyle name="Note 3 2 2 4" xfId="11329"/>
    <cellStyle name="Note 3 2 2 4 2" xfId="11330"/>
    <cellStyle name="Note 3 2 2 5" xfId="11331"/>
    <cellStyle name="Note 3 2 2 6" xfId="11332"/>
    <cellStyle name="Note 3 2 3" xfId="11333"/>
    <cellStyle name="Note 3 2 3 2" xfId="11334"/>
    <cellStyle name="Note 3 2 3 2 2" xfId="11335"/>
    <cellStyle name="Note 3 2 3 2 2 2" xfId="11336"/>
    <cellStyle name="Note 3 2 3 2 3" xfId="11337"/>
    <cellStyle name="Note 3 2 3 3" xfId="11338"/>
    <cellStyle name="Note 3 2 3 3 2" xfId="11339"/>
    <cellStyle name="Note 3 2 3 4" xfId="11340"/>
    <cellStyle name="Note 3 2 3 5" xfId="11341"/>
    <cellStyle name="Note 3 2 4" xfId="11342"/>
    <cellStyle name="Note 3 2 4 2" xfId="11343"/>
    <cellStyle name="Note 3 2 4 2 2" xfId="11344"/>
    <cellStyle name="Note 3 2 4 3" xfId="11345"/>
    <cellStyle name="Note 3 2 4 4" xfId="11346"/>
    <cellStyle name="Note 3 2 5" xfId="11347"/>
    <cellStyle name="Note 3 2 5 2" xfId="11348"/>
    <cellStyle name="Note 3 2 5 3" xfId="11349"/>
    <cellStyle name="Note 3 2 6" xfId="11350"/>
    <cellStyle name="Note 3 2 6 2" xfId="11351"/>
    <cellStyle name="Note 3 2 7" xfId="11352"/>
    <cellStyle name="Note 3 2 7 2" xfId="11353"/>
    <cellStyle name="Note 3 2 8" xfId="11354"/>
    <cellStyle name="Note 3 2 8 2" xfId="11355"/>
    <cellStyle name="Note 3 2 9" xfId="11356"/>
    <cellStyle name="Note 3 2 9 2" xfId="11357"/>
    <cellStyle name="Note 3 3" xfId="11358"/>
    <cellStyle name="Note 3 3 2" xfId="11359"/>
    <cellStyle name="Note 3 3 2 2" xfId="11360"/>
    <cellStyle name="Note 3 3 2 2 2" xfId="11361"/>
    <cellStyle name="Note 3 3 2 2 2 2" xfId="11362"/>
    <cellStyle name="Note 3 3 2 2 3" xfId="11363"/>
    <cellStyle name="Note 3 3 2 3" xfId="11364"/>
    <cellStyle name="Note 3 3 2 3 2" xfId="11365"/>
    <cellStyle name="Note 3 3 2 4" xfId="11366"/>
    <cellStyle name="Note 3 3 3" xfId="11367"/>
    <cellStyle name="Note 3 3 3 2" xfId="11368"/>
    <cellStyle name="Note 3 3 3 2 2" xfId="11369"/>
    <cellStyle name="Note 3 3 3 3" xfId="11370"/>
    <cellStyle name="Note 3 3 4" xfId="11371"/>
    <cellStyle name="Note 3 3 4 2" xfId="11372"/>
    <cellStyle name="Note 3 3 5" xfId="11373"/>
    <cellStyle name="Note 3 3 6" xfId="11374"/>
    <cellStyle name="Note 3 3 7" xfId="11375"/>
    <cellStyle name="Note 3 4" xfId="11376"/>
    <cellStyle name="Note 3 4 2" xfId="11377"/>
    <cellStyle name="Note 3 4 2 2" xfId="11378"/>
    <cellStyle name="Note 3 4 2 2 2" xfId="11379"/>
    <cellStyle name="Note 3 4 2 3" xfId="11380"/>
    <cellStyle name="Note 3 4 2 4" xfId="11381"/>
    <cellStyle name="Note 3 4 3" xfId="11382"/>
    <cellStyle name="Note 3 4 3 2" xfId="11383"/>
    <cellStyle name="Note 3 4 4" xfId="11384"/>
    <cellStyle name="Note 3 4 5" xfId="11385"/>
    <cellStyle name="Note 3 5" xfId="11386"/>
    <cellStyle name="Note 3 5 2" xfId="11387"/>
    <cellStyle name="Note 3 5 2 2" xfId="11388"/>
    <cellStyle name="Note 3 5 3" xfId="11389"/>
    <cellStyle name="Note 3 5 4" xfId="11390"/>
    <cellStyle name="Note 3 6" xfId="11391"/>
    <cellStyle name="Note 3 6 2" xfId="11392"/>
    <cellStyle name="Note 3 6 3" xfId="11393"/>
    <cellStyle name="Note 3 7" xfId="11394"/>
    <cellStyle name="Note 3 7 2" xfId="11395"/>
    <cellStyle name="Note 3 8" xfId="11396"/>
    <cellStyle name="Note 3 8 2" xfId="11397"/>
    <cellStyle name="Note 3 9" xfId="11398"/>
    <cellStyle name="Note 3 9 2" xfId="11399"/>
    <cellStyle name="Note 30" xfId="1905"/>
    <cellStyle name="Note 31" xfId="1906"/>
    <cellStyle name="Note 32" xfId="1907"/>
    <cellStyle name="Note 33" xfId="1908"/>
    <cellStyle name="Note 34" xfId="1909"/>
    <cellStyle name="Note 4" xfId="1910"/>
    <cellStyle name="Note 4 10" xfId="11400"/>
    <cellStyle name="Note 4 10 2" xfId="11401"/>
    <cellStyle name="Note 4 11" xfId="11402"/>
    <cellStyle name="Note 4 12" xfId="11403"/>
    <cellStyle name="Note 4 13" xfId="11404"/>
    <cellStyle name="Note 4 2" xfId="11405"/>
    <cellStyle name="Note 4 2 10" xfId="11406"/>
    <cellStyle name="Note 4 2 11" xfId="11407"/>
    <cellStyle name="Note 4 2 12" xfId="11408"/>
    <cellStyle name="Note 4 2 2" xfId="11409"/>
    <cellStyle name="Note 4 2 2 2" xfId="11410"/>
    <cellStyle name="Note 4 2 2 2 2" xfId="11411"/>
    <cellStyle name="Note 4 2 2 2 2 2" xfId="11412"/>
    <cellStyle name="Note 4 2 2 2 2 2 2" xfId="11413"/>
    <cellStyle name="Note 4 2 2 2 2 3" xfId="11414"/>
    <cellStyle name="Note 4 2 2 2 3" xfId="11415"/>
    <cellStyle name="Note 4 2 2 2 3 2" xfId="11416"/>
    <cellStyle name="Note 4 2 2 2 4" xfId="11417"/>
    <cellStyle name="Note 4 2 2 3" xfId="11418"/>
    <cellStyle name="Note 4 2 2 3 2" xfId="11419"/>
    <cellStyle name="Note 4 2 2 3 2 2" xfId="11420"/>
    <cellStyle name="Note 4 2 2 3 3" xfId="11421"/>
    <cellStyle name="Note 4 2 2 4" xfId="11422"/>
    <cellStyle name="Note 4 2 2 4 2" xfId="11423"/>
    <cellStyle name="Note 4 2 2 5" xfId="11424"/>
    <cellStyle name="Note 4 2 2 6" xfId="11425"/>
    <cellStyle name="Note 4 2 3" xfId="11426"/>
    <cellStyle name="Note 4 2 3 2" xfId="11427"/>
    <cellStyle name="Note 4 2 3 2 2" xfId="11428"/>
    <cellStyle name="Note 4 2 3 2 2 2" xfId="11429"/>
    <cellStyle name="Note 4 2 3 2 3" xfId="11430"/>
    <cellStyle name="Note 4 2 3 3" xfId="11431"/>
    <cellStyle name="Note 4 2 3 3 2" xfId="11432"/>
    <cellStyle name="Note 4 2 3 4" xfId="11433"/>
    <cellStyle name="Note 4 2 3 5" xfId="11434"/>
    <cellStyle name="Note 4 2 4" xfId="11435"/>
    <cellStyle name="Note 4 2 4 2" xfId="11436"/>
    <cellStyle name="Note 4 2 4 2 2" xfId="11437"/>
    <cellStyle name="Note 4 2 4 3" xfId="11438"/>
    <cellStyle name="Note 4 2 4 4" xfId="11439"/>
    <cellStyle name="Note 4 2 5" xfId="11440"/>
    <cellStyle name="Note 4 2 5 2" xfId="11441"/>
    <cellStyle name="Note 4 2 5 3" xfId="11442"/>
    <cellStyle name="Note 4 2 6" xfId="11443"/>
    <cellStyle name="Note 4 2 6 2" xfId="11444"/>
    <cellStyle name="Note 4 2 7" xfId="11445"/>
    <cellStyle name="Note 4 2 7 2" xfId="11446"/>
    <cellStyle name="Note 4 2 8" xfId="11447"/>
    <cellStyle name="Note 4 2 8 2" xfId="11448"/>
    <cellStyle name="Note 4 2 9" xfId="11449"/>
    <cellStyle name="Note 4 2 9 2" xfId="11450"/>
    <cellStyle name="Note 4 3" xfId="11451"/>
    <cellStyle name="Note 4 3 2" xfId="11452"/>
    <cellStyle name="Note 4 3 2 2" xfId="11453"/>
    <cellStyle name="Note 4 3 2 2 2" xfId="11454"/>
    <cellStyle name="Note 4 3 2 2 2 2" xfId="11455"/>
    <cellStyle name="Note 4 3 2 2 3" xfId="11456"/>
    <cellStyle name="Note 4 3 2 3" xfId="11457"/>
    <cellStyle name="Note 4 3 2 3 2" xfId="11458"/>
    <cellStyle name="Note 4 3 2 4" xfId="11459"/>
    <cellStyle name="Note 4 3 3" xfId="11460"/>
    <cellStyle name="Note 4 3 3 2" xfId="11461"/>
    <cellStyle name="Note 4 3 3 2 2" xfId="11462"/>
    <cellStyle name="Note 4 3 3 3" xfId="11463"/>
    <cellStyle name="Note 4 3 4" xfId="11464"/>
    <cellStyle name="Note 4 3 4 2" xfId="11465"/>
    <cellStyle name="Note 4 3 5" xfId="11466"/>
    <cellStyle name="Note 4 3 6" xfId="11467"/>
    <cellStyle name="Note 4 3 7" xfId="11468"/>
    <cellStyle name="Note 4 4" xfId="11469"/>
    <cellStyle name="Note 4 4 2" xfId="11470"/>
    <cellStyle name="Note 4 4 2 2" xfId="11471"/>
    <cellStyle name="Note 4 4 2 2 2" xfId="11472"/>
    <cellStyle name="Note 4 4 2 3" xfId="11473"/>
    <cellStyle name="Note 4 4 3" xfId="11474"/>
    <cellStyle name="Note 4 4 3 2" xfId="11475"/>
    <cellStyle name="Note 4 4 4" xfId="11476"/>
    <cellStyle name="Note 4 4 5" xfId="11477"/>
    <cellStyle name="Note 4 5" xfId="11478"/>
    <cellStyle name="Note 4 5 2" xfId="11479"/>
    <cellStyle name="Note 4 5 2 2" xfId="11480"/>
    <cellStyle name="Note 4 5 3" xfId="11481"/>
    <cellStyle name="Note 4 5 4" xfId="11482"/>
    <cellStyle name="Note 4 6" xfId="11483"/>
    <cellStyle name="Note 4 6 2" xfId="11484"/>
    <cellStyle name="Note 4 6 3" xfId="11485"/>
    <cellStyle name="Note 4 7" xfId="11486"/>
    <cellStyle name="Note 4 7 2" xfId="11487"/>
    <cellStyle name="Note 4 8" xfId="11488"/>
    <cellStyle name="Note 4 8 2" xfId="11489"/>
    <cellStyle name="Note 4 9" xfId="11490"/>
    <cellStyle name="Note 4 9 2" xfId="11491"/>
    <cellStyle name="Note 5" xfId="1911"/>
    <cellStyle name="Note 5 10" xfId="11492"/>
    <cellStyle name="Note 5 10 2" xfId="11493"/>
    <cellStyle name="Note 5 11" xfId="11494"/>
    <cellStyle name="Note 5 12" xfId="11495"/>
    <cellStyle name="Note 5 13" xfId="11496"/>
    <cellStyle name="Note 5 2" xfId="11497"/>
    <cellStyle name="Note 5 2 10" xfId="11498"/>
    <cellStyle name="Note 5 2 11" xfId="11499"/>
    <cellStyle name="Note 5 2 12" xfId="11500"/>
    <cellStyle name="Note 5 2 2" xfId="11501"/>
    <cellStyle name="Note 5 2 2 2" xfId="11502"/>
    <cellStyle name="Note 5 2 2 3" xfId="11503"/>
    <cellStyle name="Note 5 2 3" xfId="11504"/>
    <cellStyle name="Note 5 2 3 2" xfId="11505"/>
    <cellStyle name="Note 5 2 4" xfId="11506"/>
    <cellStyle name="Note 5 2 4 2" xfId="11507"/>
    <cellStyle name="Note 5 2 5" xfId="11508"/>
    <cellStyle name="Note 5 2 5 2" xfId="11509"/>
    <cellStyle name="Note 5 2 6" xfId="11510"/>
    <cellStyle name="Note 5 2 6 2" xfId="11511"/>
    <cellStyle name="Note 5 2 7" xfId="11512"/>
    <cellStyle name="Note 5 2 7 2" xfId="11513"/>
    <cellStyle name="Note 5 2 8" xfId="11514"/>
    <cellStyle name="Note 5 2 8 2" xfId="11515"/>
    <cellStyle name="Note 5 2 9" xfId="11516"/>
    <cellStyle name="Note 5 2 9 2" xfId="11517"/>
    <cellStyle name="Note 5 3" xfId="11518"/>
    <cellStyle name="Note 5 3 2" xfId="11519"/>
    <cellStyle name="Note 5 3 3" xfId="11520"/>
    <cellStyle name="Note 5 3 4" xfId="11521"/>
    <cellStyle name="Note 5 4" xfId="11522"/>
    <cellStyle name="Note 5 4 2" xfId="11523"/>
    <cellStyle name="Note 5 5" xfId="11524"/>
    <cellStyle name="Note 5 5 2" xfId="11525"/>
    <cellStyle name="Note 5 6" xfId="11526"/>
    <cellStyle name="Note 5 6 2" xfId="11527"/>
    <cellStyle name="Note 5 7" xfId="11528"/>
    <cellStyle name="Note 5 7 2" xfId="11529"/>
    <cellStyle name="Note 5 8" xfId="11530"/>
    <cellStyle name="Note 5 8 2" xfId="11531"/>
    <cellStyle name="Note 5 9" xfId="11532"/>
    <cellStyle name="Note 5 9 2" xfId="11533"/>
    <cellStyle name="Note 6" xfId="1912"/>
    <cellStyle name="Note 6 10" xfId="11534"/>
    <cellStyle name="Note 6 10 2" xfId="11535"/>
    <cellStyle name="Note 6 11" xfId="11536"/>
    <cellStyle name="Note 6 12" xfId="11537"/>
    <cellStyle name="Note 6 13" xfId="11538"/>
    <cellStyle name="Note 6 2" xfId="11539"/>
    <cellStyle name="Note 6 2 10" xfId="11540"/>
    <cellStyle name="Note 6 2 11" xfId="11541"/>
    <cellStyle name="Note 6 2 12" xfId="11542"/>
    <cellStyle name="Note 6 2 2" xfId="11543"/>
    <cellStyle name="Note 6 2 2 2" xfId="11544"/>
    <cellStyle name="Note 6 2 2 3" xfId="11545"/>
    <cellStyle name="Note 6 2 3" xfId="11546"/>
    <cellStyle name="Note 6 2 3 2" xfId="11547"/>
    <cellStyle name="Note 6 2 4" xfId="11548"/>
    <cellStyle name="Note 6 2 4 2" xfId="11549"/>
    <cellStyle name="Note 6 2 5" xfId="11550"/>
    <cellStyle name="Note 6 2 5 2" xfId="11551"/>
    <cellStyle name="Note 6 2 6" xfId="11552"/>
    <cellStyle name="Note 6 2 6 2" xfId="11553"/>
    <cellStyle name="Note 6 2 7" xfId="11554"/>
    <cellStyle name="Note 6 2 7 2" xfId="11555"/>
    <cellStyle name="Note 6 2 8" xfId="11556"/>
    <cellStyle name="Note 6 2 8 2" xfId="11557"/>
    <cellStyle name="Note 6 2 9" xfId="11558"/>
    <cellStyle name="Note 6 2 9 2" xfId="11559"/>
    <cellStyle name="Note 6 3" xfId="11560"/>
    <cellStyle name="Note 6 3 2" xfId="11561"/>
    <cellStyle name="Note 6 3 3" xfId="11562"/>
    <cellStyle name="Note 6 3 4" xfId="11563"/>
    <cellStyle name="Note 6 4" xfId="11564"/>
    <cellStyle name="Note 6 4 2" xfId="11565"/>
    <cellStyle name="Note 6 5" xfId="11566"/>
    <cellStyle name="Note 6 5 2" xfId="11567"/>
    <cellStyle name="Note 6 6" xfId="11568"/>
    <cellStyle name="Note 6 6 2" xfId="11569"/>
    <cellStyle name="Note 6 7" xfId="11570"/>
    <cellStyle name="Note 6 7 2" xfId="11571"/>
    <cellStyle name="Note 6 8" xfId="11572"/>
    <cellStyle name="Note 6 8 2" xfId="11573"/>
    <cellStyle name="Note 6 9" xfId="11574"/>
    <cellStyle name="Note 6 9 2" xfId="11575"/>
    <cellStyle name="Note 7" xfId="1913"/>
    <cellStyle name="Note 7 10" xfId="11576"/>
    <cellStyle name="Note 7 10 2" xfId="11577"/>
    <cellStyle name="Note 7 11" xfId="11578"/>
    <cellStyle name="Note 7 12" xfId="11579"/>
    <cellStyle name="Note 7 13" xfId="11580"/>
    <cellStyle name="Note 7 2" xfId="11581"/>
    <cellStyle name="Note 7 2 10" xfId="11582"/>
    <cellStyle name="Note 7 2 11" xfId="11583"/>
    <cellStyle name="Note 7 2 12" xfId="11584"/>
    <cellStyle name="Note 7 2 2" xfId="11585"/>
    <cellStyle name="Note 7 2 2 2" xfId="11586"/>
    <cellStyle name="Note 7 2 3" xfId="11587"/>
    <cellStyle name="Note 7 2 3 2" xfId="11588"/>
    <cellStyle name="Note 7 2 4" xfId="11589"/>
    <cellStyle name="Note 7 2 4 2" xfId="11590"/>
    <cellStyle name="Note 7 2 5" xfId="11591"/>
    <cellStyle name="Note 7 2 5 2" xfId="11592"/>
    <cellStyle name="Note 7 2 6" xfId="11593"/>
    <cellStyle name="Note 7 2 6 2" xfId="11594"/>
    <cellStyle name="Note 7 2 7" xfId="11595"/>
    <cellStyle name="Note 7 2 7 2" xfId="11596"/>
    <cellStyle name="Note 7 2 8" xfId="11597"/>
    <cellStyle name="Note 7 2 8 2" xfId="11598"/>
    <cellStyle name="Note 7 2 9" xfId="11599"/>
    <cellStyle name="Note 7 2 9 2" xfId="11600"/>
    <cellStyle name="Note 7 3" xfId="11601"/>
    <cellStyle name="Note 7 3 2" xfId="11602"/>
    <cellStyle name="Note 7 3 3" xfId="11603"/>
    <cellStyle name="Note 7 4" xfId="11604"/>
    <cellStyle name="Note 7 4 2" xfId="11605"/>
    <cellStyle name="Note 7 5" xfId="11606"/>
    <cellStyle name="Note 7 5 2" xfId="11607"/>
    <cellStyle name="Note 7 6" xfId="11608"/>
    <cellStyle name="Note 7 6 2" xfId="11609"/>
    <cellStyle name="Note 7 7" xfId="11610"/>
    <cellStyle name="Note 7 7 2" xfId="11611"/>
    <cellStyle name="Note 7 8" xfId="11612"/>
    <cellStyle name="Note 7 8 2" xfId="11613"/>
    <cellStyle name="Note 7 9" xfId="11614"/>
    <cellStyle name="Note 7 9 2" xfId="11615"/>
    <cellStyle name="Note 8" xfId="1914"/>
    <cellStyle name="Note 8 10" xfId="11616"/>
    <cellStyle name="Note 8 10 2" xfId="11617"/>
    <cellStyle name="Note 8 11" xfId="11618"/>
    <cellStyle name="Note 8 12" xfId="11619"/>
    <cellStyle name="Note 8 13" xfId="11620"/>
    <cellStyle name="Note 8 2" xfId="11621"/>
    <cellStyle name="Note 8 2 10" xfId="11622"/>
    <cellStyle name="Note 8 2 11" xfId="11623"/>
    <cellStyle name="Note 8 2 12" xfId="11624"/>
    <cellStyle name="Note 8 2 2" xfId="11625"/>
    <cellStyle name="Note 8 2 2 2" xfId="11626"/>
    <cellStyle name="Note 8 2 3" xfId="11627"/>
    <cellStyle name="Note 8 2 3 2" xfId="11628"/>
    <cellStyle name="Note 8 2 4" xfId="11629"/>
    <cellStyle name="Note 8 2 4 2" xfId="11630"/>
    <cellStyle name="Note 8 2 5" xfId="11631"/>
    <cellStyle name="Note 8 2 5 2" xfId="11632"/>
    <cellStyle name="Note 8 2 6" xfId="11633"/>
    <cellStyle name="Note 8 2 6 2" xfId="11634"/>
    <cellStyle name="Note 8 2 7" xfId="11635"/>
    <cellStyle name="Note 8 2 7 2" xfId="11636"/>
    <cellStyle name="Note 8 2 8" xfId="11637"/>
    <cellStyle name="Note 8 2 8 2" xfId="11638"/>
    <cellStyle name="Note 8 2 9" xfId="11639"/>
    <cellStyle name="Note 8 2 9 2" xfId="11640"/>
    <cellStyle name="Note 8 3" xfId="11641"/>
    <cellStyle name="Note 8 3 2" xfId="11642"/>
    <cellStyle name="Note 8 3 3" xfId="11643"/>
    <cellStyle name="Note 8 4" xfId="11644"/>
    <cellStyle name="Note 8 4 2" xfId="11645"/>
    <cellStyle name="Note 8 5" xfId="11646"/>
    <cellStyle name="Note 8 5 2" xfId="11647"/>
    <cellStyle name="Note 8 6" xfId="11648"/>
    <cellStyle name="Note 8 6 2" xfId="11649"/>
    <cellStyle name="Note 8 7" xfId="11650"/>
    <cellStyle name="Note 8 7 2" xfId="11651"/>
    <cellStyle name="Note 8 8" xfId="11652"/>
    <cellStyle name="Note 8 8 2" xfId="11653"/>
    <cellStyle name="Note 8 9" xfId="11654"/>
    <cellStyle name="Note 8 9 2" xfId="11655"/>
    <cellStyle name="Note 9" xfId="1915"/>
    <cellStyle name="Note 9 10" xfId="11656"/>
    <cellStyle name="Note 9 10 2" xfId="11657"/>
    <cellStyle name="Note 9 11" xfId="11658"/>
    <cellStyle name="Note 9 12" xfId="11659"/>
    <cellStyle name="Note 9 13" xfId="11660"/>
    <cellStyle name="Note 9 2" xfId="1916"/>
    <cellStyle name="Note 9 2 10" xfId="11661"/>
    <cellStyle name="Note 9 2 11" xfId="11662"/>
    <cellStyle name="Note 9 2 2" xfId="11663"/>
    <cellStyle name="Note 9 2 2 2" xfId="11664"/>
    <cellStyle name="Note 9 2 3" xfId="11665"/>
    <cellStyle name="Note 9 2 3 2" xfId="11666"/>
    <cellStyle name="Note 9 2 4" xfId="11667"/>
    <cellStyle name="Note 9 2 4 2" xfId="11668"/>
    <cellStyle name="Note 9 2 5" xfId="11669"/>
    <cellStyle name="Note 9 2 5 2" xfId="11670"/>
    <cellStyle name="Note 9 2 6" xfId="11671"/>
    <cellStyle name="Note 9 2 6 2" xfId="11672"/>
    <cellStyle name="Note 9 2 7" xfId="11673"/>
    <cellStyle name="Note 9 2 7 2" xfId="11674"/>
    <cellStyle name="Note 9 2 8" xfId="11675"/>
    <cellStyle name="Note 9 2 8 2" xfId="11676"/>
    <cellStyle name="Note 9 2 9" xfId="11677"/>
    <cellStyle name="Note 9 2 9 2" xfId="11678"/>
    <cellStyle name="Note 9 3" xfId="1917"/>
    <cellStyle name="Note 9 3 2" xfId="11679"/>
    <cellStyle name="Note 9 4" xfId="1918"/>
    <cellStyle name="Note 9 4 2" xfId="11680"/>
    <cellStyle name="Note 9 5" xfId="1919"/>
    <cellStyle name="Note 9 5 2" xfId="11681"/>
    <cellStyle name="Note 9 6" xfId="11682"/>
    <cellStyle name="Note 9 6 2" xfId="11683"/>
    <cellStyle name="Note 9 7" xfId="11684"/>
    <cellStyle name="Note 9 7 2" xfId="11685"/>
    <cellStyle name="Note 9 8" xfId="11686"/>
    <cellStyle name="Note 9 8 2" xfId="11687"/>
    <cellStyle name="Note 9 9" xfId="11688"/>
    <cellStyle name="Note 9 9 2" xfId="11689"/>
    <cellStyle name="Output 10" xfId="1920"/>
    <cellStyle name="Output 11" xfId="1921"/>
    <cellStyle name="Output 12" xfId="1922"/>
    <cellStyle name="Output 13" xfId="1923"/>
    <cellStyle name="Output 14" xfId="1924"/>
    <cellStyle name="Output 15" xfId="1925"/>
    <cellStyle name="Output 16" xfId="1926"/>
    <cellStyle name="Output 17" xfId="1927"/>
    <cellStyle name="Output 17 2" xfId="11690"/>
    <cellStyle name="Output 18" xfId="1928"/>
    <cellStyle name="Output 19" xfId="1929"/>
    <cellStyle name="Output 2" xfId="1930"/>
    <cellStyle name="Output 2 2" xfId="1931"/>
    <cellStyle name="Output 2 2 2" xfId="1932"/>
    <cellStyle name="Output 2 2 2 2" xfId="1933"/>
    <cellStyle name="Output 2 2 2 3" xfId="1934"/>
    <cellStyle name="Output 2 2 2 4" xfId="1935"/>
    <cellStyle name="Output 2 2 2 5" xfId="1936"/>
    <cellStyle name="Output 2 2 3" xfId="1937"/>
    <cellStyle name="Output 2 2 4" xfId="1938"/>
    <cellStyle name="Output 2 2 5" xfId="1939"/>
    <cellStyle name="Output 2 3" xfId="1940"/>
    <cellStyle name="Output 2 3 2" xfId="11691"/>
    <cellStyle name="Output 2 4" xfId="1941"/>
    <cellStyle name="Output 2 4 2" xfId="11692"/>
    <cellStyle name="Output 2 5" xfId="1942"/>
    <cellStyle name="Output 2 5 2" xfId="11693"/>
    <cellStyle name="Output 2 6" xfId="1943"/>
    <cellStyle name="Output 2 6 2" xfId="11694"/>
    <cellStyle name="Output 2 7" xfId="1944"/>
    <cellStyle name="Output 2 8" xfId="1945"/>
    <cellStyle name="Output 2 9" xfId="1946"/>
    <cellStyle name="Output 20" xfId="1947"/>
    <cellStyle name="Output 21" xfId="1948"/>
    <cellStyle name="Output 22" xfId="1949"/>
    <cellStyle name="Output 3" xfId="1950"/>
    <cellStyle name="Output 3 2" xfId="11695"/>
    <cellStyle name="Output 3 3" xfId="11696"/>
    <cellStyle name="Output 4" xfId="1951"/>
    <cellStyle name="Output 5" xfId="1952"/>
    <cellStyle name="Output 6" xfId="1953"/>
    <cellStyle name="Output 7" xfId="1954"/>
    <cellStyle name="Output 8" xfId="1955"/>
    <cellStyle name="Output 9" xfId="1956"/>
    <cellStyle name="Output Amounts" xfId="1957"/>
    <cellStyle name="OUTPUT AMOUNTS 10" xfId="11697"/>
    <cellStyle name="Output Amounts 11" xfId="11698"/>
    <cellStyle name="Output Amounts 2" xfId="11699"/>
    <cellStyle name="Output Amounts 2 10" xfId="11700"/>
    <cellStyle name="OUTPUT AMOUNTS 2 11" xfId="11701"/>
    <cellStyle name="OUTPUT AMOUNTS 2 2" xfId="11702"/>
    <cellStyle name="OUTPUT AMOUNTS 2 3" xfId="11703"/>
    <cellStyle name="Output Amounts 2 3 2" xfId="11704"/>
    <cellStyle name="Output Amounts 2 4" xfId="11705"/>
    <cellStyle name="Output Amounts 2 5" xfId="11706"/>
    <cellStyle name="Output Amounts 2 6" xfId="11707"/>
    <cellStyle name="Output Amounts 2 7" xfId="11708"/>
    <cellStyle name="Output Amounts 2 8" xfId="11709"/>
    <cellStyle name="Output Amounts 2 9" xfId="11710"/>
    <cellStyle name="Output Amounts 3" xfId="11711"/>
    <cellStyle name="OUTPUT AMOUNTS 3 2" xfId="11712"/>
    <cellStyle name="Output Amounts 3 3" xfId="11713"/>
    <cellStyle name="Output Amounts 3 4" xfId="11714"/>
    <cellStyle name="Output Amounts 3 5" xfId="11715"/>
    <cellStyle name="Output Amounts 3 6" xfId="11716"/>
    <cellStyle name="Output Amounts 3 7" xfId="11717"/>
    <cellStyle name="Output Amounts 3 8" xfId="11718"/>
    <cellStyle name="Output Amounts 3 9" xfId="11719"/>
    <cellStyle name="Output Amounts 4" xfId="11720"/>
    <cellStyle name="OUTPUT AMOUNTS 5" xfId="11721"/>
    <cellStyle name="OUTPUT AMOUNTS 6" xfId="11722"/>
    <cellStyle name="OUTPUT AMOUNTS 7" xfId="11723"/>
    <cellStyle name="OUTPUT AMOUNTS 8" xfId="11724"/>
    <cellStyle name="OUTPUT AMOUNTS 9" xfId="11725"/>
    <cellStyle name="Output Amounts_d1" xfId="11726"/>
    <cellStyle name="Output Column Headings" xfId="1958"/>
    <cellStyle name="OUTPUT COLUMN HEADINGS 10" xfId="11727"/>
    <cellStyle name="OUTPUT COLUMN HEADINGS 10 2" xfId="11728"/>
    <cellStyle name="OUTPUT COLUMN HEADINGS 10 3" xfId="11729"/>
    <cellStyle name="Output Column Headings 11" xfId="11730"/>
    <cellStyle name="Output Column Headings 2" xfId="1959"/>
    <cellStyle name="Output Column Headings 2 2" xfId="11731"/>
    <cellStyle name="OUTPUT COLUMN HEADINGS 2 2 2" xfId="11732"/>
    <cellStyle name="Output Column Headings 2 2 3" xfId="11733"/>
    <cellStyle name="Output Column Headings 2 2 4" xfId="11734"/>
    <cellStyle name="Output Column Headings 2 2 5" xfId="11735"/>
    <cellStyle name="Output Column Headings 2 2 6" xfId="11736"/>
    <cellStyle name="Output Column Headings 2 2 7" xfId="11737"/>
    <cellStyle name="OUTPUT COLUMN HEADINGS 2 3" xfId="11738"/>
    <cellStyle name="OUTPUT COLUMN HEADINGS 2 3 2" xfId="11739"/>
    <cellStyle name="Output Column Headings 2 4" xfId="11740"/>
    <cellStyle name="Output Column Headings 2 5" xfId="11741"/>
    <cellStyle name="Output Column Headings 2 6" xfId="11742"/>
    <cellStyle name="Output Column Headings 3" xfId="1960"/>
    <cellStyle name="Output Column Headings 4" xfId="1961"/>
    <cellStyle name="Output Column Headings 4 2" xfId="11743"/>
    <cellStyle name="Output Column Headings 5" xfId="1962"/>
    <cellStyle name="Output Column Headings 6" xfId="1963"/>
    <cellStyle name="Output Column Headings 7" xfId="1964"/>
    <cellStyle name="Output Column Headings 8" xfId="11744"/>
    <cellStyle name="Output Column Headings 9" xfId="11745"/>
    <cellStyle name="Output Column Headings_d1" xfId="11746"/>
    <cellStyle name="Output Line Items" xfId="1965"/>
    <cellStyle name="OUTPUT LINE ITEMS 10" xfId="11747"/>
    <cellStyle name="OUTPUT LINE ITEMS 10 2" xfId="11748"/>
    <cellStyle name="OUTPUT LINE ITEMS 10 3" xfId="11749"/>
    <cellStyle name="Output Line Items 11" xfId="11750"/>
    <cellStyle name="Output Line Items 2" xfId="1966"/>
    <cellStyle name="Output Line Items 2 2" xfId="11751"/>
    <cellStyle name="Output Line Items 2 2 2" xfId="11752"/>
    <cellStyle name="Output Line Items 2 2 3" xfId="11753"/>
    <cellStyle name="Output Line Items 2 3" xfId="11754"/>
    <cellStyle name="OUTPUT LINE ITEMS 2 3 2" xfId="11755"/>
    <cellStyle name="Output Line Items 2 3 3" xfId="11756"/>
    <cellStyle name="Output Line Items 2 3 4" xfId="11757"/>
    <cellStyle name="Output Line Items 2 3 5" xfId="11758"/>
    <cellStyle name="Output Line Items 2 3 6" xfId="11759"/>
    <cellStyle name="Output Line Items 2 3 7" xfId="11760"/>
    <cellStyle name="OUTPUT LINE ITEMS 2 4" xfId="11761"/>
    <cellStyle name="Output Line Items 2 5" xfId="11762"/>
    <cellStyle name="Output Line Items 2 6" xfId="11763"/>
    <cellStyle name="Output Line Items 2 7" xfId="11764"/>
    <cellStyle name="Output Line Items 3" xfId="1967"/>
    <cellStyle name="Output Line Items 4" xfId="1968"/>
    <cellStyle name="Output Line Items 4 2" xfId="11765"/>
    <cellStyle name="Output Line Items 5" xfId="1969"/>
    <cellStyle name="Output Line Items 6" xfId="1970"/>
    <cellStyle name="Output Line Items 7" xfId="1971"/>
    <cellStyle name="Output Line Items 8" xfId="11766"/>
    <cellStyle name="Output Line Items 9" xfId="11767"/>
    <cellStyle name="Output Line Items_d1" xfId="11768"/>
    <cellStyle name="Output Report Heading" xfId="1972"/>
    <cellStyle name="OUTPUT REPORT HEADING 10" xfId="11769"/>
    <cellStyle name="OUTPUT REPORT HEADING 10 2" xfId="11770"/>
    <cellStyle name="OUTPUT REPORT HEADING 10 3" xfId="11771"/>
    <cellStyle name="Output Report Heading 11" xfId="11772"/>
    <cellStyle name="Output Report Heading 2" xfId="1973"/>
    <cellStyle name="Output Report Heading 2 2" xfId="11773"/>
    <cellStyle name="OUTPUT REPORT HEADING 2 2 2" xfId="11774"/>
    <cellStyle name="Output Report Heading 2 2 3" xfId="11775"/>
    <cellStyle name="Output Report Heading 2 2 4" xfId="11776"/>
    <cellStyle name="Output Report Heading 2 2 5" xfId="11777"/>
    <cellStyle name="Output Report Heading 2 2 6" xfId="11778"/>
    <cellStyle name="Output Report Heading 2 2 7" xfId="11779"/>
    <cellStyle name="OUTPUT REPORT HEADING 2 3" xfId="11780"/>
    <cellStyle name="OUTPUT REPORT HEADING 2 3 2" xfId="11781"/>
    <cellStyle name="Output Report Heading 2 4" xfId="11782"/>
    <cellStyle name="Output Report Heading 2 5" xfId="11783"/>
    <cellStyle name="Output Report Heading 2 6" xfId="11784"/>
    <cellStyle name="Output Report Heading 3" xfId="1974"/>
    <cellStyle name="Output Report Heading 4" xfId="1975"/>
    <cellStyle name="Output Report Heading 4 2" xfId="11785"/>
    <cellStyle name="Output Report Heading 5" xfId="1976"/>
    <cellStyle name="Output Report Heading 6" xfId="1977"/>
    <cellStyle name="Output Report Heading 7" xfId="1978"/>
    <cellStyle name="Output Report Heading 8" xfId="11786"/>
    <cellStyle name="Output Report Heading 9" xfId="11787"/>
    <cellStyle name="Output Report Heading_d1" xfId="11788"/>
    <cellStyle name="Output Report Title" xfId="1979"/>
    <cellStyle name="OUTPUT REPORT TITLE 10" xfId="11789"/>
    <cellStyle name="OUTPUT REPORT TITLE 10 2" xfId="11790"/>
    <cellStyle name="OUTPUT REPORT TITLE 10 3" xfId="11791"/>
    <cellStyle name="OUTPUT REPORT TITLE 11" xfId="11792"/>
    <cellStyle name="Output Report Title 12" xfId="11793"/>
    <cellStyle name="Output Report Title 2" xfId="1980"/>
    <cellStyle name="Output Report Title 2 2" xfId="11794"/>
    <cellStyle name="OUTPUT REPORT TITLE 2 2 2" xfId="11795"/>
    <cellStyle name="Output Report Title 2 2 3" xfId="11796"/>
    <cellStyle name="Output Report Title 2 2 4" xfId="11797"/>
    <cellStyle name="Output Report Title 2 2 5" xfId="11798"/>
    <cellStyle name="Output Report Title 2 2 6" xfId="11799"/>
    <cellStyle name="Output Report Title 2 2 7" xfId="11800"/>
    <cellStyle name="OUTPUT REPORT TITLE 2 3" xfId="11801"/>
    <cellStyle name="OUTPUT REPORT TITLE 2 3 2" xfId="11802"/>
    <cellStyle name="Output Report Title 2 4" xfId="11803"/>
    <cellStyle name="Output Report Title 2 5" xfId="11804"/>
    <cellStyle name="Output Report Title 2 6" xfId="11805"/>
    <cellStyle name="Output Report Title 3" xfId="1981"/>
    <cellStyle name="Output Report Title 4" xfId="1982"/>
    <cellStyle name="Output Report Title 4 2" xfId="11806"/>
    <cellStyle name="Output Report Title 5" xfId="1983"/>
    <cellStyle name="Output Report Title 6" xfId="1984"/>
    <cellStyle name="Output Report Title 7" xfId="1985"/>
    <cellStyle name="Output Report Title 8" xfId="11807"/>
    <cellStyle name="Output Report Title 9" xfId="11808"/>
    <cellStyle name="Output Report Title_d1" xfId="11809"/>
    <cellStyle name="Percent" xfId="3" builtinId="5"/>
    <cellStyle name="Percent 10" xfId="11810"/>
    <cellStyle name="Percent 10 2" xfId="11811"/>
    <cellStyle name="Percent 10 2 2" xfId="11812"/>
    <cellStyle name="Percent 10 2 3" xfId="11813"/>
    <cellStyle name="Percent 10 3" xfId="11814"/>
    <cellStyle name="Percent 10 3 2" xfId="11815"/>
    <cellStyle name="Percent 10 4" xfId="11816"/>
    <cellStyle name="Percent 10 5" xfId="11817"/>
    <cellStyle name="Percent 10 6" xfId="11818"/>
    <cellStyle name="Percent 11" xfId="11819"/>
    <cellStyle name="Percent 11 2" xfId="11820"/>
    <cellStyle name="Percent 11 3" xfId="11821"/>
    <cellStyle name="Percent 12" xfId="11822"/>
    <cellStyle name="Percent 13" xfId="11823"/>
    <cellStyle name="Percent 13 2" xfId="11824"/>
    <cellStyle name="Percent 14" xfId="11825"/>
    <cellStyle name="Percent 15" xfId="11826"/>
    <cellStyle name="Percent 2" xfId="1986"/>
    <cellStyle name="Percent 2 2" xfId="1987"/>
    <cellStyle name="Percent 2 2 2" xfId="11827"/>
    <cellStyle name="Percent 2 2 2 2" xfId="11828"/>
    <cellStyle name="Percent 2 2 2 2 2" xfId="11829"/>
    <cellStyle name="Percent 2 2 2 2 2 2" xfId="11830"/>
    <cellStyle name="Percent 2 2 2 2 2 2 2" xfId="11831"/>
    <cellStyle name="Percent 2 2 2 2 2 3" xfId="11832"/>
    <cellStyle name="Percent 2 2 2 2 3" xfId="11833"/>
    <cellStyle name="Percent 2 2 2 2 3 2" xfId="11834"/>
    <cellStyle name="Percent 2 2 2 2 4" xfId="11835"/>
    <cellStyle name="Percent 2 2 2 3" xfId="11836"/>
    <cellStyle name="Percent 2 2 2 3 2" xfId="11837"/>
    <cellStyle name="Percent 2 2 2 3 2 2" xfId="11838"/>
    <cellStyle name="Percent 2 2 2 3 3" xfId="11839"/>
    <cellStyle name="Percent 2 2 2 4" xfId="11840"/>
    <cellStyle name="Percent 2 2 2 4 2" xfId="11841"/>
    <cellStyle name="Percent 2 2 2 5" xfId="11842"/>
    <cellStyle name="Percent 2 2 3" xfId="11843"/>
    <cellStyle name="Percent 2 2 3 2" xfId="11844"/>
    <cellStyle name="Percent 2 2 3 2 2" xfId="11845"/>
    <cellStyle name="Percent 2 2 3 2 2 2" xfId="11846"/>
    <cellStyle name="Percent 2 2 3 2 3" xfId="11847"/>
    <cellStyle name="Percent 2 2 3 3" xfId="11848"/>
    <cellStyle name="Percent 2 2 3 3 2" xfId="11849"/>
    <cellStyle name="Percent 2 2 3 4" xfId="11850"/>
    <cellStyle name="Percent 2 2 4" xfId="11851"/>
    <cellStyle name="Percent 2 2 4 2" xfId="11852"/>
    <cellStyle name="Percent 2 2 4 2 2" xfId="11853"/>
    <cellStyle name="Percent 2 2 4 3" xfId="11854"/>
    <cellStyle name="Percent 2 2 5" xfId="11855"/>
    <cellStyle name="Percent 2 2 5 2" xfId="11856"/>
    <cellStyle name="Percent 2 2 6" xfId="11857"/>
    <cellStyle name="Percent 2 2 7" xfId="11858"/>
    <cellStyle name="Percent 2 3" xfId="1988"/>
    <cellStyle name="Percent 2 3 2" xfId="11859"/>
    <cellStyle name="Percent 2 3 2 2" xfId="11860"/>
    <cellStyle name="Percent 2 3 2 2 2" xfId="11861"/>
    <cellStyle name="Percent 2 3 2 3" xfId="11862"/>
    <cellStyle name="Percent 2 3 2 4" xfId="11863"/>
    <cellStyle name="Percent 2 3 3" xfId="11864"/>
    <cellStyle name="Percent 2 3 3 2" xfId="11865"/>
    <cellStyle name="Percent 2 3 4" xfId="11866"/>
    <cellStyle name="Percent 2 3 5" xfId="11867"/>
    <cellStyle name="Percent 2 4" xfId="1989"/>
    <cellStyle name="Percent 2 4 2" xfId="11868"/>
    <cellStyle name="Percent 2 5" xfId="1990"/>
    <cellStyle name="Percent 3" xfId="2104"/>
    <cellStyle name="Percent 3 10" xfId="11869"/>
    <cellStyle name="Percent 3 2" xfId="11870"/>
    <cellStyle name="Percent 3 2 2" xfId="11871"/>
    <cellStyle name="Percent 3 2 2 2" xfId="11872"/>
    <cellStyle name="Percent 3 2 2 2 2" xfId="11873"/>
    <cellStyle name="Percent 3 2 2 2 2 2" xfId="11874"/>
    <cellStyle name="Percent 3 2 2 2 2 2 2" xfId="11875"/>
    <cellStyle name="Percent 3 2 2 2 2 2 2 2" xfId="11876"/>
    <cellStyle name="Percent 3 2 2 2 2 2 3" xfId="11877"/>
    <cellStyle name="Percent 3 2 2 2 2 3" xfId="11878"/>
    <cellStyle name="Percent 3 2 2 2 2 3 2" xfId="11879"/>
    <cellStyle name="Percent 3 2 2 2 2 4" xfId="11880"/>
    <cellStyle name="Percent 3 2 2 2 3" xfId="11881"/>
    <cellStyle name="Percent 3 2 2 2 3 2" xfId="11882"/>
    <cellStyle name="Percent 3 2 2 2 3 2 2" xfId="11883"/>
    <cellStyle name="Percent 3 2 2 2 3 3" xfId="11884"/>
    <cellStyle name="Percent 3 2 2 2 4" xfId="11885"/>
    <cellStyle name="Percent 3 2 2 2 4 2" xfId="11886"/>
    <cellStyle name="Percent 3 2 2 2 5" xfId="11887"/>
    <cellStyle name="Percent 3 2 2 2 6" xfId="11888"/>
    <cellStyle name="Percent 3 2 2 3" xfId="11889"/>
    <cellStyle name="Percent 3 2 2 3 2" xfId="11890"/>
    <cellStyle name="Percent 3 2 2 3 2 2" xfId="11891"/>
    <cellStyle name="Percent 3 2 2 3 2 2 2" xfId="11892"/>
    <cellStyle name="Percent 3 2 2 3 2 3" xfId="11893"/>
    <cellStyle name="Percent 3 2 2 3 3" xfId="11894"/>
    <cellStyle name="Percent 3 2 2 3 3 2" xfId="11895"/>
    <cellStyle name="Percent 3 2 2 3 4" xfId="11896"/>
    <cellStyle name="Percent 3 2 2 4" xfId="11897"/>
    <cellStyle name="Percent 3 2 2 4 2" xfId="11898"/>
    <cellStyle name="Percent 3 2 2 4 2 2" xfId="11899"/>
    <cellStyle name="Percent 3 2 2 4 3" xfId="11900"/>
    <cellStyle name="Percent 3 2 2 5" xfId="11901"/>
    <cellStyle name="Percent 3 2 2 5 2" xfId="11902"/>
    <cellStyle name="Percent 3 2 2 6" xfId="11903"/>
    <cellStyle name="Percent 3 2 2 7" xfId="11904"/>
    <cellStyle name="Percent 3 2 3" xfId="11905"/>
    <cellStyle name="Percent 3 2 3 2" xfId="11906"/>
    <cellStyle name="Percent 3 2 3 2 2" xfId="11907"/>
    <cellStyle name="Percent 3 2 3 2 2 2" xfId="11908"/>
    <cellStyle name="Percent 3 2 3 2 2 2 2" xfId="11909"/>
    <cellStyle name="Percent 3 2 3 2 2 3" xfId="11910"/>
    <cellStyle name="Percent 3 2 3 2 3" xfId="11911"/>
    <cellStyle name="Percent 3 2 3 2 3 2" xfId="11912"/>
    <cellStyle name="Percent 3 2 3 2 4" xfId="11913"/>
    <cellStyle name="Percent 3 2 3 3" xfId="11914"/>
    <cellStyle name="Percent 3 2 3 3 2" xfId="11915"/>
    <cellStyle name="Percent 3 2 3 3 2 2" xfId="11916"/>
    <cellStyle name="Percent 3 2 3 3 3" xfId="11917"/>
    <cellStyle name="Percent 3 2 3 4" xfId="11918"/>
    <cellStyle name="Percent 3 2 3 4 2" xfId="11919"/>
    <cellStyle name="Percent 3 2 3 5" xfId="11920"/>
    <cellStyle name="Percent 3 2 3 6" xfId="11921"/>
    <cellStyle name="Percent 3 2 4" xfId="11922"/>
    <cellStyle name="Percent 3 2 4 2" xfId="11923"/>
    <cellStyle name="Percent 3 2 4 2 2" xfId="11924"/>
    <cellStyle name="Percent 3 2 4 2 2 2" xfId="11925"/>
    <cellStyle name="Percent 3 2 4 2 2 2 2" xfId="11926"/>
    <cellStyle name="Percent 3 2 4 2 2 3" xfId="11927"/>
    <cellStyle name="Percent 3 2 4 2 3" xfId="11928"/>
    <cellStyle name="Percent 3 2 4 2 3 2" xfId="11929"/>
    <cellStyle name="Percent 3 2 4 2 4" xfId="11930"/>
    <cellStyle name="Percent 3 2 4 3" xfId="11931"/>
    <cellStyle name="Percent 3 2 4 3 2" xfId="11932"/>
    <cellStyle name="Percent 3 2 4 3 2 2" xfId="11933"/>
    <cellStyle name="Percent 3 2 4 3 3" xfId="11934"/>
    <cellStyle name="Percent 3 2 4 4" xfId="11935"/>
    <cellStyle name="Percent 3 2 4 4 2" xfId="11936"/>
    <cellStyle name="Percent 3 2 4 5" xfId="11937"/>
    <cellStyle name="Percent 3 2 5" xfId="11938"/>
    <cellStyle name="Percent 3 2 5 2" xfId="11939"/>
    <cellStyle name="Percent 3 2 5 2 2" xfId="11940"/>
    <cellStyle name="Percent 3 2 5 2 2 2" xfId="11941"/>
    <cellStyle name="Percent 3 2 5 2 3" xfId="11942"/>
    <cellStyle name="Percent 3 2 5 3" xfId="11943"/>
    <cellStyle name="Percent 3 2 5 3 2" xfId="11944"/>
    <cellStyle name="Percent 3 2 5 4" xfId="11945"/>
    <cellStyle name="Percent 3 2 6" xfId="11946"/>
    <cellStyle name="Percent 3 2 6 2" xfId="11947"/>
    <cellStyle name="Percent 3 2 6 2 2" xfId="11948"/>
    <cellStyle name="Percent 3 2 6 3" xfId="11949"/>
    <cellStyle name="Percent 3 2 7" xfId="11950"/>
    <cellStyle name="Percent 3 2 7 2" xfId="11951"/>
    <cellStyle name="Percent 3 2 8" xfId="11952"/>
    <cellStyle name="Percent 3 2 9" xfId="11953"/>
    <cellStyle name="Percent 3 3" xfId="11954"/>
    <cellStyle name="Percent 3 3 2" xfId="11955"/>
    <cellStyle name="Percent 3 3 2 2" xfId="11956"/>
    <cellStyle name="Percent 3 3 2 2 2" xfId="11957"/>
    <cellStyle name="Percent 3 3 2 2 2 2" xfId="11958"/>
    <cellStyle name="Percent 3 3 2 2 2 2 2" xfId="11959"/>
    <cellStyle name="Percent 3 3 2 2 2 3" xfId="11960"/>
    <cellStyle name="Percent 3 3 2 2 3" xfId="11961"/>
    <cellStyle name="Percent 3 3 2 2 3 2" xfId="11962"/>
    <cellStyle name="Percent 3 3 2 2 4" xfId="11963"/>
    <cellStyle name="Percent 3 3 2 3" xfId="11964"/>
    <cellStyle name="Percent 3 3 2 3 2" xfId="11965"/>
    <cellStyle name="Percent 3 3 2 3 2 2" xfId="11966"/>
    <cellStyle name="Percent 3 3 2 3 3" xfId="11967"/>
    <cellStyle name="Percent 3 3 2 4" xfId="11968"/>
    <cellStyle name="Percent 3 3 2 4 2" xfId="11969"/>
    <cellStyle name="Percent 3 3 2 5" xfId="11970"/>
    <cellStyle name="Percent 3 3 3" xfId="11971"/>
    <cellStyle name="Percent 3 3 3 2" xfId="11972"/>
    <cellStyle name="Percent 3 3 3 2 2" xfId="11973"/>
    <cellStyle name="Percent 3 3 3 2 2 2" xfId="11974"/>
    <cellStyle name="Percent 3 3 3 2 3" xfId="11975"/>
    <cellStyle name="Percent 3 3 3 3" xfId="11976"/>
    <cellStyle name="Percent 3 3 3 3 2" xfId="11977"/>
    <cellStyle name="Percent 3 3 3 4" xfId="11978"/>
    <cellStyle name="Percent 3 3 4" xfId="11979"/>
    <cellStyle name="Percent 3 3 4 2" xfId="11980"/>
    <cellStyle name="Percent 3 3 4 2 2" xfId="11981"/>
    <cellStyle name="Percent 3 3 4 3" xfId="11982"/>
    <cellStyle name="Percent 3 3 5" xfId="11983"/>
    <cellStyle name="Percent 3 3 5 2" xfId="11984"/>
    <cellStyle name="Percent 3 3 6" xfId="11985"/>
    <cellStyle name="Percent 3 3 7" xfId="11986"/>
    <cellStyle name="Percent 3 4" xfId="11987"/>
    <cellStyle name="Percent 3 4 2" xfId="11988"/>
    <cellStyle name="Percent 3 4 2 2" xfId="11989"/>
    <cellStyle name="Percent 3 4 2 2 2" xfId="11990"/>
    <cellStyle name="Percent 3 4 2 2 2 2" xfId="11991"/>
    <cellStyle name="Percent 3 4 2 2 3" xfId="11992"/>
    <cellStyle name="Percent 3 4 2 3" xfId="11993"/>
    <cellStyle name="Percent 3 4 2 3 2" xfId="11994"/>
    <cellStyle name="Percent 3 4 2 4" xfId="11995"/>
    <cellStyle name="Percent 3 4 2 5" xfId="11996"/>
    <cellStyle name="Percent 3 4 3" xfId="11997"/>
    <cellStyle name="Percent 3 4 3 2" xfId="11998"/>
    <cellStyle name="Percent 3 4 3 2 2" xfId="11999"/>
    <cellStyle name="Percent 3 4 3 3" xfId="12000"/>
    <cellStyle name="Percent 3 4 4" xfId="12001"/>
    <cellStyle name="Percent 3 4 4 2" xfId="12002"/>
    <cellStyle name="Percent 3 4 5" xfId="12003"/>
    <cellStyle name="Percent 3 4 6" xfId="12004"/>
    <cellStyle name="Percent 3 5" xfId="12005"/>
    <cellStyle name="Percent 3 5 2" xfId="12006"/>
    <cellStyle name="Percent 3 5 2 2" xfId="12007"/>
    <cellStyle name="Percent 3 5 2 2 2" xfId="12008"/>
    <cellStyle name="Percent 3 5 2 2 2 2" xfId="12009"/>
    <cellStyle name="Percent 3 5 2 2 3" xfId="12010"/>
    <cellStyle name="Percent 3 5 2 3" xfId="12011"/>
    <cellStyle name="Percent 3 5 2 3 2" xfId="12012"/>
    <cellStyle name="Percent 3 5 2 4" xfId="12013"/>
    <cellStyle name="Percent 3 5 3" xfId="12014"/>
    <cellStyle name="Percent 3 5 3 2" xfId="12015"/>
    <cellStyle name="Percent 3 5 3 2 2" xfId="12016"/>
    <cellStyle name="Percent 3 5 3 3" xfId="12017"/>
    <cellStyle name="Percent 3 5 4" xfId="12018"/>
    <cellStyle name="Percent 3 5 4 2" xfId="12019"/>
    <cellStyle name="Percent 3 5 5" xfId="12020"/>
    <cellStyle name="Percent 3 5 6" xfId="12021"/>
    <cellStyle name="Percent 3 6" xfId="12022"/>
    <cellStyle name="Percent 3 6 2" xfId="12023"/>
    <cellStyle name="Percent 3 6 2 2" xfId="12024"/>
    <cellStyle name="Percent 3 6 2 2 2" xfId="12025"/>
    <cellStyle name="Percent 3 6 2 3" xfId="12026"/>
    <cellStyle name="Percent 3 6 3" xfId="12027"/>
    <cellStyle name="Percent 3 6 3 2" xfId="12028"/>
    <cellStyle name="Percent 3 6 4" xfId="12029"/>
    <cellStyle name="Percent 3 7" xfId="12030"/>
    <cellStyle name="Percent 3 7 2" xfId="12031"/>
    <cellStyle name="Percent 3 7 2 2" xfId="12032"/>
    <cellStyle name="Percent 3 7 3" xfId="12033"/>
    <cellStyle name="Percent 3 8" xfId="12034"/>
    <cellStyle name="Percent 3 8 2" xfId="12035"/>
    <cellStyle name="Percent 3 9" xfId="12036"/>
    <cellStyle name="Percent 4" xfId="12037"/>
    <cellStyle name="Percent 4 2" xfId="12038"/>
    <cellStyle name="Percent 4 2 2" xfId="12039"/>
    <cellStyle name="Percent 4 2 2 2" xfId="12040"/>
    <cellStyle name="Percent 4 2 2 2 2" xfId="12041"/>
    <cellStyle name="Percent 4 2 2 2 2 2" xfId="12042"/>
    <cellStyle name="Percent 4 2 2 2 3" xfId="12043"/>
    <cellStyle name="Percent 4 2 2 2 4" xfId="12044"/>
    <cellStyle name="Percent 4 2 2 3" xfId="12045"/>
    <cellStyle name="Percent 4 2 2 3 2" xfId="12046"/>
    <cellStyle name="Percent 4 2 2 4" xfId="12047"/>
    <cellStyle name="Percent 4 2 2 5" xfId="12048"/>
    <cellStyle name="Percent 4 2 3" xfId="12049"/>
    <cellStyle name="Percent 4 2 3 2" xfId="12050"/>
    <cellStyle name="Percent 4 2 3 2 2" xfId="12051"/>
    <cellStyle name="Percent 4 2 3 3" xfId="12052"/>
    <cellStyle name="Percent 4 2 3 4" xfId="12053"/>
    <cellStyle name="Percent 4 2 4" xfId="12054"/>
    <cellStyle name="Percent 4 2 4 2" xfId="12055"/>
    <cellStyle name="Percent 4 2 5" xfId="12056"/>
    <cellStyle name="Percent 4 2 6" xfId="12057"/>
    <cellStyle name="Percent 4 3" xfId="12058"/>
    <cellStyle name="Percent 4 3 2" xfId="12059"/>
    <cellStyle name="Percent 4 3 2 2" xfId="12060"/>
    <cellStyle name="Percent 4 3 2 2 2" xfId="12061"/>
    <cellStyle name="Percent 4 3 2 3" xfId="12062"/>
    <cellStyle name="Percent 4 3 3" xfId="12063"/>
    <cellStyle name="Percent 4 3 3 2" xfId="12064"/>
    <cellStyle name="Percent 4 3 4" xfId="12065"/>
    <cellStyle name="Percent 4 3 5" xfId="12066"/>
    <cellStyle name="Percent 4 4" xfId="12067"/>
    <cellStyle name="Percent 4 4 2" xfId="12068"/>
    <cellStyle name="Percent 4 4 2 2" xfId="12069"/>
    <cellStyle name="Percent 4 4 3" xfId="12070"/>
    <cellStyle name="Percent 4 5" xfId="12071"/>
    <cellStyle name="Percent 4 5 2" xfId="12072"/>
    <cellStyle name="Percent 4 6" xfId="12073"/>
    <cellStyle name="Percent 4 7" xfId="12074"/>
    <cellStyle name="Percent 4 8" xfId="12075"/>
    <cellStyle name="Percent 5" xfId="12076"/>
    <cellStyle name="Percent 5 2" xfId="12077"/>
    <cellStyle name="Percent 5 2 2" xfId="12078"/>
    <cellStyle name="Percent 5 3" xfId="12079"/>
    <cellStyle name="Percent 6" xfId="12080"/>
    <cellStyle name="Percent 6 2" xfId="12081"/>
    <cellStyle name="Percent 6 3" xfId="12082"/>
    <cellStyle name="Percent 7" xfId="12083"/>
    <cellStyle name="Percent 7 2" xfId="12084"/>
    <cellStyle name="Percent 7 2 2" xfId="12085"/>
    <cellStyle name="Percent 7 2 2 2" xfId="12086"/>
    <cellStyle name="Percent 7 2 2 3" xfId="12087"/>
    <cellStyle name="Percent 7 2 3" xfId="12088"/>
    <cellStyle name="Percent 7 2 4" xfId="12089"/>
    <cellStyle name="Percent 7 3" xfId="12090"/>
    <cellStyle name="Percent 7 3 2" xfId="12091"/>
    <cellStyle name="Percent 7 3 3" xfId="12092"/>
    <cellStyle name="Percent 7 4" xfId="12093"/>
    <cellStyle name="Percent 7 5" xfId="12094"/>
    <cellStyle name="Percent 7 6" xfId="12095"/>
    <cellStyle name="Percent 8" xfId="12096"/>
    <cellStyle name="Percent 8 2" xfId="12097"/>
    <cellStyle name="Percent 8 2 2" xfId="12098"/>
    <cellStyle name="Percent 8 2 2 2" xfId="12099"/>
    <cellStyle name="Percent 8 2 3" xfId="12100"/>
    <cellStyle name="Percent 8 3" xfId="12101"/>
    <cellStyle name="Percent 8 3 2" xfId="12102"/>
    <cellStyle name="Percent 8 4" xfId="12103"/>
    <cellStyle name="Percent 8 5" xfId="12104"/>
    <cellStyle name="Percent 8 6" xfId="12105"/>
    <cellStyle name="Percent 9" xfId="12106"/>
    <cellStyle name="Percent 9 2" xfId="12107"/>
    <cellStyle name="Percent 9 2 2" xfId="12108"/>
    <cellStyle name="Percent 9 2 3" xfId="12109"/>
    <cellStyle name="Percent 9 3" xfId="12110"/>
    <cellStyle name="Percent 9 3 2" xfId="12111"/>
    <cellStyle name="Percent 9 4" xfId="12112"/>
    <cellStyle name="Percent 9 5" xfId="12113"/>
    <cellStyle name="Percent 9 6" xfId="12114"/>
    <cellStyle name="Project Overview Data Entry" xfId="12115"/>
    <cellStyle name="Project Overview Data Entry 2" xfId="12116"/>
    <cellStyle name="PSChar" xfId="12117"/>
    <cellStyle name="PSDate" xfId="12118"/>
    <cellStyle name="PSDec" xfId="12119"/>
    <cellStyle name="PSHeading" xfId="12120"/>
    <cellStyle name="PSInt" xfId="12121"/>
    <cellStyle name="PSSpacer" xfId="12122"/>
    <cellStyle name="ReportTitlePrompt" xfId="12123"/>
    <cellStyle name="ReportTitlePrompt 2" xfId="12124"/>
    <cellStyle name="ReportTitlePrompt 2 2" xfId="12125"/>
    <cellStyle name="ReportTitlePrompt 2 3" xfId="12126"/>
    <cellStyle name="ReportTitlePrompt 3" xfId="12127"/>
    <cellStyle name="ReportTitlePrompt 4" xfId="12128"/>
    <cellStyle name="ReportTitleValue" xfId="12129"/>
    <cellStyle name="ReportTitleValue 2" xfId="12130"/>
    <cellStyle name="ReportTitleValue 2 2" xfId="12131"/>
    <cellStyle name="Reset  - Style4" xfId="12132"/>
    <cellStyle name="RowAcctAbovePrompt" xfId="12133"/>
    <cellStyle name="RowAcctAbovePrompt 2" xfId="12134"/>
    <cellStyle name="RowAcctAbovePrompt 2 2" xfId="12135"/>
    <cellStyle name="RowAcctAbovePrompt 2 3" xfId="12136"/>
    <cellStyle name="RowAcctAbovePrompt 3" xfId="12137"/>
    <cellStyle name="RowAcctSOBAbovePrompt" xfId="12138"/>
    <cellStyle name="RowAcctSOBAbovePrompt 2" xfId="12139"/>
    <cellStyle name="RowAcctSOBAbovePrompt 2 2" xfId="12140"/>
    <cellStyle name="RowAcctSOBAbovePrompt 2 3" xfId="12141"/>
    <cellStyle name="RowAcctSOBAbovePrompt 3" xfId="12142"/>
    <cellStyle name="RowAcctSOBValue" xfId="12143"/>
    <cellStyle name="RowAcctSOBValue 2" xfId="12144"/>
    <cellStyle name="RowAcctSOBValue 2 2" xfId="12145"/>
    <cellStyle name="RowAcctSOBValue 2 3" xfId="12146"/>
    <cellStyle name="RowAcctSOBValue 3" xfId="12147"/>
    <cellStyle name="RowAcctValue" xfId="12148"/>
    <cellStyle name="RowAcctValue 2" xfId="12149"/>
    <cellStyle name="RowAcctValue 2 2" xfId="12150"/>
    <cellStyle name="RowAttrAbovePrompt" xfId="12151"/>
    <cellStyle name="RowAttrAbovePrompt 2" xfId="12152"/>
    <cellStyle name="RowAttrAbovePrompt 2 2" xfId="12153"/>
    <cellStyle name="RowAttrAbovePrompt 2 3" xfId="12154"/>
    <cellStyle name="RowAttrAbovePrompt 3" xfId="12155"/>
    <cellStyle name="RowAttrValue" xfId="12156"/>
    <cellStyle name="RowAttrValue 2" xfId="12157"/>
    <cellStyle name="RowAttrValue 2 2" xfId="12158"/>
    <cellStyle name="RowColSetAbovePrompt" xfId="12159"/>
    <cellStyle name="RowColSetAbovePrompt 2" xfId="12160"/>
    <cellStyle name="RowColSetAbovePrompt 2 2" xfId="12161"/>
    <cellStyle name="RowColSetAbovePrompt 2 3" xfId="12162"/>
    <cellStyle name="RowColSetAbovePrompt 3" xfId="12163"/>
    <cellStyle name="RowColSetLeftPrompt" xfId="12164"/>
    <cellStyle name="RowColSetLeftPrompt 2" xfId="12165"/>
    <cellStyle name="RowColSetLeftPrompt 2 2" xfId="12166"/>
    <cellStyle name="RowColSetLeftPrompt 2 3" xfId="12167"/>
    <cellStyle name="RowColSetLeftPrompt 3" xfId="12168"/>
    <cellStyle name="RowColSetValue" xfId="12169"/>
    <cellStyle name="RowColSetValue 2" xfId="12170"/>
    <cellStyle name="RowColSetValue 2 2" xfId="12171"/>
    <cellStyle name="RowColSetValue 3" xfId="12172"/>
    <cellStyle name="RowLeftPrompt" xfId="12173"/>
    <cellStyle name="RowLeftPrompt 2" xfId="12174"/>
    <cellStyle name="RowLeftPrompt 2 2" xfId="12175"/>
    <cellStyle name="RowLeftPrompt 2 3" xfId="12176"/>
    <cellStyle name="RowLeftPrompt 3" xfId="12177"/>
    <cellStyle name="SampleUsingFormatMask" xfId="12178"/>
    <cellStyle name="SampleUsingFormatMask 2" xfId="12179"/>
    <cellStyle name="SampleUsingFormatMask 2 2" xfId="12180"/>
    <cellStyle name="SampleUsingFormatMask 2 3" xfId="12181"/>
    <cellStyle name="SampleUsingFormatMask 3" xfId="12182"/>
    <cellStyle name="SampleWithNoFormatMask" xfId="12183"/>
    <cellStyle name="SampleWithNoFormatMask 2" xfId="12184"/>
    <cellStyle name="SampleWithNoFormatMask 2 2" xfId="12185"/>
    <cellStyle name="SampleWithNoFormatMask 2 3" xfId="12186"/>
    <cellStyle name="SampleWithNoFormatMask 3" xfId="12187"/>
    <cellStyle name="SAPBEXaggData" xfId="12188"/>
    <cellStyle name="SAPBEXaggData 10" xfId="12189"/>
    <cellStyle name="SAPBEXaggData 10 2" xfId="12190"/>
    <cellStyle name="SAPBEXaggData 11" xfId="12191"/>
    <cellStyle name="SAPBEXaggData 11 2" xfId="12192"/>
    <cellStyle name="SAPBEXaggData 12" xfId="12193"/>
    <cellStyle name="SAPBEXaggData 2" xfId="12194"/>
    <cellStyle name="SAPBEXaggData 2 10" xfId="12195"/>
    <cellStyle name="SAPBEXaggData 2 10 2" xfId="12196"/>
    <cellStyle name="SAPBEXaggData 2 11" xfId="12197"/>
    <cellStyle name="SAPBEXaggData 2 2" xfId="12198"/>
    <cellStyle name="SAPBEXaggData 2 2 2" xfId="12199"/>
    <cellStyle name="SAPBEXaggData 2 3" xfId="12200"/>
    <cellStyle name="SAPBEXaggData 2 3 2" xfId="12201"/>
    <cellStyle name="SAPBEXaggData 2 4" xfId="12202"/>
    <cellStyle name="SAPBEXaggData 2 4 2" xfId="12203"/>
    <cellStyle name="SAPBEXaggData 2 5" xfId="12204"/>
    <cellStyle name="SAPBEXaggData 2 5 2" xfId="12205"/>
    <cellStyle name="SAPBEXaggData 2 6" xfId="12206"/>
    <cellStyle name="SAPBEXaggData 2 6 2" xfId="12207"/>
    <cellStyle name="SAPBEXaggData 2 7" xfId="12208"/>
    <cellStyle name="SAPBEXaggData 2 7 2" xfId="12209"/>
    <cellStyle name="SAPBEXaggData 2 8" xfId="12210"/>
    <cellStyle name="SAPBEXaggData 2 8 2" xfId="12211"/>
    <cellStyle name="SAPBEXaggData 2 9" xfId="12212"/>
    <cellStyle name="SAPBEXaggData 2 9 2" xfId="12213"/>
    <cellStyle name="SAPBEXaggData 3" xfId="12214"/>
    <cellStyle name="SAPBEXaggData 3 2" xfId="12215"/>
    <cellStyle name="SAPBEXaggData 4" xfId="12216"/>
    <cellStyle name="SAPBEXaggData 4 2" xfId="12217"/>
    <cellStyle name="SAPBEXaggData 5" xfId="12218"/>
    <cellStyle name="SAPBEXaggData 5 2" xfId="12219"/>
    <cellStyle name="SAPBEXaggData 6" xfId="12220"/>
    <cellStyle name="SAPBEXaggData 6 2" xfId="12221"/>
    <cellStyle name="SAPBEXaggData 7" xfId="12222"/>
    <cellStyle name="SAPBEXaggData 7 2" xfId="12223"/>
    <cellStyle name="SAPBEXaggData 8" xfId="12224"/>
    <cellStyle name="SAPBEXaggData 8 2" xfId="12225"/>
    <cellStyle name="SAPBEXaggData 9" xfId="12226"/>
    <cellStyle name="SAPBEXaggData 9 2" xfId="12227"/>
    <cellStyle name="SAPBEXaggDataEmph" xfId="12228"/>
    <cellStyle name="SAPBEXaggDataEmph 10" xfId="12229"/>
    <cellStyle name="SAPBEXaggDataEmph 10 2" xfId="12230"/>
    <cellStyle name="SAPBEXaggDataEmph 11" xfId="12231"/>
    <cellStyle name="SAPBEXaggDataEmph 2" xfId="12232"/>
    <cellStyle name="SAPBEXaggDataEmph 2 2" xfId="12233"/>
    <cellStyle name="SAPBEXaggDataEmph 3" xfId="12234"/>
    <cellStyle name="SAPBEXaggDataEmph 3 2" xfId="12235"/>
    <cellStyle name="SAPBEXaggDataEmph 4" xfId="12236"/>
    <cellStyle name="SAPBEXaggDataEmph 4 2" xfId="12237"/>
    <cellStyle name="SAPBEXaggDataEmph 5" xfId="12238"/>
    <cellStyle name="SAPBEXaggDataEmph 5 2" xfId="12239"/>
    <cellStyle name="SAPBEXaggDataEmph 6" xfId="12240"/>
    <cellStyle name="SAPBEXaggDataEmph 6 2" xfId="12241"/>
    <cellStyle name="SAPBEXaggDataEmph 7" xfId="12242"/>
    <cellStyle name="SAPBEXaggDataEmph 7 2" xfId="12243"/>
    <cellStyle name="SAPBEXaggDataEmph 8" xfId="12244"/>
    <cellStyle name="SAPBEXaggDataEmph 8 2" xfId="12245"/>
    <cellStyle name="SAPBEXaggDataEmph 9" xfId="12246"/>
    <cellStyle name="SAPBEXaggDataEmph 9 2" xfId="12247"/>
    <cellStyle name="SAPBEXaggItem" xfId="12248"/>
    <cellStyle name="SAPBEXaggItem 10" xfId="12249"/>
    <cellStyle name="SAPBEXaggItem 10 2" xfId="12250"/>
    <cellStyle name="SAPBEXaggItem 11" xfId="12251"/>
    <cellStyle name="SAPBEXaggItem 11 2" xfId="12252"/>
    <cellStyle name="SAPBEXaggItem 12" xfId="12253"/>
    <cellStyle name="SAPBEXaggItem 2" xfId="12254"/>
    <cellStyle name="SAPBEXaggItem 2 10" xfId="12255"/>
    <cellStyle name="SAPBEXaggItem 2 10 2" xfId="12256"/>
    <cellStyle name="SAPBEXaggItem 2 11" xfId="12257"/>
    <cellStyle name="SAPBEXaggItem 2 2" xfId="12258"/>
    <cellStyle name="SAPBEXaggItem 2 2 2" xfId="12259"/>
    <cellStyle name="SAPBEXaggItem 2 3" xfId="12260"/>
    <cellStyle name="SAPBEXaggItem 2 3 2" xfId="12261"/>
    <cellStyle name="SAPBEXaggItem 2 4" xfId="12262"/>
    <cellStyle name="SAPBEXaggItem 2 4 2" xfId="12263"/>
    <cellStyle name="SAPBEXaggItem 2 5" xfId="12264"/>
    <cellStyle name="SAPBEXaggItem 2 5 2" xfId="12265"/>
    <cellStyle name="SAPBEXaggItem 2 6" xfId="12266"/>
    <cellStyle name="SAPBEXaggItem 2 6 2" xfId="12267"/>
    <cellStyle name="SAPBEXaggItem 2 7" xfId="12268"/>
    <cellStyle name="SAPBEXaggItem 2 7 2" xfId="12269"/>
    <cellStyle name="SAPBEXaggItem 2 8" xfId="12270"/>
    <cellStyle name="SAPBEXaggItem 2 8 2" xfId="12271"/>
    <cellStyle name="SAPBEXaggItem 2 9" xfId="12272"/>
    <cellStyle name="SAPBEXaggItem 2 9 2" xfId="12273"/>
    <cellStyle name="SAPBEXaggItem 3" xfId="12274"/>
    <cellStyle name="SAPBEXaggItem 3 2" xfId="12275"/>
    <cellStyle name="SAPBEXaggItem 4" xfId="12276"/>
    <cellStyle name="SAPBEXaggItem 4 2" xfId="12277"/>
    <cellStyle name="SAPBEXaggItem 5" xfId="12278"/>
    <cellStyle name="SAPBEXaggItem 5 2" xfId="12279"/>
    <cellStyle name="SAPBEXaggItem 6" xfId="12280"/>
    <cellStyle name="SAPBEXaggItem 6 2" xfId="12281"/>
    <cellStyle name="SAPBEXaggItem 7" xfId="12282"/>
    <cellStyle name="SAPBEXaggItem 7 2" xfId="12283"/>
    <cellStyle name="SAPBEXaggItem 8" xfId="12284"/>
    <cellStyle name="SAPBEXaggItem 8 2" xfId="12285"/>
    <cellStyle name="SAPBEXaggItem 9" xfId="12286"/>
    <cellStyle name="SAPBEXaggItem 9 2" xfId="12287"/>
    <cellStyle name="SAPBEXaggItemX" xfId="12288"/>
    <cellStyle name="SAPBEXaggItemX 10" xfId="12289"/>
    <cellStyle name="SAPBEXaggItemX 10 2" xfId="12290"/>
    <cellStyle name="SAPBEXaggItemX 11" xfId="12291"/>
    <cellStyle name="SAPBEXaggItemX 11 2" xfId="12292"/>
    <cellStyle name="SAPBEXaggItemX 12" xfId="12293"/>
    <cellStyle name="SAPBEXaggItemX 2" xfId="12294"/>
    <cellStyle name="SAPBEXaggItemX 2 10" xfId="12295"/>
    <cellStyle name="SAPBEXaggItemX 2 10 2" xfId="12296"/>
    <cellStyle name="SAPBEXaggItemX 2 11" xfId="12297"/>
    <cellStyle name="SAPBEXaggItemX 2 2" xfId="12298"/>
    <cellStyle name="SAPBEXaggItemX 2 2 2" xfId="12299"/>
    <cellStyle name="SAPBEXaggItemX 2 3" xfId="12300"/>
    <cellStyle name="SAPBEXaggItemX 2 3 2" xfId="12301"/>
    <cellStyle name="SAPBEXaggItemX 2 4" xfId="12302"/>
    <cellStyle name="SAPBEXaggItemX 2 4 2" xfId="12303"/>
    <cellStyle name="SAPBEXaggItemX 2 5" xfId="12304"/>
    <cellStyle name="SAPBEXaggItemX 2 5 2" xfId="12305"/>
    <cellStyle name="SAPBEXaggItemX 2 6" xfId="12306"/>
    <cellStyle name="SAPBEXaggItemX 2 6 2" xfId="12307"/>
    <cellStyle name="SAPBEXaggItemX 2 7" xfId="12308"/>
    <cellStyle name="SAPBEXaggItemX 2 7 2" xfId="12309"/>
    <cellStyle name="SAPBEXaggItemX 2 8" xfId="12310"/>
    <cellStyle name="SAPBEXaggItemX 2 8 2" xfId="12311"/>
    <cellStyle name="SAPBEXaggItemX 2 9" xfId="12312"/>
    <cellStyle name="SAPBEXaggItemX 2 9 2" xfId="12313"/>
    <cellStyle name="SAPBEXaggItemX 3" xfId="12314"/>
    <cellStyle name="SAPBEXaggItemX 3 2" xfId="12315"/>
    <cellStyle name="SAPBEXaggItemX 4" xfId="12316"/>
    <cellStyle name="SAPBEXaggItemX 4 2" xfId="12317"/>
    <cellStyle name="SAPBEXaggItemX 5" xfId="12318"/>
    <cellStyle name="SAPBEXaggItemX 5 2" xfId="12319"/>
    <cellStyle name="SAPBEXaggItemX 6" xfId="12320"/>
    <cellStyle name="SAPBEXaggItemX 6 2" xfId="12321"/>
    <cellStyle name="SAPBEXaggItemX 7" xfId="12322"/>
    <cellStyle name="SAPBEXaggItemX 7 2" xfId="12323"/>
    <cellStyle name="SAPBEXaggItemX 8" xfId="12324"/>
    <cellStyle name="SAPBEXaggItemX 8 2" xfId="12325"/>
    <cellStyle name="SAPBEXaggItemX 9" xfId="12326"/>
    <cellStyle name="SAPBEXaggItemX 9 2" xfId="12327"/>
    <cellStyle name="SAPBEXchaText" xfId="12328"/>
    <cellStyle name="SAPBEXchaText 2" xfId="12329"/>
    <cellStyle name="SAPBEXexcBad7" xfId="12330"/>
    <cellStyle name="SAPBEXexcBad7 10" xfId="12331"/>
    <cellStyle name="SAPBEXexcBad7 10 2" xfId="12332"/>
    <cellStyle name="SAPBEXexcBad7 11" xfId="12333"/>
    <cellStyle name="SAPBEXexcBad7 11 2" xfId="12334"/>
    <cellStyle name="SAPBEXexcBad7 12" xfId="12335"/>
    <cellStyle name="SAPBEXexcBad7 2" xfId="12336"/>
    <cellStyle name="SAPBEXexcBad7 2 10" xfId="12337"/>
    <cellStyle name="SAPBEXexcBad7 2 10 2" xfId="12338"/>
    <cellStyle name="SAPBEXexcBad7 2 11" xfId="12339"/>
    <cellStyle name="SAPBEXexcBad7 2 2" xfId="12340"/>
    <cellStyle name="SAPBEXexcBad7 2 2 2" xfId="12341"/>
    <cellStyle name="SAPBEXexcBad7 2 3" xfId="12342"/>
    <cellStyle name="SAPBEXexcBad7 2 3 2" xfId="12343"/>
    <cellStyle name="SAPBEXexcBad7 2 4" xfId="12344"/>
    <cellStyle name="SAPBEXexcBad7 2 4 2" xfId="12345"/>
    <cellStyle name="SAPBEXexcBad7 2 5" xfId="12346"/>
    <cellStyle name="SAPBEXexcBad7 2 5 2" xfId="12347"/>
    <cellStyle name="SAPBEXexcBad7 2 6" xfId="12348"/>
    <cellStyle name="SAPBEXexcBad7 2 6 2" xfId="12349"/>
    <cellStyle name="SAPBEXexcBad7 2 7" xfId="12350"/>
    <cellStyle name="SAPBEXexcBad7 2 7 2" xfId="12351"/>
    <cellStyle name="SAPBEXexcBad7 2 8" xfId="12352"/>
    <cellStyle name="SAPBEXexcBad7 2 8 2" xfId="12353"/>
    <cellStyle name="SAPBEXexcBad7 2 9" xfId="12354"/>
    <cellStyle name="SAPBEXexcBad7 2 9 2" xfId="12355"/>
    <cellStyle name="SAPBEXexcBad7 3" xfId="12356"/>
    <cellStyle name="SAPBEXexcBad7 3 2" xfId="12357"/>
    <cellStyle name="SAPBEXexcBad7 4" xfId="12358"/>
    <cellStyle name="SAPBEXexcBad7 4 2" xfId="12359"/>
    <cellStyle name="SAPBEXexcBad7 5" xfId="12360"/>
    <cellStyle name="SAPBEXexcBad7 5 2" xfId="12361"/>
    <cellStyle name="SAPBEXexcBad7 6" xfId="12362"/>
    <cellStyle name="SAPBEXexcBad7 6 2" xfId="12363"/>
    <cellStyle name="SAPBEXexcBad7 7" xfId="12364"/>
    <cellStyle name="SAPBEXexcBad7 7 2" xfId="12365"/>
    <cellStyle name="SAPBEXexcBad7 8" xfId="12366"/>
    <cellStyle name="SAPBEXexcBad7 8 2" xfId="12367"/>
    <cellStyle name="SAPBEXexcBad7 9" xfId="12368"/>
    <cellStyle name="SAPBEXexcBad7 9 2" xfId="12369"/>
    <cellStyle name="SAPBEXexcBad8" xfId="12370"/>
    <cellStyle name="SAPBEXexcBad8 10" xfId="12371"/>
    <cellStyle name="SAPBEXexcBad8 10 2" xfId="12372"/>
    <cellStyle name="SAPBEXexcBad8 11" xfId="12373"/>
    <cellStyle name="SAPBEXexcBad8 2" xfId="12374"/>
    <cellStyle name="SAPBEXexcBad8 2 2" xfId="12375"/>
    <cellStyle name="SAPBEXexcBad8 3" xfId="12376"/>
    <cellStyle name="SAPBEXexcBad8 3 2" xfId="12377"/>
    <cellStyle name="SAPBEXexcBad8 4" xfId="12378"/>
    <cellStyle name="SAPBEXexcBad8 4 2" xfId="12379"/>
    <cellStyle name="SAPBEXexcBad8 5" xfId="12380"/>
    <cellStyle name="SAPBEXexcBad8 5 2" xfId="12381"/>
    <cellStyle name="SAPBEXexcBad8 6" xfId="12382"/>
    <cellStyle name="SAPBEXexcBad8 6 2" xfId="12383"/>
    <cellStyle name="SAPBEXexcBad8 7" xfId="12384"/>
    <cellStyle name="SAPBEXexcBad8 7 2" xfId="12385"/>
    <cellStyle name="SAPBEXexcBad8 8" xfId="12386"/>
    <cellStyle name="SAPBEXexcBad8 8 2" xfId="12387"/>
    <cellStyle name="SAPBEXexcBad8 9" xfId="12388"/>
    <cellStyle name="SAPBEXexcBad8 9 2" xfId="12389"/>
    <cellStyle name="SAPBEXexcBad9" xfId="12390"/>
    <cellStyle name="SAPBEXexcBad9 10" xfId="12391"/>
    <cellStyle name="SAPBEXexcBad9 10 2" xfId="12392"/>
    <cellStyle name="SAPBEXexcBad9 11" xfId="12393"/>
    <cellStyle name="SAPBEXexcBad9 2" xfId="12394"/>
    <cellStyle name="SAPBEXexcBad9 2 2" xfId="12395"/>
    <cellStyle name="SAPBEXexcBad9 3" xfId="12396"/>
    <cellStyle name="SAPBEXexcBad9 3 2" xfId="12397"/>
    <cellStyle name="SAPBEXexcBad9 4" xfId="12398"/>
    <cellStyle name="SAPBEXexcBad9 4 2" xfId="12399"/>
    <cellStyle name="SAPBEXexcBad9 5" xfId="12400"/>
    <cellStyle name="SAPBEXexcBad9 5 2" xfId="12401"/>
    <cellStyle name="SAPBEXexcBad9 6" xfId="12402"/>
    <cellStyle name="SAPBEXexcBad9 6 2" xfId="12403"/>
    <cellStyle name="SAPBEXexcBad9 7" xfId="12404"/>
    <cellStyle name="SAPBEXexcBad9 7 2" xfId="12405"/>
    <cellStyle name="SAPBEXexcBad9 8" xfId="12406"/>
    <cellStyle name="SAPBEXexcBad9 8 2" xfId="12407"/>
    <cellStyle name="SAPBEXexcBad9 9" xfId="12408"/>
    <cellStyle name="SAPBEXexcBad9 9 2" xfId="12409"/>
    <cellStyle name="SAPBEXexcCritical4" xfId="12410"/>
    <cellStyle name="SAPBEXexcCritical4 10" xfId="12411"/>
    <cellStyle name="SAPBEXexcCritical4 10 2" xfId="12412"/>
    <cellStyle name="SAPBEXexcCritical4 11" xfId="12413"/>
    <cellStyle name="SAPBEXexcCritical4 11 2" xfId="12414"/>
    <cellStyle name="SAPBEXexcCritical4 12" xfId="12415"/>
    <cellStyle name="SAPBEXexcCritical4 2" xfId="12416"/>
    <cellStyle name="SAPBEXexcCritical4 2 10" xfId="12417"/>
    <cellStyle name="SAPBEXexcCritical4 2 10 2" xfId="12418"/>
    <cellStyle name="SAPBEXexcCritical4 2 11" xfId="12419"/>
    <cellStyle name="SAPBEXexcCritical4 2 2" xfId="12420"/>
    <cellStyle name="SAPBEXexcCritical4 2 2 2" xfId="12421"/>
    <cellStyle name="SAPBEXexcCritical4 2 3" xfId="12422"/>
    <cellStyle name="SAPBEXexcCritical4 2 3 2" xfId="12423"/>
    <cellStyle name="SAPBEXexcCritical4 2 4" xfId="12424"/>
    <cellStyle name="SAPBEXexcCritical4 2 4 2" xfId="12425"/>
    <cellStyle name="SAPBEXexcCritical4 2 5" xfId="12426"/>
    <cellStyle name="SAPBEXexcCritical4 2 5 2" xfId="12427"/>
    <cellStyle name="SAPBEXexcCritical4 2 6" xfId="12428"/>
    <cellStyle name="SAPBEXexcCritical4 2 6 2" xfId="12429"/>
    <cellStyle name="SAPBEXexcCritical4 2 7" xfId="12430"/>
    <cellStyle name="SAPBEXexcCritical4 2 7 2" xfId="12431"/>
    <cellStyle name="SAPBEXexcCritical4 2 8" xfId="12432"/>
    <cellStyle name="SAPBEXexcCritical4 2 8 2" xfId="12433"/>
    <cellStyle name="SAPBEXexcCritical4 2 9" xfId="12434"/>
    <cellStyle name="SAPBEXexcCritical4 2 9 2" xfId="12435"/>
    <cellStyle name="SAPBEXexcCritical4 3" xfId="12436"/>
    <cellStyle name="SAPBEXexcCritical4 3 2" xfId="12437"/>
    <cellStyle name="SAPBEXexcCritical4 4" xfId="12438"/>
    <cellStyle name="SAPBEXexcCritical4 4 2" xfId="12439"/>
    <cellStyle name="SAPBEXexcCritical4 5" xfId="12440"/>
    <cellStyle name="SAPBEXexcCritical4 5 2" xfId="12441"/>
    <cellStyle name="SAPBEXexcCritical4 6" xfId="12442"/>
    <cellStyle name="SAPBEXexcCritical4 6 2" xfId="12443"/>
    <cellStyle name="SAPBEXexcCritical4 7" xfId="12444"/>
    <cellStyle name="SAPBEXexcCritical4 7 2" xfId="12445"/>
    <cellStyle name="SAPBEXexcCritical4 8" xfId="12446"/>
    <cellStyle name="SAPBEXexcCritical4 8 2" xfId="12447"/>
    <cellStyle name="SAPBEXexcCritical4 9" xfId="12448"/>
    <cellStyle name="SAPBEXexcCritical4 9 2" xfId="12449"/>
    <cellStyle name="SAPBEXexcCritical5" xfId="12450"/>
    <cellStyle name="SAPBEXexcCritical5 10" xfId="12451"/>
    <cellStyle name="SAPBEXexcCritical5 10 2" xfId="12452"/>
    <cellStyle name="SAPBEXexcCritical5 11" xfId="12453"/>
    <cellStyle name="SAPBEXexcCritical5 11 2" xfId="12454"/>
    <cellStyle name="SAPBEXexcCritical5 12" xfId="12455"/>
    <cellStyle name="SAPBEXexcCritical5 2" xfId="12456"/>
    <cellStyle name="SAPBEXexcCritical5 2 10" xfId="12457"/>
    <cellStyle name="SAPBEXexcCritical5 2 10 2" xfId="12458"/>
    <cellStyle name="SAPBEXexcCritical5 2 11" xfId="12459"/>
    <cellStyle name="SAPBEXexcCritical5 2 2" xfId="12460"/>
    <cellStyle name="SAPBEXexcCritical5 2 2 2" xfId="12461"/>
    <cellStyle name="SAPBEXexcCritical5 2 3" xfId="12462"/>
    <cellStyle name="SAPBEXexcCritical5 2 3 2" xfId="12463"/>
    <cellStyle name="SAPBEXexcCritical5 2 4" xfId="12464"/>
    <cellStyle name="SAPBEXexcCritical5 2 4 2" xfId="12465"/>
    <cellStyle name="SAPBEXexcCritical5 2 5" xfId="12466"/>
    <cellStyle name="SAPBEXexcCritical5 2 5 2" xfId="12467"/>
    <cellStyle name="SAPBEXexcCritical5 2 6" xfId="12468"/>
    <cellStyle name="SAPBEXexcCritical5 2 6 2" xfId="12469"/>
    <cellStyle name="SAPBEXexcCritical5 2 7" xfId="12470"/>
    <cellStyle name="SAPBEXexcCritical5 2 7 2" xfId="12471"/>
    <cellStyle name="SAPBEXexcCritical5 2 8" xfId="12472"/>
    <cellStyle name="SAPBEXexcCritical5 2 8 2" xfId="12473"/>
    <cellStyle name="SAPBEXexcCritical5 2 9" xfId="12474"/>
    <cellStyle name="SAPBEXexcCritical5 2 9 2" xfId="12475"/>
    <cellStyle name="SAPBEXexcCritical5 3" xfId="12476"/>
    <cellStyle name="SAPBEXexcCritical5 3 2" xfId="12477"/>
    <cellStyle name="SAPBEXexcCritical5 4" xfId="12478"/>
    <cellStyle name="SAPBEXexcCritical5 4 2" xfId="12479"/>
    <cellStyle name="SAPBEXexcCritical5 5" xfId="12480"/>
    <cellStyle name="SAPBEXexcCritical5 5 2" xfId="12481"/>
    <cellStyle name="SAPBEXexcCritical5 6" xfId="12482"/>
    <cellStyle name="SAPBEXexcCritical5 6 2" xfId="12483"/>
    <cellStyle name="SAPBEXexcCritical5 7" xfId="12484"/>
    <cellStyle name="SAPBEXexcCritical5 7 2" xfId="12485"/>
    <cellStyle name="SAPBEXexcCritical5 8" xfId="12486"/>
    <cellStyle name="SAPBEXexcCritical5 8 2" xfId="12487"/>
    <cellStyle name="SAPBEXexcCritical5 9" xfId="12488"/>
    <cellStyle name="SAPBEXexcCritical5 9 2" xfId="12489"/>
    <cellStyle name="SAPBEXexcCritical6" xfId="12490"/>
    <cellStyle name="SAPBEXexcCritical6 10" xfId="12491"/>
    <cellStyle name="SAPBEXexcCritical6 10 2" xfId="12492"/>
    <cellStyle name="SAPBEXexcCritical6 11" xfId="12493"/>
    <cellStyle name="SAPBEXexcCritical6 11 2" xfId="12494"/>
    <cellStyle name="SAPBEXexcCritical6 12" xfId="12495"/>
    <cellStyle name="SAPBEXexcCritical6 2" xfId="12496"/>
    <cellStyle name="SAPBEXexcCritical6 2 10" xfId="12497"/>
    <cellStyle name="SAPBEXexcCritical6 2 10 2" xfId="12498"/>
    <cellStyle name="SAPBEXexcCritical6 2 11" xfId="12499"/>
    <cellStyle name="SAPBEXexcCritical6 2 2" xfId="12500"/>
    <cellStyle name="SAPBEXexcCritical6 2 2 2" xfId="12501"/>
    <cellStyle name="SAPBEXexcCritical6 2 3" xfId="12502"/>
    <cellStyle name="SAPBEXexcCritical6 2 3 2" xfId="12503"/>
    <cellStyle name="SAPBEXexcCritical6 2 4" xfId="12504"/>
    <cellStyle name="SAPBEXexcCritical6 2 4 2" xfId="12505"/>
    <cellStyle name="SAPBEXexcCritical6 2 5" xfId="12506"/>
    <cellStyle name="SAPBEXexcCritical6 2 5 2" xfId="12507"/>
    <cellStyle name="SAPBEXexcCritical6 2 6" xfId="12508"/>
    <cellStyle name="SAPBEXexcCritical6 2 6 2" xfId="12509"/>
    <cellStyle name="SAPBEXexcCritical6 2 7" xfId="12510"/>
    <cellStyle name="SAPBEXexcCritical6 2 7 2" xfId="12511"/>
    <cellStyle name="SAPBEXexcCritical6 2 8" xfId="12512"/>
    <cellStyle name="SAPBEXexcCritical6 2 8 2" xfId="12513"/>
    <cellStyle name="SAPBEXexcCritical6 2 9" xfId="12514"/>
    <cellStyle name="SAPBEXexcCritical6 2 9 2" xfId="12515"/>
    <cellStyle name="SAPBEXexcCritical6 3" xfId="12516"/>
    <cellStyle name="SAPBEXexcCritical6 3 2" xfId="12517"/>
    <cellStyle name="SAPBEXexcCritical6 4" xfId="12518"/>
    <cellStyle name="SAPBEXexcCritical6 4 2" xfId="12519"/>
    <cellStyle name="SAPBEXexcCritical6 5" xfId="12520"/>
    <cellStyle name="SAPBEXexcCritical6 5 2" xfId="12521"/>
    <cellStyle name="SAPBEXexcCritical6 6" xfId="12522"/>
    <cellStyle name="SAPBEXexcCritical6 6 2" xfId="12523"/>
    <cellStyle name="SAPBEXexcCritical6 7" xfId="12524"/>
    <cellStyle name="SAPBEXexcCritical6 7 2" xfId="12525"/>
    <cellStyle name="SAPBEXexcCritical6 8" xfId="12526"/>
    <cellStyle name="SAPBEXexcCritical6 8 2" xfId="12527"/>
    <cellStyle name="SAPBEXexcCritical6 9" xfId="12528"/>
    <cellStyle name="SAPBEXexcCritical6 9 2" xfId="12529"/>
    <cellStyle name="SAPBEXexcGood1" xfId="12530"/>
    <cellStyle name="SAPBEXexcGood1 10" xfId="12531"/>
    <cellStyle name="SAPBEXexcGood1 10 2" xfId="12532"/>
    <cellStyle name="SAPBEXexcGood1 11" xfId="12533"/>
    <cellStyle name="SAPBEXexcGood1 2" xfId="12534"/>
    <cellStyle name="SAPBEXexcGood1 2 2" xfId="12535"/>
    <cellStyle name="SAPBEXexcGood1 3" xfId="12536"/>
    <cellStyle name="SAPBEXexcGood1 3 2" xfId="12537"/>
    <cellStyle name="SAPBEXexcGood1 4" xfId="12538"/>
    <cellStyle name="SAPBEXexcGood1 4 2" xfId="12539"/>
    <cellStyle name="SAPBEXexcGood1 5" xfId="12540"/>
    <cellStyle name="SAPBEXexcGood1 5 2" xfId="12541"/>
    <cellStyle name="SAPBEXexcGood1 6" xfId="12542"/>
    <cellStyle name="SAPBEXexcGood1 6 2" xfId="12543"/>
    <cellStyle name="SAPBEXexcGood1 7" xfId="12544"/>
    <cellStyle name="SAPBEXexcGood1 7 2" xfId="12545"/>
    <cellStyle name="SAPBEXexcGood1 8" xfId="12546"/>
    <cellStyle name="SAPBEXexcGood1 8 2" xfId="12547"/>
    <cellStyle name="SAPBEXexcGood1 9" xfId="12548"/>
    <cellStyle name="SAPBEXexcGood1 9 2" xfId="12549"/>
    <cellStyle name="SAPBEXexcGood2" xfId="12550"/>
    <cellStyle name="SAPBEXexcGood2 10" xfId="12551"/>
    <cellStyle name="SAPBEXexcGood2 10 2" xfId="12552"/>
    <cellStyle name="SAPBEXexcGood2 11" xfId="12553"/>
    <cellStyle name="SAPBEXexcGood2 2" xfId="12554"/>
    <cellStyle name="SAPBEXexcGood2 2 2" xfId="12555"/>
    <cellStyle name="SAPBEXexcGood2 3" xfId="12556"/>
    <cellStyle name="SAPBEXexcGood2 3 2" xfId="12557"/>
    <cellStyle name="SAPBEXexcGood2 4" xfId="12558"/>
    <cellStyle name="SAPBEXexcGood2 4 2" xfId="12559"/>
    <cellStyle name="SAPBEXexcGood2 5" xfId="12560"/>
    <cellStyle name="SAPBEXexcGood2 5 2" xfId="12561"/>
    <cellStyle name="SAPBEXexcGood2 6" xfId="12562"/>
    <cellStyle name="SAPBEXexcGood2 6 2" xfId="12563"/>
    <cellStyle name="SAPBEXexcGood2 7" xfId="12564"/>
    <cellStyle name="SAPBEXexcGood2 7 2" xfId="12565"/>
    <cellStyle name="SAPBEXexcGood2 8" xfId="12566"/>
    <cellStyle name="SAPBEXexcGood2 8 2" xfId="12567"/>
    <cellStyle name="SAPBEXexcGood2 9" xfId="12568"/>
    <cellStyle name="SAPBEXexcGood2 9 2" xfId="12569"/>
    <cellStyle name="SAPBEXexcGood3" xfId="12570"/>
    <cellStyle name="SAPBEXexcGood3 10" xfId="12571"/>
    <cellStyle name="SAPBEXexcGood3 10 2" xfId="12572"/>
    <cellStyle name="SAPBEXexcGood3 11" xfId="12573"/>
    <cellStyle name="SAPBEXexcGood3 11 2" xfId="12574"/>
    <cellStyle name="SAPBEXexcGood3 12" xfId="12575"/>
    <cellStyle name="SAPBEXexcGood3 2" xfId="12576"/>
    <cellStyle name="SAPBEXexcGood3 2 10" xfId="12577"/>
    <cellStyle name="SAPBEXexcGood3 2 10 2" xfId="12578"/>
    <cellStyle name="SAPBEXexcGood3 2 11" xfId="12579"/>
    <cellStyle name="SAPBEXexcGood3 2 2" xfId="12580"/>
    <cellStyle name="SAPBEXexcGood3 2 2 2" xfId="12581"/>
    <cellStyle name="SAPBEXexcGood3 2 3" xfId="12582"/>
    <cellStyle name="SAPBEXexcGood3 2 3 2" xfId="12583"/>
    <cellStyle name="SAPBEXexcGood3 2 4" xfId="12584"/>
    <cellStyle name="SAPBEXexcGood3 2 4 2" xfId="12585"/>
    <cellStyle name="SAPBEXexcGood3 2 5" xfId="12586"/>
    <cellStyle name="SAPBEXexcGood3 2 5 2" xfId="12587"/>
    <cellStyle name="SAPBEXexcGood3 2 6" xfId="12588"/>
    <cellStyle name="SAPBEXexcGood3 2 6 2" xfId="12589"/>
    <cellStyle name="SAPBEXexcGood3 2 7" xfId="12590"/>
    <cellStyle name="SAPBEXexcGood3 2 7 2" xfId="12591"/>
    <cellStyle name="SAPBEXexcGood3 2 8" xfId="12592"/>
    <cellStyle name="SAPBEXexcGood3 2 8 2" xfId="12593"/>
    <cellStyle name="SAPBEXexcGood3 2 9" xfId="12594"/>
    <cellStyle name="SAPBEXexcGood3 2 9 2" xfId="12595"/>
    <cellStyle name="SAPBEXexcGood3 3" xfId="12596"/>
    <cellStyle name="SAPBEXexcGood3 3 2" xfId="12597"/>
    <cellStyle name="SAPBEXexcGood3 4" xfId="12598"/>
    <cellStyle name="SAPBEXexcGood3 4 2" xfId="12599"/>
    <cellStyle name="SAPBEXexcGood3 5" xfId="12600"/>
    <cellStyle name="SAPBEXexcGood3 5 2" xfId="12601"/>
    <cellStyle name="SAPBEXexcGood3 6" xfId="12602"/>
    <cellStyle name="SAPBEXexcGood3 6 2" xfId="12603"/>
    <cellStyle name="SAPBEXexcGood3 7" xfId="12604"/>
    <cellStyle name="SAPBEXexcGood3 7 2" xfId="12605"/>
    <cellStyle name="SAPBEXexcGood3 8" xfId="12606"/>
    <cellStyle name="SAPBEXexcGood3 8 2" xfId="12607"/>
    <cellStyle name="SAPBEXexcGood3 9" xfId="12608"/>
    <cellStyle name="SAPBEXexcGood3 9 2" xfId="12609"/>
    <cellStyle name="SAPBEXfilterDrill" xfId="12610"/>
    <cellStyle name="SAPBEXfilterDrill 2" xfId="12611"/>
    <cellStyle name="SAPBEXfilterItem" xfId="12612"/>
    <cellStyle name="SAPBEXfilterItem 2" xfId="12613"/>
    <cellStyle name="SAPBEXfilterText" xfId="12614"/>
    <cellStyle name="SAPBEXfilterText 2" xfId="12615"/>
    <cellStyle name="SAPBEXformats" xfId="12616"/>
    <cellStyle name="SAPBEXformats 10" xfId="12617"/>
    <cellStyle name="SAPBEXformats 10 2" xfId="12618"/>
    <cellStyle name="SAPBEXformats 11" xfId="12619"/>
    <cellStyle name="SAPBEXformats 11 2" xfId="12620"/>
    <cellStyle name="SAPBEXformats 12" xfId="12621"/>
    <cellStyle name="SAPBEXformats 2" xfId="12622"/>
    <cellStyle name="SAPBEXformats 2 10" xfId="12623"/>
    <cellStyle name="SAPBEXformats 2 10 2" xfId="12624"/>
    <cellStyle name="SAPBEXformats 2 11" xfId="12625"/>
    <cellStyle name="SAPBEXformats 2 2" xfId="12626"/>
    <cellStyle name="SAPBEXformats 2 2 2" xfId="12627"/>
    <cellStyle name="SAPBEXformats 2 3" xfId="12628"/>
    <cellStyle name="SAPBEXformats 2 3 2" xfId="12629"/>
    <cellStyle name="SAPBEXformats 2 4" xfId="12630"/>
    <cellStyle name="SAPBEXformats 2 4 2" xfId="12631"/>
    <cellStyle name="SAPBEXformats 2 5" xfId="12632"/>
    <cellStyle name="SAPBEXformats 2 5 2" xfId="12633"/>
    <cellStyle name="SAPBEXformats 2 6" xfId="12634"/>
    <cellStyle name="SAPBEXformats 2 6 2" xfId="12635"/>
    <cellStyle name="SAPBEXformats 2 7" xfId="12636"/>
    <cellStyle name="SAPBEXformats 2 7 2" xfId="12637"/>
    <cellStyle name="SAPBEXformats 2 8" xfId="12638"/>
    <cellStyle name="SAPBEXformats 2 8 2" xfId="12639"/>
    <cellStyle name="SAPBEXformats 2 9" xfId="12640"/>
    <cellStyle name="SAPBEXformats 2 9 2" xfId="12641"/>
    <cellStyle name="SAPBEXformats 3" xfId="12642"/>
    <cellStyle name="SAPBEXformats 3 2" xfId="12643"/>
    <cellStyle name="SAPBEXformats 4" xfId="12644"/>
    <cellStyle name="SAPBEXformats 4 2" xfId="12645"/>
    <cellStyle name="SAPBEXformats 5" xfId="12646"/>
    <cellStyle name="SAPBEXformats 5 2" xfId="12647"/>
    <cellStyle name="SAPBEXformats 6" xfId="12648"/>
    <cellStyle name="SAPBEXformats 6 2" xfId="12649"/>
    <cellStyle name="SAPBEXformats 7" xfId="12650"/>
    <cellStyle name="SAPBEXformats 7 2" xfId="12651"/>
    <cellStyle name="SAPBEXformats 8" xfId="12652"/>
    <cellStyle name="SAPBEXformats 8 2" xfId="12653"/>
    <cellStyle name="SAPBEXformats 9" xfId="12654"/>
    <cellStyle name="SAPBEXformats 9 2" xfId="12655"/>
    <cellStyle name="SAPBEXheaderItem" xfId="12656"/>
    <cellStyle name="SAPBEXheaderItem 2" xfId="12657"/>
    <cellStyle name="SAPBEXheaderText" xfId="12658"/>
    <cellStyle name="SAPBEXheaderText 2" xfId="12659"/>
    <cellStyle name="SAPBEXHLevel0" xfId="12660"/>
    <cellStyle name="SAPBEXHLevel0 10" xfId="12661"/>
    <cellStyle name="SAPBEXHLevel0 10 2" xfId="12662"/>
    <cellStyle name="SAPBEXHLevel0 11" xfId="12663"/>
    <cellStyle name="SAPBEXHLevel0 11 2" xfId="12664"/>
    <cellStyle name="SAPBEXHLevel0 12" xfId="12665"/>
    <cellStyle name="SAPBEXHLevel0 2" xfId="12666"/>
    <cellStyle name="SAPBEXHLevel0 2 10" xfId="12667"/>
    <cellStyle name="SAPBEXHLevel0 2 10 2" xfId="12668"/>
    <cellStyle name="SAPBEXHLevel0 2 11" xfId="12669"/>
    <cellStyle name="SAPBEXHLevel0 2 2" xfId="12670"/>
    <cellStyle name="SAPBEXHLevel0 2 2 2" xfId="12671"/>
    <cellStyle name="SAPBEXHLevel0 2 3" xfId="12672"/>
    <cellStyle name="SAPBEXHLevel0 2 3 2" xfId="12673"/>
    <cellStyle name="SAPBEXHLevel0 2 4" xfId="12674"/>
    <cellStyle name="SAPBEXHLevel0 2 4 2" xfId="12675"/>
    <cellStyle name="SAPBEXHLevel0 2 5" xfId="12676"/>
    <cellStyle name="SAPBEXHLevel0 2 5 2" xfId="12677"/>
    <cellStyle name="SAPBEXHLevel0 2 6" xfId="12678"/>
    <cellStyle name="SAPBEXHLevel0 2 6 2" xfId="12679"/>
    <cellStyle name="SAPBEXHLevel0 2 7" xfId="12680"/>
    <cellStyle name="SAPBEXHLevel0 2 7 2" xfId="12681"/>
    <cellStyle name="SAPBEXHLevel0 2 8" xfId="12682"/>
    <cellStyle name="SAPBEXHLevel0 2 8 2" xfId="12683"/>
    <cellStyle name="SAPBEXHLevel0 2 9" xfId="12684"/>
    <cellStyle name="SAPBEXHLevel0 2 9 2" xfId="12685"/>
    <cellStyle name="SAPBEXHLevel0 3" xfId="12686"/>
    <cellStyle name="SAPBEXHLevel0 3 2" xfId="12687"/>
    <cellStyle name="SAPBEXHLevel0 4" xfId="12688"/>
    <cellStyle name="SAPBEXHLevel0 4 2" xfId="12689"/>
    <cellStyle name="SAPBEXHLevel0 5" xfId="12690"/>
    <cellStyle name="SAPBEXHLevel0 5 2" xfId="12691"/>
    <cellStyle name="SAPBEXHLevel0 6" xfId="12692"/>
    <cellStyle name="SAPBEXHLevel0 6 2" xfId="12693"/>
    <cellStyle name="SAPBEXHLevel0 7" xfId="12694"/>
    <cellStyle name="SAPBEXHLevel0 7 2" xfId="12695"/>
    <cellStyle name="SAPBEXHLevel0 8" xfId="12696"/>
    <cellStyle name="SAPBEXHLevel0 8 2" xfId="12697"/>
    <cellStyle name="SAPBEXHLevel0 9" xfId="12698"/>
    <cellStyle name="SAPBEXHLevel0 9 2" xfId="12699"/>
    <cellStyle name="SAPBEXHLevel0X" xfId="12700"/>
    <cellStyle name="SAPBEXHLevel0X 10" xfId="12701"/>
    <cellStyle name="SAPBEXHLevel0X 10 2" xfId="12702"/>
    <cellStyle name="SAPBEXHLevel0X 11" xfId="12703"/>
    <cellStyle name="SAPBEXHLevel0X 11 2" xfId="12704"/>
    <cellStyle name="SAPBEXHLevel0X 12" xfId="12705"/>
    <cellStyle name="SAPBEXHLevel0X 2" xfId="12706"/>
    <cellStyle name="SAPBEXHLevel0X 2 10" xfId="12707"/>
    <cellStyle name="SAPBEXHLevel0X 2 10 2" xfId="12708"/>
    <cellStyle name="SAPBEXHLevel0X 2 11" xfId="12709"/>
    <cellStyle name="SAPBEXHLevel0X 2 2" xfId="12710"/>
    <cellStyle name="SAPBEXHLevel0X 2 2 2" xfId="12711"/>
    <cellStyle name="SAPBEXHLevel0X 2 3" xfId="12712"/>
    <cellStyle name="SAPBEXHLevel0X 2 3 2" xfId="12713"/>
    <cellStyle name="SAPBEXHLevel0X 2 4" xfId="12714"/>
    <cellStyle name="SAPBEXHLevel0X 2 4 2" xfId="12715"/>
    <cellStyle name="SAPBEXHLevel0X 2 5" xfId="12716"/>
    <cellStyle name="SAPBEXHLevel0X 2 5 2" xfId="12717"/>
    <cellStyle name="SAPBEXHLevel0X 2 6" xfId="12718"/>
    <cellStyle name="SAPBEXHLevel0X 2 6 2" xfId="12719"/>
    <cellStyle name="SAPBEXHLevel0X 2 7" xfId="12720"/>
    <cellStyle name="SAPBEXHLevel0X 2 7 2" xfId="12721"/>
    <cellStyle name="SAPBEXHLevel0X 2 8" xfId="12722"/>
    <cellStyle name="SAPBEXHLevel0X 2 8 2" xfId="12723"/>
    <cellStyle name="SAPBEXHLevel0X 2 9" xfId="12724"/>
    <cellStyle name="SAPBEXHLevel0X 2 9 2" xfId="12725"/>
    <cellStyle name="SAPBEXHLevel0X 3" xfId="12726"/>
    <cellStyle name="SAPBEXHLevel0X 3 2" xfId="12727"/>
    <cellStyle name="SAPBEXHLevel0X 4" xfId="12728"/>
    <cellStyle name="SAPBEXHLevel0X 4 2" xfId="12729"/>
    <cellStyle name="SAPBEXHLevel0X 5" xfId="12730"/>
    <cellStyle name="SAPBEXHLevel0X 5 2" xfId="12731"/>
    <cellStyle name="SAPBEXHLevel0X 6" xfId="12732"/>
    <cellStyle name="SAPBEXHLevel0X 6 2" xfId="12733"/>
    <cellStyle name="SAPBEXHLevel0X 7" xfId="12734"/>
    <cellStyle name="SAPBEXHLevel0X 7 2" xfId="12735"/>
    <cellStyle name="SAPBEXHLevel0X 8" xfId="12736"/>
    <cellStyle name="SAPBEXHLevel0X 8 2" xfId="12737"/>
    <cellStyle name="SAPBEXHLevel0X 9" xfId="12738"/>
    <cellStyle name="SAPBEXHLevel0X 9 2" xfId="12739"/>
    <cellStyle name="SAPBEXHLevel1" xfId="12740"/>
    <cellStyle name="SAPBEXHLevel1 10" xfId="12741"/>
    <cellStyle name="SAPBEXHLevel1 10 2" xfId="12742"/>
    <cellStyle name="SAPBEXHLevel1 11" xfId="12743"/>
    <cellStyle name="SAPBEXHLevel1 11 2" xfId="12744"/>
    <cellStyle name="SAPBEXHLevel1 12" xfId="12745"/>
    <cellStyle name="SAPBEXHLevel1 2" xfId="12746"/>
    <cellStyle name="SAPBEXHLevel1 2 10" xfId="12747"/>
    <cellStyle name="SAPBEXHLevel1 2 10 2" xfId="12748"/>
    <cellStyle name="SAPBEXHLevel1 2 11" xfId="12749"/>
    <cellStyle name="SAPBEXHLevel1 2 2" xfId="12750"/>
    <cellStyle name="SAPBEXHLevel1 2 2 2" xfId="12751"/>
    <cellStyle name="SAPBEXHLevel1 2 3" xfId="12752"/>
    <cellStyle name="SAPBEXHLevel1 2 3 2" xfId="12753"/>
    <cellStyle name="SAPBEXHLevel1 2 4" xfId="12754"/>
    <cellStyle name="SAPBEXHLevel1 2 4 2" xfId="12755"/>
    <cellStyle name="SAPBEXHLevel1 2 5" xfId="12756"/>
    <cellStyle name="SAPBEXHLevel1 2 5 2" xfId="12757"/>
    <cellStyle name="SAPBEXHLevel1 2 6" xfId="12758"/>
    <cellStyle name="SAPBEXHLevel1 2 6 2" xfId="12759"/>
    <cellStyle name="SAPBEXHLevel1 2 7" xfId="12760"/>
    <cellStyle name="SAPBEXHLevel1 2 7 2" xfId="12761"/>
    <cellStyle name="SAPBEXHLevel1 2 8" xfId="12762"/>
    <cellStyle name="SAPBEXHLevel1 2 8 2" xfId="12763"/>
    <cellStyle name="SAPBEXHLevel1 2 9" xfId="12764"/>
    <cellStyle name="SAPBEXHLevel1 2 9 2" xfId="12765"/>
    <cellStyle name="SAPBEXHLevel1 3" xfId="12766"/>
    <cellStyle name="SAPBEXHLevel1 3 2" xfId="12767"/>
    <cellStyle name="SAPBEXHLevel1 4" xfId="12768"/>
    <cellStyle name="SAPBEXHLevel1 4 2" xfId="12769"/>
    <cellStyle name="SAPBEXHLevel1 5" xfId="12770"/>
    <cellStyle name="SAPBEXHLevel1 5 2" xfId="12771"/>
    <cellStyle name="SAPBEXHLevel1 6" xfId="12772"/>
    <cellStyle name="SAPBEXHLevel1 6 2" xfId="12773"/>
    <cellStyle name="SAPBEXHLevel1 7" xfId="12774"/>
    <cellStyle name="SAPBEXHLevel1 7 2" xfId="12775"/>
    <cellStyle name="SAPBEXHLevel1 8" xfId="12776"/>
    <cellStyle name="SAPBEXHLevel1 8 2" xfId="12777"/>
    <cellStyle name="SAPBEXHLevel1 9" xfId="12778"/>
    <cellStyle name="SAPBEXHLevel1 9 2" xfId="12779"/>
    <cellStyle name="SAPBEXHLevel1X" xfId="12780"/>
    <cellStyle name="SAPBEXHLevel1X 10" xfId="12781"/>
    <cellStyle name="SAPBEXHLevel1X 10 2" xfId="12782"/>
    <cellStyle name="SAPBEXHLevel1X 11" xfId="12783"/>
    <cellStyle name="SAPBEXHLevel1X 11 2" xfId="12784"/>
    <cellStyle name="SAPBEXHLevel1X 12" xfId="12785"/>
    <cellStyle name="SAPBEXHLevel1X 2" xfId="12786"/>
    <cellStyle name="SAPBEXHLevel1X 2 10" xfId="12787"/>
    <cellStyle name="SAPBEXHLevel1X 2 10 2" xfId="12788"/>
    <cellStyle name="SAPBEXHLevel1X 2 11" xfId="12789"/>
    <cellStyle name="SAPBEXHLevel1X 2 2" xfId="12790"/>
    <cellStyle name="SAPBEXHLevel1X 2 2 2" xfId="12791"/>
    <cellStyle name="SAPBEXHLevel1X 2 3" xfId="12792"/>
    <cellStyle name="SAPBEXHLevel1X 2 3 2" xfId="12793"/>
    <cellStyle name="SAPBEXHLevel1X 2 4" xfId="12794"/>
    <cellStyle name="SAPBEXHLevel1X 2 4 2" xfId="12795"/>
    <cellStyle name="SAPBEXHLevel1X 2 5" xfId="12796"/>
    <cellStyle name="SAPBEXHLevel1X 2 5 2" xfId="12797"/>
    <cellStyle name="SAPBEXHLevel1X 2 6" xfId="12798"/>
    <cellStyle name="SAPBEXHLevel1X 2 6 2" xfId="12799"/>
    <cellStyle name="SAPBEXHLevel1X 2 7" xfId="12800"/>
    <cellStyle name="SAPBEXHLevel1X 2 7 2" xfId="12801"/>
    <cellStyle name="SAPBEXHLevel1X 2 8" xfId="12802"/>
    <cellStyle name="SAPBEXHLevel1X 2 8 2" xfId="12803"/>
    <cellStyle name="SAPBEXHLevel1X 2 9" xfId="12804"/>
    <cellStyle name="SAPBEXHLevel1X 2 9 2" xfId="12805"/>
    <cellStyle name="SAPBEXHLevel1X 3" xfId="12806"/>
    <cellStyle name="SAPBEXHLevel1X 3 2" xfId="12807"/>
    <cellStyle name="SAPBEXHLevel1X 4" xfId="12808"/>
    <cellStyle name="SAPBEXHLevel1X 4 2" xfId="12809"/>
    <cellStyle name="SAPBEXHLevel1X 5" xfId="12810"/>
    <cellStyle name="SAPBEXHLevel1X 5 2" xfId="12811"/>
    <cellStyle name="SAPBEXHLevel1X 6" xfId="12812"/>
    <cellStyle name="SAPBEXHLevel1X 6 2" xfId="12813"/>
    <cellStyle name="SAPBEXHLevel1X 7" xfId="12814"/>
    <cellStyle name="SAPBEXHLevel1X 7 2" xfId="12815"/>
    <cellStyle name="SAPBEXHLevel1X 8" xfId="12816"/>
    <cellStyle name="SAPBEXHLevel1X 8 2" xfId="12817"/>
    <cellStyle name="SAPBEXHLevel1X 9" xfId="12818"/>
    <cellStyle name="SAPBEXHLevel1X 9 2" xfId="12819"/>
    <cellStyle name="SAPBEXHLevel2" xfId="12820"/>
    <cellStyle name="SAPBEXHLevel2 10" xfId="12821"/>
    <cellStyle name="SAPBEXHLevel2 10 2" xfId="12822"/>
    <cellStyle name="SAPBEXHLevel2 11" xfId="12823"/>
    <cellStyle name="SAPBEXHLevel2 11 2" xfId="12824"/>
    <cellStyle name="SAPBEXHLevel2 12" xfId="12825"/>
    <cellStyle name="SAPBEXHLevel2 2" xfId="12826"/>
    <cellStyle name="SAPBEXHLevel2 2 10" xfId="12827"/>
    <cellStyle name="SAPBEXHLevel2 2 10 2" xfId="12828"/>
    <cellStyle name="SAPBEXHLevel2 2 11" xfId="12829"/>
    <cellStyle name="SAPBEXHLevel2 2 2" xfId="12830"/>
    <cellStyle name="SAPBEXHLevel2 2 2 2" xfId="12831"/>
    <cellStyle name="SAPBEXHLevel2 2 3" xfId="12832"/>
    <cellStyle name="SAPBEXHLevel2 2 3 2" xfId="12833"/>
    <cellStyle name="SAPBEXHLevel2 2 4" xfId="12834"/>
    <cellStyle name="SAPBEXHLevel2 2 4 2" xfId="12835"/>
    <cellStyle name="SAPBEXHLevel2 2 5" xfId="12836"/>
    <cellStyle name="SAPBEXHLevel2 2 5 2" xfId="12837"/>
    <cellStyle name="SAPBEXHLevel2 2 6" xfId="12838"/>
    <cellStyle name="SAPBEXHLevel2 2 6 2" xfId="12839"/>
    <cellStyle name="SAPBEXHLevel2 2 7" xfId="12840"/>
    <cellStyle name="SAPBEXHLevel2 2 7 2" xfId="12841"/>
    <cellStyle name="SAPBEXHLevel2 2 8" xfId="12842"/>
    <cellStyle name="SAPBEXHLevel2 2 8 2" xfId="12843"/>
    <cellStyle name="SAPBEXHLevel2 2 9" xfId="12844"/>
    <cellStyle name="SAPBEXHLevel2 2 9 2" xfId="12845"/>
    <cellStyle name="SAPBEXHLevel2 3" xfId="12846"/>
    <cellStyle name="SAPBEXHLevel2 3 2" xfId="12847"/>
    <cellStyle name="SAPBEXHLevel2 4" xfId="12848"/>
    <cellStyle name="SAPBEXHLevel2 4 2" xfId="12849"/>
    <cellStyle name="SAPBEXHLevel2 5" xfId="12850"/>
    <cellStyle name="SAPBEXHLevel2 5 2" xfId="12851"/>
    <cellStyle name="SAPBEXHLevel2 6" xfId="12852"/>
    <cellStyle name="SAPBEXHLevel2 6 2" xfId="12853"/>
    <cellStyle name="SAPBEXHLevel2 7" xfId="12854"/>
    <cellStyle name="SAPBEXHLevel2 7 2" xfId="12855"/>
    <cellStyle name="SAPBEXHLevel2 8" xfId="12856"/>
    <cellStyle name="SAPBEXHLevel2 8 2" xfId="12857"/>
    <cellStyle name="SAPBEXHLevel2 9" xfId="12858"/>
    <cellStyle name="SAPBEXHLevel2 9 2" xfId="12859"/>
    <cellStyle name="SAPBEXHLevel2X" xfId="12860"/>
    <cellStyle name="SAPBEXHLevel2X 10" xfId="12861"/>
    <cellStyle name="SAPBEXHLevel2X 10 2" xfId="12862"/>
    <cellStyle name="SAPBEXHLevel2X 11" xfId="12863"/>
    <cellStyle name="SAPBEXHLevel2X 11 2" xfId="12864"/>
    <cellStyle name="SAPBEXHLevel2X 12" xfId="12865"/>
    <cellStyle name="SAPBEXHLevel2X 2" xfId="12866"/>
    <cellStyle name="SAPBEXHLevel2X 2 10" xfId="12867"/>
    <cellStyle name="SAPBEXHLevel2X 2 10 2" xfId="12868"/>
    <cellStyle name="SAPBEXHLevel2X 2 11" xfId="12869"/>
    <cellStyle name="SAPBEXHLevel2X 2 2" xfId="12870"/>
    <cellStyle name="SAPBEXHLevel2X 2 2 2" xfId="12871"/>
    <cellStyle name="SAPBEXHLevel2X 2 3" xfId="12872"/>
    <cellStyle name="SAPBEXHLevel2X 2 3 2" xfId="12873"/>
    <cellStyle name="SAPBEXHLevel2X 2 4" xfId="12874"/>
    <cellStyle name="SAPBEXHLevel2X 2 4 2" xfId="12875"/>
    <cellStyle name="SAPBEXHLevel2X 2 5" xfId="12876"/>
    <cellStyle name="SAPBEXHLevel2X 2 5 2" xfId="12877"/>
    <cellStyle name="SAPBEXHLevel2X 2 6" xfId="12878"/>
    <cellStyle name="SAPBEXHLevel2X 2 6 2" xfId="12879"/>
    <cellStyle name="SAPBEXHLevel2X 2 7" xfId="12880"/>
    <cellStyle name="SAPBEXHLevel2X 2 7 2" xfId="12881"/>
    <cellStyle name="SAPBEXHLevel2X 2 8" xfId="12882"/>
    <cellStyle name="SAPBEXHLevel2X 2 8 2" xfId="12883"/>
    <cellStyle name="SAPBEXHLevel2X 2 9" xfId="12884"/>
    <cellStyle name="SAPBEXHLevel2X 2 9 2" xfId="12885"/>
    <cellStyle name="SAPBEXHLevel2X 3" xfId="12886"/>
    <cellStyle name="SAPBEXHLevel2X 3 2" xfId="12887"/>
    <cellStyle name="SAPBEXHLevel2X 4" xfId="12888"/>
    <cellStyle name="SAPBEXHLevel2X 4 2" xfId="12889"/>
    <cellStyle name="SAPBEXHLevel2X 5" xfId="12890"/>
    <cellStyle name="SAPBEXHLevel2X 5 2" xfId="12891"/>
    <cellStyle name="SAPBEXHLevel2X 6" xfId="12892"/>
    <cellStyle name="SAPBEXHLevel2X 6 2" xfId="12893"/>
    <cellStyle name="SAPBEXHLevel2X 7" xfId="12894"/>
    <cellStyle name="SAPBEXHLevel2X 7 2" xfId="12895"/>
    <cellStyle name="SAPBEXHLevel2X 8" xfId="12896"/>
    <cellStyle name="SAPBEXHLevel2X 8 2" xfId="12897"/>
    <cellStyle name="SAPBEXHLevel2X 9" xfId="12898"/>
    <cellStyle name="SAPBEXHLevel2X 9 2" xfId="12899"/>
    <cellStyle name="SAPBEXHLevel3" xfId="12900"/>
    <cellStyle name="SAPBEXHLevel3 10" xfId="12901"/>
    <cellStyle name="SAPBEXHLevel3 10 2" xfId="12902"/>
    <cellStyle name="SAPBEXHLevel3 11" xfId="12903"/>
    <cellStyle name="SAPBEXHLevel3 11 2" xfId="12904"/>
    <cellStyle name="SAPBEXHLevel3 12" xfId="12905"/>
    <cellStyle name="SAPBEXHLevel3 2" xfId="12906"/>
    <cellStyle name="SAPBEXHLevel3 2 10" xfId="12907"/>
    <cellStyle name="SAPBEXHLevel3 2 10 2" xfId="12908"/>
    <cellStyle name="SAPBEXHLevel3 2 11" xfId="12909"/>
    <cellStyle name="SAPBEXHLevel3 2 2" xfId="12910"/>
    <cellStyle name="SAPBEXHLevel3 2 2 2" xfId="12911"/>
    <cellStyle name="SAPBEXHLevel3 2 3" xfId="12912"/>
    <cellStyle name="SAPBEXHLevel3 2 3 2" xfId="12913"/>
    <cellStyle name="SAPBEXHLevel3 2 4" xfId="12914"/>
    <cellStyle name="SAPBEXHLevel3 2 4 2" xfId="12915"/>
    <cellStyle name="SAPBEXHLevel3 2 5" xfId="12916"/>
    <cellStyle name="SAPBEXHLevel3 2 5 2" xfId="12917"/>
    <cellStyle name="SAPBEXHLevel3 2 6" xfId="12918"/>
    <cellStyle name="SAPBEXHLevel3 2 6 2" xfId="12919"/>
    <cellStyle name="SAPBEXHLevel3 2 7" xfId="12920"/>
    <cellStyle name="SAPBEXHLevel3 2 7 2" xfId="12921"/>
    <cellStyle name="SAPBEXHLevel3 2 8" xfId="12922"/>
    <cellStyle name="SAPBEXHLevel3 2 8 2" xfId="12923"/>
    <cellStyle name="SAPBEXHLevel3 2 9" xfId="12924"/>
    <cellStyle name="SAPBEXHLevel3 2 9 2" xfId="12925"/>
    <cellStyle name="SAPBEXHLevel3 3" xfId="12926"/>
    <cellStyle name="SAPBEXHLevel3 3 2" xfId="12927"/>
    <cellStyle name="SAPBEXHLevel3 4" xfId="12928"/>
    <cellStyle name="SAPBEXHLevel3 4 2" xfId="12929"/>
    <cellStyle name="SAPBEXHLevel3 5" xfId="12930"/>
    <cellStyle name="SAPBEXHLevel3 5 2" xfId="12931"/>
    <cellStyle name="SAPBEXHLevel3 6" xfId="12932"/>
    <cellStyle name="SAPBEXHLevel3 6 2" xfId="12933"/>
    <cellStyle name="SAPBEXHLevel3 7" xfId="12934"/>
    <cellStyle name="SAPBEXHLevel3 7 2" xfId="12935"/>
    <cellStyle name="SAPBEXHLevel3 8" xfId="12936"/>
    <cellStyle name="SAPBEXHLevel3 8 2" xfId="12937"/>
    <cellStyle name="SAPBEXHLevel3 9" xfId="12938"/>
    <cellStyle name="SAPBEXHLevel3 9 2" xfId="12939"/>
    <cellStyle name="SAPBEXHLevel3X" xfId="12940"/>
    <cellStyle name="SAPBEXHLevel3X 10" xfId="12941"/>
    <cellStyle name="SAPBEXHLevel3X 10 2" xfId="12942"/>
    <cellStyle name="SAPBEXHLevel3X 11" xfId="12943"/>
    <cellStyle name="SAPBEXHLevel3X 11 2" xfId="12944"/>
    <cellStyle name="SAPBEXHLevel3X 12" xfId="12945"/>
    <cellStyle name="SAPBEXHLevel3X 2" xfId="12946"/>
    <cellStyle name="SAPBEXHLevel3X 2 10" xfId="12947"/>
    <cellStyle name="SAPBEXHLevel3X 2 10 2" xfId="12948"/>
    <cellStyle name="SAPBEXHLevel3X 2 11" xfId="12949"/>
    <cellStyle name="SAPBEXHLevel3X 2 2" xfId="12950"/>
    <cellStyle name="SAPBEXHLevel3X 2 2 2" xfId="12951"/>
    <cellStyle name="SAPBEXHLevel3X 2 3" xfId="12952"/>
    <cellStyle name="SAPBEXHLevel3X 2 3 2" xfId="12953"/>
    <cellStyle name="SAPBEXHLevel3X 2 4" xfId="12954"/>
    <cellStyle name="SAPBEXHLevel3X 2 4 2" xfId="12955"/>
    <cellStyle name="SAPBEXHLevel3X 2 5" xfId="12956"/>
    <cellStyle name="SAPBEXHLevel3X 2 5 2" xfId="12957"/>
    <cellStyle name="SAPBEXHLevel3X 2 6" xfId="12958"/>
    <cellStyle name="SAPBEXHLevel3X 2 6 2" xfId="12959"/>
    <cellStyle name="SAPBEXHLevel3X 2 7" xfId="12960"/>
    <cellStyle name="SAPBEXHLevel3X 2 7 2" xfId="12961"/>
    <cellStyle name="SAPBEXHLevel3X 2 8" xfId="12962"/>
    <cellStyle name="SAPBEXHLevel3X 2 8 2" xfId="12963"/>
    <cellStyle name="SAPBEXHLevel3X 2 9" xfId="12964"/>
    <cellStyle name="SAPBEXHLevel3X 2 9 2" xfId="12965"/>
    <cellStyle name="SAPBEXHLevel3X 3" xfId="12966"/>
    <cellStyle name="SAPBEXHLevel3X 3 2" xfId="12967"/>
    <cellStyle name="SAPBEXHLevel3X 4" xfId="12968"/>
    <cellStyle name="SAPBEXHLevel3X 4 2" xfId="12969"/>
    <cellStyle name="SAPBEXHLevel3X 5" xfId="12970"/>
    <cellStyle name="SAPBEXHLevel3X 5 2" xfId="12971"/>
    <cellStyle name="SAPBEXHLevel3X 6" xfId="12972"/>
    <cellStyle name="SAPBEXHLevel3X 6 2" xfId="12973"/>
    <cellStyle name="SAPBEXHLevel3X 7" xfId="12974"/>
    <cellStyle name="SAPBEXHLevel3X 7 2" xfId="12975"/>
    <cellStyle name="SAPBEXHLevel3X 8" xfId="12976"/>
    <cellStyle name="SAPBEXHLevel3X 8 2" xfId="12977"/>
    <cellStyle name="SAPBEXHLevel3X 9" xfId="12978"/>
    <cellStyle name="SAPBEXHLevel3X 9 2" xfId="12979"/>
    <cellStyle name="SAPBEXresData" xfId="12980"/>
    <cellStyle name="SAPBEXresData 10" xfId="12981"/>
    <cellStyle name="SAPBEXresData 10 2" xfId="12982"/>
    <cellStyle name="SAPBEXresData 11" xfId="12983"/>
    <cellStyle name="SAPBEXresData 2" xfId="12984"/>
    <cellStyle name="SAPBEXresData 2 2" xfId="12985"/>
    <cellStyle name="SAPBEXresData 3" xfId="12986"/>
    <cellStyle name="SAPBEXresData 3 2" xfId="12987"/>
    <cellStyle name="SAPBEXresData 4" xfId="12988"/>
    <cellStyle name="SAPBEXresData 4 2" xfId="12989"/>
    <cellStyle name="SAPBEXresData 5" xfId="12990"/>
    <cellStyle name="SAPBEXresData 5 2" xfId="12991"/>
    <cellStyle name="SAPBEXresData 6" xfId="12992"/>
    <cellStyle name="SAPBEXresData 6 2" xfId="12993"/>
    <cellStyle name="SAPBEXresData 7" xfId="12994"/>
    <cellStyle name="SAPBEXresData 7 2" xfId="12995"/>
    <cellStyle name="SAPBEXresData 8" xfId="12996"/>
    <cellStyle name="SAPBEXresData 8 2" xfId="12997"/>
    <cellStyle name="SAPBEXresData 9" xfId="12998"/>
    <cellStyle name="SAPBEXresData 9 2" xfId="12999"/>
    <cellStyle name="SAPBEXresDataEmph" xfId="13000"/>
    <cellStyle name="SAPBEXresDataEmph 10" xfId="13001"/>
    <cellStyle name="SAPBEXresDataEmph 10 2" xfId="13002"/>
    <cellStyle name="SAPBEXresDataEmph 11" xfId="13003"/>
    <cellStyle name="SAPBEXresDataEmph 2" xfId="13004"/>
    <cellStyle name="SAPBEXresDataEmph 2 2" xfId="13005"/>
    <cellStyle name="SAPBEXresDataEmph 3" xfId="13006"/>
    <cellStyle name="SAPBEXresDataEmph 3 2" xfId="13007"/>
    <cellStyle name="SAPBEXresDataEmph 4" xfId="13008"/>
    <cellStyle name="SAPBEXresDataEmph 4 2" xfId="13009"/>
    <cellStyle name="SAPBEXresDataEmph 5" xfId="13010"/>
    <cellStyle name="SAPBEXresDataEmph 5 2" xfId="13011"/>
    <cellStyle name="SAPBEXresDataEmph 6" xfId="13012"/>
    <cellStyle name="SAPBEXresDataEmph 6 2" xfId="13013"/>
    <cellStyle name="SAPBEXresDataEmph 7" xfId="13014"/>
    <cellStyle name="SAPBEXresDataEmph 7 2" xfId="13015"/>
    <cellStyle name="SAPBEXresDataEmph 8" xfId="13016"/>
    <cellStyle name="SAPBEXresDataEmph 8 2" xfId="13017"/>
    <cellStyle name="SAPBEXresDataEmph 9" xfId="13018"/>
    <cellStyle name="SAPBEXresDataEmph 9 2" xfId="13019"/>
    <cellStyle name="SAPBEXresItem" xfId="13020"/>
    <cellStyle name="SAPBEXresItem 10" xfId="13021"/>
    <cellStyle name="SAPBEXresItem 10 2" xfId="13022"/>
    <cellStyle name="SAPBEXresItem 11" xfId="13023"/>
    <cellStyle name="SAPBEXresItem 11 2" xfId="13024"/>
    <cellStyle name="SAPBEXresItem 12" xfId="13025"/>
    <cellStyle name="SAPBEXresItem 2" xfId="13026"/>
    <cellStyle name="SAPBEXresItem 2 10" xfId="13027"/>
    <cellStyle name="SAPBEXresItem 2 10 2" xfId="13028"/>
    <cellStyle name="SAPBEXresItem 2 11" xfId="13029"/>
    <cellStyle name="SAPBEXresItem 2 2" xfId="13030"/>
    <cellStyle name="SAPBEXresItem 2 2 2" xfId="13031"/>
    <cellStyle name="SAPBEXresItem 2 3" xfId="13032"/>
    <cellStyle name="SAPBEXresItem 2 3 2" xfId="13033"/>
    <cellStyle name="SAPBEXresItem 2 4" xfId="13034"/>
    <cellStyle name="SAPBEXresItem 2 4 2" xfId="13035"/>
    <cellStyle name="SAPBEXresItem 2 5" xfId="13036"/>
    <cellStyle name="SAPBEXresItem 2 5 2" xfId="13037"/>
    <cellStyle name="SAPBEXresItem 2 6" xfId="13038"/>
    <cellStyle name="SAPBEXresItem 2 6 2" xfId="13039"/>
    <cellStyle name="SAPBEXresItem 2 7" xfId="13040"/>
    <cellStyle name="SAPBEXresItem 2 7 2" xfId="13041"/>
    <cellStyle name="SAPBEXresItem 2 8" xfId="13042"/>
    <cellStyle name="SAPBEXresItem 2 8 2" xfId="13043"/>
    <cellStyle name="SAPBEXresItem 2 9" xfId="13044"/>
    <cellStyle name="SAPBEXresItem 2 9 2" xfId="13045"/>
    <cellStyle name="SAPBEXresItem 3" xfId="13046"/>
    <cellStyle name="SAPBEXresItem 3 2" xfId="13047"/>
    <cellStyle name="SAPBEXresItem 4" xfId="13048"/>
    <cellStyle name="SAPBEXresItem 4 2" xfId="13049"/>
    <cellStyle name="SAPBEXresItem 5" xfId="13050"/>
    <cellStyle name="SAPBEXresItem 5 2" xfId="13051"/>
    <cellStyle name="SAPBEXresItem 6" xfId="13052"/>
    <cellStyle name="SAPBEXresItem 6 2" xfId="13053"/>
    <cellStyle name="SAPBEXresItem 7" xfId="13054"/>
    <cellStyle name="SAPBEXresItem 7 2" xfId="13055"/>
    <cellStyle name="SAPBEXresItem 8" xfId="13056"/>
    <cellStyle name="SAPBEXresItem 8 2" xfId="13057"/>
    <cellStyle name="SAPBEXresItem 9" xfId="13058"/>
    <cellStyle name="SAPBEXresItem 9 2" xfId="13059"/>
    <cellStyle name="SAPBEXresItemX" xfId="13060"/>
    <cellStyle name="SAPBEXresItemX 10" xfId="13061"/>
    <cellStyle name="SAPBEXresItemX 10 2" xfId="13062"/>
    <cellStyle name="SAPBEXresItemX 11" xfId="13063"/>
    <cellStyle name="SAPBEXresItemX 11 2" xfId="13064"/>
    <cellStyle name="SAPBEXresItemX 12" xfId="13065"/>
    <cellStyle name="SAPBEXresItemX 2" xfId="13066"/>
    <cellStyle name="SAPBEXresItemX 2 10" xfId="13067"/>
    <cellStyle name="SAPBEXresItemX 2 10 2" xfId="13068"/>
    <cellStyle name="SAPBEXresItemX 2 11" xfId="13069"/>
    <cellStyle name="SAPBEXresItemX 2 2" xfId="13070"/>
    <cellStyle name="SAPBEXresItemX 2 2 2" xfId="13071"/>
    <cellStyle name="SAPBEXresItemX 2 3" xfId="13072"/>
    <cellStyle name="SAPBEXresItemX 2 3 2" xfId="13073"/>
    <cellStyle name="SAPBEXresItemX 2 4" xfId="13074"/>
    <cellStyle name="SAPBEXresItemX 2 4 2" xfId="13075"/>
    <cellStyle name="SAPBEXresItemX 2 5" xfId="13076"/>
    <cellStyle name="SAPBEXresItemX 2 5 2" xfId="13077"/>
    <cellStyle name="SAPBEXresItemX 2 6" xfId="13078"/>
    <cellStyle name="SAPBEXresItemX 2 6 2" xfId="13079"/>
    <cellStyle name="SAPBEXresItemX 2 7" xfId="13080"/>
    <cellStyle name="SAPBEXresItemX 2 7 2" xfId="13081"/>
    <cellStyle name="SAPBEXresItemX 2 8" xfId="13082"/>
    <cellStyle name="SAPBEXresItemX 2 8 2" xfId="13083"/>
    <cellStyle name="SAPBEXresItemX 2 9" xfId="13084"/>
    <cellStyle name="SAPBEXresItemX 2 9 2" xfId="13085"/>
    <cellStyle name="SAPBEXresItemX 3" xfId="13086"/>
    <cellStyle name="SAPBEXresItemX 3 2" xfId="13087"/>
    <cellStyle name="SAPBEXresItemX 4" xfId="13088"/>
    <cellStyle name="SAPBEXresItemX 4 2" xfId="13089"/>
    <cellStyle name="SAPBEXresItemX 5" xfId="13090"/>
    <cellStyle name="SAPBEXresItemX 5 2" xfId="13091"/>
    <cellStyle name="SAPBEXresItemX 6" xfId="13092"/>
    <cellStyle name="SAPBEXresItemX 6 2" xfId="13093"/>
    <cellStyle name="SAPBEXresItemX 7" xfId="13094"/>
    <cellStyle name="SAPBEXresItemX 7 2" xfId="13095"/>
    <cellStyle name="SAPBEXresItemX 8" xfId="13096"/>
    <cellStyle name="SAPBEXresItemX 8 2" xfId="13097"/>
    <cellStyle name="SAPBEXresItemX 9" xfId="13098"/>
    <cellStyle name="SAPBEXresItemX 9 2" xfId="13099"/>
    <cellStyle name="SAPBEXstdData" xfId="13100"/>
    <cellStyle name="SAPBEXstdData 10" xfId="13101"/>
    <cellStyle name="SAPBEXstdData 10 2" xfId="13102"/>
    <cellStyle name="SAPBEXstdData 11" xfId="13103"/>
    <cellStyle name="SAPBEXstdData 11 2" xfId="13104"/>
    <cellStyle name="SAPBEXstdData 12" xfId="13105"/>
    <cellStyle name="SAPBEXstdData 2" xfId="13106"/>
    <cellStyle name="SAPBEXstdData 2 10" xfId="13107"/>
    <cellStyle name="SAPBEXstdData 2 10 2" xfId="13108"/>
    <cellStyle name="SAPBEXstdData 2 11" xfId="13109"/>
    <cellStyle name="SAPBEXstdData 2 2" xfId="13110"/>
    <cellStyle name="SAPBEXstdData 2 2 2" xfId="13111"/>
    <cellStyle name="SAPBEXstdData 2 3" xfId="13112"/>
    <cellStyle name="SAPBEXstdData 2 3 2" xfId="13113"/>
    <cellStyle name="SAPBEXstdData 2 4" xfId="13114"/>
    <cellStyle name="SAPBEXstdData 2 4 2" xfId="13115"/>
    <cellStyle name="SAPBEXstdData 2 5" xfId="13116"/>
    <cellStyle name="SAPBEXstdData 2 5 2" xfId="13117"/>
    <cellStyle name="SAPBEXstdData 2 6" xfId="13118"/>
    <cellStyle name="SAPBEXstdData 2 6 2" xfId="13119"/>
    <cellStyle name="SAPBEXstdData 2 7" xfId="13120"/>
    <cellStyle name="SAPBEXstdData 2 7 2" xfId="13121"/>
    <cellStyle name="SAPBEXstdData 2 8" xfId="13122"/>
    <cellStyle name="SAPBEXstdData 2 8 2" xfId="13123"/>
    <cellStyle name="SAPBEXstdData 2 9" xfId="13124"/>
    <cellStyle name="SAPBEXstdData 2 9 2" xfId="13125"/>
    <cellStyle name="SAPBEXstdData 3" xfId="13126"/>
    <cellStyle name="SAPBEXstdData 3 2" xfId="13127"/>
    <cellStyle name="SAPBEXstdData 4" xfId="13128"/>
    <cellStyle name="SAPBEXstdData 4 2" xfId="13129"/>
    <cellStyle name="SAPBEXstdData 5" xfId="13130"/>
    <cellStyle name="SAPBEXstdData 5 2" xfId="13131"/>
    <cellStyle name="SAPBEXstdData 6" xfId="13132"/>
    <cellStyle name="SAPBEXstdData 6 2" xfId="13133"/>
    <cellStyle name="SAPBEXstdData 7" xfId="13134"/>
    <cellStyle name="SAPBEXstdData 7 2" xfId="13135"/>
    <cellStyle name="SAPBEXstdData 8" xfId="13136"/>
    <cellStyle name="SAPBEXstdData 8 2" xfId="13137"/>
    <cellStyle name="SAPBEXstdData 9" xfId="13138"/>
    <cellStyle name="SAPBEXstdData 9 2" xfId="13139"/>
    <cellStyle name="SAPBEXstdDataEmph" xfId="13140"/>
    <cellStyle name="SAPBEXstdDataEmph 10" xfId="13141"/>
    <cellStyle name="SAPBEXstdDataEmph 10 2" xfId="13142"/>
    <cellStyle name="SAPBEXstdDataEmph 11" xfId="13143"/>
    <cellStyle name="SAPBEXstdDataEmph 11 2" xfId="13144"/>
    <cellStyle name="SAPBEXstdDataEmph 12" xfId="13145"/>
    <cellStyle name="SAPBEXstdDataEmph 2" xfId="13146"/>
    <cellStyle name="SAPBEXstdDataEmph 2 10" xfId="13147"/>
    <cellStyle name="SAPBEXstdDataEmph 2 10 2" xfId="13148"/>
    <cellStyle name="SAPBEXstdDataEmph 2 11" xfId="13149"/>
    <cellStyle name="SAPBEXstdDataEmph 2 2" xfId="13150"/>
    <cellStyle name="SAPBEXstdDataEmph 2 2 2" xfId="13151"/>
    <cellStyle name="SAPBEXstdDataEmph 2 3" xfId="13152"/>
    <cellStyle name="SAPBEXstdDataEmph 2 3 2" xfId="13153"/>
    <cellStyle name="SAPBEXstdDataEmph 2 4" xfId="13154"/>
    <cellStyle name="SAPBEXstdDataEmph 2 4 2" xfId="13155"/>
    <cellStyle name="SAPBEXstdDataEmph 2 5" xfId="13156"/>
    <cellStyle name="SAPBEXstdDataEmph 2 5 2" xfId="13157"/>
    <cellStyle name="SAPBEXstdDataEmph 2 6" xfId="13158"/>
    <cellStyle name="SAPBEXstdDataEmph 2 6 2" xfId="13159"/>
    <cellStyle name="SAPBEXstdDataEmph 2 7" xfId="13160"/>
    <cellStyle name="SAPBEXstdDataEmph 2 7 2" xfId="13161"/>
    <cellStyle name="SAPBEXstdDataEmph 2 8" xfId="13162"/>
    <cellStyle name="SAPBEXstdDataEmph 2 8 2" xfId="13163"/>
    <cellStyle name="SAPBEXstdDataEmph 2 9" xfId="13164"/>
    <cellStyle name="SAPBEXstdDataEmph 2 9 2" xfId="13165"/>
    <cellStyle name="SAPBEXstdDataEmph 3" xfId="13166"/>
    <cellStyle name="SAPBEXstdDataEmph 3 2" xfId="13167"/>
    <cellStyle name="SAPBEXstdDataEmph 4" xfId="13168"/>
    <cellStyle name="SAPBEXstdDataEmph 4 2" xfId="13169"/>
    <cellStyle name="SAPBEXstdDataEmph 5" xfId="13170"/>
    <cellStyle name="SAPBEXstdDataEmph 5 2" xfId="13171"/>
    <cellStyle name="SAPBEXstdDataEmph 6" xfId="13172"/>
    <cellStyle name="SAPBEXstdDataEmph 6 2" xfId="13173"/>
    <cellStyle name="SAPBEXstdDataEmph 7" xfId="13174"/>
    <cellStyle name="SAPBEXstdDataEmph 7 2" xfId="13175"/>
    <cellStyle name="SAPBEXstdDataEmph 8" xfId="13176"/>
    <cellStyle name="SAPBEXstdDataEmph 8 2" xfId="13177"/>
    <cellStyle name="SAPBEXstdDataEmph 9" xfId="13178"/>
    <cellStyle name="SAPBEXstdDataEmph 9 2" xfId="13179"/>
    <cellStyle name="SAPBEXstdItem" xfId="13180"/>
    <cellStyle name="SAPBEXstdItem 10" xfId="13181"/>
    <cellStyle name="SAPBEXstdItem 10 2" xfId="13182"/>
    <cellStyle name="SAPBEXstdItem 11" xfId="13183"/>
    <cellStyle name="SAPBEXstdItem 11 2" xfId="13184"/>
    <cellStyle name="SAPBEXstdItem 12" xfId="13185"/>
    <cellStyle name="SAPBEXstdItem 2" xfId="13186"/>
    <cellStyle name="SAPBEXstdItem 2 10" xfId="13187"/>
    <cellStyle name="SAPBEXstdItem 2 10 2" xfId="13188"/>
    <cellStyle name="SAPBEXstdItem 2 11" xfId="13189"/>
    <cellStyle name="SAPBEXstdItem 2 2" xfId="13190"/>
    <cellStyle name="SAPBEXstdItem 2 2 2" xfId="13191"/>
    <cellStyle name="SAPBEXstdItem 2 3" xfId="13192"/>
    <cellStyle name="SAPBEXstdItem 2 3 2" xfId="13193"/>
    <cellStyle name="SAPBEXstdItem 2 4" xfId="13194"/>
    <cellStyle name="SAPBEXstdItem 2 4 2" xfId="13195"/>
    <cellStyle name="SAPBEXstdItem 2 5" xfId="13196"/>
    <cellStyle name="SAPBEXstdItem 2 5 2" xfId="13197"/>
    <cellStyle name="SAPBEXstdItem 2 6" xfId="13198"/>
    <cellStyle name="SAPBEXstdItem 2 6 2" xfId="13199"/>
    <cellStyle name="SAPBEXstdItem 2 7" xfId="13200"/>
    <cellStyle name="SAPBEXstdItem 2 7 2" xfId="13201"/>
    <cellStyle name="SAPBEXstdItem 2 8" xfId="13202"/>
    <cellStyle name="SAPBEXstdItem 2 8 2" xfId="13203"/>
    <cellStyle name="SAPBEXstdItem 2 9" xfId="13204"/>
    <cellStyle name="SAPBEXstdItem 2 9 2" xfId="13205"/>
    <cellStyle name="SAPBEXstdItem 3" xfId="13206"/>
    <cellStyle name="SAPBEXstdItem 3 2" xfId="13207"/>
    <cellStyle name="SAPBEXstdItem 4" xfId="13208"/>
    <cellStyle name="SAPBEXstdItem 4 2" xfId="13209"/>
    <cellStyle name="SAPBEXstdItem 5" xfId="13210"/>
    <cellStyle name="SAPBEXstdItem 5 2" xfId="13211"/>
    <cellStyle name="SAPBEXstdItem 6" xfId="13212"/>
    <cellStyle name="SAPBEXstdItem 6 2" xfId="13213"/>
    <cellStyle name="SAPBEXstdItem 7" xfId="13214"/>
    <cellStyle name="SAPBEXstdItem 7 2" xfId="13215"/>
    <cellStyle name="SAPBEXstdItem 8" xfId="13216"/>
    <cellStyle name="SAPBEXstdItem 8 2" xfId="13217"/>
    <cellStyle name="SAPBEXstdItem 9" xfId="13218"/>
    <cellStyle name="SAPBEXstdItem 9 2" xfId="13219"/>
    <cellStyle name="SAPBEXstdItemX" xfId="13220"/>
    <cellStyle name="SAPBEXstdItemX 10" xfId="13221"/>
    <cellStyle name="SAPBEXstdItemX 10 2" xfId="13222"/>
    <cellStyle name="SAPBEXstdItemX 11" xfId="13223"/>
    <cellStyle name="SAPBEXstdItemX 11 2" xfId="13224"/>
    <cellStyle name="SAPBEXstdItemX 12" xfId="13225"/>
    <cellStyle name="SAPBEXstdItemX 2" xfId="13226"/>
    <cellStyle name="SAPBEXstdItemX 2 10" xfId="13227"/>
    <cellStyle name="SAPBEXstdItemX 2 10 2" xfId="13228"/>
    <cellStyle name="SAPBEXstdItemX 2 11" xfId="13229"/>
    <cellStyle name="SAPBEXstdItemX 2 2" xfId="13230"/>
    <cellStyle name="SAPBEXstdItemX 2 2 2" xfId="13231"/>
    <cellStyle name="SAPBEXstdItemX 2 3" xfId="13232"/>
    <cellStyle name="SAPBEXstdItemX 2 3 2" xfId="13233"/>
    <cellStyle name="SAPBEXstdItemX 2 4" xfId="13234"/>
    <cellStyle name="SAPBEXstdItemX 2 4 2" xfId="13235"/>
    <cellStyle name="SAPBEXstdItemX 2 5" xfId="13236"/>
    <cellStyle name="SAPBEXstdItemX 2 5 2" xfId="13237"/>
    <cellStyle name="SAPBEXstdItemX 2 6" xfId="13238"/>
    <cellStyle name="SAPBEXstdItemX 2 6 2" xfId="13239"/>
    <cellStyle name="SAPBEXstdItemX 2 7" xfId="13240"/>
    <cellStyle name="SAPBEXstdItemX 2 7 2" xfId="13241"/>
    <cellStyle name="SAPBEXstdItemX 2 8" xfId="13242"/>
    <cellStyle name="SAPBEXstdItemX 2 8 2" xfId="13243"/>
    <cellStyle name="SAPBEXstdItemX 2 9" xfId="13244"/>
    <cellStyle name="SAPBEXstdItemX 2 9 2" xfId="13245"/>
    <cellStyle name="SAPBEXstdItemX 3" xfId="13246"/>
    <cellStyle name="SAPBEXstdItemX 3 2" xfId="13247"/>
    <cellStyle name="SAPBEXstdItemX 4" xfId="13248"/>
    <cellStyle name="SAPBEXstdItemX 4 2" xfId="13249"/>
    <cellStyle name="SAPBEXstdItemX 5" xfId="13250"/>
    <cellStyle name="SAPBEXstdItemX 5 2" xfId="13251"/>
    <cellStyle name="SAPBEXstdItemX 6" xfId="13252"/>
    <cellStyle name="SAPBEXstdItemX 6 2" xfId="13253"/>
    <cellStyle name="SAPBEXstdItemX 7" xfId="13254"/>
    <cellStyle name="SAPBEXstdItemX 7 2" xfId="13255"/>
    <cellStyle name="SAPBEXstdItemX 8" xfId="13256"/>
    <cellStyle name="SAPBEXstdItemX 8 2" xfId="13257"/>
    <cellStyle name="SAPBEXstdItemX 9" xfId="13258"/>
    <cellStyle name="SAPBEXstdItemX 9 2" xfId="13259"/>
    <cellStyle name="SAPBEXtitle" xfId="13260"/>
    <cellStyle name="SAPBEXundefined" xfId="13261"/>
    <cellStyle name="SAPBEXundefined 10" xfId="13262"/>
    <cellStyle name="SAPBEXundefined 10 2" xfId="13263"/>
    <cellStyle name="SAPBEXundefined 11" xfId="13264"/>
    <cellStyle name="SAPBEXundefined 11 2" xfId="13265"/>
    <cellStyle name="SAPBEXundefined 12" xfId="13266"/>
    <cellStyle name="SAPBEXundefined 2" xfId="13267"/>
    <cellStyle name="SAPBEXundefined 2 10" xfId="13268"/>
    <cellStyle name="SAPBEXundefined 2 10 2" xfId="13269"/>
    <cellStyle name="SAPBEXundefined 2 11" xfId="13270"/>
    <cellStyle name="SAPBEXundefined 2 2" xfId="13271"/>
    <cellStyle name="SAPBEXundefined 2 2 2" xfId="13272"/>
    <cellStyle name="SAPBEXundefined 2 3" xfId="13273"/>
    <cellStyle name="SAPBEXundefined 2 3 2" xfId="13274"/>
    <cellStyle name="SAPBEXundefined 2 4" xfId="13275"/>
    <cellStyle name="SAPBEXundefined 2 4 2" xfId="13276"/>
    <cellStyle name="SAPBEXundefined 2 5" xfId="13277"/>
    <cellStyle name="SAPBEXundefined 2 5 2" xfId="13278"/>
    <cellStyle name="SAPBEXundefined 2 6" xfId="13279"/>
    <cellStyle name="SAPBEXundefined 2 6 2" xfId="13280"/>
    <cellStyle name="SAPBEXundefined 2 7" xfId="13281"/>
    <cellStyle name="SAPBEXundefined 2 7 2" xfId="13282"/>
    <cellStyle name="SAPBEXundefined 2 8" xfId="13283"/>
    <cellStyle name="SAPBEXundefined 2 8 2" xfId="13284"/>
    <cellStyle name="SAPBEXundefined 2 9" xfId="13285"/>
    <cellStyle name="SAPBEXundefined 2 9 2" xfId="13286"/>
    <cellStyle name="SAPBEXundefined 3" xfId="13287"/>
    <cellStyle name="SAPBEXundefined 3 2" xfId="13288"/>
    <cellStyle name="SAPBEXundefined 4" xfId="13289"/>
    <cellStyle name="SAPBEXundefined 4 2" xfId="13290"/>
    <cellStyle name="SAPBEXundefined 5" xfId="13291"/>
    <cellStyle name="SAPBEXundefined 5 2" xfId="13292"/>
    <cellStyle name="SAPBEXundefined 6" xfId="13293"/>
    <cellStyle name="SAPBEXundefined 6 2" xfId="13294"/>
    <cellStyle name="SAPBEXundefined 7" xfId="13295"/>
    <cellStyle name="SAPBEXundefined 7 2" xfId="13296"/>
    <cellStyle name="SAPBEXundefined 8" xfId="13297"/>
    <cellStyle name="SAPBEXundefined 8 2" xfId="13298"/>
    <cellStyle name="SAPBEXundefined 9" xfId="13299"/>
    <cellStyle name="SAPBEXundefined 9 2" xfId="13300"/>
    <cellStyle name="SAPDataCell" xfId="13301"/>
    <cellStyle name="SAPDataTotalCell" xfId="13302"/>
    <cellStyle name="SAPDimensionCell" xfId="13303"/>
    <cellStyle name="SAPEmphasized" xfId="13304"/>
    <cellStyle name="SAPHierarchyCell0" xfId="13305"/>
    <cellStyle name="SAPHierarchyCell1" xfId="13306"/>
    <cellStyle name="SAPHierarchyCell2" xfId="13307"/>
    <cellStyle name="SAPHierarchyCell3" xfId="13308"/>
    <cellStyle name="SAPHierarchyCell4" xfId="13309"/>
    <cellStyle name="SAPLocked" xfId="13310"/>
    <cellStyle name="SAPLocked 10" xfId="13311"/>
    <cellStyle name="SAPLocked 10 10" xfId="13312"/>
    <cellStyle name="SAPLocked 10 10 2" xfId="13313"/>
    <cellStyle name="SAPLocked 10 11" xfId="13314"/>
    <cellStyle name="SAPLocked 10 11 2" xfId="13315"/>
    <cellStyle name="SAPLocked 10 12" xfId="13316"/>
    <cellStyle name="SAPLocked 10 12 2" xfId="13317"/>
    <cellStyle name="SAPLocked 10 13" xfId="13318"/>
    <cellStyle name="SAPLocked 10 2" xfId="13319"/>
    <cellStyle name="SAPLocked 10 2 10" xfId="13320"/>
    <cellStyle name="SAPLocked 10 2 10 2" xfId="13321"/>
    <cellStyle name="SAPLocked 10 2 11" xfId="13322"/>
    <cellStyle name="SAPLocked 10 2 11 2" xfId="13323"/>
    <cellStyle name="SAPLocked 10 2 12" xfId="13324"/>
    <cellStyle name="SAPLocked 10 2 2" xfId="13325"/>
    <cellStyle name="SAPLocked 10 2 2 2" xfId="13326"/>
    <cellStyle name="SAPLocked 10 2 3" xfId="13327"/>
    <cellStyle name="SAPLocked 10 2 3 2" xfId="13328"/>
    <cellStyle name="SAPLocked 10 2 4" xfId="13329"/>
    <cellStyle name="SAPLocked 10 2 4 2" xfId="13330"/>
    <cellStyle name="SAPLocked 10 2 5" xfId="13331"/>
    <cellStyle name="SAPLocked 10 2 5 2" xfId="13332"/>
    <cellStyle name="SAPLocked 10 2 6" xfId="13333"/>
    <cellStyle name="SAPLocked 10 2 6 2" xfId="13334"/>
    <cellStyle name="SAPLocked 10 2 7" xfId="13335"/>
    <cellStyle name="SAPLocked 10 2 7 2" xfId="13336"/>
    <cellStyle name="SAPLocked 10 2 8" xfId="13337"/>
    <cellStyle name="SAPLocked 10 2 8 2" xfId="13338"/>
    <cellStyle name="SAPLocked 10 2 9" xfId="13339"/>
    <cellStyle name="SAPLocked 10 2 9 2" xfId="13340"/>
    <cellStyle name="SAPLocked 10 3" xfId="13341"/>
    <cellStyle name="SAPLocked 10 3 2" xfId="13342"/>
    <cellStyle name="SAPLocked 10 4" xfId="13343"/>
    <cellStyle name="SAPLocked 10 4 2" xfId="13344"/>
    <cellStyle name="SAPLocked 10 5" xfId="13345"/>
    <cellStyle name="SAPLocked 10 5 2" xfId="13346"/>
    <cellStyle name="SAPLocked 10 6" xfId="13347"/>
    <cellStyle name="SAPLocked 10 6 2" xfId="13348"/>
    <cellStyle name="SAPLocked 10 7" xfId="13349"/>
    <cellStyle name="SAPLocked 10 7 2" xfId="13350"/>
    <cellStyle name="SAPLocked 10 8" xfId="13351"/>
    <cellStyle name="SAPLocked 10 8 2" xfId="13352"/>
    <cellStyle name="SAPLocked 10 9" xfId="13353"/>
    <cellStyle name="SAPLocked 10 9 2" xfId="13354"/>
    <cellStyle name="SAPLocked 11" xfId="13355"/>
    <cellStyle name="SAPLocked 11 10" xfId="13356"/>
    <cellStyle name="SAPLocked 11 10 2" xfId="13357"/>
    <cellStyle name="SAPLocked 11 11" xfId="13358"/>
    <cellStyle name="SAPLocked 11 11 2" xfId="13359"/>
    <cellStyle name="SAPLocked 11 12" xfId="13360"/>
    <cellStyle name="SAPLocked 11 12 2" xfId="13361"/>
    <cellStyle name="SAPLocked 11 13" xfId="13362"/>
    <cellStyle name="SAPLocked 11 2" xfId="13363"/>
    <cellStyle name="SAPLocked 11 2 10" xfId="13364"/>
    <cellStyle name="SAPLocked 11 2 10 2" xfId="13365"/>
    <cellStyle name="SAPLocked 11 2 11" xfId="13366"/>
    <cellStyle name="SAPLocked 11 2 11 2" xfId="13367"/>
    <cellStyle name="SAPLocked 11 2 12" xfId="13368"/>
    <cellStyle name="SAPLocked 11 2 2" xfId="13369"/>
    <cellStyle name="SAPLocked 11 2 2 2" xfId="13370"/>
    <cellStyle name="SAPLocked 11 2 3" xfId="13371"/>
    <cellStyle name="SAPLocked 11 2 3 2" xfId="13372"/>
    <cellStyle name="SAPLocked 11 2 4" xfId="13373"/>
    <cellStyle name="SAPLocked 11 2 4 2" xfId="13374"/>
    <cellStyle name="SAPLocked 11 2 5" xfId="13375"/>
    <cellStyle name="SAPLocked 11 2 5 2" xfId="13376"/>
    <cellStyle name="SAPLocked 11 2 6" xfId="13377"/>
    <cellStyle name="SAPLocked 11 2 6 2" xfId="13378"/>
    <cellStyle name="SAPLocked 11 2 7" xfId="13379"/>
    <cellStyle name="SAPLocked 11 2 7 2" xfId="13380"/>
    <cellStyle name="SAPLocked 11 2 8" xfId="13381"/>
    <cellStyle name="SAPLocked 11 2 8 2" xfId="13382"/>
    <cellStyle name="SAPLocked 11 2 9" xfId="13383"/>
    <cellStyle name="SAPLocked 11 2 9 2" xfId="13384"/>
    <cellStyle name="SAPLocked 11 3" xfId="13385"/>
    <cellStyle name="SAPLocked 11 3 2" xfId="13386"/>
    <cellStyle name="SAPLocked 11 4" xfId="13387"/>
    <cellStyle name="SAPLocked 11 4 2" xfId="13388"/>
    <cellStyle name="SAPLocked 11 5" xfId="13389"/>
    <cellStyle name="SAPLocked 11 5 2" xfId="13390"/>
    <cellStyle name="SAPLocked 11 6" xfId="13391"/>
    <cellStyle name="SAPLocked 11 6 2" xfId="13392"/>
    <cellStyle name="SAPLocked 11 7" xfId="13393"/>
    <cellStyle name="SAPLocked 11 7 2" xfId="13394"/>
    <cellStyle name="SAPLocked 11 8" xfId="13395"/>
    <cellStyle name="SAPLocked 11 8 2" xfId="13396"/>
    <cellStyle name="SAPLocked 11 9" xfId="13397"/>
    <cellStyle name="SAPLocked 11 9 2" xfId="13398"/>
    <cellStyle name="SAPLocked 12" xfId="13399"/>
    <cellStyle name="SAPLocked 12 10" xfId="13400"/>
    <cellStyle name="SAPLocked 12 10 2" xfId="13401"/>
    <cellStyle name="SAPLocked 12 11" xfId="13402"/>
    <cellStyle name="SAPLocked 12 11 2" xfId="13403"/>
    <cellStyle name="SAPLocked 12 12" xfId="13404"/>
    <cellStyle name="SAPLocked 12 12 2" xfId="13405"/>
    <cellStyle name="SAPLocked 12 13" xfId="13406"/>
    <cellStyle name="SAPLocked 12 2" xfId="13407"/>
    <cellStyle name="SAPLocked 12 2 10" xfId="13408"/>
    <cellStyle name="SAPLocked 12 2 10 2" xfId="13409"/>
    <cellStyle name="SAPLocked 12 2 11" xfId="13410"/>
    <cellStyle name="SAPLocked 12 2 11 2" xfId="13411"/>
    <cellStyle name="SAPLocked 12 2 12" xfId="13412"/>
    <cellStyle name="SAPLocked 12 2 2" xfId="13413"/>
    <cellStyle name="SAPLocked 12 2 2 2" xfId="13414"/>
    <cellStyle name="SAPLocked 12 2 3" xfId="13415"/>
    <cellStyle name="SAPLocked 12 2 3 2" xfId="13416"/>
    <cellStyle name="SAPLocked 12 2 4" xfId="13417"/>
    <cellStyle name="SAPLocked 12 2 4 2" xfId="13418"/>
    <cellStyle name="SAPLocked 12 2 5" xfId="13419"/>
    <cellStyle name="SAPLocked 12 2 5 2" xfId="13420"/>
    <cellStyle name="SAPLocked 12 2 6" xfId="13421"/>
    <cellStyle name="SAPLocked 12 2 6 2" xfId="13422"/>
    <cellStyle name="SAPLocked 12 2 7" xfId="13423"/>
    <cellStyle name="SAPLocked 12 2 7 2" xfId="13424"/>
    <cellStyle name="SAPLocked 12 2 8" xfId="13425"/>
    <cellStyle name="SAPLocked 12 2 8 2" xfId="13426"/>
    <cellStyle name="SAPLocked 12 2 9" xfId="13427"/>
    <cellStyle name="SAPLocked 12 2 9 2" xfId="13428"/>
    <cellStyle name="SAPLocked 12 3" xfId="13429"/>
    <cellStyle name="SAPLocked 12 3 2" xfId="13430"/>
    <cellStyle name="SAPLocked 12 4" xfId="13431"/>
    <cellStyle name="SAPLocked 12 4 2" xfId="13432"/>
    <cellStyle name="SAPLocked 12 5" xfId="13433"/>
    <cellStyle name="SAPLocked 12 5 2" xfId="13434"/>
    <cellStyle name="SAPLocked 12 6" xfId="13435"/>
    <cellStyle name="SAPLocked 12 6 2" xfId="13436"/>
    <cellStyle name="SAPLocked 12 7" xfId="13437"/>
    <cellStyle name="SAPLocked 12 7 2" xfId="13438"/>
    <cellStyle name="SAPLocked 12 8" xfId="13439"/>
    <cellStyle name="SAPLocked 12 8 2" xfId="13440"/>
    <cellStyle name="SAPLocked 12 9" xfId="13441"/>
    <cellStyle name="SAPLocked 12 9 2" xfId="13442"/>
    <cellStyle name="SAPLocked 13" xfId="13443"/>
    <cellStyle name="SAPLocked 13 10" xfId="13444"/>
    <cellStyle name="SAPLocked 13 10 2" xfId="13445"/>
    <cellStyle name="SAPLocked 13 11" xfId="13446"/>
    <cellStyle name="SAPLocked 13 11 2" xfId="13447"/>
    <cellStyle name="SAPLocked 13 12" xfId="13448"/>
    <cellStyle name="SAPLocked 13 12 2" xfId="13449"/>
    <cellStyle name="SAPLocked 13 13" xfId="13450"/>
    <cellStyle name="SAPLocked 13 2" xfId="13451"/>
    <cellStyle name="SAPLocked 13 2 10" xfId="13452"/>
    <cellStyle name="SAPLocked 13 2 10 2" xfId="13453"/>
    <cellStyle name="SAPLocked 13 2 11" xfId="13454"/>
    <cellStyle name="SAPLocked 13 2 11 2" xfId="13455"/>
    <cellStyle name="SAPLocked 13 2 12" xfId="13456"/>
    <cellStyle name="SAPLocked 13 2 2" xfId="13457"/>
    <cellStyle name="SAPLocked 13 2 2 2" xfId="13458"/>
    <cellStyle name="SAPLocked 13 2 3" xfId="13459"/>
    <cellStyle name="SAPLocked 13 2 3 2" xfId="13460"/>
    <cellStyle name="SAPLocked 13 2 4" xfId="13461"/>
    <cellStyle name="SAPLocked 13 2 4 2" xfId="13462"/>
    <cellStyle name="SAPLocked 13 2 5" xfId="13463"/>
    <cellStyle name="SAPLocked 13 2 5 2" xfId="13464"/>
    <cellStyle name="SAPLocked 13 2 6" xfId="13465"/>
    <cellStyle name="SAPLocked 13 2 6 2" xfId="13466"/>
    <cellStyle name="SAPLocked 13 2 7" xfId="13467"/>
    <cellStyle name="SAPLocked 13 2 7 2" xfId="13468"/>
    <cellStyle name="SAPLocked 13 2 8" xfId="13469"/>
    <cellStyle name="SAPLocked 13 2 8 2" xfId="13470"/>
    <cellStyle name="SAPLocked 13 2 9" xfId="13471"/>
    <cellStyle name="SAPLocked 13 2 9 2" xfId="13472"/>
    <cellStyle name="SAPLocked 13 3" xfId="13473"/>
    <cellStyle name="SAPLocked 13 3 2" xfId="13474"/>
    <cellStyle name="SAPLocked 13 4" xfId="13475"/>
    <cellStyle name="SAPLocked 13 4 2" xfId="13476"/>
    <cellStyle name="SAPLocked 13 5" xfId="13477"/>
    <cellStyle name="SAPLocked 13 5 2" xfId="13478"/>
    <cellStyle name="SAPLocked 13 6" xfId="13479"/>
    <cellStyle name="SAPLocked 13 6 2" xfId="13480"/>
    <cellStyle name="SAPLocked 13 7" xfId="13481"/>
    <cellStyle name="SAPLocked 13 7 2" xfId="13482"/>
    <cellStyle name="SAPLocked 13 8" xfId="13483"/>
    <cellStyle name="SAPLocked 13 8 2" xfId="13484"/>
    <cellStyle name="SAPLocked 13 9" xfId="13485"/>
    <cellStyle name="SAPLocked 13 9 2" xfId="13486"/>
    <cellStyle name="SAPLocked 14" xfId="13487"/>
    <cellStyle name="SAPLocked 14 10" xfId="13488"/>
    <cellStyle name="SAPLocked 14 10 2" xfId="13489"/>
    <cellStyle name="SAPLocked 14 11" xfId="13490"/>
    <cellStyle name="SAPLocked 14 11 2" xfId="13491"/>
    <cellStyle name="SAPLocked 14 12" xfId="13492"/>
    <cellStyle name="SAPLocked 14 12 2" xfId="13493"/>
    <cellStyle name="SAPLocked 14 13" xfId="13494"/>
    <cellStyle name="SAPLocked 14 2" xfId="13495"/>
    <cellStyle name="SAPLocked 14 2 10" xfId="13496"/>
    <cellStyle name="SAPLocked 14 2 10 2" xfId="13497"/>
    <cellStyle name="SAPLocked 14 2 11" xfId="13498"/>
    <cellStyle name="SAPLocked 14 2 11 2" xfId="13499"/>
    <cellStyle name="SAPLocked 14 2 12" xfId="13500"/>
    <cellStyle name="SAPLocked 14 2 2" xfId="13501"/>
    <cellStyle name="SAPLocked 14 2 2 2" xfId="13502"/>
    <cellStyle name="SAPLocked 14 2 3" xfId="13503"/>
    <cellStyle name="SAPLocked 14 2 3 2" xfId="13504"/>
    <cellStyle name="SAPLocked 14 2 4" xfId="13505"/>
    <cellStyle name="SAPLocked 14 2 4 2" xfId="13506"/>
    <cellStyle name="SAPLocked 14 2 5" xfId="13507"/>
    <cellStyle name="SAPLocked 14 2 5 2" xfId="13508"/>
    <cellStyle name="SAPLocked 14 2 6" xfId="13509"/>
    <cellStyle name="SAPLocked 14 2 6 2" xfId="13510"/>
    <cellStyle name="SAPLocked 14 2 7" xfId="13511"/>
    <cellStyle name="SAPLocked 14 2 7 2" xfId="13512"/>
    <cellStyle name="SAPLocked 14 2 8" xfId="13513"/>
    <cellStyle name="SAPLocked 14 2 8 2" xfId="13514"/>
    <cellStyle name="SAPLocked 14 2 9" xfId="13515"/>
    <cellStyle name="SAPLocked 14 2 9 2" xfId="13516"/>
    <cellStyle name="SAPLocked 14 3" xfId="13517"/>
    <cellStyle name="SAPLocked 14 3 2" xfId="13518"/>
    <cellStyle name="SAPLocked 14 4" xfId="13519"/>
    <cellStyle name="SAPLocked 14 4 2" xfId="13520"/>
    <cellStyle name="SAPLocked 14 5" xfId="13521"/>
    <cellStyle name="SAPLocked 14 5 2" xfId="13522"/>
    <cellStyle name="SAPLocked 14 6" xfId="13523"/>
    <cellStyle name="SAPLocked 14 6 2" xfId="13524"/>
    <cellStyle name="SAPLocked 14 7" xfId="13525"/>
    <cellStyle name="SAPLocked 14 7 2" xfId="13526"/>
    <cellStyle name="SAPLocked 14 8" xfId="13527"/>
    <cellStyle name="SAPLocked 14 8 2" xfId="13528"/>
    <cellStyle name="SAPLocked 14 9" xfId="13529"/>
    <cellStyle name="SAPLocked 14 9 2" xfId="13530"/>
    <cellStyle name="SAPLocked 15" xfId="13531"/>
    <cellStyle name="SAPLocked 15 10" xfId="13532"/>
    <cellStyle name="SAPLocked 15 10 2" xfId="13533"/>
    <cellStyle name="SAPLocked 15 11" xfId="13534"/>
    <cellStyle name="SAPLocked 15 11 2" xfId="13535"/>
    <cellStyle name="SAPLocked 15 12" xfId="13536"/>
    <cellStyle name="SAPLocked 15 12 2" xfId="13537"/>
    <cellStyle name="SAPLocked 15 13" xfId="13538"/>
    <cellStyle name="SAPLocked 15 2" xfId="13539"/>
    <cellStyle name="SAPLocked 15 2 10" xfId="13540"/>
    <cellStyle name="SAPLocked 15 2 10 2" xfId="13541"/>
    <cellStyle name="SAPLocked 15 2 11" xfId="13542"/>
    <cellStyle name="SAPLocked 15 2 11 2" xfId="13543"/>
    <cellStyle name="SAPLocked 15 2 12" xfId="13544"/>
    <cellStyle name="SAPLocked 15 2 2" xfId="13545"/>
    <cellStyle name="SAPLocked 15 2 2 2" xfId="13546"/>
    <cellStyle name="SAPLocked 15 2 3" xfId="13547"/>
    <cellStyle name="SAPLocked 15 2 3 2" xfId="13548"/>
    <cellStyle name="SAPLocked 15 2 4" xfId="13549"/>
    <cellStyle name="SAPLocked 15 2 4 2" xfId="13550"/>
    <cellStyle name="SAPLocked 15 2 5" xfId="13551"/>
    <cellStyle name="SAPLocked 15 2 5 2" xfId="13552"/>
    <cellStyle name="SAPLocked 15 2 6" xfId="13553"/>
    <cellStyle name="SAPLocked 15 2 6 2" xfId="13554"/>
    <cellStyle name="SAPLocked 15 2 7" xfId="13555"/>
    <cellStyle name="SAPLocked 15 2 7 2" xfId="13556"/>
    <cellStyle name="SAPLocked 15 2 8" xfId="13557"/>
    <cellStyle name="SAPLocked 15 2 8 2" xfId="13558"/>
    <cellStyle name="SAPLocked 15 2 9" xfId="13559"/>
    <cellStyle name="SAPLocked 15 2 9 2" xfId="13560"/>
    <cellStyle name="SAPLocked 15 3" xfId="13561"/>
    <cellStyle name="SAPLocked 15 3 2" xfId="13562"/>
    <cellStyle name="SAPLocked 15 4" xfId="13563"/>
    <cellStyle name="SAPLocked 15 4 2" xfId="13564"/>
    <cellStyle name="SAPLocked 15 5" xfId="13565"/>
    <cellStyle name="SAPLocked 15 5 2" xfId="13566"/>
    <cellStyle name="SAPLocked 15 6" xfId="13567"/>
    <cellStyle name="SAPLocked 15 6 2" xfId="13568"/>
    <cellStyle name="SAPLocked 15 7" xfId="13569"/>
    <cellStyle name="SAPLocked 15 7 2" xfId="13570"/>
    <cellStyle name="SAPLocked 15 8" xfId="13571"/>
    <cellStyle name="SAPLocked 15 8 2" xfId="13572"/>
    <cellStyle name="SAPLocked 15 9" xfId="13573"/>
    <cellStyle name="SAPLocked 15 9 2" xfId="13574"/>
    <cellStyle name="SAPLocked 16" xfId="13575"/>
    <cellStyle name="SAPLocked 16 10" xfId="13576"/>
    <cellStyle name="SAPLocked 16 10 2" xfId="13577"/>
    <cellStyle name="SAPLocked 16 11" xfId="13578"/>
    <cellStyle name="SAPLocked 16 11 2" xfId="13579"/>
    <cellStyle name="SAPLocked 16 12" xfId="13580"/>
    <cellStyle name="SAPLocked 16 12 2" xfId="13581"/>
    <cellStyle name="SAPLocked 16 13" xfId="13582"/>
    <cellStyle name="SAPLocked 16 2" xfId="13583"/>
    <cellStyle name="SAPLocked 16 2 10" xfId="13584"/>
    <cellStyle name="SAPLocked 16 2 10 2" xfId="13585"/>
    <cellStyle name="SAPLocked 16 2 11" xfId="13586"/>
    <cellStyle name="SAPLocked 16 2 11 2" xfId="13587"/>
    <cellStyle name="SAPLocked 16 2 12" xfId="13588"/>
    <cellStyle name="SAPLocked 16 2 2" xfId="13589"/>
    <cellStyle name="SAPLocked 16 2 2 2" xfId="13590"/>
    <cellStyle name="SAPLocked 16 2 3" xfId="13591"/>
    <cellStyle name="SAPLocked 16 2 3 2" xfId="13592"/>
    <cellStyle name="SAPLocked 16 2 4" xfId="13593"/>
    <cellStyle name="SAPLocked 16 2 4 2" xfId="13594"/>
    <cellStyle name="SAPLocked 16 2 5" xfId="13595"/>
    <cellStyle name="SAPLocked 16 2 5 2" xfId="13596"/>
    <cellStyle name="SAPLocked 16 2 6" xfId="13597"/>
    <cellStyle name="SAPLocked 16 2 6 2" xfId="13598"/>
    <cellStyle name="SAPLocked 16 2 7" xfId="13599"/>
    <cellStyle name="SAPLocked 16 2 7 2" xfId="13600"/>
    <cellStyle name="SAPLocked 16 2 8" xfId="13601"/>
    <cellStyle name="SAPLocked 16 2 8 2" xfId="13602"/>
    <cellStyle name="SAPLocked 16 2 9" xfId="13603"/>
    <cellStyle name="SAPLocked 16 2 9 2" xfId="13604"/>
    <cellStyle name="SAPLocked 16 3" xfId="13605"/>
    <cellStyle name="SAPLocked 16 3 2" xfId="13606"/>
    <cellStyle name="SAPLocked 16 4" xfId="13607"/>
    <cellStyle name="SAPLocked 16 4 2" xfId="13608"/>
    <cellStyle name="SAPLocked 16 5" xfId="13609"/>
    <cellStyle name="SAPLocked 16 5 2" xfId="13610"/>
    <cellStyle name="SAPLocked 16 6" xfId="13611"/>
    <cellStyle name="SAPLocked 16 6 2" xfId="13612"/>
    <cellStyle name="SAPLocked 16 7" xfId="13613"/>
    <cellStyle name="SAPLocked 16 7 2" xfId="13614"/>
    <cellStyle name="SAPLocked 16 8" xfId="13615"/>
    <cellStyle name="SAPLocked 16 8 2" xfId="13616"/>
    <cellStyle name="SAPLocked 16 9" xfId="13617"/>
    <cellStyle name="SAPLocked 16 9 2" xfId="13618"/>
    <cellStyle name="SAPLocked 17" xfId="13619"/>
    <cellStyle name="SAPLocked 17 10" xfId="13620"/>
    <cellStyle name="SAPLocked 17 10 2" xfId="13621"/>
    <cellStyle name="SAPLocked 17 11" xfId="13622"/>
    <cellStyle name="SAPLocked 17 11 2" xfId="13623"/>
    <cellStyle name="SAPLocked 17 12" xfId="13624"/>
    <cellStyle name="SAPLocked 17 12 2" xfId="13625"/>
    <cellStyle name="SAPLocked 17 13" xfId="13626"/>
    <cellStyle name="SAPLocked 17 2" xfId="13627"/>
    <cellStyle name="SAPLocked 17 2 10" xfId="13628"/>
    <cellStyle name="SAPLocked 17 2 10 2" xfId="13629"/>
    <cellStyle name="SAPLocked 17 2 11" xfId="13630"/>
    <cellStyle name="SAPLocked 17 2 11 2" xfId="13631"/>
    <cellStyle name="SAPLocked 17 2 12" xfId="13632"/>
    <cellStyle name="SAPLocked 17 2 2" xfId="13633"/>
    <cellStyle name="SAPLocked 17 2 2 2" xfId="13634"/>
    <cellStyle name="SAPLocked 17 2 3" xfId="13635"/>
    <cellStyle name="SAPLocked 17 2 3 2" xfId="13636"/>
    <cellStyle name="SAPLocked 17 2 4" xfId="13637"/>
    <cellStyle name="SAPLocked 17 2 4 2" xfId="13638"/>
    <cellStyle name="SAPLocked 17 2 5" xfId="13639"/>
    <cellStyle name="SAPLocked 17 2 5 2" xfId="13640"/>
    <cellStyle name="SAPLocked 17 2 6" xfId="13641"/>
    <cellStyle name="SAPLocked 17 2 6 2" xfId="13642"/>
    <cellStyle name="SAPLocked 17 2 7" xfId="13643"/>
    <cellStyle name="SAPLocked 17 2 7 2" xfId="13644"/>
    <cellStyle name="SAPLocked 17 2 8" xfId="13645"/>
    <cellStyle name="SAPLocked 17 2 8 2" xfId="13646"/>
    <cellStyle name="SAPLocked 17 2 9" xfId="13647"/>
    <cellStyle name="SAPLocked 17 2 9 2" xfId="13648"/>
    <cellStyle name="SAPLocked 17 3" xfId="13649"/>
    <cellStyle name="SAPLocked 17 3 2" xfId="13650"/>
    <cellStyle name="SAPLocked 17 4" xfId="13651"/>
    <cellStyle name="SAPLocked 17 4 2" xfId="13652"/>
    <cellStyle name="SAPLocked 17 5" xfId="13653"/>
    <cellStyle name="SAPLocked 17 5 2" xfId="13654"/>
    <cellStyle name="SAPLocked 17 6" xfId="13655"/>
    <cellStyle name="SAPLocked 17 6 2" xfId="13656"/>
    <cellStyle name="SAPLocked 17 7" xfId="13657"/>
    <cellStyle name="SAPLocked 17 7 2" xfId="13658"/>
    <cellStyle name="SAPLocked 17 8" xfId="13659"/>
    <cellStyle name="SAPLocked 17 8 2" xfId="13660"/>
    <cellStyle name="SAPLocked 17 9" xfId="13661"/>
    <cellStyle name="SAPLocked 17 9 2" xfId="13662"/>
    <cellStyle name="SAPLocked 18" xfId="13663"/>
    <cellStyle name="SAPLocked 18 10" xfId="13664"/>
    <cellStyle name="SAPLocked 18 10 2" xfId="13665"/>
    <cellStyle name="SAPLocked 18 11" xfId="13666"/>
    <cellStyle name="SAPLocked 18 11 2" xfId="13667"/>
    <cellStyle name="SAPLocked 18 12" xfId="13668"/>
    <cellStyle name="SAPLocked 18 12 2" xfId="13669"/>
    <cellStyle name="SAPLocked 18 13" xfId="13670"/>
    <cellStyle name="SAPLocked 18 2" xfId="13671"/>
    <cellStyle name="SAPLocked 18 2 10" xfId="13672"/>
    <cellStyle name="SAPLocked 18 2 10 2" xfId="13673"/>
    <cellStyle name="SAPLocked 18 2 11" xfId="13674"/>
    <cellStyle name="SAPLocked 18 2 11 2" xfId="13675"/>
    <cellStyle name="SAPLocked 18 2 12" xfId="13676"/>
    <cellStyle name="SAPLocked 18 2 2" xfId="13677"/>
    <cellStyle name="SAPLocked 18 2 2 2" xfId="13678"/>
    <cellStyle name="SAPLocked 18 2 3" xfId="13679"/>
    <cellStyle name="SAPLocked 18 2 3 2" xfId="13680"/>
    <cellStyle name="SAPLocked 18 2 4" xfId="13681"/>
    <cellStyle name="SAPLocked 18 2 4 2" xfId="13682"/>
    <cellStyle name="SAPLocked 18 2 5" xfId="13683"/>
    <cellStyle name="SAPLocked 18 2 5 2" xfId="13684"/>
    <cellStyle name="SAPLocked 18 2 6" xfId="13685"/>
    <cellStyle name="SAPLocked 18 2 6 2" xfId="13686"/>
    <cellStyle name="SAPLocked 18 2 7" xfId="13687"/>
    <cellStyle name="SAPLocked 18 2 7 2" xfId="13688"/>
    <cellStyle name="SAPLocked 18 2 8" xfId="13689"/>
    <cellStyle name="SAPLocked 18 2 8 2" xfId="13690"/>
    <cellStyle name="SAPLocked 18 2 9" xfId="13691"/>
    <cellStyle name="SAPLocked 18 2 9 2" xfId="13692"/>
    <cellStyle name="SAPLocked 18 3" xfId="13693"/>
    <cellStyle name="SAPLocked 18 3 2" xfId="13694"/>
    <cellStyle name="SAPLocked 18 4" xfId="13695"/>
    <cellStyle name="SAPLocked 18 4 2" xfId="13696"/>
    <cellStyle name="SAPLocked 18 5" xfId="13697"/>
    <cellStyle name="SAPLocked 18 5 2" xfId="13698"/>
    <cellStyle name="SAPLocked 18 6" xfId="13699"/>
    <cellStyle name="SAPLocked 18 6 2" xfId="13700"/>
    <cellStyle name="SAPLocked 18 7" xfId="13701"/>
    <cellStyle name="SAPLocked 18 7 2" xfId="13702"/>
    <cellStyle name="SAPLocked 18 8" xfId="13703"/>
    <cellStyle name="SAPLocked 18 8 2" xfId="13704"/>
    <cellStyle name="SAPLocked 18 9" xfId="13705"/>
    <cellStyle name="SAPLocked 18 9 2" xfId="13706"/>
    <cellStyle name="SAPLocked 19" xfId="13707"/>
    <cellStyle name="SAPLocked 19 10" xfId="13708"/>
    <cellStyle name="SAPLocked 19 10 2" xfId="13709"/>
    <cellStyle name="SAPLocked 19 11" xfId="13710"/>
    <cellStyle name="SAPLocked 19 11 2" xfId="13711"/>
    <cellStyle name="SAPLocked 19 12" xfId="13712"/>
    <cellStyle name="SAPLocked 19 12 2" xfId="13713"/>
    <cellStyle name="SAPLocked 19 13" xfId="13714"/>
    <cellStyle name="SAPLocked 19 2" xfId="13715"/>
    <cellStyle name="SAPLocked 19 2 10" xfId="13716"/>
    <cellStyle name="SAPLocked 19 2 10 2" xfId="13717"/>
    <cellStyle name="SAPLocked 19 2 11" xfId="13718"/>
    <cellStyle name="SAPLocked 19 2 11 2" xfId="13719"/>
    <cellStyle name="SAPLocked 19 2 12" xfId="13720"/>
    <cellStyle name="SAPLocked 19 2 2" xfId="13721"/>
    <cellStyle name="SAPLocked 19 2 2 2" xfId="13722"/>
    <cellStyle name="SAPLocked 19 2 3" xfId="13723"/>
    <cellStyle name="SAPLocked 19 2 3 2" xfId="13724"/>
    <cellStyle name="SAPLocked 19 2 4" xfId="13725"/>
    <cellStyle name="SAPLocked 19 2 4 2" xfId="13726"/>
    <cellStyle name="SAPLocked 19 2 5" xfId="13727"/>
    <cellStyle name="SAPLocked 19 2 5 2" xfId="13728"/>
    <cellStyle name="SAPLocked 19 2 6" xfId="13729"/>
    <cellStyle name="SAPLocked 19 2 6 2" xfId="13730"/>
    <cellStyle name="SAPLocked 19 2 7" xfId="13731"/>
    <cellStyle name="SAPLocked 19 2 7 2" xfId="13732"/>
    <cellStyle name="SAPLocked 19 2 8" xfId="13733"/>
    <cellStyle name="SAPLocked 19 2 8 2" xfId="13734"/>
    <cellStyle name="SAPLocked 19 2 9" xfId="13735"/>
    <cellStyle name="SAPLocked 19 2 9 2" xfId="13736"/>
    <cellStyle name="SAPLocked 19 3" xfId="13737"/>
    <cellStyle name="SAPLocked 19 3 2" xfId="13738"/>
    <cellStyle name="SAPLocked 19 4" xfId="13739"/>
    <cellStyle name="SAPLocked 19 4 2" xfId="13740"/>
    <cellStyle name="SAPLocked 19 5" xfId="13741"/>
    <cellStyle name="SAPLocked 19 5 2" xfId="13742"/>
    <cellStyle name="SAPLocked 19 6" xfId="13743"/>
    <cellStyle name="SAPLocked 19 6 2" xfId="13744"/>
    <cellStyle name="SAPLocked 19 7" xfId="13745"/>
    <cellStyle name="SAPLocked 19 7 2" xfId="13746"/>
    <cellStyle name="SAPLocked 19 8" xfId="13747"/>
    <cellStyle name="SAPLocked 19 8 2" xfId="13748"/>
    <cellStyle name="SAPLocked 19 9" xfId="13749"/>
    <cellStyle name="SAPLocked 19 9 2" xfId="13750"/>
    <cellStyle name="SAPLocked 2" xfId="13751"/>
    <cellStyle name="SAPLocked 2 10" xfId="13752"/>
    <cellStyle name="SAPLocked 2 10 10" xfId="13753"/>
    <cellStyle name="SAPLocked 2 10 10 2" xfId="13754"/>
    <cellStyle name="SAPLocked 2 10 11" xfId="13755"/>
    <cellStyle name="SAPLocked 2 10 11 2" xfId="13756"/>
    <cellStyle name="SAPLocked 2 10 12" xfId="13757"/>
    <cellStyle name="SAPLocked 2 10 12 2" xfId="13758"/>
    <cellStyle name="SAPLocked 2 10 13" xfId="13759"/>
    <cellStyle name="SAPLocked 2 10 2" xfId="13760"/>
    <cellStyle name="SAPLocked 2 10 2 10" xfId="13761"/>
    <cellStyle name="SAPLocked 2 10 2 10 2" xfId="13762"/>
    <cellStyle name="SAPLocked 2 10 2 11" xfId="13763"/>
    <cellStyle name="SAPLocked 2 10 2 11 2" xfId="13764"/>
    <cellStyle name="SAPLocked 2 10 2 12" xfId="13765"/>
    <cellStyle name="SAPLocked 2 10 2 2" xfId="13766"/>
    <cellStyle name="SAPLocked 2 10 2 2 2" xfId="13767"/>
    <cellStyle name="SAPLocked 2 10 2 3" xfId="13768"/>
    <cellStyle name="SAPLocked 2 10 2 3 2" xfId="13769"/>
    <cellStyle name="SAPLocked 2 10 2 4" xfId="13770"/>
    <cellStyle name="SAPLocked 2 10 2 4 2" xfId="13771"/>
    <cellStyle name="SAPLocked 2 10 2 5" xfId="13772"/>
    <cellStyle name="SAPLocked 2 10 2 5 2" xfId="13773"/>
    <cellStyle name="SAPLocked 2 10 2 6" xfId="13774"/>
    <cellStyle name="SAPLocked 2 10 2 6 2" xfId="13775"/>
    <cellStyle name="SAPLocked 2 10 2 7" xfId="13776"/>
    <cellStyle name="SAPLocked 2 10 2 7 2" xfId="13777"/>
    <cellStyle name="SAPLocked 2 10 2 8" xfId="13778"/>
    <cellStyle name="SAPLocked 2 10 2 8 2" xfId="13779"/>
    <cellStyle name="SAPLocked 2 10 2 9" xfId="13780"/>
    <cellStyle name="SAPLocked 2 10 2 9 2" xfId="13781"/>
    <cellStyle name="SAPLocked 2 10 3" xfId="13782"/>
    <cellStyle name="SAPLocked 2 10 3 2" xfId="13783"/>
    <cellStyle name="SAPLocked 2 10 4" xfId="13784"/>
    <cellStyle name="SAPLocked 2 10 4 2" xfId="13785"/>
    <cellStyle name="SAPLocked 2 10 5" xfId="13786"/>
    <cellStyle name="SAPLocked 2 10 5 2" xfId="13787"/>
    <cellStyle name="SAPLocked 2 10 6" xfId="13788"/>
    <cellStyle name="SAPLocked 2 10 6 2" xfId="13789"/>
    <cellStyle name="SAPLocked 2 10 7" xfId="13790"/>
    <cellStyle name="SAPLocked 2 10 7 2" xfId="13791"/>
    <cellStyle name="SAPLocked 2 10 8" xfId="13792"/>
    <cellStyle name="SAPLocked 2 10 8 2" xfId="13793"/>
    <cellStyle name="SAPLocked 2 10 9" xfId="13794"/>
    <cellStyle name="SAPLocked 2 10 9 2" xfId="13795"/>
    <cellStyle name="SAPLocked 2 11" xfId="13796"/>
    <cellStyle name="SAPLocked 2 11 10" xfId="13797"/>
    <cellStyle name="SAPLocked 2 11 10 2" xfId="13798"/>
    <cellStyle name="SAPLocked 2 11 11" xfId="13799"/>
    <cellStyle name="SAPLocked 2 11 11 2" xfId="13800"/>
    <cellStyle name="SAPLocked 2 11 12" xfId="13801"/>
    <cellStyle name="SAPLocked 2 11 12 2" xfId="13802"/>
    <cellStyle name="SAPLocked 2 11 13" xfId="13803"/>
    <cellStyle name="SAPLocked 2 11 2" xfId="13804"/>
    <cellStyle name="SAPLocked 2 11 2 10" xfId="13805"/>
    <cellStyle name="SAPLocked 2 11 2 10 2" xfId="13806"/>
    <cellStyle name="SAPLocked 2 11 2 11" xfId="13807"/>
    <cellStyle name="SAPLocked 2 11 2 11 2" xfId="13808"/>
    <cellStyle name="SAPLocked 2 11 2 12" xfId="13809"/>
    <cellStyle name="SAPLocked 2 11 2 2" xfId="13810"/>
    <cellStyle name="SAPLocked 2 11 2 2 2" xfId="13811"/>
    <cellStyle name="SAPLocked 2 11 2 3" xfId="13812"/>
    <cellStyle name="SAPLocked 2 11 2 3 2" xfId="13813"/>
    <cellStyle name="SAPLocked 2 11 2 4" xfId="13814"/>
    <cellStyle name="SAPLocked 2 11 2 4 2" xfId="13815"/>
    <cellStyle name="SAPLocked 2 11 2 5" xfId="13816"/>
    <cellStyle name="SAPLocked 2 11 2 5 2" xfId="13817"/>
    <cellStyle name="SAPLocked 2 11 2 6" xfId="13818"/>
    <cellStyle name="SAPLocked 2 11 2 6 2" xfId="13819"/>
    <cellStyle name="SAPLocked 2 11 2 7" xfId="13820"/>
    <cellStyle name="SAPLocked 2 11 2 7 2" xfId="13821"/>
    <cellStyle name="SAPLocked 2 11 2 8" xfId="13822"/>
    <cellStyle name="SAPLocked 2 11 2 8 2" xfId="13823"/>
    <cellStyle name="SAPLocked 2 11 2 9" xfId="13824"/>
    <cellStyle name="SAPLocked 2 11 2 9 2" xfId="13825"/>
    <cellStyle name="SAPLocked 2 11 3" xfId="13826"/>
    <cellStyle name="SAPLocked 2 11 3 2" xfId="13827"/>
    <cellStyle name="SAPLocked 2 11 4" xfId="13828"/>
    <cellStyle name="SAPLocked 2 11 4 2" xfId="13829"/>
    <cellStyle name="SAPLocked 2 11 5" xfId="13830"/>
    <cellStyle name="SAPLocked 2 11 5 2" xfId="13831"/>
    <cellStyle name="SAPLocked 2 11 6" xfId="13832"/>
    <cellStyle name="SAPLocked 2 11 6 2" xfId="13833"/>
    <cellStyle name="SAPLocked 2 11 7" xfId="13834"/>
    <cellStyle name="SAPLocked 2 11 7 2" xfId="13835"/>
    <cellStyle name="SAPLocked 2 11 8" xfId="13836"/>
    <cellStyle name="SAPLocked 2 11 8 2" xfId="13837"/>
    <cellStyle name="SAPLocked 2 11 9" xfId="13838"/>
    <cellStyle name="SAPLocked 2 11 9 2" xfId="13839"/>
    <cellStyle name="SAPLocked 2 12" xfId="13840"/>
    <cellStyle name="SAPLocked 2 12 10" xfId="13841"/>
    <cellStyle name="SAPLocked 2 12 10 2" xfId="13842"/>
    <cellStyle name="SAPLocked 2 12 11" xfId="13843"/>
    <cellStyle name="SAPLocked 2 12 11 2" xfId="13844"/>
    <cellStyle name="SAPLocked 2 12 12" xfId="13845"/>
    <cellStyle name="SAPLocked 2 12 12 2" xfId="13846"/>
    <cellStyle name="SAPLocked 2 12 13" xfId="13847"/>
    <cellStyle name="SAPLocked 2 12 2" xfId="13848"/>
    <cellStyle name="SAPLocked 2 12 2 10" xfId="13849"/>
    <cellStyle name="SAPLocked 2 12 2 10 2" xfId="13850"/>
    <cellStyle name="SAPLocked 2 12 2 11" xfId="13851"/>
    <cellStyle name="SAPLocked 2 12 2 11 2" xfId="13852"/>
    <cellStyle name="SAPLocked 2 12 2 12" xfId="13853"/>
    <cellStyle name="SAPLocked 2 12 2 2" xfId="13854"/>
    <cellStyle name="SAPLocked 2 12 2 2 2" xfId="13855"/>
    <cellStyle name="SAPLocked 2 12 2 3" xfId="13856"/>
    <cellStyle name="SAPLocked 2 12 2 3 2" xfId="13857"/>
    <cellStyle name="SAPLocked 2 12 2 4" xfId="13858"/>
    <cellStyle name="SAPLocked 2 12 2 4 2" xfId="13859"/>
    <cellStyle name="SAPLocked 2 12 2 5" xfId="13860"/>
    <cellStyle name="SAPLocked 2 12 2 5 2" xfId="13861"/>
    <cellStyle name="SAPLocked 2 12 2 6" xfId="13862"/>
    <cellStyle name="SAPLocked 2 12 2 6 2" xfId="13863"/>
    <cellStyle name="SAPLocked 2 12 2 7" xfId="13864"/>
    <cellStyle name="SAPLocked 2 12 2 7 2" xfId="13865"/>
    <cellStyle name="SAPLocked 2 12 2 8" xfId="13866"/>
    <cellStyle name="SAPLocked 2 12 2 8 2" xfId="13867"/>
    <cellStyle name="SAPLocked 2 12 2 9" xfId="13868"/>
    <cellStyle name="SAPLocked 2 12 2 9 2" xfId="13869"/>
    <cellStyle name="SAPLocked 2 12 3" xfId="13870"/>
    <cellStyle name="SAPLocked 2 12 3 2" xfId="13871"/>
    <cellStyle name="SAPLocked 2 12 4" xfId="13872"/>
    <cellStyle name="SAPLocked 2 12 4 2" xfId="13873"/>
    <cellStyle name="SAPLocked 2 12 5" xfId="13874"/>
    <cellStyle name="SAPLocked 2 12 5 2" xfId="13875"/>
    <cellStyle name="SAPLocked 2 12 6" xfId="13876"/>
    <cellStyle name="SAPLocked 2 12 6 2" xfId="13877"/>
    <cellStyle name="SAPLocked 2 12 7" xfId="13878"/>
    <cellStyle name="SAPLocked 2 12 7 2" xfId="13879"/>
    <cellStyle name="SAPLocked 2 12 8" xfId="13880"/>
    <cellStyle name="SAPLocked 2 12 8 2" xfId="13881"/>
    <cellStyle name="SAPLocked 2 12 9" xfId="13882"/>
    <cellStyle name="SAPLocked 2 12 9 2" xfId="13883"/>
    <cellStyle name="SAPLocked 2 13" xfId="13884"/>
    <cellStyle name="SAPLocked 2 13 10" xfId="13885"/>
    <cellStyle name="SAPLocked 2 13 10 2" xfId="13886"/>
    <cellStyle name="SAPLocked 2 13 11" xfId="13887"/>
    <cellStyle name="SAPLocked 2 13 11 2" xfId="13888"/>
    <cellStyle name="SAPLocked 2 13 12" xfId="13889"/>
    <cellStyle name="SAPLocked 2 13 12 2" xfId="13890"/>
    <cellStyle name="SAPLocked 2 13 13" xfId="13891"/>
    <cellStyle name="SAPLocked 2 13 2" xfId="13892"/>
    <cellStyle name="SAPLocked 2 13 2 10" xfId="13893"/>
    <cellStyle name="SAPLocked 2 13 2 10 2" xfId="13894"/>
    <cellStyle name="SAPLocked 2 13 2 11" xfId="13895"/>
    <cellStyle name="SAPLocked 2 13 2 11 2" xfId="13896"/>
    <cellStyle name="SAPLocked 2 13 2 12" xfId="13897"/>
    <cellStyle name="SAPLocked 2 13 2 2" xfId="13898"/>
    <cellStyle name="SAPLocked 2 13 2 2 2" xfId="13899"/>
    <cellStyle name="SAPLocked 2 13 2 3" xfId="13900"/>
    <cellStyle name="SAPLocked 2 13 2 3 2" xfId="13901"/>
    <cellStyle name="SAPLocked 2 13 2 4" xfId="13902"/>
    <cellStyle name="SAPLocked 2 13 2 4 2" xfId="13903"/>
    <cellStyle name="SAPLocked 2 13 2 5" xfId="13904"/>
    <cellStyle name="SAPLocked 2 13 2 5 2" xfId="13905"/>
    <cellStyle name="SAPLocked 2 13 2 6" xfId="13906"/>
    <cellStyle name="SAPLocked 2 13 2 6 2" xfId="13907"/>
    <cellStyle name="SAPLocked 2 13 2 7" xfId="13908"/>
    <cellStyle name="SAPLocked 2 13 2 7 2" xfId="13909"/>
    <cellStyle name="SAPLocked 2 13 2 8" xfId="13910"/>
    <cellStyle name="SAPLocked 2 13 2 8 2" xfId="13911"/>
    <cellStyle name="SAPLocked 2 13 2 9" xfId="13912"/>
    <cellStyle name="SAPLocked 2 13 2 9 2" xfId="13913"/>
    <cellStyle name="SAPLocked 2 13 3" xfId="13914"/>
    <cellStyle name="SAPLocked 2 13 3 2" xfId="13915"/>
    <cellStyle name="SAPLocked 2 13 4" xfId="13916"/>
    <cellStyle name="SAPLocked 2 13 4 2" xfId="13917"/>
    <cellStyle name="SAPLocked 2 13 5" xfId="13918"/>
    <cellStyle name="SAPLocked 2 13 5 2" xfId="13919"/>
    <cellStyle name="SAPLocked 2 13 6" xfId="13920"/>
    <cellStyle name="SAPLocked 2 13 6 2" xfId="13921"/>
    <cellStyle name="SAPLocked 2 13 7" xfId="13922"/>
    <cellStyle name="SAPLocked 2 13 7 2" xfId="13923"/>
    <cellStyle name="SAPLocked 2 13 8" xfId="13924"/>
    <cellStyle name="SAPLocked 2 13 8 2" xfId="13925"/>
    <cellStyle name="SAPLocked 2 13 9" xfId="13926"/>
    <cellStyle name="SAPLocked 2 13 9 2" xfId="13927"/>
    <cellStyle name="SAPLocked 2 14" xfId="13928"/>
    <cellStyle name="SAPLocked 2 14 10" xfId="13929"/>
    <cellStyle name="SAPLocked 2 14 10 2" xfId="13930"/>
    <cellStyle name="SAPLocked 2 14 11" xfId="13931"/>
    <cellStyle name="SAPLocked 2 14 11 2" xfId="13932"/>
    <cellStyle name="SAPLocked 2 14 12" xfId="13933"/>
    <cellStyle name="SAPLocked 2 14 12 2" xfId="13934"/>
    <cellStyle name="SAPLocked 2 14 13" xfId="13935"/>
    <cellStyle name="SAPLocked 2 14 2" xfId="13936"/>
    <cellStyle name="SAPLocked 2 14 2 10" xfId="13937"/>
    <cellStyle name="SAPLocked 2 14 2 10 2" xfId="13938"/>
    <cellStyle name="SAPLocked 2 14 2 11" xfId="13939"/>
    <cellStyle name="SAPLocked 2 14 2 11 2" xfId="13940"/>
    <cellStyle name="SAPLocked 2 14 2 12" xfId="13941"/>
    <cellStyle name="SAPLocked 2 14 2 2" xfId="13942"/>
    <cellStyle name="SAPLocked 2 14 2 2 2" xfId="13943"/>
    <cellStyle name="SAPLocked 2 14 2 3" xfId="13944"/>
    <cellStyle name="SAPLocked 2 14 2 3 2" xfId="13945"/>
    <cellStyle name="SAPLocked 2 14 2 4" xfId="13946"/>
    <cellStyle name="SAPLocked 2 14 2 4 2" xfId="13947"/>
    <cellStyle name="SAPLocked 2 14 2 5" xfId="13948"/>
    <cellStyle name="SAPLocked 2 14 2 5 2" xfId="13949"/>
    <cellStyle name="SAPLocked 2 14 2 6" xfId="13950"/>
    <cellStyle name="SAPLocked 2 14 2 6 2" xfId="13951"/>
    <cellStyle name="SAPLocked 2 14 2 7" xfId="13952"/>
    <cellStyle name="SAPLocked 2 14 2 7 2" xfId="13953"/>
    <cellStyle name="SAPLocked 2 14 2 8" xfId="13954"/>
    <cellStyle name="SAPLocked 2 14 2 8 2" xfId="13955"/>
    <cellStyle name="SAPLocked 2 14 2 9" xfId="13956"/>
    <cellStyle name="SAPLocked 2 14 2 9 2" xfId="13957"/>
    <cellStyle name="SAPLocked 2 14 3" xfId="13958"/>
    <cellStyle name="SAPLocked 2 14 3 2" xfId="13959"/>
    <cellStyle name="SAPLocked 2 14 4" xfId="13960"/>
    <cellStyle name="SAPLocked 2 14 4 2" xfId="13961"/>
    <cellStyle name="SAPLocked 2 14 5" xfId="13962"/>
    <cellStyle name="SAPLocked 2 14 5 2" xfId="13963"/>
    <cellStyle name="SAPLocked 2 14 6" xfId="13964"/>
    <cellStyle name="SAPLocked 2 14 6 2" xfId="13965"/>
    <cellStyle name="SAPLocked 2 14 7" xfId="13966"/>
    <cellStyle name="SAPLocked 2 14 7 2" xfId="13967"/>
    <cellStyle name="SAPLocked 2 14 8" xfId="13968"/>
    <cellStyle name="SAPLocked 2 14 8 2" xfId="13969"/>
    <cellStyle name="SAPLocked 2 14 9" xfId="13970"/>
    <cellStyle name="SAPLocked 2 14 9 2" xfId="13971"/>
    <cellStyle name="SAPLocked 2 15" xfId="13972"/>
    <cellStyle name="SAPLocked 2 15 10" xfId="13973"/>
    <cellStyle name="SAPLocked 2 15 10 2" xfId="13974"/>
    <cellStyle name="SAPLocked 2 15 11" xfId="13975"/>
    <cellStyle name="SAPLocked 2 15 11 2" xfId="13976"/>
    <cellStyle name="SAPLocked 2 15 12" xfId="13977"/>
    <cellStyle name="SAPLocked 2 15 12 2" xfId="13978"/>
    <cellStyle name="SAPLocked 2 15 13" xfId="13979"/>
    <cellStyle name="SAPLocked 2 15 2" xfId="13980"/>
    <cellStyle name="SAPLocked 2 15 2 10" xfId="13981"/>
    <cellStyle name="SAPLocked 2 15 2 10 2" xfId="13982"/>
    <cellStyle name="SAPLocked 2 15 2 11" xfId="13983"/>
    <cellStyle name="SAPLocked 2 15 2 11 2" xfId="13984"/>
    <cellStyle name="SAPLocked 2 15 2 12" xfId="13985"/>
    <cellStyle name="SAPLocked 2 15 2 2" xfId="13986"/>
    <cellStyle name="SAPLocked 2 15 2 2 2" xfId="13987"/>
    <cellStyle name="SAPLocked 2 15 2 3" xfId="13988"/>
    <cellStyle name="SAPLocked 2 15 2 3 2" xfId="13989"/>
    <cellStyle name="SAPLocked 2 15 2 4" xfId="13990"/>
    <cellStyle name="SAPLocked 2 15 2 4 2" xfId="13991"/>
    <cellStyle name="SAPLocked 2 15 2 5" xfId="13992"/>
    <cellStyle name="SAPLocked 2 15 2 5 2" xfId="13993"/>
    <cellStyle name="SAPLocked 2 15 2 6" xfId="13994"/>
    <cellStyle name="SAPLocked 2 15 2 6 2" xfId="13995"/>
    <cellStyle name="SAPLocked 2 15 2 7" xfId="13996"/>
    <cellStyle name="SAPLocked 2 15 2 7 2" xfId="13997"/>
    <cellStyle name="SAPLocked 2 15 2 8" xfId="13998"/>
    <cellStyle name="SAPLocked 2 15 2 8 2" xfId="13999"/>
    <cellStyle name="SAPLocked 2 15 2 9" xfId="14000"/>
    <cellStyle name="SAPLocked 2 15 2 9 2" xfId="14001"/>
    <cellStyle name="SAPLocked 2 15 3" xfId="14002"/>
    <cellStyle name="SAPLocked 2 15 3 2" xfId="14003"/>
    <cellStyle name="SAPLocked 2 15 4" xfId="14004"/>
    <cellStyle name="SAPLocked 2 15 4 2" xfId="14005"/>
    <cellStyle name="SAPLocked 2 15 5" xfId="14006"/>
    <cellStyle name="SAPLocked 2 15 5 2" xfId="14007"/>
    <cellStyle name="SAPLocked 2 15 6" xfId="14008"/>
    <cellStyle name="SAPLocked 2 15 6 2" xfId="14009"/>
    <cellStyle name="SAPLocked 2 15 7" xfId="14010"/>
    <cellStyle name="SAPLocked 2 15 7 2" xfId="14011"/>
    <cellStyle name="SAPLocked 2 15 8" xfId="14012"/>
    <cellStyle name="SAPLocked 2 15 8 2" xfId="14013"/>
    <cellStyle name="SAPLocked 2 15 9" xfId="14014"/>
    <cellStyle name="SAPLocked 2 15 9 2" xfId="14015"/>
    <cellStyle name="SAPLocked 2 16" xfId="14016"/>
    <cellStyle name="SAPLocked 2 16 10" xfId="14017"/>
    <cellStyle name="SAPLocked 2 16 10 2" xfId="14018"/>
    <cellStyle name="SAPLocked 2 16 11" xfId="14019"/>
    <cellStyle name="SAPLocked 2 16 11 2" xfId="14020"/>
    <cellStyle name="SAPLocked 2 16 12" xfId="14021"/>
    <cellStyle name="SAPLocked 2 16 12 2" xfId="14022"/>
    <cellStyle name="SAPLocked 2 16 13" xfId="14023"/>
    <cellStyle name="SAPLocked 2 16 2" xfId="14024"/>
    <cellStyle name="SAPLocked 2 16 2 10" xfId="14025"/>
    <cellStyle name="SAPLocked 2 16 2 10 2" xfId="14026"/>
    <cellStyle name="SAPLocked 2 16 2 11" xfId="14027"/>
    <cellStyle name="SAPLocked 2 16 2 11 2" xfId="14028"/>
    <cellStyle name="SAPLocked 2 16 2 12" xfId="14029"/>
    <cellStyle name="SAPLocked 2 16 2 2" xfId="14030"/>
    <cellStyle name="SAPLocked 2 16 2 2 2" xfId="14031"/>
    <cellStyle name="SAPLocked 2 16 2 3" xfId="14032"/>
    <cellStyle name="SAPLocked 2 16 2 3 2" xfId="14033"/>
    <cellStyle name="SAPLocked 2 16 2 4" xfId="14034"/>
    <cellStyle name="SAPLocked 2 16 2 4 2" xfId="14035"/>
    <cellStyle name="SAPLocked 2 16 2 5" xfId="14036"/>
    <cellStyle name="SAPLocked 2 16 2 5 2" xfId="14037"/>
    <cellStyle name="SAPLocked 2 16 2 6" xfId="14038"/>
    <cellStyle name="SAPLocked 2 16 2 6 2" xfId="14039"/>
    <cellStyle name="SAPLocked 2 16 2 7" xfId="14040"/>
    <cellStyle name="SAPLocked 2 16 2 7 2" xfId="14041"/>
    <cellStyle name="SAPLocked 2 16 2 8" xfId="14042"/>
    <cellStyle name="SAPLocked 2 16 2 8 2" xfId="14043"/>
    <cellStyle name="SAPLocked 2 16 2 9" xfId="14044"/>
    <cellStyle name="SAPLocked 2 16 2 9 2" xfId="14045"/>
    <cellStyle name="SAPLocked 2 16 3" xfId="14046"/>
    <cellStyle name="SAPLocked 2 16 3 2" xfId="14047"/>
    <cellStyle name="SAPLocked 2 16 4" xfId="14048"/>
    <cellStyle name="SAPLocked 2 16 4 2" xfId="14049"/>
    <cellStyle name="SAPLocked 2 16 5" xfId="14050"/>
    <cellStyle name="SAPLocked 2 16 5 2" xfId="14051"/>
    <cellStyle name="SAPLocked 2 16 6" xfId="14052"/>
    <cellStyle name="SAPLocked 2 16 6 2" xfId="14053"/>
    <cellStyle name="SAPLocked 2 16 7" xfId="14054"/>
    <cellStyle name="SAPLocked 2 16 7 2" xfId="14055"/>
    <cellStyle name="SAPLocked 2 16 8" xfId="14056"/>
    <cellStyle name="SAPLocked 2 16 8 2" xfId="14057"/>
    <cellStyle name="SAPLocked 2 16 9" xfId="14058"/>
    <cellStyle name="SAPLocked 2 16 9 2" xfId="14059"/>
    <cellStyle name="SAPLocked 2 17" xfId="14060"/>
    <cellStyle name="SAPLocked 2 17 10" xfId="14061"/>
    <cellStyle name="SAPLocked 2 17 10 2" xfId="14062"/>
    <cellStyle name="SAPLocked 2 17 11" xfId="14063"/>
    <cellStyle name="SAPLocked 2 17 11 2" xfId="14064"/>
    <cellStyle name="SAPLocked 2 17 12" xfId="14065"/>
    <cellStyle name="SAPLocked 2 17 12 2" xfId="14066"/>
    <cellStyle name="SAPLocked 2 17 13" xfId="14067"/>
    <cellStyle name="SAPLocked 2 17 2" xfId="14068"/>
    <cellStyle name="SAPLocked 2 17 2 10" xfId="14069"/>
    <cellStyle name="SAPLocked 2 17 2 10 2" xfId="14070"/>
    <cellStyle name="SAPLocked 2 17 2 11" xfId="14071"/>
    <cellStyle name="SAPLocked 2 17 2 11 2" xfId="14072"/>
    <cellStyle name="SAPLocked 2 17 2 12" xfId="14073"/>
    <cellStyle name="SAPLocked 2 17 2 2" xfId="14074"/>
    <cellStyle name="SAPLocked 2 17 2 2 2" xfId="14075"/>
    <cellStyle name="SAPLocked 2 17 2 3" xfId="14076"/>
    <cellStyle name="SAPLocked 2 17 2 3 2" xfId="14077"/>
    <cellStyle name="SAPLocked 2 17 2 4" xfId="14078"/>
    <cellStyle name="SAPLocked 2 17 2 4 2" xfId="14079"/>
    <cellStyle name="SAPLocked 2 17 2 5" xfId="14080"/>
    <cellStyle name="SAPLocked 2 17 2 5 2" xfId="14081"/>
    <cellStyle name="SAPLocked 2 17 2 6" xfId="14082"/>
    <cellStyle name="SAPLocked 2 17 2 6 2" xfId="14083"/>
    <cellStyle name="SAPLocked 2 17 2 7" xfId="14084"/>
    <cellStyle name="SAPLocked 2 17 2 7 2" xfId="14085"/>
    <cellStyle name="SAPLocked 2 17 2 8" xfId="14086"/>
    <cellStyle name="SAPLocked 2 17 2 8 2" xfId="14087"/>
    <cellStyle name="SAPLocked 2 17 2 9" xfId="14088"/>
    <cellStyle name="SAPLocked 2 17 2 9 2" xfId="14089"/>
    <cellStyle name="SAPLocked 2 17 3" xfId="14090"/>
    <cellStyle name="SAPLocked 2 17 3 2" xfId="14091"/>
    <cellStyle name="SAPLocked 2 17 4" xfId="14092"/>
    <cellStyle name="SAPLocked 2 17 4 2" xfId="14093"/>
    <cellStyle name="SAPLocked 2 17 5" xfId="14094"/>
    <cellStyle name="SAPLocked 2 17 5 2" xfId="14095"/>
    <cellStyle name="SAPLocked 2 17 6" xfId="14096"/>
    <cellStyle name="SAPLocked 2 17 6 2" xfId="14097"/>
    <cellStyle name="SAPLocked 2 17 7" xfId="14098"/>
    <cellStyle name="SAPLocked 2 17 7 2" xfId="14099"/>
    <cellStyle name="SAPLocked 2 17 8" xfId="14100"/>
    <cellStyle name="SAPLocked 2 17 8 2" xfId="14101"/>
    <cellStyle name="SAPLocked 2 17 9" xfId="14102"/>
    <cellStyle name="SAPLocked 2 17 9 2" xfId="14103"/>
    <cellStyle name="SAPLocked 2 18" xfId="14104"/>
    <cellStyle name="SAPLocked 2 18 10" xfId="14105"/>
    <cellStyle name="SAPLocked 2 18 10 2" xfId="14106"/>
    <cellStyle name="SAPLocked 2 18 11" xfId="14107"/>
    <cellStyle name="SAPLocked 2 18 11 2" xfId="14108"/>
    <cellStyle name="SAPLocked 2 18 12" xfId="14109"/>
    <cellStyle name="SAPLocked 2 18 12 2" xfId="14110"/>
    <cellStyle name="SAPLocked 2 18 13" xfId="14111"/>
    <cellStyle name="SAPLocked 2 18 2" xfId="14112"/>
    <cellStyle name="SAPLocked 2 18 2 10" xfId="14113"/>
    <cellStyle name="SAPLocked 2 18 2 10 2" xfId="14114"/>
    <cellStyle name="SAPLocked 2 18 2 11" xfId="14115"/>
    <cellStyle name="SAPLocked 2 18 2 11 2" xfId="14116"/>
    <cellStyle name="SAPLocked 2 18 2 12" xfId="14117"/>
    <cellStyle name="SAPLocked 2 18 2 2" xfId="14118"/>
    <cellStyle name="SAPLocked 2 18 2 2 2" xfId="14119"/>
    <cellStyle name="SAPLocked 2 18 2 3" xfId="14120"/>
    <cellStyle name="SAPLocked 2 18 2 3 2" xfId="14121"/>
    <cellStyle name="SAPLocked 2 18 2 4" xfId="14122"/>
    <cellStyle name="SAPLocked 2 18 2 4 2" xfId="14123"/>
    <cellStyle name="SAPLocked 2 18 2 5" xfId="14124"/>
    <cellStyle name="SAPLocked 2 18 2 5 2" xfId="14125"/>
    <cellStyle name="SAPLocked 2 18 2 6" xfId="14126"/>
    <cellStyle name="SAPLocked 2 18 2 6 2" xfId="14127"/>
    <cellStyle name="SAPLocked 2 18 2 7" xfId="14128"/>
    <cellStyle name="SAPLocked 2 18 2 7 2" xfId="14129"/>
    <cellStyle name="SAPLocked 2 18 2 8" xfId="14130"/>
    <cellStyle name="SAPLocked 2 18 2 8 2" xfId="14131"/>
    <cellStyle name="SAPLocked 2 18 2 9" xfId="14132"/>
    <cellStyle name="SAPLocked 2 18 2 9 2" xfId="14133"/>
    <cellStyle name="SAPLocked 2 18 3" xfId="14134"/>
    <cellStyle name="SAPLocked 2 18 3 2" xfId="14135"/>
    <cellStyle name="SAPLocked 2 18 4" xfId="14136"/>
    <cellStyle name="SAPLocked 2 18 4 2" xfId="14137"/>
    <cellStyle name="SAPLocked 2 18 5" xfId="14138"/>
    <cellStyle name="SAPLocked 2 18 5 2" xfId="14139"/>
    <cellStyle name="SAPLocked 2 18 6" xfId="14140"/>
    <cellStyle name="SAPLocked 2 18 6 2" xfId="14141"/>
    <cellStyle name="SAPLocked 2 18 7" xfId="14142"/>
    <cellStyle name="SAPLocked 2 18 7 2" xfId="14143"/>
    <cellStyle name="SAPLocked 2 18 8" xfId="14144"/>
    <cellStyle name="SAPLocked 2 18 8 2" xfId="14145"/>
    <cellStyle name="SAPLocked 2 18 9" xfId="14146"/>
    <cellStyle name="SAPLocked 2 18 9 2" xfId="14147"/>
    <cellStyle name="SAPLocked 2 19" xfId="14148"/>
    <cellStyle name="SAPLocked 2 19 10" xfId="14149"/>
    <cellStyle name="SAPLocked 2 19 10 2" xfId="14150"/>
    <cellStyle name="SAPLocked 2 19 11" xfId="14151"/>
    <cellStyle name="SAPLocked 2 19 11 2" xfId="14152"/>
    <cellStyle name="SAPLocked 2 19 12" xfId="14153"/>
    <cellStyle name="SAPLocked 2 19 12 2" xfId="14154"/>
    <cellStyle name="SAPLocked 2 19 13" xfId="14155"/>
    <cellStyle name="SAPLocked 2 19 2" xfId="14156"/>
    <cellStyle name="SAPLocked 2 19 2 10" xfId="14157"/>
    <cellStyle name="SAPLocked 2 19 2 10 2" xfId="14158"/>
    <cellStyle name="SAPLocked 2 19 2 11" xfId="14159"/>
    <cellStyle name="SAPLocked 2 19 2 11 2" xfId="14160"/>
    <cellStyle name="SAPLocked 2 19 2 12" xfId="14161"/>
    <cellStyle name="SAPLocked 2 19 2 2" xfId="14162"/>
    <cellStyle name="SAPLocked 2 19 2 2 2" xfId="14163"/>
    <cellStyle name="SAPLocked 2 19 2 3" xfId="14164"/>
    <cellStyle name="SAPLocked 2 19 2 3 2" xfId="14165"/>
    <cellStyle name="SAPLocked 2 19 2 4" xfId="14166"/>
    <cellStyle name="SAPLocked 2 19 2 4 2" xfId="14167"/>
    <cellStyle name="SAPLocked 2 19 2 5" xfId="14168"/>
    <cellStyle name="SAPLocked 2 19 2 5 2" xfId="14169"/>
    <cellStyle name="SAPLocked 2 19 2 6" xfId="14170"/>
    <cellStyle name="SAPLocked 2 19 2 6 2" xfId="14171"/>
    <cellStyle name="SAPLocked 2 19 2 7" xfId="14172"/>
    <cellStyle name="SAPLocked 2 19 2 7 2" xfId="14173"/>
    <cellStyle name="SAPLocked 2 19 2 8" xfId="14174"/>
    <cellStyle name="SAPLocked 2 19 2 8 2" xfId="14175"/>
    <cellStyle name="SAPLocked 2 19 2 9" xfId="14176"/>
    <cellStyle name="SAPLocked 2 19 2 9 2" xfId="14177"/>
    <cellStyle name="SAPLocked 2 19 3" xfId="14178"/>
    <cellStyle name="SAPLocked 2 19 3 2" xfId="14179"/>
    <cellStyle name="SAPLocked 2 19 4" xfId="14180"/>
    <cellStyle name="SAPLocked 2 19 4 2" xfId="14181"/>
    <cellStyle name="SAPLocked 2 19 5" xfId="14182"/>
    <cellStyle name="SAPLocked 2 19 5 2" xfId="14183"/>
    <cellStyle name="SAPLocked 2 19 6" xfId="14184"/>
    <cellStyle name="SAPLocked 2 19 6 2" xfId="14185"/>
    <cellStyle name="SAPLocked 2 19 7" xfId="14186"/>
    <cellStyle name="SAPLocked 2 19 7 2" xfId="14187"/>
    <cellStyle name="SAPLocked 2 19 8" xfId="14188"/>
    <cellStyle name="SAPLocked 2 19 8 2" xfId="14189"/>
    <cellStyle name="SAPLocked 2 19 9" xfId="14190"/>
    <cellStyle name="SAPLocked 2 19 9 2" xfId="14191"/>
    <cellStyle name="SAPLocked 2 2" xfId="14192"/>
    <cellStyle name="SAPLocked 2 2 10" xfId="14193"/>
    <cellStyle name="SAPLocked 2 2 10 2" xfId="14194"/>
    <cellStyle name="SAPLocked 2 2 11" xfId="14195"/>
    <cellStyle name="SAPLocked 2 2 11 2" xfId="14196"/>
    <cellStyle name="SAPLocked 2 2 12" xfId="14197"/>
    <cellStyle name="SAPLocked 2 2 12 2" xfId="14198"/>
    <cellStyle name="SAPLocked 2 2 13" xfId="14199"/>
    <cellStyle name="SAPLocked 2 2 2" xfId="14200"/>
    <cellStyle name="SAPLocked 2 2 2 10" xfId="14201"/>
    <cellStyle name="SAPLocked 2 2 2 10 2" xfId="14202"/>
    <cellStyle name="SAPLocked 2 2 2 11" xfId="14203"/>
    <cellStyle name="SAPLocked 2 2 2 11 2" xfId="14204"/>
    <cellStyle name="SAPLocked 2 2 2 12" xfId="14205"/>
    <cellStyle name="SAPLocked 2 2 2 2" xfId="14206"/>
    <cellStyle name="SAPLocked 2 2 2 2 2" xfId="14207"/>
    <cellStyle name="SAPLocked 2 2 2 3" xfId="14208"/>
    <cellStyle name="SAPLocked 2 2 2 3 2" xfId="14209"/>
    <cellStyle name="SAPLocked 2 2 2 4" xfId="14210"/>
    <cellStyle name="SAPLocked 2 2 2 4 2" xfId="14211"/>
    <cellStyle name="SAPLocked 2 2 2 5" xfId="14212"/>
    <cellStyle name="SAPLocked 2 2 2 5 2" xfId="14213"/>
    <cellStyle name="SAPLocked 2 2 2 6" xfId="14214"/>
    <cellStyle name="SAPLocked 2 2 2 6 2" xfId="14215"/>
    <cellStyle name="SAPLocked 2 2 2 7" xfId="14216"/>
    <cellStyle name="SAPLocked 2 2 2 7 2" xfId="14217"/>
    <cellStyle name="SAPLocked 2 2 2 8" xfId="14218"/>
    <cellStyle name="SAPLocked 2 2 2 8 2" xfId="14219"/>
    <cellStyle name="SAPLocked 2 2 2 9" xfId="14220"/>
    <cellStyle name="SAPLocked 2 2 2 9 2" xfId="14221"/>
    <cellStyle name="SAPLocked 2 2 3" xfId="14222"/>
    <cellStyle name="SAPLocked 2 2 3 2" xfId="14223"/>
    <cellStyle name="SAPLocked 2 2 4" xfId="14224"/>
    <cellStyle name="SAPLocked 2 2 4 2" xfId="14225"/>
    <cellStyle name="SAPLocked 2 2 5" xfId="14226"/>
    <cellStyle name="SAPLocked 2 2 5 2" xfId="14227"/>
    <cellStyle name="SAPLocked 2 2 6" xfId="14228"/>
    <cellStyle name="SAPLocked 2 2 6 2" xfId="14229"/>
    <cellStyle name="SAPLocked 2 2 7" xfId="14230"/>
    <cellStyle name="SAPLocked 2 2 7 2" xfId="14231"/>
    <cellStyle name="SAPLocked 2 2 8" xfId="14232"/>
    <cellStyle name="SAPLocked 2 2 8 2" xfId="14233"/>
    <cellStyle name="SAPLocked 2 2 9" xfId="14234"/>
    <cellStyle name="SAPLocked 2 2 9 2" xfId="14235"/>
    <cellStyle name="SAPLocked 2 20" xfId="14236"/>
    <cellStyle name="SAPLocked 2 20 10" xfId="14237"/>
    <cellStyle name="SAPLocked 2 20 10 2" xfId="14238"/>
    <cellStyle name="SAPLocked 2 20 11" xfId="14239"/>
    <cellStyle name="SAPLocked 2 20 11 2" xfId="14240"/>
    <cellStyle name="SAPLocked 2 20 12" xfId="14241"/>
    <cellStyle name="SAPLocked 2 20 12 2" xfId="14242"/>
    <cellStyle name="SAPLocked 2 20 13" xfId="14243"/>
    <cellStyle name="SAPLocked 2 20 2" xfId="14244"/>
    <cellStyle name="SAPLocked 2 20 2 10" xfId="14245"/>
    <cellStyle name="SAPLocked 2 20 2 10 2" xfId="14246"/>
    <cellStyle name="SAPLocked 2 20 2 11" xfId="14247"/>
    <cellStyle name="SAPLocked 2 20 2 11 2" xfId="14248"/>
    <cellStyle name="SAPLocked 2 20 2 12" xfId="14249"/>
    <cellStyle name="SAPLocked 2 20 2 2" xfId="14250"/>
    <cellStyle name="SAPLocked 2 20 2 2 2" xfId="14251"/>
    <cellStyle name="SAPLocked 2 20 2 3" xfId="14252"/>
    <cellStyle name="SAPLocked 2 20 2 3 2" xfId="14253"/>
    <cellStyle name="SAPLocked 2 20 2 4" xfId="14254"/>
    <cellStyle name="SAPLocked 2 20 2 4 2" xfId="14255"/>
    <cellStyle name="SAPLocked 2 20 2 5" xfId="14256"/>
    <cellStyle name="SAPLocked 2 20 2 5 2" xfId="14257"/>
    <cellStyle name="SAPLocked 2 20 2 6" xfId="14258"/>
    <cellStyle name="SAPLocked 2 20 2 6 2" xfId="14259"/>
    <cellStyle name="SAPLocked 2 20 2 7" xfId="14260"/>
    <cellStyle name="SAPLocked 2 20 2 7 2" xfId="14261"/>
    <cellStyle name="SAPLocked 2 20 2 8" xfId="14262"/>
    <cellStyle name="SAPLocked 2 20 2 8 2" xfId="14263"/>
    <cellStyle name="SAPLocked 2 20 2 9" xfId="14264"/>
    <cellStyle name="SAPLocked 2 20 2 9 2" xfId="14265"/>
    <cellStyle name="SAPLocked 2 20 3" xfId="14266"/>
    <cellStyle name="SAPLocked 2 20 3 2" xfId="14267"/>
    <cellStyle name="SAPLocked 2 20 4" xfId="14268"/>
    <cellStyle name="SAPLocked 2 20 4 2" xfId="14269"/>
    <cellStyle name="SAPLocked 2 20 5" xfId="14270"/>
    <cellStyle name="SAPLocked 2 20 5 2" xfId="14271"/>
    <cellStyle name="SAPLocked 2 20 6" xfId="14272"/>
    <cellStyle name="SAPLocked 2 20 6 2" xfId="14273"/>
    <cellStyle name="SAPLocked 2 20 7" xfId="14274"/>
    <cellStyle name="SAPLocked 2 20 7 2" xfId="14275"/>
    <cellStyle name="SAPLocked 2 20 8" xfId="14276"/>
    <cellStyle name="SAPLocked 2 20 8 2" xfId="14277"/>
    <cellStyle name="SAPLocked 2 20 9" xfId="14278"/>
    <cellStyle name="SAPLocked 2 20 9 2" xfId="14279"/>
    <cellStyle name="SAPLocked 2 21" xfId="14280"/>
    <cellStyle name="SAPLocked 2 21 10" xfId="14281"/>
    <cellStyle name="SAPLocked 2 21 10 2" xfId="14282"/>
    <cellStyle name="SAPLocked 2 21 11" xfId="14283"/>
    <cellStyle name="SAPLocked 2 21 11 2" xfId="14284"/>
    <cellStyle name="SAPLocked 2 21 12" xfId="14285"/>
    <cellStyle name="SAPLocked 2 21 2" xfId="14286"/>
    <cellStyle name="SAPLocked 2 21 2 2" xfId="14287"/>
    <cellStyle name="SAPLocked 2 21 3" xfId="14288"/>
    <cellStyle name="SAPLocked 2 21 3 2" xfId="14289"/>
    <cellStyle name="SAPLocked 2 21 4" xfId="14290"/>
    <cellStyle name="SAPLocked 2 21 4 2" xfId="14291"/>
    <cellStyle name="SAPLocked 2 21 5" xfId="14292"/>
    <cellStyle name="SAPLocked 2 21 5 2" xfId="14293"/>
    <cellStyle name="SAPLocked 2 21 6" xfId="14294"/>
    <cellStyle name="SAPLocked 2 21 6 2" xfId="14295"/>
    <cellStyle name="SAPLocked 2 21 7" xfId="14296"/>
    <cellStyle name="SAPLocked 2 21 7 2" xfId="14297"/>
    <cellStyle name="SAPLocked 2 21 8" xfId="14298"/>
    <cellStyle name="SAPLocked 2 21 8 2" xfId="14299"/>
    <cellStyle name="SAPLocked 2 21 9" xfId="14300"/>
    <cellStyle name="SAPLocked 2 21 9 2" xfId="14301"/>
    <cellStyle name="SAPLocked 2 22" xfId="14302"/>
    <cellStyle name="SAPLocked 2 22 2" xfId="14303"/>
    <cellStyle name="SAPLocked 2 23" xfId="14304"/>
    <cellStyle name="SAPLocked 2 23 2" xfId="14305"/>
    <cellStyle name="SAPLocked 2 24" xfId="14306"/>
    <cellStyle name="SAPLocked 2 24 2" xfId="14307"/>
    <cellStyle name="SAPLocked 2 25" xfId="14308"/>
    <cellStyle name="SAPLocked 2 25 2" xfId="14309"/>
    <cellStyle name="SAPLocked 2 26" xfId="14310"/>
    <cellStyle name="SAPLocked 2 26 2" xfId="14311"/>
    <cellStyle name="SAPLocked 2 27" xfId="14312"/>
    <cellStyle name="SAPLocked 2 27 2" xfId="14313"/>
    <cellStyle name="SAPLocked 2 28" xfId="14314"/>
    <cellStyle name="SAPLocked 2 28 2" xfId="14315"/>
    <cellStyle name="SAPLocked 2 29" xfId="14316"/>
    <cellStyle name="SAPLocked 2 29 2" xfId="14317"/>
    <cellStyle name="SAPLocked 2 3" xfId="14318"/>
    <cellStyle name="SAPLocked 2 3 10" xfId="14319"/>
    <cellStyle name="SAPLocked 2 3 10 2" xfId="14320"/>
    <cellStyle name="SAPLocked 2 3 11" xfId="14321"/>
    <cellStyle name="SAPLocked 2 3 11 2" xfId="14322"/>
    <cellStyle name="SAPLocked 2 3 12" xfId="14323"/>
    <cellStyle name="SAPLocked 2 3 12 2" xfId="14324"/>
    <cellStyle name="SAPLocked 2 3 13" xfId="14325"/>
    <cellStyle name="SAPLocked 2 3 2" xfId="14326"/>
    <cellStyle name="SAPLocked 2 3 2 10" xfId="14327"/>
    <cellStyle name="SAPLocked 2 3 2 10 2" xfId="14328"/>
    <cellStyle name="SAPLocked 2 3 2 11" xfId="14329"/>
    <cellStyle name="SAPLocked 2 3 2 11 2" xfId="14330"/>
    <cellStyle name="SAPLocked 2 3 2 12" xfId="14331"/>
    <cellStyle name="SAPLocked 2 3 2 2" xfId="14332"/>
    <cellStyle name="SAPLocked 2 3 2 2 2" xfId="14333"/>
    <cellStyle name="SAPLocked 2 3 2 3" xfId="14334"/>
    <cellStyle name="SAPLocked 2 3 2 3 2" xfId="14335"/>
    <cellStyle name="SAPLocked 2 3 2 4" xfId="14336"/>
    <cellStyle name="SAPLocked 2 3 2 4 2" xfId="14337"/>
    <cellStyle name="SAPLocked 2 3 2 5" xfId="14338"/>
    <cellStyle name="SAPLocked 2 3 2 5 2" xfId="14339"/>
    <cellStyle name="SAPLocked 2 3 2 6" xfId="14340"/>
    <cellStyle name="SAPLocked 2 3 2 6 2" xfId="14341"/>
    <cellStyle name="SAPLocked 2 3 2 7" xfId="14342"/>
    <cellStyle name="SAPLocked 2 3 2 7 2" xfId="14343"/>
    <cellStyle name="SAPLocked 2 3 2 8" xfId="14344"/>
    <cellStyle name="SAPLocked 2 3 2 8 2" xfId="14345"/>
    <cellStyle name="SAPLocked 2 3 2 9" xfId="14346"/>
    <cellStyle name="SAPLocked 2 3 2 9 2" xfId="14347"/>
    <cellStyle name="SAPLocked 2 3 3" xfId="14348"/>
    <cellStyle name="SAPLocked 2 3 3 2" xfId="14349"/>
    <cellStyle name="SAPLocked 2 3 4" xfId="14350"/>
    <cellStyle name="SAPLocked 2 3 4 2" xfId="14351"/>
    <cellStyle name="SAPLocked 2 3 5" xfId="14352"/>
    <cellStyle name="SAPLocked 2 3 5 2" xfId="14353"/>
    <cellStyle name="SAPLocked 2 3 6" xfId="14354"/>
    <cellStyle name="SAPLocked 2 3 6 2" xfId="14355"/>
    <cellStyle name="SAPLocked 2 3 7" xfId="14356"/>
    <cellStyle name="SAPLocked 2 3 7 2" xfId="14357"/>
    <cellStyle name="SAPLocked 2 3 8" xfId="14358"/>
    <cellStyle name="SAPLocked 2 3 8 2" xfId="14359"/>
    <cellStyle name="SAPLocked 2 3 9" xfId="14360"/>
    <cellStyle name="SAPLocked 2 3 9 2" xfId="14361"/>
    <cellStyle name="SAPLocked 2 30" xfId="14362"/>
    <cellStyle name="SAPLocked 2 4" xfId="14363"/>
    <cellStyle name="SAPLocked 2 4 10" xfId="14364"/>
    <cellStyle name="SAPLocked 2 4 10 2" xfId="14365"/>
    <cellStyle name="SAPLocked 2 4 11" xfId="14366"/>
    <cellStyle name="SAPLocked 2 4 11 2" xfId="14367"/>
    <cellStyle name="SAPLocked 2 4 12" xfId="14368"/>
    <cellStyle name="SAPLocked 2 4 12 2" xfId="14369"/>
    <cellStyle name="SAPLocked 2 4 13" xfId="14370"/>
    <cellStyle name="SAPLocked 2 4 2" xfId="14371"/>
    <cellStyle name="SAPLocked 2 4 2 10" xfId="14372"/>
    <cellStyle name="SAPLocked 2 4 2 10 2" xfId="14373"/>
    <cellStyle name="SAPLocked 2 4 2 11" xfId="14374"/>
    <cellStyle name="SAPLocked 2 4 2 11 2" xfId="14375"/>
    <cellStyle name="SAPLocked 2 4 2 12" xfId="14376"/>
    <cellStyle name="SAPLocked 2 4 2 2" xfId="14377"/>
    <cellStyle name="SAPLocked 2 4 2 2 2" xfId="14378"/>
    <cellStyle name="SAPLocked 2 4 2 3" xfId="14379"/>
    <cellStyle name="SAPLocked 2 4 2 3 2" xfId="14380"/>
    <cellStyle name="SAPLocked 2 4 2 4" xfId="14381"/>
    <cellStyle name="SAPLocked 2 4 2 4 2" xfId="14382"/>
    <cellStyle name="SAPLocked 2 4 2 5" xfId="14383"/>
    <cellStyle name="SAPLocked 2 4 2 5 2" xfId="14384"/>
    <cellStyle name="SAPLocked 2 4 2 6" xfId="14385"/>
    <cellStyle name="SAPLocked 2 4 2 6 2" xfId="14386"/>
    <cellStyle name="SAPLocked 2 4 2 7" xfId="14387"/>
    <cellStyle name="SAPLocked 2 4 2 7 2" xfId="14388"/>
    <cellStyle name="SAPLocked 2 4 2 8" xfId="14389"/>
    <cellStyle name="SAPLocked 2 4 2 8 2" xfId="14390"/>
    <cellStyle name="SAPLocked 2 4 2 9" xfId="14391"/>
    <cellStyle name="SAPLocked 2 4 2 9 2" xfId="14392"/>
    <cellStyle name="SAPLocked 2 4 3" xfId="14393"/>
    <cellStyle name="SAPLocked 2 4 3 2" xfId="14394"/>
    <cellStyle name="SAPLocked 2 4 4" xfId="14395"/>
    <cellStyle name="SAPLocked 2 4 4 2" xfId="14396"/>
    <cellStyle name="SAPLocked 2 4 5" xfId="14397"/>
    <cellStyle name="SAPLocked 2 4 5 2" xfId="14398"/>
    <cellStyle name="SAPLocked 2 4 6" xfId="14399"/>
    <cellStyle name="SAPLocked 2 4 6 2" xfId="14400"/>
    <cellStyle name="SAPLocked 2 4 7" xfId="14401"/>
    <cellStyle name="SAPLocked 2 4 7 2" xfId="14402"/>
    <cellStyle name="SAPLocked 2 4 8" xfId="14403"/>
    <cellStyle name="SAPLocked 2 4 8 2" xfId="14404"/>
    <cellStyle name="SAPLocked 2 4 9" xfId="14405"/>
    <cellStyle name="SAPLocked 2 4 9 2" xfId="14406"/>
    <cellStyle name="SAPLocked 2 5" xfId="14407"/>
    <cellStyle name="SAPLocked 2 5 10" xfId="14408"/>
    <cellStyle name="SAPLocked 2 5 10 2" xfId="14409"/>
    <cellStyle name="SAPLocked 2 5 11" xfId="14410"/>
    <cellStyle name="SAPLocked 2 5 11 2" xfId="14411"/>
    <cellStyle name="SAPLocked 2 5 12" xfId="14412"/>
    <cellStyle name="SAPLocked 2 5 12 2" xfId="14413"/>
    <cellStyle name="SAPLocked 2 5 13" xfId="14414"/>
    <cellStyle name="SAPLocked 2 5 2" xfId="14415"/>
    <cellStyle name="SAPLocked 2 5 2 10" xfId="14416"/>
    <cellStyle name="SAPLocked 2 5 2 10 2" xfId="14417"/>
    <cellStyle name="SAPLocked 2 5 2 11" xfId="14418"/>
    <cellStyle name="SAPLocked 2 5 2 11 2" xfId="14419"/>
    <cellStyle name="SAPLocked 2 5 2 12" xfId="14420"/>
    <cellStyle name="SAPLocked 2 5 2 2" xfId="14421"/>
    <cellStyle name="SAPLocked 2 5 2 2 2" xfId="14422"/>
    <cellStyle name="SAPLocked 2 5 2 3" xfId="14423"/>
    <cellStyle name="SAPLocked 2 5 2 3 2" xfId="14424"/>
    <cellStyle name="SAPLocked 2 5 2 4" xfId="14425"/>
    <cellStyle name="SAPLocked 2 5 2 4 2" xfId="14426"/>
    <cellStyle name="SAPLocked 2 5 2 5" xfId="14427"/>
    <cellStyle name="SAPLocked 2 5 2 5 2" xfId="14428"/>
    <cellStyle name="SAPLocked 2 5 2 6" xfId="14429"/>
    <cellStyle name="SAPLocked 2 5 2 6 2" xfId="14430"/>
    <cellStyle name="SAPLocked 2 5 2 7" xfId="14431"/>
    <cellStyle name="SAPLocked 2 5 2 7 2" xfId="14432"/>
    <cellStyle name="SAPLocked 2 5 2 8" xfId="14433"/>
    <cellStyle name="SAPLocked 2 5 2 8 2" xfId="14434"/>
    <cellStyle name="SAPLocked 2 5 2 9" xfId="14435"/>
    <cellStyle name="SAPLocked 2 5 2 9 2" xfId="14436"/>
    <cellStyle name="SAPLocked 2 5 3" xfId="14437"/>
    <cellStyle name="SAPLocked 2 5 3 2" xfId="14438"/>
    <cellStyle name="SAPLocked 2 5 4" xfId="14439"/>
    <cellStyle name="SAPLocked 2 5 4 2" xfId="14440"/>
    <cellStyle name="SAPLocked 2 5 5" xfId="14441"/>
    <cellStyle name="SAPLocked 2 5 5 2" xfId="14442"/>
    <cellStyle name="SAPLocked 2 5 6" xfId="14443"/>
    <cellStyle name="SAPLocked 2 5 6 2" xfId="14444"/>
    <cellStyle name="SAPLocked 2 5 7" xfId="14445"/>
    <cellStyle name="SAPLocked 2 5 7 2" xfId="14446"/>
    <cellStyle name="SAPLocked 2 5 8" xfId="14447"/>
    <cellStyle name="SAPLocked 2 5 8 2" xfId="14448"/>
    <cellStyle name="SAPLocked 2 5 9" xfId="14449"/>
    <cellStyle name="SAPLocked 2 5 9 2" xfId="14450"/>
    <cellStyle name="SAPLocked 2 6" xfId="14451"/>
    <cellStyle name="SAPLocked 2 6 10" xfId="14452"/>
    <cellStyle name="SAPLocked 2 6 10 2" xfId="14453"/>
    <cellStyle name="SAPLocked 2 6 11" xfId="14454"/>
    <cellStyle name="SAPLocked 2 6 11 2" xfId="14455"/>
    <cellStyle name="SAPLocked 2 6 12" xfId="14456"/>
    <cellStyle name="SAPLocked 2 6 12 2" xfId="14457"/>
    <cellStyle name="SAPLocked 2 6 13" xfId="14458"/>
    <cellStyle name="SAPLocked 2 6 2" xfId="14459"/>
    <cellStyle name="SAPLocked 2 6 2 10" xfId="14460"/>
    <cellStyle name="SAPLocked 2 6 2 10 2" xfId="14461"/>
    <cellStyle name="SAPLocked 2 6 2 11" xfId="14462"/>
    <cellStyle name="SAPLocked 2 6 2 11 2" xfId="14463"/>
    <cellStyle name="SAPLocked 2 6 2 12" xfId="14464"/>
    <cellStyle name="SAPLocked 2 6 2 2" xfId="14465"/>
    <cellStyle name="SAPLocked 2 6 2 2 2" xfId="14466"/>
    <cellStyle name="SAPLocked 2 6 2 3" xfId="14467"/>
    <cellStyle name="SAPLocked 2 6 2 3 2" xfId="14468"/>
    <cellStyle name="SAPLocked 2 6 2 4" xfId="14469"/>
    <cellStyle name="SAPLocked 2 6 2 4 2" xfId="14470"/>
    <cellStyle name="SAPLocked 2 6 2 5" xfId="14471"/>
    <cellStyle name="SAPLocked 2 6 2 5 2" xfId="14472"/>
    <cellStyle name="SAPLocked 2 6 2 6" xfId="14473"/>
    <cellStyle name="SAPLocked 2 6 2 6 2" xfId="14474"/>
    <cellStyle name="SAPLocked 2 6 2 7" xfId="14475"/>
    <cellStyle name="SAPLocked 2 6 2 7 2" xfId="14476"/>
    <cellStyle name="SAPLocked 2 6 2 8" xfId="14477"/>
    <cellStyle name="SAPLocked 2 6 2 8 2" xfId="14478"/>
    <cellStyle name="SAPLocked 2 6 2 9" xfId="14479"/>
    <cellStyle name="SAPLocked 2 6 2 9 2" xfId="14480"/>
    <cellStyle name="SAPLocked 2 6 3" xfId="14481"/>
    <cellStyle name="SAPLocked 2 6 3 2" xfId="14482"/>
    <cellStyle name="SAPLocked 2 6 4" xfId="14483"/>
    <cellStyle name="SAPLocked 2 6 4 2" xfId="14484"/>
    <cellStyle name="SAPLocked 2 6 5" xfId="14485"/>
    <cellStyle name="SAPLocked 2 6 5 2" xfId="14486"/>
    <cellStyle name="SAPLocked 2 6 6" xfId="14487"/>
    <cellStyle name="SAPLocked 2 6 6 2" xfId="14488"/>
    <cellStyle name="SAPLocked 2 6 7" xfId="14489"/>
    <cellStyle name="SAPLocked 2 6 7 2" xfId="14490"/>
    <cellStyle name="SAPLocked 2 6 8" xfId="14491"/>
    <cellStyle name="SAPLocked 2 6 8 2" xfId="14492"/>
    <cellStyle name="SAPLocked 2 6 9" xfId="14493"/>
    <cellStyle name="SAPLocked 2 6 9 2" xfId="14494"/>
    <cellStyle name="SAPLocked 2 7" xfId="14495"/>
    <cellStyle name="SAPLocked 2 7 10" xfId="14496"/>
    <cellStyle name="SAPLocked 2 7 10 2" xfId="14497"/>
    <cellStyle name="SAPLocked 2 7 11" xfId="14498"/>
    <cellStyle name="SAPLocked 2 7 11 2" xfId="14499"/>
    <cellStyle name="SAPLocked 2 7 12" xfId="14500"/>
    <cellStyle name="SAPLocked 2 7 12 2" xfId="14501"/>
    <cellStyle name="SAPLocked 2 7 13" xfId="14502"/>
    <cellStyle name="SAPLocked 2 7 2" xfId="14503"/>
    <cellStyle name="SAPLocked 2 7 2 10" xfId="14504"/>
    <cellStyle name="SAPLocked 2 7 2 10 2" xfId="14505"/>
    <cellStyle name="SAPLocked 2 7 2 11" xfId="14506"/>
    <cellStyle name="SAPLocked 2 7 2 11 2" xfId="14507"/>
    <cellStyle name="SAPLocked 2 7 2 12" xfId="14508"/>
    <cellStyle name="SAPLocked 2 7 2 2" xfId="14509"/>
    <cellStyle name="SAPLocked 2 7 2 2 2" xfId="14510"/>
    <cellStyle name="SAPLocked 2 7 2 3" xfId="14511"/>
    <cellStyle name="SAPLocked 2 7 2 3 2" xfId="14512"/>
    <cellStyle name="SAPLocked 2 7 2 4" xfId="14513"/>
    <cellStyle name="SAPLocked 2 7 2 4 2" xfId="14514"/>
    <cellStyle name="SAPLocked 2 7 2 5" xfId="14515"/>
    <cellStyle name="SAPLocked 2 7 2 5 2" xfId="14516"/>
    <cellStyle name="SAPLocked 2 7 2 6" xfId="14517"/>
    <cellStyle name="SAPLocked 2 7 2 6 2" xfId="14518"/>
    <cellStyle name="SAPLocked 2 7 2 7" xfId="14519"/>
    <cellStyle name="SAPLocked 2 7 2 7 2" xfId="14520"/>
    <cellStyle name="SAPLocked 2 7 2 8" xfId="14521"/>
    <cellStyle name="SAPLocked 2 7 2 8 2" xfId="14522"/>
    <cellStyle name="SAPLocked 2 7 2 9" xfId="14523"/>
    <cellStyle name="SAPLocked 2 7 2 9 2" xfId="14524"/>
    <cellStyle name="SAPLocked 2 7 3" xfId="14525"/>
    <cellStyle name="SAPLocked 2 7 3 2" xfId="14526"/>
    <cellStyle name="SAPLocked 2 7 4" xfId="14527"/>
    <cellStyle name="SAPLocked 2 7 4 2" xfId="14528"/>
    <cellStyle name="SAPLocked 2 7 5" xfId="14529"/>
    <cellStyle name="SAPLocked 2 7 5 2" xfId="14530"/>
    <cellStyle name="SAPLocked 2 7 6" xfId="14531"/>
    <cellStyle name="SAPLocked 2 7 6 2" xfId="14532"/>
    <cellStyle name="SAPLocked 2 7 7" xfId="14533"/>
    <cellStyle name="SAPLocked 2 7 7 2" xfId="14534"/>
    <cellStyle name="SAPLocked 2 7 8" xfId="14535"/>
    <cellStyle name="SAPLocked 2 7 8 2" xfId="14536"/>
    <cellStyle name="SAPLocked 2 7 9" xfId="14537"/>
    <cellStyle name="SAPLocked 2 7 9 2" xfId="14538"/>
    <cellStyle name="SAPLocked 2 8" xfId="14539"/>
    <cellStyle name="SAPLocked 2 8 10" xfId="14540"/>
    <cellStyle name="SAPLocked 2 8 10 2" xfId="14541"/>
    <cellStyle name="SAPLocked 2 8 11" xfId="14542"/>
    <cellStyle name="SAPLocked 2 8 11 2" xfId="14543"/>
    <cellStyle name="SAPLocked 2 8 12" xfId="14544"/>
    <cellStyle name="SAPLocked 2 8 12 2" xfId="14545"/>
    <cellStyle name="SAPLocked 2 8 13" xfId="14546"/>
    <cellStyle name="SAPLocked 2 8 2" xfId="14547"/>
    <cellStyle name="SAPLocked 2 8 2 10" xfId="14548"/>
    <cellStyle name="SAPLocked 2 8 2 10 2" xfId="14549"/>
    <cellStyle name="SAPLocked 2 8 2 11" xfId="14550"/>
    <cellStyle name="SAPLocked 2 8 2 11 2" xfId="14551"/>
    <cellStyle name="SAPLocked 2 8 2 12" xfId="14552"/>
    <cellStyle name="SAPLocked 2 8 2 2" xfId="14553"/>
    <cellStyle name="SAPLocked 2 8 2 2 2" xfId="14554"/>
    <cellStyle name="SAPLocked 2 8 2 3" xfId="14555"/>
    <cellStyle name="SAPLocked 2 8 2 3 2" xfId="14556"/>
    <cellStyle name="SAPLocked 2 8 2 4" xfId="14557"/>
    <cellStyle name="SAPLocked 2 8 2 4 2" xfId="14558"/>
    <cellStyle name="SAPLocked 2 8 2 5" xfId="14559"/>
    <cellStyle name="SAPLocked 2 8 2 5 2" xfId="14560"/>
    <cellStyle name="SAPLocked 2 8 2 6" xfId="14561"/>
    <cellStyle name="SAPLocked 2 8 2 6 2" xfId="14562"/>
    <cellStyle name="SAPLocked 2 8 2 7" xfId="14563"/>
    <cellStyle name="SAPLocked 2 8 2 7 2" xfId="14564"/>
    <cellStyle name="SAPLocked 2 8 2 8" xfId="14565"/>
    <cellStyle name="SAPLocked 2 8 2 8 2" xfId="14566"/>
    <cellStyle name="SAPLocked 2 8 2 9" xfId="14567"/>
    <cellStyle name="SAPLocked 2 8 2 9 2" xfId="14568"/>
    <cellStyle name="SAPLocked 2 8 3" xfId="14569"/>
    <cellStyle name="SAPLocked 2 8 3 2" xfId="14570"/>
    <cellStyle name="SAPLocked 2 8 4" xfId="14571"/>
    <cellStyle name="SAPLocked 2 8 4 2" xfId="14572"/>
    <cellStyle name="SAPLocked 2 8 5" xfId="14573"/>
    <cellStyle name="SAPLocked 2 8 5 2" xfId="14574"/>
    <cellStyle name="SAPLocked 2 8 6" xfId="14575"/>
    <cellStyle name="SAPLocked 2 8 6 2" xfId="14576"/>
    <cellStyle name="SAPLocked 2 8 7" xfId="14577"/>
    <cellStyle name="SAPLocked 2 8 7 2" xfId="14578"/>
    <cellStyle name="SAPLocked 2 8 8" xfId="14579"/>
    <cellStyle name="SAPLocked 2 8 8 2" xfId="14580"/>
    <cellStyle name="SAPLocked 2 8 9" xfId="14581"/>
    <cellStyle name="SAPLocked 2 8 9 2" xfId="14582"/>
    <cellStyle name="SAPLocked 2 9" xfId="14583"/>
    <cellStyle name="SAPLocked 2 9 10" xfId="14584"/>
    <cellStyle name="SAPLocked 2 9 10 2" xfId="14585"/>
    <cellStyle name="SAPLocked 2 9 11" xfId="14586"/>
    <cellStyle name="SAPLocked 2 9 11 2" xfId="14587"/>
    <cellStyle name="SAPLocked 2 9 12" xfId="14588"/>
    <cellStyle name="SAPLocked 2 9 12 2" xfId="14589"/>
    <cellStyle name="SAPLocked 2 9 13" xfId="14590"/>
    <cellStyle name="SAPLocked 2 9 2" xfId="14591"/>
    <cellStyle name="SAPLocked 2 9 2 10" xfId="14592"/>
    <cellStyle name="SAPLocked 2 9 2 10 2" xfId="14593"/>
    <cellStyle name="SAPLocked 2 9 2 11" xfId="14594"/>
    <cellStyle name="SAPLocked 2 9 2 11 2" xfId="14595"/>
    <cellStyle name="SAPLocked 2 9 2 12" xfId="14596"/>
    <cellStyle name="SAPLocked 2 9 2 2" xfId="14597"/>
    <cellStyle name="SAPLocked 2 9 2 2 2" xfId="14598"/>
    <cellStyle name="SAPLocked 2 9 2 3" xfId="14599"/>
    <cellStyle name="SAPLocked 2 9 2 3 2" xfId="14600"/>
    <cellStyle name="SAPLocked 2 9 2 4" xfId="14601"/>
    <cellStyle name="SAPLocked 2 9 2 4 2" xfId="14602"/>
    <cellStyle name="SAPLocked 2 9 2 5" xfId="14603"/>
    <cellStyle name="SAPLocked 2 9 2 5 2" xfId="14604"/>
    <cellStyle name="SAPLocked 2 9 2 6" xfId="14605"/>
    <cellStyle name="SAPLocked 2 9 2 6 2" xfId="14606"/>
    <cellStyle name="SAPLocked 2 9 2 7" xfId="14607"/>
    <cellStyle name="SAPLocked 2 9 2 7 2" xfId="14608"/>
    <cellStyle name="SAPLocked 2 9 2 8" xfId="14609"/>
    <cellStyle name="SAPLocked 2 9 2 8 2" xfId="14610"/>
    <cellStyle name="SAPLocked 2 9 2 9" xfId="14611"/>
    <cellStyle name="SAPLocked 2 9 2 9 2" xfId="14612"/>
    <cellStyle name="SAPLocked 2 9 3" xfId="14613"/>
    <cellStyle name="SAPLocked 2 9 3 2" xfId="14614"/>
    <cellStyle name="SAPLocked 2 9 4" xfId="14615"/>
    <cellStyle name="SAPLocked 2 9 4 2" xfId="14616"/>
    <cellStyle name="SAPLocked 2 9 5" xfId="14617"/>
    <cellStyle name="SAPLocked 2 9 5 2" xfId="14618"/>
    <cellStyle name="SAPLocked 2 9 6" xfId="14619"/>
    <cellStyle name="SAPLocked 2 9 6 2" xfId="14620"/>
    <cellStyle name="SAPLocked 2 9 7" xfId="14621"/>
    <cellStyle name="SAPLocked 2 9 7 2" xfId="14622"/>
    <cellStyle name="SAPLocked 2 9 8" xfId="14623"/>
    <cellStyle name="SAPLocked 2 9 8 2" xfId="14624"/>
    <cellStyle name="SAPLocked 2 9 9" xfId="14625"/>
    <cellStyle name="SAPLocked 2 9 9 2" xfId="14626"/>
    <cellStyle name="SAPLocked 20" xfId="14627"/>
    <cellStyle name="SAPLocked 20 10" xfId="14628"/>
    <cellStyle name="SAPLocked 20 10 2" xfId="14629"/>
    <cellStyle name="SAPLocked 20 11" xfId="14630"/>
    <cellStyle name="SAPLocked 20 11 2" xfId="14631"/>
    <cellStyle name="SAPLocked 20 12" xfId="14632"/>
    <cellStyle name="SAPLocked 20 12 2" xfId="14633"/>
    <cellStyle name="SAPLocked 20 13" xfId="14634"/>
    <cellStyle name="SAPLocked 20 2" xfId="14635"/>
    <cellStyle name="SAPLocked 20 2 10" xfId="14636"/>
    <cellStyle name="SAPLocked 20 2 10 2" xfId="14637"/>
    <cellStyle name="SAPLocked 20 2 11" xfId="14638"/>
    <cellStyle name="SAPLocked 20 2 11 2" xfId="14639"/>
    <cellStyle name="SAPLocked 20 2 12" xfId="14640"/>
    <cellStyle name="SAPLocked 20 2 2" xfId="14641"/>
    <cellStyle name="SAPLocked 20 2 2 2" xfId="14642"/>
    <cellStyle name="SAPLocked 20 2 3" xfId="14643"/>
    <cellStyle name="SAPLocked 20 2 3 2" xfId="14644"/>
    <cellStyle name="SAPLocked 20 2 4" xfId="14645"/>
    <cellStyle name="SAPLocked 20 2 4 2" xfId="14646"/>
    <cellStyle name="SAPLocked 20 2 5" xfId="14647"/>
    <cellStyle name="SAPLocked 20 2 5 2" xfId="14648"/>
    <cellStyle name="SAPLocked 20 2 6" xfId="14649"/>
    <cellStyle name="SAPLocked 20 2 6 2" xfId="14650"/>
    <cellStyle name="SAPLocked 20 2 7" xfId="14651"/>
    <cellStyle name="SAPLocked 20 2 7 2" xfId="14652"/>
    <cellStyle name="SAPLocked 20 2 8" xfId="14653"/>
    <cellStyle name="SAPLocked 20 2 8 2" xfId="14654"/>
    <cellStyle name="SAPLocked 20 2 9" xfId="14655"/>
    <cellStyle name="SAPLocked 20 2 9 2" xfId="14656"/>
    <cellStyle name="SAPLocked 20 3" xfId="14657"/>
    <cellStyle name="SAPLocked 20 3 2" xfId="14658"/>
    <cellStyle name="SAPLocked 20 4" xfId="14659"/>
    <cellStyle name="SAPLocked 20 4 2" xfId="14660"/>
    <cellStyle name="SAPLocked 20 5" xfId="14661"/>
    <cellStyle name="SAPLocked 20 5 2" xfId="14662"/>
    <cellStyle name="SAPLocked 20 6" xfId="14663"/>
    <cellStyle name="SAPLocked 20 6 2" xfId="14664"/>
    <cellStyle name="SAPLocked 20 7" xfId="14665"/>
    <cellStyle name="SAPLocked 20 7 2" xfId="14666"/>
    <cellStyle name="SAPLocked 20 8" xfId="14667"/>
    <cellStyle name="SAPLocked 20 8 2" xfId="14668"/>
    <cellStyle name="SAPLocked 20 9" xfId="14669"/>
    <cellStyle name="SAPLocked 20 9 2" xfId="14670"/>
    <cellStyle name="SAPLocked 21" xfId="14671"/>
    <cellStyle name="SAPLocked 21 10" xfId="14672"/>
    <cellStyle name="SAPLocked 21 10 2" xfId="14673"/>
    <cellStyle name="SAPLocked 21 11" xfId="14674"/>
    <cellStyle name="SAPLocked 21 11 2" xfId="14675"/>
    <cellStyle name="SAPLocked 21 12" xfId="14676"/>
    <cellStyle name="SAPLocked 21 12 2" xfId="14677"/>
    <cellStyle name="SAPLocked 21 13" xfId="14678"/>
    <cellStyle name="SAPLocked 21 2" xfId="14679"/>
    <cellStyle name="SAPLocked 21 2 10" xfId="14680"/>
    <cellStyle name="SAPLocked 21 2 10 2" xfId="14681"/>
    <cellStyle name="SAPLocked 21 2 11" xfId="14682"/>
    <cellStyle name="SAPLocked 21 2 11 2" xfId="14683"/>
    <cellStyle name="SAPLocked 21 2 12" xfId="14684"/>
    <cellStyle name="SAPLocked 21 2 2" xfId="14685"/>
    <cellStyle name="SAPLocked 21 2 2 2" xfId="14686"/>
    <cellStyle name="SAPLocked 21 2 3" xfId="14687"/>
    <cellStyle name="SAPLocked 21 2 3 2" xfId="14688"/>
    <cellStyle name="SAPLocked 21 2 4" xfId="14689"/>
    <cellStyle name="SAPLocked 21 2 4 2" xfId="14690"/>
    <cellStyle name="SAPLocked 21 2 5" xfId="14691"/>
    <cellStyle name="SAPLocked 21 2 5 2" xfId="14692"/>
    <cellStyle name="SAPLocked 21 2 6" xfId="14693"/>
    <cellStyle name="SAPLocked 21 2 6 2" xfId="14694"/>
    <cellStyle name="SAPLocked 21 2 7" xfId="14695"/>
    <cellStyle name="SAPLocked 21 2 7 2" xfId="14696"/>
    <cellStyle name="SAPLocked 21 2 8" xfId="14697"/>
    <cellStyle name="SAPLocked 21 2 8 2" xfId="14698"/>
    <cellStyle name="SAPLocked 21 2 9" xfId="14699"/>
    <cellStyle name="SAPLocked 21 2 9 2" xfId="14700"/>
    <cellStyle name="SAPLocked 21 3" xfId="14701"/>
    <cellStyle name="SAPLocked 21 3 2" xfId="14702"/>
    <cellStyle name="SAPLocked 21 4" xfId="14703"/>
    <cellStyle name="SAPLocked 21 4 2" xfId="14704"/>
    <cellStyle name="SAPLocked 21 5" xfId="14705"/>
    <cellStyle name="SAPLocked 21 5 2" xfId="14706"/>
    <cellStyle name="SAPLocked 21 6" xfId="14707"/>
    <cellStyle name="SAPLocked 21 6 2" xfId="14708"/>
    <cellStyle name="SAPLocked 21 7" xfId="14709"/>
    <cellStyle name="SAPLocked 21 7 2" xfId="14710"/>
    <cellStyle name="SAPLocked 21 8" xfId="14711"/>
    <cellStyle name="SAPLocked 21 8 2" xfId="14712"/>
    <cellStyle name="SAPLocked 21 9" xfId="14713"/>
    <cellStyle name="SAPLocked 21 9 2" xfId="14714"/>
    <cellStyle name="SAPLocked 22" xfId="14715"/>
    <cellStyle name="SAPLocked 22 10" xfId="14716"/>
    <cellStyle name="SAPLocked 22 10 2" xfId="14717"/>
    <cellStyle name="SAPLocked 22 11" xfId="14718"/>
    <cellStyle name="SAPLocked 22 11 2" xfId="14719"/>
    <cellStyle name="SAPLocked 22 12" xfId="14720"/>
    <cellStyle name="SAPLocked 22 2" xfId="14721"/>
    <cellStyle name="SAPLocked 22 2 2" xfId="14722"/>
    <cellStyle name="SAPLocked 22 3" xfId="14723"/>
    <cellStyle name="SAPLocked 22 3 2" xfId="14724"/>
    <cellStyle name="SAPLocked 22 4" xfId="14725"/>
    <cellStyle name="SAPLocked 22 4 2" xfId="14726"/>
    <cellStyle name="SAPLocked 22 5" xfId="14727"/>
    <cellStyle name="SAPLocked 22 5 2" xfId="14728"/>
    <cellStyle name="SAPLocked 22 6" xfId="14729"/>
    <cellStyle name="SAPLocked 22 6 2" xfId="14730"/>
    <cellStyle name="SAPLocked 22 7" xfId="14731"/>
    <cellStyle name="SAPLocked 22 7 2" xfId="14732"/>
    <cellStyle name="SAPLocked 22 8" xfId="14733"/>
    <cellStyle name="SAPLocked 22 8 2" xfId="14734"/>
    <cellStyle name="SAPLocked 22 9" xfId="14735"/>
    <cellStyle name="SAPLocked 22 9 2" xfId="14736"/>
    <cellStyle name="SAPLocked 23" xfId="14737"/>
    <cellStyle name="SAPLocked 23 2" xfId="14738"/>
    <cellStyle name="SAPLocked 24" xfId="14739"/>
    <cellStyle name="SAPLocked 24 2" xfId="14740"/>
    <cellStyle name="SAPLocked 25" xfId="14741"/>
    <cellStyle name="SAPLocked 25 2" xfId="14742"/>
    <cellStyle name="SAPLocked 26" xfId="14743"/>
    <cellStyle name="SAPLocked 26 2" xfId="14744"/>
    <cellStyle name="SAPLocked 27" xfId="14745"/>
    <cellStyle name="SAPLocked 27 2" xfId="14746"/>
    <cellStyle name="SAPLocked 28" xfId="14747"/>
    <cellStyle name="SAPLocked 28 2" xfId="14748"/>
    <cellStyle name="SAPLocked 29" xfId="14749"/>
    <cellStyle name="SAPLocked 29 2" xfId="14750"/>
    <cellStyle name="SAPLocked 3" xfId="14751"/>
    <cellStyle name="SAPLocked 3 10" xfId="14752"/>
    <cellStyle name="SAPLocked 3 10 2" xfId="14753"/>
    <cellStyle name="SAPLocked 3 11" xfId="14754"/>
    <cellStyle name="SAPLocked 3 11 2" xfId="14755"/>
    <cellStyle name="SAPLocked 3 12" xfId="14756"/>
    <cellStyle name="SAPLocked 3 12 2" xfId="14757"/>
    <cellStyle name="SAPLocked 3 13" xfId="14758"/>
    <cellStyle name="SAPLocked 3 2" xfId="14759"/>
    <cellStyle name="SAPLocked 3 2 10" xfId="14760"/>
    <cellStyle name="SAPLocked 3 2 10 2" xfId="14761"/>
    <cellStyle name="SAPLocked 3 2 11" xfId="14762"/>
    <cellStyle name="SAPLocked 3 2 11 2" xfId="14763"/>
    <cellStyle name="SAPLocked 3 2 12" xfId="14764"/>
    <cellStyle name="SAPLocked 3 2 2" xfId="14765"/>
    <cellStyle name="SAPLocked 3 2 2 2" xfId="14766"/>
    <cellStyle name="SAPLocked 3 2 3" xfId="14767"/>
    <cellStyle name="SAPLocked 3 2 3 2" xfId="14768"/>
    <cellStyle name="SAPLocked 3 2 4" xfId="14769"/>
    <cellStyle name="SAPLocked 3 2 4 2" xfId="14770"/>
    <cellStyle name="SAPLocked 3 2 5" xfId="14771"/>
    <cellStyle name="SAPLocked 3 2 5 2" xfId="14772"/>
    <cellStyle name="SAPLocked 3 2 6" xfId="14773"/>
    <cellStyle name="SAPLocked 3 2 6 2" xfId="14774"/>
    <cellStyle name="SAPLocked 3 2 7" xfId="14775"/>
    <cellStyle name="SAPLocked 3 2 7 2" xfId="14776"/>
    <cellStyle name="SAPLocked 3 2 8" xfId="14777"/>
    <cellStyle name="SAPLocked 3 2 8 2" xfId="14778"/>
    <cellStyle name="SAPLocked 3 2 9" xfId="14779"/>
    <cellStyle name="SAPLocked 3 2 9 2" xfId="14780"/>
    <cellStyle name="SAPLocked 3 3" xfId="14781"/>
    <cellStyle name="SAPLocked 3 3 2" xfId="14782"/>
    <cellStyle name="SAPLocked 3 4" xfId="14783"/>
    <cellStyle name="SAPLocked 3 4 2" xfId="14784"/>
    <cellStyle name="SAPLocked 3 5" xfId="14785"/>
    <cellStyle name="SAPLocked 3 5 2" xfId="14786"/>
    <cellStyle name="SAPLocked 3 6" xfId="14787"/>
    <cellStyle name="SAPLocked 3 6 2" xfId="14788"/>
    <cellStyle name="SAPLocked 3 7" xfId="14789"/>
    <cellStyle name="SAPLocked 3 7 2" xfId="14790"/>
    <cellStyle name="SAPLocked 3 8" xfId="14791"/>
    <cellStyle name="SAPLocked 3 8 2" xfId="14792"/>
    <cellStyle name="SAPLocked 3 9" xfId="14793"/>
    <cellStyle name="SAPLocked 3 9 2" xfId="14794"/>
    <cellStyle name="SAPLocked 30" xfId="14795"/>
    <cellStyle name="SAPLocked 30 2" xfId="14796"/>
    <cellStyle name="SAPLocked 31" xfId="14797"/>
    <cellStyle name="SAPLocked 4" xfId="14798"/>
    <cellStyle name="SAPLocked 4 10" xfId="14799"/>
    <cellStyle name="SAPLocked 4 10 2" xfId="14800"/>
    <cellStyle name="SAPLocked 4 11" xfId="14801"/>
    <cellStyle name="SAPLocked 4 11 2" xfId="14802"/>
    <cellStyle name="SAPLocked 4 12" xfId="14803"/>
    <cellStyle name="SAPLocked 4 12 2" xfId="14804"/>
    <cellStyle name="SAPLocked 4 13" xfId="14805"/>
    <cellStyle name="SAPLocked 4 2" xfId="14806"/>
    <cellStyle name="SAPLocked 4 2 10" xfId="14807"/>
    <cellStyle name="SAPLocked 4 2 10 2" xfId="14808"/>
    <cellStyle name="SAPLocked 4 2 11" xfId="14809"/>
    <cellStyle name="SAPLocked 4 2 11 2" xfId="14810"/>
    <cellStyle name="SAPLocked 4 2 12" xfId="14811"/>
    <cellStyle name="SAPLocked 4 2 2" xfId="14812"/>
    <cellStyle name="SAPLocked 4 2 2 2" xfId="14813"/>
    <cellStyle name="SAPLocked 4 2 3" xfId="14814"/>
    <cellStyle name="SAPLocked 4 2 3 2" xfId="14815"/>
    <cellStyle name="SAPLocked 4 2 4" xfId="14816"/>
    <cellStyle name="SAPLocked 4 2 4 2" xfId="14817"/>
    <cellStyle name="SAPLocked 4 2 5" xfId="14818"/>
    <cellStyle name="SAPLocked 4 2 5 2" xfId="14819"/>
    <cellStyle name="SAPLocked 4 2 6" xfId="14820"/>
    <cellStyle name="SAPLocked 4 2 6 2" xfId="14821"/>
    <cellStyle name="SAPLocked 4 2 7" xfId="14822"/>
    <cellStyle name="SAPLocked 4 2 7 2" xfId="14823"/>
    <cellStyle name="SAPLocked 4 2 8" xfId="14824"/>
    <cellStyle name="SAPLocked 4 2 8 2" xfId="14825"/>
    <cellStyle name="SAPLocked 4 2 9" xfId="14826"/>
    <cellStyle name="SAPLocked 4 2 9 2" xfId="14827"/>
    <cellStyle name="SAPLocked 4 3" xfId="14828"/>
    <cellStyle name="SAPLocked 4 3 2" xfId="14829"/>
    <cellStyle name="SAPLocked 4 4" xfId="14830"/>
    <cellStyle name="SAPLocked 4 4 2" xfId="14831"/>
    <cellStyle name="SAPLocked 4 5" xfId="14832"/>
    <cellStyle name="SAPLocked 4 5 2" xfId="14833"/>
    <cellStyle name="SAPLocked 4 6" xfId="14834"/>
    <cellStyle name="SAPLocked 4 6 2" xfId="14835"/>
    <cellStyle name="SAPLocked 4 7" xfId="14836"/>
    <cellStyle name="SAPLocked 4 7 2" xfId="14837"/>
    <cellStyle name="SAPLocked 4 8" xfId="14838"/>
    <cellStyle name="SAPLocked 4 8 2" xfId="14839"/>
    <cellStyle name="SAPLocked 4 9" xfId="14840"/>
    <cellStyle name="SAPLocked 4 9 2" xfId="14841"/>
    <cellStyle name="SAPLocked 5" xfId="14842"/>
    <cellStyle name="SAPLocked 5 10" xfId="14843"/>
    <cellStyle name="SAPLocked 5 10 2" xfId="14844"/>
    <cellStyle name="SAPLocked 5 11" xfId="14845"/>
    <cellStyle name="SAPLocked 5 11 2" xfId="14846"/>
    <cellStyle name="SAPLocked 5 12" xfId="14847"/>
    <cellStyle name="SAPLocked 5 12 2" xfId="14848"/>
    <cellStyle name="SAPLocked 5 13" xfId="14849"/>
    <cellStyle name="SAPLocked 5 2" xfId="14850"/>
    <cellStyle name="SAPLocked 5 2 10" xfId="14851"/>
    <cellStyle name="SAPLocked 5 2 10 2" xfId="14852"/>
    <cellStyle name="SAPLocked 5 2 11" xfId="14853"/>
    <cellStyle name="SAPLocked 5 2 11 2" xfId="14854"/>
    <cellStyle name="SAPLocked 5 2 12" xfId="14855"/>
    <cellStyle name="SAPLocked 5 2 2" xfId="14856"/>
    <cellStyle name="SAPLocked 5 2 2 2" xfId="14857"/>
    <cellStyle name="SAPLocked 5 2 3" xfId="14858"/>
    <cellStyle name="SAPLocked 5 2 3 2" xfId="14859"/>
    <cellStyle name="SAPLocked 5 2 4" xfId="14860"/>
    <cellStyle name="SAPLocked 5 2 4 2" xfId="14861"/>
    <cellStyle name="SAPLocked 5 2 5" xfId="14862"/>
    <cellStyle name="SAPLocked 5 2 5 2" xfId="14863"/>
    <cellStyle name="SAPLocked 5 2 6" xfId="14864"/>
    <cellStyle name="SAPLocked 5 2 6 2" xfId="14865"/>
    <cellStyle name="SAPLocked 5 2 7" xfId="14866"/>
    <cellStyle name="SAPLocked 5 2 7 2" xfId="14867"/>
    <cellStyle name="SAPLocked 5 2 8" xfId="14868"/>
    <cellStyle name="SAPLocked 5 2 8 2" xfId="14869"/>
    <cellStyle name="SAPLocked 5 2 9" xfId="14870"/>
    <cellStyle name="SAPLocked 5 2 9 2" xfId="14871"/>
    <cellStyle name="SAPLocked 5 3" xfId="14872"/>
    <cellStyle name="SAPLocked 5 3 2" xfId="14873"/>
    <cellStyle name="SAPLocked 5 4" xfId="14874"/>
    <cellStyle name="SAPLocked 5 4 2" xfId="14875"/>
    <cellStyle name="SAPLocked 5 5" xfId="14876"/>
    <cellStyle name="SAPLocked 5 5 2" xfId="14877"/>
    <cellStyle name="SAPLocked 5 6" xfId="14878"/>
    <cellStyle name="SAPLocked 5 6 2" xfId="14879"/>
    <cellStyle name="SAPLocked 5 7" xfId="14880"/>
    <cellStyle name="SAPLocked 5 7 2" xfId="14881"/>
    <cellStyle name="SAPLocked 5 8" xfId="14882"/>
    <cellStyle name="SAPLocked 5 8 2" xfId="14883"/>
    <cellStyle name="SAPLocked 5 9" xfId="14884"/>
    <cellStyle name="SAPLocked 5 9 2" xfId="14885"/>
    <cellStyle name="SAPLocked 6" xfId="14886"/>
    <cellStyle name="SAPLocked 6 10" xfId="14887"/>
    <cellStyle name="SAPLocked 6 10 2" xfId="14888"/>
    <cellStyle name="SAPLocked 6 11" xfId="14889"/>
    <cellStyle name="SAPLocked 6 11 2" xfId="14890"/>
    <cellStyle name="SAPLocked 6 12" xfId="14891"/>
    <cellStyle name="SAPLocked 6 12 2" xfId="14892"/>
    <cellStyle name="SAPLocked 6 13" xfId="14893"/>
    <cellStyle name="SAPLocked 6 2" xfId="14894"/>
    <cellStyle name="SAPLocked 6 2 10" xfId="14895"/>
    <cellStyle name="SAPLocked 6 2 10 2" xfId="14896"/>
    <cellStyle name="SAPLocked 6 2 11" xfId="14897"/>
    <cellStyle name="SAPLocked 6 2 11 2" xfId="14898"/>
    <cellStyle name="SAPLocked 6 2 12" xfId="14899"/>
    <cellStyle name="SAPLocked 6 2 2" xfId="14900"/>
    <cellStyle name="SAPLocked 6 2 2 2" xfId="14901"/>
    <cellStyle name="SAPLocked 6 2 3" xfId="14902"/>
    <cellStyle name="SAPLocked 6 2 3 2" xfId="14903"/>
    <cellStyle name="SAPLocked 6 2 4" xfId="14904"/>
    <cellStyle name="SAPLocked 6 2 4 2" xfId="14905"/>
    <cellStyle name="SAPLocked 6 2 5" xfId="14906"/>
    <cellStyle name="SAPLocked 6 2 5 2" xfId="14907"/>
    <cellStyle name="SAPLocked 6 2 6" xfId="14908"/>
    <cellStyle name="SAPLocked 6 2 6 2" xfId="14909"/>
    <cellStyle name="SAPLocked 6 2 7" xfId="14910"/>
    <cellStyle name="SAPLocked 6 2 7 2" xfId="14911"/>
    <cellStyle name="SAPLocked 6 2 8" xfId="14912"/>
    <cellStyle name="SAPLocked 6 2 8 2" xfId="14913"/>
    <cellStyle name="SAPLocked 6 2 9" xfId="14914"/>
    <cellStyle name="SAPLocked 6 2 9 2" xfId="14915"/>
    <cellStyle name="SAPLocked 6 3" xfId="14916"/>
    <cellStyle name="SAPLocked 6 3 2" xfId="14917"/>
    <cellStyle name="SAPLocked 6 4" xfId="14918"/>
    <cellStyle name="SAPLocked 6 4 2" xfId="14919"/>
    <cellStyle name="SAPLocked 6 5" xfId="14920"/>
    <cellStyle name="SAPLocked 6 5 2" xfId="14921"/>
    <cellStyle name="SAPLocked 6 6" xfId="14922"/>
    <cellStyle name="SAPLocked 6 6 2" xfId="14923"/>
    <cellStyle name="SAPLocked 6 7" xfId="14924"/>
    <cellStyle name="SAPLocked 6 7 2" xfId="14925"/>
    <cellStyle name="SAPLocked 6 8" xfId="14926"/>
    <cellStyle name="SAPLocked 6 8 2" xfId="14927"/>
    <cellStyle name="SAPLocked 6 9" xfId="14928"/>
    <cellStyle name="SAPLocked 6 9 2" xfId="14929"/>
    <cellStyle name="SAPLocked 7" xfId="14930"/>
    <cellStyle name="SAPLocked 7 10" xfId="14931"/>
    <cellStyle name="SAPLocked 7 10 2" xfId="14932"/>
    <cellStyle name="SAPLocked 7 11" xfId="14933"/>
    <cellStyle name="SAPLocked 7 11 2" xfId="14934"/>
    <cellStyle name="SAPLocked 7 12" xfId="14935"/>
    <cellStyle name="SAPLocked 7 12 2" xfId="14936"/>
    <cellStyle name="SAPLocked 7 13" xfId="14937"/>
    <cellStyle name="SAPLocked 7 2" xfId="14938"/>
    <cellStyle name="SAPLocked 7 2 10" xfId="14939"/>
    <cellStyle name="SAPLocked 7 2 10 2" xfId="14940"/>
    <cellStyle name="SAPLocked 7 2 11" xfId="14941"/>
    <cellStyle name="SAPLocked 7 2 11 2" xfId="14942"/>
    <cellStyle name="SAPLocked 7 2 12" xfId="14943"/>
    <cellStyle name="SAPLocked 7 2 2" xfId="14944"/>
    <cellStyle name="SAPLocked 7 2 2 2" xfId="14945"/>
    <cellStyle name="SAPLocked 7 2 3" xfId="14946"/>
    <cellStyle name="SAPLocked 7 2 3 2" xfId="14947"/>
    <cellStyle name="SAPLocked 7 2 4" xfId="14948"/>
    <cellStyle name="SAPLocked 7 2 4 2" xfId="14949"/>
    <cellStyle name="SAPLocked 7 2 5" xfId="14950"/>
    <cellStyle name="SAPLocked 7 2 5 2" xfId="14951"/>
    <cellStyle name="SAPLocked 7 2 6" xfId="14952"/>
    <cellStyle name="SAPLocked 7 2 6 2" xfId="14953"/>
    <cellStyle name="SAPLocked 7 2 7" xfId="14954"/>
    <cellStyle name="SAPLocked 7 2 7 2" xfId="14955"/>
    <cellStyle name="SAPLocked 7 2 8" xfId="14956"/>
    <cellStyle name="SAPLocked 7 2 8 2" xfId="14957"/>
    <cellStyle name="SAPLocked 7 2 9" xfId="14958"/>
    <cellStyle name="SAPLocked 7 2 9 2" xfId="14959"/>
    <cellStyle name="SAPLocked 7 3" xfId="14960"/>
    <cellStyle name="SAPLocked 7 3 2" xfId="14961"/>
    <cellStyle name="SAPLocked 7 4" xfId="14962"/>
    <cellStyle name="SAPLocked 7 4 2" xfId="14963"/>
    <cellStyle name="SAPLocked 7 5" xfId="14964"/>
    <cellStyle name="SAPLocked 7 5 2" xfId="14965"/>
    <cellStyle name="SAPLocked 7 6" xfId="14966"/>
    <cellStyle name="SAPLocked 7 6 2" xfId="14967"/>
    <cellStyle name="SAPLocked 7 7" xfId="14968"/>
    <cellStyle name="SAPLocked 7 7 2" xfId="14969"/>
    <cellStyle name="SAPLocked 7 8" xfId="14970"/>
    <cellStyle name="SAPLocked 7 8 2" xfId="14971"/>
    <cellStyle name="SAPLocked 7 9" xfId="14972"/>
    <cellStyle name="SAPLocked 7 9 2" xfId="14973"/>
    <cellStyle name="SAPLocked 8" xfId="14974"/>
    <cellStyle name="SAPLocked 8 10" xfId="14975"/>
    <cellStyle name="SAPLocked 8 10 2" xfId="14976"/>
    <cellStyle name="SAPLocked 8 11" xfId="14977"/>
    <cellStyle name="SAPLocked 8 11 2" xfId="14978"/>
    <cellStyle name="SAPLocked 8 12" xfId="14979"/>
    <cellStyle name="SAPLocked 8 12 2" xfId="14980"/>
    <cellStyle name="SAPLocked 8 13" xfId="14981"/>
    <cellStyle name="SAPLocked 8 2" xfId="14982"/>
    <cellStyle name="SAPLocked 8 2 10" xfId="14983"/>
    <cellStyle name="SAPLocked 8 2 10 2" xfId="14984"/>
    <cellStyle name="SAPLocked 8 2 11" xfId="14985"/>
    <cellStyle name="SAPLocked 8 2 11 2" xfId="14986"/>
    <cellStyle name="SAPLocked 8 2 12" xfId="14987"/>
    <cellStyle name="SAPLocked 8 2 2" xfId="14988"/>
    <cellStyle name="SAPLocked 8 2 2 2" xfId="14989"/>
    <cellStyle name="SAPLocked 8 2 3" xfId="14990"/>
    <cellStyle name="SAPLocked 8 2 3 2" xfId="14991"/>
    <cellStyle name="SAPLocked 8 2 4" xfId="14992"/>
    <cellStyle name="SAPLocked 8 2 4 2" xfId="14993"/>
    <cellStyle name="SAPLocked 8 2 5" xfId="14994"/>
    <cellStyle name="SAPLocked 8 2 5 2" xfId="14995"/>
    <cellStyle name="SAPLocked 8 2 6" xfId="14996"/>
    <cellStyle name="SAPLocked 8 2 6 2" xfId="14997"/>
    <cellStyle name="SAPLocked 8 2 7" xfId="14998"/>
    <cellStyle name="SAPLocked 8 2 7 2" xfId="14999"/>
    <cellStyle name="SAPLocked 8 2 8" xfId="15000"/>
    <cellStyle name="SAPLocked 8 2 8 2" xfId="15001"/>
    <cellStyle name="SAPLocked 8 2 9" xfId="15002"/>
    <cellStyle name="SAPLocked 8 2 9 2" xfId="15003"/>
    <cellStyle name="SAPLocked 8 3" xfId="15004"/>
    <cellStyle name="SAPLocked 8 3 2" xfId="15005"/>
    <cellStyle name="SAPLocked 8 4" xfId="15006"/>
    <cellStyle name="SAPLocked 8 4 2" xfId="15007"/>
    <cellStyle name="SAPLocked 8 5" xfId="15008"/>
    <cellStyle name="SAPLocked 8 5 2" xfId="15009"/>
    <cellStyle name="SAPLocked 8 6" xfId="15010"/>
    <cellStyle name="SAPLocked 8 6 2" xfId="15011"/>
    <cellStyle name="SAPLocked 8 7" xfId="15012"/>
    <cellStyle name="SAPLocked 8 7 2" xfId="15013"/>
    <cellStyle name="SAPLocked 8 8" xfId="15014"/>
    <cellStyle name="SAPLocked 8 8 2" xfId="15015"/>
    <cellStyle name="SAPLocked 8 9" xfId="15016"/>
    <cellStyle name="SAPLocked 8 9 2" xfId="15017"/>
    <cellStyle name="SAPLocked 9" xfId="15018"/>
    <cellStyle name="SAPLocked 9 10" xfId="15019"/>
    <cellStyle name="SAPLocked 9 10 2" xfId="15020"/>
    <cellStyle name="SAPLocked 9 11" xfId="15021"/>
    <cellStyle name="SAPLocked 9 11 2" xfId="15022"/>
    <cellStyle name="SAPLocked 9 12" xfId="15023"/>
    <cellStyle name="SAPLocked 9 12 2" xfId="15024"/>
    <cellStyle name="SAPLocked 9 13" xfId="15025"/>
    <cellStyle name="SAPLocked 9 2" xfId="15026"/>
    <cellStyle name="SAPLocked 9 2 10" xfId="15027"/>
    <cellStyle name="SAPLocked 9 2 10 2" xfId="15028"/>
    <cellStyle name="SAPLocked 9 2 11" xfId="15029"/>
    <cellStyle name="SAPLocked 9 2 11 2" xfId="15030"/>
    <cellStyle name="SAPLocked 9 2 12" xfId="15031"/>
    <cellStyle name="SAPLocked 9 2 2" xfId="15032"/>
    <cellStyle name="SAPLocked 9 2 2 2" xfId="15033"/>
    <cellStyle name="SAPLocked 9 2 3" xfId="15034"/>
    <cellStyle name="SAPLocked 9 2 3 2" xfId="15035"/>
    <cellStyle name="SAPLocked 9 2 4" xfId="15036"/>
    <cellStyle name="SAPLocked 9 2 4 2" xfId="15037"/>
    <cellStyle name="SAPLocked 9 2 5" xfId="15038"/>
    <cellStyle name="SAPLocked 9 2 5 2" xfId="15039"/>
    <cellStyle name="SAPLocked 9 2 6" xfId="15040"/>
    <cellStyle name="SAPLocked 9 2 6 2" xfId="15041"/>
    <cellStyle name="SAPLocked 9 2 7" xfId="15042"/>
    <cellStyle name="SAPLocked 9 2 7 2" xfId="15043"/>
    <cellStyle name="SAPLocked 9 2 8" xfId="15044"/>
    <cellStyle name="SAPLocked 9 2 8 2" xfId="15045"/>
    <cellStyle name="SAPLocked 9 2 9" xfId="15046"/>
    <cellStyle name="SAPLocked 9 2 9 2" xfId="15047"/>
    <cellStyle name="SAPLocked 9 3" xfId="15048"/>
    <cellStyle name="SAPLocked 9 3 2" xfId="15049"/>
    <cellStyle name="SAPLocked 9 4" xfId="15050"/>
    <cellStyle name="SAPLocked 9 4 2" xfId="15051"/>
    <cellStyle name="SAPLocked 9 5" xfId="15052"/>
    <cellStyle name="SAPLocked 9 5 2" xfId="15053"/>
    <cellStyle name="SAPLocked 9 6" xfId="15054"/>
    <cellStyle name="SAPLocked 9 6 2" xfId="15055"/>
    <cellStyle name="SAPLocked 9 7" xfId="15056"/>
    <cellStyle name="SAPLocked 9 7 2" xfId="15057"/>
    <cellStyle name="SAPLocked 9 8" xfId="15058"/>
    <cellStyle name="SAPLocked 9 8 2" xfId="15059"/>
    <cellStyle name="SAPLocked 9 9" xfId="15060"/>
    <cellStyle name="SAPLocked 9 9 2" xfId="15061"/>
    <cellStyle name="SAPMemberCell" xfId="15062"/>
    <cellStyle name="SAPMemberTotalCell" xfId="15063"/>
    <cellStyle name="Standard_CORE_20040805_Movement types_Sets_V0.1_e" xfId="15064"/>
    <cellStyle name="STYL5 - Style5" xfId="15065"/>
    <cellStyle name="STYL5 - Style5 2" xfId="15066"/>
    <cellStyle name="STYL5 - Style5 2 2" xfId="15067"/>
    <cellStyle name="STYL5 - Style5 3" xfId="15068"/>
    <cellStyle name="STYL5 - Style5 3 2" xfId="15069"/>
    <cellStyle name="STYL6 - Style6" xfId="15070"/>
    <cellStyle name="STYL6 - Style6 2" xfId="15071"/>
    <cellStyle name="STYL6 - Style6 2 2" xfId="15072"/>
    <cellStyle name="STYL6 - Style6 3" xfId="15073"/>
    <cellStyle name="STYL6 - Style6 3 2" xfId="15074"/>
    <cellStyle name="STYLE1 - Style1" xfId="15075"/>
    <cellStyle name="STYLE1 - Style1 2" xfId="15076"/>
    <cellStyle name="STYLE1 - Style1 2 2" xfId="15077"/>
    <cellStyle name="STYLE1 - Style1 3" xfId="15078"/>
    <cellStyle name="STYLE1 - Style1 3 2" xfId="15079"/>
    <cellStyle name="STYLE2 - Style2" xfId="15080"/>
    <cellStyle name="STYLE2 - Style2 2" xfId="15081"/>
    <cellStyle name="STYLE2 - Style2 2 2" xfId="15082"/>
    <cellStyle name="STYLE2 - Style2 3" xfId="15083"/>
    <cellStyle name="STYLE2 - Style2 3 2" xfId="15084"/>
    <cellStyle name="STYLE3 - Style3" xfId="15085"/>
    <cellStyle name="STYLE3 - Style3 2" xfId="15086"/>
    <cellStyle name="STYLE3 - Style3 2 2" xfId="15087"/>
    <cellStyle name="STYLE3 - Style3 3" xfId="15088"/>
    <cellStyle name="STYLE3 - Style3 3 2" xfId="15089"/>
    <cellStyle name="STYLE4 - Style4" xfId="15090"/>
    <cellStyle name="STYLE4 - Style4 2" xfId="15091"/>
    <cellStyle name="STYLE4 - Style4 2 2" xfId="15092"/>
    <cellStyle name="STYLE4 - Style4 3" xfId="15093"/>
    <cellStyle name="STYLE4 - Style4 3 2" xfId="15094"/>
    <cellStyle name="Table  - Style5" xfId="15095"/>
    <cellStyle name="Text" xfId="15096"/>
    <cellStyle name="Title  - Style6" xfId="15097"/>
    <cellStyle name="Title 10" xfId="1991"/>
    <cellStyle name="Title 11" xfId="1992"/>
    <cellStyle name="Title 12" xfId="1993"/>
    <cellStyle name="Title 13" xfId="1994"/>
    <cellStyle name="Title 14" xfId="1995"/>
    <cellStyle name="Title 15" xfId="1996"/>
    <cellStyle name="Title 16" xfId="1997"/>
    <cellStyle name="Title 17" xfId="1998"/>
    <cellStyle name="Title 17 2" xfId="1999"/>
    <cellStyle name="Title 17 3" xfId="2000"/>
    <cellStyle name="Title 17 4" xfId="2001"/>
    <cellStyle name="Title 17 5" xfId="2002"/>
    <cellStyle name="Title 18" xfId="2003"/>
    <cellStyle name="Title 19" xfId="2004"/>
    <cellStyle name="Title 2" xfId="2005"/>
    <cellStyle name="Title 2 2" xfId="2006"/>
    <cellStyle name="Title 2 2 2" xfId="2007"/>
    <cellStyle name="Title 2 2 3" xfId="2008"/>
    <cellStyle name="Title 2 2 4" xfId="2009"/>
    <cellStyle name="Title 2 2 5" xfId="2010"/>
    <cellStyle name="Title 2 3" xfId="2011"/>
    <cellStyle name="Title 2 4" xfId="2012"/>
    <cellStyle name="Title 2 5" xfId="2013"/>
    <cellStyle name="Title 2 6" xfId="2014"/>
    <cellStyle name="Title 2 7" xfId="2015"/>
    <cellStyle name="Title 2 8" xfId="2016"/>
    <cellStyle name="Title 20" xfId="2017"/>
    <cellStyle name="Title 21" xfId="2018"/>
    <cellStyle name="Title 22" xfId="2019"/>
    <cellStyle name="Title 3" xfId="2020"/>
    <cellStyle name="Title 3 2" xfId="15098"/>
    <cellStyle name="Title 4" xfId="2021"/>
    <cellStyle name="Title 5" xfId="2022"/>
    <cellStyle name="Title 6" xfId="2023"/>
    <cellStyle name="Title 7" xfId="2024"/>
    <cellStyle name="Title 8" xfId="2025"/>
    <cellStyle name="Title 9" xfId="2026"/>
    <cellStyle name="Total 10" xfId="2027"/>
    <cellStyle name="Total 11" xfId="2028"/>
    <cellStyle name="Total 12" xfId="2029"/>
    <cellStyle name="Total 13" xfId="2030"/>
    <cellStyle name="Total 14" xfId="2031"/>
    <cellStyle name="Total 15" xfId="2032"/>
    <cellStyle name="Total 16" xfId="2033"/>
    <cellStyle name="Total 17" xfId="2034"/>
    <cellStyle name="Total 17 2" xfId="15099"/>
    <cellStyle name="Total 17 3" xfId="15100"/>
    <cellStyle name="Total 17 4" xfId="15101"/>
    <cellStyle name="Total 18" xfId="2035"/>
    <cellStyle name="Total 19" xfId="2036"/>
    <cellStyle name="Total 2" xfId="2037"/>
    <cellStyle name="Total 2 2" xfId="2038"/>
    <cellStyle name="Total 2 2 2" xfId="2039"/>
    <cellStyle name="Total 2 2 2 2" xfId="2040"/>
    <cellStyle name="Total 2 2 2 3" xfId="2041"/>
    <cellStyle name="Total 2 2 2 4" xfId="2042"/>
    <cellStyle name="Total 2 2 2 5" xfId="2043"/>
    <cellStyle name="Total 2 2 3" xfId="2044"/>
    <cellStyle name="Total 2 2 4" xfId="2045"/>
    <cellStyle name="Total 2 2 5" xfId="2046"/>
    <cellStyle name="Total 2 3" xfId="2047"/>
    <cellStyle name="Total 2 3 2" xfId="15102"/>
    <cellStyle name="Total 2 4" xfId="2048"/>
    <cellStyle name="Total 2 4 2" xfId="15103"/>
    <cellStyle name="Total 2 5" xfId="2049"/>
    <cellStyle name="Total 2 5 2" xfId="15104"/>
    <cellStyle name="Total 2 6" xfId="2050"/>
    <cellStyle name="Total 2 6 2" xfId="15105"/>
    <cellStyle name="Total 2 7" xfId="2051"/>
    <cellStyle name="Total 2 7 2" xfId="15106"/>
    <cellStyle name="Total 2 8" xfId="2052"/>
    <cellStyle name="Total 2 9" xfId="2053"/>
    <cellStyle name="Total 20" xfId="2054"/>
    <cellStyle name="Total 21" xfId="2055"/>
    <cellStyle name="Total 22" xfId="2056"/>
    <cellStyle name="Total 23" xfId="2057"/>
    <cellStyle name="Total 24" xfId="2058"/>
    <cellStyle name="Total 3" xfId="2059"/>
    <cellStyle name="Total 3 2" xfId="15107"/>
    <cellStyle name="Total 3 2 2" xfId="15108"/>
    <cellStyle name="Total 3 3" xfId="15109"/>
    <cellStyle name="Total 4" xfId="2060"/>
    <cellStyle name="Total 4 2" xfId="15110"/>
    <cellStyle name="Total 5" xfId="2061"/>
    <cellStyle name="Total 6" xfId="2062"/>
    <cellStyle name="Total 7" xfId="2063"/>
    <cellStyle name="Total 8" xfId="2064"/>
    <cellStyle name="Total 9" xfId="2065"/>
    <cellStyle name="TotCol - Style7" xfId="15111"/>
    <cellStyle name="TotRow - Style8" xfId="15112"/>
    <cellStyle name="Undefiniert" xfId="15113"/>
    <cellStyle name="Undefiniert 2" xfId="15114"/>
    <cellStyle name="UploadThisRowValue" xfId="15115"/>
    <cellStyle name="UploadThisRowValue 2" xfId="15116"/>
    <cellStyle name="UploadThisRowValue 2 2" xfId="15117"/>
    <cellStyle name="UploadThisRowValue 3" xfId="15118"/>
    <cellStyle name="Warning Text 10" xfId="2066"/>
    <cellStyle name="Warning Text 11" xfId="2067"/>
    <cellStyle name="Warning Text 12" xfId="2068"/>
    <cellStyle name="Warning Text 13" xfId="2069"/>
    <cellStyle name="Warning Text 14" xfId="2070"/>
    <cellStyle name="Warning Text 15" xfId="2071"/>
    <cellStyle name="Warning Text 16" xfId="2072"/>
    <cellStyle name="Warning Text 17" xfId="2073"/>
    <cellStyle name="Warning Text 18" xfId="2074"/>
    <cellStyle name="Warning Text 19" xfId="2075"/>
    <cellStyle name="Warning Text 2" xfId="2076"/>
    <cellStyle name="Warning Text 2 2" xfId="2077"/>
    <cellStyle name="Warning Text 2 2 2" xfId="2078"/>
    <cellStyle name="Warning Text 2 2 2 2" xfId="2079"/>
    <cellStyle name="Warning Text 2 2 2 3" xfId="2080"/>
    <cellStyle name="Warning Text 2 2 2 4" xfId="2081"/>
    <cellStyle name="Warning Text 2 2 2 5" xfId="2082"/>
    <cellStyle name="Warning Text 2 2 3" xfId="2083"/>
    <cellStyle name="Warning Text 2 2 4" xfId="2084"/>
    <cellStyle name="Warning Text 2 2 5" xfId="2085"/>
    <cellStyle name="Warning Text 2 3" xfId="2086"/>
    <cellStyle name="Warning Text 2 4" xfId="2087"/>
    <cellStyle name="Warning Text 2 5" xfId="2088"/>
    <cellStyle name="Warning Text 2 6" xfId="2089"/>
    <cellStyle name="Warning Text 2 7" xfId="2090"/>
    <cellStyle name="Warning Text 2 8" xfId="2091"/>
    <cellStyle name="Warning Text 2 9" xfId="2092"/>
    <cellStyle name="Warning Text 20" xfId="2093"/>
    <cellStyle name="Warning Text 21" xfId="2094"/>
    <cellStyle name="Warning Text 22" xfId="2095"/>
    <cellStyle name="Warning Text 3" xfId="2096"/>
    <cellStyle name="Warning Text 3 2" xfId="15119"/>
    <cellStyle name="Warning Text 4" xfId="2097"/>
    <cellStyle name="Warning Text 4 2" xfId="15120"/>
    <cellStyle name="Warning Text 5" xfId="2098"/>
    <cellStyle name="Warning Text 6" xfId="2099"/>
    <cellStyle name="Warning Text 7" xfId="2100"/>
    <cellStyle name="Warning Text 8" xfId="2101"/>
    <cellStyle name="Warning Text 9" xfId="2102"/>
  </cellStyles>
  <dxfs count="40">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s>
  <tableStyles count="0" defaultTableStyle="TableStyleMedium9" defaultPivotStyle="PivotStyleLight16"/>
  <colors>
    <mruColors>
      <color rgb="FFB7DEFF"/>
      <color rgb="FFFFFF99"/>
      <color rgb="FFEEF0A8"/>
      <color rgb="FFC7DCEF"/>
      <color rgb="FFCCFFCC"/>
      <color rgb="FF0000FF"/>
      <color rgb="FFCC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Rate%20Case%202014/Billing%20Determinants/KU/KU%20Test%20Year%20Base%20Period%20Bill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s==&gt;"/>
      <sheetName val="Sch M-1.1"/>
      <sheetName val="Sch M-1.2"/>
      <sheetName val="Sch M-1.3-pg 1"/>
      <sheetName val="Sch M-2.2-pg2-15"/>
      <sheetName val="Sch M-2.2-pg 16-20"/>
      <sheetName val="Conroy Exhibit P2"/>
      <sheetName val="Yr End Cust Adj"/>
      <sheetName val="Rate Switch"/>
      <sheetName val="ECR Roll In==&gt;"/>
      <sheetName val="Summary"/>
      <sheetName val="Group1"/>
      <sheetName val="Group2"/>
      <sheetName val="ECR Rollin"/>
      <sheetName val="StLtTYRevenueNetOfBaseECR"/>
      <sheetName val="Data==&gt;"/>
      <sheetName val="12MonResults"/>
      <sheetName val="12MonLights"/>
      <sheetName val="Rates"/>
      <sheetName val="Rates-Lights"/>
      <sheetName val="Sources ==&gt;"/>
      <sheetName val="1022"/>
      <sheetName val="1055"/>
      <sheetName val="SBR"/>
      <sheetName val="GranVille"/>
      <sheetName val="MiscData"/>
    </sheetNames>
    <sheetDataSet>
      <sheetData sheetId="0"/>
      <sheetData sheetId="1"/>
      <sheetData sheetId="2">
        <row r="9">
          <cell r="G9">
            <v>578410518</v>
          </cell>
        </row>
      </sheetData>
      <sheetData sheetId="3">
        <row r="10">
          <cell r="C10">
            <v>578410518</v>
          </cell>
        </row>
      </sheetData>
      <sheetData sheetId="4">
        <row r="13">
          <cell r="C13">
            <v>5117212</v>
          </cell>
        </row>
      </sheetData>
      <sheetData sheetId="5">
        <row r="95">
          <cell r="C95">
            <v>1703067</v>
          </cell>
        </row>
      </sheetData>
      <sheetData sheetId="6"/>
      <sheetData sheetId="7"/>
      <sheetData sheetId="8"/>
      <sheetData sheetId="9"/>
      <sheetData sheetId="10"/>
      <sheetData sheetId="11"/>
      <sheetData sheetId="12"/>
      <sheetData sheetId="13"/>
      <sheetData sheetId="14"/>
      <sheetData sheetId="15"/>
      <sheetData sheetId="16">
        <row r="4">
          <cell r="B4" t="str">
            <v>Jan 2015</v>
          </cell>
          <cell r="C4" t="str">
            <v>RTS</v>
          </cell>
          <cell r="D4" t="str">
            <v>RTS</v>
          </cell>
          <cell r="E4" t="str">
            <v>KUCIE550</v>
          </cell>
          <cell r="F4">
            <v>32</v>
          </cell>
          <cell r="H4">
            <v>0</v>
          </cell>
          <cell r="I4">
            <v>0</v>
          </cell>
          <cell r="J4">
            <v>0</v>
          </cell>
          <cell r="K4">
            <v>137626552</v>
          </cell>
          <cell r="L4">
            <v>0</v>
          </cell>
          <cell r="M4">
            <v>305144.33</v>
          </cell>
          <cell r="N4">
            <v>294071.15999999997</v>
          </cell>
          <cell r="O4">
            <v>282439.21000000002</v>
          </cell>
          <cell r="V4">
            <v>0</v>
          </cell>
          <cell r="W4">
            <v>0</v>
          </cell>
          <cell r="X4">
            <v>0</v>
          </cell>
          <cell r="AL4">
            <v>0</v>
          </cell>
          <cell r="AM4">
            <v>0</v>
          </cell>
          <cell r="AP4">
            <v>0</v>
          </cell>
          <cell r="AQ4">
            <v>0</v>
          </cell>
          <cell r="AV4">
            <v>7399510.1900000013</v>
          </cell>
          <cell r="AW4">
            <v>7399510</v>
          </cell>
          <cell r="AY4">
            <v>355465</v>
          </cell>
          <cell r="AZ4">
            <v>0</v>
          </cell>
          <cell r="BA4">
            <v>421992</v>
          </cell>
          <cell r="BC4">
            <v>0</v>
          </cell>
          <cell r="BD4">
            <v>8176967</v>
          </cell>
          <cell r="BG4">
            <v>3980159.88</v>
          </cell>
          <cell r="BI4" t="str">
            <v>Forecast</v>
          </cell>
        </row>
        <row r="5">
          <cell r="B5" t="str">
            <v>Jan 2015</v>
          </cell>
          <cell r="C5" t="str">
            <v>PSP</v>
          </cell>
          <cell r="D5" t="str">
            <v>PSP</v>
          </cell>
          <cell r="E5" t="str">
            <v>KUCIE561</v>
          </cell>
          <cell r="F5">
            <v>213</v>
          </cell>
          <cell r="H5">
            <v>0</v>
          </cell>
          <cell r="I5">
            <v>0</v>
          </cell>
          <cell r="J5">
            <v>0</v>
          </cell>
          <cell r="K5">
            <v>18555214</v>
          </cell>
          <cell r="L5">
            <v>0</v>
          </cell>
          <cell r="M5">
            <v>0</v>
          </cell>
          <cell r="N5">
            <v>53480.55</v>
          </cell>
          <cell r="O5">
            <v>0</v>
          </cell>
          <cell r="V5">
            <v>0</v>
          </cell>
          <cell r="W5">
            <v>0</v>
          </cell>
          <cell r="X5">
            <v>0</v>
          </cell>
          <cell r="AL5">
            <v>0</v>
          </cell>
          <cell r="AM5">
            <v>0</v>
          </cell>
          <cell r="AV5">
            <v>1402020.37</v>
          </cell>
          <cell r="AW5">
            <v>1402021</v>
          </cell>
          <cell r="AY5">
            <v>47925</v>
          </cell>
          <cell r="AZ5">
            <v>19333</v>
          </cell>
          <cell r="BA5">
            <v>56894</v>
          </cell>
          <cell r="BC5">
            <v>0</v>
          </cell>
          <cell r="BD5">
            <v>1526173</v>
          </cell>
          <cell r="BG5">
            <v>536616.79</v>
          </cell>
          <cell r="BI5" t="str">
            <v>Forecast</v>
          </cell>
        </row>
        <row r="6">
          <cell r="B6" t="str">
            <v>Jan 2015</v>
          </cell>
          <cell r="C6" t="str">
            <v>PSS</v>
          </cell>
          <cell r="D6" t="str">
            <v>PSS</v>
          </cell>
          <cell r="E6" t="str">
            <v>KUCIE562</v>
          </cell>
          <cell r="F6">
            <v>4785</v>
          </cell>
          <cell r="H6">
            <v>0</v>
          </cell>
          <cell r="I6">
            <v>0</v>
          </cell>
          <cell r="J6">
            <v>0</v>
          </cell>
          <cell r="K6">
            <v>185457207</v>
          </cell>
          <cell r="L6">
            <v>0</v>
          </cell>
          <cell r="M6">
            <v>0</v>
          </cell>
          <cell r="N6">
            <v>601580.15</v>
          </cell>
          <cell r="O6">
            <v>0</v>
          </cell>
          <cell r="V6">
            <v>0</v>
          </cell>
          <cell r="W6">
            <v>0</v>
          </cell>
          <cell r="X6">
            <v>0</v>
          </cell>
          <cell r="AL6">
            <v>0</v>
          </cell>
          <cell r="AM6">
            <v>0</v>
          </cell>
          <cell r="AV6">
            <v>14981202.84</v>
          </cell>
          <cell r="AW6">
            <v>14981202</v>
          </cell>
          <cell r="AY6">
            <v>479004</v>
          </cell>
          <cell r="AZ6">
            <v>193234</v>
          </cell>
          <cell r="BA6">
            <v>568651</v>
          </cell>
          <cell r="BC6">
            <v>0</v>
          </cell>
          <cell r="BD6">
            <v>16222091</v>
          </cell>
          <cell r="BG6">
            <v>5363422.43</v>
          </cell>
          <cell r="BI6" t="str">
            <v>Forecast</v>
          </cell>
        </row>
        <row r="7">
          <cell r="B7" t="str">
            <v>Jan 2015</v>
          </cell>
          <cell r="C7" t="str">
            <v>TODP</v>
          </cell>
          <cell r="D7" t="str">
            <v>TODP</v>
          </cell>
          <cell r="E7" t="str">
            <v>KUCIE563</v>
          </cell>
          <cell r="F7">
            <v>52</v>
          </cell>
          <cell r="H7">
            <v>0</v>
          </cell>
          <cell r="I7">
            <v>0</v>
          </cell>
          <cell r="J7">
            <v>0</v>
          </cell>
          <cell r="K7">
            <v>240245651</v>
          </cell>
          <cell r="L7">
            <v>0</v>
          </cell>
          <cell r="M7">
            <v>491105.69</v>
          </cell>
          <cell r="N7">
            <v>456640.07</v>
          </cell>
          <cell r="O7">
            <v>450122.46</v>
          </cell>
          <cell r="V7">
            <v>0</v>
          </cell>
          <cell r="W7">
            <v>0</v>
          </cell>
          <cell r="X7">
            <v>0</v>
          </cell>
          <cell r="AL7">
            <v>0</v>
          </cell>
          <cell r="AM7">
            <v>0</v>
          </cell>
          <cell r="AV7">
            <v>13078487.76</v>
          </cell>
          <cell r="AW7">
            <v>13078487</v>
          </cell>
          <cell r="AY7">
            <v>620513</v>
          </cell>
          <cell r="AZ7">
            <v>250320</v>
          </cell>
          <cell r="BA7">
            <v>736644</v>
          </cell>
          <cell r="BC7">
            <v>0</v>
          </cell>
          <cell r="BD7">
            <v>14685964</v>
          </cell>
          <cell r="BG7">
            <v>6947904.2300000004</v>
          </cell>
          <cell r="BI7" t="str">
            <v>Forecast</v>
          </cell>
        </row>
        <row r="8">
          <cell r="B8" t="str">
            <v>Jan 2015</v>
          </cell>
          <cell r="C8" t="str">
            <v>PSP</v>
          </cell>
          <cell r="D8" t="str">
            <v>PSP</v>
          </cell>
          <cell r="E8" t="str">
            <v>KUCIE566</v>
          </cell>
          <cell r="F8">
            <v>0</v>
          </cell>
          <cell r="H8">
            <v>0</v>
          </cell>
          <cell r="I8">
            <v>0</v>
          </cell>
          <cell r="J8">
            <v>0</v>
          </cell>
          <cell r="K8">
            <v>0</v>
          </cell>
          <cell r="L8">
            <v>0</v>
          </cell>
          <cell r="M8">
            <v>0</v>
          </cell>
          <cell r="N8">
            <v>0</v>
          </cell>
          <cell r="O8">
            <v>0</v>
          </cell>
          <cell r="S8">
            <v>0</v>
          </cell>
          <cell r="U8">
            <v>0</v>
          </cell>
          <cell r="V8">
            <v>0</v>
          </cell>
          <cell r="W8">
            <v>0</v>
          </cell>
          <cell r="X8">
            <v>0</v>
          </cell>
          <cell r="AL8">
            <v>0</v>
          </cell>
          <cell r="AM8">
            <v>0</v>
          </cell>
          <cell r="AV8">
            <v>0</v>
          </cell>
          <cell r="AW8">
            <v>0</v>
          </cell>
          <cell r="AY8">
            <v>0</v>
          </cell>
          <cell r="AZ8">
            <v>0</v>
          </cell>
          <cell r="BA8">
            <v>0</v>
          </cell>
          <cell r="BC8">
            <v>0</v>
          </cell>
          <cell r="BD8">
            <v>0</v>
          </cell>
          <cell r="BG8">
            <v>0</v>
          </cell>
          <cell r="BI8" t="str">
            <v>Forecast</v>
          </cell>
        </row>
        <row r="9">
          <cell r="B9" t="str">
            <v>Jan 2015</v>
          </cell>
          <cell r="C9" t="str">
            <v>PSS</v>
          </cell>
          <cell r="D9" t="str">
            <v>PSS</v>
          </cell>
          <cell r="E9" t="str">
            <v>KUCIE568</v>
          </cell>
          <cell r="F9">
            <v>0</v>
          </cell>
          <cell r="H9">
            <v>0</v>
          </cell>
          <cell r="I9">
            <v>0</v>
          </cell>
          <cell r="J9">
            <v>0</v>
          </cell>
          <cell r="K9">
            <v>0</v>
          </cell>
          <cell r="L9">
            <v>0</v>
          </cell>
          <cell r="M9">
            <v>0</v>
          </cell>
          <cell r="N9">
            <v>0</v>
          </cell>
          <cell r="O9">
            <v>0</v>
          </cell>
          <cell r="S9">
            <v>0</v>
          </cell>
          <cell r="U9">
            <v>0</v>
          </cell>
          <cell r="V9">
            <v>0</v>
          </cell>
          <cell r="W9">
            <v>0</v>
          </cell>
          <cell r="X9">
            <v>0</v>
          </cell>
          <cell r="AM9">
            <v>0</v>
          </cell>
          <cell r="AV9">
            <v>0</v>
          </cell>
          <cell r="AW9">
            <v>0</v>
          </cell>
          <cell r="AY9">
            <v>0</v>
          </cell>
          <cell r="AZ9">
            <v>0</v>
          </cell>
          <cell r="BA9">
            <v>0</v>
          </cell>
          <cell r="BC9">
            <v>0</v>
          </cell>
          <cell r="BD9">
            <v>0</v>
          </cell>
          <cell r="BG9">
            <v>0</v>
          </cell>
          <cell r="BI9" t="str">
            <v>Forecast</v>
          </cell>
        </row>
        <row r="10">
          <cell r="B10" t="str">
            <v>Jan 2015</v>
          </cell>
          <cell r="C10" t="str">
            <v>TODP</v>
          </cell>
          <cell r="D10" t="str">
            <v>TODP</v>
          </cell>
          <cell r="E10" t="str">
            <v>KUCIE571</v>
          </cell>
          <cell r="F10">
            <v>185</v>
          </cell>
          <cell r="H10">
            <v>0</v>
          </cell>
          <cell r="I10">
            <v>0</v>
          </cell>
          <cell r="J10">
            <v>0</v>
          </cell>
          <cell r="K10">
            <v>100894110</v>
          </cell>
          <cell r="L10">
            <v>0</v>
          </cell>
          <cell r="M10">
            <v>254296.49</v>
          </cell>
          <cell r="N10">
            <v>242176.31</v>
          </cell>
          <cell r="O10">
            <v>237756.56</v>
          </cell>
          <cell r="V10">
            <v>0</v>
          </cell>
          <cell r="W10">
            <v>0</v>
          </cell>
          <cell r="X10">
            <v>0</v>
          </cell>
          <cell r="AL10">
            <v>0</v>
          </cell>
          <cell r="AM10">
            <v>0</v>
          </cell>
          <cell r="AV10">
            <v>5970259.8100000005</v>
          </cell>
          <cell r="AW10">
            <v>5970260</v>
          </cell>
          <cell r="AY10">
            <v>260592</v>
          </cell>
          <cell r="AZ10">
            <v>105125</v>
          </cell>
          <cell r="BA10">
            <v>309362</v>
          </cell>
          <cell r="BC10">
            <v>0</v>
          </cell>
          <cell r="BD10">
            <v>6645339</v>
          </cell>
          <cell r="BG10">
            <v>2917857.66</v>
          </cell>
          <cell r="BI10" t="str">
            <v>Forecast</v>
          </cell>
        </row>
        <row r="11">
          <cell r="B11" t="str">
            <v>Jan 2015</v>
          </cell>
          <cell r="C11" t="str">
            <v>TODS</v>
          </cell>
          <cell r="D11" t="str">
            <v>TODS</v>
          </cell>
          <cell r="E11" t="str">
            <v>KUCIE572</v>
          </cell>
          <cell r="F11">
            <v>455</v>
          </cell>
          <cell r="H11">
            <v>0</v>
          </cell>
          <cell r="I11">
            <v>0</v>
          </cell>
          <cell r="J11">
            <v>0</v>
          </cell>
          <cell r="K11">
            <v>124209840</v>
          </cell>
          <cell r="L11">
            <v>0</v>
          </cell>
          <cell r="M11">
            <v>303025.19</v>
          </cell>
          <cell r="N11">
            <v>275995.63</v>
          </cell>
          <cell r="O11">
            <v>269813.34000000003</v>
          </cell>
          <cell r="V11">
            <v>0</v>
          </cell>
          <cell r="W11">
            <v>0</v>
          </cell>
          <cell r="X11">
            <v>0</v>
          </cell>
          <cell r="AM11">
            <v>0</v>
          </cell>
          <cell r="AV11">
            <v>7916226.2599999998</v>
          </cell>
          <cell r="AW11">
            <v>7916227</v>
          </cell>
          <cell r="AY11">
            <v>320812</v>
          </cell>
          <cell r="AZ11">
            <v>129418</v>
          </cell>
          <cell r="BA11">
            <v>380853</v>
          </cell>
          <cell r="BC11">
            <v>0</v>
          </cell>
          <cell r="BD11">
            <v>8747310</v>
          </cell>
          <cell r="BG11">
            <v>3592148.57</v>
          </cell>
          <cell r="BI11" t="str">
            <v>Forecast</v>
          </cell>
        </row>
        <row r="12">
          <cell r="B12" t="str">
            <v>Jan 2015</v>
          </cell>
          <cell r="C12" t="str">
            <v>PSS</v>
          </cell>
          <cell r="D12" t="str">
            <v>PSS</v>
          </cell>
          <cell r="E12" t="str">
            <v>KUCIE717</v>
          </cell>
          <cell r="F12">
            <v>0</v>
          </cell>
          <cell r="G12">
            <v>0</v>
          </cell>
          <cell r="H12">
            <v>0</v>
          </cell>
          <cell r="I12">
            <v>0</v>
          </cell>
          <cell r="J12">
            <v>0</v>
          </cell>
          <cell r="K12">
            <v>0</v>
          </cell>
          <cell r="L12">
            <v>0</v>
          </cell>
          <cell r="M12">
            <v>0</v>
          </cell>
          <cell r="N12">
            <v>0</v>
          </cell>
          <cell r="O12">
            <v>0</v>
          </cell>
          <cell r="S12">
            <v>0</v>
          </cell>
          <cell r="T12">
            <v>0</v>
          </cell>
          <cell r="U12">
            <v>0</v>
          </cell>
          <cell r="V12">
            <v>0</v>
          </cell>
          <cell r="W12">
            <v>0</v>
          </cell>
          <cell r="X12">
            <v>0</v>
          </cell>
          <cell r="AL12">
            <v>0</v>
          </cell>
          <cell r="AM12">
            <v>0</v>
          </cell>
          <cell r="AP12">
            <v>0</v>
          </cell>
          <cell r="AQ12">
            <v>0</v>
          </cell>
          <cell r="AR12">
            <v>0</v>
          </cell>
          <cell r="AV12">
            <v>0</v>
          </cell>
          <cell r="AW12">
            <v>0</v>
          </cell>
          <cell r="AY12">
            <v>0</v>
          </cell>
          <cell r="AZ12">
            <v>0</v>
          </cell>
          <cell r="BA12">
            <v>0</v>
          </cell>
          <cell r="BC12">
            <v>0</v>
          </cell>
          <cell r="BD12">
            <v>0</v>
          </cell>
          <cell r="BG12">
            <v>0</v>
          </cell>
          <cell r="BI12" t="str">
            <v>Forecast</v>
          </cell>
        </row>
        <row r="13">
          <cell r="B13" t="str">
            <v>Jan 2015</v>
          </cell>
          <cell r="C13" t="str">
            <v>GS</v>
          </cell>
          <cell r="D13" t="str">
            <v>GS</v>
          </cell>
          <cell r="E13" t="str">
            <v>KUCME110</v>
          </cell>
          <cell r="F13">
            <v>63444</v>
          </cell>
          <cell r="G13">
            <v>0</v>
          </cell>
          <cell r="H13">
            <v>0</v>
          </cell>
          <cell r="I13">
            <v>0</v>
          </cell>
          <cell r="J13">
            <v>0</v>
          </cell>
          <cell r="K13">
            <v>74972451</v>
          </cell>
          <cell r="L13">
            <v>0</v>
          </cell>
          <cell r="M13">
            <v>0</v>
          </cell>
          <cell r="N13">
            <v>0</v>
          </cell>
          <cell r="O13">
            <v>0</v>
          </cell>
          <cell r="S13">
            <v>0</v>
          </cell>
          <cell r="T13">
            <v>0</v>
          </cell>
          <cell r="U13">
            <v>0</v>
          </cell>
          <cell r="V13">
            <v>0</v>
          </cell>
          <cell r="W13">
            <v>0</v>
          </cell>
          <cell r="X13">
            <v>0</v>
          </cell>
          <cell r="AL13">
            <v>0</v>
          </cell>
          <cell r="AM13">
            <v>0</v>
          </cell>
          <cell r="AP13">
            <v>0</v>
          </cell>
          <cell r="AQ13">
            <v>0</v>
          </cell>
          <cell r="AR13">
            <v>0</v>
          </cell>
          <cell r="AV13">
            <v>8185088.5999999996</v>
          </cell>
          <cell r="AW13">
            <v>8185091</v>
          </cell>
          <cell r="AY13">
            <v>193641</v>
          </cell>
          <cell r="AZ13">
            <v>78116</v>
          </cell>
          <cell r="BA13">
            <v>229881</v>
          </cell>
          <cell r="BC13">
            <v>0</v>
          </cell>
          <cell r="BD13">
            <v>8686729</v>
          </cell>
          <cell r="BG13">
            <v>2168203.2799999998</v>
          </cell>
          <cell r="BI13" t="str">
            <v>Forecast</v>
          </cell>
        </row>
        <row r="14">
          <cell r="B14" t="str">
            <v>Jan 2015</v>
          </cell>
          <cell r="C14" t="str">
            <v>GS</v>
          </cell>
          <cell r="D14" t="str">
            <v>GS</v>
          </cell>
          <cell r="E14" t="str">
            <v>KUCME112</v>
          </cell>
          <cell r="F14">
            <v>0</v>
          </cell>
          <cell r="G14">
            <v>0</v>
          </cell>
          <cell r="H14">
            <v>0</v>
          </cell>
          <cell r="I14">
            <v>0</v>
          </cell>
          <cell r="J14">
            <v>0</v>
          </cell>
          <cell r="K14">
            <v>0</v>
          </cell>
          <cell r="L14">
            <v>0</v>
          </cell>
          <cell r="M14">
            <v>0</v>
          </cell>
          <cell r="N14">
            <v>0</v>
          </cell>
          <cell r="O14">
            <v>0</v>
          </cell>
          <cell r="S14">
            <v>0</v>
          </cell>
          <cell r="T14">
            <v>0</v>
          </cell>
          <cell r="U14">
            <v>0</v>
          </cell>
          <cell r="V14">
            <v>0</v>
          </cell>
          <cell r="W14">
            <v>0</v>
          </cell>
          <cell r="X14">
            <v>0</v>
          </cell>
          <cell r="AL14">
            <v>0</v>
          </cell>
          <cell r="AM14">
            <v>0</v>
          </cell>
          <cell r="AP14">
            <v>0</v>
          </cell>
          <cell r="AQ14">
            <v>0</v>
          </cell>
          <cell r="AR14">
            <v>0</v>
          </cell>
          <cell r="AV14">
            <v>0</v>
          </cell>
          <cell r="AW14">
            <v>0</v>
          </cell>
          <cell r="AY14">
            <v>0</v>
          </cell>
          <cell r="AZ14">
            <v>0</v>
          </cell>
          <cell r="BA14">
            <v>0</v>
          </cell>
          <cell r="BC14">
            <v>0</v>
          </cell>
          <cell r="BD14">
            <v>0</v>
          </cell>
          <cell r="BG14">
            <v>0</v>
          </cell>
          <cell r="BI14" t="str">
            <v>Forecast</v>
          </cell>
        </row>
        <row r="15">
          <cell r="B15" t="str">
            <v>Jan 2015</v>
          </cell>
          <cell r="C15" t="str">
            <v>GS3</v>
          </cell>
          <cell r="D15" t="str">
            <v>GS3</v>
          </cell>
          <cell r="E15" t="str">
            <v>KUCME113</v>
          </cell>
          <cell r="F15">
            <v>18546</v>
          </cell>
          <cell r="G15">
            <v>0</v>
          </cell>
          <cell r="H15">
            <v>0</v>
          </cell>
          <cell r="I15">
            <v>0</v>
          </cell>
          <cell r="J15">
            <v>0</v>
          </cell>
          <cell r="K15">
            <v>110082107</v>
          </cell>
          <cell r="L15">
            <v>0</v>
          </cell>
          <cell r="M15">
            <v>416527.74</v>
          </cell>
          <cell r="N15">
            <v>0</v>
          </cell>
          <cell r="O15">
            <v>0</v>
          </cell>
          <cell r="S15">
            <v>0</v>
          </cell>
          <cell r="T15">
            <v>0</v>
          </cell>
          <cell r="U15">
            <v>0</v>
          </cell>
          <cell r="V15">
            <v>0</v>
          </cell>
          <cell r="W15">
            <v>0</v>
          </cell>
          <cell r="X15">
            <v>0</v>
          </cell>
          <cell r="AL15">
            <v>0</v>
          </cell>
          <cell r="AM15">
            <v>0</v>
          </cell>
          <cell r="AP15">
            <v>0</v>
          </cell>
          <cell r="AQ15">
            <v>0</v>
          </cell>
          <cell r="AR15">
            <v>0</v>
          </cell>
          <cell r="AV15">
            <v>10804184.369999999</v>
          </cell>
          <cell r="AW15">
            <v>10804180</v>
          </cell>
          <cell r="AY15">
            <v>284323</v>
          </cell>
          <cell r="AZ15">
            <v>114698</v>
          </cell>
          <cell r="BA15">
            <v>337535</v>
          </cell>
          <cell r="BC15">
            <v>0</v>
          </cell>
          <cell r="BD15">
            <v>11540736</v>
          </cell>
          <cell r="BG15">
            <v>3183574.53</v>
          </cell>
          <cell r="BI15" t="str">
            <v>Forecast</v>
          </cell>
        </row>
        <row r="16">
          <cell r="B16" t="str">
            <v>Jan 2015</v>
          </cell>
          <cell r="C16" t="str">
            <v>AES</v>
          </cell>
          <cell r="D16" t="str">
            <v>AES</v>
          </cell>
          <cell r="E16" t="str">
            <v>KUCME220</v>
          </cell>
          <cell r="F16">
            <v>371</v>
          </cell>
          <cell r="G16">
            <v>0</v>
          </cell>
          <cell r="H16">
            <v>0</v>
          </cell>
          <cell r="I16">
            <v>0</v>
          </cell>
          <cell r="J16">
            <v>0</v>
          </cell>
          <cell r="K16">
            <v>781136</v>
          </cell>
          <cell r="L16">
            <v>0</v>
          </cell>
          <cell r="M16">
            <v>0</v>
          </cell>
          <cell r="N16">
            <v>0</v>
          </cell>
          <cell r="O16">
            <v>0</v>
          </cell>
          <cell r="S16">
            <v>0</v>
          </cell>
          <cell r="T16">
            <v>0</v>
          </cell>
          <cell r="U16">
            <v>0</v>
          </cell>
          <cell r="V16">
            <v>0</v>
          </cell>
          <cell r="W16">
            <v>0</v>
          </cell>
          <cell r="X16">
            <v>0</v>
          </cell>
          <cell r="AL16">
            <v>0</v>
          </cell>
          <cell r="AM16">
            <v>0</v>
          </cell>
          <cell r="AP16">
            <v>0</v>
          </cell>
          <cell r="AQ16">
            <v>0</v>
          </cell>
          <cell r="AR16">
            <v>0</v>
          </cell>
          <cell r="AV16">
            <v>65536.51999999999</v>
          </cell>
          <cell r="AW16">
            <v>65536</v>
          </cell>
          <cell r="AY16">
            <v>2018</v>
          </cell>
          <cell r="AZ16">
            <v>814</v>
          </cell>
          <cell r="BA16">
            <v>2395</v>
          </cell>
          <cell r="BC16">
            <v>0</v>
          </cell>
          <cell r="BD16">
            <v>70763</v>
          </cell>
          <cell r="BG16">
            <v>22590.45</v>
          </cell>
          <cell r="BI16" t="str">
            <v>Forecast</v>
          </cell>
        </row>
        <row r="17">
          <cell r="B17" t="str">
            <v>Jan 2015</v>
          </cell>
          <cell r="C17" t="str">
            <v>AES</v>
          </cell>
          <cell r="D17" t="str">
            <v>AES</v>
          </cell>
          <cell r="E17" t="str">
            <v>KUCME221</v>
          </cell>
          <cell r="F17">
            <v>0</v>
          </cell>
          <cell r="G17">
            <v>0</v>
          </cell>
          <cell r="H17">
            <v>0</v>
          </cell>
          <cell r="I17">
            <v>0</v>
          </cell>
          <cell r="J17">
            <v>0</v>
          </cell>
          <cell r="K17">
            <v>0</v>
          </cell>
          <cell r="L17">
            <v>0</v>
          </cell>
          <cell r="M17">
            <v>0</v>
          </cell>
          <cell r="N17">
            <v>0</v>
          </cell>
          <cell r="O17">
            <v>0</v>
          </cell>
          <cell r="S17">
            <v>0</v>
          </cell>
          <cell r="T17">
            <v>0</v>
          </cell>
          <cell r="U17">
            <v>0</v>
          </cell>
          <cell r="V17">
            <v>0</v>
          </cell>
          <cell r="W17">
            <v>0</v>
          </cell>
          <cell r="X17">
            <v>0</v>
          </cell>
          <cell r="AL17">
            <v>0</v>
          </cell>
          <cell r="AM17">
            <v>0</v>
          </cell>
          <cell r="AP17">
            <v>0</v>
          </cell>
          <cell r="AQ17">
            <v>0</v>
          </cell>
          <cell r="AR17">
            <v>0</v>
          </cell>
          <cell r="AV17">
            <v>0</v>
          </cell>
          <cell r="AW17">
            <v>0</v>
          </cell>
          <cell r="AY17">
            <v>0</v>
          </cell>
          <cell r="AZ17">
            <v>0</v>
          </cell>
          <cell r="BA17">
            <v>0</v>
          </cell>
          <cell r="BC17">
            <v>0</v>
          </cell>
          <cell r="BD17">
            <v>0</v>
          </cell>
          <cell r="BG17">
            <v>0</v>
          </cell>
          <cell r="BI17" t="str">
            <v>Forecast</v>
          </cell>
        </row>
        <row r="18">
          <cell r="B18" t="str">
            <v>Jan 2015</v>
          </cell>
          <cell r="C18" t="str">
            <v>AES3</v>
          </cell>
          <cell r="D18" t="str">
            <v>AES3</v>
          </cell>
          <cell r="E18" t="str">
            <v>KUCME223</v>
          </cell>
          <cell r="F18">
            <v>0</v>
          </cell>
          <cell r="G18">
            <v>0</v>
          </cell>
          <cell r="H18">
            <v>0</v>
          </cell>
          <cell r="I18">
            <v>0</v>
          </cell>
          <cell r="J18">
            <v>0</v>
          </cell>
          <cell r="K18">
            <v>0</v>
          </cell>
          <cell r="L18">
            <v>0</v>
          </cell>
          <cell r="M18">
            <v>0</v>
          </cell>
          <cell r="N18">
            <v>0</v>
          </cell>
          <cell r="O18">
            <v>0</v>
          </cell>
          <cell r="S18">
            <v>0</v>
          </cell>
          <cell r="T18">
            <v>0</v>
          </cell>
          <cell r="U18">
            <v>0</v>
          </cell>
          <cell r="V18">
            <v>0</v>
          </cell>
          <cell r="W18">
            <v>0</v>
          </cell>
          <cell r="X18">
            <v>0</v>
          </cell>
          <cell r="AL18">
            <v>0</v>
          </cell>
          <cell r="AM18">
            <v>0</v>
          </cell>
          <cell r="AP18">
            <v>0</v>
          </cell>
          <cell r="AQ18">
            <v>0</v>
          </cell>
          <cell r="AR18">
            <v>0</v>
          </cell>
          <cell r="AV18">
            <v>0</v>
          </cell>
          <cell r="AW18">
            <v>0</v>
          </cell>
          <cell r="AY18">
            <v>0</v>
          </cell>
          <cell r="AZ18">
            <v>0</v>
          </cell>
          <cell r="BA18">
            <v>0</v>
          </cell>
          <cell r="BC18">
            <v>0</v>
          </cell>
          <cell r="BD18">
            <v>0</v>
          </cell>
          <cell r="BG18">
            <v>0</v>
          </cell>
          <cell r="BI18" t="str">
            <v>Forecast</v>
          </cell>
        </row>
        <row r="19">
          <cell r="B19" t="str">
            <v>Jan 2015</v>
          </cell>
          <cell r="C19" t="str">
            <v>AES3</v>
          </cell>
          <cell r="D19" t="str">
            <v>AES3</v>
          </cell>
          <cell r="E19" t="str">
            <v>KUCME224</v>
          </cell>
          <cell r="F19">
            <v>258</v>
          </cell>
          <cell r="G19">
            <v>0</v>
          </cell>
          <cell r="H19">
            <v>0</v>
          </cell>
          <cell r="I19">
            <v>0</v>
          </cell>
          <cell r="J19">
            <v>0</v>
          </cell>
          <cell r="K19">
            <v>14477984</v>
          </cell>
          <cell r="L19">
            <v>0</v>
          </cell>
          <cell r="M19">
            <v>55242.61</v>
          </cell>
          <cell r="N19">
            <v>0</v>
          </cell>
          <cell r="O19">
            <v>0</v>
          </cell>
          <cell r="S19">
            <v>0</v>
          </cell>
          <cell r="T19">
            <v>0</v>
          </cell>
          <cell r="U19">
            <v>0</v>
          </cell>
          <cell r="V19">
            <v>0</v>
          </cell>
          <cell r="W19">
            <v>0</v>
          </cell>
          <cell r="X19">
            <v>0</v>
          </cell>
          <cell r="AL19">
            <v>0</v>
          </cell>
          <cell r="AM19">
            <v>0</v>
          </cell>
          <cell r="AP19">
            <v>0</v>
          </cell>
          <cell r="AQ19">
            <v>0</v>
          </cell>
          <cell r="AR19">
            <v>0</v>
          </cell>
          <cell r="AV19">
            <v>1086192.01</v>
          </cell>
          <cell r="AW19">
            <v>1086192</v>
          </cell>
          <cell r="AY19">
            <v>37394</v>
          </cell>
          <cell r="AZ19">
            <v>15085</v>
          </cell>
          <cell r="BA19">
            <v>44393</v>
          </cell>
          <cell r="BC19">
            <v>0</v>
          </cell>
          <cell r="BD19">
            <v>1183064</v>
          </cell>
          <cell r="BG19">
            <v>418703.3</v>
          </cell>
          <cell r="BI19" t="str">
            <v>Forecast</v>
          </cell>
        </row>
        <row r="20">
          <cell r="B20" t="str">
            <v>Jan 2015</v>
          </cell>
          <cell r="C20" t="str">
            <v>AES3</v>
          </cell>
          <cell r="D20" t="str">
            <v>AES3</v>
          </cell>
          <cell r="E20" t="str">
            <v>KUCME225</v>
          </cell>
          <cell r="F20">
            <v>0</v>
          </cell>
          <cell r="G20">
            <v>0</v>
          </cell>
          <cell r="H20">
            <v>0</v>
          </cell>
          <cell r="I20">
            <v>0</v>
          </cell>
          <cell r="J20">
            <v>0</v>
          </cell>
          <cell r="K20">
            <v>0</v>
          </cell>
          <cell r="L20">
            <v>0</v>
          </cell>
          <cell r="M20">
            <v>0</v>
          </cell>
          <cell r="N20">
            <v>0</v>
          </cell>
          <cell r="O20">
            <v>0</v>
          </cell>
          <cell r="S20">
            <v>0</v>
          </cell>
          <cell r="T20">
            <v>0</v>
          </cell>
          <cell r="U20">
            <v>0</v>
          </cell>
          <cell r="V20">
            <v>0</v>
          </cell>
          <cell r="W20">
            <v>0</v>
          </cell>
          <cell r="X20">
            <v>0</v>
          </cell>
          <cell r="AL20">
            <v>0</v>
          </cell>
          <cell r="AM20">
            <v>0</v>
          </cell>
          <cell r="AP20">
            <v>0</v>
          </cell>
          <cell r="AQ20">
            <v>0</v>
          </cell>
          <cell r="AR20">
            <v>0</v>
          </cell>
          <cell r="AV20">
            <v>0</v>
          </cell>
          <cell r="AW20">
            <v>0</v>
          </cell>
          <cell r="AY20">
            <v>0</v>
          </cell>
          <cell r="AZ20">
            <v>0</v>
          </cell>
          <cell r="BA20">
            <v>0</v>
          </cell>
          <cell r="BC20">
            <v>0</v>
          </cell>
          <cell r="BD20">
            <v>0</v>
          </cell>
          <cell r="BG20">
            <v>0</v>
          </cell>
          <cell r="BI20" t="str">
            <v>Forecast</v>
          </cell>
        </row>
        <row r="21">
          <cell r="B21" t="str">
            <v>Jan 2015</v>
          </cell>
          <cell r="C21" t="str">
            <v>AES</v>
          </cell>
          <cell r="D21" t="str">
            <v>AES</v>
          </cell>
          <cell r="E21" t="str">
            <v>KUCME226</v>
          </cell>
          <cell r="F21">
            <v>0</v>
          </cell>
          <cell r="G21">
            <v>0</v>
          </cell>
          <cell r="H21">
            <v>0</v>
          </cell>
          <cell r="I21">
            <v>0</v>
          </cell>
          <cell r="J21">
            <v>0</v>
          </cell>
          <cell r="K21">
            <v>0</v>
          </cell>
          <cell r="L21">
            <v>0</v>
          </cell>
          <cell r="M21">
            <v>0</v>
          </cell>
          <cell r="N21">
            <v>0</v>
          </cell>
          <cell r="O21">
            <v>0</v>
          </cell>
          <cell r="S21">
            <v>0</v>
          </cell>
          <cell r="T21">
            <v>0</v>
          </cell>
          <cell r="U21">
            <v>0</v>
          </cell>
          <cell r="V21">
            <v>0</v>
          </cell>
          <cell r="W21">
            <v>0</v>
          </cell>
          <cell r="X21">
            <v>0</v>
          </cell>
          <cell r="AL21">
            <v>0</v>
          </cell>
          <cell r="AM21">
            <v>0</v>
          </cell>
          <cell r="AP21">
            <v>0</v>
          </cell>
          <cell r="AQ21">
            <v>0</v>
          </cell>
          <cell r="AR21">
            <v>0</v>
          </cell>
          <cell r="AV21">
            <v>0</v>
          </cell>
          <cell r="AW21">
            <v>0</v>
          </cell>
          <cell r="AY21">
            <v>0</v>
          </cell>
          <cell r="AZ21">
            <v>0</v>
          </cell>
          <cell r="BA21">
            <v>0</v>
          </cell>
          <cell r="BC21">
            <v>0</v>
          </cell>
          <cell r="BD21">
            <v>0</v>
          </cell>
          <cell r="BG21">
            <v>0</v>
          </cell>
          <cell r="BI21" t="str">
            <v>Forecast</v>
          </cell>
        </row>
        <row r="22">
          <cell r="B22" t="str">
            <v>Jan 2015</v>
          </cell>
          <cell r="C22" t="str">
            <v>AES3</v>
          </cell>
          <cell r="D22" t="str">
            <v>AES3</v>
          </cell>
          <cell r="E22" t="str">
            <v>KUCME227</v>
          </cell>
          <cell r="F22">
            <v>0</v>
          </cell>
          <cell r="G22">
            <v>0</v>
          </cell>
          <cell r="H22">
            <v>0</v>
          </cell>
          <cell r="I22">
            <v>0</v>
          </cell>
          <cell r="J22">
            <v>0</v>
          </cell>
          <cell r="K22">
            <v>0</v>
          </cell>
          <cell r="L22">
            <v>0</v>
          </cell>
          <cell r="M22">
            <v>0</v>
          </cell>
          <cell r="N22">
            <v>0</v>
          </cell>
          <cell r="O22">
            <v>0</v>
          </cell>
          <cell r="S22">
            <v>0</v>
          </cell>
          <cell r="T22">
            <v>0</v>
          </cell>
          <cell r="U22">
            <v>0</v>
          </cell>
          <cell r="V22">
            <v>0</v>
          </cell>
          <cell r="W22">
            <v>0</v>
          </cell>
          <cell r="X22">
            <v>0</v>
          </cell>
          <cell r="AL22">
            <v>0</v>
          </cell>
          <cell r="AM22">
            <v>0</v>
          </cell>
          <cell r="AP22">
            <v>0</v>
          </cell>
          <cell r="AQ22">
            <v>0</v>
          </cell>
          <cell r="AR22">
            <v>0</v>
          </cell>
          <cell r="AV22">
            <v>0</v>
          </cell>
          <cell r="AW22">
            <v>0</v>
          </cell>
          <cell r="AY22">
            <v>0</v>
          </cell>
          <cell r="AZ22">
            <v>0</v>
          </cell>
          <cell r="BA22">
            <v>0</v>
          </cell>
          <cell r="BC22">
            <v>0</v>
          </cell>
          <cell r="BD22">
            <v>0</v>
          </cell>
          <cell r="BG22">
            <v>0</v>
          </cell>
          <cell r="BI22" t="str">
            <v>Forecast</v>
          </cell>
        </row>
        <row r="23">
          <cell r="B23" t="str">
            <v>Jan 2015</v>
          </cell>
          <cell r="C23" t="str">
            <v>LE</v>
          </cell>
          <cell r="D23" t="str">
            <v>LE</v>
          </cell>
          <cell r="E23" t="str">
            <v>KUCME290</v>
          </cell>
          <cell r="F23">
            <v>2</v>
          </cell>
          <cell r="G23">
            <v>0</v>
          </cell>
          <cell r="H23">
            <v>0</v>
          </cell>
          <cell r="I23">
            <v>0</v>
          </cell>
          <cell r="J23">
            <v>0</v>
          </cell>
          <cell r="K23">
            <v>20895</v>
          </cell>
          <cell r="L23">
            <v>0</v>
          </cell>
          <cell r="M23">
            <v>0</v>
          </cell>
          <cell r="N23">
            <v>0</v>
          </cell>
          <cell r="O23">
            <v>0</v>
          </cell>
          <cell r="S23">
            <v>0</v>
          </cell>
          <cell r="T23">
            <v>0</v>
          </cell>
          <cell r="U23">
            <v>0</v>
          </cell>
          <cell r="V23">
            <v>0</v>
          </cell>
          <cell r="W23">
            <v>0</v>
          </cell>
          <cell r="X23">
            <v>0</v>
          </cell>
          <cell r="AL23">
            <v>0</v>
          </cell>
          <cell r="AM23">
            <v>0</v>
          </cell>
          <cell r="AP23">
            <v>0</v>
          </cell>
          <cell r="AQ23">
            <v>0</v>
          </cell>
          <cell r="AR23">
            <v>0</v>
          </cell>
          <cell r="AV23">
            <v>1333.1</v>
          </cell>
          <cell r="AW23">
            <v>1333</v>
          </cell>
          <cell r="AY23">
            <v>54</v>
          </cell>
          <cell r="AZ23">
            <v>0</v>
          </cell>
          <cell r="BA23">
            <v>64</v>
          </cell>
          <cell r="BC23">
            <v>0</v>
          </cell>
          <cell r="BD23">
            <v>1451</v>
          </cell>
          <cell r="BG23">
            <v>604.28</v>
          </cell>
          <cell r="BI23" t="str">
            <v>Forecast</v>
          </cell>
        </row>
        <row r="24">
          <cell r="B24" t="str">
            <v>Jan 2015</v>
          </cell>
          <cell r="C24" t="str">
            <v>LE</v>
          </cell>
          <cell r="D24" t="str">
            <v>LE</v>
          </cell>
          <cell r="E24" t="str">
            <v>KUCME291</v>
          </cell>
          <cell r="F24">
            <v>0</v>
          </cell>
          <cell r="G24">
            <v>0</v>
          </cell>
          <cell r="H24">
            <v>0</v>
          </cell>
          <cell r="I24">
            <v>0</v>
          </cell>
          <cell r="J24">
            <v>0</v>
          </cell>
          <cell r="K24">
            <v>0</v>
          </cell>
          <cell r="L24">
            <v>0</v>
          </cell>
          <cell r="M24">
            <v>0</v>
          </cell>
          <cell r="N24">
            <v>0</v>
          </cell>
          <cell r="O24">
            <v>0</v>
          </cell>
          <cell r="S24">
            <v>0</v>
          </cell>
          <cell r="T24">
            <v>0</v>
          </cell>
          <cell r="U24">
            <v>0</v>
          </cell>
          <cell r="V24">
            <v>0</v>
          </cell>
          <cell r="W24">
            <v>0</v>
          </cell>
          <cell r="X24">
            <v>0</v>
          </cell>
          <cell r="AL24">
            <v>0</v>
          </cell>
          <cell r="AM24">
            <v>0</v>
          </cell>
          <cell r="AP24">
            <v>0</v>
          </cell>
          <cell r="AQ24">
            <v>0</v>
          </cell>
          <cell r="AR24">
            <v>0</v>
          </cell>
          <cell r="AV24">
            <v>0</v>
          </cell>
          <cell r="AW24">
            <v>0</v>
          </cell>
          <cell r="AY24">
            <v>0</v>
          </cell>
          <cell r="AZ24">
            <v>0</v>
          </cell>
          <cell r="BA24">
            <v>0</v>
          </cell>
          <cell r="BC24">
            <v>0</v>
          </cell>
          <cell r="BD24">
            <v>0</v>
          </cell>
          <cell r="BG24">
            <v>0</v>
          </cell>
          <cell r="BI24" t="str">
            <v>Forecast</v>
          </cell>
        </row>
        <row r="25">
          <cell r="B25" t="str">
            <v>Jan 2015</v>
          </cell>
          <cell r="C25" t="str">
            <v>TE</v>
          </cell>
          <cell r="D25" t="str">
            <v>TE</v>
          </cell>
          <cell r="E25" t="str">
            <v>KUCME295</v>
          </cell>
          <cell r="F25">
            <v>747</v>
          </cell>
          <cell r="G25">
            <v>0</v>
          </cell>
          <cell r="H25">
            <v>0</v>
          </cell>
          <cell r="I25">
            <v>0</v>
          </cell>
          <cell r="J25">
            <v>0</v>
          </cell>
          <cell r="K25">
            <v>122114</v>
          </cell>
          <cell r="L25">
            <v>0</v>
          </cell>
          <cell r="M25">
            <v>0</v>
          </cell>
          <cell r="N25">
            <v>0</v>
          </cell>
          <cell r="O25">
            <v>0</v>
          </cell>
          <cell r="S25">
            <v>0</v>
          </cell>
          <cell r="T25">
            <v>0</v>
          </cell>
          <cell r="U25">
            <v>0</v>
          </cell>
          <cell r="V25">
            <v>0</v>
          </cell>
          <cell r="W25">
            <v>0</v>
          </cell>
          <cell r="X25">
            <v>0</v>
          </cell>
          <cell r="AL25">
            <v>0</v>
          </cell>
          <cell r="AM25">
            <v>0</v>
          </cell>
          <cell r="AP25">
            <v>0</v>
          </cell>
          <cell r="AQ25">
            <v>0</v>
          </cell>
          <cell r="AR25">
            <v>0</v>
          </cell>
          <cell r="AV25">
            <v>12170</v>
          </cell>
          <cell r="AW25">
            <v>12172.75</v>
          </cell>
          <cell r="AY25">
            <v>315</v>
          </cell>
          <cell r="AZ25">
            <v>0</v>
          </cell>
          <cell r="BA25">
            <v>375</v>
          </cell>
          <cell r="BC25">
            <v>0</v>
          </cell>
          <cell r="BD25">
            <v>12862.75</v>
          </cell>
          <cell r="BG25">
            <v>3531.54</v>
          </cell>
          <cell r="BI25" t="str">
            <v>Forecast</v>
          </cell>
        </row>
        <row r="26">
          <cell r="B26" t="str">
            <v>Jan 2015</v>
          </cell>
          <cell r="C26" t="str">
            <v>TE</v>
          </cell>
          <cell r="D26" t="str">
            <v>TE</v>
          </cell>
          <cell r="E26" t="str">
            <v>KUCME297</v>
          </cell>
          <cell r="F26">
            <v>0</v>
          </cell>
          <cell r="G26">
            <v>0</v>
          </cell>
          <cell r="H26">
            <v>0</v>
          </cell>
          <cell r="I26">
            <v>0</v>
          </cell>
          <cell r="J26">
            <v>0</v>
          </cell>
          <cell r="K26">
            <v>0</v>
          </cell>
          <cell r="L26">
            <v>0</v>
          </cell>
          <cell r="M26">
            <v>0</v>
          </cell>
          <cell r="N26">
            <v>0</v>
          </cell>
          <cell r="O26">
            <v>0</v>
          </cell>
          <cell r="S26">
            <v>0</v>
          </cell>
          <cell r="T26">
            <v>0</v>
          </cell>
          <cell r="U26">
            <v>0</v>
          </cell>
          <cell r="V26">
            <v>0</v>
          </cell>
          <cell r="W26">
            <v>0</v>
          </cell>
          <cell r="X26">
            <v>0</v>
          </cell>
          <cell r="AL26">
            <v>0</v>
          </cell>
          <cell r="AM26">
            <v>0</v>
          </cell>
          <cell r="AP26">
            <v>0</v>
          </cell>
          <cell r="AQ26">
            <v>0</v>
          </cell>
          <cell r="AR26">
            <v>0</v>
          </cell>
          <cell r="AV26">
            <v>0</v>
          </cell>
          <cell r="AW26">
            <v>0</v>
          </cell>
          <cell r="AY26">
            <v>0</v>
          </cell>
          <cell r="AZ26">
            <v>0</v>
          </cell>
          <cell r="BA26">
            <v>0</v>
          </cell>
          <cell r="BC26">
            <v>0</v>
          </cell>
          <cell r="BD26">
            <v>0</v>
          </cell>
          <cell r="BG26">
            <v>0</v>
          </cell>
          <cell r="BI26" t="str">
            <v>Forecast</v>
          </cell>
        </row>
        <row r="27">
          <cell r="B27" t="str">
            <v>Jan 2015</v>
          </cell>
          <cell r="C27" t="str">
            <v>SQF</v>
          </cell>
          <cell r="D27" t="str">
            <v>SQF</v>
          </cell>
          <cell r="E27" t="str">
            <v>KUCME705</v>
          </cell>
          <cell r="F27">
            <v>0</v>
          </cell>
          <cell r="G27">
            <v>0</v>
          </cell>
          <cell r="H27">
            <v>0</v>
          </cell>
          <cell r="I27">
            <v>0</v>
          </cell>
          <cell r="J27">
            <v>0</v>
          </cell>
          <cell r="K27">
            <v>0</v>
          </cell>
          <cell r="L27">
            <v>0</v>
          </cell>
          <cell r="M27">
            <v>0</v>
          </cell>
          <cell r="N27">
            <v>0</v>
          </cell>
          <cell r="O27">
            <v>0</v>
          </cell>
          <cell r="S27">
            <v>0</v>
          </cell>
          <cell r="T27">
            <v>0</v>
          </cell>
          <cell r="U27">
            <v>0</v>
          </cell>
          <cell r="V27">
            <v>0</v>
          </cell>
          <cell r="W27">
            <v>0</v>
          </cell>
          <cell r="X27">
            <v>0</v>
          </cell>
          <cell r="AL27">
            <v>0</v>
          </cell>
          <cell r="AM27">
            <v>0</v>
          </cell>
          <cell r="AP27">
            <v>0</v>
          </cell>
          <cell r="AQ27">
            <v>0</v>
          </cell>
          <cell r="AR27">
            <v>0</v>
          </cell>
          <cell r="AV27">
            <v>0</v>
          </cell>
          <cell r="AW27">
            <v>0</v>
          </cell>
          <cell r="AY27">
            <v>0</v>
          </cell>
          <cell r="AZ27">
            <v>0</v>
          </cell>
          <cell r="BA27">
            <v>0</v>
          </cell>
          <cell r="BC27">
            <v>0</v>
          </cell>
          <cell r="BD27">
            <v>0</v>
          </cell>
          <cell r="BG27">
            <v>0</v>
          </cell>
          <cell r="BI27" t="str">
            <v>Forecast</v>
          </cell>
        </row>
        <row r="28">
          <cell r="B28" t="str">
            <v>Jan 2015</v>
          </cell>
          <cell r="C28" t="str">
            <v>LQF</v>
          </cell>
          <cell r="D28" t="str">
            <v>LQF</v>
          </cell>
          <cell r="E28" t="str">
            <v>KUCME707</v>
          </cell>
          <cell r="F28">
            <v>0</v>
          </cell>
          <cell r="G28">
            <v>0</v>
          </cell>
          <cell r="H28">
            <v>0</v>
          </cell>
          <cell r="I28">
            <v>0</v>
          </cell>
          <cell r="J28">
            <v>0</v>
          </cell>
          <cell r="K28">
            <v>0</v>
          </cell>
          <cell r="L28">
            <v>0</v>
          </cell>
          <cell r="M28">
            <v>0</v>
          </cell>
          <cell r="N28">
            <v>0</v>
          </cell>
          <cell r="O28">
            <v>0</v>
          </cell>
          <cell r="S28">
            <v>0</v>
          </cell>
          <cell r="T28">
            <v>0</v>
          </cell>
          <cell r="U28">
            <v>0</v>
          </cell>
          <cell r="V28">
            <v>0</v>
          </cell>
          <cell r="W28">
            <v>0</v>
          </cell>
          <cell r="X28">
            <v>0</v>
          </cell>
          <cell r="AL28">
            <v>0</v>
          </cell>
          <cell r="AM28">
            <v>0</v>
          </cell>
          <cell r="AP28">
            <v>0</v>
          </cell>
          <cell r="AQ28">
            <v>0</v>
          </cell>
          <cell r="AR28">
            <v>0</v>
          </cell>
          <cell r="AV28">
            <v>0</v>
          </cell>
          <cell r="AW28">
            <v>0</v>
          </cell>
          <cell r="AY28">
            <v>0</v>
          </cell>
          <cell r="AZ28">
            <v>0</v>
          </cell>
          <cell r="BA28">
            <v>0</v>
          </cell>
          <cell r="BC28">
            <v>0</v>
          </cell>
          <cell r="BD28">
            <v>0</v>
          </cell>
          <cell r="BG28">
            <v>0</v>
          </cell>
          <cell r="BI28" t="str">
            <v>Forecast</v>
          </cell>
        </row>
        <row r="29">
          <cell r="B29" t="str">
            <v>Jan 2015</v>
          </cell>
          <cell r="C29" t="str">
            <v>GS</v>
          </cell>
          <cell r="D29" t="str">
            <v>GS</v>
          </cell>
          <cell r="E29" t="str">
            <v>KUCME710</v>
          </cell>
          <cell r="F29">
            <v>0</v>
          </cell>
          <cell r="G29">
            <v>0</v>
          </cell>
          <cell r="H29">
            <v>0</v>
          </cell>
          <cell r="I29">
            <v>0</v>
          </cell>
          <cell r="J29">
            <v>0</v>
          </cell>
          <cell r="K29">
            <v>0</v>
          </cell>
          <cell r="L29">
            <v>0</v>
          </cell>
          <cell r="M29">
            <v>0</v>
          </cell>
          <cell r="N29">
            <v>0</v>
          </cell>
          <cell r="O29">
            <v>0</v>
          </cell>
          <cell r="S29">
            <v>0</v>
          </cell>
          <cell r="T29">
            <v>0</v>
          </cell>
          <cell r="U29">
            <v>0</v>
          </cell>
          <cell r="V29">
            <v>0</v>
          </cell>
          <cell r="W29">
            <v>0</v>
          </cell>
          <cell r="X29">
            <v>0</v>
          </cell>
          <cell r="AL29">
            <v>0</v>
          </cell>
          <cell r="AM29">
            <v>0</v>
          </cell>
          <cell r="AP29">
            <v>0</v>
          </cell>
          <cell r="AQ29">
            <v>0</v>
          </cell>
          <cell r="AR29">
            <v>0</v>
          </cell>
          <cell r="AV29">
            <v>0</v>
          </cell>
          <cell r="AW29">
            <v>0</v>
          </cell>
          <cell r="AY29">
            <v>0</v>
          </cell>
          <cell r="AZ29">
            <v>0</v>
          </cell>
          <cell r="BA29">
            <v>0</v>
          </cell>
          <cell r="BC29">
            <v>0</v>
          </cell>
          <cell r="BD29">
            <v>0</v>
          </cell>
          <cell r="BG29">
            <v>0</v>
          </cell>
          <cell r="BI29" t="str">
            <v>Forecast</v>
          </cell>
        </row>
        <row r="30">
          <cell r="B30" t="str">
            <v>Jan 2015</v>
          </cell>
          <cell r="C30" t="str">
            <v>GS3</v>
          </cell>
          <cell r="D30" t="str">
            <v>GS3</v>
          </cell>
          <cell r="E30" t="str">
            <v>KUCME713</v>
          </cell>
          <cell r="F30">
            <v>0</v>
          </cell>
          <cell r="G30">
            <v>0</v>
          </cell>
          <cell r="H30">
            <v>0</v>
          </cell>
          <cell r="I30">
            <v>0</v>
          </cell>
          <cell r="J30">
            <v>0</v>
          </cell>
          <cell r="K30">
            <v>0</v>
          </cell>
          <cell r="L30">
            <v>0</v>
          </cell>
          <cell r="M30">
            <v>0</v>
          </cell>
          <cell r="N30">
            <v>0</v>
          </cell>
          <cell r="O30">
            <v>0</v>
          </cell>
          <cell r="S30">
            <v>0</v>
          </cell>
          <cell r="T30">
            <v>0</v>
          </cell>
          <cell r="U30">
            <v>0</v>
          </cell>
          <cell r="V30">
            <v>0</v>
          </cell>
          <cell r="W30">
            <v>0</v>
          </cell>
          <cell r="X30">
            <v>0</v>
          </cell>
          <cell r="AL30">
            <v>0</v>
          </cell>
          <cell r="AM30">
            <v>0</v>
          </cell>
          <cell r="AP30">
            <v>0</v>
          </cell>
          <cell r="AQ30">
            <v>0</v>
          </cell>
          <cell r="AR30">
            <v>0</v>
          </cell>
          <cell r="AV30">
            <v>0</v>
          </cell>
          <cell r="AW30">
            <v>0</v>
          </cell>
          <cell r="AY30">
            <v>0</v>
          </cell>
          <cell r="AZ30">
            <v>0</v>
          </cell>
          <cell r="BA30">
            <v>0</v>
          </cell>
          <cell r="BC30">
            <v>0</v>
          </cell>
          <cell r="BD30">
            <v>0</v>
          </cell>
          <cell r="BG30">
            <v>0</v>
          </cell>
          <cell r="BI30" t="str">
            <v>Forecast</v>
          </cell>
        </row>
        <row r="31">
          <cell r="B31" t="str">
            <v>Jan 2015</v>
          </cell>
          <cell r="C31" t="str">
            <v>CSR10</v>
          </cell>
          <cell r="D31" t="str">
            <v>CSR10</v>
          </cell>
          <cell r="E31" t="str">
            <v>KUCSR760</v>
          </cell>
          <cell r="F31">
            <v>0</v>
          </cell>
          <cell r="G31">
            <v>0</v>
          </cell>
          <cell r="H31">
            <v>0</v>
          </cell>
          <cell r="I31">
            <v>0</v>
          </cell>
          <cell r="J31">
            <v>0</v>
          </cell>
          <cell r="K31">
            <v>0</v>
          </cell>
          <cell r="L31">
            <v>0</v>
          </cell>
          <cell r="M31">
            <v>0</v>
          </cell>
          <cell r="N31">
            <v>0</v>
          </cell>
          <cell r="O31">
            <v>0</v>
          </cell>
          <cell r="S31">
            <v>0</v>
          </cell>
          <cell r="T31">
            <v>0</v>
          </cell>
          <cell r="U31">
            <v>0</v>
          </cell>
          <cell r="V31">
            <v>0</v>
          </cell>
          <cell r="W31">
            <v>0</v>
          </cell>
          <cell r="X31">
            <v>0</v>
          </cell>
          <cell r="AL31">
            <v>0</v>
          </cell>
          <cell r="AM31">
            <v>0</v>
          </cell>
          <cell r="AP31">
            <v>0</v>
          </cell>
          <cell r="AQ31">
            <v>0</v>
          </cell>
          <cell r="AR31">
            <v>0</v>
          </cell>
          <cell r="AV31">
            <v>0</v>
          </cell>
          <cell r="AW31">
            <v>0</v>
          </cell>
          <cell r="AY31">
            <v>0</v>
          </cell>
          <cell r="AZ31">
            <v>0</v>
          </cell>
          <cell r="BA31">
            <v>0</v>
          </cell>
          <cell r="BC31">
            <v>-989829</v>
          </cell>
          <cell r="BD31">
            <v>-989829</v>
          </cell>
          <cell r="BG31">
            <v>0</v>
          </cell>
          <cell r="BI31" t="str">
            <v>Forecast</v>
          </cell>
        </row>
        <row r="32">
          <cell r="B32" t="str">
            <v>Jan 2015</v>
          </cell>
          <cell r="C32" t="str">
            <v>CSR10</v>
          </cell>
          <cell r="D32" t="str">
            <v>CSR10</v>
          </cell>
          <cell r="E32" t="str">
            <v>KUCSR761</v>
          </cell>
          <cell r="F32">
            <v>0</v>
          </cell>
          <cell r="G32">
            <v>0</v>
          </cell>
          <cell r="H32">
            <v>0</v>
          </cell>
          <cell r="I32">
            <v>0</v>
          </cell>
          <cell r="J32">
            <v>0</v>
          </cell>
          <cell r="K32">
            <v>0</v>
          </cell>
          <cell r="L32">
            <v>0</v>
          </cell>
          <cell r="M32">
            <v>0</v>
          </cell>
          <cell r="N32">
            <v>0</v>
          </cell>
          <cell r="O32">
            <v>0</v>
          </cell>
          <cell r="S32">
            <v>0</v>
          </cell>
          <cell r="T32">
            <v>0</v>
          </cell>
          <cell r="U32">
            <v>0</v>
          </cell>
          <cell r="V32">
            <v>0</v>
          </cell>
          <cell r="W32">
            <v>0</v>
          </cell>
          <cell r="X32">
            <v>0</v>
          </cell>
          <cell r="AL32">
            <v>0</v>
          </cell>
          <cell r="AM32">
            <v>0</v>
          </cell>
          <cell r="AP32">
            <v>0</v>
          </cell>
          <cell r="AQ32">
            <v>0</v>
          </cell>
          <cell r="AR32">
            <v>0</v>
          </cell>
          <cell r="AV32">
            <v>0</v>
          </cell>
          <cell r="AW32">
            <v>0</v>
          </cell>
          <cell r="AY32">
            <v>0</v>
          </cell>
          <cell r="AZ32">
            <v>0</v>
          </cell>
          <cell r="BA32">
            <v>0</v>
          </cell>
          <cell r="BC32">
            <v>0</v>
          </cell>
          <cell r="BD32">
            <v>0</v>
          </cell>
          <cell r="BG32">
            <v>0</v>
          </cell>
          <cell r="BI32" t="str">
            <v>Forecast</v>
          </cell>
        </row>
        <row r="33">
          <cell r="B33" t="str">
            <v>Jan 2015</v>
          </cell>
          <cell r="C33" t="str">
            <v>CSR30</v>
          </cell>
          <cell r="D33" t="str">
            <v>CSR30</v>
          </cell>
          <cell r="E33" t="str">
            <v>KUCSR780</v>
          </cell>
          <cell r="F33">
            <v>0</v>
          </cell>
          <cell r="G33">
            <v>0</v>
          </cell>
          <cell r="H33">
            <v>0</v>
          </cell>
          <cell r="I33">
            <v>0</v>
          </cell>
          <cell r="J33">
            <v>0</v>
          </cell>
          <cell r="K33">
            <v>0</v>
          </cell>
          <cell r="L33">
            <v>0</v>
          </cell>
          <cell r="M33">
            <v>0</v>
          </cell>
          <cell r="N33">
            <v>0</v>
          </cell>
          <cell r="O33">
            <v>0</v>
          </cell>
          <cell r="S33">
            <v>0</v>
          </cell>
          <cell r="T33">
            <v>0</v>
          </cell>
          <cell r="U33">
            <v>0</v>
          </cell>
          <cell r="V33">
            <v>0</v>
          </cell>
          <cell r="W33">
            <v>0</v>
          </cell>
          <cell r="X33">
            <v>0</v>
          </cell>
          <cell r="AL33">
            <v>0</v>
          </cell>
          <cell r="AM33">
            <v>0</v>
          </cell>
          <cell r="AP33">
            <v>0</v>
          </cell>
          <cell r="AQ33">
            <v>0</v>
          </cell>
          <cell r="AR33">
            <v>0</v>
          </cell>
          <cell r="AV33">
            <v>0</v>
          </cell>
          <cell r="AW33">
            <v>0</v>
          </cell>
          <cell r="AY33">
            <v>0</v>
          </cell>
          <cell r="AZ33">
            <v>0</v>
          </cell>
          <cell r="BA33">
            <v>0</v>
          </cell>
          <cell r="BC33">
            <v>0</v>
          </cell>
          <cell r="BD33">
            <v>0</v>
          </cell>
          <cell r="BG33">
            <v>0</v>
          </cell>
          <cell r="BI33" t="str">
            <v>Forecast</v>
          </cell>
        </row>
        <row r="34">
          <cell r="B34" t="str">
            <v>Jan 2015</v>
          </cell>
          <cell r="C34" t="str">
            <v>CSR30</v>
          </cell>
          <cell r="D34" t="str">
            <v>CSR30</v>
          </cell>
          <cell r="E34" t="str">
            <v>KUCSR781</v>
          </cell>
          <cell r="F34">
            <v>0</v>
          </cell>
          <cell r="G34">
            <v>0</v>
          </cell>
          <cell r="H34">
            <v>0</v>
          </cell>
          <cell r="I34">
            <v>0</v>
          </cell>
          <cell r="J34">
            <v>0</v>
          </cell>
          <cell r="K34">
            <v>0</v>
          </cell>
          <cell r="L34">
            <v>0</v>
          </cell>
          <cell r="M34">
            <v>0</v>
          </cell>
          <cell r="N34">
            <v>0</v>
          </cell>
          <cell r="O34">
            <v>0</v>
          </cell>
          <cell r="S34">
            <v>0</v>
          </cell>
          <cell r="T34">
            <v>0</v>
          </cell>
          <cell r="U34">
            <v>0</v>
          </cell>
          <cell r="V34">
            <v>0</v>
          </cell>
          <cell r="W34">
            <v>0</v>
          </cell>
          <cell r="X34">
            <v>0</v>
          </cell>
          <cell r="AL34">
            <v>0</v>
          </cell>
          <cell r="AM34">
            <v>0</v>
          </cell>
          <cell r="AP34">
            <v>0</v>
          </cell>
          <cell r="AQ34">
            <v>0</v>
          </cell>
          <cell r="AR34">
            <v>0</v>
          </cell>
          <cell r="AV34">
            <v>0</v>
          </cell>
          <cell r="AW34">
            <v>0</v>
          </cell>
          <cell r="AY34">
            <v>0</v>
          </cell>
          <cell r="AZ34">
            <v>0</v>
          </cell>
          <cell r="BA34">
            <v>0</v>
          </cell>
          <cell r="BC34">
            <v>0</v>
          </cell>
          <cell r="BD34">
            <v>0</v>
          </cell>
          <cell r="BG34">
            <v>0</v>
          </cell>
          <cell r="BI34" t="str">
            <v>Forecast</v>
          </cell>
        </row>
        <row r="35">
          <cell r="B35" t="str">
            <v>Jan 2015</v>
          </cell>
          <cell r="C35" t="str">
            <v>CSR30</v>
          </cell>
          <cell r="D35" t="str">
            <v>CSR30</v>
          </cell>
          <cell r="E35" t="str">
            <v>KUCSR783</v>
          </cell>
          <cell r="F35">
            <v>0</v>
          </cell>
          <cell r="G35">
            <v>0</v>
          </cell>
          <cell r="H35">
            <v>0</v>
          </cell>
          <cell r="I35">
            <v>0</v>
          </cell>
          <cell r="J35">
            <v>0</v>
          </cell>
          <cell r="K35">
            <v>0</v>
          </cell>
          <cell r="L35">
            <v>0</v>
          </cell>
          <cell r="M35">
            <v>0</v>
          </cell>
          <cell r="N35">
            <v>0</v>
          </cell>
          <cell r="O35">
            <v>0</v>
          </cell>
          <cell r="S35">
            <v>0</v>
          </cell>
          <cell r="T35">
            <v>0</v>
          </cell>
          <cell r="U35">
            <v>0</v>
          </cell>
          <cell r="V35">
            <v>0</v>
          </cell>
          <cell r="W35">
            <v>0</v>
          </cell>
          <cell r="X35">
            <v>0</v>
          </cell>
          <cell r="AL35">
            <v>0</v>
          </cell>
          <cell r="AM35">
            <v>0</v>
          </cell>
          <cell r="AP35">
            <v>0</v>
          </cell>
          <cell r="AQ35">
            <v>0</v>
          </cell>
          <cell r="AR35">
            <v>0</v>
          </cell>
          <cell r="AV35">
            <v>0</v>
          </cell>
          <cell r="AW35">
            <v>0</v>
          </cell>
          <cell r="AY35">
            <v>0</v>
          </cell>
          <cell r="AZ35">
            <v>0</v>
          </cell>
          <cell r="BA35">
            <v>0</v>
          </cell>
          <cell r="BC35">
            <v>0</v>
          </cell>
          <cell r="BD35">
            <v>0</v>
          </cell>
          <cell r="BG35">
            <v>0</v>
          </cell>
          <cell r="BI35" t="str">
            <v>Forecast</v>
          </cell>
        </row>
        <row r="36">
          <cell r="B36" t="str">
            <v>Jan 2015</v>
          </cell>
          <cell r="C36" t="str">
            <v>FLS</v>
          </cell>
          <cell r="D36" t="str">
            <v>FLST</v>
          </cell>
          <cell r="E36" t="str">
            <v>KUINE730</v>
          </cell>
          <cell r="F36">
            <v>1</v>
          </cell>
          <cell r="G36">
            <v>0</v>
          </cell>
          <cell r="H36">
            <v>0</v>
          </cell>
          <cell r="I36">
            <v>0</v>
          </cell>
          <cell r="J36">
            <v>0</v>
          </cell>
          <cell r="K36">
            <v>48922696</v>
          </cell>
          <cell r="L36">
            <v>0</v>
          </cell>
          <cell r="M36">
            <v>185157.6</v>
          </cell>
          <cell r="N36">
            <v>185157.6</v>
          </cell>
          <cell r="O36">
            <v>101387.6</v>
          </cell>
          <cell r="S36">
            <v>0</v>
          </cell>
          <cell r="T36">
            <v>0</v>
          </cell>
          <cell r="U36">
            <v>0</v>
          </cell>
          <cell r="V36">
            <v>0</v>
          </cell>
          <cell r="W36">
            <v>0</v>
          </cell>
          <cell r="X36">
            <v>0</v>
          </cell>
          <cell r="AL36">
            <v>0</v>
          </cell>
          <cell r="AM36">
            <v>0</v>
          </cell>
          <cell r="AP36">
            <v>0</v>
          </cell>
          <cell r="AQ36">
            <v>0</v>
          </cell>
          <cell r="AR36">
            <v>0</v>
          </cell>
          <cell r="AV36">
            <v>2316318.27</v>
          </cell>
          <cell r="AW36">
            <v>2316318</v>
          </cell>
          <cell r="AY36">
            <v>126359</v>
          </cell>
          <cell r="AZ36">
            <v>0</v>
          </cell>
          <cell r="BA36">
            <v>150007</v>
          </cell>
          <cell r="BC36">
            <v>0</v>
          </cell>
          <cell r="BD36">
            <v>2592684</v>
          </cell>
          <cell r="BG36">
            <v>1414844.37</v>
          </cell>
          <cell r="BI36" t="str">
            <v>Forecast</v>
          </cell>
        </row>
        <row r="37">
          <cell r="B37" t="str">
            <v>Jan 2015</v>
          </cell>
          <cell r="C37" t="str">
            <v>RS</v>
          </cell>
          <cell r="D37" t="str">
            <v>RS</v>
          </cell>
          <cell r="E37" t="str">
            <v>KURSE010</v>
          </cell>
          <cell r="F37">
            <v>428166</v>
          </cell>
          <cell r="G37">
            <v>0</v>
          </cell>
          <cell r="H37">
            <v>0</v>
          </cell>
          <cell r="I37">
            <v>0</v>
          </cell>
          <cell r="J37">
            <v>0</v>
          </cell>
          <cell r="K37">
            <v>736688063</v>
          </cell>
          <cell r="L37">
            <v>0</v>
          </cell>
          <cell r="M37">
            <v>0</v>
          </cell>
          <cell r="N37">
            <v>0</v>
          </cell>
          <cell r="O37">
            <v>0</v>
          </cell>
          <cell r="S37">
            <v>0</v>
          </cell>
          <cell r="T37">
            <v>0</v>
          </cell>
          <cell r="U37">
            <v>0</v>
          </cell>
          <cell r="V37">
            <v>0</v>
          </cell>
          <cell r="W37">
            <v>0</v>
          </cell>
          <cell r="X37">
            <v>0</v>
          </cell>
          <cell r="AL37">
            <v>0</v>
          </cell>
          <cell r="AM37">
            <v>0</v>
          </cell>
          <cell r="AP37">
            <v>0</v>
          </cell>
          <cell r="AQ37">
            <v>0</v>
          </cell>
          <cell r="AR37">
            <v>0</v>
          </cell>
          <cell r="AV37">
            <v>61651908.100000001</v>
          </cell>
          <cell r="AW37">
            <v>61651904</v>
          </cell>
          <cell r="AY37">
            <v>1902737</v>
          </cell>
          <cell r="AZ37">
            <v>767580</v>
          </cell>
          <cell r="BA37">
            <v>2258840</v>
          </cell>
          <cell r="BC37">
            <v>0</v>
          </cell>
          <cell r="BD37">
            <v>66581061</v>
          </cell>
          <cell r="BG37">
            <v>21305018.780000001</v>
          </cell>
          <cell r="BI37" t="str">
            <v>Forecast</v>
          </cell>
        </row>
        <row r="38">
          <cell r="B38" t="str">
            <v>Jan 2015</v>
          </cell>
          <cell r="C38" t="str">
            <v>RS</v>
          </cell>
          <cell r="D38" t="str">
            <v>RS</v>
          </cell>
          <cell r="E38" t="str">
            <v>KURSE020</v>
          </cell>
          <cell r="F38">
            <v>0</v>
          </cell>
          <cell r="G38">
            <v>0</v>
          </cell>
          <cell r="H38">
            <v>0</v>
          </cell>
          <cell r="I38">
            <v>0</v>
          </cell>
          <cell r="J38">
            <v>0</v>
          </cell>
          <cell r="K38">
            <v>0</v>
          </cell>
          <cell r="L38">
            <v>0</v>
          </cell>
          <cell r="M38">
            <v>0</v>
          </cell>
          <cell r="N38">
            <v>0</v>
          </cell>
          <cell r="O38">
            <v>0</v>
          </cell>
          <cell r="S38">
            <v>0</v>
          </cell>
          <cell r="T38">
            <v>0</v>
          </cell>
          <cell r="U38">
            <v>0</v>
          </cell>
          <cell r="V38">
            <v>0</v>
          </cell>
          <cell r="W38">
            <v>0</v>
          </cell>
          <cell r="X38">
            <v>0</v>
          </cell>
          <cell r="AL38">
            <v>0</v>
          </cell>
          <cell r="AM38">
            <v>0</v>
          </cell>
          <cell r="AP38">
            <v>0</v>
          </cell>
          <cell r="AQ38">
            <v>0</v>
          </cell>
          <cell r="AR38">
            <v>0</v>
          </cell>
          <cell r="AV38">
            <v>0</v>
          </cell>
          <cell r="AW38">
            <v>0</v>
          </cell>
          <cell r="AY38">
            <v>0</v>
          </cell>
          <cell r="AZ38">
            <v>0</v>
          </cell>
          <cell r="BA38">
            <v>0</v>
          </cell>
          <cell r="BC38">
            <v>0</v>
          </cell>
          <cell r="BD38">
            <v>0</v>
          </cell>
          <cell r="BG38">
            <v>0</v>
          </cell>
          <cell r="BI38" t="str">
            <v>Forecast</v>
          </cell>
        </row>
        <row r="39">
          <cell r="B39" t="str">
            <v>Jan 2015</v>
          </cell>
          <cell r="C39" t="str">
            <v>RS</v>
          </cell>
          <cell r="D39" t="str">
            <v>RS</v>
          </cell>
          <cell r="E39" t="str">
            <v>KURSE025</v>
          </cell>
          <cell r="F39">
            <v>0</v>
          </cell>
          <cell r="G39">
            <v>0</v>
          </cell>
          <cell r="H39">
            <v>0</v>
          </cell>
          <cell r="I39">
            <v>0</v>
          </cell>
          <cell r="J39">
            <v>0</v>
          </cell>
          <cell r="K39">
            <v>0</v>
          </cell>
          <cell r="L39">
            <v>0</v>
          </cell>
          <cell r="M39">
            <v>0</v>
          </cell>
          <cell r="N39">
            <v>0</v>
          </cell>
          <cell r="O39">
            <v>0</v>
          </cell>
          <cell r="S39">
            <v>0</v>
          </cell>
          <cell r="T39">
            <v>0</v>
          </cell>
          <cell r="U39">
            <v>0</v>
          </cell>
          <cell r="V39">
            <v>0</v>
          </cell>
          <cell r="W39">
            <v>0</v>
          </cell>
          <cell r="X39">
            <v>0</v>
          </cell>
          <cell r="AL39">
            <v>0</v>
          </cell>
          <cell r="AM39">
            <v>0</v>
          </cell>
          <cell r="AP39">
            <v>0</v>
          </cell>
          <cell r="AQ39">
            <v>0</v>
          </cell>
          <cell r="AR39">
            <v>0</v>
          </cell>
          <cell r="AV39">
            <v>0</v>
          </cell>
          <cell r="AW39">
            <v>0</v>
          </cell>
          <cell r="AY39">
            <v>0</v>
          </cell>
          <cell r="AZ39">
            <v>0</v>
          </cell>
          <cell r="BA39">
            <v>0</v>
          </cell>
          <cell r="BC39">
            <v>0</v>
          </cell>
          <cell r="BD39">
            <v>0</v>
          </cell>
          <cell r="BG39">
            <v>0</v>
          </cell>
          <cell r="BI39" t="str">
            <v>Forecast</v>
          </cell>
        </row>
        <row r="40">
          <cell r="B40" t="str">
            <v>Jan 2015</v>
          </cell>
          <cell r="C40" t="str">
            <v>LEV</v>
          </cell>
          <cell r="D40" t="str">
            <v>RSLEV</v>
          </cell>
          <cell r="E40" t="str">
            <v>KURSE040</v>
          </cell>
          <cell r="F40">
            <v>0</v>
          </cell>
          <cell r="G40">
            <v>0</v>
          </cell>
          <cell r="H40">
            <v>0</v>
          </cell>
          <cell r="I40">
            <v>0</v>
          </cell>
          <cell r="J40">
            <v>0</v>
          </cell>
          <cell r="K40">
            <v>0</v>
          </cell>
          <cell r="L40">
            <v>0</v>
          </cell>
          <cell r="M40">
            <v>0</v>
          </cell>
          <cell r="N40">
            <v>0</v>
          </cell>
          <cell r="O40">
            <v>0</v>
          </cell>
          <cell r="S40">
            <v>0</v>
          </cell>
          <cell r="T40">
            <v>0</v>
          </cell>
          <cell r="U40">
            <v>0</v>
          </cell>
          <cell r="V40">
            <v>0</v>
          </cell>
          <cell r="W40">
            <v>0</v>
          </cell>
          <cell r="X40">
            <v>0</v>
          </cell>
          <cell r="AL40">
            <v>0</v>
          </cell>
          <cell r="AM40">
            <v>0</v>
          </cell>
          <cell r="AP40">
            <v>0</v>
          </cell>
          <cell r="AQ40">
            <v>0</v>
          </cell>
          <cell r="AR40">
            <v>0</v>
          </cell>
          <cell r="AV40">
            <v>0</v>
          </cell>
          <cell r="AW40">
            <v>0</v>
          </cell>
          <cell r="AY40">
            <v>0</v>
          </cell>
          <cell r="AZ40">
            <v>0</v>
          </cell>
          <cell r="BA40">
            <v>0</v>
          </cell>
          <cell r="BC40">
            <v>0</v>
          </cell>
          <cell r="BD40">
            <v>0</v>
          </cell>
          <cell r="BG40">
            <v>0</v>
          </cell>
          <cell r="BI40" t="str">
            <v>Forecast</v>
          </cell>
        </row>
        <row r="41">
          <cell r="B41" t="str">
            <v>Jan 2015</v>
          </cell>
          <cell r="C41" t="str">
            <v>RS</v>
          </cell>
          <cell r="D41" t="str">
            <v>RSVFD</v>
          </cell>
          <cell r="E41" t="str">
            <v>KURSE080</v>
          </cell>
          <cell r="F41">
            <v>0</v>
          </cell>
          <cell r="G41">
            <v>0</v>
          </cell>
          <cell r="H41">
            <v>0</v>
          </cell>
          <cell r="I41">
            <v>0</v>
          </cell>
          <cell r="J41">
            <v>0</v>
          </cell>
          <cell r="K41">
            <v>0</v>
          </cell>
          <cell r="L41">
            <v>0</v>
          </cell>
          <cell r="M41">
            <v>0</v>
          </cell>
          <cell r="N41">
            <v>0</v>
          </cell>
          <cell r="O41">
            <v>0</v>
          </cell>
          <cell r="S41">
            <v>0</v>
          </cell>
          <cell r="T41">
            <v>0</v>
          </cell>
          <cell r="U41">
            <v>0</v>
          </cell>
          <cell r="V41">
            <v>0</v>
          </cell>
          <cell r="W41">
            <v>0</v>
          </cell>
          <cell r="X41">
            <v>0</v>
          </cell>
          <cell r="AL41">
            <v>0</v>
          </cell>
          <cell r="AM41">
            <v>0</v>
          </cell>
          <cell r="AP41">
            <v>0</v>
          </cell>
          <cell r="AQ41">
            <v>0</v>
          </cell>
          <cell r="AR41">
            <v>0</v>
          </cell>
          <cell r="AV41">
            <v>0</v>
          </cell>
          <cell r="AW41">
            <v>0</v>
          </cell>
          <cell r="AY41">
            <v>0</v>
          </cell>
          <cell r="AZ41">
            <v>0</v>
          </cell>
          <cell r="BA41">
            <v>0</v>
          </cell>
          <cell r="BC41">
            <v>0</v>
          </cell>
          <cell r="BD41">
            <v>0</v>
          </cell>
          <cell r="BG41">
            <v>0</v>
          </cell>
          <cell r="BI41" t="str">
            <v>Forecast</v>
          </cell>
        </row>
        <row r="42">
          <cell r="B42" t="str">
            <v>Jan 2015</v>
          </cell>
          <cell r="C42" t="str">
            <v>RS</v>
          </cell>
          <cell r="D42" t="str">
            <v>RS</v>
          </cell>
          <cell r="E42" t="str">
            <v>KURSE715</v>
          </cell>
          <cell r="F42">
            <v>0</v>
          </cell>
          <cell r="G42">
            <v>0</v>
          </cell>
          <cell r="H42">
            <v>0</v>
          </cell>
          <cell r="I42">
            <v>0</v>
          </cell>
          <cell r="J42">
            <v>0</v>
          </cell>
          <cell r="K42">
            <v>0</v>
          </cell>
          <cell r="L42">
            <v>0</v>
          </cell>
          <cell r="M42">
            <v>0</v>
          </cell>
          <cell r="N42">
            <v>0</v>
          </cell>
          <cell r="O42">
            <v>0</v>
          </cell>
          <cell r="S42">
            <v>0</v>
          </cell>
          <cell r="T42">
            <v>0</v>
          </cell>
          <cell r="U42">
            <v>0</v>
          </cell>
          <cell r="V42">
            <v>0</v>
          </cell>
          <cell r="W42">
            <v>0</v>
          </cell>
          <cell r="X42">
            <v>0</v>
          </cell>
          <cell r="AL42">
            <v>0</v>
          </cell>
          <cell r="AM42">
            <v>0</v>
          </cell>
          <cell r="AP42">
            <v>0</v>
          </cell>
          <cell r="AQ42">
            <v>0</v>
          </cell>
          <cell r="AR42">
            <v>0</v>
          </cell>
          <cell r="AV42">
            <v>0</v>
          </cell>
          <cell r="AW42">
            <v>0</v>
          </cell>
          <cell r="AY42">
            <v>0</v>
          </cell>
          <cell r="AZ42">
            <v>0</v>
          </cell>
          <cell r="BA42">
            <v>0</v>
          </cell>
          <cell r="BC42">
            <v>0</v>
          </cell>
          <cell r="BD42">
            <v>0</v>
          </cell>
          <cell r="BG42">
            <v>0</v>
          </cell>
          <cell r="BI42" t="str">
            <v>Forecast</v>
          </cell>
        </row>
        <row r="43">
          <cell r="B43" t="str">
            <v>Feb 2015</v>
          </cell>
          <cell r="C43" t="str">
            <v>RTS</v>
          </cell>
          <cell r="D43" t="str">
            <v>RTS</v>
          </cell>
          <cell r="E43" t="str">
            <v>KUCIE550</v>
          </cell>
          <cell r="F43">
            <v>32</v>
          </cell>
          <cell r="G43">
            <v>0</v>
          </cell>
          <cell r="H43">
            <v>0</v>
          </cell>
          <cell r="I43">
            <v>0</v>
          </cell>
          <cell r="J43">
            <v>0</v>
          </cell>
          <cell r="K43">
            <v>135917399</v>
          </cell>
          <cell r="L43">
            <v>0</v>
          </cell>
          <cell r="M43">
            <v>311417.32</v>
          </cell>
          <cell r="N43">
            <v>296090.67</v>
          </cell>
          <cell r="O43">
            <v>288303.96999999997</v>
          </cell>
          <cell r="V43">
            <v>0</v>
          </cell>
          <cell r="W43">
            <v>0</v>
          </cell>
          <cell r="X43">
            <v>0</v>
          </cell>
          <cell r="AL43">
            <v>0</v>
          </cell>
          <cell r="AM43">
            <v>0</v>
          </cell>
          <cell r="AP43">
            <v>0</v>
          </cell>
          <cell r="AQ43">
            <v>0</v>
          </cell>
          <cell r="AV43">
            <v>7374884.4699999997</v>
          </cell>
          <cell r="AW43">
            <v>7374885</v>
          </cell>
          <cell r="AY43">
            <v>252664</v>
          </cell>
          <cell r="AZ43">
            <v>0</v>
          </cell>
          <cell r="BA43">
            <v>487082</v>
          </cell>
          <cell r="BC43">
            <v>0</v>
          </cell>
          <cell r="BD43">
            <v>8114631</v>
          </cell>
          <cell r="BG43">
            <v>3930731.18</v>
          </cell>
          <cell r="BI43" t="str">
            <v>Forecast</v>
          </cell>
        </row>
        <row r="44">
          <cell r="B44" t="str">
            <v>Feb 2015</v>
          </cell>
          <cell r="C44" t="str">
            <v>PSP</v>
          </cell>
          <cell r="D44" t="str">
            <v>PSP</v>
          </cell>
          <cell r="E44" t="str">
            <v>KUCIE561</v>
          </cell>
          <cell r="F44">
            <v>211</v>
          </cell>
          <cell r="H44">
            <v>0</v>
          </cell>
          <cell r="I44">
            <v>0</v>
          </cell>
          <cell r="J44">
            <v>0</v>
          </cell>
          <cell r="K44">
            <v>18264518</v>
          </cell>
          <cell r="L44">
            <v>0</v>
          </cell>
          <cell r="M44">
            <v>0</v>
          </cell>
          <cell r="N44">
            <v>53574.29</v>
          </cell>
          <cell r="O44">
            <v>0</v>
          </cell>
          <cell r="V44">
            <v>0</v>
          </cell>
          <cell r="W44">
            <v>0</v>
          </cell>
          <cell r="X44">
            <v>0</v>
          </cell>
          <cell r="AL44">
            <v>0</v>
          </cell>
          <cell r="AM44">
            <v>0</v>
          </cell>
          <cell r="AV44">
            <v>1392561.27</v>
          </cell>
          <cell r="AW44">
            <v>1392561</v>
          </cell>
          <cell r="AY44">
            <v>33953</v>
          </cell>
          <cell r="AZ44">
            <v>20803</v>
          </cell>
          <cell r="BA44">
            <v>65454</v>
          </cell>
          <cell r="BC44">
            <v>0</v>
          </cell>
          <cell r="BD44">
            <v>1512771</v>
          </cell>
          <cell r="BG44">
            <v>528209.86</v>
          </cell>
          <cell r="BI44" t="str">
            <v>Forecast</v>
          </cell>
        </row>
        <row r="45">
          <cell r="B45" t="str">
            <v>Feb 2015</v>
          </cell>
          <cell r="C45" t="str">
            <v>PSS</v>
          </cell>
          <cell r="D45" t="str">
            <v>PSS</v>
          </cell>
          <cell r="E45" t="str">
            <v>KUCIE562</v>
          </cell>
          <cell r="F45">
            <v>4770</v>
          </cell>
          <cell r="H45">
            <v>0</v>
          </cell>
          <cell r="I45">
            <v>0</v>
          </cell>
          <cell r="J45">
            <v>0</v>
          </cell>
          <cell r="K45">
            <v>170418566</v>
          </cell>
          <cell r="L45">
            <v>0</v>
          </cell>
          <cell r="M45">
            <v>0</v>
          </cell>
          <cell r="N45">
            <v>555176.04</v>
          </cell>
          <cell r="O45">
            <v>0</v>
          </cell>
          <cell r="V45">
            <v>0</v>
          </cell>
          <cell r="W45">
            <v>0</v>
          </cell>
          <cell r="X45">
            <v>0</v>
          </cell>
          <cell r="AL45">
            <v>0</v>
          </cell>
          <cell r="AM45">
            <v>0</v>
          </cell>
          <cell r="AV45">
            <v>13831341.420000002</v>
          </cell>
          <cell r="AW45">
            <v>13831342</v>
          </cell>
          <cell r="AY45">
            <v>316800</v>
          </cell>
          <cell r="AZ45">
            <v>194103</v>
          </cell>
          <cell r="BA45">
            <v>610723</v>
          </cell>
          <cell r="BC45">
            <v>0</v>
          </cell>
          <cell r="BD45">
            <v>14952968</v>
          </cell>
          <cell r="BG45">
            <v>4928504.93</v>
          </cell>
          <cell r="BI45" t="str">
            <v>Forecast</v>
          </cell>
        </row>
        <row r="46">
          <cell r="B46" t="str">
            <v>Feb 2015</v>
          </cell>
          <cell r="C46" t="str">
            <v>TODP</v>
          </cell>
          <cell r="D46" t="str">
            <v>TODP</v>
          </cell>
          <cell r="E46" t="str">
            <v>KUCIE563</v>
          </cell>
          <cell r="F46">
            <v>52</v>
          </cell>
          <cell r="H46">
            <v>0</v>
          </cell>
          <cell r="I46">
            <v>0</v>
          </cell>
          <cell r="J46">
            <v>0</v>
          </cell>
          <cell r="K46">
            <v>240582096</v>
          </cell>
          <cell r="L46">
            <v>0</v>
          </cell>
          <cell r="M46">
            <v>511851.91</v>
          </cell>
          <cell r="N46">
            <v>479279.12</v>
          </cell>
          <cell r="O46">
            <v>472970.69</v>
          </cell>
          <cell r="V46">
            <v>0</v>
          </cell>
          <cell r="W46">
            <v>0</v>
          </cell>
          <cell r="X46">
            <v>0</v>
          </cell>
          <cell r="AL46">
            <v>0</v>
          </cell>
          <cell r="AM46">
            <v>0</v>
          </cell>
          <cell r="AV46">
            <v>13286448.190000001</v>
          </cell>
          <cell r="AW46">
            <v>13286449</v>
          </cell>
          <cell r="AY46">
            <v>447231</v>
          </cell>
          <cell r="AZ46">
            <v>274018</v>
          </cell>
          <cell r="BA46">
            <v>862165</v>
          </cell>
          <cell r="BC46">
            <v>0</v>
          </cell>
          <cell r="BD46">
            <v>14869863</v>
          </cell>
          <cell r="BG46">
            <v>6957634.2199999997</v>
          </cell>
          <cell r="BI46" t="str">
            <v>Forecast</v>
          </cell>
        </row>
        <row r="47">
          <cell r="B47" t="str">
            <v>Feb 2015</v>
          </cell>
          <cell r="C47" t="str">
            <v>PSP</v>
          </cell>
          <cell r="D47" t="str">
            <v>PSP</v>
          </cell>
          <cell r="E47" t="str">
            <v>KUCIE566</v>
          </cell>
          <cell r="F47">
            <v>0</v>
          </cell>
          <cell r="H47">
            <v>0</v>
          </cell>
          <cell r="I47">
            <v>0</v>
          </cell>
          <cell r="J47">
            <v>0</v>
          </cell>
          <cell r="K47">
            <v>0</v>
          </cell>
          <cell r="L47">
            <v>0</v>
          </cell>
          <cell r="M47">
            <v>0</v>
          </cell>
          <cell r="N47">
            <v>0</v>
          </cell>
          <cell r="O47">
            <v>0</v>
          </cell>
          <cell r="S47">
            <v>0</v>
          </cell>
          <cell r="U47">
            <v>0</v>
          </cell>
          <cell r="V47">
            <v>0</v>
          </cell>
          <cell r="W47">
            <v>0</v>
          </cell>
          <cell r="X47">
            <v>0</v>
          </cell>
          <cell r="AL47">
            <v>0</v>
          </cell>
          <cell r="AM47">
            <v>0</v>
          </cell>
          <cell r="AV47">
            <v>0</v>
          </cell>
          <cell r="AW47">
            <v>0</v>
          </cell>
          <cell r="AY47">
            <v>0</v>
          </cell>
          <cell r="AZ47">
            <v>0</v>
          </cell>
          <cell r="BA47">
            <v>0</v>
          </cell>
          <cell r="BC47">
            <v>0</v>
          </cell>
          <cell r="BD47">
            <v>0</v>
          </cell>
          <cell r="BG47">
            <v>0</v>
          </cell>
          <cell r="BI47" t="str">
            <v>Forecast</v>
          </cell>
        </row>
        <row r="48">
          <cell r="B48" t="str">
            <v>Feb 2015</v>
          </cell>
          <cell r="C48" t="str">
            <v>PSS</v>
          </cell>
          <cell r="D48" t="str">
            <v>PSS</v>
          </cell>
          <cell r="E48" t="str">
            <v>KUCIE568</v>
          </cell>
          <cell r="F48">
            <v>0</v>
          </cell>
          <cell r="H48">
            <v>0</v>
          </cell>
          <cell r="I48">
            <v>0</v>
          </cell>
          <cell r="J48">
            <v>0</v>
          </cell>
          <cell r="K48">
            <v>0</v>
          </cell>
          <cell r="L48">
            <v>0</v>
          </cell>
          <cell r="M48">
            <v>0</v>
          </cell>
          <cell r="N48">
            <v>0</v>
          </cell>
          <cell r="O48">
            <v>0</v>
          </cell>
          <cell r="S48">
            <v>0</v>
          </cell>
          <cell r="U48">
            <v>0</v>
          </cell>
          <cell r="V48">
            <v>0</v>
          </cell>
          <cell r="W48">
            <v>0</v>
          </cell>
          <cell r="X48">
            <v>0</v>
          </cell>
          <cell r="AM48">
            <v>0</v>
          </cell>
          <cell r="AV48">
            <v>0</v>
          </cell>
          <cell r="AW48">
            <v>0</v>
          </cell>
          <cell r="AY48">
            <v>0</v>
          </cell>
          <cell r="AZ48">
            <v>0</v>
          </cell>
          <cell r="BA48">
            <v>0</v>
          </cell>
          <cell r="BC48">
            <v>0</v>
          </cell>
          <cell r="BD48">
            <v>0</v>
          </cell>
          <cell r="BG48">
            <v>0</v>
          </cell>
          <cell r="BI48" t="str">
            <v>Forecast</v>
          </cell>
        </row>
        <row r="49">
          <cell r="B49" t="str">
            <v>Feb 2015</v>
          </cell>
          <cell r="C49" t="str">
            <v>TODP</v>
          </cell>
          <cell r="D49" t="str">
            <v>TODP</v>
          </cell>
          <cell r="E49" t="str">
            <v>KUCIE571</v>
          </cell>
          <cell r="F49">
            <v>187</v>
          </cell>
          <cell r="H49">
            <v>0</v>
          </cell>
          <cell r="I49">
            <v>0</v>
          </cell>
          <cell r="J49">
            <v>0</v>
          </cell>
          <cell r="K49">
            <v>101352085</v>
          </cell>
          <cell r="L49">
            <v>0</v>
          </cell>
          <cell r="M49">
            <v>259770.08</v>
          </cell>
          <cell r="N49">
            <v>246191.86</v>
          </cell>
          <cell r="O49">
            <v>242715.65</v>
          </cell>
          <cell r="V49">
            <v>0</v>
          </cell>
          <cell r="W49">
            <v>0</v>
          </cell>
          <cell r="X49">
            <v>0</v>
          </cell>
          <cell r="AL49">
            <v>0</v>
          </cell>
          <cell r="AM49">
            <v>0</v>
          </cell>
          <cell r="AV49">
            <v>6029671.04</v>
          </cell>
          <cell r="AW49">
            <v>6029671</v>
          </cell>
          <cell r="AY49">
            <v>188409</v>
          </cell>
          <cell r="AZ49">
            <v>115438</v>
          </cell>
          <cell r="BA49">
            <v>363212</v>
          </cell>
          <cell r="BC49">
            <v>0</v>
          </cell>
          <cell r="BD49">
            <v>6696730</v>
          </cell>
          <cell r="BG49">
            <v>2931102.3</v>
          </cell>
          <cell r="BI49" t="str">
            <v>Forecast</v>
          </cell>
        </row>
        <row r="50">
          <cell r="B50" t="str">
            <v>Feb 2015</v>
          </cell>
          <cell r="C50" t="str">
            <v>TODS</v>
          </cell>
          <cell r="D50" t="str">
            <v>TODS</v>
          </cell>
          <cell r="E50" t="str">
            <v>KUCIE572</v>
          </cell>
          <cell r="F50">
            <v>456</v>
          </cell>
          <cell r="H50">
            <v>0</v>
          </cell>
          <cell r="I50">
            <v>0</v>
          </cell>
          <cell r="J50">
            <v>0</v>
          </cell>
          <cell r="K50">
            <v>118321752</v>
          </cell>
          <cell r="L50">
            <v>0</v>
          </cell>
          <cell r="M50">
            <v>286976.21000000002</v>
          </cell>
          <cell r="N50">
            <v>261378.21</v>
          </cell>
          <cell r="O50">
            <v>255523.34</v>
          </cell>
          <cell r="S50">
            <v>0</v>
          </cell>
          <cell r="T50">
            <v>0</v>
          </cell>
          <cell r="U50">
            <v>0</v>
          </cell>
          <cell r="V50">
            <v>0</v>
          </cell>
          <cell r="W50">
            <v>0</v>
          </cell>
          <cell r="X50">
            <v>0</v>
          </cell>
          <cell r="AM50">
            <v>0</v>
          </cell>
          <cell r="AV50">
            <v>7528030.5</v>
          </cell>
          <cell r="AW50">
            <v>7528031</v>
          </cell>
          <cell r="AY50">
            <v>219955</v>
          </cell>
          <cell r="AZ50">
            <v>134766</v>
          </cell>
          <cell r="BA50">
            <v>424025</v>
          </cell>
          <cell r="BC50">
            <v>0</v>
          </cell>
          <cell r="BD50">
            <v>8306777</v>
          </cell>
          <cell r="BG50">
            <v>3421865.07</v>
          </cell>
          <cell r="BI50" t="str">
            <v>Forecast</v>
          </cell>
        </row>
        <row r="51">
          <cell r="B51" t="str">
            <v>Feb 2015</v>
          </cell>
          <cell r="C51" t="str">
            <v>PSS</v>
          </cell>
          <cell r="D51" t="str">
            <v>PSS</v>
          </cell>
          <cell r="E51" t="str">
            <v>KUCIE717</v>
          </cell>
          <cell r="F51">
            <v>0</v>
          </cell>
          <cell r="G51">
            <v>0</v>
          </cell>
          <cell r="H51">
            <v>0</v>
          </cell>
          <cell r="I51">
            <v>0</v>
          </cell>
          <cell r="J51">
            <v>0</v>
          </cell>
          <cell r="K51">
            <v>0</v>
          </cell>
          <cell r="L51">
            <v>0</v>
          </cell>
          <cell r="M51">
            <v>0</v>
          </cell>
          <cell r="N51">
            <v>0</v>
          </cell>
          <cell r="O51">
            <v>0</v>
          </cell>
          <cell r="S51">
            <v>0</v>
          </cell>
          <cell r="T51">
            <v>0</v>
          </cell>
          <cell r="U51">
            <v>0</v>
          </cell>
          <cell r="V51">
            <v>0</v>
          </cell>
          <cell r="W51">
            <v>0</v>
          </cell>
          <cell r="X51">
            <v>0</v>
          </cell>
          <cell r="AL51">
            <v>0</v>
          </cell>
          <cell r="AM51">
            <v>0</v>
          </cell>
          <cell r="AP51">
            <v>0</v>
          </cell>
          <cell r="AQ51">
            <v>0</v>
          </cell>
          <cell r="AR51">
            <v>0</v>
          </cell>
          <cell r="AV51">
            <v>0</v>
          </cell>
          <cell r="AW51">
            <v>0</v>
          </cell>
          <cell r="AY51">
            <v>0</v>
          </cell>
          <cell r="AZ51">
            <v>0</v>
          </cell>
          <cell r="BA51">
            <v>0</v>
          </cell>
          <cell r="BC51">
            <v>0</v>
          </cell>
          <cell r="BD51">
            <v>0</v>
          </cell>
          <cell r="BG51">
            <v>0</v>
          </cell>
          <cell r="BI51" t="str">
            <v>Forecast</v>
          </cell>
        </row>
        <row r="52">
          <cell r="B52" t="str">
            <v>Feb 2015</v>
          </cell>
          <cell r="C52" t="str">
            <v>GS</v>
          </cell>
          <cell r="D52" t="str">
            <v>GS</v>
          </cell>
          <cell r="E52" t="str">
            <v>KUCME110</v>
          </cell>
          <cell r="F52">
            <v>63452</v>
          </cell>
          <cell r="G52">
            <v>0</v>
          </cell>
          <cell r="H52">
            <v>0</v>
          </cell>
          <cell r="I52">
            <v>0</v>
          </cell>
          <cell r="J52">
            <v>0</v>
          </cell>
          <cell r="K52">
            <v>68740240</v>
          </cell>
          <cell r="L52">
            <v>0</v>
          </cell>
          <cell r="M52">
            <v>0</v>
          </cell>
          <cell r="N52">
            <v>0</v>
          </cell>
          <cell r="O52">
            <v>0</v>
          </cell>
          <cell r="S52">
            <v>0</v>
          </cell>
          <cell r="T52">
            <v>0</v>
          </cell>
          <cell r="U52">
            <v>0</v>
          </cell>
          <cell r="V52">
            <v>0</v>
          </cell>
          <cell r="W52">
            <v>0</v>
          </cell>
          <cell r="X52">
            <v>0</v>
          </cell>
          <cell r="AL52">
            <v>0</v>
          </cell>
          <cell r="AM52">
            <v>0</v>
          </cell>
          <cell r="AP52">
            <v>0</v>
          </cell>
          <cell r="AQ52">
            <v>0</v>
          </cell>
          <cell r="AR52">
            <v>0</v>
          </cell>
          <cell r="AV52">
            <v>7610327.1399999997</v>
          </cell>
          <cell r="AW52">
            <v>7610324</v>
          </cell>
          <cell r="AY52">
            <v>127785</v>
          </cell>
          <cell r="AZ52">
            <v>78294</v>
          </cell>
          <cell r="BA52">
            <v>246342</v>
          </cell>
          <cell r="BC52">
            <v>0</v>
          </cell>
          <cell r="BD52">
            <v>8062745</v>
          </cell>
          <cell r="BG52">
            <v>1987967.74</v>
          </cell>
          <cell r="BI52" t="str">
            <v>Forecast</v>
          </cell>
        </row>
        <row r="53">
          <cell r="B53" t="str">
            <v>Feb 2015</v>
          </cell>
          <cell r="C53" t="str">
            <v>GS</v>
          </cell>
          <cell r="D53" t="str">
            <v>GS</v>
          </cell>
          <cell r="E53" t="str">
            <v>KUCME112</v>
          </cell>
          <cell r="F53">
            <v>0</v>
          </cell>
          <cell r="G53">
            <v>0</v>
          </cell>
          <cell r="H53">
            <v>0</v>
          </cell>
          <cell r="I53">
            <v>0</v>
          </cell>
          <cell r="J53">
            <v>0</v>
          </cell>
          <cell r="K53">
            <v>0</v>
          </cell>
          <cell r="L53">
            <v>0</v>
          </cell>
          <cell r="M53">
            <v>0</v>
          </cell>
          <cell r="N53">
            <v>0</v>
          </cell>
          <cell r="O53">
            <v>0</v>
          </cell>
          <cell r="S53">
            <v>0</v>
          </cell>
          <cell r="T53">
            <v>0</v>
          </cell>
          <cell r="U53">
            <v>0</v>
          </cell>
          <cell r="V53">
            <v>0</v>
          </cell>
          <cell r="W53">
            <v>0</v>
          </cell>
          <cell r="X53">
            <v>0</v>
          </cell>
          <cell r="AL53">
            <v>0</v>
          </cell>
          <cell r="AM53">
            <v>0</v>
          </cell>
          <cell r="AP53">
            <v>0</v>
          </cell>
          <cell r="AQ53">
            <v>0</v>
          </cell>
          <cell r="AR53">
            <v>0</v>
          </cell>
          <cell r="AV53">
            <v>0</v>
          </cell>
          <cell r="AW53">
            <v>0</v>
          </cell>
          <cell r="AY53">
            <v>0</v>
          </cell>
          <cell r="AZ53">
            <v>0</v>
          </cell>
          <cell r="BA53">
            <v>0</v>
          </cell>
          <cell r="BC53">
            <v>0</v>
          </cell>
          <cell r="BD53">
            <v>0</v>
          </cell>
          <cell r="BG53">
            <v>0</v>
          </cell>
          <cell r="BI53" t="str">
            <v>Forecast</v>
          </cell>
        </row>
        <row r="54">
          <cell r="B54" t="str">
            <v>Feb 2015</v>
          </cell>
          <cell r="C54" t="str">
            <v>GS3</v>
          </cell>
          <cell r="D54" t="str">
            <v>GS3</v>
          </cell>
          <cell r="E54" t="str">
            <v>KUCME113</v>
          </cell>
          <cell r="F54">
            <v>18548</v>
          </cell>
          <cell r="G54">
            <v>0</v>
          </cell>
          <cell r="H54">
            <v>0</v>
          </cell>
          <cell r="I54">
            <v>0</v>
          </cell>
          <cell r="J54">
            <v>0</v>
          </cell>
          <cell r="K54">
            <v>100614272</v>
          </cell>
          <cell r="L54">
            <v>0</v>
          </cell>
          <cell r="M54">
            <v>394581.82</v>
          </cell>
          <cell r="N54">
            <v>0</v>
          </cell>
          <cell r="O54">
            <v>0</v>
          </cell>
          <cell r="S54">
            <v>0</v>
          </cell>
          <cell r="T54">
            <v>0</v>
          </cell>
          <cell r="U54">
            <v>0</v>
          </cell>
          <cell r="V54">
            <v>0</v>
          </cell>
          <cell r="W54">
            <v>0</v>
          </cell>
          <cell r="X54">
            <v>0</v>
          </cell>
          <cell r="AL54">
            <v>0</v>
          </cell>
          <cell r="AM54">
            <v>0</v>
          </cell>
          <cell r="AP54">
            <v>0</v>
          </cell>
          <cell r="AQ54">
            <v>0</v>
          </cell>
          <cell r="AR54">
            <v>0</v>
          </cell>
          <cell r="AV54">
            <v>9930846.5899999999</v>
          </cell>
          <cell r="AW54">
            <v>9930851</v>
          </cell>
          <cell r="AY54">
            <v>187037</v>
          </cell>
          <cell r="AZ54">
            <v>114598</v>
          </cell>
          <cell r="BA54">
            <v>360568</v>
          </cell>
          <cell r="BC54">
            <v>0</v>
          </cell>
          <cell r="BD54">
            <v>10593054</v>
          </cell>
          <cell r="BG54">
            <v>2909764.75</v>
          </cell>
          <cell r="BI54" t="str">
            <v>Forecast</v>
          </cell>
        </row>
        <row r="55">
          <cell r="B55" t="str">
            <v>Feb 2015</v>
          </cell>
          <cell r="C55" t="str">
            <v>AES</v>
          </cell>
          <cell r="D55" t="str">
            <v>AES</v>
          </cell>
          <cell r="E55" t="str">
            <v>KUCME220</v>
          </cell>
          <cell r="F55">
            <v>371</v>
          </cell>
          <cell r="G55">
            <v>0</v>
          </cell>
          <cell r="H55">
            <v>0</v>
          </cell>
          <cell r="I55">
            <v>0</v>
          </cell>
          <cell r="J55">
            <v>0</v>
          </cell>
          <cell r="K55">
            <v>753729</v>
          </cell>
          <cell r="L55">
            <v>0</v>
          </cell>
          <cell r="M55">
            <v>0</v>
          </cell>
          <cell r="N55">
            <v>0</v>
          </cell>
          <cell r="O55">
            <v>0</v>
          </cell>
          <cell r="S55">
            <v>0</v>
          </cell>
          <cell r="T55">
            <v>0</v>
          </cell>
          <cell r="U55">
            <v>0</v>
          </cell>
          <cell r="V55">
            <v>0</v>
          </cell>
          <cell r="W55">
            <v>0</v>
          </cell>
          <cell r="X55">
            <v>0</v>
          </cell>
          <cell r="AL55">
            <v>0</v>
          </cell>
          <cell r="AM55">
            <v>0</v>
          </cell>
          <cell r="AP55">
            <v>0</v>
          </cell>
          <cell r="AQ55">
            <v>0</v>
          </cell>
          <cell r="AR55">
            <v>0</v>
          </cell>
          <cell r="AV55">
            <v>63497.440000000002</v>
          </cell>
          <cell r="AW55">
            <v>63498</v>
          </cell>
          <cell r="AY55">
            <v>1401</v>
          </cell>
          <cell r="AZ55">
            <v>858</v>
          </cell>
          <cell r="BA55">
            <v>2701</v>
          </cell>
          <cell r="BC55">
            <v>0</v>
          </cell>
          <cell r="BD55">
            <v>68458</v>
          </cell>
          <cell r="BG55">
            <v>21797.84</v>
          </cell>
          <cell r="BI55" t="str">
            <v>Forecast</v>
          </cell>
        </row>
        <row r="56">
          <cell r="B56" t="str">
            <v>Feb 2015</v>
          </cell>
          <cell r="C56" t="str">
            <v>AES</v>
          </cell>
          <cell r="D56" t="str">
            <v>AES</v>
          </cell>
          <cell r="E56" t="str">
            <v>KUCME221</v>
          </cell>
          <cell r="F56">
            <v>0</v>
          </cell>
          <cell r="G56">
            <v>0</v>
          </cell>
          <cell r="H56">
            <v>0</v>
          </cell>
          <cell r="I56">
            <v>0</v>
          </cell>
          <cell r="J56">
            <v>0</v>
          </cell>
          <cell r="K56">
            <v>0</v>
          </cell>
          <cell r="L56">
            <v>0</v>
          </cell>
          <cell r="M56">
            <v>0</v>
          </cell>
          <cell r="N56">
            <v>0</v>
          </cell>
          <cell r="O56">
            <v>0</v>
          </cell>
          <cell r="S56">
            <v>0</v>
          </cell>
          <cell r="T56">
            <v>0</v>
          </cell>
          <cell r="U56">
            <v>0</v>
          </cell>
          <cell r="V56">
            <v>0</v>
          </cell>
          <cell r="W56">
            <v>0</v>
          </cell>
          <cell r="X56">
            <v>0</v>
          </cell>
          <cell r="AL56">
            <v>0</v>
          </cell>
          <cell r="AM56">
            <v>0</v>
          </cell>
          <cell r="AP56">
            <v>0</v>
          </cell>
          <cell r="AQ56">
            <v>0</v>
          </cell>
          <cell r="AR56">
            <v>0</v>
          </cell>
          <cell r="AV56">
            <v>0</v>
          </cell>
          <cell r="AW56">
            <v>0</v>
          </cell>
          <cell r="AY56">
            <v>0</v>
          </cell>
          <cell r="AZ56">
            <v>0</v>
          </cell>
          <cell r="BA56">
            <v>0</v>
          </cell>
          <cell r="BC56">
            <v>0</v>
          </cell>
          <cell r="BD56">
            <v>0</v>
          </cell>
          <cell r="BG56">
            <v>0</v>
          </cell>
          <cell r="BI56" t="str">
            <v>Forecast</v>
          </cell>
        </row>
        <row r="57">
          <cell r="B57" t="str">
            <v>Feb 2015</v>
          </cell>
          <cell r="C57" t="str">
            <v>AES3</v>
          </cell>
          <cell r="D57" t="str">
            <v>AES3</v>
          </cell>
          <cell r="E57" t="str">
            <v>KUCME223</v>
          </cell>
          <cell r="F57">
            <v>0</v>
          </cell>
          <cell r="G57">
            <v>0</v>
          </cell>
          <cell r="H57">
            <v>0</v>
          </cell>
          <cell r="I57">
            <v>0</v>
          </cell>
          <cell r="J57">
            <v>0</v>
          </cell>
          <cell r="K57">
            <v>0</v>
          </cell>
          <cell r="L57">
            <v>0</v>
          </cell>
          <cell r="M57">
            <v>0</v>
          </cell>
          <cell r="N57">
            <v>0</v>
          </cell>
          <cell r="O57">
            <v>0</v>
          </cell>
          <cell r="S57">
            <v>0</v>
          </cell>
          <cell r="T57">
            <v>0</v>
          </cell>
          <cell r="U57">
            <v>0</v>
          </cell>
          <cell r="V57">
            <v>0</v>
          </cell>
          <cell r="W57">
            <v>0</v>
          </cell>
          <cell r="X57">
            <v>0</v>
          </cell>
          <cell r="AL57">
            <v>0</v>
          </cell>
          <cell r="AM57">
            <v>0</v>
          </cell>
          <cell r="AP57">
            <v>0</v>
          </cell>
          <cell r="AQ57">
            <v>0</v>
          </cell>
          <cell r="AR57">
            <v>0</v>
          </cell>
          <cell r="AV57">
            <v>0</v>
          </cell>
          <cell r="AW57">
            <v>0</v>
          </cell>
          <cell r="AY57">
            <v>0</v>
          </cell>
          <cell r="AZ57">
            <v>0</v>
          </cell>
          <cell r="BA57">
            <v>0</v>
          </cell>
          <cell r="BC57">
            <v>0</v>
          </cell>
          <cell r="BD57">
            <v>0</v>
          </cell>
          <cell r="BG57">
            <v>0</v>
          </cell>
          <cell r="BI57" t="str">
            <v>Forecast</v>
          </cell>
        </row>
        <row r="58">
          <cell r="B58" t="str">
            <v>Feb 2015</v>
          </cell>
          <cell r="C58" t="str">
            <v>AES3</v>
          </cell>
          <cell r="D58" t="str">
            <v>AES3</v>
          </cell>
          <cell r="E58" t="str">
            <v>KUCME224</v>
          </cell>
          <cell r="F58">
            <v>258</v>
          </cell>
          <cell r="G58">
            <v>0</v>
          </cell>
          <cell r="H58">
            <v>0</v>
          </cell>
          <cell r="I58">
            <v>0</v>
          </cell>
          <cell r="J58">
            <v>0</v>
          </cell>
          <cell r="K58">
            <v>13970009</v>
          </cell>
          <cell r="L58">
            <v>0</v>
          </cell>
          <cell r="M58">
            <v>54944.83</v>
          </cell>
          <cell r="N58">
            <v>0</v>
          </cell>
          <cell r="O58">
            <v>0</v>
          </cell>
          <cell r="S58">
            <v>0</v>
          </cell>
          <cell r="T58">
            <v>0</v>
          </cell>
          <cell r="U58">
            <v>0</v>
          </cell>
          <cell r="V58">
            <v>0</v>
          </cell>
          <cell r="W58">
            <v>0</v>
          </cell>
          <cell r="X58">
            <v>0</v>
          </cell>
          <cell r="AL58">
            <v>0</v>
          </cell>
          <cell r="AM58">
            <v>0</v>
          </cell>
          <cell r="AP58">
            <v>0</v>
          </cell>
          <cell r="AQ58">
            <v>0</v>
          </cell>
          <cell r="AR58">
            <v>0</v>
          </cell>
          <cell r="AV58">
            <v>1048398.67</v>
          </cell>
          <cell r="AW58">
            <v>1048398</v>
          </cell>
          <cell r="AY58">
            <v>25970</v>
          </cell>
          <cell r="AZ58">
            <v>15912</v>
          </cell>
          <cell r="BA58">
            <v>50064</v>
          </cell>
          <cell r="BC58">
            <v>0</v>
          </cell>
          <cell r="BD58">
            <v>1140344</v>
          </cell>
          <cell r="BG58">
            <v>404012.66</v>
          </cell>
          <cell r="BI58" t="str">
            <v>Forecast</v>
          </cell>
        </row>
        <row r="59">
          <cell r="B59" t="str">
            <v>Feb 2015</v>
          </cell>
          <cell r="C59" t="str">
            <v>AES3</v>
          </cell>
          <cell r="D59" t="str">
            <v>AES3</v>
          </cell>
          <cell r="E59" t="str">
            <v>KUCME225</v>
          </cell>
          <cell r="F59">
            <v>0</v>
          </cell>
          <cell r="G59">
            <v>0</v>
          </cell>
          <cell r="H59">
            <v>0</v>
          </cell>
          <cell r="I59">
            <v>0</v>
          </cell>
          <cell r="J59">
            <v>0</v>
          </cell>
          <cell r="K59">
            <v>0</v>
          </cell>
          <cell r="L59">
            <v>0</v>
          </cell>
          <cell r="M59">
            <v>0</v>
          </cell>
          <cell r="N59">
            <v>0</v>
          </cell>
          <cell r="O59">
            <v>0</v>
          </cell>
          <cell r="S59">
            <v>0</v>
          </cell>
          <cell r="T59">
            <v>0</v>
          </cell>
          <cell r="U59">
            <v>0</v>
          </cell>
          <cell r="V59">
            <v>0</v>
          </cell>
          <cell r="W59">
            <v>0</v>
          </cell>
          <cell r="X59">
            <v>0</v>
          </cell>
          <cell r="AL59">
            <v>0</v>
          </cell>
          <cell r="AM59">
            <v>0</v>
          </cell>
          <cell r="AP59">
            <v>0</v>
          </cell>
          <cell r="AQ59">
            <v>0</v>
          </cell>
          <cell r="AR59">
            <v>0</v>
          </cell>
          <cell r="AV59">
            <v>0</v>
          </cell>
          <cell r="AW59">
            <v>0</v>
          </cell>
          <cell r="AY59">
            <v>0</v>
          </cell>
          <cell r="AZ59">
            <v>0</v>
          </cell>
          <cell r="BA59">
            <v>0</v>
          </cell>
          <cell r="BC59">
            <v>0</v>
          </cell>
          <cell r="BD59">
            <v>0</v>
          </cell>
          <cell r="BG59">
            <v>0</v>
          </cell>
          <cell r="BI59" t="str">
            <v>Forecast</v>
          </cell>
        </row>
        <row r="60">
          <cell r="B60" t="str">
            <v>Feb 2015</v>
          </cell>
          <cell r="C60" t="str">
            <v>AES</v>
          </cell>
          <cell r="D60" t="str">
            <v>AES</v>
          </cell>
          <cell r="E60" t="str">
            <v>KUCME226</v>
          </cell>
          <cell r="F60">
            <v>0</v>
          </cell>
          <cell r="G60">
            <v>0</v>
          </cell>
          <cell r="H60">
            <v>0</v>
          </cell>
          <cell r="I60">
            <v>0</v>
          </cell>
          <cell r="J60">
            <v>0</v>
          </cell>
          <cell r="K60">
            <v>0</v>
          </cell>
          <cell r="L60">
            <v>0</v>
          </cell>
          <cell r="M60">
            <v>0</v>
          </cell>
          <cell r="N60">
            <v>0</v>
          </cell>
          <cell r="O60">
            <v>0</v>
          </cell>
          <cell r="S60">
            <v>0</v>
          </cell>
          <cell r="T60">
            <v>0</v>
          </cell>
          <cell r="U60">
            <v>0</v>
          </cell>
          <cell r="V60">
            <v>0</v>
          </cell>
          <cell r="W60">
            <v>0</v>
          </cell>
          <cell r="X60">
            <v>0</v>
          </cell>
          <cell r="AL60">
            <v>0</v>
          </cell>
          <cell r="AM60">
            <v>0</v>
          </cell>
          <cell r="AP60">
            <v>0</v>
          </cell>
          <cell r="AQ60">
            <v>0</v>
          </cell>
          <cell r="AR60">
            <v>0</v>
          </cell>
          <cell r="AV60">
            <v>0</v>
          </cell>
          <cell r="AW60">
            <v>0</v>
          </cell>
          <cell r="AY60">
            <v>0</v>
          </cell>
          <cell r="AZ60">
            <v>0</v>
          </cell>
          <cell r="BA60">
            <v>0</v>
          </cell>
          <cell r="BC60">
            <v>0</v>
          </cell>
          <cell r="BD60">
            <v>0</v>
          </cell>
          <cell r="BG60">
            <v>0</v>
          </cell>
          <cell r="BI60" t="str">
            <v>Forecast</v>
          </cell>
        </row>
        <row r="61">
          <cell r="B61" t="str">
            <v>Feb 2015</v>
          </cell>
          <cell r="C61" t="str">
            <v>AES3</v>
          </cell>
          <cell r="D61" t="str">
            <v>AES3</v>
          </cell>
          <cell r="E61" t="str">
            <v>KUCME227</v>
          </cell>
          <cell r="F61">
            <v>0</v>
          </cell>
          <cell r="G61">
            <v>0</v>
          </cell>
          <cell r="H61">
            <v>0</v>
          </cell>
          <cell r="I61">
            <v>0</v>
          </cell>
          <cell r="J61">
            <v>0</v>
          </cell>
          <cell r="K61">
            <v>0</v>
          </cell>
          <cell r="L61">
            <v>0</v>
          </cell>
          <cell r="M61">
            <v>0</v>
          </cell>
          <cell r="N61">
            <v>0</v>
          </cell>
          <cell r="O61">
            <v>0</v>
          </cell>
          <cell r="S61">
            <v>0</v>
          </cell>
          <cell r="T61">
            <v>0</v>
          </cell>
          <cell r="U61">
            <v>0</v>
          </cell>
          <cell r="V61">
            <v>0</v>
          </cell>
          <cell r="W61">
            <v>0</v>
          </cell>
          <cell r="X61">
            <v>0</v>
          </cell>
          <cell r="AL61">
            <v>0</v>
          </cell>
          <cell r="AM61">
            <v>0</v>
          </cell>
          <cell r="AP61">
            <v>0</v>
          </cell>
          <cell r="AQ61">
            <v>0</v>
          </cell>
          <cell r="AR61">
            <v>0</v>
          </cell>
          <cell r="AV61">
            <v>0</v>
          </cell>
          <cell r="AW61">
            <v>0</v>
          </cell>
          <cell r="AY61">
            <v>0</v>
          </cell>
          <cell r="AZ61">
            <v>0</v>
          </cell>
          <cell r="BA61">
            <v>0</v>
          </cell>
          <cell r="BC61">
            <v>0</v>
          </cell>
          <cell r="BD61">
            <v>0</v>
          </cell>
          <cell r="BG61">
            <v>0</v>
          </cell>
          <cell r="BI61" t="str">
            <v>Forecast</v>
          </cell>
        </row>
        <row r="62">
          <cell r="B62" t="str">
            <v>Feb 2015</v>
          </cell>
          <cell r="C62" t="str">
            <v>LE</v>
          </cell>
          <cell r="D62" t="str">
            <v>LE</v>
          </cell>
          <cell r="E62" t="str">
            <v>KUCME290</v>
          </cell>
          <cell r="F62">
            <v>2</v>
          </cell>
          <cell r="G62">
            <v>0</v>
          </cell>
          <cell r="H62">
            <v>0</v>
          </cell>
          <cell r="I62">
            <v>0</v>
          </cell>
          <cell r="J62">
            <v>0</v>
          </cell>
          <cell r="K62">
            <v>12268</v>
          </cell>
          <cell r="L62">
            <v>0</v>
          </cell>
          <cell r="M62">
            <v>0</v>
          </cell>
          <cell r="N62">
            <v>0</v>
          </cell>
          <cell r="O62">
            <v>0</v>
          </cell>
          <cell r="S62">
            <v>0</v>
          </cell>
          <cell r="T62">
            <v>0</v>
          </cell>
          <cell r="U62">
            <v>0</v>
          </cell>
          <cell r="V62">
            <v>0</v>
          </cell>
          <cell r="W62">
            <v>0</v>
          </cell>
          <cell r="X62">
            <v>0</v>
          </cell>
          <cell r="AL62">
            <v>0</v>
          </cell>
          <cell r="AM62">
            <v>0</v>
          </cell>
          <cell r="AP62">
            <v>0</v>
          </cell>
          <cell r="AQ62">
            <v>0</v>
          </cell>
          <cell r="AR62">
            <v>0</v>
          </cell>
          <cell r="AV62">
            <v>782.7</v>
          </cell>
          <cell r="AW62">
            <v>783</v>
          </cell>
          <cell r="AY62">
            <v>23</v>
          </cell>
          <cell r="AZ62">
            <v>0</v>
          </cell>
          <cell r="BA62">
            <v>44</v>
          </cell>
          <cell r="BC62">
            <v>0</v>
          </cell>
          <cell r="BD62">
            <v>850</v>
          </cell>
          <cell r="BG62">
            <v>354.79</v>
          </cell>
          <cell r="BI62" t="str">
            <v>Forecast</v>
          </cell>
        </row>
        <row r="63">
          <cell r="B63" t="str">
            <v>Feb 2015</v>
          </cell>
          <cell r="C63" t="str">
            <v>LE</v>
          </cell>
          <cell r="D63" t="str">
            <v>LE</v>
          </cell>
          <cell r="E63" t="str">
            <v>KUCME291</v>
          </cell>
          <cell r="F63">
            <v>0</v>
          </cell>
          <cell r="G63">
            <v>0</v>
          </cell>
          <cell r="H63">
            <v>0</v>
          </cell>
          <cell r="I63">
            <v>0</v>
          </cell>
          <cell r="J63">
            <v>0</v>
          </cell>
          <cell r="K63">
            <v>0</v>
          </cell>
          <cell r="L63">
            <v>0</v>
          </cell>
          <cell r="M63">
            <v>0</v>
          </cell>
          <cell r="N63">
            <v>0</v>
          </cell>
          <cell r="O63">
            <v>0</v>
          </cell>
          <cell r="S63">
            <v>0</v>
          </cell>
          <cell r="T63">
            <v>0</v>
          </cell>
          <cell r="U63">
            <v>0</v>
          </cell>
          <cell r="V63">
            <v>0</v>
          </cell>
          <cell r="W63">
            <v>0</v>
          </cell>
          <cell r="X63">
            <v>0</v>
          </cell>
          <cell r="AL63">
            <v>0</v>
          </cell>
          <cell r="AM63">
            <v>0</v>
          </cell>
          <cell r="AP63">
            <v>0</v>
          </cell>
          <cell r="AQ63">
            <v>0</v>
          </cell>
          <cell r="AR63">
            <v>0</v>
          </cell>
          <cell r="AV63">
            <v>0</v>
          </cell>
          <cell r="AW63">
            <v>0</v>
          </cell>
          <cell r="AY63">
            <v>0</v>
          </cell>
          <cell r="AZ63">
            <v>0</v>
          </cell>
          <cell r="BA63">
            <v>0</v>
          </cell>
          <cell r="BC63">
            <v>0</v>
          </cell>
          <cell r="BD63">
            <v>0</v>
          </cell>
          <cell r="BG63">
            <v>0</v>
          </cell>
          <cell r="BI63" t="str">
            <v>Forecast</v>
          </cell>
        </row>
        <row r="64">
          <cell r="B64" t="str">
            <v>Feb 2015</v>
          </cell>
          <cell r="C64" t="str">
            <v>TE</v>
          </cell>
          <cell r="D64" t="str">
            <v>TE</v>
          </cell>
          <cell r="E64" t="str">
            <v>KUCME295</v>
          </cell>
          <cell r="F64">
            <v>747</v>
          </cell>
          <cell r="G64">
            <v>0</v>
          </cell>
          <cell r="H64">
            <v>0</v>
          </cell>
          <cell r="I64">
            <v>0</v>
          </cell>
          <cell r="J64">
            <v>0</v>
          </cell>
          <cell r="K64">
            <v>109851</v>
          </cell>
          <cell r="L64">
            <v>0</v>
          </cell>
          <cell r="M64">
            <v>0</v>
          </cell>
          <cell r="N64">
            <v>0</v>
          </cell>
          <cell r="O64">
            <v>0</v>
          </cell>
          <cell r="S64">
            <v>0</v>
          </cell>
          <cell r="T64">
            <v>0</v>
          </cell>
          <cell r="U64">
            <v>0</v>
          </cell>
          <cell r="V64">
            <v>0</v>
          </cell>
          <cell r="W64">
            <v>0</v>
          </cell>
          <cell r="X64">
            <v>0</v>
          </cell>
          <cell r="AL64">
            <v>0</v>
          </cell>
          <cell r="AM64">
            <v>0</v>
          </cell>
          <cell r="AP64">
            <v>0</v>
          </cell>
          <cell r="AQ64">
            <v>0</v>
          </cell>
          <cell r="AR64">
            <v>0</v>
          </cell>
          <cell r="AV64">
            <v>11191.66</v>
          </cell>
          <cell r="AW64">
            <v>11191.75</v>
          </cell>
          <cell r="AY64">
            <v>204</v>
          </cell>
          <cell r="AZ64">
            <v>0</v>
          </cell>
          <cell r="BA64">
            <v>393</v>
          </cell>
          <cell r="BC64">
            <v>0</v>
          </cell>
          <cell r="BD64">
            <v>11788.75</v>
          </cell>
          <cell r="BG64">
            <v>3176.89</v>
          </cell>
          <cell r="BI64" t="str">
            <v>Forecast</v>
          </cell>
        </row>
        <row r="65">
          <cell r="B65" t="str">
            <v>Feb 2015</v>
          </cell>
          <cell r="C65" t="str">
            <v>TE</v>
          </cell>
          <cell r="D65" t="str">
            <v>TE</v>
          </cell>
          <cell r="E65" t="str">
            <v>KUCME297</v>
          </cell>
          <cell r="F65">
            <v>0</v>
          </cell>
          <cell r="G65">
            <v>0</v>
          </cell>
          <cell r="H65">
            <v>0</v>
          </cell>
          <cell r="I65">
            <v>0</v>
          </cell>
          <cell r="J65">
            <v>0</v>
          </cell>
          <cell r="K65">
            <v>0</v>
          </cell>
          <cell r="L65">
            <v>0</v>
          </cell>
          <cell r="M65">
            <v>0</v>
          </cell>
          <cell r="N65">
            <v>0</v>
          </cell>
          <cell r="O65">
            <v>0</v>
          </cell>
          <cell r="S65">
            <v>0</v>
          </cell>
          <cell r="T65">
            <v>0</v>
          </cell>
          <cell r="U65">
            <v>0</v>
          </cell>
          <cell r="V65">
            <v>0</v>
          </cell>
          <cell r="W65">
            <v>0</v>
          </cell>
          <cell r="X65">
            <v>0</v>
          </cell>
          <cell r="AL65">
            <v>0</v>
          </cell>
          <cell r="AM65">
            <v>0</v>
          </cell>
          <cell r="AP65">
            <v>0</v>
          </cell>
          <cell r="AQ65">
            <v>0</v>
          </cell>
          <cell r="AR65">
            <v>0</v>
          </cell>
          <cell r="AV65">
            <v>0</v>
          </cell>
          <cell r="AW65">
            <v>0</v>
          </cell>
          <cell r="AY65">
            <v>0</v>
          </cell>
          <cell r="AZ65">
            <v>0</v>
          </cell>
          <cell r="BA65">
            <v>0</v>
          </cell>
          <cell r="BC65">
            <v>0</v>
          </cell>
          <cell r="BD65">
            <v>0</v>
          </cell>
          <cell r="BG65">
            <v>0</v>
          </cell>
          <cell r="BI65" t="str">
            <v>Forecast</v>
          </cell>
        </row>
        <row r="66">
          <cell r="B66" t="str">
            <v>Feb 2015</v>
          </cell>
          <cell r="C66" t="str">
            <v>SQF</v>
          </cell>
          <cell r="D66" t="str">
            <v>SQF</v>
          </cell>
          <cell r="E66" t="str">
            <v>KUCME705</v>
          </cell>
          <cell r="F66">
            <v>0</v>
          </cell>
          <cell r="G66">
            <v>0</v>
          </cell>
          <cell r="H66">
            <v>0</v>
          </cell>
          <cell r="I66">
            <v>0</v>
          </cell>
          <cell r="J66">
            <v>0</v>
          </cell>
          <cell r="K66">
            <v>0</v>
          </cell>
          <cell r="L66">
            <v>0</v>
          </cell>
          <cell r="M66">
            <v>0</v>
          </cell>
          <cell r="N66">
            <v>0</v>
          </cell>
          <cell r="O66">
            <v>0</v>
          </cell>
          <cell r="S66">
            <v>0</v>
          </cell>
          <cell r="T66">
            <v>0</v>
          </cell>
          <cell r="U66">
            <v>0</v>
          </cell>
          <cell r="V66">
            <v>0</v>
          </cell>
          <cell r="W66">
            <v>0</v>
          </cell>
          <cell r="X66">
            <v>0</v>
          </cell>
          <cell r="AL66">
            <v>0</v>
          </cell>
          <cell r="AM66">
            <v>0</v>
          </cell>
          <cell r="AP66">
            <v>0</v>
          </cell>
          <cell r="AQ66">
            <v>0</v>
          </cell>
          <cell r="AR66">
            <v>0</v>
          </cell>
          <cell r="AV66">
            <v>0</v>
          </cell>
          <cell r="AW66">
            <v>0</v>
          </cell>
          <cell r="AY66">
            <v>0</v>
          </cell>
          <cell r="AZ66">
            <v>0</v>
          </cell>
          <cell r="BA66">
            <v>0</v>
          </cell>
          <cell r="BC66">
            <v>0</v>
          </cell>
          <cell r="BD66">
            <v>0</v>
          </cell>
          <cell r="BG66">
            <v>0</v>
          </cell>
          <cell r="BI66" t="str">
            <v>Forecast</v>
          </cell>
        </row>
        <row r="67">
          <cell r="B67" t="str">
            <v>Feb 2015</v>
          </cell>
          <cell r="C67" t="str">
            <v>LQF</v>
          </cell>
          <cell r="D67" t="str">
            <v>LQF</v>
          </cell>
          <cell r="E67" t="str">
            <v>KUCME707</v>
          </cell>
          <cell r="F67">
            <v>0</v>
          </cell>
          <cell r="G67">
            <v>0</v>
          </cell>
          <cell r="H67">
            <v>0</v>
          </cell>
          <cell r="I67">
            <v>0</v>
          </cell>
          <cell r="J67">
            <v>0</v>
          </cell>
          <cell r="K67">
            <v>0</v>
          </cell>
          <cell r="L67">
            <v>0</v>
          </cell>
          <cell r="M67">
            <v>0</v>
          </cell>
          <cell r="N67">
            <v>0</v>
          </cell>
          <cell r="O67">
            <v>0</v>
          </cell>
          <cell r="S67">
            <v>0</v>
          </cell>
          <cell r="T67">
            <v>0</v>
          </cell>
          <cell r="U67">
            <v>0</v>
          </cell>
          <cell r="V67">
            <v>0</v>
          </cell>
          <cell r="W67">
            <v>0</v>
          </cell>
          <cell r="X67">
            <v>0</v>
          </cell>
          <cell r="AL67">
            <v>0</v>
          </cell>
          <cell r="AM67">
            <v>0</v>
          </cell>
          <cell r="AP67">
            <v>0</v>
          </cell>
          <cell r="AQ67">
            <v>0</v>
          </cell>
          <cell r="AR67">
            <v>0</v>
          </cell>
          <cell r="AV67">
            <v>0</v>
          </cell>
          <cell r="AW67">
            <v>0</v>
          </cell>
          <cell r="AY67">
            <v>0</v>
          </cell>
          <cell r="AZ67">
            <v>0</v>
          </cell>
          <cell r="BA67">
            <v>0</v>
          </cell>
          <cell r="BC67">
            <v>0</v>
          </cell>
          <cell r="BD67">
            <v>0</v>
          </cell>
          <cell r="BG67">
            <v>0</v>
          </cell>
          <cell r="BI67" t="str">
            <v>Forecast</v>
          </cell>
        </row>
        <row r="68">
          <cell r="B68" t="str">
            <v>Feb 2015</v>
          </cell>
          <cell r="C68" t="str">
            <v>GS</v>
          </cell>
          <cell r="D68" t="str">
            <v>GS</v>
          </cell>
          <cell r="E68" t="str">
            <v>KUCME710</v>
          </cell>
          <cell r="F68">
            <v>0</v>
          </cell>
          <cell r="G68">
            <v>0</v>
          </cell>
          <cell r="H68">
            <v>0</v>
          </cell>
          <cell r="I68">
            <v>0</v>
          </cell>
          <cell r="J68">
            <v>0</v>
          </cell>
          <cell r="K68">
            <v>0</v>
          </cell>
          <cell r="L68">
            <v>0</v>
          </cell>
          <cell r="M68">
            <v>0</v>
          </cell>
          <cell r="N68">
            <v>0</v>
          </cell>
          <cell r="O68">
            <v>0</v>
          </cell>
          <cell r="S68">
            <v>0</v>
          </cell>
          <cell r="T68">
            <v>0</v>
          </cell>
          <cell r="U68">
            <v>0</v>
          </cell>
          <cell r="V68">
            <v>0</v>
          </cell>
          <cell r="W68">
            <v>0</v>
          </cell>
          <cell r="X68">
            <v>0</v>
          </cell>
          <cell r="AL68">
            <v>0</v>
          </cell>
          <cell r="AM68">
            <v>0</v>
          </cell>
          <cell r="AP68">
            <v>0</v>
          </cell>
          <cell r="AQ68">
            <v>0</v>
          </cell>
          <cell r="AR68">
            <v>0</v>
          </cell>
          <cell r="AV68">
            <v>0</v>
          </cell>
          <cell r="AW68">
            <v>0</v>
          </cell>
          <cell r="AY68">
            <v>0</v>
          </cell>
          <cell r="AZ68">
            <v>0</v>
          </cell>
          <cell r="BA68">
            <v>0</v>
          </cell>
          <cell r="BC68">
            <v>0</v>
          </cell>
          <cell r="BD68">
            <v>0</v>
          </cell>
          <cell r="BG68">
            <v>0</v>
          </cell>
          <cell r="BI68" t="str">
            <v>Forecast</v>
          </cell>
        </row>
        <row r="69">
          <cell r="B69" t="str">
            <v>Feb 2015</v>
          </cell>
          <cell r="C69" t="str">
            <v>GS3</v>
          </cell>
          <cell r="D69" t="str">
            <v>GS3</v>
          </cell>
          <cell r="E69" t="str">
            <v>KUCME713</v>
          </cell>
          <cell r="F69">
            <v>0</v>
          </cell>
          <cell r="G69">
            <v>0</v>
          </cell>
          <cell r="H69">
            <v>0</v>
          </cell>
          <cell r="I69">
            <v>0</v>
          </cell>
          <cell r="J69">
            <v>0</v>
          </cell>
          <cell r="K69">
            <v>0</v>
          </cell>
          <cell r="L69">
            <v>0</v>
          </cell>
          <cell r="M69">
            <v>0</v>
          </cell>
          <cell r="N69">
            <v>0</v>
          </cell>
          <cell r="O69">
            <v>0</v>
          </cell>
          <cell r="S69">
            <v>0</v>
          </cell>
          <cell r="T69">
            <v>0</v>
          </cell>
          <cell r="U69">
            <v>0</v>
          </cell>
          <cell r="V69">
            <v>0</v>
          </cell>
          <cell r="W69">
            <v>0</v>
          </cell>
          <cell r="X69">
            <v>0</v>
          </cell>
          <cell r="AL69">
            <v>0</v>
          </cell>
          <cell r="AM69">
            <v>0</v>
          </cell>
          <cell r="AP69">
            <v>0</v>
          </cell>
          <cell r="AQ69">
            <v>0</v>
          </cell>
          <cell r="AR69">
            <v>0</v>
          </cell>
          <cell r="AV69">
            <v>0</v>
          </cell>
          <cell r="AW69">
            <v>0</v>
          </cell>
          <cell r="AY69">
            <v>0</v>
          </cell>
          <cell r="AZ69">
            <v>0</v>
          </cell>
          <cell r="BA69">
            <v>0</v>
          </cell>
          <cell r="BC69">
            <v>0</v>
          </cell>
          <cell r="BD69">
            <v>0</v>
          </cell>
          <cell r="BG69">
            <v>0</v>
          </cell>
          <cell r="BI69" t="str">
            <v>Forecast</v>
          </cell>
        </row>
        <row r="70">
          <cell r="B70" t="str">
            <v>Feb 2015</v>
          </cell>
          <cell r="C70" t="str">
            <v>CSR10</v>
          </cell>
          <cell r="D70" t="str">
            <v>CSR10</v>
          </cell>
          <cell r="E70" t="str">
            <v>KUCSR760</v>
          </cell>
          <cell r="F70">
            <v>0</v>
          </cell>
          <cell r="G70">
            <v>0</v>
          </cell>
          <cell r="H70">
            <v>0</v>
          </cell>
          <cell r="I70">
            <v>0</v>
          </cell>
          <cell r="J70">
            <v>0</v>
          </cell>
          <cell r="K70">
            <v>0</v>
          </cell>
          <cell r="L70">
            <v>0</v>
          </cell>
          <cell r="M70">
            <v>0</v>
          </cell>
          <cell r="N70">
            <v>0</v>
          </cell>
          <cell r="O70">
            <v>0</v>
          </cell>
          <cell r="S70">
            <v>0</v>
          </cell>
          <cell r="T70">
            <v>0</v>
          </cell>
          <cell r="U70">
            <v>0</v>
          </cell>
          <cell r="V70">
            <v>0</v>
          </cell>
          <cell r="W70">
            <v>0</v>
          </cell>
          <cell r="X70">
            <v>0</v>
          </cell>
          <cell r="AL70">
            <v>0</v>
          </cell>
          <cell r="AM70">
            <v>0</v>
          </cell>
          <cell r="AP70">
            <v>0</v>
          </cell>
          <cell r="AQ70">
            <v>0</v>
          </cell>
          <cell r="AR70">
            <v>0</v>
          </cell>
          <cell r="AV70">
            <v>0</v>
          </cell>
          <cell r="AW70">
            <v>0</v>
          </cell>
          <cell r="AY70">
            <v>0</v>
          </cell>
          <cell r="AZ70">
            <v>0</v>
          </cell>
          <cell r="BA70">
            <v>0</v>
          </cell>
          <cell r="BC70">
            <v>-989829</v>
          </cell>
          <cell r="BD70">
            <v>-989829</v>
          </cell>
          <cell r="BG70">
            <v>0</v>
          </cell>
          <cell r="BI70" t="str">
            <v>Forecast</v>
          </cell>
        </row>
        <row r="71">
          <cell r="B71" t="str">
            <v>Feb 2015</v>
          </cell>
          <cell r="C71" t="str">
            <v>CSR10</v>
          </cell>
          <cell r="D71" t="str">
            <v>CSR10</v>
          </cell>
          <cell r="E71" t="str">
            <v>KUCSR761</v>
          </cell>
          <cell r="F71">
            <v>0</v>
          </cell>
          <cell r="G71">
            <v>0</v>
          </cell>
          <cell r="H71">
            <v>0</v>
          </cell>
          <cell r="I71">
            <v>0</v>
          </cell>
          <cell r="J71">
            <v>0</v>
          </cell>
          <cell r="K71">
            <v>0</v>
          </cell>
          <cell r="L71">
            <v>0</v>
          </cell>
          <cell r="M71">
            <v>0</v>
          </cell>
          <cell r="N71">
            <v>0</v>
          </cell>
          <cell r="O71">
            <v>0</v>
          </cell>
          <cell r="S71">
            <v>0</v>
          </cell>
          <cell r="T71">
            <v>0</v>
          </cell>
          <cell r="U71">
            <v>0</v>
          </cell>
          <cell r="V71">
            <v>0</v>
          </cell>
          <cell r="W71">
            <v>0</v>
          </cell>
          <cell r="X71">
            <v>0</v>
          </cell>
          <cell r="AL71">
            <v>0</v>
          </cell>
          <cell r="AM71">
            <v>0</v>
          </cell>
          <cell r="AP71">
            <v>0</v>
          </cell>
          <cell r="AQ71">
            <v>0</v>
          </cell>
          <cell r="AR71">
            <v>0</v>
          </cell>
          <cell r="AV71">
            <v>0</v>
          </cell>
          <cell r="AW71">
            <v>0</v>
          </cell>
          <cell r="AY71">
            <v>0</v>
          </cell>
          <cell r="AZ71">
            <v>0</v>
          </cell>
          <cell r="BA71">
            <v>0</v>
          </cell>
          <cell r="BC71">
            <v>0</v>
          </cell>
          <cell r="BD71">
            <v>0</v>
          </cell>
          <cell r="BG71">
            <v>0</v>
          </cell>
          <cell r="BI71" t="str">
            <v>Forecast</v>
          </cell>
        </row>
        <row r="72">
          <cell r="B72" t="str">
            <v>Feb 2015</v>
          </cell>
          <cell r="C72" t="str">
            <v>CSR30</v>
          </cell>
          <cell r="D72" t="str">
            <v>CSR30</v>
          </cell>
          <cell r="E72" t="str">
            <v>KUCSR780</v>
          </cell>
          <cell r="F72">
            <v>0</v>
          </cell>
          <cell r="G72">
            <v>0</v>
          </cell>
          <cell r="H72">
            <v>0</v>
          </cell>
          <cell r="I72">
            <v>0</v>
          </cell>
          <cell r="J72">
            <v>0</v>
          </cell>
          <cell r="K72">
            <v>0</v>
          </cell>
          <cell r="L72">
            <v>0</v>
          </cell>
          <cell r="M72">
            <v>0</v>
          </cell>
          <cell r="N72">
            <v>0</v>
          </cell>
          <cell r="O72">
            <v>0</v>
          </cell>
          <cell r="S72">
            <v>0</v>
          </cell>
          <cell r="T72">
            <v>0</v>
          </cell>
          <cell r="U72">
            <v>0</v>
          </cell>
          <cell r="V72">
            <v>0</v>
          </cell>
          <cell r="W72">
            <v>0</v>
          </cell>
          <cell r="X72">
            <v>0</v>
          </cell>
          <cell r="AL72">
            <v>0</v>
          </cell>
          <cell r="AM72">
            <v>0</v>
          </cell>
          <cell r="AP72">
            <v>0</v>
          </cell>
          <cell r="AQ72">
            <v>0</v>
          </cell>
          <cell r="AR72">
            <v>0</v>
          </cell>
          <cell r="AV72">
            <v>0</v>
          </cell>
          <cell r="AW72">
            <v>0</v>
          </cell>
          <cell r="AY72">
            <v>0</v>
          </cell>
          <cell r="AZ72">
            <v>0</v>
          </cell>
          <cell r="BA72">
            <v>0</v>
          </cell>
          <cell r="BC72">
            <v>0</v>
          </cell>
          <cell r="BD72">
            <v>0</v>
          </cell>
          <cell r="BG72">
            <v>0</v>
          </cell>
          <cell r="BI72" t="str">
            <v>Forecast</v>
          </cell>
        </row>
        <row r="73">
          <cell r="B73" t="str">
            <v>Feb 2015</v>
          </cell>
          <cell r="C73" t="str">
            <v>CSR30</v>
          </cell>
          <cell r="D73" t="str">
            <v>CSR30</v>
          </cell>
          <cell r="E73" t="str">
            <v>KUCSR781</v>
          </cell>
          <cell r="F73">
            <v>0</v>
          </cell>
          <cell r="G73">
            <v>0</v>
          </cell>
          <cell r="H73">
            <v>0</v>
          </cell>
          <cell r="I73">
            <v>0</v>
          </cell>
          <cell r="J73">
            <v>0</v>
          </cell>
          <cell r="K73">
            <v>0</v>
          </cell>
          <cell r="L73">
            <v>0</v>
          </cell>
          <cell r="M73">
            <v>0</v>
          </cell>
          <cell r="N73">
            <v>0</v>
          </cell>
          <cell r="O73">
            <v>0</v>
          </cell>
          <cell r="S73">
            <v>0</v>
          </cell>
          <cell r="T73">
            <v>0</v>
          </cell>
          <cell r="U73">
            <v>0</v>
          </cell>
          <cell r="V73">
            <v>0</v>
          </cell>
          <cell r="W73">
            <v>0</v>
          </cell>
          <cell r="X73">
            <v>0</v>
          </cell>
          <cell r="AL73">
            <v>0</v>
          </cell>
          <cell r="AM73">
            <v>0</v>
          </cell>
          <cell r="AP73">
            <v>0</v>
          </cell>
          <cell r="AQ73">
            <v>0</v>
          </cell>
          <cell r="AR73">
            <v>0</v>
          </cell>
          <cell r="AV73">
            <v>0</v>
          </cell>
          <cell r="AW73">
            <v>0</v>
          </cell>
          <cell r="AY73">
            <v>0</v>
          </cell>
          <cell r="AZ73">
            <v>0</v>
          </cell>
          <cell r="BA73">
            <v>0</v>
          </cell>
          <cell r="BC73">
            <v>0</v>
          </cell>
          <cell r="BD73">
            <v>0</v>
          </cell>
          <cell r="BG73">
            <v>0</v>
          </cell>
          <cell r="BI73" t="str">
            <v>Forecast</v>
          </cell>
        </row>
        <row r="74">
          <cell r="B74" t="str">
            <v>Feb 2015</v>
          </cell>
          <cell r="C74" t="str">
            <v>CSR30</v>
          </cell>
          <cell r="D74" t="str">
            <v>CSR30</v>
          </cell>
          <cell r="E74" t="str">
            <v>KUCSR783</v>
          </cell>
          <cell r="F74">
            <v>0</v>
          </cell>
          <cell r="G74">
            <v>0</v>
          </cell>
          <cell r="H74">
            <v>0</v>
          </cell>
          <cell r="I74">
            <v>0</v>
          </cell>
          <cell r="J74">
            <v>0</v>
          </cell>
          <cell r="K74">
            <v>0</v>
          </cell>
          <cell r="L74">
            <v>0</v>
          </cell>
          <cell r="M74">
            <v>0</v>
          </cell>
          <cell r="N74">
            <v>0</v>
          </cell>
          <cell r="O74">
            <v>0</v>
          </cell>
          <cell r="S74">
            <v>0</v>
          </cell>
          <cell r="T74">
            <v>0</v>
          </cell>
          <cell r="U74">
            <v>0</v>
          </cell>
          <cell r="V74">
            <v>0</v>
          </cell>
          <cell r="W74">
            <v>0</v>
          </cell>
          <cell r="X74">
            <v>0</v>
          </cell>
          <cell r="AL74">
            <v>0</v>
          </cell>
          <cell r="AM74">
            <v>0</v>
          </cell>
          <cell r="AP74">
            <v>0</v>
          </cell>
          <cell r="AQ74">
            <v>0</v>
          </cell>
          <cell r="AR74">
            <v>0</v>
          </cell>
          <cell r="AV74">
            <v>0</v>
          </cell>
          <cell r="AW74">
            <v>0</v>
          </cell>
          <cell r="AY74">
            <v>0</v>
          </cell>
          <cell r="AZ74">
            <v>0</v>
          </cell>
          <cell r="BA74">
            <v>0</v>
          </cell>
          <cell r="BC74">
            <v>0</v>
          </cell>
          <cell r="BD74">
            <v>0</v>
          </cell>
          <cell r="BG74">
            <v>0</v>
          </cell>
          <cell r="BI74" t="str">
            <v>Forecast</v>
          </cell>
        </row>
        <row r="75">
          <cell r="B75" t="str">
            <v>Feb 2015</v>
          </cell>
          <cell r="C75" t="str">
            <v>FLS</v>
          </cell>
          <cell r="D75" t="str">
            <v>FLST</v>
          </cell>
          <cell r="E75" t="str">
            <v>KUINE730</v>
          </cell>
          <cell r="F75">
            <v>1</v>
          </cell>
          <cell r="G75">
            <v>0</v>
          </cell>
          <cell r="H75">
            <v>0</v>
          </cell>
          <cell r="I75">
            <v>0</v>
          </cell>
          <cell r="J75">
            <v>0</v>
          </cell>
          <cell r="K75">
            <v>46508169</v>
          </cell>
          <cell r="L75">
            <v>0</v>
          </cell>
          <cell r="M75">
            <v>185157.6</v>
          </cell>
          <cell r="N75">
            <v>185157.6</v>
          </cell>
          <cell r="O75">
            <v>101387.6</v>
          </cell>
          <cell r="S75">
            <v>0</v>
          </cell>
          <cell r="T75">
            <v>0</v>
          </cell>
          <cell r="U75">
            <v>0</v>
          </cell>
          <cell r="V75">
            <v>0</v>
          </cell>
          <cell r="W75">
            <v>0</v>
          </cell>
          <cell r="X75">
            <v>0</v>
          </cell>
          <cell r="AL75">
            <v>0</v>
          </cell>
          <cell r="AM75">
            <v>0</v>
          </cell>
          <cell r="AP75">
            <v>0</v>
          </cell>
          <cell r="AQ75">
            <v>0</v>
          </cell>
          <cell r="AR75">
            <v>0</v>
          </cell>
          <cell r="AV75">
            <v>2237580.54</v>
          </cell>
          <cell r="AW75">
            <v>2237580</v>
          </cell>
          <cell r="AY75">
            <v>86457</v>
          </cell>
          <cell r="AZ75">
            <v>0</v>
          </cell>
          <cell r="BA75">
            <v>166670</v>
          </cell>
          <cell r="BC75">
            <v>0</v>
          </cell>
          <cell r="BD75">
            <v>2490707</v>
          </cell>
          <cell r="BG75">
            <v>1345016.25</v>
          </cell>
          <cell r="BI75" t="str">
            <v>Forecast</v>
          </cell>
        </row>
        <row r="76">
          <cell r="B76" t="str">
            <v>Feb 2015</v>
          </cell>
          <cell r="C76" t="str">
            <v>RS</v>
          </cell>
          <cell r="D76" t="str">
            <v>RS</v>
          </cell>
          <cell r="E76" t="str">
            <v>KURSE010</v>
          </cell>
          <cell r="F76">
            <v>428357</v>
          </cell>
          <cell r="G76">
            <v>0</v>
          </cell>
          <cell r="H76">
            <v>0</v>
          </cell>
          <cell r="I76">
            <v>0</v>
          </cell>
          <cell r="J76">
            <v>0</v>
          </cell>
          <cell r="K76">
            <v>671792006</v>
          </cell>
          <cell r="L76">
            <v>0</v>
          </cell>
          <cell r="M76">
            <v>0</v>
          </cell>
          <cell r="N76">
            <v>0</v>
          </cell>
          <cell r="O76">
            <v>0</v>
          </cell>
          <cell r="S76">
            <v>0</v>
          </cell>
          <cell r="T76">
            <v>0</v>
          </cell>
          <cell r="U76">
            <v>0</v>
          </cell>
          <cell r="V76">
            <v>0</v>
          </cell>
          <cell r="W76">
            <v>0</v>
          </cell>
          <cell r="X76">
            <v>0</v>
          </cell>
          <cell r="AL76">
            <v>0</v>
          </cell>
          <cell r="AM76">
            <v>0</v>
          </cell>
          <cell r="AP76">
            <v>0</v>
          </cell>
          <cell r="AQ76">
            <v>0</v>
          </cell>
          <cell r="AR76">
            <v>0</v>
          </cell>
          <cell r="AV76">
            <v>56628410.689999998</v>
          </cell>
          <cell r="AW76">
            <v>56628415</v>
          </cell>
          <cell r="AY76">
            <v>1248831</v>
          </cell>
          <cell r="AZ76">
            <v>765157</v>
          </cell>
          <cell r="BA76">
            <v>2407476</v>
          </cell>
          <cell r="BC76">
            <v>0</v>
          </cell>
          <cell r="BD76">
            <v>61049879</v>
          </cell>
          <cell r="BG76">
            <v>19428224.809999999</v>
          </cell>
          <cell r="BI76" t="str">
            <v>Forecast</v>
          </cell>
        </row>
        <row r="77">
          <cell r="B77" t="str">
            <v>Feb 2015</v>
          </cell>
          <cell r="C77" t="str">
            <v>RS</v>
          </cell>
          <cell r="D77" t="str">
            <v>RS</v>
          </cell>
          <cell r="E77" t="str">
            <v>KURSE020</v>
          </cell>
          <cell r="F77">
            <v>0</v>
          </cell>
          <cell r="G77">
            <v>0</v>
          </cell>
          <cell r="H77">
            <v>0</v>
          </cell>
          <cell r="I77">
            <v>0</v>
          </cell>
          <cell r="J77">
            <v>0</v>
          </cell>
          <cell r="K77">
            <v>0</v>
          </cell>
          <cell r="L77">
            <v>0</v>
          </cell>
          <cell r="M77">
            <v>0</v>
          </cell>
          <cell r="N77">
            <v>0</v>
          </cell>
          <cell r="O77">
            <v>0</v>
          </cell>
          <cell r="S77">
            <v>0</v>
          </cell>
          <cell r="T77">
            <v>0</v>
          </cell>
          <cell r="U77">
            <v>0</v>
          </cell>
          <cell r="V77">
            <v>0</v>
          </cell>
          <cell r="W77">
            <v>0</v>
          </cell>
          <cell r="X77">
            <v>0</v>
          </cell>
          <cell r="AL77">
            <v>0</v>
          </cell>
          <cell r="AM77">
            <v>0</v>
          </cell>
          <cell r="AP77">
            <v>0</v>
          </cell>
          <cell r="AQ77">
            <v>0</v>
          </cell>
          <cell r="AR77">
            <v>0</v>
          </cell>
          <cell r="AV77">
            <v>0</v>
          </cell>
          <cell r="AW77">
            <v>0</v>
          </cell>
          <cell r="AY77">
            <v>0</v>
          </cell>
          <cell r="AZ77">
            <v>0</v>
          </cell>
          <cell r="BA77">
            <v>0</v>
          </cell>
          <cell r="BC77">
            <v>0</v>
          </cell>
          <cell r="BD77">
            <v>0</v>
          </cell>
          <cell r="BG77">
            <v>0</v>
          </cell>
          <cell r="BI77" t="str">
            <v>Forecast</v>
          </cell>
        </row>
        <row r="78">
          <cell r="B78" t="str">
            <v>Feb 2015</v>
          </cell>
          <cell r="C78" t="str">
            <v>RS</v>
          </cell>
          <cell r="D78" t="str">
            <v>RS</v>
          </cell>
          <cell r="E78" t="str">
            <v>KURSE025</v>
          </cell>
          <cell r="F78">
            <v>0</v>
          </cell>
          <cell r="G78">
            <v>0</v>
          </cell>
          <cell r="H78">
            <v>0</v>
          </cell>
          <cell r="I78">
            <v>0</v>
          </cell>
          <cell r="J78">
            <v>0</v>
          </cell>
          <cell r="K78">
            <v>0</v>
          </cell>
          <cell r="L78">
            <v>0</v>
          </cell>
          <cell r="M78">
            <v>0</v>
          </cell>
          <cell r="N78">
            <v>0</v>
          </cell>
          <cell r="O78">
            <v>0</v>
          </cell>
          <cell r="S78">
            <v>0</v>
          </cell>
          <cell r="T78">
            <v>0</v>
          </cell>
          <cell r="U78">
            <v>0</v>
          </cell>
          <cell r="V78">
            <v>0</v>
          </cell>
          <cell r="W78">
            <v>0</v>
          </cell>
          <cell r="X78">
            <v>0</v>
          </cell>
          <cell r="AL78">
            <v>0</v>
          </cell>
          <cell r="AM78">
            <v>0</v>
          </cell>
          <cell r="AP78">
            <v>0</v>
          </cell>
          <cell r="AQ78">
            <v>0</v>
          </cell>
          <cell r="AR78">
            <v>0</v>
          </cell>
          <cell r="AV78">
            <v>0</v>
          </cell>
          <cell r="AW78">
            <v>0</v>
          </cell>
          <cell r="AY78">
            <v>0</v>
          </cell>
          <cell r="AZ78">
            <v>0</v>
          </cell>
          <cell r="BA78">
            <v>0</v>
          </cell>
          <cell r="BC78">
            <v>0</v>
          </cell>
          <cell r="BD78">
            <v>0</v>
          </cell>
          <cell r="BG78">
            <v>0</v>
          </cell>
          <cell r="BI78" t="str">
            <v>Forecast</v>
          </cell>
        </row>
        <row r="79">
          <cell r="B79" t="str">
            <v>Feb 2015</v>
          </cell>
          <cell r="C79" t="str">
            <v>LEV</v>
          </cell>
          <cell r="D79" t="str">
            <v>RSLEV</v>
          </cell>
          <cell r="E79" t="str">
            <v>KURSE040</v>
          </cell>
          <cell r="F79">
            <v>0</v>
          </cell>
          <cell r="G79">
            <v>0</v>
          </cell>
          <cell r="H79">
            <v>0</v>
          </cell>
          <cell r="I79">
            <v>0</v>
          </cell>
          <cell r="J79">
            <v>0</v>
          </cell>
          <cell r="K79">
            <v>0</v>
          </cell>
          <cell r="L79">
            <v>0</v>
          </cell>
          <cell r="M79">
            <v>0</v>
          </cell>
          <cell r="N79">
            <v>0</v>
          </cell>
          <cell r="O79">
            <v>0</v>
          </cell>
          <cell r="S79">
            <v>0</v>
          </cell>
          <cell r="T79">
            <v>0</v>
          </cell>
          <cell r="U79">
            <v>0</v>
          </cell>
          <cell r="V79">
            <v>0</v>
          </cell>
          <cell r="W79">
            <v>0</v>
          </cell>
          <cell r="X79">
            <v>0</v>
          </cell>
          <cell r="AL79">
            <v>0</v>
          </cell>
          <cell r="AM79">
            <v>0</v>
          </cell>
          <cell r="AP79">
            <v>0</v>
          </cell>
          <cell r="AQ79">
            <v>0</v>
          </cell>
          <cell r="AR79">
            <v>0</v>
          </cell>
          <cell r="AV79">
            <v>0</v>
          </cell>
          <cell r="AW79">
            <v>0</v>
          </cell>
          <cell r="AY79">
            <v>0</v>
          </cell>
          <cell r="AZ79">
            <v>0</v>
          </cell>
          <cell r="BA79">
            <v>0</v>
          </cell>
          <cell r="BC79">
            <v>0</v>
          </cell>
          <cell r="BD79">
            <v>0</v>
          </cell>
          <cell r="BG79">
            <v>0</v>
          </cell>
          <cell r="BI79" t="str">
            <v>Forecast</v>
          </cell>
        </row>
        <row r="80">
          <cell r="B80" t="str">
            <v>Feb 2015</v>
          </cell>
          <cell r="C80" t="str">
            <v>RS</v>
          </cell>
          <cell r="D80" t="str">
            <v>RSVFD</v>
          </cell>
          <cell r="E80" t="str">
            <v>KURSE080</v>
          </cell>
          <cell r="F80">
            <v>0</v>
          </cell>
          <cell r="G80">
            <v>0</v>
          </cell>
          <cell r="H80">
            <v>0</v>
          </cell>
          <cell r="I80">
            <v>0</v>
          </cell>
          <cell r="J80">
            <v>0</v>
          </cell>
          <cell r="K80">
            <v>0</v>
          </cell>
          <cell r="L80">
            <v>0</v>
          </cell>
          <cell r="M80">
            <v>0</v>
          </cell>
          <cell r="N80">
            <v>0</v>
          </cell>
          <cell r="O80">
            <v>0</v>
          </cell>
          <cell r="S80">
            <v>0</v>
          </cell>
          <cell r="T80">
            <v>0</v>
          </cell>
          <cell r="U80">
            <v>0</v>
          </cell>
          <cell r="V80">
            <v>0</v>
          </cell>
          <cell r="W80">
            <v>0</v>
          </cell>
          <cell r="X80">
            <v>0</v>
          </cell>
          <cell r="AL80">
            <v>0</v>
          </cell>
          <cell r="AM80">
            <v>0</v>
          </cell>
          <cell r="AP80">
            <v>0</v>
          </cell>
          <cell r="AQ80">
            <v>0</v>
          </cell>
          <cell r="AR80">
            <v>0</v>
          </cell>
          <cell r="AV80">
            <v>0</v>
          </cell>
          <cell r="AW80">
            <v>0</v>
          </cell>
          <cell r="AY80">
            <v>0</v>
          </cell>
          <cell r="AZ80">
            <v>0</v>
          </cell>
          <cell r="BA80">
            <v>0</v>
          </cell>
          <cell r="BC80">
            <v>0</v>
          </cell>
          <cell r="BD80">
            <v>0</v>
          </cell>
          <cell r="BG80">
            <v>0</v>
          </cell>
          <cell r="BI80" t="str">
            <v>Forecast</v>
          </cell>
        </row>
        <row r="81">
          <cell r="B81" t="str">
            <v>Feb 2015</v>
          </cell>
          <cell r="C81" t="str">
            <v>RS</v>
          </cell>
          <cell r="D81" t="str">
            <v>RS</v>
          </cell>
          <cell r="E81" t="str">
            <v>KURSE715</v>
          </cell>
          <cell r="F81">
            <v>0</v>
          </cell>
          <cell r="G81">
            <v>0</v>
          </cell>
          <cell r="H81">
            <v>0</v>
          </cell>
          <cell r="I81">
            <v>0</v>
          </cell>
          <cell r="J81">
            <v>0</v>
          </cell>
          <cell r="K81">
            <v>0</v>
          </cell>
          <cell r="L81">
            <v>0</v>
          </cell>
          <cell r="M81">
            <v>0</v>
          </cell>
          <cell r="N81">
            <v>0</v>
          </cell>
          <cell r="O81">
            <v>0</v>
          </cell>
          <cell r="S81">
            <v>0</v>
          </cell>
          <cell r="T81">
            <v>0</v>
          </cell>
          <cell r="U81">
            <v>0</v>
          </cell>
          <cell r="V81">
            <v>0</v>
          </cell>
          <cell r="W81">
            <v>0</v>
          </cell>
          <cell r="X81">
            <v>0</v>
          </cell>
          <cell r="AL81">
            <v>0</v>
          </cell>
          <cell r="AM81">
            <v>0</v>
          </cell>
          <cell r="AP81">
            <v>0</v>
          </cell>
          <cell r="AQ81">
            <v>0</v>
          </cell>
          <cell r="AR81">
            <v>0</v>
          </cell>
          <cell r="AV81">
            <v>0</v>
          </cell>
          <cell r="AW81">
            <v>0</v>
          </cell>
          <cell r="AY81">
            <v>0</v>
          </cell>
          <cell r="AZ81">
            <v>0</v>
          </cell>
          <cell r="BA81">
            <v>0</v>
          </cell>
          <cell r="BC81">
            <v>0</v>
          </cell>
          <cell r="BD81">
            <v>0</v>
          </cell>
          <cell r="BG81">
            <v>0</v>
          </cell>
          <cell r="BI81" t="str">
            <v>Forecast</v>
          </cell>
        </row>
        <row r="82">
          <cell r="B82" t="str">
            <v>Mar 2014</v>
          </cell>
          <cell r="C82" t="str">
            <v>RTS</v>
          </cell>
          <cell r="D82" t="str">
            <v>RTS</v>
          </cell>
          <cell r="E82" t="str">
            <v>KUCIE550</v>
          </cell>
          <cell r="F82">
            <v>32</v>
          </cell>
          <cell r="G82">
            <v>0</v>
          </cell>
          <cell r="H82">
            <v>0</v>
          </cell>
          <cell r="I82">
            <v>0</v>
          </cell>
          <cell r="J82">
            <v>0</v>
          </cell>
          <cell r="K82">
            <v>142624745</v>
          </cell>
          <cell r="L82">
            <v>0</v>
          </cell>
          <cell r="M82">
            <v>303871.2</v>
          </cell>
          <cell r="N82">
            <v>296546.59999999998</v>
          </cell>
          <cell r="O82">
            <v>291507.8</v>
          </cell>
          <cell r="S82">
            <v>5726.5</v>
          </cell>
          <cell r="T82">
            <v>1327.8</v>
          </cell>
          <cell r="U82">
            <v>900.6</v>
          </cell>
          <cell r="V82">
            <v>0</v>
          </cell>
          <cell r="W82">
            <v>0</v>
          </cell>
          <cell r="X82">
            <v>0</v>
          </cell>
          <cell r="AL82">
            <v>0</v>
          </cell>
          <cell r="AM82">
            <v>0</v>
          </cell>
          <cell r="AP82">
            <v>0</v>
          </cell>
          <cell r="AQ82">
            <v>0.01</v>
          </cell>
          <cell r="AR82">
            <v>334.99</v>
          </cell>
          <cell r="AV82">
            <v>7637940.0300000003</v>
          </cell>
          <cell r="AW82">
            <v>7637940.0300000003</v>
          </cell>
          <cell r="AY82">
            <v>444989.2</v>
          </cell>
          <cell r="AZ82">
            <v>0</v>
          </cell>
          <cell r="BA82">
            <v>97392.71</v>
          </cell>
          <cell r="BC82">
            <v>0</v>
          </cell>
          <cell r="BD82">
            <v>8180321.9400000004</v>
          </cell>
          <cell r="BG82">
            <v>4124707.63</v>
          </cell>
          <cell r="BI82" t="str">
            <v>Actual</v>
          </cell>
        </row>
        <row r="83">
          <cell r="B83" t="str">
            <v>Mar 2014</v>
          </cell>
          <cell r="C83" t="str">
            <v>PSP</v>
          </cell>
          <cell r="D83" t="str">
            <v>PSP</v>
          </cell>
          <cell r="E83" t="str">
            <v>KUCIE561</v>
          </cell>
          <cell r="F83">
            <v>170</v>
          </cell>
          <cell r="G83">
            <v>-9</v>
          </cell>
          <cell r="H83">
            <v>0</v>
          </cell>
          <cell r="I83">
            <v>0</v>
          </cell>
          <cell r="J83">
            <v>0</v>
          </cell>
          <cell r="K83">
            <v>4760587</v>
          </cell>
          <cell r="L83">
            <v>0</v>
          </cell>
          <cell r="M83">
            <v>0</v>
          </cell>
          <cell r="N83">
            <v>13100.7</v>
          </cell>
          <cell r="O83">
            <v>0</v>
          </cell>
          <cell r="S83">
            <v>0</v>
          </cell>
          <cell r="T83">
            <v>2980.8</v>
          </cell>
          <cell r="U83">
            <v>0</v>
          </cell>
          <cell r="V83">
            <v>0</v>
          </cell>
          <cell r="W83">
            <v>0</v>
          </cell>
          <cell r="X83">
            <v>0</v>
          </cell>
          <cell r="AL83">
            <v>0</v>
          </cell>
          <cell r="AM83">
            <v>0</v>
          </cell>
          <cell r="AP83">
            <v>-1808.88</v>
          </cell>
          <cell r="AQ83">
            <v>9.3699999999999992</v>
          </cell>
          <cell r="AR83">
            <v>-747.95</v>
          </cell>
          <cell r="AV83">
            <v>406348.81999999995</v>
          </cell>
          <cell r="AW83">
            <v>406348.82</v>
          </cell>
          <cell r="AY83">
            <v>14638.05</v>
          </cell>
          <cell r="AZ83">
            <v>2698.4</v>
          </cell>
          <cell r="BA83">
            <v>7915.5</v>
          </cell>
          <cell r="BC83">
            <v>0</v>
          </cell>
          <cell r="BD83">
            <v>431600.77</v>
          </cell>
          <cell r="BG83">
            <v>137676.18</v>
          </cell>
          <cell r="BI83" t="str">
            <v>Actual</v>
          </cell>
        </row>
        <row r="84">
          <cell r="B84" t="str">
            <v>Mar 2014</v>
          </cell>
          <cell r="C84" t="str">
            <v>PSS</v>
          </cell>
          <cell r="D84" t="str">
            <v>PSS</v>
          </cell>
          <cell r="E84" t="str">
            <v>KUCIE562</v>
          </cell>
          <cell r="F84">
            <v>4885</v>
          </cell>
          <cell r="G84">
            <v>0</v>
          </cell>
          <cell r="H84">
            <v>0</v>
          </cell>
          <cell r="I84">
            <v>0</v>
          </cell>
          <cell r="J84">
            <v>0</v>
          </cell>
          <cell r="K84">
            <v>140054129</v>
          </cell>
          <cell r="L84">
            <v>0</v>
          </cell>
          <cell r="M84">
            <v>0</v>
          </cell>
          <cell r="N84">
            <v>389933.2</v>
          </cell>
          <cell r="O84">
            <v>0</v>
          </cell>
          <cell r="S84">
            <v>0</v>
          </cell>
          <cell r="T84">
            <v>57907.48</v>
          </cell>
          <cell r="U84">
            <v>0</v>
          </cell>
          <cell r="V84">
            <v>0</v>
          </cell>
          <cell r="W84">
            <v>0</v>
          </cell>
          <cell r="X84">
            <v>0</v>
          </cell>
          <cell r="AL84">
            <v>0</v>
          </cell>
          <cell r="AM84">
            <v>0</v>
          </cell>
          <cell r="AP84">
            <v>838.91</v>
          </cell>
          <cell r="AQ84">
            <v>-0.16</v>
          </cell>
          <cell r="AR84">
            <v>-24971.77</v>
          </cell>
          <cell r="AV84">
            <v>11318543.120000001</v>
          </cell>
          <cell r="AW84">
            <v>11318543.119999999</v>
          </cell>
          <cell r="AY84">
            <v>393260.33</v>
          </cell>
          <cell r="AZ84">
            <v>89204.479999999996</v>
          </cell>
          <cell r="BA84">
            <v>239440.75</v>
          </cell>
          <cell r="BC84">
            <v>0</v>
          </cell>
          <cell r="BD84">
            <v>12040448.68</v>
          </cell>
          <cell r="BG84">
            <v>4050365.41</v>
          </cell>
          <cell r="BI84" t="str">
            <v>Actual</v>
          </cell>
        </row>
        <row r="85">
          <cell r="B85" t="str">
            <v>Mar 2014</v>
          </cell>
          <cell r="C85" t="str">
            <v>TODP</v>
          </cell>
          <cell r="D85" t="str">
            <v>TODP</v>
          </cell>
          <cell r="E85" t="str">
            <v>KUCIE563</v>
          </cell>
          <cell r="F85">
            <v>53</v>
          </cell>
          <cell r="G85">
            <v>0</v>
          </cell>
          <cell r="H85">
            <v>0</v>
          </cell>
          <cell r="I85">
            <v>0</v>
          </cell>
          <cell r="J85">
            <v>0</v>
          </cell>
          <cell r="K85">
            <v>232867680</v>
          </cell>
          <cell r="L85">
            <v>0</v>
          </cell>
          <cell r="M85">
            <v>459849.1</v>
          </cell>
          <cell r="N85">
            <v>458914.6</v>
          </cell>
          <cell r="O85">
            <v>452114.7</v>
          </cell>
          <cell r="S85">
            <v>4977.7</v>
          </cell>
          <cell r="T85">
            <v>0</v>
          </cell>
          <cell r="U85">
            <v>0</v>
          </cell>
          <cell r="V85">
            <v>0</v>
          </cell>
          <cell r="W85">
            <v>0</v>
          </cell>
          <cell r="X85">
            <v>0</v>
          </cell>
          <cell r="AL85">
            <v>0</v>
          </cell>
          <cell r="AM85">
            <v>0</v>
          </cell>
          <cell r="AP85">
            <v>0.01</v>
          </cell>
          <cell r="AQ85">
            <v>0.01</v>
          </cell>
          <cell r="AR85">
            <v>86314.720000000205</v>
          </cell>
          <cell r="AV85">
            <v>12857149.640000001</v>
          </cell>
          <cell r="AW85">
            <v>12857149.639999999</v>
          </cell>
          <cell r="AY85">
            <v>427727.97</v>
          </cell>
          <cell r="AZ85">
            <v>26139.65</v>
          </cell>
          <cell r="BA85">
            <v>294421.93</v>
          </cell>
          <cell r="BC85">
            <v>0</v>
          </cell>
          <cell r="BD85">
            <v>13605439.189999999</v>
          </cell>
          <cell r="BG85">
            <v>6734533.3099999996</v>
          </cell>
          <cell r="BI85" t="str">
            <v>Actual</v>
          </cell>
        </row>
        <row r="86">
          <cell r="B86" t="str">
            <v>Mar 2014</v>
          </cell>
          <cell r="C86" t="str">
            <v>PSP</v>
          </cell>
          <cell r="D86" t="str">
            <v>PSP</v>
          </cell>
          <cell r="E86" t="str">
            <v>KUCIE566</v>
          </cell>
          <cell r="F86">
            <v>77</v>
          </cell>
          <cell r="G86">
            <v>0</v>
          </cell>
          <cell r="H86">
            <v>0</v>
          </cell>
          <cell r="I86">
            <v>0</v>
          </cell>
          <cell r="J86">
            <v>0</v>
          </cell>
          <cell r="K86">
            <v>23388127</v>
          </cell>
          <cell r="L86">
            <v>0</v>
          </cell>
          <cell r="M86">
            <v>0</v>
          </cell>
          <cell r="N86">
            <v>53699.199999999997</v>
          </cell>
          <cell r="O86">
            <v>0</v>
          </cell>
          <cell r="S86">
            <v>0</v>
          </cell>
          <cell r="T86">
            <v>2586.8000000000002</v>
          </cell>
          <cell r="U86">
            <v>0</v>
          </cell>
          <cell r="V86">
            <v>0</v>
          </cell>
          <cell r="W86">
            <v>0</v>
          </cell>
          <cell r="X86">
            <v>0</v>
          </cell>
          <cell r="AL86">
            <v>812.5</v>
          </cell>
          <cell r="AM86">
            <v>5146.16</v>
          </cell>
          <cell r="AP86">
            <v>170.02</v>
          </cell>
          <cell r="AQ86">
            <v>-0.04</v>
          </cell>
          <cell r="AR86">
            <v>710.8</v>
          </cell>
          <cell r="AV86">
            <v>1594864</v>
          </cell>
          <cell r="AW86">
            <v>1594864</v>
          </cell>
          <cell r="AY86">
            <v>55958.06</v>
          </cell>
          <cell r="AZ86">
            <v>8161.97</v>
          </cell>
          <cell r="BA86">
            <v>34933.839999999997</v>
          </cell>
          <cell r="BC86">
            <v>0</v>
          </cell>
          <cell r="BD86">
            <v>1693917.87</v>
          </cell>
          <cell r="BG86">
            <v>676384.63</v>
          </cell>
          <cell r="BI86" t="str">
            <v>Actual</v>
          </cell>
        </row>
        <row r="87">
          <cell r="B87" t="str">
            <v>Mar 2014</v>
          </cell>
          <cell r="C87" t="str">
            <v>PSS</v>
          </cell>
          <cell r="D87" t="str">
            <v>PSS</v>
          </cell>
          <cell r="E87" t="str">
            <v>KUCIE568</v>
          </cell>
          <cell r="F87">
            <v>404</v>
          </cell>
          <cell r="G87">
            <v>0</v>
          </cell>
          <cell r="H87">
            <v>0</v>
          </cell>
          <cell r="I87">
            <v>0</v>
          </cell>
          <cell r="J87">
            <v>0</v>
          </cell>
          <cell r="K87">
            <v>61291912</v>
          </cell>
          <cell r="L87">
            <v>0</v>
          </cell>
          <cell r="M87">
            <v>0</v>
          </cell>
          <cell r="N87">
            <v>149464.79999999999</v>
          </cell>
          <cell r="O87">
            <v>0</v>
          </cell>
          <cell r="S87">
            <v>0</v>
          </cell>
          <cell r="T87">
            <v>7773.07</v>
          </cell>
          <cell r="U87">
            <v>0</v>
          </cell>
          <cell r="V87">
            <v>0</v>
          </cell>
          <cell r="W87">
            <v>0</v>
          </cell>
          <cell r="X87">
            <v>0</v>
          </cell>
          <cell r="AL87">
            <v>335.25</v>
          </cell>
          <cell r="AM87">
            <v>11521.49</v>
          </cell>
          <cell r="AP87">
            <v>69.63</v>
          </cell>
          <cell r="AQ87">
            <v>-0.01</v>
          </cell>
          <cell r="AR87">
            <v>-3724.54</v>
          </cell>
          <cell r="AV87">
            <v>4304545.4400000004</v>
          </cell>
          <cell r="AW87">
            <v>4304545.4399999995</v>
          </cell>
          <cell r="AY87">
            <v>174792.26</v>
          </cell>
          <cell r="AZ87">
            <v>25379.53</v>
          </cell>
          <cell r="BA87">
            <v>79720.039999999994</v>
          </cell>
          <cell r="BC87">
            <v>0</v>
          </cell>
          <cell r="BD87">
            <v>4584437.2699999996</v>
          </cell>
          <cell r="BG87">
            <v>1772562.1</v>
          </cell>
          <cell r="BI87" t="str">
            <v>Actual</v>
          </cell>
        </row>
        <row r="88">
          <cell r="B88" t="str">
            <v>Mar 2014</v>
          </cell>
          <cell r="C88" t="str">
            <v>TODP</v>
          </cell>
          <cell r="D88" t="str">
            <v>TODP</v>
          </cell>
          <cell r="E88" t="str">
            <v>KUCIE571</v>
          </cell>
          <cell r="F88">
            <v>155</v>
          </cell>
          <cell r="G88">
            <v>0</v>
          </cell>
          <cell r="H88">
            <v>0</v>
          </cell>
          <cell r="I88">
            <v>0</v>
          </cell>
          <cell r="J88">
            <v>0</v>
          </cell>
          <cell r="K88">
            <v>101888912</v>
          </cell>
          <cell r="L88">
            <v>0</v>
          </cell>
          <cell r="M88">
            <v>248542.1</v>
          </cell>
          <cell r="N88">
            <v>245818.7</v>
          </cell>
          <cell r="O88">
            <v>241368.2</v>
          </cell>
          <cell r="S88">
            <v>12228.8</v>
          </cell>
          <cell r="T88">
            <v>2256.1</v>
          </cell>
          <cell r="U88">
            <v>2282.5</v>
          </cell>
          <cell r="V88">
            <v>0</v>
          </cell>
          <cell r="W88">
            <v>0</v>
          </cell>
          <cell r="X88">
            <v>0</v>
          </cell>
          <cell r="AL88">
            <v>13657.63</v>
          </cell>
          <cell r="AM88">
            <v>0</v>
          </cell>
          <cell r="AP88">
            <v>600.04</v>
          </cell>
          <cell r="AQ88">
            <v>0.04</v>
          </cell>
          <cell r="AR88">
            <v>72.790000000000006</v>
          </cell>
          <cell r="AV88">
            <v>6065504.7000000011</v>
          </cell>
          <cell r="AW88">
            <v>6065504.7000000002</v>
          </cell>
          <cell r="AY88">
            <v>282905</v>
          </cell>
          <cell r="AZ88">
            <v>18170.41</v>
          </cell>
          <cell r="BA88">
            <v>104639.05</v>
          </cell>
          <cell r="BC88">
            <v>0</v>
          </cell>
          <cell r="BD88">
            <v>6471219.1600000001</v>
          </cell>
          <cell r="BG88">
            <v>2946627.34</v>
          </cell>
          <cell r="BI88" t="str">
            <v>Actual</v>
          </cell>
        </row>
        <row r="89">
          <cell r="B89" t="str">
            <v>Mar 2014</v>
          </cell>
          <cell r="C89" t="str">
            <v>TODS</v>
          </cell>
          <cell r="D89" t="str">
            <v>TODS</v>
          </cell>
          <cell r="E89" t="str">
            <v>KUCIE572</v>
          </cell>
          <cell r="F89">
            <v>405</v>
          </cell>
          <cell r="G89">
            <v>0</v>
          </cell>
          <cell r="H89">
            <v>0</v>
          </cell>
          <cell r="I89">
            <v>0</v>
          </cell>
          <cell r="J89">
            <v>0</v>
          </cell>
          <cell r="K89">
            <v>95043163</v>
          </cell>
          <cell r="L89">
            <v>0</v>
          </cell>
          <cell r="M89">
            <v>212393.2</v>
          </cell>
          <cell r="N89">
            <v>211134</v>
          </cell>
          <cell r="O89">
            <v>206507.6</v>
          </cell>
          <cell r="S89">
            <v>24477</v>
          </cell>
          <cell r="T89">
            <v>1600.75</v>
          </cell>
          <cell r="U89">
            <v>1805.35</v>
          </cell>
          <cell r="V89">
            <v>0</v>
          </cell>
          <cell r="W89">
            <v>0</v>
          </cell>
          <cell r="X89">
            <v>0</v>
          </cell>
          <cell r="AL89">
            <v>7907.43</v>
          </cell>
          <cell r="AM89">
            <v>57259.56</v>
          </cell>
          <cell r="AP89">
            <v>-627.85</v>
          </cell>
          <cell r="AQ89">
            <v>0.22</v>
          </cell>
          <cell r="AR89">
            <v>9636.31</v>
          </cell>
          <cell r="AV89">
            <v>6174015.7699999986</v>
          </cell>
          <cell r="AW89">
            <v>6174015.7699999996</v>
          </cell>
          <cell r="AY89">
            <v>262013.89</v>
          </cell>
          <cell r="AZ89">
            <v>35913.519999999997</v>
          </cell>
          <cell r="BA89">
            <v>114770.53</v>
          </cell>
          <cell r="BC89">
            <v>0</v>
          </cell>
          <cell r="BD89">
            <v>6586713.71</v>
          </cell>
          <cell r="BG89">
            <v>2748648.27</v>
          </cell>
          <cell r="BI89" t="str">
            <v>Actual</v>
          </cell>
        </row>
        <row r="90">
          <cell r="B90" t="str">
            <v>Mar 2014</v>
          </cell>
          <cell r="C90" t="str">
            <v>PSS</v>
          </cell>
          <cell r="D90" t="str">
            <v>PSS</v>
          </cell>
          <cell r="E90" t="str">
            <v>KUCIE717</v>
          </cell>
          <cell r="F90">
            <v>1</v>
          </cell>
          <cell r="G90">
            <v>0</v>
          </cell>
          <cell r="H90">
            <v>0</v>
          </cell>
          <cell r="I90">
            <v>0</v>
          </cell>
          <cell r="J90">
            <v>0</v>
          </cell>
          <cell r="K90">
            <v>30480</v>
          </cell>
          <cell r="L90">
            <v>0</v>
          </cell>
          <cell r="M90">
            <v>0</v>
          </cell>
          <cell r="N90">
            <v>180.1</v>
          </cell>
          <cell r="O90">
            <v>0</v>
          </cell>
          <cell r="S90">
            <v>0</v>
          </cell>
          <cell r="T90">
            <v>0</v>
          </cell>
          <cell r="U90">
            <v>0</v>
          </cell>
          <cell r="V90">
            <v>0</v>
          </cell>
          <cell r="W90">
            <v>0</v>
          </cell>
          <cell r="X90">
            <v>0</v>
          </cell>
          <cell r="AL90">
            <v>0</v>
          </cell>
          <cell r="AM90">
            <v>0</v>
          </cell>
          <cell r="AP90">
            <v>0</v>
          </cell>
          <cell r="AQ90">
            <v>0</v>
          </cell>
          <cell r="AR90">
            <v>0</v>
          </cell>
          <cell r="AV90">
            <v>3553.63</v>
          </cell>
          <cell r="AW90">
            <v>3553.63</v>
          </cell>
          <cell r="AY90">
            <v>95.1</v>
          </cell>
          <cell r="AZ90">
            <v>20.420000000000002</v>
          </cell>
          <cell r="BA90">
            <v>74.58</v>
          </cell>
          <cell r="BC90">
            <v>0</v>
          </cell>
          <cell r="BD90">
            <v>3743.73</v>
          </cell>
          <cell r="BG90">
            <v>881.48</v>
          </cell>
          <cell r="BI90" t="str">
            <v>Actual</v>
          </cell>
        </row>
        <row r="91">
          <cell r="B91" t="str">
            <v>Mar 2014</v>
          </cell>
          <cell r="C91" t="str">
            <v>GS</v>
          </cell>
          <cell r="D91" t="str">
            <v>GS</v>
          </cell>
          <cell r="E91" t="str">
            <v>KUCME110</v>
          </cell>
          <cell r="F91">
            <v>64365</v>
          </cell>
          <cell r="G91">
            <v>0</v>
          </cell>
          <cell r="H91">
            <v>0</v>
          </cell>
          <cell r="I91">
            <v>0</v>
          </cell>
          <cell r="J91">
            <v>0</v>
          </cell>
          <cell r="K91">
            <v>79298124</v>
          </cell>
          <cell r="L91">
            <v>0</v>
          </cell>
          <cell r="M91">
            <v>128514.8</v>
          </cell>
          <cell r="N91">
            <v>0</v>
          </cell>
          <cell r="O91">
            <v>0</v>
          </cell>
          <cell r="S91">
            <v>0</v>
          </cell>
          <cell r="T91">
            <v>0</v>
          </cell>
          <cell r="U91">
            <v>0</v>
          </cell>
          <cell r="V91">
            <v>0</v>
          </cell>
          <cell r="W91">
            <v>0</v>
          </cell>
          <cell r="X91">
            <v>0</v>
          </cell>
          <cell r="AL91">
            <v>0</v>
          </cell>
          <cell r="AM91">
            <v>0</v>
          </cell>
          <cell r="AP91">
            <v>8998.2800000000007</v>
          </cell>
          <cell r="AQ91">
            <v>1781.84</v>
          </cell>
          <cell r="AR91">
            <v>0</v>
          </cell>
          <cell r="AV91">
            <v>8613332.0600000005</v>
          </cell>
          <cell r="AW91">
            <v>8613332.0599999987</v>
          </cell>
          <cell r="AY91">
            <v>231242.35</v>
          </cell>
          <cell r="AZ91">
            <v>185042.08</v>
          </cell>
          <cell r="BA91">
            <v>200590.33000000002</v>
          </cell>
          <cell r="BC91">
            <v>0</v>
          </cell>
          <cell r="BD91">
            <v>9230206.7899999991</v>
          </cell>
          <cell r="BG91">
            <v>2293301.75</v>
          </cell>
          <cell r="BI91" t="str">
            <v>Actual</v>
          </cell>
        </row>
        <row r="92">
          <cell r="B92" t="str">
            <v>Mar 2014</v>
          </cell>
          <cell r="C92" t="str">
            <v>GS</v>
          </cell>
          <cell r="D92" t="str">
            <v>GS</v>
          </cell>
          <cell r="E92" t="str">
            <v>KUCME112</v>
          </cell>
          <cell r="F92">
            <v>61</v>
          </cell>
          <cell r="G92">
            <v>0</v>
          </cell>
          <cell r="H92">
            <v>0</v>
          </cell>
          <cell r="I92">
            <v>0</v>
          </cell>
          <cell r="J92">
            <v>0</v>
          </cell>
          <cell r="K92">
            <v>10785</v>
          </cell>
          <cell r="L92">
            <v>0</v>
          </cell>
          <cell r="M92">
            <v>0</v>
          </cell>
          <cell r="N92">
            <v>0</v>
          </cell>
          <cell r="O92">
            <v>0</v>
          </cell>
          <cell r="S92">
            <v>0</v>
          </cell>
          <cell r="T92">
            <v>0</v>
          </cell>
          <cell r="U92">
            <v>0</v>
          </cell>
          <cell r="V92">
            <v>0</v>
          </cell>
          <cell r="W92">
            <v>0</v>
          </cell>
          <cell r="X92">
            <v>0</v>
          </cell>
          <cell r="AL92">
            <v>0</v>
          </cell>
          <cell r="AM92">
            <v>0</v>
          </cell>
          <cell r="AP92">
            <v>0</v>
          </cell>
          <cell r="AQ92">
            <v>0.02</v>
          </cell>
          <cell r="AR92">
            <v>0</v>
          </cell>
          <cell r="AV92">
            <v>2214.94</v>
          </cell>
          <cell r="AW92">
            <v>2214.94</v>
          </cell>
          <cell r="AY92">
            <v>25.82</v>
          </cell>
          <cell r="AZ92">
            <v>25.69</v>
          </cell>
          <cell r="BA92">
            <v>71.099999999999994</v>
          </cell>
          <cell r="BC92">
            <v>0</v>
          </cell>
          <cell r="BD92">
            <v>2337.5500000000002</v>
          </cell>
          <cell r="BG92">
            <v>311.89999999999998</v>
          </cell>
          <cell r="BI92" t="str">
            <v>Actual</v>
          </cell>
        </row>
        <row r="93">
          <cell r="B93" t="str">
            <v>Mar 2014</v>
          </cell>
          <cell r="C93" t="str">
            <v>GS3</v>
          </cell>
          <cell r="D93" t="str">
            <v>GS3</v>
          </cell>
          <cell r="E93" t="str">
            <v>KUCME113</v>
          </cell>
          <cell r="F93">
            <v>17212</v>
          </cell>
          <cell r="G93">
            <v>0</v>
          </cell>
          <cell r="H93">
            <v>0</v>
          </cell>
          <cell r="I93">
            <v>0</v>
          </cell>
          <cell r="J93">
            <v>0</v>
          </cell>
          <cell r="K93">
            <v>90277924</v>
          </cell>
          <cell r="L93">
            <v>0</v>
          </cell>
          <cell r="M93">
            <v>356008.9</v>
          </cell>
          <cell r="N93">
            <v>0</v>
          </cell>
          <cell r="O93">
            <v>0</v>
          </cell>
          <cell r="S93">
            <v>0</v>
          </cell>
          <cell r="T93">
            <v>0</v>
          </cell>
          <cell r="U93">
            <v>0</v>
          </cell>
          <cell r="V93">
            <v>0</v>
          </cell>
          <cell r="W93">
            <v>0</v>
          </cell>
          <cell r="X93">
            <v>0</v>
          </cell>
          <cell r="AL93">
            <v>0</v>
          </cell>
          <cell r="AM93">
            <v>0</v>
          </cell>
          <cell r="AP93">
            <v>-321.52999999999997</v>
          </cell>
          <cell r="AQ93">
            <v>34.5</v>
          </cell>
          <cell r="AR93">
            <v>0</v>
          </cell>
          <cell r="AV93">
            <v>8930271.4600000009</v>
          </cell>
          <cell r="AW93">
            <v>8930271.459999999</v>
          </cell>
          <cell r="AY93">
            <v>263314.77</v>
          </cell>
          <cell r="AZ93">
            <v>200258.05</v>
          </cell>
          <cell r="BA93">
            <v>200708.59</v>
          </cell>
          <cell r="BC93">
            <v>0</v>
          </cell>
          <cell r="BD93">
            <v>9594552.8699999992</v>
          </cell>
          <cell r="BG93">
            <v>2610837.56</v>
          </cell>
          <cell r="BI93" t="str">
            <v>Actual</v>
          </cell>
        </row>
        <row r="94">
          <cell r="B94" t="str">
            <v>Mar 2014</v>
          </cell>
          <cell r="C94" t="str">
            <v>AES</v>
          </cell>
          <cell r="D94" t="str">
            <v>AES</v>
          </cell>
          <cell r="E94" t="str">
            <v>KUCME220</v>
          </cell>
          <cell r="F94">
            <v>335</v>
          </cell>
          <cell r="G94">
            <v>6</v>
          </cell>
          <cell r="H94">
            <v>0</v>
          </cell>
          <cell r="I94">
            <v>0</v>
          </cell>
          <cell r="J94">
            <v>0</v>
          </cell>
          <cell r="K94">
            <v>1056710</v>
          </cell>
          <cell r="L94">
            <v>0</v>
          </cell>
          <cell r="M94">
            <v>2373.4</v>
          </cell>
          <cell r="N94">
            <v>0</v>
          </cell>
          <cell r="O94">
            <v>0</v>
          </cell>
          <cell r="S94">
            <v>0</v>
          </cell>
          <cell r="T94">
            <v>0</v>
          </cell>
          <cell r="U94">
            <v>0</v>
          </cell>
          <cell r="V94">
            <v>0</v>
          </cell>
          <cell r="W94">
            <v>0</v>
          </cell>
          <cell r="X94">
            <v>0</v>
          </cell>
          <cell r="AL94">
            <v>0</v>
          </cell>
          <cell r="AM94">
            <v>0</v>
          </cell>
          <cell r="AP94">
            <v>-126.64</v>
          </cell>
          <cell r="AQ94">
            <v>-0.02</v>
          </cell>
          <cell r="AR94">
            <v>0</v>
          </cell>
          <cell r="AV94">
            <v>85312.56</v>
          </cell>
          <cell r="AW94">
            <v>85312.56</v>
          </cell>
          <cell r="AY94">
            <v>2017.71</v>
          </cell>
          <cell r="AZ94">
            <v>929.8</v>
          </cell>
          <cell r="BA94">
            <v>2301.2399999999998</v>
          </cell>
          <cell r="BC94">
            <v>0</v>
          </cell>
          <cell r="BD94">
            <v>90561.31</v>
          </cell>
          <cell r="BG94">
            <v>30560.05</v>
          </cell>
          <cell r="BI94" t="str">
            <v>Actual</v>
          </cell>
        </row>
        <row r="95">
          <cell r="B95" t="str">
            <v>Mar 2014</v>
          </cell>
          <cell r="C95" t="str">
            <v>AES</v>
          </cell>
          <cell r="D95" t="str">
            <v>AES</v>
          </cell>
          <cell r="E95" t="str">
            <v>KUCME221</v>
          </cell>
          <cell r="F95">
            <v>5</v>
          </cell>
          <cell r="G95">
            <v>0</v>
          </cell>
          <cell r="H95">
            <v>0</v>
          </cell>
          <cell r="I95">
            <v>0</v>
          </cell>
          <cell r="J95">
            <v>0</v>
          </cell>
          <cell r="K95">
            <v>1002360</v>
          </cell>
          <cell r="L95">
            <v>0</v>
          </cell>
          <cell r="M95">
            <v>19.2</v>
          </cell>
          <cell r="N95">
            <v>0</v>
          </cell>
          <cell r="O95">
            <v>0</v>
          </cell>
          <cell r="S95">
            <v>0</v>
          </cell>
          <cell r="T95">
            <v>0</v>
          </cell>
          <cell r="U95">
            <v>0</v>
          </cell>
          <cell r="V95">
            <v>0</v>
          </cell>
          <cell r="W95">
            <v>0</v>
          </cell>
          <cell r="X95">
            <v>0</v>
          </cell>
          <cell r="AL95">
            <v>0</v>
          </cell>
          <cell r="AM95">
            <v>0</v>
          </cell>
          <cell r="AP95">
            <v>0</v>
          </cell>
          <cell r="AQ95">
            <v>0</v>
          </cell>
          <cell r="AR95">
            <v>0</v>
          </cell>
          <cell r="AV95">
            <v>74675.58</v>
          </cell>
          <cell r="AW95">
            <v>74675.579999999987</v>
          </cell>
          <cell r="AY95">
            <v>-1463.44</v>
          </cell>
          <cell r="AZ95">
            <v>882.07</v>
          </cell>
          <cell r="BA95">
            <v>4191.3</v>
          </cell>
          <cell r="BC95">
            <v>0</v>
          </cell>
          <cell r="BD95">
            <v>78285.509999999995</v>
          </cell>
          <cell r="BG95">
            <v>28988.25</v>
          </cell>
          <cell r="BI95" t="str">
            <v>Actual</v>
          </cell>
        </row>
        <row r="96">
          <cell r="B96" t="str">
            <v>Mar 2014</v>
          </cell>
          <cell r="C96" t="str">
            <v>AES3</v>
          </cell>
          <cell r="D96" t="str">
            <v>AES3</v>
          </cell>
          <cell r="E96" t="str">
            <v>KUCME223</v>
          </cell>
          <cell r="F96">
            <v>68</v>
          </cell>
          <cell r="G96">
            <v>0</v>
          </cell>
          <cell r="H96">
            <v>0</v>
          </cell>
          <cell r="I96">
            <v>0</v>
          </cell>
          <cell r="J96">
            <v>0</v>
          </cell>
          <cell r="K96">
            <v>738803</v>
          </cell>
          <cell r="L96">
            <v>0</v>
          </cell>
          <cell r="M96">
            <v>3330.6</v>
          </cell>
          <cell r="N96">
            <v>0</v>
          </cell>
          <cell r="O96">
            <v>0</v>
          </cell>
          <cell r="S96">
            <v>0</v>
          </cell>
          <cell r="T96">
            <v>0</v>
          </cell>
          <cell r="U96">
            <v>0</v>
          </cell>
          <cell r="V96">
            <v>0</v>
          </cell>
          <cell r="W96">
            <v>0</v>
          </cell>
          <cell r="X96">
            <v>0</v>
          </cell>
          <cell r="AL96">
            <v>0</v>
          </cell>
          <cell r="AM96">
            <v>0</v>
          </cell>
          <cell r="AP96">
            <v>0</v>
          </cell>
          <cell r="AQ96">
            <v>0.03</v>
          </cell>
          <cell r="AR96">
            <v>0</v>
          </cell>
          <cell r="AV96">
            <v>57346.97</v>
          </cell>
          <cell r="AW96">
            <v>57346.97</v>
          </cell>
          <cell r="AY96">
            <v>2120.14</v>
          </cell>
          <cell r="AZ96">
            <v>650.12</v>
          </cell>
          <cell r="BA96">
            <v>1092.8399999999999</v>
          </cell>
          <cell r="BC96">
            <v>0</v>
          </cell>
          <cell r="BD96">
            <v>61210.07</v>
          </cell>
          <cell r="BG96">
            <v>21366.18</v>
          </cell>
          <cell r="BI96" t="str">
            <v>Actual</v>
          </cell>
        </row>
        <row r="97">
          <cell r="B97" t="str">
            <v>Mar 2014</v>
          </cell>
          <cell r="C97" t="str">
            <v>AES3</v>
          </cell>
          <cell r="D97" t="str">
            <v>AES3</v>
          </cell>
          <cell r="E97" t="str">
            <v>KUCME224</v>
          </cell>
          <cell r="F97">
            <v>5</v>
          </cell>
          <cell r="G97">
            <v>0</v>
          </cell>
          <cell r="H97">
            <v>0</v>
          </cell>
          <cell r="I97">
            <v>0</v>
          </cell>
          <cell r="J97">
            <v>0</v>
          </cell>
          <cell r="K97">
            <v>386800</v>
          </cell>
          <cell r="L97">
            <v>0</v>
          </cell>
          <cell r="M97">
            <v>1539.7</v>
          </cell>
          <cell r="N97">
            <v>0</v>
          </cell>
          <cell r="O97">
            <v>0</v>
          </cell>
          <cell r="S97">
            <v>0</v>
          </cell>
          <cell r="T97">
            <v>0</v>
          </cell>
          <cell r="U97">
            <v>0</v>
          </cell>
          <cell r="V97">
            <v>0</v>
          </cell>
          <cell r="W97">
            <v>0</v>
          </cell>
          <cell r="X97">
            <v>0</v>
          </cell>
          <cell r="AL97">
            <v>0</v>
          </cell>
          <cell r="AM97">
            <v>0</v>
          </cell>
          <cell r="AP97">
            <v>-14.22</v>
          </cell>
          <cell r="AQ97">
            <v>0</v>
          </cell>
          <cell r="AR97">
            <v>0</v>
          </cell>
          <cell r="AV97">
            <v>28938.699999999997</v>
          </cell>
          <cell r="AW97">
            <v>28938.699999999997</v>
          </cell>
          <cell r="AY97">
            <v>651.73</v>
          </cell>
          <cell r="AZ97">
            <v>340.38</v>
          </cell>
          <cell r="BA97">
            <v>843.56</v>
          </cell>
          <cell r="BC97">
            <v>0</v>
          </cell>
          <cell r="BD97">
            <v>30774.37</v>
          </cell>
          <cell r="BG97">
            <v>11186.26</v>
          </cell>
          <cell r="BI97" t="str">
            <v>Actual</v>
          </cell>
        </row>
        <row r="98">
          <cell r="B98" t="str">
            <v>Mar 2014</v>
          </cell>
          <cell r="C98" t="str">
            <v>AES3</v>
          </cell>
          <cell r="D98" t="str">
            <v>AES3</v>
          </cell>
          <cell r="E98" t="str">
            <v>KUCME225</v>
          </cell>
          <cell r="F98">
            <v>96</v>
          </cell>
          <cell r="G98">
            <v>4</v>
          </cell>
          <cell r="H98">
            <v>0</v>
          </cell>
          <cell r="I98">
            <v>0</v>
          </cell>
          <cell r="J98">
            <v>0</v>
          </cell>
          <cell r="K98">
            <v>3073152</v>
          </cell>
          <cell r="L98">
            <v>0</v>
          </cell>
          <cell r="M98">
            <v>13043.5</v>
          </cell>
          <cell r="N98">
            <v>0</v>
          </cell>
          <cell r="O98">
            <v>0</v>
          </cell>
          <cell r="S98">
            <v>0</v>
          </cell>
          <cell r="T98">
            <v>0</v>
          </cell>
          <cell r="U98">
            <v>0</v>
          </cell>
          <cell r="V98">
            <v>0</v>
          </cell>
          <cell r="W98">
            <v>0</v>
          </cell>
          <cell r="X98">
            <v>0</v>
          </cell>
          <cell r="AL98">
            <v>0</v>
          </cell>
          <cell r="AM98">
            <v>0</v>
          </cell>
          <cell r="AP98">
            <v>-140</v>
          </cell>
          <cell r="AQ98">
            <v>-0.02</v>
          </cell>
          <cell r="AR98">
            <v>0</v>
          </cell>
          <cell r="AV98">
            <v>232002.49000000002</v>
          </cell>
          <cell r="AW98">
            <v>232002.49</v>
          </cell>
          <cell r="AY98">
            <v>6919.33</v>
          </cell>
          <cell r="AZ98">
            <v>2704.36</v>
          </cell>
          <cell r="BA98">
            <v>5633.16</v>
          </cell>
          <cell r="BC98">
            <v>0</v>
          </cell>
          <cell r="BD98">
            <v>247259.34</v>
          </cell>
          <cell r="BG98">
            <v>88875.56</v>
          </cell>
          <cell r="BI98" t="str">
            <v>Actual</v>
          </cell>
        </row>
        <row r="99">
          <cell r="B99" t="str">
            <v>Mar 2014</v>
          </cell>
          <cell r="C99" t="str">
            <v>AES</v>
          </cell>
          <cell r="D99" t="str">
            <v>AES</v>
          </cell>
          <cell r="E99" t="str">
            <v>KUCME226</v>
          </cell>
          <cell r="F99">
            <v>19</v>
          </cell>
          <cell r="G99">
            <v>0</v>
          </cell>
          <cell r="H99">
            <v>0</v>
          </cell>
          <cell r="I99">
            <v>0</v>
          </cell>
          <cell r="J99">
            <v>0</v>
          </cell>
          <cell r="K99">
            <v>65903</v>
          </cell>
          <cell r="L99">
            <v>0</v>
          </cell>
          <cell r="M99">
            <v>699.5</v>
          </cell>
          <cell r="N99">
            <v>0</v>
          </cell>
          <cell r="O99">
            <v>0</v>
          </cell>
          <cell r="S99">
            <v>0</v>
          </cell>
          <cell r="T99">
            <v>0</v>
          </cell>
          <cell r="U99">
            <v>0</v>
          </cell>
          <cell r="V99">
            <v>0</v>
          </cell>
          <cell r="W99">
            <v>0</v>
          </cell>
          <cell r="X99">
            <v>0</v>
          </cell>
          <cell r="AL99">
            <v>0</v>
          </cell>
          <cell r="AM99">
            <v>0</v>
          </cell>
          <cell r="AP99">
            <v>0</v>
          </cell>
          <cell r="AQ99">
            <v>0</v>
          </cell>
          <cell r="AR99">
            <v>0</v>
          </cell>
          <cell r="AV99">
            <v>5283.18</v>
          </cell>
          <cell r="AW99">
            <v>5283.18</v>
          </cell>
          <cell r="AY99">
            <v>102.57</v>
          </cell>
          <cell r="AZ99">
            <v>57.99</v>
          </cell>
          <cell r="BA99">
            <v>159.4</v>
          </cell>
          <cell r="BC99">
            <v>0</v>
          </cell>
          <cell r="BD99">
            <v>5603.14</v>
          </cell>
          <cell r="BG99">
            <v>1905.91</v>
          </cell>
          <cell r="BI99" t="str">
            <v>Actual</v>
          </cell>
        </row>
        <row r="100">
          <cell r="B100" t="str">
            <v>Mar 2014</v>
          </cell>
          <cell r="C100" t="str">
            <v>AES3</v>
          </cell>
          <cell r="D100" t="str">
            <v>AES3</v>
          </cell>
          <cell r="E100" t="str">
            <v>KUCME227</v>
          </cell>
          <cell r="F100">
            <v>100</v>
          </cell>
          <cell r="G100">
            <v>2</v>
          </cell>
          <cell r="H100">
            <v>0</v>
          </cell>
          <cell r="I100">
            <v>0</v>
          </cell>
          <cell r="J100">
            <v>0</v>
          </cell>
          <cell r="K100">
            <v>10563612</v>
          </cell>
          <cell r="L100">
            <v>0</v>
          </cell>
          <cell r="M100">
            <v>39654</v>
          </cell>
          <cell r="N100">
            <v>0</v>
          </cell>
          <cell r="O100">
            <v>0</v>
          </cell>
          <cell r="S100">
            <v>0</v>
          </cell>
          <cell r="T100">
            <v>0</v>
          </cell>
          <cell r="U100">
            <v>0</v>
          </cell>
          <cell r="V100">
            <v>0</v>
          </cell>
          <cell r="W100">
            <v>0</v>
          </cell>
          <cell r="X100">
            <v>0</v>
          </cell>
          <cell r="AL100">
            <v>0</v>
          </cell>
          <cell r="AM100">
            <v>0</v>
          </cell>
          <cell r="AP100">
            <v>-69.989999999999995</v>
          </cell>
          <cell r="AQ100">
            <v>0.01</v>
          </cell>
          <cell r="AR100">
            <v>0</v>
          </cell>
          <cell r="AV100">
            <v>789432.75</v>
          </cell>
          <cell r="AW100">
            <v>789432.75</v>
          </cell>
          <cell r="AY100">
            <v>20208.25</v>
          </cell>
          <cell r="AZ100">
            <v>9295.9500000000007</v>
          </cell>
          <cell r="BA100">
            <v>21480.74</v>
          </cell>
          <cell r="BC100">
            <v>0</v>
          </cell>
          <cell r="BD100">
            <v>840417.69</v>
          </cell>
          <cell r="BG100">
            <v>305499.65999999997</v>
          </cell>
          <cell r="BI100" t="str">
            <v>Actual</v>
          </cell>
        </row>
        <row r="101">
          <cell r="B101" t="str">
            <v>Mar 2014</v>
          </cell>
          <cell r="C101" t="str">
            <v>LE</v>
          </cell>
          <cell r="D101" t="str">
            <v>LE</v>
          </cell>
          <cell r="E101" t="str">
            <v>KUCME290</v>
          </cell>
          <cell r="F101">
            <v>1</v>
          </cell>
          <cell r="G101">
            <v>0</v>
          </cell>
          <cell r="H101">
            <v>0</v>
          </cell>
          <cell r="I101">
            <v>0</v>
          </cell>
          <cell r="J101">
            <v>0</v>
          </cell>
          <cell r="K101">
            <v>13174</v>
          </cell>
          <cell r="L101">
            <v>0</v>
          </cell>
          <cell r="M101">
            <v>39.700000000000003</v>
          </cell>
          <cell r="N101">
            <v>0</v>
          </cell>
          <cell r="O101">
            <v>0</v>
          </cell>
          <cell r="S101">
            <v>0</v>
          </cell>
          <cell r="T101">
            <v>0</v>
          </cell>
          <cell r="U101">
            <v>0</v>
          </cell>
          <cell r="V101">
            <v>0</v>
          </cell>
          <cell r="W101">
            <v>0</v>
          </cell>
          <cell r="X101">
            <v>0</v>
          </cell>
          <cell r="AL101">
            <v>0</v>
          </cell>
          <cell r="AM101">
            <v>0</v>
          </cell>
          <cell r="AP101">
            <v>0</v>
          </cell>
          <cell r="AQ101">
            <v>0</v>
          </cell>
          <cell r="AR101">
            <v>0</v>
          </cell>
          <cell r="AV101">
            <v>840.5</v>
          </cell>
          <cell r="AW101">
            <v>840.5</v>
          </cell>
          <cell r="AY101">
            <v>41.1</v>
          </cell>
          <cell r="AZ101">
            <v>0</v>
          </cell>
          <cell r="BA101">
            <v>14.11</v>
          </cell>
          <cell r="BC101">
            <v>0</v>
          </cell>
          <cell r="BD101">
            <v>895.71</v>
          </cell>
          <cell r="BG101">
            <v>380.99</v>
          </cell>
          <cell r="BI101" t="str">
            <v>Actual</v>
          </cell>
        </row>
        <row r="102">
          <cell r="B102" t="str">
            <v>Mar 2014</v>
          </cell>
          <cell r="C102" t="str">
            <v>LE</v>
          </cell>
          <cell r="D102" t="str">
            <v>LE</v>
          </cell>
          <cell r="E102" t="str">
            <v>KUCME291</v>
          </cell>
          <cell r="F102">
            <v>1</v>
          </cell>
          <cell r="G102">
            <v>-1</v>
          </cell>
          <cell r="H102">
            <v>0</v>
          </cell>
          <cell r="I102">
            <v>0</v>
          </cell>
          <cell r="J102">
            <v>0</v>
          </cell>
          <cell r="K102">
            <v>3647</v>
          </cell>
          <cell r="L102">
            <v>0</v>
          </cell>
          <cell r="M102">
            <v>0</v>
          </cell>
          <cell r="N102">
            <v>0</v>
          </cell>
          <cell r="O102">
            <v>0</v>
          </cell>
          <cell r="S102">
            <v>0</v>
          </cell>
          <cell r="T102">
            <v>0</v>
          </cell>
          <cell r="U102">
            <v>0</v>
          </cell>
          <cell r="V102">
            <v>0</v>
          </cell>
          <cell r="W102">
            <v>0</v>
          </cell>
          <cell r="X102">
            <v>0</v>
          </cell>
          <cell r="AL102">
            <v>0</v>
          </cell>
          <cell r="AM102">
            <v>0</v>
          </cell>
          <cell r="AP102">
            <v>0</v>
          </cell>
          <cell r="AQ102">
            <v>0</v>
          </cell>
          <cell r="AR102">
            <v>0</v>
          </cell>
          <cell r="AV102">
            <v>232.68</v>
          </cell>
          <cell r="AW102">
            <v>232.67999999999998</v>
          </cell>
          <cell r="AY102">
            <v>-5.32</v>
          </cell>
          <cell r="AZ102">
            <v>0</v>
          </cell>
          <cell r="BA102">
            <v>12.87</v>
          </cell>
          <cell r="BC102">
            <v>0</v>
          </cell>
          <cell r="BD102">
            <v>240.23</v>
          </cell>
          <cell r="BG102">
            <v>105.47</v>
          </cell>
          <cell r="BI102" t="str">
            <v>Actual</v>
          </cell>
        </row>
        <row r="103">
          <cell r="B103" t="str">
            <v>Mar 2014</v>
          </cell>
          <cell r="C103" t="str">
            <v>TE</v>
          </cell>
          <cell r="D103" t="str">
            <v>TE</v>
          </cell>
          <cell r="E103" t="str">
            <v>KUCME295</v>
          </cell>
          <cell r="F103">
            <v>473</v>
          </cell>
          <cell r="G103">
            <v>0</v>
          </cell>
          <cell r="H103">
            <v>0</v>
          </cell>
          <cell r="I103">
            <v>0</v>
          </cell>
          <cell r="J103">
            <v>0</v>
          </cell>
          <cell r="K103">
            <v>95222</v>
          </cell>
          <cell r="L103">
            <v>0</v>
          </cell>
          <cell r="M103">
            <v>17.100000000000001</v>
          </cell>
          <cell r="N103">
            <v>0</v>
          </cell>
          <cell r="O103">
            <v>0</v>
          </cell>
          <cell r="S103">
            <v>0</v>
          </cell>
          <cell r="T103">
            <v>0</v>
          </cell>
          <cell r="U103">
            <v>0</v>
          </cell>
          <cell r="V103">
            <v>0</v>
          </cell>
          <cell r="W103">
            <v>0</v>
          </cell>
          <cell r="X103">
            <v>0</v>
          </cell>
          <cell r="AL103">
            <v>0</v>
          </cell>
          <cell r="AM103">
            <v>0</v>
          </cell>
          <cell r="AP103">
            <v>0</v>
          </cell>
          <cell r="AQ103">
            <v>-0.92</v>
          </cell>
          <cell r="AR103">
            <v>0</v>
          </cell>
          <cell r="AV103">
            <v>9133.1400000000012</v>
          </cell>
          <cell r="AW103">
            <v>9133.14</v>
          </cell>
          <cell r="AY103">
            <v>45.46</v>
          </cell>
          <cell r="AZ103">
            <v>0</v>
          </cell>
          <cell r="BA103">
            <v>359.23</v>
          </cell>
          <cell r="BC103">
            <v>0</v>
          </cell>
          <cell r="BD103">
            <v>9537.83</v>
          </cell>
          <cell r="BG103">
            <v>2753.82</v>
          </cell>
          <cell r="BI103" t="str">
            <v>Actual</v>
          </cell>
        </row>
        <row r="104">
          <cell r="B104" t="str">
            <v>Mar 2014</v>
          </cell>
          <cell r="C104" t="str">
            <v>TE</v>
          </cell>
          <cell r="D104" t="str">
            <v>TE</v>
          </cell>
          <cell r="E104" t="str">
            <v>KUCME297</v>
          </cell>
          <cell r="F104">
            <v>272</v>
          </cell>
          <cell r="G104">
            <v>0</v>
          </cell>
          <cell r="H104">
            <v>0</v>
          </cell>
          <cell r="I104">
            <v>0</v>
          </cell>
          <cell r="J104">
            <v>0</v>
          </cell>
          <cell r="K104">
            <v>14416</v>
          </cell>
          <cell r="L104">
            <v>0</v>
          </cell>
          <cell r="M104">
            <v>0</v>
          </cell>
          <cell r="N104">
            <v>0</v>
          </cell>
          <cell r="O104">
            <v>0</v>
          </cell>
          <cell r="S104">
            <v>0</v>
          </cell>
          <cell r="T104">
            <v>0</v>
          </cell>
          <cell r="U104">
            <v>0</v>
          </cell>
          <cell r="V104">
            <v>0</v>
          </cell>
          <cell r="W104">
            <v>0</v>
          </cell>
          <cell r="X104">
            <v>0</v>
          </cell>
          <cell r="AL104">
            <v>0</v>
          </cell>
          <cell r="AM104">
            <v>0</v>
          </cell>
          <cell r="AP104">
            <v>0</v>
          </cell>
          <cell r="AQ104">
            <v>0.45</v>
          </cell>
          <cell r="AR104">
            <v>0</v>
          </cell>
          <cell r="AV104">
            <v>2034.56</v>
          </cell>
          <cell r="AW104">
            <v>2034.56</v>
          </cell>
          <cell r="AY104">
            <v>46.24</v>
          </cell>
          <cell r="AZ104">
            <v>0</v>
          </cell>
          <cell r="BA104">
            <v>32.64</v>
          </cell>
          <cell r="BC104">
            <v>0</v>
          </cell>
          <cell r="BD104">
            <v>2113.44</v>
          </cell>
          <cell r="BG104">
            <v>416.91</v>
          </cell>
          <cell r="BI104" t="str">
            <v>Actual</v>
          </cell>
        </row>
        <row r="105">
          <cell r="B105" t="str">
            <v>Mar 2014</v>
          </cell>
          <cell r="C105" t="str">
            <v>SQF</v>
          </cell>
          <cell r="D105" t="str">
            <v>SQF</v>
          </cell>
          <cell r="E105" t="str">
            <v>KUCME705</v>
          </cell>
          <cell r="F105">
            <v>0</v>
          </cell>
          <cell r="G105">
            <v>0</v>
          </cell>
          <cell r="H105">
            <v>0</v>
          </cell>
          <cell r="I105">
            <v>0</v>
          </cell>
          <cell r="J105">
            <v>0</v>
          </cell>
          <cell r="K105">
            <v>0</v>
          </cell>
          <cell r="L105">
            <v>0</v>
          </cell>
          <cell r="M105">
            <v>0</v>
          </cell>
          <cell r="N105">
            <v>0</v>
          </cell>
          <cell r="O105">
            <v>0</v>
          </cell>
          <cell r="S105">
            <v>0</v>
          </cell>
          <cell r="T105">
            <v>0</v>
          </cell>
          <cell r="U105">
            <v>0</v>
          </cell>
          <cell r="V105">
            <v>0</v>
          </cell>
          <cell r="W105">
            <v>0</v>
          </cell>
          <cell r="X105">
            <v>0</v>
          </cell>
          <cell r="AL105">
            <v>0</v>
          </cell>
          <cell r="AM105">
            <v>0</v>
          </cell>
          <cell r="AP105">
            <v>0</v>
          </cell>
          <cell r="AQ105">
            <v>0</v>
          </cell>
          <cell r="AR105">
            <v>0</v>
          </cell>
          <cell r="AV105">
            <v>0</v>
          </cell>
          <cell r="AW105">
            <v>0</v>
          </cell>
          <cell r="AY105">
            <v>0</v>
          </cell>
          <cell r="AZ105">
            <v>0</v>
          </cell>
          <cell r="BA105">
            <v>0</v>
          </cell>
          <cell r="BC105">
            <v>0</v>
          </cell>
          <cell r="BD105">
            <v>0</v>
          </cell>
          <cell r="BG105">
            <v>0</v>
          </cell>
          <cell r="BI105" t="str">
            <v>Actual</v>
          </cell>
        </row>
        <row r="106">
          <cell r="B106" t="str">
            <v>Mar 2014</v>
          </cell>
          <cell r="C106" t="str">
            <v>LQF</v>
          </cell>
          <cell r="D106" t="str">
            <v>LQF</v>
          </cell>
          <cell r="E106" t="str">
            <v>KUCME707</v>
          </cell>
          <cell r="F106">
            <v>0</v>
          </cell>
          <cell r="G106">
            <v>0</v>
          </cell>
          <cell r="H106">
            <v>0</v>
          </cell>
          <cell r="I106">
            <v>0</v>
          </cell>
          <cell r="J106">
            <v>0</v>
          </cell>
          <cell r="K106">
            <v>0</v>
          </cell>
          <cell r="L106">
            <v>0</v>
          </cell>
          <cell r="M106">
            <v>0</v>
          </cell>
          <cell r="N106">
            <v>0</v>
          </cell>
          <cell r="O106">
            <v>0</v>
          </cell>
          <cell r="S106">
            <v>0</v>
          </cell>
          <cell r="T106">
            <v>0</v>
          </cell>
          <cell r="U106">
            <v>0</v>
          </cell>
          <cell r="V106">
            <v>0</v>
          </cell>
          <cell r="W106">
            <v>0</v>
          </cell>
          <cell r="X106">
            <v>0</v>
          </cell>
          <cell r="AL106">
            <v>0</v>
          </cell>
          <cell r="AM106">
            <v>0</v>
          </cell>
          <cell r="AP106">
            <v>0</v>
          </cell>
          <cell r="AQ106">
            <v>0</v>
          </cell>
          <cell r="AR106">
            <v>0</v>
          </cell>
          <cell r="AV106">
            <v>0</v>
          </cell>
          <cell r="AW106">
            <v>0</v>
          </cell>
          <cell r="AY106">
            <v>0</v>
          </cell>
          <cell r="AZ106">
            <v>0</v>
          </cell>
          <cell r="BA106">
            <v>0</v>
          </cell>
          <cell r="BC106">
            <v>0</v>
          </cell>
          <cell r="BD106">
            <v>0</v>
          </cell>
          <cell r="BG106">
            <v>0</v>
          </cell>
          <cell r="BI106" t="str">
            <v>Actual</v>
          </cell>
        </row>
        <row r="107">
          <cell r="B107" t="str">
            <v>Mar 2014</v>
          </cell>
          <cell r="C107" t="str">
            <v>GS</v>
          </cell>
          <cell r="D107" t="str">
            <v>GS</v>
          </cell>
          <cell r="E107" t="str">
            <v>KUCME710</v>
          </cell>
          <cell r="F107">
            <v>8</v>
          </cell>
          <cell r="G107">
            <v>0</v>
          </cell>
          <cell r="H107">
            <v>0</v>
          </cell>
          <cell r="I107">
            <v>0</v>
          </cell>
          <cell r="J107">
            <v>0</v>
          </cell>
          <cell r="K107">
            <v>13921</v>
          </cell>
          <cell r="L107">
            <v>0</v>
          </cell>
          <cell r="M107">
            <v>0</v>
          </cell>
          <cell r="N107">
            <v>0</v>
          </cell>
          <cell r="O107">
            <v>0</v>
          </cell>
          <cell r="S107">
            <v>0</v>
          </cell>
          <cell r="T107">
            <v>0</v>
          </cell>
          <cell r="U107">
            <v>0</v>
          </cell>
          <cell r="V107">
            <v>0</v>
          </cell>
          <cell r="W107">
            <v>0</v>
          </cell>
          <cell r="X107">
            <v>0</v>
          </cell>
          <cell r="AL107">
            <v>0</v>
          </cell>
          <cell r="AM107">
            <v>0</v>
          </cell>
          <cell r="AP107">
            <v>0</v>
          </cell>
          <cell r="AQ107">
            <v>0</v>
          </cell>
          <cell r="AR107">
            <v>0</v>
          </cell>
          <cell r="AV107">
            <v>1444.21</v>
          </cell>
          <cell r="AW107">
            <v>1444.21</v>
          </cell>
          <cell r="AY107">
            <v>43.43</v>
          </cell>
          <cell r="AZ107">
            <v>33.14</v>
          </cell>
          <cell r="BA107">
            <v>29.78</v>
          </cell>
          <cell r="BC107">
            <v>0</v>
          </cell>
          <cell r="BD107">
            <v>1550.56</v>
          </cell>
          <cell r="BG107">
            <v>402.6</v>
          </cell>
          <cell r="BI107" t="str">
            <v>Actual</v>
          </cell>
        </row>
        <row r="108">
          <cell r="B108" t="str">
            <v>Mar 2014</v>
          </cell>
          <cell r="C108" t="str">
            <v>GS3</v>
          </cell>
          <cell r="D108" t="str">
            <v>GS3</v>
          </cell>
          <cell r="E108" t="str">
            <v>KUCME713</v>
          </cell>
          <cell r="F108">
            <v>2</v>
          </cell>
          <cell r="G108">
            <v>0</v>
          </cell>
          <cell r="H108">
            <v>0</v>
          </cell>
          <cell r="I108">
            <v>0</v>
          </cell>
          <cell r="J108">
            <v>0</v>
          </cell>
          <cell r="K108">
            <v>13200</v>
          </cell>
          <cell r="L108">
            <v>0</v>
          </cell>
          <cell r="M108">
            <v>72.900000000000006</v>
          </cell>
          <cell r="N108">
            <v>0</v>
          </cell>
          <cell r="O108">
            <v>0</v>
          </cell>
          <cell r="S108">
            <v>0</v>
          </cell>
          <cell r="T108">
            <v>0</v>
          </cell>
          <cell r="U108">
            <v>0</v>
          </cell>
          <cell r="V108">
            <v>0</v>
          </cell>
          <cell r="W108">
            <v>0</v>
          </cell>
          <cell r="X108">
            <v>0</v>
          </cell>
          <cell r="AL108">
            <v>0</v>
          </cell>
          <cell r="AM108">
            <v>0</v>
          </cell>
          <cell r="AP108">
            <v>0</v>
          </cell>
          <cell r="AQ108">
            <v>0</v>
          </cell>
          <cell r="AR108">
            <v>0</v>
          </cell>
          <cell r="AV108">
            <v>1287.7</v>
          </cell>
          <cell r="AW108">
            <v>1287.7</v>
          </cell>
          <cell r="AY108">
            <v>41.19</v>
          </cell>
          <cell r="AZ108">
            <v>6.47</v>
          </cell>
          <cell r="BA108">
            <v>25.27</v>
          </cell>
          <cell r="BC108">
            <v>0</v>
          </cell>
          <cell r="BD108">
            <v>1360.63</v>
          </cell>
          <cell r="BG108">
            <v>381.74</v>
          </cell>
          <cell r="BI108" t="str">
            <v>Actual</v>
          </cell>
        </row>
        <row r="109">
          <cell r="B109" t="str">
            <v>Mar 2014</v>
          </cell>
          <cell r="C109" t="str">
            <v>CSR10</v>
          </cell>
          <cell r="D109" t="str">
            <v>CSR10</v>
          </cell>
          <cell r="E109" t="str">
            <v>KUCSR760</v>
          </cell>
          <cell r="F109">
            <v>1</v>
          </cell>
          <cell r="G109">
            <v>0</v>
          </cell>
          <cell r="H109">
            <v>0</v>
          </cell>
          <cell r="I109">
            <v>0</v>
          </cell>
          <cell r="J109">
            <v>0</v>
          </cell>
          <cell r="K109">
            <v>0</v>
          </cell>
          <cell r="L109">
            <v>0</v>
          </cell>
          <cell r="M109">
            <v>0</v>
          </cell>
          <cell r="N109">
            <v>0</v>
          </cell>
          <cell r="O109">
            <v>0</v>
          </cell>
          <cell r="S109">
            <v>0</v>
          </cell>
          <cell r="T109">
            <v>0</v>
          </cell>
          <cell r="U109">
            <v>0</v>
          </cell>
          <cell r="V109">
            <v>0</v>
          </cell>
          <cell r="W109">
            <v>0</v>
          </cell>
          <cell r="X109">
            <v>0</v>
          </cell>
          <cell r="AL109">
            <v>0</v>
          </cell>
          <cell r="AM109">
            <v>0</v>
          </cell>
          <cell r="AP109">
            <v>0</v>
          </cell>
          <cell r="AQ109">
            <v>0</v>
          </cell>
          <cell r="AR109">
            <v>0</v>
          </cell>
          <cell r="AV109">
            <v>0</v>
          </cell>
          <cell r="AW109">
            <v>0</v>
          </cell>
          <cell r="AY109">
            <v>0</v>
          </cell>
          <cell r="AZ109">
            <v>0</v>
          </cell>
          <cell r="BA109">
            <v>0</v>
          </cell>
          <cell r="BC109">
            <v>-986248.39</v>
          </cell>
          <cell r="BD109">
            <v>-986248.39</v>
          </cell>
          <cell r="BG109">
            <v>0</v>
          </cell>
          <cell r="BI109" t="str">
            <v>Actual</v>
          </cell>
        </row>
        <row r="110">
          <cell r="B110" t="str">
            <v>Mar 2014</v>
          </cell>
          <cell r="C110" t="str">
            <v>CSR10</v>
          </cell>
          <cell r="D110" t="str">
            <v>CSR10</v>
          </cell>
          <cell r="E110" t="str">
            <v>KUCSR761</v>
          </cell>
          <cell r="F110">
            <v>1</v>
          </cell>
          <cell r="G110">
            <v>0</v>
          </cell>
          <cell r="H110">
            <v>0</v>
          </cell>
          <cell r="I110">
            <v>0</v>
          </cell>
          <cell r="J110">
            <v>0</v>
          </cell>
          <cell r="K110">
            <v>0</v>
          </cell>
          <cell r="L110">
            <v>0</v>
          </cell>
          <cell r="M110">
            <v>0</v>
          </cell>
          <cell r="N110">
            <v>0</v>
          </cell>
          <cell r="O110">
            <v>0</v>
          </cell>
          <cell r="S110">
            <v>0</v>
          </cell>
          <cell r="T110">
            <v>0</v>
          </cell>
          <cell r="U110">
            <v>0</v>
          </cell>
          <cell r="V110">
            <v>0</v>
          </cell>
          <cell r="W110">
            <v>0</v>
          </cell>
          <cell r="X110">
            <v>0</v>
          </cell>
          <cell r="AL110">
            <v>0</v>
          </cell>
          <cell r="AM110">
            <v>0</v>
          </cell>
          <cell r="AP110">
            <v>0</v>
          </cell>
          <cell r="AQ110">
            <v>0</v>
          </cell>
          <cell r="AR110">
            <v>0</v>
          </cell>
          <cell r="AV110">
            <v>0</v>
          </cell>
          <cell r="AW110">
            <v>0</v>
          </cell>
          <cell r="AY110">
            <v>0</v>
          </cell>
          <cell r="AZ110">
            <v>0</v>
          </cell>
          <cell r="BA110">
            <v>0</v>
          </cell>
          <cell r="BC110">
            <v>-32627.83</v>
          </cell>
          <cell r="BD110">
            <v>-32627.83</v>
          </cell>
          <cell r="BG110">
            <v>0</v>
          </cell>
          <cell r="BI110" t="str">
            <v>Actual</v>
          </cell>
        </row>
        <row r="111">
          <cell r="B111" t="str">
            <v>Mar 2014</v>
          </cell>
          <cell r="C111" t="str">
            <v>CSR30</v>
          </cell>
          <cell r="D111" t="str">
            <v>CSR30</v>
          </cell>
          <cell r="E111" t="str">
            <v>KUCSR780</v>
          </cell>
          <cell r="F111">
            <v>0</v>
          </cell>
          <cell r="G111">
            <v>0</v>
          </cell>
          <cell r="H111">
            <v>0</v>
          </cell>
          <cell r="I111">
            <v>0</v>
          </cell>
          <cell r="J111">
            <v>0</v>
          </cell>
          <cell r="K111">
            <v>0</v>
          </cell>
          <cell r="L111">
            <v>0</v>
          </cell>
          <cell r="M111">
            <v>0</v>
          </cell>
          <cell r="N111">
            <v>0</v>
          </cell>
          <cell r="O111">
            <v>0</v>
          </cell>
          <cell r="S111">
            <v>0</v>
          </cell>
          <cell r="T111">
            <v>0</v>
          </cell>
          <cell r="U111">
            <v>0</v>
          </cell>
          <cell r="V111">
            <v>0</v>
          </cell>
          <cell r="W111">
            <v>0</v>
          </cell>
          <cell r="X111">
            <v>0</v>
          </cell>
          <cell r="AL111">
            <v>0</v>
          </cell>
          <cell r="AM111">
            <v>0</v>
          </cell>
          <cell r="AP111">
            <v>0</v>
          </cell>
          <cell r="AQ111">
            <v>0</v>
          </cell>
          <cell r="AR111">
            <v>0</v>
          </cell>
          <cell r="AV111">
            <v>0</v>
          </cell>
          <cell r="AW111">
            <v>0</v>
          </cell>
          <cell r="AY111">
            <v>0</v>
          </cell>
          <cell r="AZ111">
            <v>0</v>
          </cell>
          <cell r="BA111">
            <v>0</v>
          </cell>
          <cell r="BC111">
            <v>0</v>
          </cell>
          <cell r="BD111">
            <v>0</v>
          </cell>
          <cell r="BG111">
            <v>0</v>
          </cell>
          <cell r="BI111" t="str">
            <v>Actual</v>
          </cell>
        </row>
        <row r="112">
          <cell r="B112" t="str">
            <v>Mar 2014</v>
          </cell>
          <cell r="C112" t="str">
            <v>CSR30</v>
          </cell>
          <cell r="D112" t="str">
            <v>CSR30</v>
          </cell>
          <cell r="E112" t="str">
            <v>KUCSR781</v>
          </cell>
          <cell r="F112">
            <v>1</v>
          </cell>
          <cell r="G112">
            <v>0</v>
          </cell>
          <cell r="H112">
            <v>0</v>
          </cell>
          <cell r="I112">
            <v>0</v>
          </cell>
          <cell r="J112">
            <v>0</v>
          </cell>
          <cell r="K112">
            <v>0</v>
          </cell>
          <cell r="L112">
            <v>0</v>
          </cell>
          <cell r="M112">
            <v>0</v>
          </cell>
          <cell r="N112">
            <v>0</v>
          </cell>
          <cell r="O112">
            <v>0</v>
          </cell>
          <cell r="S112">
            <v>0</v>
          </cell>
          <cell r="T112">
            <v>0</v>
          </cell>
          <cell r="U112">
            <v>0</v>
          </cell>
          <cell r="V112">
            <v>0</v>
          </cell>
          <cell r="W112">
            <v>0</v>
          </cell>
          <cell r="X112">
            <v>0</v>
          </cell>
          <cell r="AL112">
            <v>0</v>
          </cell>
          <cell r="AM112">
            <v>0</v>
          </cell>
          <cell r="AP112">
            <v>0</v>
          </cell>
          <cell r="AQ112">
            <v>0</v>
          </cell>
          <cell r="AR112">
            <v>0</v>
          </cell>
          <cell r="AV112">
            <v>0</v>
          </cell>
          <cell r="AW112">
            <v>0</v>
          </cell>
          <cell r="AY112">
            <v>0</v>
          </cell>
          <cell r="AZ112">
            <v>0</v>
          </cell>
          <cell r="BA112">
            <v>0</v>
          </cell>
          <cell r="BC112">
            <v>-22530.73</v>
          </cell>
          <cell r="BD112">
            <v>-22530.73</v>
          </cell>
          <cell r="BG112">
            <v>0</v>
          </cell>
          <cell r="BI112" t="str">
            <v>Actual</v>
          </cell>
        </row>
        <row r="113">
          <cell r="B113" t="str">
            <v>Mar 2014</v>
          </cell>
          <cell r="C113" t="str">
            <v>CSR30</v>
          </cell>
          <cell r="D113" t="str">
            <v>CSR30</v>
          </cell>
          <cell r="E113" t="str">
            <v>KUCSR783</v>
          </cell>
          <cell r="F113">
            <v>1</v>
          </cell>
          <cell r="G113">
            <v>0</v>
          </cell>
          <cell r="H113">
            <v>0</v>
          </cell>
          <cell r="I113">
            <v>0</v>
          </cell>
          <cell r="J113">
            <v>0</v>
          </cell>
          <cell r="K113">
            <v>0</v>
          </cell>
          <cell r="L113">
            <v>0</v>
          </cell>
          <cell r="M113">
            <v>0</v>
          </cell>
          <cell r="N113">
            <v>0</v>
          </cell>
          <cell r="O113">
            <v>0</v>
          </cell>
          <cell r="S113">
            <v>0</v>
          </cell>
          <cell r="T113">
            <v>0</v>
          </cell>
          <cell r="U113">
            <v>0</v>
          </cell>
          <cell r="V113">
            <v>0</v>
          </cell>
          <cell r="W113">
            <v>0</v>
          </cell>
          <cell r="X113">
            <v>0</v>
          </cell>
          <cell r="AL113">
            <v>0</v>
          </cell>
          <cell r="AM113">
            <v>0</v>
          </cell>
          <cell r="AP113">
            <v>0</v>
          </cell>
          <cell r="AQ113">
            <v>0</v>
          </cell>
          <cell r="AR113">
            <v>0</v>
          </cell>
          <cell r="AV113">
            <v>0</v>
          </cell>
          <cell r="AW113">
            <v>0</v>
          </cell>
          <cell r="AY113">
            <v>0</v>
          </cell>
          <cell r="AZ113">
            <v>0</v>
          </cell>
          <cell r="BA113">
            <v>0</v>
          </cell>
          <cell r="BC113">
            <v>-8800</v>
          </cell>
          <cell r="BD113">
            <v>-8800</v>
          </cell>
          <cell r="BG113">
            <v>0</v>
          </cell>
          <cell r="BI113" t="str">
            <v>Actual</v>
          </cell>
        </row>
        <row r="114">
          <cell r="B114" t="str">
            <v>Mar 2014</v>
          </cell>
          <cell r="C114" t="str">
            <v>FLS</v>
          </cell>
          <cell r="D114" t="str">
            <v>FLST</v>
          </cell>
          <cell r="E114" t="str">
            <v>KUINE730</v>
          </cell>
          <cell r="F114">
            <v>1</v>
          </cell>
          <cell r="G114">
            <v>0</v>
          </cell>
          <cell r="H114">
            <v>0</v>
          </cell>
          <cell r="I114">
            <v>0</v>
          </cell>
          <cell r="J114">
            <v>0</v>
          </cell>
          <cell r="K114">
            <v>50976000</v>
          </cell>
          <cell r="L114">
            <v>0</v>
          </cell>
          <cell r="M114">
            <v>186638.7</v>
          </cell>
          <cell r="N114">
            <v>186638.7</v>
          </cell>
          <cell r="O114">
            <v>77936.899999999994</v>
          </cell>
          <cell r="S114">
            <v>0</v>
          </cell>
          <cell r="T114">
            <v>0</v>
          </cell>
          <cell r="U114">
            <v>0</v>
          </cell>
          <cell r="V114">
            <v>0</v>
          </cell>
          <cell r="W114">
            <v>0</v>
          </cell>
          <cell r="X114">
            <v>0</v>
          </cell>
          <cell r="AL114">
            <v>0</v>
          </cell>
          <cell r="AM114">
            <v>0</v>
          </cell>
          <cell r="AP114">
            <v>0</v>
          </cell>
          <cell r="AQ114">
            <v>0</v>
          </cell>
          <cell r="AR114">
            <v>0</v>
          </cell>
          <cell r="AV114">
            <v>2330566.75</v>
          </cell>
          <cell r="AW114">
            <v>2330566.75</v>
          </cell>
          <cell r="AY114">
            <v>159045.12</v>
          </cell>
          <cell r="AZ114">
            <v>0</v>
          </cell>
          <cell r="BA114">
            <v>23720.639999999999</v>
          </cell>
          <cell r="BC114">
            <v>0</v>
          </cell>
          <cell r="BD114">
            <v>2513332.5099999998</v>
          </cell>
          <cell r="BG114">
            <v>1474225.92</v>
          </cell>
          <cell r="BI114" t="str">
            <v>Actual</v>
          </cell>
        </row>
        <row r="115">
          <cell r="B115" t="str">
            <v>Mar 2014</v>
          </cell>
          <cell r="C115" t="str">
            <v>RS</v>
          </cell>
          <cell r="D115" t="str">
            <v>RS</v>
          </cell>
          <cell r="E115" t="str">
            <v>KURSE010</v>
          </cell>
          <cell r="F115">
            <v>229375</v>
          </cell>
          <cell r="G115">
            <v>-439</v>
          </cell>
          <cell r="H115">
            <v>0</v>
          </cell>
          <cell r="I115">
            <v>0</v>
          </cell>
          <cell r="J115">
            <v>0</v>
          </cell>
          <cell r="K115">
            <v>267454258</v>
          </cell>
          <cell r="L115">
            <v>0</v>
          </cell>
          <cell r="M115">
            <v>0</v>
          </cell>
          <cell r="N115">
            <v>0</v>
          </cell>
          <cell r="O115">
            <v>0</v>
          </cell>
          <cell r="S115">
            <v>0</v>
          </cell>
          <cell r="T115">
            <v>0</v>
          </cell>
          <cell r="U115">
            <v>0</v>
          </cell>
          <cell r="V115">
            <v>0</v>
          </cell>
          <cell r="W115">
            <v>0</v>
          </cell>
          <cell r="X115">
            <v>0</v>
          </cell>
          <cell r="AL115">
            <v>0</v>
          </cell>
          <cell r="AM115">
            <v>0</v>
          </cell>
          <cell r="AP115">
            <v>-5571.43</v>
          </cell>
          <cell r="AQ115">
            <v>-1237.3499999999999</v>
          </cell>
          <cell r="AR115">
            <v>0</v>
          </cell>
          <cell r="AV115">
            <v>23165910.959999997</v>
          </cell>
          <cell r="AW115">
            <v>23165910.960000001</v>
          </cell>
          <cell r="AY115">
            <v>833458.87</v>
          </cell>
          <cell r="AZ115">
            <v>933244.21</v>
          </cell>
          <cell r="BA115">
            <v>399695.69</v>
          </cell>
          <cell r="BC115">
            <v>0</v>
          </cell>
          <cell r="BD115">
            <v>25332309.75</v>
          </cell>
          <cell r="BG115">
            <v>7734777.1399999997</v>
          </cell>
          <cell r="BI115" t="str">
            <v>Actual</v>
          </cell>
        </row>
        <row r="116">
          <cell r="B116" t="str">
            <v>Mar 2014</v>
          </cell>
          <cell r="C116" t="str">
            <v>RS</v>
          </cell>
          <cell r="D116" t="str">
            <v>RS</v>
          </cell>
          <cell r="E116" t="str">
            <v>KURSE020</v>
          </cell>
          <cell r="F116">
            <v>195391</v>
          </cell>
          <cell r="G116">
            <v>-671</v>
          </cell>
          <cell r="H116">
            <v>0</v>
          </cell>
          <cell r="I116">
            <v>0</v>
          </cell>
          <cell r="J116">
            <v>0</v>
          </cell>
          <cell r="K116">
            <v>389789599</v>
          </cell>
          <cell r="L116">
            <v>0</v>
          </cell>
          <cell r="M116">
            <v>0</v>
          </cell>
          <cell r="N116">
            <v>0</v>
          </cell>
          <cell r="O116">
            <v>0</v>
          </cell>
          <cell r="S116">
            <v>0</v>
          </cell>
          <cell r="T116">
            <v>0</v>
          </cell>
          <cell r="U116">
            <v>0</v>
          </cell>
          <cell r="V116">
            <v>0</v>
          </cell>
          <cell r="W116">
            <v>0</v>
          </cell>
          <cell r="X116">
            <v>0</v>
          </cell>
          <cell r="AL116">
            <v>0</v>
          </cell>
          <cell r="AM116">
            <v>0</v>
          </cell>
          <cell r="AP116">
            <v>-6865.85</v>
          </cell>
          <cell r="AQ116">
            <v>-65.959999999999994</v>
          </cell>
          <cell r="AR116">
            <v>0</v>
          </cell>
          <cell r="AV116">
            <v>32271614.739999998</v>
          </cell>
          <cell r="AW116">
            <v>32271614.739999998</v>
          </cell>
          <cell r="AY116">
            <v>1211791.57</v>
          </cell>
          <cell r="AZ116">
            <v>1360354.12</v>
          </cell>
          <cell r="BA116">
            <v>560708.9</v>
          </cell>
          <cell r="BC116">
            <v>0</v>
          </cell>
          <cell r="BD116">
            <v>35404469.329999998</v>
          </cell>
          <cell r="BG116">
            <v>11272715.199999999</v>
          </cell>
          <cell r="BI116" t="str">
            <v>Actual</v>
          </cell>
        </row>
        <row r="117">
          <cell r="B117" t="str">
            <v>Mar 2014</v>
          </cell>
          <cell r="C117" t="str">
            <v>RS</v>
          </cell>
          <cell r="D117" t="str">
            <v>RS</v>
          </cell>
          <cell r="E117" t="str">
            <v>KURSE025</v>
          </cell>
          <cell r="F117">
            <v>247</v>
          </cell>
          <cell r="G117">
            <v>-3</v>
          </cell>
          <cell r="H117">
            <v>0</v>
          </cell>
          <cell r="I117">
            <v>0</v>
          </cell>
          <cell r="J117">
            <v>0</v>
          </cell>
          <cell r="K117">
            <v>547519</v>
          </cell>
          <cell r="L117">
            <v>0</v>
          </cell>
          <cell r="M117">
            <v>0</v>
          </cell>
          <cell r="N117">
            <v>0</v>
          </cell>
          <cell r="O117">
            <v>0</v>
          </cell>
          <cell r="S117">
            <v>0</v>
          </cell>
          <cell r="T117">
            <v>0</v>
          </cell>
          <cell r="U117">
            <v>0</v>
          </cell>
          <cell r="V117">
            <v>0</v>
          </cell>
          <cell r="W117">
            <v>0</v>
          </cell>
          <cell r="X117">
            <v>0</v>
          </cell>
          <cell r="AL117">
            <v>0</v>
          </cell>
          <cell r="AM117">
            <v>0</v>
          </cell>
          <cell r="AP117">
            <v>39.799999999999997</v>
          </cell>
          <cell r="AQ117">
            <v>-0.05</v>
          </cell>
          <cell r="AR117">
            <v>0</v>
          </cell>
          <cell r="AV117">
            <v>45062.62</v>
          </cell>
          <cell r="AW117">
            <v>45062.62</v>
          </cell>
          <cell r="AY117">
            <v>1474.96</v>
          </cell>
          <cell r="AZ117">
            <v>1910.82</v>
          </cell>
          <cell r="BA117">
            <v>940.79</v>
          </cell>
          <cell r="BC117">
            <v>0</v>
          </cell>
          <cell r="BD117">
            <v>49389.19</v>
          </cell>
          <cell r="BG117">
            <v>15834.25</v>
          </cell>
          <cell r="BI117" t="str">
            <v>Actual</v>
          </cell>
        </row>
        <row r="118">
          <cell r="B118" t="str">
            <v>Mar 2014</v>
          </cell>
          <cell r="C118" t="str">
            <v>LEV</v>
          </cell>
          <cell r="D118" t="str">
            <v>RSLEV</v>
          </cell>
          <cell r="E118" t="str">
            <v>KURSE040</v>
          </cell>
          <cell r="F118">
            <v>5</v>
          </cell>
          <cell r="G118">
            <v>1</v>
          </cell>
          <cell r="H118">
            <v>5181</v>
          </cell>
          <cell r="I118">
            <v>2142</v>
          </cell>
          <cell r="J118">
            <v>1288</v>
          </cell>
          <cell r="K118">
            <v>8611</v>
          </cell>
          <cell r="L118">
            <v>0</v>
          </cell>
          <cell r="M118">
            <v>0</v>
          </cell>
          <cell r="N118">
            <v>0</v>
          </cell>
          <cell r="O118">
            <v>0</v>
          </cell>
          <cell r="S118">
            <v>0</v>
          </cell>
          <cell r="T118">
            <v>0</v>
          </cell>
          <cell r="U118">
            <v>0</v>
          </cell>
          <cell r="V118">
            <v>0</v>
          </cell>
          <cell r="W118">
            <v>0</v>
          </cell>
          <cell r="X118">
            <v>0</v>
          </cell>
          <cell r="AL118">
            <v>0</v>
          </cell>
          <cell r="AM118">
            <v>0</v>
          </cell>
          <cell r="AP118">
            <v>0</v>
          </cell>
          <cell r="AQ118">
            <v>-0.02</v>
          </cell>
          <cell r="AR118">
            <v>0</v>
          </cell>
          <cell r="AV118">
            <v>704.37</v>
          </cell>
          <cell r="AW118">
            <v>704.37</v>
          </cell>
          <cell r="AY118">
            <v>20.53</v>
          </cell>
          <cell r="AZ118">
            <v>30.05</v>
          </cell>
          <cell r="BA118">
            <v>16.82</v>
          </cell>
          <cell r="BC118">
            <v>0</v>
          </cell>
          <cell r="BD118">
            <v>771.77</v>
          </cell>
          <cell r="BG118">
            <v>249.03</v>
          </cell>
          <cell r="BI118" t="str">
            <v>Actual</v>
          </cell>
        </row>
        <row r="119">
          <cell r="B119" t="str">
            <v>Mar 2014</v>
          </cell>
          <cell r="C119" t="str">
            <v>RS</v>
          </cell>
          <cell r="D119" t="str">
            <v>RSVFD</v>
          </cell>
          <cell r="E119" t="str">
            <v>KURSE080</v>
          </cell>
          <cell r="F119">
            <v>49</v>
          </cell>
          <cell r="G119">
            <v>-1</v>
          </cell>
          <cell r="H119">
            <v>0</v>
          </cell>
          <cell r="I119">
            <v>0</v>
          </cell>
          <cell r="J119">
            <v>0</v>
          </cell>
          <cell r="K119">
            <v>132111</v>
          </cell>
          <cell r="L119">
            <v>0</v>
          </cell>
          <cell r="M119">
            <v>0</v>
          </cell>
          <cell r="N119">
            <v>0</v>
          </cell>
          <cell r="O119">
            <v>0</v>
          </cell>
          <cell r="S119">
            <v>0</v>
          </cell>
          <cell r="T119">
            <v>0</v>
          </cell>
          <cell r="U119">
            <v>0</v>
          </cell>
          <cell r="V119">
            <v>0</v>
          </cell>
          <cell r="W119">
            <v>0</v>
          </cell>
          <cell r="X119">
            <v>0</v>
          </cell>
          <cell r="AL119">
            <v>0</v>
          </cell>
          <cell r="AM119">
            <v>0</v>
          </cell>
          <cell r="AP119">
            <v>10.75</v>
          </cell>
          <cell r="AQ119">
            <v>-0.01</v>
          </cell>
          <cell r="AR119">
            <v>0</v>
          </cell>
          <cell r="AV119">
            <v>10757.42</v>
          </cell>
          <cell r="AW119">
            <v>10757.42</v>
          </cell>
          <cell r="AY119">
            <v>384.71</v>
          </cell>
          <cell r="AZ119">
            <v>461.06</v>
          </cell>
          <cell r="BA119">
            <v>205.47</v>
          </cell>
          <cell r="BC119">
            <v>0</v>
          </cell>
          <cell r="BD119">
            <v>11808.66</v>
          </cell>
          <cell r="BG119">
            <v>3820.65</v>
          </cell>
          <cell r="BI119" t="str">
            <v>Actual</v>
          </cell>
        </row>
        <row r="120">
          <cell r="B120" t="str">
            <v>Mar 2014</v>
          </cell>
          <cell r="C120" t="str">
            <v>RS</v>
          </cell>
          <cell r="D120" t="str">
            <v>RS</v>
          </cell>
          <cell r="E120" t="str">
            <v>KURSE715</v>
          </cell>
          <cell r="F120">
            <v>52</v>
          </cell>
          <cell r="G120">
            <v>0</v>
          </cell>
          <cell r="H120">
            <v>0</v>
          </cell>
          <cell r="I120">
            <v>0</v>
          </cell>
          <cell r="J120">
            <v>0</v>
          </cell>
          <cell r="K120">
            <v>123913</v>
          </cell>
          <cell r="L120">
            <v>0</v>
          </cell>
          <cell r="M120">
            <v>0</v>
          </cell>
          <cell r="N120">
            <v>0</v>
          </cell>
          <cell r="O120">
            <v>0</v>
          </cell>
          <cell r="S120">
            <v>0</v>
          </cell>
          <cell r="T120">
            <v>0</v>
          </cell>
          <cell r="U120">
            <v>0</v>
          </cell>
          <cell r="V120">
            <v>0</v>
          </cell>
          <cell r="W120">
            <v>0</v>
          </cell>
          <cell r="X120">
            <v>0</v>
          </cell>
          <cell r="AL120">
            <v>0</v>
          </cell>
          <cell r="AM120">
            <v>0</v>
          </cell>
          <cell r="AP120">
            <v>9.7100000000000009</v>
          </cell>
          <cell r="AQ120">
            <v>-0.01</v>
          </cell>
          <cell r="AR120">
            <v>0</v>
          </cell>
          <cell r="AV120">
            <v>10164.519999999999</v>
          </cell>
          <cell r="AW120">
            <v>10164.519999999999</v>
          </cell>
          <cell r="AY120">
            <v>328.67</v>
          </cell>
          <cell r="AZ120">
            <v>432.46</v>
          </cell>
          <cell r="BA120">
            <v>216.06</v>
          </cell>
          <cell r="BC120">
            <v>0</v>
          </cell>
          <cell r="BD120">
            <v>11141.71</v>
          </cell>
          <cell r="BG120">
            <v>3583.56</v>
          </cell>
          <cell r="BI120" t="str">
            <v>Actual</v>
          </cell>
        </row>
        <row r="121">
          <cell r="B121" t="str">
            <v>Apr 2014</v>
          </cell>
          <cell r="C121" t="str">
            <v>RTS</v>
          </cell>
          <cell r="D121" t="str">
            <v>RTS</v>
          </cell>
          <cell r="E121" t="str">
            <v>KUCIE550</v>
          </cell>
          <cell r="F121">
            <v>32</v>
          </cell>
          <cell r="G121">
            <v>0</v>
          </cell>
          <cell r="H121">
            <v>0</v>
          </cell>
          <cell r="I121">
            <v>0</v>
          </cell>
          <cell r="J121">
            <v>0</v>
          </cell>
          <cell r="K121">
            <v>136741819</v>
          </cell>
          <cell r="L121">
            <v>0</v>
          </cell>
          <cell r="M121">
            <v>302268.59999999998</v>
          </cell>
          <cell r="N121">
            <v>297179.59999999998</v>
          </cell>
          <cell r="O121">
            <v>283968.3</v>
          </cell>
          <cell r="S121">
            <v>5879.8</v>
          </cell>
          <cell r="T121">
            <v>1235.9000000000001</v>
          </cell>
          <cell r="U121">
            <v>839.1</v>
          </cell>
          <cell r="V121">
            <v>0</v>
          </cell>
          <cell r="W121">
            <v>0</v>
          </cell>
          <cell r="X121">
            <v>0</v>
          </cell>
          <cell r="AL121">
            <v>0</v>
          </cell>
          <cell r="AM121">
            <v>0</v>
          </cell>
          <cell r="AP121">
            <v>0</v>
          </cell>
          <cell r="AQ121">
            <v>9.9999997764825821E-3</v>
          </cell>
          <cell r="AR121">
            <v>6.0000000521540642E-2</v>
          </cell>
          <cell r="AV121">
            <v>7393254.4800000014</v>
          </cell>
          <cell r="AW121">
            <v>7393254.4800000004</v>
          </cell>
          <cell r="AY121">
            <v>289892.65000000002</v>
          </cell>
          <cell r="AZ121">
            <v>0</v>
          </cell>
          <cell r="BA121">
            <v>72563.28</v>
          </cell>
          <cell r="BC121">
            <v>0</v>
          </cell>
          <cell r="BD121">
            <v>7755710.4100000001</v>
          </cell>
          <cell r="BG121">
            <v>3954573.41</v>
          </cell>
          <cell r="BI121" t="str">
            <v>Actual</v>
          </cell>
        </row>
        <row r="122">
          <cell r="B122" t="str">
            <v>Apr 2014</v>
          </cell>
          <cell r="C122" t="str">
            <v>PSP</v>
          </cell>
          <cell r="D122" t="str">
            <v>PSP</v>
          </cell>
          <cell r="E122" t="str">
            <v>KUCIE561</v>
          </cell>
          <cell r="F122">
            <v>166</v>
          </cell>
          <cell r="G122">
            <v>1</v>
          </cell>
          <cell r="H122">
            <v>0</v>
          </cell>
          <cell r="I122">
            <v>0</v>
          </cell>
          <cell r="J122">
            <v>0</v>
          </cell>
          <cell r="K122">
            <v>3934684</v>
          </cell>
          <cell r="L122">
            <v>0</v>
          </cell>
          <cell r="M122">
            <v>0</v>
          </cell>
          <cell r="N122">
            <v>12153.9</v>
          </cell>
          <cell r="O122">
            <v>0</v>
          </cell>
          <cell r="S122">
            <v>0</v>
          </cell>
          <cell r="T122">
            <v>1167.45</v>
          </cell>
          <cell r="U122">
            <v>0</v>
          </cell>
          <cell r="V122">
            <v>0</v>
          </cell>
          <cell r="W122">
            <v>0</v>
          </cell>
          <cell r="X122">
            <v>0</v>
          </cell>
          <cell r="AL122">
            <v>0</v>
          </cell>
          <cell r="AM122">
            <v>0</v>
          </cell>
          <cell r="AP122">
            <v>-170</v>
          </cell>
          <cell r="AQ122">
            <v>0.1</v>
          </cell>
          <cell r="AR122">
            <v>0.01</v>
          </cell>
          <cell r="AV122">
            <v>343948.93999999994</v>
          </cell>
          <cell r="AW122">
            <v>343948.94</v>
          </cell>
          <cell r="AY122">
            <v>8385.57</v>
          </cell>
          <cell r="AZ122">
            <v>4477.97</v>
          </cell>
          <cell r="BA122">
            <v>4926.37</v>
          </cell>
          <cell r="BC122">
            <v>0</v>
          </cell>
          <cell r="BD122">
            <v>361738.85</v>
          </cell>
          <cell r="BG122">
            <v>113791.06</v>
          </cell>
          <cell r="BI122" t="str">
            <v>Actual</v>
          </cell>
        </row>
        <row r="123">
          <cell r="B123" t="str">
            <v>Apr 2014</v>
          </cell>
          <cell r="C123" t="str">
            <v>PSS</v>
          </cell>
          <cell r="D123" t="str">
            <v>PSS</v>
          </cell>
          <cell r="E123" t="str">
            <v>KUCIE562</v>
          </cell>
          <cell r="F123">
            <v>4849</v>
          </cell>
          <cell r="G123">
            <v>0</v>
          </cell>
          <cell r="H123">
            <v>0</v>
          </cell>
          <cell r="I123">
            <v>0</v>
          </cell>
          <cell r="J123">
            <v>0</v>
          </cell>
          <cell r="K123">
            <v>124118359</v>
          </cell>
          <cell r="L123">
            <v>0</v>
          </cell>
          <cell r="M123">
            <v>0</v>
          </cell>
          <cell r="N123">
            <v>372625.1</v>
          </cell>
          <cell r="O123">
            <v>0</v>
          </cell>
          <cell r="S123">
            <v>0</v>
          </cell>
          <cell r="T123">
            <v>55905.09</v>
          </cell>
          <cell r="U123">
            <v>0</v>
          </cell>
          <cell r="V123">
            <v>0</v>
          </cell>
          <cell r="W123">
            <v>0</v>
          </cell>
          <cell r="X123">
            <v>0</v>
          </cell>
          <cell r="AL123">
            <v>0</v>
          </cell>
          <cell r="AM123">
            <v>0</v>
          </cell>
          <cell r="AP123">
            <v>-4278.78</v>
          </cell>
          <cell r="AQ123">
            <v>58.27</v>
          </cell>
          <cell r="AR123">
            <v>-37817.760000000002</v>
          </cell>
          <cell r="AV123">
            <v>10474548.549999999</v>
          </cell>
          <cell r="AW123">
            <v>10474548.550000001</v>
          </cell>
          <cell r="AY123">
            <v>270962.06</v>
          </cell>
          <cell r="AZ123">
            <v>156744.1</v>
          </cell>
          <cell r="BA123">
            <v>150726.51</v>
          </cell>
          <cell r="BC123">
            <v>0</v>
          </cell>
          <cell r="BD123">
            <v>11052981.220000001</v>
          </cell>
          <cell r="BG123">
            <v>3589502.94</v>
          </cell>
          <cell r="BI123" t="str">
            <v>Actual</v>
          </cell>
        </row>
        <row r="124">
          <cell r="B124" t="str">
            <v>Apr 2014</v>
          </cell>
          <cell r="C124" t="str">
            <v>TODP</v>
          </cell>
          <cell r="D124" t="str">
            <v>TODP</v>
          </cell>
          <cell r="E124" t="str">
            <v>KUCIE563</v>
          </cell>
          <cell r="F124">
            <v>54</v>
          </cell>
          <cell r="G124">
            <v>0</v>
          </cell>
          <cell r="H124">
            <v>0</v>
          </cell>
          <cell r="I124">
            <v>0</v>
          </cell>
          <cell r="J124">
            <v>0</v>
          </cell>
          <cell r="K124">
            <v>241833815</v>
          </cell>
          <cell r="L124">
            <v>0</v>
          </cell>
          <cell r="M124">
            <v>481037</v>
          </cell>
          <cell r="N124">
            <v>480153.5</v>
          </cell>
          <cell r="O124">
            <v>476123.4</v>
          </cell>
          <cell r="S124">
            <v>34869.5</v>
          </cell>
          <cell r="T124">
            <v>4854.1000000000004</v>
          </cell>
          <cell r="U124">
            <v>4919.3999999999996</v>
          </cell>
          <cell r="V124">
            <v>0</v>
          </cell>
          <cell r="W124">
            <v>0</v>
          </cell>
          <cell r="X124">
            <v>0</v>
          </cell>
          <cell r="AL124">
            <v>0</v>
          </cell>
          <cell r="AM124">
            <v>0</v>
          </cell>
          <cell r="AP124">
            <v>600.03</v>
          </cell>
          <cell r="AQ124">
            <v>0</v>
          </cell>
          <cell r="AR124">
            <v>0.01</v>
          </cell>
          <cell r="AV124">
            <v>13391906.59</v>
          </cell>
          <cell r="AW124">
            <v>13391906.59</v>
          </cell>
          <cell r="AY124">
            <v>580387.93000000005</v>
          </cell>
          <cell r="AZ124">
            <v>30544.89</v>
          </cell>
          <cell r="BA124">
            <v>147740.69</v>
          </cell>
          <cell r="BC124">
            <v>0</v>
          </cell>
          <cell r="BD124">
            <v>14150580.1</v>
          </cell>
          <cell r="BG124">
            <v>6993833.9299999997</v>
          </cell>
          <cell r="BI124" t="str">
            <v>Actual</v>
          </cell>
        </row>
        <row r="125">
          <cell r="B125" t="str">
            <v>Apr 2014</v>
          </cell>
          <cell r="C125" t="str">
            <v>PSP</v>
          </cell>
          <cell r="D125" t="str">
            <v>PSP</v>
          </cell>
          <cell r="E125" t="str">
            <v>KUCIE566</v>
          </cell>
          <cell r="F125">
            <v>77</v>
          </cell>
          <cell r="G125">
            <v>1</v>
          </cell>
          <cell r="H125">
            <v>0</v>
          </cell>
          <cell r="I125">
            <v>0</v>
          </cell>
          <cell r="J125">
            <v>0</v>
          </cell>
          <cell r="K125">
            <v>21503273</v>
          </cell>
          <cell r="L125">
            <v>0</v>
          </cell>
          <cell r="M125">
            <v>0</v>
          </cell>
          <cell r="N125">
            <v>49257.7</v>
          </cell>
          <cell r="O125">
            <v>0</v>
          </cell>
          <cell r="S125">
            <v>0</v>
          </cell>
          <cell r="T125">
            <v>2983.75</v>
          </cell>
          <cell r="U125">
            <v>0</v>
          </cell>
          <cell r="V125">
            <v>0</v>
          </cell>
          <cell r="W125">
            <v>0</v>
          </cell>
          <cell r="X125">
            <v>0</v>
          </cell>
          <cell r="AL125">
            <v>812.5</v>
          </cell>
          <cell r="AM125">
            <v>7512.61</v>
          </cell>
          <cell r="AP125">
            <v>17</v>
          </cell>
          <cell r="AQ125">
            <v>0</v>
          </cell>
          <cell r="AR125">
            <v>-883.72</v>
          </cell>
          <cell r="AV125">
            <v>1475207.29</v>
          </cell>
          <cell r="AW125">
            <v>1475207.29</v>
          </cell>
          <cell r="AY125">
            <v>46937.31</v>
          </cell>
          <cell r="AZ125">
            <v>16713.34</v>
          </cell>
          <cell r="BA125">
            <v>18667.78</v>
          </cell>
          <cell r="BC125">
            <v>0</v>
          </cell>
          <cell r="BD125">
            <v>1557525.72</v>
          </cell>
          <cell r="BG125">
            <v>621874.66</v>
          </cell>
          <cell r="BI125" t="str">
            <v>Actual</v>
          </cell>
        </row>
        <row r="126">
          <cell r="B126" t="str">
            <v>Apr 2014</v>
          </cell>
          <cell r="C126" t="str">
            <v>PSS</v>
          </cell>
          <cell r="D126" t="str">
            <v>PSS</v>
          </cell>
          <cell r="E126" t="str">
            <v>KUCIE568</v>
          </cell>
          <cell r="F126">
            <v>399</v>
          </cell>
          <cell r="G126">
            <v>0</v>
          </cell>
          <cell r="H126">
            <v>0</v>
          </cell>
          <cell r="I126">
            <v>0</v>
          </cell>
          <cell r="J126">
            <v>0</v>
          </cell>
          <cell r="K126">
            <v>55207646</v>
          </cell>
          <cell r="L126">
            <v>0</v>
          </cell>
          <cell r="M126">
            <v>0</v>
          </cell>
          <cell r="N126">
            <v>142960.4</v>
          </cell>
          <cell r="O126">
            <v>0</v>
          </cell>
          <cell r="S126">
            <v>0</v>
          </cell>
          <cell r="T126">
            <v>8514.77</v>
          </cell>
          <cell r="U126">
            <v>0</v>
          </cell>
          <cell r="V126">
            <v>0</v>
          </cell>
          <cell r="W126">
            <v>0</v>
          </cell>
          <cell r="X126">
            <v>0</v>
          </cell>
          <cell r="AL126">
            <v>333.25</v>
          </cell>
          <cell r="AM126">
            <v>62205.3</v>
          </cell>
          <cell r="AP126">
            <v>-243.23</v>
          </cell>
          <cell r="AQ126">
            <v>0.02</v>
          </cell>
          <cell r="AR126">
            <v>-11535.19</v>
          </cell>
          <cell r="AV126">
            <v>4053742.89</v>
          </cell>
          <cell r="AW126">
            <v>4053742.89</v>
          </cell>
          <cell r="AY126">
            <v>119223.8</v>
          </cell>
          <cell r="AZ126">
            <v>43645.23</v>
          </cell>
          <cell r="BA126">
            <v>53778.19</v>
          </cell>
          <cell r="BC126">
            <v>0</v>
          </cell>
          <cell r="BD126">
            <v>4270390.1100000003</v>
          </cell>
          <cell r="BG126">
            <v>1596605.12</v>
          </cell>
          <cell r="BI126" t="str">
            <v>Actual</v>
          </cell>
        </row>
        <row r="127">
          <cell r="B127" t="str">
            <v>Apr 2014</v>
          </cell>
          <cell r="C127" t="str">
            <v>TODP</v>
          </cell>
          <cell r="D127" t="str">
            <v>TODP</v>
          </cell>
          <cell r="E127" t="str">
            <v>KUCIE571</v>
          </cell>
          <cell r="F127">
            <v>157</v>
          </cell>
          <cell r="G127">
            <v>0</v>
          </cell>
          <cell r="H127">
            <v>0</v>
          </cell>
          <cell r="I127">
            <v>0</v>
          </cell>
          <cell r="J127">
            <v>0</v>
          </cell>
          <cell r="K127">
            <v>93811383</v>
          </cell>
          <cell r="L127">
            <v>0</v>
          </cell>
          <cell r="M127">
            <v>243085.9</v>
          </cell>
          <cell r="N127">
            <v>241318.7</v>
          </cell>
          <cell r="O127">
            <v>236491.9</v>
          </cell>
          <cell r="S127">
            <v>12933</v>
          </cell>
          <cell r="T127">
            <v>2728.4</v>
          </cell>
          <cell r="U127">
            <v>2752.4</v>
          </cell>
          <cell r="V127">
            <v>0</v>
          </cell>
          <cell r="W127">
            <v>0</v>
          </cell>
          <cell r="X127">
            <v>0</v>
          </cell>
          <cell r="AL127">
            <v>4187.5</v>
          </cell>
          <cell r="AM127">
            <v>0</v>
          </cell>
          <cell r="AP127">
            <v>-200</v>
          </cell>
          <cell r="AQ127">
            <v>0.03</v>
          </cell>
          <cell r="AR127">
            <v>-30609.68</v>
          </cell>
          <cell r="AV127">
            <v>5683019.4500000011</v>
          </cell>
          <cell r="AW127">
            <v>5683019.4500000002</v>
          </cell>
          <cell r="AY127">
            <v>204333.35</v>
          </cell>
          <cell r="AZ127">
            <v>28638.71</v>
          </cell>
          <cell r="BA127">
            <v>64407.93</v>
          </cell>
          <cell r="BC127">
            <v>0</v>
          </cell>
          <cell r="BD127">
            <v>5980399.4400000004</v>
          </cell>
          <cell r="BG127">
            <v>2713025.2</v>
          </cell>
          <cell r="BI127" t="str">
            <v>Actual</v>
          </cell>
        </row>
        <row r="128">
          <cell r="B128" t="str">
            <v>Apr 2014</v>
          </cell>
          <cell r="C128" t="str">
            <v>TODS</v>
          </cell>
          <cell r="D128" t="str">
            <v>TODS</v>
          </cell>
          <cell r="E128" t="str">
            <v>KUCIE572</v>
          </cell>
          <cell r="F128">
            <v>428</v>
          </cell>
          <cell r="G128">
            <v>6</v>
          </cell>
          <cell r="H128">
            <v>0</v>
          </cell>
          <cell r="I128">
            <v>0</v>
          </cell>
          <cell r="J128">
            <v>0</v>
          </cell>
          <cell r="K128">
            <v>94643548</v>
          </cell>
          <cell r="L128">
            <v>0</v>
          </cell>
          <cell r="M128">
            <v>218397.3</v>
          </cell>
          <cell r="N128">
            <v>216249.1</v>
          </cell>
          <cell r="O128">
            <v>211381.5</v>
          </cell>
          <cell r="S128">
            <v>22990.950000000012</v>
          </cell>
          <cell r="T128">
            <v>1513.1499999999942</v>
          </cell>
          <cell r="U128">
            <v>1610.6000000000058</v>
          </cell>
          <cell r="V128">
            <v>0</v>
          </cell>
          <cell r="W128">
            <v>0</v>
          </cell>
          <cell r="X128">
            <v>0</v>
          </cell>
          <cell r="AL128">
            <v>7907.43</v>
          </cell>
          <cell r="AM128">
            <v>74392.84</v>
          </cell>
          <cell r="AP128">
            <v>-1376.25</v>
          </cell>
          <cell r="AQ128">
            <v>7.0000000000000007E-2</v>
          </cell>
          <cell r="AR128">
            <v>29902.05</v>
          </cell>
          <cell r="AV128">
            <v>6253865.379999999</v>
          </cell>
          <cell r="AW128">
            <v>6253865.3799999999</v>
          </cell>
          <cell r="AY128">
            <v>209608.62</v>
          </cell>
          <cell r="AZ128">
            <v>68002.94</v>
          </cell>
          <cell r="BA128">
            <v>77656.899999999994</v>
          </cell>
          <cell r="BC128">
            <v>0</v>
          </cell>
          <cell r="BD128">
            <v>6609133.8399999999</v>
          </cell>
          <cell r="BG128">
            <v>2737091.41</v>
          </cell>
          <cell r="BI128" t="str">
            <v>Actual</v>
          </cell>
        </row>
        <row r="129">
          <cell r="B129" t="str">
            <v>Apr 2014</v>
          </cell>
          <cell r="C129" t="str">
            <v>PSS</v>
          </cell>
          <cell r="D129" t="str">
            <v>PSS</v>
          </cell>
          <cell r="E129" t="str">
            <v>KUCIE717</v>
          </cell>
          <cell r="F129">
            <v>1</v>
          </cell>
          <cell r="G129">
            <v>0</v>
          </cell>
          <cell r="H129">
            <v>0</v>
          </cell>
          <cell r="I129">
            <v>0</v>
          </cell>
          <cell r="J129">
            <v>0</v>
          </cell>
          <cell r="K129">
            <v>23280</v>
          </cell>
          <cell r="L129">
            <v>0</v>
          </cell>
          <cell r="M129">
            <v>0</v>
          </cell>
          <cell r="N129">
            <v>120.8</v>
          </cell>
          <cell r="O129">
            <v>0</v>
          </cell>
          <cell r="S129">
            <v>0</v>
          </cell>
          <cell r="T129">
            <v>0</v>
          </cell>
          <cell r="U129">
            <v>0</v>
          </cell>
          <cell r="V129">
            <v>0</v>
          </cell>
          <cell r="W129">
            <v>0</v>
          </cell>
          <cell r="X129">
            <v>0</v>
          </cell>
          <cell r="AL129">
            <v>0</v>
          </cell>
          <cell r="AM129">
            <v>0</v>
          </cell>
          <cell r="AP129">
            <v>0</v>
          </cell>
          <cell r="AQ129">
            <v>0</v>
          </cell>
          <cell r="AR129">
            <v>0</v>
          </cell>
          <cell r="AV129">
            <v>2514.2600000000002</v>
          </cell>
          <cell r="AW129">
            <v>2514.2599999999998</v>
          </cell>
          <cell r="AY129">
            <v>49.35</v>
          </cell>
          <cell r="AZ129">
            <v>31.89</v>
          </cell>
          <cell r="BA129">
            <v>39.520000000000003</v>
          </cell>
          <cell r="BC129">
            <v>0</v>
          </cell>
          <cell r="BD129">
            <v>2635.02</v>
          </cell>
          <cell r="BG129">
            <v>673.26</v>
          </cell>
          <cell r="BI129" t="str">
            <v>Actual</v>
          </cell>
        </row>
        <row r="130">
          <cell r="B130" t="str">
            <v>Apr 2014</v>
          </cell>
          <cell r="C130" t="str">
            <v>GS</v>
          </cell>
          <cell r="D130" t="str">
            <v>GS</v>
          </cell>
          <cell r="E130" t="str">
            <v>KUCME110</v>
          </cell>
          <cell r="F130">
            <v>64412</v>
          </cell>
          <cell r="G130">
            <v>0</v>
          </cell>
          <cell r="H130">
            <v>0</v>
          </cell>
          <cell r="I130">
            <v>0</v>
          </cell>
          <cell r="J130">
            <v>0</v>
          </cell>
          <cell r="K130">
            <v>59618393</v>
          </cell>
          <cell r="L130">
            <v>0</v>
          </cell>
          <cell r="M130">
            <v>125187.5</v>
          </cell>
          <cell r="N130">
            <v>0</v>
          </cell>
          <cell r="O130">
            <v>0</v>
          </cell>
          <cell r="S130">
            <v>0</v>
          </cell>
          <cell r="T130">
            <v>0</v>
          </cell>
          <cell r="U130">
            <v>0</v>
          </cell>
          <cell r="V130">
            <v>0</v>
          </cell>
          <cell r="W130">
            <v>0</v>
          </cell>
          <cell r="X130">
            <v>0</v>
          </cell>
          <cell r="AL130">
            <v>0</v>
          </cell>
          <cell r="AM130">
            <v>0</v>
          </cell>
          <cell r="AP130">
            <v>11764.77</v>
          </cell>
          <cell r="AQ130">
            <v>34.33</v>
          </cell>
          <cell r="AR130">
            <v>0</v>
          </cell>
          <cell r="AV130">
            <v>6799835.8499999996</v>
          </cell>
          <cell r="AW130">
            <v>6799835.8500000006</v>
          </cell>
          <cell r="AY130">
            <v>130392.83</v>
          </cell>
          <cell r="AZ130">
            <v>172989.52</v>
          </cell>
          <cell r="BA130">
            <v>111648.03</v>
          </cell>
          <cell r="BC130">
            <v>0</v>
          </cell>
          <cell r="BD130">
            <v>7214866.2300000004</v>
          </cell>
          <cell r="BG130">
            <v>1724163.93</v>
          </cell>
          <cell r="BI130" t="str">
            <v>Actual</v>
          </cell>
        </row>
        <row r="131">
          <cell r="B131" t="str">
            <v>Apr 2014</v>
          </cell>
          <cell r="C131" t="str">
            <v>GS</v>
          </cell>
          <cell r="D131" t="str">
            <v>GS</v>
          </cell>
          <cell r="E131" t="str">
            <v>KUCME112</v>
          </cell>
          <cell r="F131">
            <v>61</v>
          </cell>
          <cell r="G131">
            <v>0</v>
          </cell>
          <cell r="H131">
            <v>0</v>
          </cell>
          <cell r="I131">
            <v>0</v>
          </cell>
          <cell r="J131">
            <v>0</v>
          </cell>
          <cell r="K131">
            <v>10785</v>
          </cell>
          <cell r="L131">
            <v>0</v>
          </cell>
          <cell r="M131">
            <v>0</v>
          </cell>
          <cell r="N131">
            <v>0</v>
          </cell>
          <cell r="O131">
            <v>0</v>
          </cell>
          <cell r="S131">
            <v>0</v>
          </cell>
          <cell r="T131">
            <v>0</v>
          </cell>
          <cell r="U131">
            <v>0</v>
          </cell>
          <cell r="V131">
            <v>0</v>
          </cell>
          <cell r="W131">
            <v>0</v>
          </cell>
          <cell r="X131">
            <v>0</v>
          </cell>
          <cell r="AL131">
            <v>0</v>
          </cell>
          <cell r="AM131">
            <v>0</v>
          </cell>
          <cell r="AP131">
            <v>0</v>
          </cell>
          <cell r="AQ131">
            <v>0.02</v>
          </cell>
          <cell r="AR131">
            <v>0</v>
          </cell>
          <cell r="AV131">
            <v>2214.94</v>
          </cell>
          <cell r="AW131">
            <v>2214.9399999999996</v>
          </cell>
          <cell r="AY131">
            <v>24.55</v>
          </cell>
          <cell r="AZ131">
            <v>31.33</v>
          </cell>
          <cell r="BA131">
            <v>42.4</v>
          </cell>
          <cell r="BC131">
            <v>0</v>
          </cell>
          <cell r="BD131">
            <v>2313.2199999999998</v>
          </cell>
          <cell r="BG131">
            <v>311.89999999999998</v>
          </cell>
          <cell r="BI131" t="str">
            <v>Actual</v>
          </cell>
        </row>
        <row r="132">
          <cell r="B132" t="str">
            <v>Apr 2014</v>
          </cell>
          <cell r="C132" t="str">
            <v>GS3</v>
          </cell>
          <cell r="D132" t="str">
            <v>GS3</v>
          </cell>
          <cell r="E132" t="str">
            <v>KUCME113</v>
          </cell>
          <cell r="F132">
            <v>17245</v>
          </cell>
          <cell r="G132">
            <v>0</v>
          </cell>
          <cell r="H132">
            <v>0</v>
          </cell>
          <cell r="I132">
            <v>0</v>
          </cell>
          <cell r="J132">
            <v>0</v>
          </cell>
          <cell r="K132">
            <v>76504036</v>
          </cell>
          <cell r="L132">
            <v>0</v>
          </cell>
          <cell r="M132">
            <v>350794.2</v>
          </cell>
          <cell r="N132">
            <v>0</v>
          </cell>
          <cell r="O132">
            <v>0</v>
          </cell>
          <cell r="S132">
            <v>0</v>
          </cell>
          <cell r="T132">
            <v>0</v>
          </cell>
          <cell r="U132">
            <v>0</v>
          </cell>
          <cell r="V132">
            <v>0</v>
          </cell>
          <cell r="W132">
            <v>0</v>
          </cell>
          <cell r="X132">
            <v>0</v>
          </cell>
          <cell r="AL132">
            <v>0</v>
          </cell>
          <cell r="AM132">
            <v>0</v>
          </cell>
          <cell r="AP132">
            <v>2015</v>
          </cell>
          <cell r="AQ132">
            <v>-247.64</v>
          </cell>
          <cell r="AR132">
            <v>0</v>
          </cell>
          <cell r="AV132">
            <v>7662839.6800000006</v>
          </cell>
          <cell r="AW132">
            <v>7662839.6800000006</v>
          </cell>
          <cell r="AY132">
            <v>166066.01999999999</v>
          </cell>
          <cell r="AZ132">
            <v>208112.8</v>
          </cell>
          <cell r="BA132">
            <v>121349.19</v>
          </cell>
          <cell r="BC132">
            <v>0</v>
          </cell>
          <cell r="BD132">
            <v>8158367.6900000004</v>
          </cell>
          <cell r="BG132">
            <v>2212496.7200000002</v>
          </cell>
          <cell r="BI132" t="str">
            <v>Actual</v>
          </cell>
        </row>
        <row r="133">
          <cell r="B133" t="str">
            <v>Apr 2014</v>
          </cell>
          <cell r="C133" t="str">
            <v>AES</v>
          </cell>
          <cell r="D133" t="str">
            <v>AES</v>
          </cell>
          <cell r="E133" t="str">
            <v>KUCME220</v>
          </cell>
          <cell r="F133">
            <v>335</v>
          </cell>
          <cell r="G133">
            <v>0</v>
          </cell>
          <cell r="H133">
            <v>0</v>
          </cell>
          <cell r="I133">
            <v>0</v>
          </cell>
          <cell r="J133">
            <v>0</v>
          </cell>
          <cell r="K133">
            <v>669685</v>
          </cell>
          <cell r="L133">
            <v>0</v>
          </cell>
          <cell r="M133">
            <v>2645.1</v>
          </cell>
          <cell r="N133">
            <v>0</v>
          </cell>
          <cell r="O133">
            <v>0</v>
          </cell>
          <cell r="S133">
            <v>0</v>
          </cell>
          <cell r="T133">
            <v>0</v>
          </cell>
          <cell r="U133">
            <v>0</v>
          </cell>
          <cell r="V133">
            <v>0</v>
          </cell>
          <cell r="W133">
            <v>0</v>
          </cell>
          <cell r="X133">
            <v>0</v>
          </cell>
          <cell r="AL133">
            <v>0</v>
          </cell>
          <cell r="AM133">
            <v>0</v>
          </cell>
          <cell r="AP133">
            <v>0.02</v>
          </cell>
          <cell r="AQ133">
            <v>0.01</v>
          </cell>
          <cell r="AR133">
            <v>0</v>
          </cell>
          <cell r="AV133">
            <v>56524.59</v>
          </cell>
          <cell r="AW133">
            <v>56524.590000000004</v>
          </cell>
          <cell r="AY133">
            <v>1624.36</v>
          </cell>
          <cell r="AZ133">
            <v>752.05</v>
          </cell>
          <cell r="BA133">
            <v>784.22</v>
          </cell>
          <cell r="BC133">
            <v>0</v>
          </cell>
          <cell r="BD133">
            <v>59685.22</v>
          </cell>
          <cell r="BG133">
            <v>19367.29</v>
          </cell>
          <cell r="BI133" t="str">
            <v>Actual</v>
          </cell>
        </row>
        <row r="134">
          <cell r="B134" t="str">
            <v>Apr 2014</v>
          </cell>
          <cell r="C134" t="str">
            <v>AES</v>
          </cell>
          <cell r="D134" t="str">
            <v>AES</v>
          </cell>
          <cell r="E134" t="str">
            <v>KUCME221</v>
          </cell>
          <cell r="F134">
            <v>6</v>
          </cell>
          <cell r="G134">
            <v>6</v>
          </cell>
          <cell r="H134">
            <v>0</v>
          </cell>
          <cell r="I134">
            <v>0</v>
          </cell>
          <cell r="J134">
            <v>0</v>
          </cell>
          <cell r="K134">
            <v>-1002900</v>
          </cell>
          <cell r="L134">
            <v>0</v>
          </cell>
          <cell r="M134">
            <v>160.5</v>
          </cell>
          <cell r="N134">
            <v>0</v>
          </cell>
          <cell r="O134">
            <v>0</v>
          </cell>
          <cell r="S134">
            <v>0</v>
          </cell>
          <cell r="T134">
            <v>0</v>
          </cell>
          <cell r="U134">
            <v>0</v>
          </cell>
          <cell r="V134">
            <v>0</v>
          </cell>
          <cell r="W134">
            <v>0</v>
          </cell>
          <cell r="X134">
            <v>0</v>
          </cell>
          <cell r="AL134">
            <v>0</v>
          </cell>
          <cell r="AM134">
            <v>0</v>
          </cell>
          <cell r="AP134">
            <v>-100</v>
          </cell>
          <cell r="AQ134">
            <v>0.53</v>
          </cell>
          <cell r="AR134">
            <v>0</v>
          </cell>
          <cell r="AV134">
            <v>-74475.23</v>
          </cell>
          <cell r="AW134">
            <v>-74475.23000000001</v>
          </cell>
          <cell r="AY134">
            <v>1468.27</v>
          </cell>
          <cell r="AZ134">
            <v>-882.25</v>
          </cell>
          <cell r="BA134">
            <v>-4189.8599999999997</v>
          </cell>
          <cell r="BC134">
            <v>0</v>
          </cell>
          <cell r="BD134">
            <v>-78079.070000000007</v>
          </cell>
          <cell r="BG134">
            <v>-29003.87</v>
          </cell>
          <cell r="BI134" t="str">
            <v>Actual</v>
          </cell>
        </row>
        <row r="135">
          <cell r="B135" t="str">
            <v>Apr 2014</v>
          </cell>
          <cell r="C135" t="str">
            <v>AES3</v>
          </cell>
          <cell r="D135" t="str">
            <v>AES3</v>
          </cell>
          <cell r="E135" t="str">
            <v>KUCME223</v>
          </cell>
          <cell r="F135">
            <v>68</v>
          </cell>
          <cell r="G135">
            <v>0</v>
          </cell>
          <cell r="H135">
            <v>0</v>
          </cell>
          <cell r="I135">
            <v>0</v>
          </cell>
          <cell r="J135">
            <v>0</v>
          </cell>
          <cell r="K135">
            <v>489126</v>
          </cell>
          <cell r="L135">
            <v>0</v>
          </cell>
          <cell r="M135">
            <v>3674.1</v>
          </cell>
          <cell r="N135">
            <v>0</v>
          </cell>
          <cell r="O135">
            <v>0</v>
          </cell>
          <cell r="S135">
            <v>0</v>
          </cell>
          <cell r="T135">
            <v>0</v>
          </cell>
          <cell r="U135">
            <v>0</v>
          </cell>
          <cell r="V135">
            <v>0</v>
          </cell>
          <cell r="W135">
            <v>0</v>
          </cell>
          <cell r="X135">
            <v>0</v>
          </cell>
          <cell r="AL135">
            <v>0</v>
          </cell>
          <cell r="AM135">
            <v>0</v>
          </cell>
          <cell r="AP135">
            <v>0</v>
          </cell>
          <cell r="AQ135">
            <v>0.03</v>
          </cell>
          <cell r="AR135">
            <v>0</v>
          </cell>
          <cell r="AV135">
            <v>38771</v>
          </cell>
          <cell r="AW135">
            <v>38771</v>
          </cell>
          <cell r="AY135">
            <v>1072.82</v>
          </cell>
          <cell r="AZ135">
            <v>589.07000000000005</v>
          </cell>
          <cell r="BA135">
            <v>504.91</v>
          </cell>
          <cell r="BC135">
            <v>0</v>
          </cell>
          <cell r="BD135">
            <v>40937.800000000003</v>
          </cell>
          <cell r="BG135">
            <v>14145.52</v>
          </cell>
          <cell r="BI135" t="str">
            <v>Actual</v>
          </cell>
        </row>
        <row r="136">
          <cell r="B136" t="str">
            <v>Apr 2014</v>
          </cell>
          <cell r="C136" t="str">
            <v>AES3</v>
          </cell>
          <cell r="D136" t="str">
            <v>AES3</v>
          </cell>
          <cell r="E136" t="str">
            <v>KUCME224</v>
          </cell>
          <cell r="F136">
            <v>4</v>
          </cell>
          <cell r="G136">
            <v>0</v>
          </cell>
          <cell r="H136">
            <v>0</v>
          </cell>
          <cell r="I136">
            <v>0</v>
          </cell>
          <cell r="J136">
            <v>0</v>
          </cell>
          <cell r="K136">
            <v>246340</v>
          </cell>
          <cell r="L136">
            <v>0</v>
          </cell>
          <cell r="M136">
            <v>971.3</v>
          </cell>
          <cell r="N136">
            <v>0</v>
          </cell>
          <cell r="O136">
            <v>0</v>
          </cell>
          <cell r="S136">
            <v>0</v>
          </cell>
          <cell r="T136">
            <v>0</v>
          </cell>
          <cell r="U136">
            <v>0</v>
          </cell>
          <cell r="V136">
            <v>0</v>
          </cell>
          <cell r="W136">
            <v>0</v>
          </cell>
          <cell r="X136">
            <v>0</v>
          </cell>
          <cell r="AL136">
            <v>0</v>
          </cell>
          <cell r="AM136">
            <v>0</v>
          </cell>
          <cell r="AP136">
            <v>0</v>
          </cell>
          <cell r="AQ136">
            <v>-0.01</v>
          </cell>
          <cell r="AR136">
            <v>0</v>
          </cell>
          <cell r="AV136">
            <v>18467.690000000002</v>
          </cell>
          <cell r="AW136">
            <v>18467.690000000002</v>
          </cell>
          <cell r="AY136">
            <v>626.92999999999995</v>
          </cell>
          <cell r="AZ136">
            <v>266.36</v>
          </cell>
          <cell r="BA136">
            <v>267.54000000000002</v>
          </cell>
          <cell r="BC136">
            <v>0</v>
          </cell>
          <cell r="BD136">
            <v>19628.52</v>
          </cell>
          <cell r="BG136">
            <v>7124.15</v>
          </cell>
          <cell r="BI136" t="str">
            <v>Actual</v>
          </cell>
        </row>
        <row r="137">
          <cell r="B137" t="str">
            <v>Apr 2014</v>
          </cell>
          <cell r="C137" t="str">
            <v>AES3</v>
          </cell>
          <cell r="D137" t="str">
            <v>AES3</v>
          </cell>
          <cell r="E137" t="str">
            <v>KUCME225</v>
          </cell>
          <cell r="F137">
            <v>96</v>
          </cell>
          <cell r="G137">
            <v>0</v>
          </cell>
          <cell r="H137">
            <v>0</v>
          </cell>
          <cell r="I137">
            <v>0</v>
          </cell>
          <cell r="J137">
            <v>0</v>
          </cell>
          <cell r="K137">
            <v>2369020</v>
          </cell>
          <cell r="L137">
            <v>0</v>
          </cell>
          <cell r="M137">
            <v>12017.7</v>
          </cell>
          <cell r="N137">
            <v>0</v>
          </cell>
          <cell r="O137">
            <v>0</v>
          </cell>
          <cell r="S137">
            <v>0</v>
          </cell>
          <cell r="T137">
            <v>0</v>
          </cell>
          <cell r="U137">
            <v>0</v>
          </cell>
          <cell r="V137">
            <v>0</v>
          </cell>
          <cell r="W137">
            <v>0</v>
          </cell>
          <cell r="X137">
            <v>0</v>
          </cell>
          <cell r="AL137">
            <v>0</v>
          </cell>
          <cell r="AM137">
            <v>0</v>
          </cell>
          <cell r="AP137">
            <v>0</v>
          </cell>
          <cell r="AQ137">
            <v>0</v>
          </cell>
          <cell r="AR137">
            <v>0</v>
          </cell>
          <cell r="AV137">
            <v>179615.09</v>
          </cell>
          <cell r="AW137">
            <v>179615.09</v>
          </cell>
          <cell r="AY137">
            <v>5568.87</v>
          </cell>
          <cell r="AZ137">
            <v>2722.64</v>
          </cell>
          <cell r="BA137">
            <v>2457.7800000000002</v>
          </cell>
          <cell r="BC137">
            <v>0</v>
          </cell>
          <cell r="BD137">
            <v>190364.38</v>
          </cell>
          <cell r="BG137">
            <v>68512.06</v>
          </cell>
          <cell r="BI137" t="str">
            <v>Actual</v>
          </cell>
        </row>
        <row r="138">
          <cell r="B138" t="str">
            <v>Apr 2014</v>
          </cell>
          <cell r="C138" t="str">
            <v>AES</v>
          </cell>
          <cell r="D138" t="str">
            <v>AES</v>
          </cell>
          <cell r="E138" t="str">
            <v>KUCME226</v>
          </cell>
          <cell r="F138">
            <v>19</v>
          </cell>
          <cell r="G138">
            <v>0</v>
          </cell>
          <cell r="H138">
            <v>0</v>
          </cell>
          <cell r="I138">
            <v>0</v>
          </cell>
          <cell r="J138">
            <v>0</v>
          </cell>
          <cell r="K138">
            <v>54793</v>
          </cell>
          <cell r="L138">
            <v>0</v>
          </cell>
          <cell r="M138">
            <v>1144.5999999999999</v>
          </cell>
          <cell r="N138">
            <v>0</v>
          </cell>
          <cell r="O138">
            <v>0</v>
          </cell>
          <cell r="S138">
            <v>0</v>
          </cell>
          <cell r="T138">
            <v>0</v>
          </cell>
          <cell r="U138">
            <v>0</v>
          </cell>
          <cell r="V138">
            <v>0</v>
          </cell>
          <cell r="W138">
            <v>0</v>
          </cell>
          <cell r="X138">
            <v>0</v>
          </cell>
          <cell r="AL138">
            <v>0</v>
          </cell>
          <cell r="AM138">
            <v>0</v>
          </cell>
          <cell r="AP138">
            <v>0</v>
          </cell>
          <cell r="AQ138">
            <v>-0.02</v>
          </cell>
          <cell r="AR138">
            <v>0</v>
          </cell>
          <cell r="AV138">
            <v>4456.58</v>
          </cell>
          <cell r="AW138">
            <v>4456.58</v>
          </cell>
          <cell r="AY138">
            <v>136.19</v>
          </cell>
          <cell r="AZ138">
            <v>60.37</v>
          </cell>
          <cell r="BA138">
            <v>63.19</v>
          </cell>
          <cell r="BC138">
            <v>0</v>
          </cell>
          <cell r="BD138">
            <v>4716.33</v>
          </cell>
          <cell r="BG138">
            <v>1584.61</v>
          </cell>
          <cell r="BI138" t="str">
            <v>Actual</v>
          </cell>
        </row>
        <row r="139">
          <cell r="B139" t="str">
            <v>Apr 2014</v>
          </cell>
          <cell r="C139" t="str">
            <v>AES3</v>
          </cell>
          <cell r="D139" t="str">
            <v>AES3</v>
          </cell>
          <cell r="E139" t="str">
            <v>KUCME227</v>
          </cell>
          <cell r="F139">
            <v>100</v>
          </cell>
          <cell r="G139">
            <v>0</v>
          </cell>
          <cell r="H139">
            <v>0</v>
          </cell>
          <cell r="I139">
            <v>0</v>
          </cell>
          <cell r="J139">
            <v>0</v>
          </cell>
          <cell r="K139">
            <v>8681308</v>
          </cell>
          <cell r="L139">
            <v>0</v>
          </cell>
          <cell r="M139">
            <v>37040.199999999997</v>
          </cell>
          <cell r="N139">
            <v>0</v>
          </cell>
          <cell r="O139">
            <v>0</v>
          </cell>
          <cell r="S139">
            <v>0</v>
          </cell>
          <cell r="T139">
            <v>0</v>
          </cell>
          <cell r="U139">
            <v>0</v>
          </cell>
          <cell r="V139">
            <v>0</v>
          </cell>
          <cell r="W139">
            <v>0</v>
          </cell>
          <cell r="X139">
            <v>0</v>
          </cell>
          <cell r="AL139">
            <v>0</v>
          </cell>
          <cell r="AM139">
            <v>0</v>
          </cell>
          <cell r="AP139">
            <v>-20.52</v>
          </cell>
          <cell r="AQ139">
            <v>-0.02</v>
          </cell>
          <cell r="AR139">
            <v>0</v>
          </cell>
          <cell r="AV139">
            <v>649368.77999999991</v>
          </cell>
          <cell r="AW139">
            <v>649368.78</v>
          </cell>
          <cell r="AY139">
            <v>20840.939999999999</v>
          </cell>
          <cell r="AZ139">
            <v>9825.2099999999991</v>
          </cell>
          <cell r="BA139">
            <v>9025.48</v>
          </cell>
          <cell r="BC139">
            <v>0</v>
          </cell>
          <cell r="BD139">
            <v>689060.41</v>
          </cell>
          <cell r="BG139">
            <v>251063.43</v>
          </cell>
          <cell r="BI139" t="str">
            <v>Actual</v>
          </cell>
        </row>
        <row r="140">
          <cell r="B140" t="str">
            <v>Apr 2014</v>
          </cell>
          <cell r="C140" t="str">
            <v>LE</v>
          </cell>
          <cell r="D140" t="str">
            <v>LE</v>
          </cell>
          <cell r="E140" t="str">
            <v>KUCME290</v>
          </cell>
          <cell r="F140">
            <v>1</v>
          </cell>
          <cell r="G140">
            <v>0</v>
          </cell>
          <cell r="H140">
            <v>0</v>
          </cell>
          <cell r="I140">
            <v>0</v>
          </cell>
          <cell r="J140">
            <v>0</v>
          </cell>
          <cell r="K140">
            <v>12161</v>
          </cell>
          <cell r="L140">
            <v>0</v>
          </cell>
          <cell r="M140">
            <v>38.9</v>
          </cell>
          <cell r="N140">
            <v>0</v>
          </cell>
          <cell r="O140">
            <v>0</v>
          </cell>
          <cell r="S140">
            <v>0</v>
          </cell>
          <cell r="T140">
            <v>0</v>
          </cell>
          <cell r="U140">
            <v>0</v>
          </cell>
          <cell r="V140">
            <v>0</v>
          </cell>
          <cell r="W140">
            <v>0</v>
          </cell>
          <cell r="X140">
            <v>0</v>
          </cell>
          <cell r="AL140">
            <v>0</v>
          </cell>
          <cell r="AM140">
            <v>0</v>
          </cell>
          <cell r="AP140">
            <v>0</v>
          </cell>
          <cell r="AQ140">
            <v>0</v>
          </cell>
          <cell r="AR140">
            <v>0</v>
          </cell>
          <cell r="AV140">
            <v>775.87</v>
          </cell>
          <cell r="AW140">
            <v>775.86999999999989</v>
          </cell>
          <cell r="AY140">
            <v>25.78</v>
          </cell>
          <cell r="AZ140">
            <v>0</v>
          </cell>
          <cell r="BA140">
            <v>9.7799999999999994</v>
          </cell>
          <cell r="BC140">
            <v>0</v>
          </cell>
          <cell r="BD140">
            <v>811.43</v>
          </cell>
          <cell r="BG140">
            <v>351.7</v>
          </cell>
          <cell r="BI140" t="str">
            <v>Actual</v>
          </cell>
        </row>
        <row r="141">
          <cell r="B141" t="str">
            <v>Apr 2014</v>
          </cell>
          <cell r="C141" t="str">
            <v>LE</v>
          </cell>
          <cell r="D141" t="str">
            <v>LE</v>
          </cell>
          <cell r="E141" t="str">
            <v>KUCME291</v>
          </cell>
          <cell r="F141">
            <v>1</v>
          </cell>
          <cell r="G141">
            <v>0</v>
          </cell>
          <cell r="H141">
            <v>0</v>
          </cell>
          <cell r="I141">
            <v>0</v>
          </cell>
          <cell r="J141">
            <v>0</v>
          </cell>
          <cell r="K141">
            <v>3344</v>
          </cell>
          <cell r="L141">
            <v>0</v>
          </cell>
          <cell r="M141">
            <v>0</v>
          </cell>
          <cell r="N141">
            <v>0</v>
          </cell>
          <cell r="O141">
            <v>0</v>
          </cell>
          <cell r="S141">
            <v>0</v>
          </cell>
          <cell r="T141">
            <v>0</v>
          </cell>
          <cell r="U141">
            <v>0</v>
          </cell>
          <cell r="V141">
            <v>0</v>
          </cell>
          <cell r="W141">
            <v>0</v>
          </cell>
          <cell r="X141">
            <v>0</v>
          </cell>
          <cell r="AL141">
            <v>0</v>
          </cell>
          <cell r="AM141">
            <v>0</v>
          </cell>
          <cell r="AP141">
            <v>0</v>
          </cell>
          <cell r="AQ141">
            <v>-0.01</v>
          </cell>
          <cell r="AR141">
            <v>0</v>
          </cell>
          <cell r="AV141">
            <v>213.34</v>
          </cell>
          <cell r="AW141">
            <v>213.34</v>
          </cell>
          <cell r="AY141">
            <v>10.43</v>
          </cell>
          <cell r="AZ141">
            <v>0</v>
          </cell>
          <cell r="BA141">
            <v>3.58</v>
          </cell>
          <cell r="BC141">
            <v>0</v>
          </cell>
          <cell r="BD141">
            <v>227.35</v>
          </cell>
          <cell r="BG141">
            <v>96.71</v>
          </cell>
          <cell r="BI141" t="str">
            <v>Actual</v>
          </cell>
        </row>
        <row r="142">
          <cell r="B142" t="str">
            <v>Apr 2014</v>
          </cell>
          <cell r="C142" t="str">
            <v>TE</v>
          </cell>
          <cell r="D142" t="str">
            <v>TE</v>
          </cell>
          <cell r="E142" t="str">
            <v>KUCME295</v>
          </cell>
          <cell r="F142">
            <v>473</v>
          </cell>
          <cell r="G142">
            <v>0</v>
          </cell>
          <cell r="H142">
            <v>0</v>
          </cell>
          <cell r="I142">
            <v>0</v>
          </cell>
          <cell r="J142">
            <v>0</v>
          </cell>
          <cell r="K142">
            <v>90374</v>
          </cell>
          <cell r="L142">
            <v>0</v>
          </cell>
          <cell r="M142">
            <v>16.5</v>
          </cell>
          <cell r="N142">
            <v>0</v>
          </cell>
          <cell r="O142">
            <v>0</v>
          </cell>
          <cell r="S142">
            <v>0</v>
          </cell>
          <cell r="T142">
            <v>0</v>
          </cell>
          <cell r="U142">
            <v>0</v>
          </cell>
          <cell r="V142">
            <v>0</v>
          </cell>
          <cell r="W142">
            <v>0</v>
          </cell>
          <cell r="X142">
            <v>0</v>
          </cell>
          <cell r="AL142">
            <v>0</v>
          </cell>
          <cell r="AM142">
            <v>0</v>
          </cell>
          <cell r="AP142">
            <v>0</v>
          </cell>
          <cell r="AQ142">
            <v>-0.05</v>
          </cell>
          <cell r="AR142">
            <v>0</v>
          </cell>
          <cell r="AV142">
            <v>8747.2400000000016</v>
          </cell>
          <cell r="AW142">
            <v>8747.24</v>
          </cell>
          <cell r="AY142">
            <v>245.36</v>
          </cell>
          <cell r="AZ142">
            <v>0</v>
          </cell>
          <cell r="BA142">
            <v>130.13999999999999</v>
          </cell>
          <cell r="BC142">
            <v>0</v>
          </cell>
          <cell r="BD142">
            <v>9122.74</v>
          </cell>
          <cell r="BG142">
            <v>2613.62</v>
          </cell>
          <cell r="BI142" t="str">
            <v>Actual</v>
          </cell>
        </row>
        <row r="143">
          <cell r="B143" t="str">
            <v>Apr 2014</v>
          </cell>
          <cell r="C143" t="str">
            <v>TE</v>
          </cell>
          <cell r="D143" t="str">
            <v>TE</v>
          </cell>
          <cell r="E143" t="str">
            <v>KUCME297</v>
          </cell>
          <cell r="F143">
            <v>272</v>
          </cell>
          <cell r="G143">
            <v>0</v>
          </cell>
          <cell r="H143">
            <v>0</v>
          </cell>
          <cell r="I143">
            <v>0</v>
          </cell>
          <cell r="J143">
            <v>0</v>
          </cell>
          <cell r="K143">
            <v>14416</v>
          </cell>
          <cell r="L143">
            <v>0</v>
          </cell>
          <cell r="M143">
            <v>0</v>
          </cell>
          <cell r="N143">
            <v>0</v>
          </cell>
          <cell r="O143">
            <v>0</v>
          </cell>
          <cell r="S143">
            <v>0</v>
          </cell>
          <cell r="T143">
            <v>0</v>
          </cell>
          <cell r="U143">
            <v>0</v>
          </cell>
          <cell r="V143">
            <v>0</v>
          </cell>
          <cell r="W143">
            <v>0</v>
          </cell>
          <cell r="X143">
            <v>0</v>
          </cell>
          <cell r="AL143">
            <v>0</v>
          </cell>
          <cell r="AM143">
            <v>0</v>
          </cell>
          <cell r="AP143">
            <v>0</v>
          </cell>
          <cell r="AQ143">
            <v>0.45</v>
          </cell>
          <cell r="AR143">
            <v>0</v>
          </cell>
          <cell r="AV143">
            <v>2034.56</v>
          </cell>
          <cell r="AW143">
            <v>2034.56</v>
          </cell>
          <cell r="AY143">
            <v>29.92</v>
          </cell>
          <cell r="AZ143">
            <v>0</v>
          </cell>
          <cell r="BA143">
            <v>24.48</v>
          </cell>
          <cell r="BC143">
            <v>0</v>
          </cell>
          <cell r="BD143">
            <v>2088.96</v>
          </cell>
          <cell r="BG143">
            <v>416.91</v>
          </cell>
          <cell r="BI143" t="str">
            <v>Actual</v>
          </cell>
        </row>
        <row r="144">
          <cell r="B144" t="str">
            <v>Apr 2014</v>
          </cell>
          <cell r="C144" t="str">
            <v>SQF</v>
          </cell>
          <cell r="D144" t="str">
            <v>SQF</v>
          </cell>
          <cell r="E144" t="str">
            <v>KUCME705</v>
          </cell>
          <cell r="F144">
            <v>0</v>
          </cell>
          <cell r="G144">
            <v>0</v>
          </cell>
          <cell r="H144">
            <v>0</v>
          </cell>
          <cell r="I144">
            <v>0</v>
          </cell>
          <cell r="J144">
            <v>0</v>
          </cell>
          <cell r="K144">
            <v>0</v>
          </cell>
          <cell r="L144">
            <v>0</v>
          </cell>
          <cell r="M144">
            <v>0</v>
          </cell>
          <cell r="N144">
            <v>0</v>
          </cell>
          <cell r="O144">
            <v>0</v>
          </cell>
          <cell r="S144">
            <v>0</v>
          </cell>
          <cell r="T144">
            <v>0</v>
          </cell>
          <cell r="U144">
            <v>0</v>
          </cell>
          <cell r="V144">
            <v>0</v>
          </cell>
          <cell r="W144">
            <v>0</v>
          </cell>
          <cell r="X144">
            <v>0</v>
          </cell>
          <cell r="AL144">
            <v>0</v>
          </cell>
          <cell r="AM144">
            <v>0</v>
          </cell>
          <cell r="AP144">
            <v>0</v>
          </cell>
          <cell r="AQ144">
            <v>0</v>
          </cell>
          <cell r="AR144">
            <v>0</v>
          </cell>
          <cell r="AV144">
            <v>0</v>
          </cell>
          <cell r="AW144">
            <v>0</v>
          </cell>
          <cell r="AY144">
            <v>0</v>
          </cell>
          <cell r="AZ144">
            <v>0</v>
          </cell>
          <cell r="BA144">
            <v>0</v>
          </cell>
          <cell r="BC144">
            <v>0</v>
          </cell>
          <cell r="BD144">
            <v>0</v>
          </cell>
          <cell r="BG144">
            <v>0</v>
          </cell>
          <cell r="BI144" t="str">
            <v>Actual</v>
          </cell>
        </row>
        <row r="145">
          <cell r="B145" t="str">
            <v>Apr 2014</v>
          </cell>
          <cell r="C145" t="str">
            <v>LQF</v>
          </cell>
          <cell r="D145" t="str">
            <v>LQF</v>
          </cell>
          <cell r="E145" t="str">
            <v>KUCME707</v>
          </cell>
          <cell r="F145">
            <v>0</v>
          </cell>
          <cell r="G145">
            <v>0</v>
          </cell>
          <cell r="H145">
            <v>0</v>
          </cell>
          <cell r="I145">
            <v>0</v>
          </cell>
          <cell r="J145">
            <v>0</v>
          </cell>
          <cell r="K145">
            <v>0</v>
          </cell>
          <cell r="L145">
            <v>0</v>
          </cell>
          <cell r="M145">
            <v>0</v>
          </cell>
          <cell r="N145">
            <v>0</v>
          </cell>
          <cell r="O145">
            <v>0</v>
          </cell>
          <cell r="S145">
            <v>0</v>
          </cell>
          <cell r="T145">
            <v>0</v>
          </cell>
          <cell r="U145">
            <v>0</v>
          </cell>
          <cell r="V145">
            <v>0</v>
          </cell>
          <cell r="W145">
            <v>0</v>
          </cell>
          <cell r="X145">
            <v>0</v>
          </cell>
          <cell r="AL145">
            <v>0</v>
          </cell>
          <cell r="AM145">
            <v>0</v>
          </cell>
          <cell r="AP145">
            <v>0</v>
          </cell>
          <cell r="AQ145">
            <v>0</v>
          </cell>
          <cell r="AR145">
            <v>0</v>
          </cell>
          <cell r="AV145">
            <v>0</v>
          </cell>
          <cell r="AW145">
            <v>0</v>
          </cell>
          <cell r="AY145">
            <v>0</v>
          </cell>
          <cell r="AZ145">
            <v>0</v>
          </cell>
          <cell r="BA145">
            <v>0</v>
          </cell>
          <cell r="BC145">
            <v>0</v>
          </cell>
          <cell r="BD145">
            <v>0</v>
          </cell>
          <cell r="BG145">
            <v>0</v>
          </cell>
          <cell r="BI145" t="str">
            <v>Actual</v>
          </cell>
        </row>
        <row r="146">
          <cell r="B146" t="str">
            <v>Apr 2014</v>
          </cell>
          <cell r="C146" t="str">
            <v>GS</v>
          </cell>
          <cell r="D146" t="str">
            <v>GS</v>
          </cell>
          <cell r="E146" t="str">
            <v>KUCME710</v>
          </cell>
          <cell r="F146">
            <v>8</v>
          </cell>
          <cell r="G146">
            <v>0</v>
          </cell>
          <cell r="H146">
            <v>0</v>
          </cell>
          <cell r="I146">
            <v>0</v>
          </cell>
          <cell r="J146">
            <v>0</v>
          </cell>
          <cell r="K146">
            <v>6767</v>
          </cell>
          <cell r="L146">
            <v>0</v>
          </cell>
          <cell r="M146">
            <v>0</v>
          </cell>
          <cell r="N146">
            <v>0</v>
          </cell>
          <cell r="O146">
            <v>0</v>
          </cell>
          <cell r="S146">
            <v>0</v>
          </cell>
          <cell r="T146">
            <v>0</v>
          </cell>
          <cell r="U146">
            <v>0</v>
          </cell>
          <cell r="V146">
            <v>0</v>
          </cell>
          <cell r="W146">
            <v>0</v>
          </cell>
          <cell r="X146">
            <v>0</v>
          </cell>
          <cell r="AL146">
            <v>0</v>
          </cell>
          <cell r="AM146">
            <v>0</v>
          </cell>
          <cell r="AP146">
            <v>12.67</v>
          </cell>
          <cell r="AQ146">
            <v>0</v>
          </cell>
          <cell r="AR146">
            <v>0</v>
          </cell>
          <cell r="AV146">
            <v>796.93</v>
          </cell>
          <cell r="AW146">
            <v>796.93000000000006</v>
          </cell>
          <cell r="AY146">
            <v>14.34</v>
          </cell>
          <cell r="AZ146">
            <v>20.309999999999999</v>
          </cell>
          <cell r="BA146">
            <v>13.12</v>
          </cell>
          <cell r="BC146">
            <v>0</v>
          </cell>
          <cell r="BD146">
            <v>844.7</v>
          </cell>
          <cell r="BG146">
            <v>195.7</v>
          </cell>
          <cell r="BI146" t="str">
            <v>Actual</v>
          </cell>
        </row>
        <row r="147">
          <cell r="B147" t="str">
            <v>Apr 2014</v>
          </cell>
          <cell r="C147" t="str">
            <v>GS3</v>
          </cell>
          <cell r="D147" t="str">
            <v>GS3</v>
          </cell>
          <cell r="E147" t="str">
            <v>KUCME713</v>
          </cell>
          <cell r="F147">
            <v>2</v>
          </cell>
          <cell r="G147">
            <v>0</v>
          </cell>
          <cell r="H147">
            <v>0</v>
          </cell>
          <cell r="I147">
            <v>0</v>
          </cell>
          <cell r="J147">
            <v>0</v>
          </cell>
          <cell r="K147">
            <v>10840</v>
          </cell>
          <cell r="L147">
            <v>0</v>
          </cell>
          <cell r="M147">
            <v>61</v>
          </cell>
          <cell r="N147">
            <v>0</v>
          </cell>
          <cell r="O147">
            <v>0</v>
          </cell>
          <cell r="S147">
            <v>0</v>
          </cell>
          <cell r="T147">
            <v>0</v>
          </cell>
          <cell r="U147">
            <v>0</v>
          </cell>
          <cell r="V147">
            <v>0</v>
          </cell>
          <cell r="W147">
            <v>0</v>
          </cell>
          <cell r="X147">
            <v>0</v>
          </cell>
          <cell r="AL147">
            <v>0</v>
          </cell>
          <cell r="AM147">
            <v>0</v>
          </cell>
          <cell r="AP147">
            <v>0</v>
          </cell>
          <cell r="AQ147">
            <v>0</v>
          </cell>
          <cell r="AR147">
            <v>0</v>
          </cell>
          <cell r="AV147">
            <v>1069.99</v>
          </cell>
          <cell r="AW147">
            <v>1069.99</v>
          </cell>
          <cell r="AY147">
            <v>22.98</v>
          </cell>
          <cell r="AZ147">
            <v>4.5599999999999996</v>
          </cell>
          <cell r="BA147">
            <v>16.059999999999999</v>
          </cell>
          <cell r="BC147">
            <v>0</v>
          </cell>
          <cell r="BD147">
            <v>1113.5899999999999</v>
          </cell>
          <cell r="BG147">
            <v>313.49</v>
          </cell>
          <cell r="BI147" t="str">
            <v>Actual</v>
          </cell>
        </row>
        <row r="148">
          <cell r="B148" t="str">
            <v>Apr 2014</v>
          </cell>
          <cell r="C148" t="str">
            <v>CSR10</v>
          </cell>
          <cell r="D148" t="str">
            <v>CSR10</v>
          </cell>
          <cell r="E148" t="str">
            <v>KUCSR760</v>
          </cell>
          <cell r="F148">
            <v>1</v>
          </cell>
          <cell r="G148">
            <v>0</v>
          </cell>
          <cell r="H148">
            <v>0</v>
          </cell>
          <cell r="I148">
            <v>0</v>
          </cell>
          <cell r="J148">
            <v>0</v>
          </cell>
          <cell r="K148">
            <v>0</v>
          </cell>
          <cell r="L148">
            <v>0</v>
          </cell>
          <cell r="M148">
            <v>0</v>
          </cell>
          <cell r="N148">
            <v>0</v>
          </cell>
          <cell r="O148">
            <v>0</v>
          </cell>
          <cell r="S148">
            <v>0</v>
          </cell>
          <cell r="T148">
            <v>0</v>
          </cell>
          <cell r="U148">
            <v>0</v>
          </cell>
          <cell r="V148">
            <v>0</v>
          </cell>
          <cell r="W148">
            <v>0</v>
          </cell>
          <cell r="X148">
            <v>0</v>
          </cell>
          <cell r="AL148">
            <v>0</v>
          </cell>
          <cell r="AM148">
            <v>0</v>
          </cell>
          <cell r="AP148">
            <v>0</v>
          </cell>
          <cell r="AQ148">
            <v>0</v>
          </cell>
          <cell r="AR148">
            <v>0</v>
          </cell>
          <cell r="AV148">
            <v>0</v>
          </cell>
          <cell r="AW148">
            <v>0</v>
          </cell>
          <cell r="AY148">
            <v>0</v>
          </cell>
          <cell r="AZ148">
            <v>0</v>
          </cell>
          <cell r="BA148">
            <v>0</v>
          </cell>
          <cell r="BC148">
            <v>-939315.26</v>
          </cell>
          <cell r="BD148">
            <v>-939315.26</v>
          </cell>
          <cell r="BG148">
            <v>0</v>
          </cell>
          <cell r="BI148" t="str">
            <v>Actual</v>
          </cell>
        </row>
        <row r="149">
          <cell r="B149" t="str">
            <v>Apr 2014</v>
          </cell>
          <cell r="C149" t="str">
            <v>CSR10</v>
          </cell>
          <cell r="D149" t="str">
            <v>CSR10</v>
          </cell>
          <cell r="E149" t="str">
            <v>KUCSR761</v>
          </cell>
          <cell r="F149">
            <v>1</v>
          </cell>
          <cell r="G149">
            <v>0</v>
          </cell>
          <cell r="H149">
            <v>0</v>
          </cell>
          <cell r="I149">
            <v>0</v>
          </cell>
          <cell r="J149">
            <v>0</v>
          </cell>
          <cell r="K149">
            <v>0</v>
          </cell>
          <cell r="L149">
            <v>0</v>
          </cell>
          <cell r="M149">
            <v>0</v>
          </cell>
          <cell r="N149">
            <v>0</v>
          </cell>
          <cell r="O149">
            <v>0</v>
          </cell>
          <cell r="S149">
            <v>0</v>
          </cell>
          <cell r="T149">
            <v>0</v>
          </cell>
          <cell r="U149">
            <v>0</v>
          </cell>
          <cell r="V149">
            <v>0</v>
          </cell>
          <cell r="W149">
            <v>0</v>
          </cell>
          <cell r="X149">
            <v>0</v>
          </cell>
          <cell r="AL149">
            <v>0</v>
          </cell>
          <cell r="AM149">
            <v>0</v>
          </cell>
          <cell r="AP149">
            <v>0</v>
          </cell>
          <cell r="AQ149">
            <v>0</v>
          </cell>
          <cell r="AR149">
            <v>0</v>
          </cell>
          <cell r="AV149">
            <v>0</v>
          </cell>
          <cell r="AW149">
            <v>0</v>
          </cell>
          <cell r="AY149">
            <v>0</v>
          </cell>
          <cell r="AZ149">
            <v>0</v>
          </cell>
          <cell r="BA149">
            <v>0</v>
          </cell>
          <cell r="BC149">
            <v>-29651.77</v>
          </cell>
          <cell r="BD149">
            <v>-29651.77</v>
          </cell>
          <cell r="BG149">
            <v>0</v>
          </cell>
          <cell r="BI149" t="str">
            <v>Actual</v>
          </cell>
        </row>
        <row r="150">
          <cell r="B150" t="str">
            <v>Apr 2014</v>
          </cell>
          <cell r="C150" t="str">
            <v>CSR30</v>
          </cell>
          <cell r="D150" t="str">
            <v>CSR30</v>
          </cell>
          <cell r="E150" t="str">
            <v>KUCSR780</v>
          </cell>
          <cell r="F150">
            <v>0</v>
          </cell>
          <cell r="G150">
            <v>0</v>
          </cell>
          <cell r="H150">
            <v>0</v>
          </cell>
          <cell r="I150">
            <v>0</v>
          </cell>
          <cell r="J150">
            <v>0</v>
          </cell>
          <cell r="K150">
            <v>0</v>
          </cell>
          <cell r="L150">
            <v>0</v>
          </cell>
          <cell r="M150">
            <v>0</v>
          </cell>
          <cell r="N150">
            <v>0</v>
          </cell>
          <cell r="O150">
            <v>0</v>
          </cell>
          <cell r="S150">
            <v>0</v>
          </cell>
          <cell r="T150">
            <v>0</v>
          </cell>
          <cell r="U150">
            <v>0</v>
          </cell>
          <cell r="V150">
            <v>0</v>
          </cell>
          <cell r="W150">
            <v>0</v>
          </cell>
          <cell r="X150">
            <v>0</v>
          </cell>
          <cell r="AL150">
            <v>0</v>
          </cell>
          <cell r="AM150">
            <v>0</v>
          </cell>
          <cell r="AP150">
            <v>0</v>
          </cell>
          <cell r="AQ150">
            <v>0</v>
          </cell>
          <cell r="AR150">
            <v>0</v>
          </cell>
          <cell r="AV150">
            <v>0</v>
          </cell>
          <cell r="AW150">
            <v>0</v>
          </cell>
          <cell r="AY150">
            <v>0</v>
          </cell>
          <cell r="AZ150">
            <v>0</v>
          </cell>
          <cell r="BA150">
            <v>0</v>
          </cell>
          <cell r="BC150">
            <v>0</v>
          </cell>
          <cell r="BD150">
            <v>0</v>
          </cell>
          <cell r="BG150">
            <v>0</v>
          </cell>
          <cell r="BI150" t="str">
            <v>Actual</v>
          </cell>
        </row>
        <row r="151">
          <cell r="B151" t="str">
            <v>Apr 2014</v>
          </cell>
          <cell r="C151" t="str">
            <v>CSR30</v>
          </cell>
          <cell r="D151" t="str">
            <v>CSR30</v>
          </cell>
          <cell r="E151" t="str">
            <v>KUCSR781</v>
          </cell>
          <cell r="F151">
            <v>1</v>
          </cell>
          <cell r="G151">
            <v>0</v>
          </cell>
          <cell r="H151">
            <v>0</v>
          </cell>
          <cell r="I151">
            <v>0</v>
          </cell>
          <cell r="J151">
            <v>0</v>
          </cell>
          <cell r="K151">
            <v>0</v>
          </cell>
          <cell r="L151">
            <v>0</v>
          </cell>
          <cell r="M151">
            <v>0</v>
          </cell>
          <cell r="N151">
            <v>0</v>
          </cell>
          <cell r="O151">
            <v>0</v>
          </cell>
          <cell r="S151">
            <v>0</v>
          </cell>
          <cell r="T151">
            <v>0</v>
          </cell>
          <cell r="U151">
            <v>0</v>
          </cell>
          <cell r="V151">
            <v>0</v>
          </cell>
          <cell r="W151">
            <v>0</v>
          </cell>
          <cell r="X151">
            <v>0</v>
          </cell>
          <cell r="AL151">
            <v>0</v>
          </cell>
          <cell r="AM151">
            <v>0</v>
          </cell>
          <cell r="AP151">
            <v>0</v>
          </cell>
          <cell r="AQ151">
            <v>0</v>
          </cell>
          <cell r="AR151">
            <v>0</v>
          </cell>
          <cell r="AV151">
            <v>0</v>
          </cell>
          <cell r="AW151">
            <v>0</v>
          </cell>
          <cell r="AY151">
            <v>0</v>
          </cell>
          <cell r="AZ151">
            <v>0</v>
          </cell>
          <cell r="BA151">
            <v>0</v>
          </cell>
          <cell r="BC151">
            <v>-20814.2</v>
          </cell>
          <cell r="BD151">
            <v>-20814.2</v>
          </cell>
          <cell r="BG151">
            <v>0</v>
          </cell>
          <cell r="BI151" t="str">
            <v>Actual</v>
          </cell>
        </row>
        <row r="152">
          <cell r="B152" t="str">
            <v>Apr 2014</v>
          </cell>
          <cell r="C152" t="str">
            <v>CSR30</v>
          </cell>
          <cell r="D152" t="str">
            <v>CSR30</v>
          </cell>
          <cell r="E152" t="str">
            <v>KUCSR783</v>
          </cell>
          <cell r="F152">
            <v>1</v>
          </cell>
          <cell r="G152">
            <v>0</v>
          </cell>
          <cell r="H152">
            <v>0</v>
          </cell>
          <cell r="I152">
            <v>0</v>
          </cell>
          <cell r="J152">
            <v>0</v>
          </cell>
          <cell r="K152">
            <v>0</v>
          </cell>
          <cell r="L152">
            <v>0</v>
          </cell>
          <cell r="M152">
            <v>0</v>
          </cell>
          <cell r="N152">
            <v>0</v>
          </cell>
          <cell r="O152">
            <v>0</v>
          </cell>
          <cell r="S152">
            <v>0</v>
          </cell>
          <cell r="T152">
            <v>0</v>
          </cell>
          <cell r="U152">
            <v>0</v>
          </cell>
          <cell r="V152">
            <v>0</v>
          </cell>
          <cell r="W152">
            <v>0</v>
          </cell>
          <cell r="X152">
            <v>0</v>
          </cell>
          <cell r="AL152">
            <v>0</v>
          </cell>
          <cell r="AM152">
            <v>0</v>
          </cell>
          <cell r="AP152">
            <v>0</v>
          </cell>
          <cell r="AQ152">
            <v>0</v>
          </cell>
          <cell r="AR152">
            <v>0</v>
          </cell>
          <cell r="AV152">
            <v>0</v>
          </cell>
          <cell r="AW152">
            <v>0</v>
          </cell>
          <cell r="AY152">
            <v>0</v>
          </cell>
          <cell r="AZ152">
            <v>0</v>
          </cell>
          <cell r="BA152">
            <v>0</v>
          </cell>
          <cell r="BC152">
            <v>-8800</v>
          </cell>
          <cell r="BD152">
            <v>-8800</v>
          </cell>
          <cell r="BG152">
            <v>0</v>
          </cell>
          <cell r="BI152" t="str">
            <v>Actual</v>
          </cell>
        </row>
        <row r="153">
          <cell r="B153" t="str">
            <v>Apr 2014</v>
          </cell>
          <cell r="C153" t="str">
            <v>FLS</v>
          </cell>
          <cell r="D153" t="str">
            <v>FLST</v>
          </cell>
          <cell r="E153" t="str">
            <v>KUINE730</v>
          </cell>
          <cell r="F153">
            <v>1</v>
          </cell>
          <cell r="G153">
            <v>0</v>
          </cell>
          <cell r="H153">
            <v>0</v>
          </cell>
          <cell r="I153">
            <v>0</v>
          </cell>
          <cell r="J153">
            <v>0</v>
          </cell>
          <cell r="K153">
            <v>49896000</v>
          </cell>
          <cell r="L153">
            <v>0</v>
          </cell>
          <cell r="M153">
            <v>177947.3</v>
          </cell>
          <cell r="N153">
            <v>177947.3</v>
          </cell>
          <cell r="O153">
            <v>134560.70000000001</v>
          </cell>
          <cell r="S153">
            <v>0</v>
          </cell>
          <cell r="T153">
            <v>0</v>
          </cell>
          <cell r="U153">
            <v>0</v>
          </cell>
          <cell r="V153">
            <v>0</v>
          </cell>
          <cell r="W153">
            <v>0</v>
          </cell>
          <cell r="X153">
            <v>0</v>
          </cell>
          <cell r="AL153">
            <v>0</v>
          </cell>
          <cell r="AM153">
            <v>0</v>
          </cell>
          <cell r="AP153">
            <v>0</v>
          </cell>
          <cell r="AQ153">
            <v>0</v>
          </cell>
          <cell r="AR153">
            <v>0</v>
          </cell>
          <cell r="AV153">
            <v>2409474.42</v>
          </cell>
          <cell r="AW153">
            <v>2409474.42</v>
          </cell>
          <cell r="AY153">
            <v>105779.52</v>
          </cell>
          <cell r="AZ153">
            <v>0</v>
          </cell>
          <cell r="BA153">
            <v>20392.77</v>
          </cell>
          <cell r="BC153">
            <v>0</v>
          </cell>
          <cell r="BD153">
            <v>2535646.71</v>
          </cell>
          <cell r="BG153">
            <v>1442992.32</v>
          </cell>
          <cell r="BI153" t="str">
            <v>Actual</v>
          </cell>
        </row>
        <row r="154">
          <cell r="B154" t="str">
            <v>Apr 2014</v>
          </cell>
          <cell r="C154" t="str">
            <v>RS</v>
          </cell>
          <cell r="D154" t="str">
            <v>RS</v>
          </cell>
          <cell r="E154" t="str">
            <v>KURSE010</v>
          </cell>
          <cell r="F154">
            <v>228749</v>
          </cell>
          <cell r="G154">
            <v>495</v>
          </cell>
          <cell r="H154">
            <v>0</v>
          </cell>
          <cell r="I154">
            <v>0</v>
          </cell>
          <cell r="J154">
            <v>0</v>
          </cell>
          <cell r="K154">
            <v>189776294</v>
          </cell>
          <cell r="L154">
            <v>0</v>
          </cell>
          <cell r="M154">
            <v>0</v>
          </cell>
          <cell r="N154">
            <v>0</v>
          </cell>
          <cell r="O154">
            <v>0</v>
          </cell>
          <cell r="S154">
            <v>0</v>
          </cell>
          <cell r="T154">
            <v>0</v>
          </cell>
          <cell r="U154">
            <v>0</v>
          </cell>
          <cell r="V154">
            <v>0</v>
          </cell>
          <cell r="W154">
            <v>0</v>
          </cell>
          <cell r="X154">
            <v>0</v>
          </cell>
          <cell r="AL154">
            <v>0</v>
          </cell>
          <cell r="AM154">
            <v>0</v>
          </cell>
          <cell r="AP154">
            <v>-12464.94</v>
          </cell>
          <cell r="AQ154">
            <v>-349.89</v>
          </cell>
          <cell r="AR154">
            <v>0</v>
          </cell>
          <cell r="AV154">
            <v>17147834.379999999</v>
          </cell>
          <cell r="AW154">
            <v>17147834.379999999</v>
          </cell>
          <cell r="AY154">
            <v>402398.45</v>
          </cell>
          <cell r="AZ154">
            <v>747593.82</v>
          </cell>
          <cell r="BA154">
            <v>223360.57</v>
          </cell>
          <cell r="BC154">
            <v>0</v>
          </cell>
          <cell r="BD154">
            <v>18521187.219999999</v>
          </cell>
          <cell r="BG154">
            <v>5488330.4199999999</v>
          </cell>
          <cell r="BI154" t="str">
            <v>Actual</v>
          </cell>
        </row>
        <row r="155">
          <cell r="B155" t="str">
            <v>Apr 2014</v>
          </cell>
          <cell r="C155" t="str">
            <v>RS</v>
          </cell>
          <cell r="D155" t="str">
            <v>RS</v>
          </cell>
          <cell r="E155" t="str">
            <v>KURSE020</v>
          </cell>
          <cell r="F155">
            <v>194803</v>
          </cell>
          <cell r="G155">
            <v>250</v>
          </cell>
          <cell r="H155">
            <v>0</v>
          </cell>
          <cell r="I155">
            <v>0</v>
          </cell>
          <cell r="J155">
            <v>0</v>
          </cell>
          <cell r="K155">
            <v>235356677</v>
          </cell>
          <cell r="L155">
            <v>0</v>
          </cell>
          <cell r="M155">
            <v>0</v>
          </cell>
          <cell r="N155">
            <v>0</v>
          </cell>
          <cell r="O155">
            <v>0</v>
          </cell>
          <cell r="S155">
            <v>0</v>
          </cell>
          <cell r="T155">
            <v>0</v>
          </cell>
          <cell r="U155">
            <v>0</v>
          </cell>
          <cell r="V155">
            <v>0</v>
          </cell>
          <cell r="W155">
            <v>0</v>
          </cell>
          <cell r="X155">
            <v>0</v>
          </cell>
          <cell r="AL155">
            <v>0</v>
          </cell>
          <cell r="AM155">
            <v>0</v>
          </cell>
          <cell r="AP155">
            <v>-13657.44</v>
          </cell>
          <cell r="AQ155">
            <v>-67.150000000000006</v>
          </cell>
          <cell r="AR155">
            <v>0</v>
          </cell>
          <cell r="AV155">
            <v>20309116.23</v>
          </cell>
          <cell r="AW155">
            <v>20309116.23</v>
          </cell>
          <cell r="AY155">
            <v>499560.3</v>
          </cell>
          <cell r="AZ155">
            <v>927059.09</v>
          </cell>
          <cell r="BA155">
            <v>265320.93</v>
          </cell>
          <cell r="BC155">
            <v>0</v>
          </cell>
          <cell r="BD155">
            <v>22001056.550000001</v>
          </cell>
          <cell r="BG155">
            <v>6806515.0999999996</v>
          </cell>
          <cell r="BI155" t="str">
            <v>Actual</v>
          </cell>
        </row>
        <row r="156">
          <cell r="B156" t="str">
            <v>Apr 2014</v>
          </cell>
          <cell r="C156" t="str">
            <v>RS</v>
          </cell>
          <cell r="D156" t="str">
            <v>RS</v>
          </cell>
          <cell r="E156" t="str">
            <v>KURSE025</v>
          </cell>
          <cell r="F156">
            <v>247</v>
          </cell>
          <cell r="G156">
            <v>2</v>
          </cell>
          <cell r="H156">
            <v>0</v>
          </cell>
          <cell r="I156">
            <v>0</v>
          </cell>
          <cell r="J156">
            <v>0</v>
          </cell>
          <cell r="K156">
            <v>458458</v>
          </cell>
          <cell r="L156">
            <v>0</v>
          </cell>
          <cell r="M156">
            <v>0</v>
          </cell>
          <cell r="N156">
            <v>0</v>
          </cell>
          <cell r="O156">
            <v>0</v>
          </cell>
          <cell r="S156">
            <v>0</v>
          </cell>
          <cell r="T156">
            <v>0</v>
          </cell>
          <cell r="U156">
            <v>0</v>
          </cell>
          <cell r="V156">
            <v>0</v>
          </cell>
          <cell r="W156">
            <v>0</v>
          </cell>
          <cell r="X156">
            <v>0</v>
          </cell>
          <cell r="AL156">
            <v>0</v>
          </cell>
          <cell r="AM156">
            <v>0</v>
          </cell>
          <cell r="AP156">
            <v>22.58</v>
          </cell>
          <cell r="AQ156">
            <v>0.04</v>
          </cell>
          <cell r="AR156">
            <v>0</v>
          </cell>
          <cell r="AV156">
            <v>38202.36</v>
          </cell>
          <cell r="AW156">
            <v>38202.36</v>
          </cell>
          <cell r="AY156">
            <v>1019.68</v>
          </cell>
          <cell r="AZ156">
            <v>1784.81</v>
          </cell>
          <cell r="BA156">
            <v>515.69000000000005</v>
          </cell>
          <cell r="BC156">
            <v>0</v>
          </cell>
          <cell r="BD156">
            <v>41522.54</v>
          </cell>
          <cell r="BG156">
            <v>13258.61</v>
          </cell>
          <cell r="BI156" t="str">
            <v>Actual</v>
          </cell>
        </row>
        <row r="157">
          <cell r="B157" t="str">
            <v>Apr 2014</v>
          </cell>
          <cell r="C157" t="str">
            <v>LEV</v>
          </cell>
          <cell r="D157" t="str">
            <v>RSLEV</v>
          </cell>
          <cell r="E157" t="str">
            <v>KURSE040</v>
          </cell>
          <cell r="F157">
            <v>5</v>
          </cell>
          <cell r="G157">
            <v>0</v>
          </cell>
          <cell r="H157">
            <v>3263</v>
          </cell>
          <cell r="I157">
            <v>1319</v>
          </cell>
          <cell r="J157">
            <v>739</v>
          </cell>
          <cell r="K157">
            <v>5321</v>
          </cell>
          <cell r="L157">
            <v>0</v>
          </cell>
          <cell r="M157">
            <v>0</v>
          </cell>
          <cell r="N157">
            <v>0</v>
          </cell>
          <cell r="O157">
            <v>0</v>
          </cell>
          <cell r="S157">
            <v>0</v>
          </cell>
          <cell r="T157">
            <v>0</v>
          </cell>
          <cell r="U157">
            <v>0</v>
          </cell>
          <cell r="V157">
            <v>0</v>
          </cell>
          <cell r="W157">
            <v>0</v>
          </cell>
          <cell r="X157">
            <v>0</v>
          </cell>
          <cell r="AL157">
            <v>0</v>
          </cell>
          <cell r="AM157">
            <v>0</v>
          </cell>
          <cell r="AP157">
            <v>0</v>
          </cell>
          <cell r="AQ157">
            <v>0</v>
          </cell>
          <cell r="AR157">
            <v>0</v>
          </cell>
          <cell r="AV157">
            <v>444.1</v>
          </cell>
          <cell r="AW157">
            <v>444.09999999999997</v>
          </cell>
          <cell r="AY157">
            <v>11.28</v>
          </cell>
          <cell r="AZ157">
            <v>20.96</v>
          </cell>
          <cell r="BA157">
            <v>5.81</v>
          </cell>
          <cell r="BC157">
            <v>0</v>
          </cell>
          <cell r="BD157">
            <v>482.15</v>
          </cell>
          <cell r="BG157">
            <v>153.88</v>
          </cell>
          <cell r="BI157" t="str">
            <v>Actual</v>
          </cell>
        </row>
        <row r="158">
          <cell r="B158" t="str">
            <v>Apr 2014</v>
          </cell>
          <cell r="C158" t="str">
            <v>RS</v>
          </cell>
          <cell r="D158" t="str">
            <v>RSVFD</v>
          </cell>
          <cell r="E158" t="str">
            <v>KURSE080</v>
          </cell>
          <cell r="F158">
            <v>49</v>
          </cell>
          <cell r="G158">
            <v>0</v>
          </cell>
          <cell r="H158">
            <v>0</v>
          </cell>
          <cell r="I158">
            <v>0</v>
          </cell>
          <cell r="J158">
            <v>0</v>
          </cell>
          <cell r="K158">
            <v>79474</v>
          </cell>
          <cell r="L158">
            <v>0</v>
          </cell>
          <cell r="M158">
            <v>0</v>
          </cell>
          <cell r="N158">
            <v>0</v>
          </cell>
          <cell r="O158">
            <v>0</v>
          </cell>
          <cell r="S158">
            <v>0</v>
          </cell>
          <cell r="T158">
            <v>0</v>
          </cell>
          <cell r="U158">
            <v>0</v>
          </cell>
          <cell r="V158">
            <v>0</v>
          </cell>
          <cell r="W158">
            <v>0</v>
          </cell>
          <cell r="X158">
            <v>0</v>
          </cell>
          <cell r="AL158">
            <v>0</v>
          </cell>
          <cell r="AM158">
            <v>0</v>
          </cell>
          <cell r="AP158">
            <v>0</v>
          </cell>
          <cell r="AQ158">
            <v>0</v>
          </cell>
          <cell r="AR158">
            <v>0</v>
          </cell>
          <cell r="AV158">
            <v>6681.22</v>
          </cell>
          <cell r="AW158">
            <v>6681.2199999999993</v>
          </cell>
          <cell r="AY158">
            <v>173.7</v>
          </cell>
          <cell r="AZ158">
            <v>310.82</v>
          </cell>
          <cell r="BA158">
            <v>89.12</v>
          </cell>
          <cell r="BC158">
            <v>0</v>
          </cell>
          <cell r="BD158">
            <v>7254.86</v>
          </cell>
          <cell r="BG158">
            <v>2298.39</v>
          </cell>
          <cell r="BI158" t="str">
            <v>Actual</v>
          </cell>
        </row>
        <row r="159">
          <cell r="B159" t="str">
            <v>Apr 2014</v>
          </cell>
          <cell r="C159" t="str">
            <v>RS</v>
          </cell>
          <cell r="D159" t="str">
            <v>RS</v>
          </cell>
          <cell r="E159" t="str">
            <v>KURSE715</v>
          </cell>
          <cell r="F159">
            <v>52</v>
          </cell>
          <cell r="G159">
            <v>0</v>
          </cell>
          <cell r="H159">
            <v>0</v>
          </cell>
          <cell r="I159">
            <v>0</v>
          </cell>
          <cell r="J159">
            <v>0</v>
          </cell>
          <cell r="K159">
            <v>52164</v>
          </cell>
          <cell r="L159">
            <v>0</v>
          </cell>
          <cell r="M159">
            <v>0</v>
          </cell>
          <cell r="N159">
            <v>0</v>
          </cell>
          <cell r="O159">
            <v>0</v>
          </cell>
          <cell r="S159">
            <v>0</v>
          </cell>
          <cell r="T159">
            <v>0</v>
          </cell>
          <cell r="U159">
            <v>0</v>
          </cell>
          <cell r="V159">
            <v>0</v>
          </cell>
          <cell r="W159">
            <v>0</v>
          </cell>
          <cell r="X159">
            <v>0</v>
          </cell>
          <cell r="AL159">
            <v>0</v>
          </cell>
          <cell r="AM159">
            <v>0</v>
          </cell>
          <cell r="AP159">
            <v>0</v>
          </cell>
          <cell r="AQ159">
            <v>-0.01</v>
          </cell>
          <cell r="AR159">
            <v>0</v>
          </cell>
          <cell r="AV159">
            <v>4598.57</v>
          </cell>
          <cell r="AW159">
            <v>4598.57</v>
          </cell>
          <cell r="AY159">
            <v>110.58</v>
          </cell>
          <cell r="AZ159">
            <v>205.53</v>
          </cell>
          <cell r="BA159">
            <v>59.93</v>
          </cell>
          <cell r="BC159">
            <v>0</v>
          </cell>
          <cell r="BD159">
            <v>4974.6099999999997</v>
          </cell>
          <cell r="BG159">
            <v>1508.58</v>
          </cell>
          <cell r="BI159" t="str">
            <v>Actual</v>
          </cell>
        </row>
        <row r="160">
          <cell r="B160" t="str">
            <v>May 2014</v>
          </cell>
          <cell r="C160" t="str">
            <v>RTS</v>
          </cell>
          <cell r="D160" t="str">
            <v>RTS</v>
          </cell>
          <cell r="E160" t="str">
            <v>KUCIE550</v>
          </cell>
          <cell r="F160">
            <v>31</v>
          </cell>
          <cell r="G160">
            <v>0</v>
          </cell>
          <cell r="H160">
            <v>0</v>
          </cell>
          <cell r="I160">
            <v>0</v>
          </cell>
          <cell r="J160">
            <v>0</v>
          </cell>
          <cell r="K160">
            <v>130974212</v>
          </cell>
          <cell r="L160">
            <v>0</v>
          </cell>
          <cell r="M160">
            <v>291586.59999999998</v>
          </cell>
          <cell r="N160">
            <v>286637.40000000002</v>
          </cell>
          <cell r="O160">
            <v>279717.90000000002</v>
          </cell>
          <cell r="S160">
            <v>4516.0999999999767</v>
          </cell>
          <cell r="T160">
            <v>1557</v>
          </cell>
          <cell r="U160">
            <v>867.09999999997672</v>
          </cell>
          <cell r="V160">
            <v>0</v>
          </cell>
          <cell r="W160">
            <v>0</v>
          </cell>
          <cell r="X160">
            <v>0</v>
          </cell>
          <cell r="AL160">
            <v>0</v>
          </cell>
          <cell r="AM160">
            <v>0</v>
          </cell>
          <cell r="AP160">
            <v>0</v>
          </cell>
          <cell r="AQ160">
            <v>0.01</v>
          </cell>
          <cell r="AR160">
            <v>0.03</v>
          </cell>
          <cell r="AV160">
            <v>7120670.8900000006</v>
          </cell>
          <cell r="AW160">
            <v>7120670.8899999997</v>
          </cell>
          <cell r="AY160">
            <v>467577.93</v>
          </cell>
          <cell r="AZ160">
            <v>0</v>
          </cell>
          <cell r="BA160">
            <v>126631.73</v>
          </cell>
          <cell r="BC160">
            <v>0</v>
          </cell>
          <cell r="BD160">
            <v>7714880.5499999998</v>
          </cell>
          <cell r="BG160">
            <v>3787774.21</v>
          </cell>
          <cell r="BI160" t="str">
            <v>Actual</v>
          </cell>
        </row>
        <row r="161">
          <cell r="B161" t="str">
            <v>May 2014</v>
          </cell>
          <cell r="C161" t="str">
            <v>PSP</v>
          </cell>
          <cell r="D161" t="str">
            <v>PSP</v>
          </cell>
          <cell r="E161" t="str">
            <v>KUCIE561</v>
          </cell>
          <cell r="F161">
            <v>167</v>
          </cell>
          <cell r="G161">
            <v>3</v>
          </cell>
          <cell r="H161">
            <v>0</v>
          </cell>
          <cell r="I161">
            <v>0</v>
          </cell>
          <cell r="J161">
            <v>0</v>
          </cell>
          <cell r="K161">
            <v>3773412</v>
          </cell>
          <cell r="L161">
            <v>0</v>
          </cell>
          <cell r="M161">
            <v>0</v>
          </cell>
          <cell r="N161">
            <v>0</v>
          </cell>
          <cell r="O161">
            <v>13282.6</v>
          </cell>
          <cell r="S161">
            <v>0</v>
          </cell>
          <cell r="T161">
            <v>0</v>
          </cell>
          <cell r="U161">
            <v>1721.93</v>
          </cell>
          <cell r="V161">
            <v>0</v>
          </cell>
          <cell r="W161">
            <v>0</v>
          </cell>
          <cell r="X161">
            <v>0</v>
          </cell>
          <cell r="AL161">
            <v>0</v>
          </cell>
          <cell r="AM161">
            <v>0</v>
          </cell>
          <cell r="AP161">
            <v>-158.66999999999999</v>
          </cell>
          <cell r="AQ161">
            <v>0.01</v>
          </cell>
          <cell r="AR161">
            <v>-5464.84</v>
          </cell>
          <cell r="AV161">
            <v>386954.66000000003</v>
          </cell>
          <cell r="AW161">
            <v>386954.66000000003</v>
          </cell>
          <cell r="AY161">
            <v>13351.27</v>
          </cell>
          <cell r="AZ161">
            <v>4308.25</v>
          </cell>
          <cell r="BA161">
            <v>10579.66</v>
          </cell>
          <cell r="BC161">
            <v>0</v>
          </cell>
          <cell r="BD161">
            <v>415193.84</v>
          </cell>
          <cell r="BG161">
            <v>109127.08</v>
          </cell>
          <cell r="BI161" t="str">
            <v>Actual</v>
          </cell>
        </row>
        <row r="162">
          <cell r="B162" t="str">
            <v>May 2014</v>
          </cell>
          <cell r="C162" t="str">
            <v>PSS</v>
          </cell>
          <cell r="D162" t="str">
            <v>PSS</v>
          </cell>
          <cell r="E162" t="str">
            <v>KUCIE562</v>
          </cell>
          <cell r="F162">
            <v>4840</v>
          </cell>
          <cell r="G162">
            <v>0</v>
          </cell>
          <cell r="H162">
            <v>0</v>
          </cell>
          <cell r="I162">
            <v>0</v>
          </cell>
          <cell r="J162">
            <v>0</v>
          </cell>
          <cell r="K162">
            <v>131600041</v>
          </cell>
          <cell r="L162">
            <v>0</v>
          </cell>
          <cell r="M162">
            <v>0</v>
          </cell>
          <cell r="N162">
            <v>0</v>
          </cell>
          <cell r="O162">
            <v>378414.6</v>
          </cell>
          <cell r="S162">
            <v>0</v>
          </cell>
          <cell r="T162">
            <v>0</v>
          </cell>
          <cell r="U162">
            <v>54048.27</v>
          </cell>
          <cell r="V162">
            <v>0</v>
          </cell>
          <cell r="W162">
            <v>0</v>
          </cell>
          <cell r="X162">
            <v>0</v>
          </cell>
          <cell r="AL162">
            <v>0</v>
          </cell>
          <cell r="AM162">
            <v>0</v>
          </cell>
          <cell r="AP162">
            <v>-476.99</v>
          </cell>
          <cell r="AQ162">
            <v>-0.06</v>
          </cell>
          <cell r="AR162">
            <v>-82207.199999999997</v>
          </cell>
          <cell r="AV162">
            <v>11659823.119999999</v>
          </cell>
          <cell r="AW162">
            <v>11659823.120000001</v>
          </cell>
          <cell r="AY162">
            <v>459689.01</v>
          </cell>
          <cell r="AZ162">
            <v>171778.66</v>
          </cell>
          <cell r="BA162">
            <v>298057.27</v>
          </cell>
          <cell r="BC162">
            <v>0</v>
          </cell>
          <cell r="BD162">
            <v>12589348.060000001</v>
          </cell>
          <cell r="BG162">
            <v>3805873.19</v>
          </cell>
          <cell r="BI162" t="str">
            <v>Actual</v>
          </cell>
        </row>
        <row r="163">
          <cell r="B163" t="str">
            <v>May 2014</v>
          </cell>
          <cell r="C163" t="str">
            <v>TODP</v>
          </cell>
          <cell r="D163" t="str">
            <v>TODP</v>
          </cell>
          <cell r="E163" t="str">
            <v>KUCIE563</v>
          </cell>
          <cell r="F163">
            <v>52</v>
          </cell>
          <cell r="G163">
            <v>0</v>
          </cell>
          <cell r="H163">
            <v>0</v>
          </cell>
          <cell r="I163">
            <v>0</v>
          </cell>
          <cell r="J163">
            <v>0</v>
          </cell>
          <cell r="K163">
            <v>242154160</v>
          </cell>
          <cell r="L163">
            <v>0</v>
          </cell>
          <cell r="M163">
            <v>478184.8</v>
          </cell>
          <cell r="N163">
            <v>474777.2</v>
          </cell>
          <cell r="O163">
            <v>466434.2</v>
          </cell>
          <cell r="S163">
            <v>19732.599999999999</v>
          </cell>
          <cell r="T163">
            <v>1262.7</v>
          </cell>
          <cell r="U163">
            <v>2374.6</v>
          </cell>
          <cell r="V163">
            <v>0</v>
          </cell>
          <cell r="W163">
            <v>0</v>
          </cell>
          <cell r="X163">
            <v>0</v>
          </cell>
          <cell r="AL163">
            <v>0</v>
          </cell>
          <cell r="AM163">
            <v>0</v>
          </cell>
          <cell r="AP163">
            <v>0</v>
          </cell>
          <cell r="AQ163">
            <v>0.02</v>
          </cell>
          <cell r="AR163">
            <v>0</v>
          </cell>
          <cell r="AV163">
            <v>13295138.499999998</v>
          </cell>
          <cell r="AW163">
            <v>13295138.5</v>
          </cell>
          <cell r="AY163">
            <v>766500.86</v>
          </cell>
          <cell r="AZ163">
            <v>58861.77</v>
          </cell>
          <cell r="BA163">
            <v>210865.51</v>
          </cell>
          <cell r="BC163">
            <v>0</v>
          </cell>
          <cell r="BD163">
            <v>14331366.640000001</v>
          </cell>
          <cell r="BG163">
            <v>7003098.3099999996</v>
          </cell>
          <cell r="BI163" t="str">
            <v>Actual</v>
          </cell>
        </row>
        <row r="164">
          <cell r="B164" t="str">
            <v>May 2014</v>
          </cell>
          <cell r="C164" t="str">
            <v>PSP</v>
          </cell>
          <cell r="D164" t="str">
            <v>PSP</v>
          </cell>
          <cell r="E164" t="str">
            <v>KUCIE566</v>
          </cell>
          <cell r="F164">
            <v>74</v>
          </cell>
          <cell r="G164">
            <v>0</v>
          </cell>
          <cell r="H164">
            <v>0</v>
          </cell>
          <cell r="I164">
            <v>0</v>
          </cell>
          <cell r="J164">
            <v>0</v>
          </cell>
          <cell r="K164">
            <v>19948394</v>
          </cell>
          <cell r="L164">
            <v>0</v>
          </cell>
          <cell r="M164">
            <v>0</v>
          </cell>
          <cell r="N164">
            <v>0</v>
          </cell>
          <cell r="O164">
            <v>43912.800000000003</v>
          </cell>
          <cell r="S164">
            <v>0</v>
          </cell>
          <cell r="T164">
            <v>0</v>
          </cell>
          <cell r="U164">
            <v>3120.15</v>
          </cell>
          <cell r="V164">
            <v>0</v>
          </cell>
          <cell r="W164">
            <v>0</v>
          </cell>
          <cell r="X164">
            <v>0</v>
          </cell>
          <cell r="AL164">
            <v>812.5</v>
          </cell>
          <cell r="AM164">
            <v>11888.94</v>
          </cell>
          <cell r="AP164">
            <v>-48.07</v>
          </cell>
          <cell r="AQ164">
            <v>0.04</v>
          </cell>
          <cell r="AR164">
            <v>-6702.07</v>
          </cell>
          <cell r="AV164">
            <v>1447756.5999999999</v>
          </cell>
          <cell r="AW164">
            <v>1447756.5999999999</v>
          </cell>
          <cell r="AY164">
            <v>70271.72</v>
          </cell>
          <cell r="AZ164">
            <v>15993.13</v>
          </cell>
          <cell r="BA164">
            <v>32459.95</v>
          </cell>
          <cell r="BC164">
            <v>0</v>
          </cell>
          <cell r="BD164">
            <v>1566481.4</v>
          </cell>
          <cell r="BG164">
            <v>576907.55000000005</v>
          </cell>
          <cell r="BI164" t="str">
            <v>Actual</v>
          </cell>
        </row>
        <row r="165">
          <cell r="B165" t="str">
            <v>May 2014</v>
          </cell>
          <cell r="C165" t="str">
            <v>PSS</v>
          </cell>
          <cell r="D165" t="str">
            <v>PSS</v>
          </cell>
          <cell r="E165" t="str">
            <v>KUCIE568</v>
          </cell>
          <cell r="F165">
            <v>393</v>
          </cell>
          <cell r="G165">
            <v>2</v>
          </cell>
          <cell r="H165">
            <v>0</v>
          </cell>
          <cell r="I165">
            <v>0</v>
          </cell>
          <cell r="J165">
            <v>0</v>
          </cell>
          <cell r="K165">
            <v>58274936</v>
          </cell>
          <cell r="L165">
            <v>0</v>
          </cell>
          <cell r="M165">
            <v>0</v>
          </cell>
          <cell r="N165">
            <v>0</v>
          </cell>
          <cell r="O165">
            <v>145742.39999999999</v>
          </cell>
          <cell r="S165">
            <v>0</v>
          </cell>
          <cell r="T165">
            <v>0</v>
          </cell>
          <cell r="U165">
            <v>7972.02</v>
          </cell>
          <cell r="V165">
            <v>0</v>
          </cell>
          <cell r="W165">
            <v>0</v>
          </cell>
          <cell r="X165">
            <v>0</v>
          </cell>
          <cell r="AL165">
            <v>333.25</v>
          </cell>
          <cell r="AM165">
            <v>87739.53</v>
          </cell>
          <cell r="AP165">
            <v>-59.46</v>
          </cell>
          <cell r="AQ165">
            <v>0</v>
          </cell>
          <cell r="AR165">
            <v>-23596.01</v>
          </cell>
          <cell r="AV165">
            <v>4528716.66</v>
          </cell>
          <cell r="AW165">
            <v>4528716.66</v>
          </cell>
          <cell r="AY165">
            <v>204609.42</v>
          </cell>
          <cell r="AZ165">
            <v>47317.46</v>
          </cell>
          <cell r="BA165">
            <v>107716.05</v>
          </cell>
          <cell r="BC165">
            <v>0</v>
          </cell>
          <cell r="BD165">
            <v>4888359.59</v>
          </cell>
          <cell r="BG165">
            <v>1685311.15</v>
          </cell>
          <cell r="BI165" t="str">
            <v>Actual</v>
          </cell>
        </row>
        <row r="166">
          <cell r="B166" t="str">
            <v>May 2014</v>
          </cell>
          <cell r="C166" t="str">
            <v>TODP</v>
          </cell>
          <cell r="D166" t="str">
            <v>TODP</v>
          </cell>
          <cell r="E166" t="str">
            <v>KUCIE571</v>
          </cell>
          <cell r="F166">
            <v>158</v>
          </cell>
          <cell r="G166">
            <v>0</v>
          </cell>
          <cell r="H166">
            <v>0</v>
          </cell>
          <cell r="I166">
            <v>0</v>
          </cell>
          <cell r="J166">
            <v>0</v>
          </cell>
          <cell r="K166">
            <v>100192153</v>
          </cell>
          <cell r="L166">
            <v>0</v>
          </cell>
          <cell r="M166">
            <v>258634.4</v>
          </cell>
          <cell r="N166">
            <v>255439.3</v>
          </cell>
          <cell r="O166">
            <v>250750.8</v>
          </cell>
          <cell r="S166">
            <v>8667.9</v>
          </cell>
          <cell r="T166">
            <v>857.4</v>
          </cell>
          <cell r="U166">
            <v>866.4</v>
          </cell>
          <cell r="V166">
            <v>0</v>
          </cell>
          <cell r="W166">
            <v>0</v>
          </cell>
          <cell r="X166">
            <v>0</v>
          </cell>
          <cell r="AL166">
            <v>4187.5</v>
          </cell>
          <cell r="AM166">
            <v>0</v>
          </cell>
          <cell r="AP166">
            <v>24.83</v>
          </cell>
          <cell r="AQ166">
            <v>0.05</v>
          </cell>
          <cell r="AR166">
            <v>2854.78</v>
          </cell>
          <cell r="AV166">
            <v>6063056.8200000003</v>
          </cell>
          <cell r="AW166">
            <v>6063056.8199999994</v>
          </cell>
          <cell r="AY166">
            <v>348386.84</v>
          </cell>
          <cell r="AZ166">
            <v>34399.67</v>
          </cell>
          <cell r="BA166">
            <v>117238.85</v>
          </cell>
          <cell r="BC166">
            <v>0</v>
          </cell>
          <cell r="BD166">
            <v>6563082.1799999997</v>
          </cell>
          <cell r="BG166">
            <v>2897557.06</v>
          </cell>
          <cell r="BI166" t="str">
            <v>Actual</v>
          </cell>
        </row>
        <row r="167">
          <cell r="B167" t="str">
            <v>May 2014</v>
          </cell>
          <cell r="C167" t="str">
            <v>TODS</v>
          </cell>
          <cell r="D167" t="str">
            <v>TODS</v>
          </cell>
          <cell r="E167" t="str">
            <v>KUCIE572</v>
          </cell>
          <cell r="F167">
            <v>439</v>
          </cell>
          <cell r="G167">
            <v>2</v>
          </cell>
          <cell r="H167">
            <v>0</v>
          </cell>
          <cell r="I167">
            <v>0</v>
          </cell>
          <cell r="J167">
            <v>0</v>
          </cell>
          <cell r="K167">
            <v>100848428</v>
          </cell>
          <cell r="L167">
            <v>0</v>
          </cell>
          <cell r="M167">
            <v>238210.1</v>
          </cell>
          <cell r="N167">
            <v>236019.8</v>
          </cell>
          <cell r="O167">
            <v>231678.6</v>
          </cell>
          <cell r="S167">
            <v>14388.899999999994</v>
          </cell>
          <cell r="T167">
            <v>421.90000000002328</v>
          </cell>
          <cell r="U167">
            <v>498.39999999999418</v>
          </cell>
          <cell r="V167">
            <v>0</v>
          </cell>
          <cell r="W167">
            <v>0</v>
          </cell>
          <cell r="X167">
            <v>0</v>
          </cell>
          <cell r="AL167">
            <v>7907.43</v>
          </cell>
          <cell r="AM167">
            <v>94709.28</v>
          </cell>
          <cell r="AP167">
            <v>-1346.66</v>
          </cell>
          <cell r="AQ167">
            <v>0.05</v>
          </cell>
          <cell r="AR167">
            <v>19056.810000000001</v>
          </cell>
          <cell r="AV167">
            <v>6681854.8399999989</v>
          </cell>
          <cell r="AW167">
            <v>6681854.8399999999</v>
          </cell>
          <cell r="AY167">
            <v>348165.93</v>
          </cell>
          <cell r="AZ167">
            <v>78124.67</v>
          </cell>
          <cell r="BA167">
            <v>140093.10999999999</v>
          </cell>
          <cell r="BC167">
            <v>0</v>
          </cell>
          <cell r="BD167">
            <v>7248238.5499999998</v>
          </cell>
          <cell r="BG167">
            <v>2916536.54</v>
          </cell>
          <cell r="BI167" t="str">
            <v>Actual</v>
          </cell>
        </row>
        <row r="168">
          <cell r="B168" t="str">
            <v>May 2014</v>
          </cell>
          <cell r="C168" t="str">
            <v>PSS</v>
          </cell>
          <cell r="D168" t="str">
            <v>PSS</v>
          </cell>
          <cell r="E168" t="str">
            <v>KUCIE717</v>
          </cell>
          <cell r="F168">
            <v>1</v>
          </cell>
          <cell r="G168">
            <v>0</v>
          </cell>
          <cell r="H168">
            <v>0</v>
          </cell>
          <cell r="I168">
            <v>0</v>
          </cell>
          <cell r="J168">
            <v>0</v>
          </cell>
          <cell r="K168">
            <v>25360</v>
          </cell>
          <cell r="L168">
            <v>0</v>
          </cell>
          <cell r="M168">
            <v>0</v>
          </cell>
          <cell r="N168">
            <v>0</v>
          </cell>
          <cell r="O168">
            <v>77.5</v>
          </cell>
          <cell r="S168">
            <v>0</v>
          </cell>
          <cell r="T168">
            <v>0</v>
          </cell>
          <cell r="U168">
            <v>22.5</v>
          </cell>
          <cell r="V168">
            <v>0</v>
          </cell>
          <cell r="W168">
            <v>0</v>
          </cell>
          <cell r="X168">
            <v>0</v>
          </cell>
          <cell r="AL168">
            <v>0</v>
          </cell>
          <cell r="AM168">
            <v>0</v>
          </cell>
          <cell r="AP168">
            <v>0</v>
          </cell>
          <cell r="AQ168">
            <v>0</v>
          </cell>
          <cell r="AR168">
            <v>0</v>
          </cell>
          <cell r="AV168">
            <v>2523.83</v>
          </cell>
          <cell r="AW168">
            <v>2523.83</v>
          </cell>
          <cell r="AY168">
            <v>90.54</v>
          </cell>
          <cell r="AZ168">
            <v>34.74</v>
          </cell>
          <cell r="BA168">
            <v>69.36</v>
          </cell>
          <cell r="BC168">
            <v>0</v>
          </cell>
          <cell r="BD168">
            <v>2718.47</v>
          </cell>
          <cell r="BG168">
            <v>733.41</v>
          </cell>
          <cell r="BI168" t="str">
            <v>Actual</v>
          </cell>
        </row>
        <row r="169">
          <cell r="B169" t="str">
            <v>May 2014</v>
          </cell>
          <cell r="C169" t="str">
            <v>GS</v>
          </cell>
          <cell r="D169" t="str">
            <v>GS</v>
          </cell>
          <cell r="E169" t="str">
            <v>KUCME110</v>
          </cell>
          <cell r="F169">
            <v>64676</v>
          </cell>
          <cell r="G169">
            <v>0</v>
          </cell>
          <cell r="H169">
            <v>0</v>
          </cell>
          <cell r="I169">
            <v>0</v>
          </cell>
          <cell r="J169">
            <v>0</v>
          </cell>
          <cell r="K169">
            <v>55154602</v>
          </cell>
          <cell r="L169">
            <v>0</v>
          </cell>
          <cell r="M169">
            <v>119547.4</v>
          </cell>
          <cell r="N169">
            <v>0</v>
          </cell>
          <cell r="O169">
            <v>0</v>
          </cell>
          <cell r="S169">
            <v>0</v>
          </cell>
          <cell r="T169">
            <v>0</v>
          </cell>
          <cell r="U169">
            <v>0</v>
          </cell>
          <cell r="V169">
            <v>0</v>
          </cell>
          <cell r="W169">
            <v>0</v>
          </cell>
          <cell r="X169">
            <v>0</v>
          </cell>
          <cell r="AL169">
            <v>0</v>
          </cell>
          <cell r="AM169">
            <v>0</v>
          </cell>
          <cell r="AP169">
            <v>10535.55</v>
          </cell>
          <cell r="AQ169">
            <v>512.29</v>
          </cell>
          <cell r="AR169">
            <v>0</v>
          </cell>
          <cell r="AV169">
            <v>6392579.8700000001</v>
          </cell>
          <cell r="AW169">
            <v>6392579.8700000001</v>
          </cell>
          <cell r="AY169">
            <v>193332.21</v>
          </cell>
          <cell r="AZ169">
            <v>161367.62</v>
          </cell>
          <cell r="BA169">
            <v>184377.09999999998</v>
          </cell>
          <cell r="BC169">
            <v>0</v>
          </cell>
          <cell r="BD169">
            <v>6931656.7999999998</v>
          </cell>
          <cell r="BG169">
            <v>1595071.09</v>
          </cell>
          <cell r="BI169" t="str">
            <v>Actual</v>
          </cell>
        </row>
        <row r="170">
          <cell r="B170" t="str">
            <v>May 2014</v>
          </cell>
          <cell r="C170" t="str">
            <v>GS</v>
          </cell>
          <cell r="D170" t="str">
            <v>GS</v>
          </cell>
          <cell r="E170" t="str">
            <v>KUCME112</v>
          </cell>
          <cell r="F170">
            <v>61</v>
          </cell>
          <cell r="G170">
            <v>0</v>
          </cell>
          <cell r="H170">
            <v>0</v>
          </cell>
          <cell r="I170">
            <v>0</v>
          </cell>
          <cell r="J170">
            <v>0</v>
          </cell>
          <cell r="K170">
            <v>10785</v>
          </cell>
          <cell r="L170">
            <v>0</v>
          </cell>
          <cell r="M170">
            <v>0</v>
          </cell>
          <cell r="N170">
            <v>0</v>
          </cell>
          <cell r="O170">
            <v>0</v>
          </cell>
          <cell r="S170">
            <v>0</v>
          </cell>
          <cell r="T170">
            <v>0</v>
          </cell>
          <cell r="U170">
            <v>0</v>
          </cell>
          <cell r="V170">
            <v>0</v>
          </cell>
          <cell r="W170">
            <v>0</v>
          </cell>
          <cell r="X170">
            <v>0</v>
          </cell>
          <cell r="AL170">
            <v>0</v>
          </cell>
          <cell r="AM170">
            <v>0</v>
          </cell>
          <cell r="AP170">
            <v>0</v>
          </cell>
          <cell r="AQ170">
            <v>0.02</v>
          </cell>
          <cell r="AR170">
            <v>0</v>
          </cell>
          <cell r="AV170">
            <v>2214.94</v>
          </cell>
          <cell r="AW170">
            <v>2214.94</v>
          </cell>
          <cell r="AY170">
            <v>36.01</v>
          </cell>
          <cell r="AZ170">
            <v>32.39</v>
          </cell>
          <cell r="BA170">
            <v>69.27</v>
          </cell>
          <cell r="BC170">
            <v>0</v>
          </cell>
          <cell r="BD170">
            <v>2352.61</v>
          </cell>
          <cell r="BG170">
            <v>311.89999999999998</v>
          </cell>
          <cell r="BI170" t="str">
            <v>Actual</v>
          </cell>
        </row>
        <row r="171">
          <cell r="B171" t="str">
            <v>May 2014</v>
          </cell>
          <cell r="C171" t="str">
            <v>GS3</v>
          </cell>
          <cell r="D171" t="str">
            <v>GS3</v>
          </cell>
          <cell r="E171" t="str">
            <v>KUCME113</v>
          </cell>
          <cell r="F171">
            <v>17119</v>
          </cell>
          <cell r="G171">
            <v>0</v>
          </cell>
          <cell r="H171">
            <v>0</v>
          </cell>
          <cell r="I171">
            <v>0</v>
          </cell>
          <cell r="J171">
            <v>0</v>
          </cell>
          <cell r="K171">
            <v>77641848</v>
          </cell>
          <cell r="L171">
            <v>0</v>
          </cell>
          <cell r="M171">
            <v>352432.9</v>
          </cell>
          <cell r="N171">
            <v>0</v>
          </cell>
          <cell r="O171">
            <v>0</v>
          </cell>
          <cell r="S171">
            <v>0</v>
          </cell>
          <cell r="T171">
            <v>0</v>
          </cell>
          <cell r="U171">
            <v>0</v>
          </cell>
          <cell r="V171">
            <v>0</v>
          </cell>
          <cell r="W171">
            <v>0</v>
          </cell>
          <cell r="X171">
            <v>0</v>
          </cell>
          <cell r="AL171">
            <v>0</v>
          </cell>
          <cell r="AM171">
            <v>0</v>
          </cell>
          <cell r="AP171">
            <v>-404.72</v>
          </cell>
          <cell r="AQ171">
            <v>-6.87</v>
          </cell>
          <cell r="AR171">
            <v>0</v>
          </cell>
          <cell r="AV171">
            <v>7761213.8900000006</v>
          </cell>
          <cell r="AW171">
            <v>7761213.8900000006</v>
          </cell>
          <cell r="AY171">
            <v>272025.24</v>
          </cell>
          <cell r="AZ171">
            <v>215386.72</v>
          </cell>
          <cell r="BA171">
            <v>213387.63</v>
          </cell>
          <cell r="BC171">
            <v>0</v>
          </cell>
          <cell r="BD171">
            <v>8462013.4800000004</v>
          </cell>
          <cell r="BG171">
            <v>2245402.2400000002</v>
          </cell>
          <cell r="BI171" t="str">
            <v>Actual</v>
          </cell>
        </row>
        <row r="172">
          <cell r="B172" t="str">
            <v>May 2014</v>
          </cell>
          <cell r="C172" t="str">
            <v>AES</v>
          </cell>
          <cell r="D172" t="str">
            <v>AES</v>
          </cell>
          <cell r="E172" t="str">
            <v>KUCME220</v>
          </cell>
          <cell r="F172">
            <v>333</v>
          </cell>
          <cell r="G172">
            <v>0</v>
          </cell>
          <cell r="H172">
            <v>0</v>
          </cell>
          <cell r="I172">
            <v>0</v>
          </cell>
          <cell r="J172">
            <v>0</v>
          </cell>
          <cell r="K172">
            <v>428919</v>
          </cell>
          <cell r="L172">
            <v>0</v>
          </cell>
          <cell r="M172">
            <v>2580.1999999999998</v>
          </cell>
          <cell r="N172">
            <v>0</v>
          </cell>
          <cell r="O172">
            <v>0</v>
          </cell>
          <cell r="S172">
            <v>0</v>
          </cell>
          <cell r="T172">
            <v>0</v>
          </cell>
          <cell r="U172">
            <v>0</v>
          </cell>
          <cell r="V172">
            <v>0</v>
          </cell>
          <cell r="W172">
            <v>0</v>
          </cell>
          <cell r="X172">
            <v>0</v>
          </cell>
          <cell r="AL172">
            <v>0</v>
          </cell>
          <cell r="AM172">
            <v>0</v>
          </cell>
          <cell r="AP172">
            <v>6</v>
          </cell>
          <cell r="AQ172">
            <v>0.02</v>
          </cell>
          <cell r="AR172">
            <v>0</v>
          </cell>
          <cell r="AV172">
            <v>38577.589999999997</v>
          </cell>
          <cell r="AW172">
            <v>38577.590000000004</v>
          </cell>
          <cell r="AY172">
            <v>1354.62</v>
          </cell>
          <cell r="AZ172">
            <v>527.57000000000005</v>
          </cell>
          <cell r="BA172">
            <v>782.23</v>
          </cell>
          <cell r="BC172">
            <v>0</v>
          </cell>
          <cell r="BD172">
            <v>41242.01</v>
          </cell>
          <cell r="BG172">
            <v>12404.34</v>
          </cell>
          <cell r="BI172" t="str">
            <v>Actual</v>
          </cell>
        </row>
        <row r="173">
          <cell r="B173" t="str">
            <v>May 2014</v>
          </cell>
          <cell r="C173" t="str">
            <v>AES</v>
          </cell>
          <cell r="D173" t="str">
            <v>AES</v>
          </cell>
          <cell r="E173" t="str">
            <v>KUCME221</v>
          </cell>
          <cell r="F173">
            <v>6</v>
          </cell>
          <cell r="G173">
            <v>1</v>
          </cell>
          <cell r="H173">
            <v>0</v>
          </cell>
          <cell r="I173">
            <v>0</v>
          </cell>
          <cell r="J173">
            <v>0</v>
          </cell>
          <cell r="K173">
            <v>900</v>
          </cell>
          <cell r="L173">
            <v>0</v>
          </cell>
          <cell r="M173">
            <v>103.4</v>
          </cell>
          <cell r="N173">
            <v>0</v>
          </cell>
          <cell r="O173">
            <v>0</v>
          </cell>
          <cell r="S173">
            <v>0</v>
          </cell>
          <cell r="T173">
            <v>0</v>
          </cell>
          <cell r="U173">
            <v>0</v>
          </cell>
          <cell r="V173">
            <v>0</v>
          </cell>
          <cell r="W173">
            <v>0</v>
          </cell>
          <cell r="X173">
            <v>0</v>
          </cell>
          <cell r="AL173">
            <v>0</v>
          </cell>
          <cell r="AM173">
            <v>0</v>
          </cell>
          <cell r="AP173">
            <v>0</v>
          </cell>
          <cell r="AQ173">
            <v>0</v>
          </cell>
          <cell r="AR173">
            <v>0</v>
          </cell>
          <cell r="AV173">
            <v>206.95999999999998</v>
          </cell>
          <cell r="AW173">
            <v>206.96</v>
          </cell>
          <cell r="AY173">
            <v>3.21</v>
          </cell>
          <cell r="AZ173">
            <v>1.1100000000000001</v>
          </cell>
          <cell r="BA173">
            <v>4.24</v>
          </cell>
          <cell r="BC173">
            <v>0</v>
          </cell>
          <cell r="BD173">
            <v>215.52</v>
          </cell>
          <cell r="BG173">
            <v>26.03</v>
          </cell>
          <cell r="BI173" t="str">
            <v>Actual</v>
          </cell>
        </row>
        <row r="174">
          <cell r="B174" t="str">
            <v>May 2014</v>
          </cell>
          <cell r="C174" t="str">
            <v>AES3</v>
          </cell>
          <cell r="D174" t="str">
            <v>AES3</v>
          </cell>
          <cell r="E174" t="str">
            <v>KUCME223</v>
          </cell>
          <cell r="F174">
            <v>67</v>
          </cell>
          <cell r="G174">
            <v>0</v>
          </cell>
          <cell r="H174">
            <v>0</v>
          </cell>
          <cell r="I174">
            <v>0</v>
          </cell>
          <cell r="J174">
            <v>0</v>
          </cell>
          <cell r="K174">
            <v>353566</v>
          </cell>
          <cell r="L174">
            <v>0</v>
          </cell>
          <cell r="M174">
            <v>3228.6</v>
          </cell>
          <cell r="N174">
            <v>0</v>
          </cell>
          <cell r="O174">
            <v>0</v>
          </cell>
          <cell r="S174">
            <v>0</v>
          </cell>
          <cell r="T174">
            <v>0</v>
          </cell>
          <cell r="U174">
            <v>0</v>
          </cell>
          <cell r="V174">
            <v>0</v>
          </cell>
          <cell r="W174">
            <v>0</v>
          </cell>
          <cell r="X174">
            <v>0</v>
          </cell>
          <cell r="AL174">
            <v>0</v>
          </cell>
          <cell r="AM174">
            <v>0</v>
          </cell>
          <cell r="AP174">
            <v>0</v>
          </cell>
          <cell r="AQ174">
            <v>-0.03</v>
          </cell>
          <cell r="AR174">
            <v>0</v>
          </cell>
          <cell r="AV174">
            <v>28650.280000000002</v>
          </cell>
          <cell r="AW174">
            <v>28650.28</v>
          </cell>
          <cell r="AY174">
            <v>1232.3800000000001</v>
          </cell>
          <cell r="AZ174">
            <v>434.89</v>
          </cell>
          <cell r="BA174">
            <v>646.05999999999995</v>
          </cell>
          <cell r="BC174">
            <v>0</v>
          </cell>
          <cell r="BD174">
            <v>30963.61</v>
          </cell>
          <cell r="BG174">
            <v>10225.129999999999</v>
          </cell>
          <cell r="BI174" t="str">
            <v>Actual</v>
          </cell>
        </row>
        <row r="175">
          <cell r="B175" t="str">
            <v>May 2014</v>
          </cell>
          <cell r="C175" t="str">
            <v>AES3</v>
          </cell>
          <cell r="D175" t="str">
            <v>AES3</v>
          </cell>
          <cell r="E175" t="str">
            <v>KUCME224</v>
          </cell>
          <cell r="F175">
            <v>4</v>
          </cell>
          <cell r="G175">
            <v>0</v>
          </cell>
          <cell r="H175">
            <v>0</v>
          </cell>
          <cell r="I175">
            <v>0</v>
          </cell>
          <cell r="J175">
            <v>0</v>
          </cell>
          <cell r="K175">
            <v>244540</v>
          </cell>
          <cell r="L175">
            <v>0</v>
          </cell>
          <cell r="M175">
            <v>938.3</v>
          </cell>
          <cell r="N175">
            <v>0</v>
          </cell>
          <cell r="O175">
            <v>0</v>
          </cell>
          <cell r="S175">
            <v>0</v>
          </cell>
          <cell r="T175">
            <v>0</v>
          </cell>
          <cell r="U175">
            <v>0</v>
          </cell>
          <cell r="V175">
            <v>0</v>
          </cell>
          <cell r="W175">
            <v>0</v>
          </cell>
          <cell r="X175">
            <v>0</v>
          </cell>
          <cell r="AL175">
            <v>0</v>
          </cell>
          <cell r="AM175">
            <v>0</v>
          </cell>
          <cell r="AP175">
            <v>0</v>
          </cell>
          <cell r="AQ175">
            <v>-0.01</v>
          </cell>
          <cell r="AR175">
            <v>0</v>
          </cell>
          <cell r="AV175">
            <v>18333.77</v>
          </cell>
          <cell r="AW175">
            <v>18333.77</v>
          </cell>
          <cell r="AY175">
            <v>747.29</v>
          </cell>
          <cell r="AZ175">
            <v>300.77999999999997</v>
          </cell>
          <cell r="BA175">
            <v>358.74</v>
          </cell>
          <cell r="BC175">
            <v>0</v>
          </cell>
          <cell r="BD175">
            <v>19740.580000000002</v>
          </cell>
          <cell r="BG175">
            <v>7072.1</v>
          </cell>
          <cell r="BI175" t="str">
            <v>Actual</v>
          </cell>
        </row>
        <row r="176">
          <cell r="B176" t="str">
            <v>May 2014</v>
          </cell>
          <cell r="C176" t="str">
            <v>AES3</v>
          </cell>
          <cell r="D176" t="str">
            <v>AES3</v>
          </cell>
          <cell r="E176" t="str">
            <v>KUCME225</v>
          </cell>
          <cell r="F176">
            <v>96</v>
          </cell>
          <cell r="G176">
            <v>0</v>
          </cell>
          <cell r="H176">
            <v>0</v>
          </cell>
          <cell r="I176">
            <v>0</v>
          </cell>
          <cell r="J176">
            <v>0</v>
          </cell>
          <cell r="K176">
            <v>2129140</v>
          </cell>
          <cell r="L176">
            <v>0</v>
          </cell>
          <cell r="M176">
            <v>10210.6</v>
          </cell>
          <cell r="N176">
            <v>0</v>
          </cell>
          <cell r="O176">
            <v>0</v>
          </cell>
          <cell r="S176">
            <v>0</v>
          </cell>
          <cell r="T176">
            <v>0</v>
          </cell>
          <cell r="U176">
            <v>0</v>
          </cell>
          <cell r="V176">
            <v>0</v>
          </cell>
          <cell r="W176">
            <v>0</v>
          </cell>
          <cell r="X176">
            <v>0</v>
          </cell>
          <cell r="AL176">
            <v>0</v>
          </cell>
          <cell r="AM176">
            <v>0</v>
          </cell>
          <cell r="AP176">
            <v>0</v>
          </cell>
          <cell r="AQ176">
            <v>-0.03</v>
          </cell>
          <cell r="AR176">
            <v>0</v>
          </cell>
          <cell r="AV176">
            <v>161767.99</v>
          </cell>
          <cell r="AW176">
            <v>161767.99</v>
          </cell>
          <cell r="AY176">
            <v>6984.13</v>
          </cell>
          <cell r="AZ176">
            <v>2618.89</v>
          </cell>
          <cell r="BA176">
            <v>3425.71</v>
          </cell>
          <cell r="BC176">
            <v>0</v>
          </cell>
          <cell r="BD176">
            <v>174796.72</v>
          </cell>
          <cell r="BG176">
            <v>61574.73</v>
          </cell>
          <cell r="BI176" t="str">
            <v>Actual</v>
          </cell>
        </row>
        <row r="177">
          <cell r="B177" t="str">
            <v>May 2014</v>
          </cell>
          <cell r="C177" t="str">
            <v>AES</v>
          </cell>
          <cell r="D177" t="str">
            <v>AES</v>
          </cell>
          <cell r="E177" t="str">
            <v>KUCME226</v>
          </cell>
          <cell r="F177">
            <v>19</v>
          </cell>
          <cell r="G177">
            <v>0</v>
          </cell>
          <cell r="H177">
            <v>0</v>
          </cell>
          <cell r="I177">
            <v>0</v>
          </cell>
          <cell r="J177">
            <v>0</v>
          </cell>
          <cell r="K177">
            <v>45091</v>
          </cell>
          <cell r="L177">
            <v>0</v>
          </cell>
          <cell r="M177">
            <v>1465.5</v>
          </cell>
          <cell r="N177">
            <v>0</v>
          </cell>
          <cell r="O177">
            <v>0</v>
          </cell>
          <cell r="S177">
            <v>0</v>
          </cell>
          <cell r="T177">
            <v>0</v>
          </cell>
          <cell r="U177">
            <v>0</v>
          </cell>
          <cell r="V177">
            <v>0</v>
          </cell>
          <cell r="W177">
            <v>0</v>
          </cell>
          <cell r="X177">
            <v>0</v>
          </cell>
          <cell r="AL177">
            <v>0</v>
          </cell>
          <cell r="AM177">
            <v>0</v>
          </cell>
          <cell r="AP177">
            <v>0</v>
          </cell>
          <cell r="AQ177">
            <v>0.02</v>
          </cell>
          <cell r="AR177">
            <v>0</v>
          </cell>
          <cell r="AV177">
            <v>3734.79</v>
          </cell>
          <cell r="AW177">
            <v>3734.79</v>
          </cell>
          <cell r="AY177">
            <v>134.54</v>
          </cell>
          <cell r="AZ177">
            <v>55.46</v>
          </cell>
          <cell r="BA177">
            <v>71.010000000000005</v>
          </cell>
          <cell r="BC177">
            <v>0</v>
          </cell>
          <cell r="BD177">
            <v>3995.8</v>
          </cell>
          <cell r="BG177">
            <v>1304.03</v>
          </cell>
          <cell r="BI177" t="str">
            <v>Actual</v>
          </cell>
        </row>
        <row r="178">
          <cell r="B178" t="str">
            <v>May 2014</v>
          </cell>
          <cell r="C178" t="str">
            <v>AES3</v>
          </cell>
          <cell r="D178" t="str">
            <v>AES3</v>
          </cell>
          <cell r="E178" t="str">
            <v>KUCME227</v>
          </cell>
          <cell r="F178">
            <v>99</v>
          </cell>
          <cell r="G178">
            <v>0</v>
          </cell>
          <cell r="H178">
            <v>0</v>
          </cell>
          <cell r="I178">
            <v>0</v>
          </cell>
          <cell r="J178">
            <v>0</v>
          </cell>
          <cell r="K178">
            <v>8359304</v>
          </cell>
          <cell r="L178">
            <v>0</v>
          </cell>
          <cell r="M178">
            <v>33244.800000000003</v>
          </cell>
          <cell r="N178">
            <v>0</v>
          </cell>
          <cell r="O178">
            <v>0</v>
          </cell>
          <cell r="S178">
            <v>0</v>
          </cell>
          <cell r="T178">
            <v>0</v>
          </cell>
          <cell r="U178">
            <v>0</v>
          </cell>
          <cell r="V178">
            <v>0</v>
          </cell>
          <cell r="W178">
            <v>0</v>
          </cell>
          <cell r="X178">
            <v>0</v>
          </cell>
          <cell r="AL178">
            <v>0</v>
          </cell>
          <cell r="AM178">
            <v>0</v>
          </cell>
          <cell r="AP178">
            <v>0</v>
          </cell>
          <cell r="AQ178">
            <v>0.03</v>
          </cell>
          <cell r="AR178">
            <v>0</v>
          </cell>
          <cell r="AV178">
            <v>625397.25</v>
          </cell>
          <cell r="AW178">
            <v>625397.25</v>
          </cell>
          <cell r="AY178">
            <v>27037.7</v>
          </cell>
          <cell r="AZ178">
            <v>10281.93</v>
          </cell>
          <cell r="BA178">
            <v>13046.75</v>
          </cell>
          <cell r="BC178">
            <v>0</v>
          </cell>
          <cell r="BD178">
            <v>675763.63</v>
          </cell>
          <cell r="BG178">
            <v>241751.07</v>
          </cell>
          <cell r="BI178" t="str">
            <v>Actual</v>
          </cell>
        </row>
        <row r="179">
          <cell r="B179" t="str">
            <v>May 2014</v>
          </cell>
          <cell r="C179" t="str">
            <v>LE</v>
          </cell>
          <cell r="D179" t="str">
            <v>LE</v>
          </cell>
          <cell r="E179" t="str">
            <v>KUCME290</v>
          </cell>
          <cell r="F179">
            <v>1</v>
          </cell>
          <cell r="G179">
            <v>0</v>
          </cell>
          <cell r="H179">
            <v>0</v>
          </cell>
          <cell r="I179">
            <v>0</v>
          </cell>
          <cell r="J179">
            <v>0</v>
          </cell>
          <cell r="K179">
            <v>9255</v>
          </cell>
          <cell r="L179">
            <v>0</v>
          </cell>
          <cell r="M179">
            <v>33.6</v>
          </cell>
          <cell r="N179">
            <v>0</v>
          </cell>
          <cell r="O179">
            <v>0</v>
          </cell>
          <cell r="S179">
            <v>0</v>
          </cell>
          <cell r="T179">
            <v>0</v>
          </cell>
          <cell r="U179">
            <v>0</v>
          </cell>
          <cell r="V179">
            <v>0</v>
          </cell>
          <cell r="W179">
            <v>0</v>
          </cell>
          <cell r="X179">
            <v>0</v>
          </cell>
          <cell r="AL179">
            <v>0</v>
          </cell>
          <cell r="AM179">
            <v>0</v>
          </cell>
          <cell r="AP179">
            <v>0</v>
          </cell>
          <cell r="AQ179">
            <v>0</v>
          </cell>
          <cell r="AR179">
            <v>0</v>
          </cell>
          <cell r="AV179">
            <v>590.47</v>
          </cell>
          <cell r="AW179">
            <v>590.47</v>
          </cell>
          <cell r="AY179">
            <v>33.04</v>
          </cell>
          <cell r="AZ179">
            <v>0</v>
          </cell>
          <cell r="BA179">
            <v>13.65</v>
          </cell>
          <cell r="BC179">
            <v>0</v>
          </cell>
          <cell r="BD179">
            <v>637.16</v>
          </cell>
          <cell r="BG179">
            <v>267.64999999999998</v>
          </cell>
          <cell r="BI179" t="str">
            <v>Actual</v>
          </cell>
        </row>
        <row r="180">
          <cell r="B180" t="str">
            <v>May 2014</v>
          </cell>
          <cell r="C180" t="str">
            <v>LE</v>
          </cell>
          <cell r="D180" t="str">
            <v>LE</v>
          </cell>
          <cell r="E180" t="str">
            <v>KUCME291</v>
          </cell>
          <cell r="F180">
            <v>1</v>
          </cell>
          <cell r="G180">
            <v>0</v>
          </cell>
          <cell r="H180">
            <v>0</v>
          </cell>
          <cell r="I180">
            <v>0</v>
          </cell>
          <cell r="J180">
            <v>0</v>
          </cell>
          <cell r="K180">
            <v>3338</v>
          </cell>
          <cell r="L180">
            <v>0</v>
          </cell>
          <cell r="M180">
            <v>0</v>
          </cell>
          <cell r="N180">
            <v>0</v>
          </cell>
          <cell r="O180">
            <v>0</v>
          </cell>
          <cell r="S180">
            <v>0</v>
          </cell>
          <cell r="T180">
            <v>0</v>
          </cell>
          <cell r="U180">
            <v>0</v>
          </cell>
          <cell r="V180">
            <v>0</v>
          </cell>
          <cell r="W180">
            <v>0</v>
          </cell>
          <cell r="X180">
            <v>0</v>
          </cell>
          <cell r="AL180">
            <v>0</v>
          </cell>
          <cell r="AM180">
            <v>0</v>
          </cell>
          <cell r="AP180">
            <v>0</v>
          </cell>
          <cell r="AQ180">
            <v>0</v>
          </cell>
          <cell r="AR180">
            <v>0</v>
          </cell>
          <cell r="AV180">
            <v>212.96</v>
          </cell>
          <cell r="AW180">
            <v>212.96</v>
          </cell>
          <cell r="AY180">
            <v>7.08</v>
          </cell>
          <cell r="AZ180">
            <v>0</v>
          </cell>
          <cell r="BA180">
            <v>2.68</v>
          </cell>
          <cell r="BC180">
            <v>0</v>
          </cell>
          <cell r="BD180">
            <v>222.72</v>
          </cell>
          <cell r="BG180">
            <v>96.53</v>
          </cell>
          <cell r="BI180" t="str">
            <v>Actual</v>
          </cell>
        </row>
        <row r="181">
          <cell r="B181" t="str">
            <v>May 2014</v>
          </cell>
          <cell r="C181" t="str">
            <v>TE</v>
          </cell>
          <cell r="D181" t="str">
            <v>TE</v>
          </cell>
          <cell r="E181" t="str">
            <v>KUCME295</v>
          </cell>
          <cell r="F181">
            <v>474</v>
          </cell>
          <cell r="G181">
            <v>1</v>
          </cell>
          <cell r="H181">
            <v>0</v>
          </cell>
          <cell r="I181">
            <v>0</v>
          </cell>
          <cell r="J181">
            <v>0</v>
          </cell>
          <cell r="K181">
            <v>89696</v>
          </cell>
          <cell r="L181">
            <v>0</v>
          </cell>
          <cell r="M181">
            <v>16.5</v>
          </cell>
          <cell r="N181">
            <v>0</v>
          </cell>
          <cell r="O181">
            <v>0</v>
          </cell>
          <cell r="S181">
            <v>0</v>
          </cell>
          <cell r="T181">
            <v>0</v>
          </cell>
          <cell r="U181">
            <v>0</v>
          </cell>
          <cell r="V181">
            <v>0</v>
          </cell>
          <cell r="W181">
            <v>0</v>
          </cell>
          <cell r="X181">
            <v>0</v>
          </cell>
          <cell r="AL181">
            <v>0</v>
          </cell>
          <cell r="AM181">
            <v>0</v>
          </cell>
          <cell r="AP181">
            <v>1.63</v>
          </cell>
          <cell r="AQ181">
            <v>0.08</v>
          </cell>
          <cell r="AR181">
            <v>0</v>
          </cell>
          <cell r="AV181">
            <v>8701.41</v>
          </cell>
          <cell r="AW181">
            <v>8701.4100000000017</v>
          </cell>
          <cell r="AY181">
            <v>246.27</v>
          </cell>
          <cell r="AZ181">
            <v>0</v>
          </cell>
          <cell r="BA181">
            <v>146.36000000000001</v>
          </cell>
          <cell r="BC181">
            <v>0</v>
          </cell>
          <cell r="BD181">
            <v>9094.0400000000009</v>
          </cell>
          <cell r="BG181">
            <v>2594.0100000000002</v>
          </cell>
          <cell r="BI181" t="str">
            <v>Actual</v>
          </cell>
        </row>
        <row r="182">
          <cell r="B182" t="str">
            <v>May 2014</v>
          </cell>
          <cell r="C182" t="str">
            <v>TE</v>
          </cell>
          <cell r="D182" t="str">
            <v>TE</v>
          </cell>
          <cell r="E182" t="str">
            <v>KUCME297</v>
          </cell>
          <cell r="F182">
            <v>272</v>
          </cell>
          <cell r="G182">
            <v>0</v>
          </cell>
          <cell r="H182">
            <v>0</v>
          </cell>
          <cell r="I182">
            <v>0</v>
          </cell>
          <cell r="J182">
            <v>0</v>
          </cell>
          <cell r="K182">
            <v>14416</v>
          </cell>
          <cell r="L182">
            <v>0</v>
          </cell>
          <cell r="M182">
            <v>0</v>
          </cell>
          <cell r="N182">
            <v>0</v>
          </cell>
          <cell r="O182">
            <v>0</v>
          </cell>
          <cell r="S182">
            <v>0</v>
          </cell>
          <cell r="T182">
            <v>0</v>
          </cell>
          <cell r="U182">
            <v>0</v>
          </cell>
          <cell r="V182">
            <v>0</v>
          </cell>
          <cell r="W182">
            <v>0</v>
          </cell>
          <cell r="X182">
            <v>0</v>
          </cell>
          <cell r="AL182">
            <v>0</v>
          </cell>
          <cell r="AM182">
            <v>0</v>
          </cell>
          <cell r="AP182">
            <v>0</v>
          </cell>
          <cell r="AQ182">
            <v>0.45</v>
          </cell>
          <cell r="AR182">
            <v>0</v>
          </cell>
          <cell r="AV182">
            <v>2034.56</v>
          </cell>
          <cell r="AW182">
            <v>2034.56</v>
          </cell>
          <cell r="AY182">
            <v>51.68</v>
          </cell>
          <cell r="AZ182">
            <v>0</v>
          </cell>
          <cell r="BA182">
            <v>46.24</v>
          </cell>
          <cell r="BC182">
            <v>0</v>
          </cell>
          <cell r="BD182">
            <v>2132.48</v>
          </cell>
          <cell r="BG182">
            <v>416.91</v>
          </cell>
          <cell r="BI182" t="str">
            <v>Actual</v>
          </cell>
        </row>
        <row r="183">
          <cell r="B183" t="str">
            <v>May 2014</v>
          </cell>
          <cell r="C183" t="str">
            <v>SQF</v>
          </cell>
          <cell r="D183" t="str">
            <v>SQF</v>
          </cell>
          <cell r="E183" t="str">
            <v>KUCME705</v>
          </cell>
          <cell r="F183">
            <v>0</v>
          </cell>
          <cell r="G183">
            <v>0</v>
          </cell>
          <cell r="H183">
            <v>0</v>
          </cell>
          <cell r="I183">
            <v>0</v>
          </cell>
          <cell r="J183">
            <v>0</v>
          </cell>
          <cell r="K183">
            <v>0</v>
          </cell>
          <cell r="L183">
            <v>0</v>
          </cell>
          <cell r="M183">
            <v>0</v>
          </cell>
          <cell r="N183">
            <v>0</v>
          </cell>
          <cell r="O183">
            <v>0</v>
          </cell>
          <cell r="S183">
            <v>0</v>
          </cell>
          <cell r="T183">
            <v>0</v>
          </cell>
          <cell r="U183">
            <v>0</v>
          </cell>
          <cell r="V183">
            <v>0</v>
          </cell>
          <cell r="W183">
            <v>0</v>
          </cell>
          <cell r="X183">
            <v>0</v>
          </cell>
          <cell r="AL183">
            <v>0</v>
          </cell>
          <cell r="AM183">
            <v>0</v>
          </cell>
          <cell r="AP183">
            <v>0</v>
          </cell>
          <cell r="AQ183">
            <v>0</v>
          </cell>
          <cell r="AR183">
            <v>0</v>
          </cell>
          <cell r="AV183">
            <v>0</v>
          </cell>
          <cell r="AW183">
            <v>0</v>
          </cell>
          <cell r="AY183">
            <v>0</v>
          </cell>
          <cell r="AZ183">
            <v>0</v>
          </cell>
          <cell r="BA183">
            <v>0</v>
          </cell>
          <cell r="BC183">
            <v>0</v>
          </cell>
          <cell r="BD183">
            <v>0</v>
          </cell>
          <cell r="BG183">
            <v>0</v>
          </cell>
          <cell r="BI183" t="str">
            <v>Actual</v>
          </cell>
        </row>
        <row r="184">
          <cell r="B184" t="str">
            <v>May 2014</v>
          </cell>
          <cell r="C184" t="str">
            <v>LQF</v>
          </cell>
          <cell r="D184" t="str">
            <v>LQF</v>
          </cell>
          <cell r="E184" t="str">
            <v>KUCME707</v>
          </cell>
          <cell r="F184">
            <v>0</v>
          </cell>
          <cell r="G184">
            <v>0</v>
          </cell>
          <cell r="H184">
            <v>0</v>
          </cell>
          <cell r="I184">
            <v>0</v>
          </cell>
          <cell r="J184">
            <v>0</v>
          </cell>
          <cell r="K184">
            <v>0</v>
          </cell>
          <cell r="L184">
            <v>0</v>
          </cell>
          <cell r="M184">
            <v>0</v>
          </cell>
          <cell r="N184">
            <v>0</v>
          </cell>
          <cell r="O184">
            <v>0</v>
          </cell>
          <cell r="S184">
            <v>0</v>
          </cell>
          <cell r="T184">
            <v>0</v>
          </cell>
          <cell r="U184">
            <v>0</v>
          </cell>
          <cell r="V184">
            <v>0</v>
          </cell>
          <cell r="W184">
            <v>0</v>
          </cell>
          <cell r="X184">
            <v>0</v>
          </cell>
          <cell r="AL184">
            <v>0</v>
          </cell>
          <cell r="AM184">
            <v>0</v>
          </cell>
          <cell r="AP184">
            <v>0</v>
          </cell>
          <cell r="AQ184">
            <v>0</v>
          </cell>
          <cell r="AR184">
            <v>0</v>
          </cell>
          <cell r="AV184">
            <v>0</v>
          </cell>
          <cell r="AW184">
            <v>0</v>
          </cell>
          <cell r="AY184">
            <v>0</v>
          </cell>
          <cell r="AZ184">
            <v>0</v>
          </cell>
          <cell r="BA184">
            <v>0</v>
          </cell>
          <cell r="BC184">
            <v>0</v>
          </cell>
          <cell r="BD184">
            <v>0</v>
          </cell>
          <cell r="BG184">
            <v>0</v>
          </cell>
          <cell r="BI184" t="str">
            <v>Actual</v>
          </cell>
        </row>
        <row r="185">
          <cell r="B185" t="str">
            <v>May 2014</v>
          </cell>
          <cell r="C185" t="str">
            <v>GS</v>
          </cell>
          <cell r="D185" t="str">
            <v>GS</v>
          </cell>
          <cell r="E185" t="str">
            <v>KUCME710</v>
          </cell>
          <cell r="F185">
            <v>8</v>
          </cell>
          <cell r="G185">
            <v>0</v>
          </cell>
          <cell r="H185">
            <v>0</v>
          </cell>
          <cell r="I185">
            <v>0</v>
          </cell>
          <cell r="J185">
            <v>0</v>
          </cell>
          <cell r="K185">
            <v>3336</v>
          </cell>
          <cell r="L185">
            <v>0</v>
          </cell>
          <cell r="M185">
            <v>0</v>
          </cell>
          <cell r="N185">
            <v>0</v>
          </cell>
          <cell r="O185">
            <v>0</v>
          </cell>
          <cell r="S185">
            <v>0</v>
          </cell>
          <cell r="T185">
            <v>0</v>
          </cell>
          <cell r="U185">
            <v>0</v>
          </cell>
          <cell r="V185">
            <v>0</v>
          </cell>
          <cell r="W185">
            <v>0</v>
          </cell>
          <cell r="X185">
            <v>0</v>
          </cell>
          <cell r="AL185">
            <v>0</v>
          </cell>
          <cell r="AM185">
            <v>0</v>
          </cell>
          <cell r="AP185">
            <v>-10.67</v>
          </cell>
          <cell r="AQ185">
            <v>-0.01</v>
          </cell>
          <cell r="AR185">
            <v>0</v>
          </cell>
          <cell r="AV185">
            <v>457.07</v>
          </cell>
          <cell r="AW185">
            <v>457.07</v>
          </cell>
          <cell r="AY185">
            <v>11.91</v>
          </cell>
          <cell r="AZ185">
            <v>10.02</v>
          </cell>
          <cell r="BA185">
            <v>14.09</v>
          </cell>
          <cell r="BC185">
            <v>0</v>
          </cell>
          <cell r="BD185">
            <v>493.09</v>
          </cell>
          <cell r="BG185">
            <v>96.48</v>
          </cell>
          <cell r="BI185" t="str">
            <v>Actual</v>
          </cell>
        </row>
        <row r="186">
          <cell r="B186" t="str">
            <v>May 2014</v>
          </cell>
          <cell r="C186" t="str">
            <v>GS3</v>
          </cell>
          <cell r="D186" t="str">
            <v>GS3</v>
          </cell>
          <cell r="E186" t="str">
            <v>KUCME713</v>
          </cell>
          <cell r="F186">
            <v>2</v>
          </cell>
          <cell r="G186">
            <v>0</v>
          </cell>
          <cell r="H186">
            <v>0</v>
          </cell>
          <cell r="I186">
            <v>0</v>
          </cell>
          <cell r="J186">
            <v>0</v>
          </cell>
          <cell r="K186">
            <v>10160</v>
          </cell>
          <cell r="L186">
            <v>0</v>
          </cell>
          <cell r="M186">
            <v>61</v>
          </cell>
          <cell r="N186">
            <v>0</v>
          </cell>
          <cell r="O186">
            <v>0</v>
          </cell>
          <cell r="S186">
            <v>0</v>
          </cell>
          <cell r="T186">
            <v>0</v>
          </cell>
          <cell r="U186">
            <v>0</v>
          </cell>
          <cell r="V186">
            <v>0</v>
          </cell>
          <cell r="W186">
            <v>0</v>
          </cell>
          <cell r="X186">
            <v>0</v>
          </cell>
          <cell r="AL186">
            <v>0</v>
          </cell>
          <cell r="AM186">
            <v>0</v>
          </cell>
          <cell r="AP186">
            <v>0</v>
          </cell>
          <cell r="AQ186">
            <v>0</v>
          </cell>
          <cell r="AR186">
            <v>0</v>
          </cell>
          <cell r="AV186">
            <v>1007.26</v>
          </cell>
          <cell r="AW186">
            <v>1007.2599999999999</v>
          </cell>
          <cell r="AY186">
            <v>36.270000000000003</v>
          </cell>
          <cell r="AZ186">
            <v>4.8</v>
          </cell>
          <cell r="BA186">
            <v>27.29</v>
          </cell>
          <cell r="BC186">
            <v>0</v>
          </cell>
          <cell r="BD186">
            <v>1075.6199999999999</v>
          </cell>
          <cell r="BG186">
            <v>293.83</v>
          </cell>
          <cell r="BI186" t="str">
            <v>Actual</v>
          </cell>
        </row>
        <row r="187">
          <cell r="B187" t="str">
            <v>May 2014</v>
          </cell>
          <cell r="C187" t="str">
            <v>CSR10</v>
          </cell>
          <cell r="D187" t="str">
            <v>CSR10</v>
          </cell>
          <cell r="E187" t="str">
            <v>KUCSR760</v>
          </cell>
          <cell r="F187">
            <v>1</v>
          </cell>
          <cell r="G187">
            <v>0</v>
          </cell>
          <cell r="H187">
            <v>0</v>
          </cell>
          <cell r="I187">
            <v>0</v>
          </cell>
          <cell r="J187">
            <v>0</v>
          </cell>
          <cell r="K187">
            <v>0</v>
          </cell>
          <cell r="L187">
            <v>0</v>
          </cell>
          <cell r="M187">
            <v>0</v>
          </cell>
          <cell r="N187">
            <v>0</v>
          </cell>
          <cell r="O187">
            <v>0</v>
          </cell>
          <cell r="S187">
            <v>0</v>
          </cell>
          <cell r="T187">
            <v>0</v>
          </cell>
          <cell r="U187">
            <v>0</v>
          </cell>
          <cell r="V187">
            <v>0</v>
          </cell>
          <cell r="W187">
            <v>0</v>
          </cell>
          <cell r="X187">
            <v>0</v>
          </cell>
          <cell r="AL187">
            <v>0</v>
          </cell>
          <cell r="AM187">
            <v>0</v>
          </cell>
          <cell r="AP187">
            <v>0</v>
          </cell>
          <cell r="AQ187">
            <v>0</v>
          </cell>
          <cell r="AR187">
            <v>0</v>
          </cell>
          <cell r="AV187">
            <v>0</v>
          </cell>
          <cell r="AW187">
            <v>0</v>
          </cell>
          <cell r="AY187">
            <v>0</v>
          </cell>
          <cell r="AZ187">
            <v>0</v>
          </cell>
          <cell r="BA187">
            <v>0</v>
          </cell>
          <cell r="BC187">
            <v>-1007646.75</v>
          </cell>
          <cell r="BD187">
            <v>-1007646.75</v>
          </cell>
          <cell r="BG187">
            <v>0</v>
          </cell>
          <cell r="BI187" t="str">
            <v>Actual</v>
          </cell>
        </row>
        <row r="188">
          <cell r="B188" t="str">
            <v>May 2014</v>
          </cell>
          <cell r="C188" t="str">
            <v>CSR10</v>
          </cell>
          <cell r="D188" t="str">
            <v>CSR10</v>
          </cell>
          <cell r="E188" t="str">
            <v>KUCSR761</v>
          </cell>
          <cell r="F188">
            <v>1</v>
          </cell>
          <cell r="G188">
            <v>0</v>
          </cell>
          <cell r="H188">
            <v>0</v>
          </cell>
          <cell r="I188">
            <v>0</v>
          </cell>
          <cell r="J188">
            <v>0</v>
          </cell>
          <cell r="K188">
            <v>0</v>
          </cell>
          <cell r="L188">
            <v>0</v>
          </cell>
          <cell r="M188">
            <v>0</v>
          </cell>
          <cell r="N188">
            <v>0</v>
          </cell>
          <cell r="O188">
            <v>0</v>
          </cell>
          <cell r="S188">
            <v>0</v>
          </cell>
          <cell r="T188">
            <v>0</v>
          </cell>
          <cell r="U188">
            <v>0</v>
          </cell>
          <cell r="V188">
            <v>0</v>
          </cell>
          <cell r="W188">
            <v>0</v>
          </cell>
          <cell r="X188">
            <v>0</v>
          </cell>
          <cell r="AL188">
            <v>0</v>
          </cell>
          <cell r="AM188">
            <v>0</v>
          </cell>
          <cell r="AP188">
            <v>0</v>
          </cell>
          <cell r="AQ188">
            <v>0</v>
          </cell>
          <cell r="AR188">
            <v>0</v>
          </cell>
          <cell r="AV188">
            <v>0</v>
          </cell>
          <cell r="AW188">
            <v>0</v>
          </cell>
          <cell r="AY188">
            <v>0</v>
          </cell>
          <cell r="AZ188">
            <v>0</v>
          </cell>
          <cell r="BA188">
            <v>0</v>
          </cell>
          <cell r="BC188">
            <v>-29673.38</v>
          </cell>
          <cell r="BD188">
            <v>-29673.38</v>
          </cell>
          <cell r="BG188">
            <v>0</v>
          </cell>
          <cell r="BI188" t="str">
            <v>Actual</v>
          </cell>
        </row>
        <row r="189">
          <cell r="B189" t="str">
            <v>May 2014</v>
          </cell>
          <cell r="C189" t="str">
            <v>CSR30</v>
          </cell>
          <cell r="D189" t="str">
            <v>CSR30</v>
          </cell>
          <cell r="E189" t="str">
            <v>KUCSR780</v>
          </cell>
          <cell r="F189">
            <v>0</v>
          </cell>
          <cell r="G189">
            <v>0</v>
          </cell>
          <cell r="H189">
            <v>0</v>
          </cell>
          <cell r="I189">
            <v>0</v>
          </cell>
          <cell r="J189">
            <v>0</v>
          </cell>
          <cell r="K189">
            <v>0</v>
          </cell>
          <cell r="L189">
            <v>0</v>
          </cell>
          <cell r="M189">
            <v>0</v>
          </cell>
          <cell r="N189">
            <v>0</v>
          </cell>
          <cell r="O189">
            <v>0</v>
          </cell>
          <cell r="S189">
            <v>0</v>
          </cell>
          <cell r="T189">
            <v>0</v>
          </cell>
          <cell r="U189">
            <v>0</v>
          </cell>
          <cell r="V189">
            <v>0</v>
          </cell>
          <cell r="W189">
            <v>0</v>
          </cell>
          <cell r="X189">
            <v>0</v>
          </cell>
          <cell r="AL189">
            <v>0</v>
          </cell>
          <cell r="AM189">
            <v>0</v>
          </cell>
          <cell r="AP189">
            <v>0</v>
          </cell>
          <cell r="AQ189">
            <v>0</v>
          </cell>
          <cell r="AR189">
            <v>0</v>
          </cell>
          <cell r="AV189">
            <v>0</v>
          </cell>
          <cell r="AW189">
            <v>0</v>
          </cell>
          <cell r="AY189">
            <v>0</v>
          </cell>
          <cell r="AZ189">
            <v>0</v>
          </cell>
          <cell r="BA189">
            <v>0</v>
          </cell>
          <cell r="BC189">
            <v>0</v>
          </cell>
          <cell r="BD189">
            <v>0</v>
          </cell>
          <cell r="BG189">
            <v>0</v>
          </cell>
          <cell r="BI189" t="str">
            <v>Actual</v>
          </cell>
        </row>
        <row r="190">
          <cell r="B190" t="str">
            <v>May 2014</v>
          </cell>
          <cell r="C190" t="str">
            <v>CSR30</v>
          </cell>
          <cell r="D190" t="str">
            <v>CSR30</v>
          </cell>
          <cell r="E190" t="str">
            <v>KUCSR781</v>
          </cell>
          <cell r="F190">
            <v>1</v>
          </cell>
          <cell r="G190">
            <v>0</v>
          </cell>
          <cell r="H190">
            <v>0</v>
          </cell>
          <cell r="I190">
            <v>0</v>
          </cell>
          <cell r="J190">
            <v>0</v>
          </cell>
          <cell r="K190">
            <v>0</v>
          </cell>
          <cell r="L190">
            <v>0</v>
          </cell>
          <cell r="M190">
            <v>0</v>
          </cell>
          <cell r="N190">
            <v>0</v>
          </cell>
          <cell r="O190">
            <v>0</v>
          </cell>
          <cell r="S190">
            <v>0</v>
          </cell>
          <cell r="T190">
            <v>0</v>
          </cell>
          <cell r="U190">
            <v>0</v>
          </cell>
          <cell r="V190">
            <v>0</v>
          </cell>
          <cell r="W190">
            <v>0</v>
          </cell>
          <cell r="X190">
            <v>0</v>
          </cell>
          <cell r="AL190">
            <v>0</v>
          </cell>
          <cell r="AM190">
            <v>0</v>
          </cell>
          <cell r="AP190">
            <v>0</v>
          </cell>
          <cell r="AQ190">
            <v>0</v>
          </cell>
          <cell r="AR190">
            <v>0</v>
          </cell>
          <cell r="AV190">
            <v>0</v>
          </cell>
          <cell r="AW190">
            <v>0</v>
          </cell>
          <cell r="AY190">
            <v>0</v>
          </cell>
          <cell r="AZ190">
            <v>0</v>
          </cell>
          <cell r="BA190">
            <v>0</v>
          </cell>
          <cell r="BC190">
            <v>-25585.08</v>
          </cell>
          <cell r="BD190">
            <v>-25585.08</v>
          </cell>
          <cell r="BG190">
            <v>0</v>
          </cell>
          <cell r="BI190" t="str">
            <v>Actual</v>
          </cell>
        </row>
        <row r="191">
          <cell r="B191" t="str">
            <v>May 2014</v>
          </cell>
          <cell r="C191" t="str">
            <v>CSR30</v>
          </cell>
          <cell r="D191" t="str">
            <v>CSR30</v>
          </cell>
          <cell r="E191" t="str">
            <v>KUCSR783</v>
          </cell>
          <cell r="F191">
            <v>1</v>
          </cell>
          <cell r="G191">
            <v>0</v>
          </cell>
          <cell r="H191">
            <v>0</v>
          </cell>
          <cell r="I191">
            <v>0</v>
          </cell>
          <cell r="J191">
            <v>0</v>
          </cell>
          <cell r="K191">
            <v>0</v>
          </cell>
          <cell r="L191">
            <v>0</v>
          </cell>
          <cell r="M191">
            <v>0</v>
          </cell>
          <cell r="N191">
            <v>0</v>
          </cell>
          <cell r="O191">
            <v>0</v>
          </cell>
          <cell r="S191">
            <v>0</v>
          </cell>
          <cell r="T191">
            <v>0</v>
          </cell>
          <cell r="U191">
            <v>0</v>
          </cell>
          <cell r="V191">
            <v>0</v>
          </cell>
          <cell r="W191">
            <v>0</v>
          </cell>
          <cell r="X191">
            <v>0</v>
          </cell>
          <cell r="AL191">
            <v>0</v>
          </cell>
          <cell r="AM191">
            <v>0</v>
          </cell>
          <cell r="AP191">
            <v>0</v>
          </cell>
          <cell r="AQ191">
            <v>0</v>
          </cell>
          <cell r="AR191">
            <v>0</v>
          </cell>
          <cell r="AV191">
            <v>0</v>
          </cell>
          <cell r="AW191">
            <v>0</v>
          </cell>
          <cell r="AY191">
            <v>0</v>
          </cell>
          <cell r="AZ191">
            <v>0</v>
          </cell>
          <cell r="BA191">
            <v>0</v>
          </cell>
          <cell r="BC191">
            <v>-8800</v>
          </cell>
          <cell r="BD191">
            <v>-8800</v>
          </cell>
          <cell r="BG191">
            <v>0</v>
          </cell>
          <cell r="BI191" t="str">
            <v>Actual</v>
          </cell>
        </row>
        <row r="192">
          <cell r="B192" t="str">
            <v>May 2014</v>
          </cell>
          <cell r="C192" t="str">
            <v>FLS</v>
          </cell>
          <cell r="D192" t="str">
            <v>FLST</v>
          </cell>
          <cell r="E192" t="str">
            <v>KUINE730</v>
          </cell>
          <cell r="F192">
            <v>1</v>
          </cell>
          <cell r="G192">
            <v>0</v>
          </cell>
          <cell r="H192">
            <v>0</v>
          </cell>
          <cell r="I192">
            <v>0</v>
          </cell>
          <cell r="J192">
            <v>0</v>
          </cell>
          <cell r="K192">
            <v>47520000</v>
          </cell>
          <cell r="L192">
            <v>0</v>
          </cell>
          <cell r="M192">
            <v>190601.2</v>
          </cell>
          <cell r="N192">
            <v>190601.2</v>
          </cell>
          <cell r="O192">
            <v>137655.1</v>
          </cell>
          <cell r="S192">
            <v>0</v>
          </cell>
          <cell r="T192">
            <v>0</v>
          </cell>
          <cell r="U192">
            <v>0</v>
          </cell>
          <cell r="V192">
            <v>0</v>
          </cell>
          <cell r="W192">
            <v>0</v>
          </cell>
          <cell r="X192">
            <v>0</v>
          </cell>
          <cell r="AL192">
            <v>0</v>
          </cell>
          <cell r="AM192">
            <v>0</v>
          </cell>
          <cell r="AP192">
            <v>0</v>
          </cell>
          <cell r="AQ192">
            <v>0</v>
          </cell>
          <cell r="AR192">
            <v>0</v>
          </cell>
          <cell r="AV192">
            <v>2371971.0699999998</v>
          </cell>
          <cell r="AW192">
            <v>2371971.0699999998</v>
          </cell>
          <cell r="AY192">
            <v>169646.4</v>
          </cell>
          <cell r="AZ192">
            <v>0</v>
          </cell>
          <cell r="BA192">
            <v>37912.32</v>
          </cell>
          <cell r="BC192">
            <v>0</v>
          </cell>
          <cell r="BD192">
            <v>2579529.79</v>
          </cell>
          <cell r="BG192">
            <v>1374278.4</v>
          </cell>
          <cell r="BI192" t="str">
            <v>Actual</v>
          </cell>
        </row>
        <row r="193">
          <cell r="B193" t="str">
            <v>May 2014</v>
          </cell>
          <cell r="C193" t="str">
            <v>RS</v>
          </cell>
          <cell r="D193" t="str">
            <v>RS</v>
          </cell>
          <cell r="E193" t="str">
            <v>KURSE010</v>
          </cell>
          <cell r="F193">
            <v>228849</v>
          </cell>
          <cell r="G193">
            <v>394</v>
          </cell>
          <cell r="H193">
            <v>0</v>
          </cell>
          <cell r="I193">
            <v>0</v>
          </cell>
          <cell r="J193">
            <v>0</v>
          </cell>
          <cell r="K193">
            <v>175043396</v>
          </cell>
          <cell r="L193">
            <v>0</v>
          </cell>
          <cell r="M193">
            <v>0</v>
          </cell>
          <cell r="N193">
            <v>0</v>
          </cell>
          <cell r="O193">
            <v>0</v>
          </cell>
          <cell r="S193">
            <v>0</v>
          </cell>
          <cell r="T193">
            <v>0</v>
          </cell>
          <cell r="U193">
            <v>0</v>
          </cell>
          <cell r="V193">
            <v>0</v>
          </cell>
          <cell r="W193">
            <v>0</v>
          </cell>
          <cell r="X193">
            <v>0</v>
          </cell>
          <cell r="AL193">
            <v>0</v>
          </cell>
          <cell r="AM193">
            <v>0</v>
          </cell>
          <cell r="AP193">
            <v>-13362.11</v>
          </cell>
          <cell r="AQ193">
            <v>-386.08</v>
          </cell>
          <cell r="AR193">
            <v>0</v>
          </cell>
          <cell r="AV193">
            <v>16005974.65</v>
          </cell>
          <cell r="AW193">
            <v>16005974.650000002</v>
          </cell>
          <cell r="AY193">
            <v>624516.57999999996</v>
          </cell>
          <cell r="AZ193">
            <v>689596.62</v>
          </cell>
          <cell r="BA193">
            <v>379200.91</v>
          </cell>
          <cell r="BC193">
            <v>0</v>
          </cell>
          <cell r="BD193">
            <v>17699288.760000002</v>
          </cell>
          <cell r="BG193">
            <v>5062255.01</v>
          </cell>
          <cell r="BI193" t="str">
            <v>Actual</v>
          </cell>
        </row>
        <row r="194">
          <cell r="B194" t="str">
            <v>May 2014</v>
          </cell>
          <cell r="C194" t="str">
            <v>RS</v>
          </cell>
          <cell r="D194" t="str">
            <v>RS</v>
          </cell>
          <cell r="E194" t="str">
            <v>KURSE020</v>
          </cell>
          <cell r="F194">
            <v>194797</v>
          </cell>
          <cell r="G194">
            <v>357</v>
          </cell>
          <cell r="H194">
            <v>0</v>
          </cell>
          <cell r="I194">
            <v>0</v>
          </cell>
          <cell r="J194">
            <v>0</v>
          </cell>
          <cell r="K194">
            <v>176531151</v>
          </cell>
          <cell r="L194">
            <v>0</v>
          </cell>
          <cell r="M194">
            <v>0</v>
          </cell>
          <cell r="N194">
            <v>0</v>
          </cell>
          <cell r="O194">
            <v>0</v>
          </cell>
          <cell r="S194">
            <v>0</v>
          </cell>
          <cell r="T194">
            <v>0</v>
          </cell>
          <cell r="U194">
            <v>0</v>
          </cell>
          <cell r="V194">
            <v>0</v>
          </cell>
          <cell r="W194">
            <v>0</v>
          </cell>
          <cell r="X194">
            <v>0</v>
          </cell>
          <cell r="AL194">
            <v>0</v>
          </cell>
          <cell r="AM194">
            <v>0</v>
          </cell>
          <cell r="AP194">
            <v>-18116.419999999998</v>
          </cell>
          <cell r="AQ194">
            <v>55.72</v>
          </cell>
          <cell r="AR194">
            <v>0</v>
          </cell>
          <cell r="AV194">
            <v>15750417.130000001</v>
          </cell>
          <cell r="AW194">
            <v>15750417.129999999</v>
          </cell>
          <cell r="AY194">
            <v>629855.61</v>
          </cell>
          <cell r="AZ194">
            <v>695562.89</v>
          </cell>
          <cell r="BA194">
            <v>373618.77</v>
          </cell>
          <cell r="BC194">
            <v>0</v>
          </cell>
          <cell r="BD194">
            <v>17449454.399999999</v>
          </cell>
          <cell r="BG194">
            <v>5105280.8899999997</v>
          </cell>
          <cell r="BI194" t="str">
            <v>Actual</v>
          </cell>
        </row>
        <row r="195">
          <cell r="B195" t="str">
            <v>May 2014</v>
          </cell>
          <cell r="C195" t="str">
            <v>RS</v>
          </cell>
          <cell r="D195" t="str">
            <v>RS</v>
          </cell>
          <cell r="E195" t="str">
            <v>KURSE025</v>
          </cell>
          <cell r="F195">
            <v>243</v>
          </cell>
          <cell r="G195">
            <v>0</v>
          </cell>
          <cell r="H195">
            <v>0</v>
          </cell>
          <cell r="I195">
            <v>0</v>
          </cell>
          <cell r="J195">
            <v>0</v>
          </cell>
          <cell r="K195">
            <v>403406</v>
          </cell>
          <cell r="L195">
            <v>0</v>
          </cell>
          <cell r="M195">
            <v>0</v>
          </cell>
          <cell r="N195">
            <v>0</v>
          </cell>
          <cell r="O195">
            <v>0</v>
          </cell>
          <cell r="S195">
            <v>0</v>
          </cell>
          <cell r="T195">
            <v>0</v>
          </cell>
          <cell r="U195">
            <v>0</v>
          </cell>
          <cell r="V195">
            <v>0</v>
          </cell>
          <cell r="W195">
            <v>0</v>
          </cell>
          <cell r="X195">
            <v>0</v>
          </cell>
          <cell r="AL195">
            <v>0</v>
          </cell>
          <cell r="AM195">
            <v>0</v>
          </cell>
          <cell r="AP195">
            <v>0</v>
          </cell>
          <cell r="AQ195">
            <v>0.04</v>
          </cell>
          <cell r="AR195">
            <v>0</v>
          </cell>
          <cell r="AV195">
            <v>33852.049999999996</v>
          </cell>
          <cell r="AW195">
            <v>33852.050000000003</v>
          </cell>
          <cell r="AY195">
            <v>1426.09</v>
          </cell>
          <cell r="AZ195">
            <v>1589.33</v>
          </cell>
          <cell r="BA195">
            <v>799.49</v>
          </cell>
          <cell r="BC195">
            <v>0</v>
          </cell>
          <cell r="BD195">
            <v>37666.959999999999</v>
          </cell>
          <cell r="BG195">
            <v>11666.5</v>
          </cell>
          <cell r="BI195" t="str">
            <v>Actual</v>
          </cell>
        </row>
        <row r="196">
          <cell r="B196" t="str">
            <v>May 2014</v>
          </cell>
          <cell r="C196" t="str">
            <v>LEV</v>
          </cell>
          <cell r="D196" t="str">
            <v>RSLEV</v>
          </cell>
          <cell r="E196" t="str">
            <v>KURSE040</v>
          </cell>
          <cell r="F196">
            <v>5</v>
          </cell>
          <cell r="G196">
            <v>0</v>
          </cell>
          <cell r="H196">
            <v>2666</v>
          </cell>
          <cell r="I196">
            <v>814</v>
          </cell>
          <cell r="J196">
            <v>473</v>
          </cell>
          <cell r="K196">
            <v>3953</v>
          </cell>
          <cell r="L196">
            <v>0</v>
          </cell>
          <cell r="M196">
            <v>0</v>
          </cell>
          <cell r="N196">
            <v>0</v>
          </cell>
          <cell r="O196">
            <v>0</v>
          </cell>
          <cell r="S196">
            <v>0</v>
          </cell>
          <cell r="T196">
            <v>0</v>
          </cell>
          <cell r="U196">
            <v>0</v>
          </cell>
          <cell r="V196">
            <v>0</v>
          </cell>
          <cell r="W196">
            <v>0</v>
          </cell>
          <cell r="X196">
            <v>0</v>
          </cell>
          <cell r="AL196">
            <v>0</v>
          </cell>
          <cell r="AM196">
            <v>0</v>
          </cell>
          <cell r="AP196">
            <v>0</v>
          </cell>
          <cell r="AQ196">
            <v>0</v>
          </cell>
          <cell r="AR196">
            <v>0</v>
          </cell>
          <cell r="AV196">
            <v>333.52</v>
          </cell>
          <cell r="AW196">
            <v>333.52</v>
          </cell>
          <cell r="AY196">
            <v>14.11</v>
          </cell>
          <cell r="AZ196">
            <v>15.58</v>
          </cell>
          <cell r="BA196">
            <v>7.94</v>
          </cell>
          <cell r="BC196">
            <v>0</v>
          </cell>
          <cell r="BD196">
            <v>371.15</v>
          </cell>
          <cell r="BG196">
            <v>114.32</v>
          </cell>
          <cell r="BI196" t="str">
            <v>Actual</v>
          </cell>
        </row>
        <row r="197">
          <cell r="B197" t="str">
            <v>May 2014</v>
          </cell>
          <cell r="C197" t="str">
            <v>RS</v>
          </cell>
          <cell r="D197" t="str">
            <v>RSVFD</v>
          </cell>
          <cell r="E197" t="str">
            <v>KURSE080</v>
          </cell>
          <cell r="F197">
            <v>50</v>
          </cell>
          <cell r="G197">
            <v>1</v>
          </cell>
          <cell r="H197">
            <v>0</v>
          </cell>
          <cell r="I197">
            <v>0</v>
          </cell>
          <cell r="J197">
            <v>0</v>
          </cell>
          <cell r="K197">
            <v>61280</v>
          </cell>
          <cell r="L197">
            <v>0</v>
          </cell>
          <cell r="M197">
            <v>0</v>
          </cell>
          <cell r="N197">
            <v>0</v>
          </cell>
          <cell r="O197">
            <v>0</v>
          </cell>
          <cell r="S197">
            <v>0</v>
          </cell>
          <cell r="T197">
            <v>0</v>
          </cell>
          <cell r="U197">
            <v>0</v>
          </cell>
          <cell r="V197">
            <v>0</v>
          </cell>
          <cell r="W197">
            <v>0</v>
          </cell>
          <cell r="X197">
            <v>0</v>
          </cell>
          <cell r="AL197">
            <v>0</v>
          </cell>
          <cell r="AM197">
            <v>0</v>
          </cell>
          <cell r="AP197">
            <v>0</v>
          </cell>
          <cell r="AQ197">
            <v>-0.02</v>
          </cell>
          <cell r="AR197">
            <v>0</v>
          </cell>
          <cell r="AV197">
            <v>5293.75</v>
          </cell>
          <cell r="AW197">
            <v>5293.75</v>
          </cell>
          <cell r="AY197">
            <v>211.25</v>
          </cell>
          <cell r="AZ197">
            <v>241.44</v>
          </cell>
          <cell r="BA197">
            <v>121.43</v>
          </cell>
          <cell r="BC197">
            <v>0</v>
          </cell>
          <cell r="BD197">
            <v>5867.87</v>
          </cell>
          <cell r="BG197">
            <v>1772.22</v>
          </cell>
          <cell r="BI197" t="str">
            <v>Actual</v>
          </cell>
        </row>
        <row r="198">
          <cell r="B198" t="str">
            <v>May 2014</v>
          </cell>
          <cell r="C198" t="str">
            <v>RS</v>
          </cell>
          <cell r="D198" t="str">
            <v>RS</v>
          </cell>
          <cell r="E198" t="str">
            <v>KURSE715</v>
          </cell>
          <cell r="F198">
            <v>52</v>
          </cell>
          <cell r="G198">
            <v>0</v>
          </cell>
          <cell r="H198">
            <v>0</v>
          </cell>
          <cell r="I198">
            <v>0</v>
          </cell>
          <cell r="J198">
            <v>0</v>
          </cell>
          <cell r="K198">
            <v>33790</v>
          </cell>
          <cell r="L198">
            <v>0</v>
          </cell>
          <cell r="M198">
            <v>0</v>
          </cell>
          <cell r="N198">
            <v>0</v>
          </cell>
          <cell r="O198">
            <v>0</v>
          </cell>
          <cell r="S198">
            <v>0</v>
          </cell>
          <cell r="T198">
            <v>0</v>
          </cell>
          <cell r="U198">
            <v>0</v>
          </cell>
          <cell r="V198">
            <v>0</v>
          </cell>
          <cell r="W198">
            <v>0</v>
          </cell>
          <cell r="X198">
            <v>0</v>
          </cell>
          <cell r="AL198">
            <v>0</v>
          </cell>
          <cell r="AM198">
            <v>0</v>
          </cell>
          <cell r="AP198">
            <v>2.5099999999999998</v>
          </cell>
          <cell r="AQ198">
            <v>-0.04</v>
          </cell>
          <cell r="AR198">
            <v>0</v>
          </cell>
          <cell r="AV198">
            <v>3178.17</v>
          </cell>
          <cell r="AW198">
            <v>3178.17</v>
          </cell>
          <cell r="AY198">
            <v>120.61</v>
          </cell>
          <cell r="AZ198">
            <v>133.12</v>
          </cell>
          <cell r="BA198">
            <v>75.23</v>
          </cell>
          <cell r="BC198">
            <v>0</v>
          </cell>
          <cell r="BD198">
            <v>3507.13</v>
          </cell>
          <cell r="BG198">
            <v>977.21</v>
          </cell>
          <cell r="BI198" t="str">
            <v>Actual</v>
          </cell>
        </row>
        <row r="199">
          <cell r="B199" t="str">
            <v>Jun 2014</v>
          </cell>
          <cell r="C199" t="str">
            <v>RTS</v>
          </cell>
          <cell r="D199" t="str">
            <v>RTS</v>
          </cell>
          <cell r="E199" t="str">
            <v>KUCIE550</v>
          </cell>
          <cell r="F199">
            <v>31</v>
          </cell>
          <cell r="G199">
            <v>1</v>
          </cell>
          <cell r="H199">
            <v>0</v>
          </cell>
          <cell r="I199">
            <v>0</v>
          </cell>
          <cell r="J199">
            <v>0</v>
          </cell>
          <cell r="K199">
            <v>133910524</v>
          </cell>
          <cell r="L199">
            <v>0</v>
          </cell>
          <cell r="M199">
            <v>301789</v>
          </cell>
          <cell r="N199">
            <v>293865.5</v>
          </cell>
          <cell r="O199">
            <v>291423.40000000002</v>
          </cell>
          <cell r="S199">
            <v>7925.2</v>
          </cell>
          <cell r="T199">
            <v>1807.3</v>
          </cell>
          <cell r="U199">
            <v>1119.3</v>
          </cell>
          <cell r="V199">
            <v>0</v>
          </cell>
          <cell r="W199">
            <v>0</v>
          </cell>
          <cell r="X199">
            <v>0</v>
          </cell>
          <cell r="AL199">
            <v>0</v>
          </cell>
          <cell r="AM199">
            <v>0</v>
          </cell>
          <cell r="AP199">
            <v>0</v>
          </cell>
          <cell r="AQ199">
            <v>0.01</v>
          </cell>
          <cell r="AR199">
            <v>0.06</v>
          </cell>
          <cell r="AV199">
            <v>7315300.9999999991</v>
          </cell>
          <cell r="AW199">
            <v>7315301</v>
          </cell>
          <cell r="AY199">
            <v>660142.5</v>
          </cell>
          <cell r="AZ199">
            <v>0</v>
          </cell>
          <cell r="BA199">
            <v>177275.17</v>
          </cell>
          <cell r="BC199">
            <v>0</v>
          </cell>
          <cell r="BD199">
            <v>8152718.6699999999</v>
          </cell>
          <cell r="BG199">
            <v>3872692.35</v>
          </cell>
          <cell r="BI199" t="str">
            <v>Actual</v>
          </cell>
        </row>
        <row r="200">
          <cell r="B200" t="str">
            <v>Jun 2014</v>
          </cell>
          <cell r="C200" t="str">
            <v>PSP</v>
          </cell>
          <cell r="D200" t="str">
            <v>PSP</v>
          </cell>
          <cell r="E200" t="str">
            <v>KUCIE561</v>
          </cell>
          <cell r="F200">
            <v>168</v>
          </cell>
          <cell r="G200">
            <v>1</v>
          </cell>
          <cell r="H200">
            <v>0</v>
          </cell>
          <cell r="I200">
            <v>0</v>
          </cell>
          <cell r="J200">
            <v>0</v>
          </cell>
          <cell r="K200">
            <v>4570312</v>
          </cell>
          <cell r="L200">
            <v>0</v>
          </cell>
          <cell r="M200">
            <v>0</v>
          </cell>
          <cell r="N200">
            <v>0</v>
          </cell>
          <cell r="O200">
            <v>13791.6</v>
          </cell>
          <cell r="S200">
            <v>0</v>
          </cell>
          <cell r="T200">
            <v>0</v>
          </cell>
          <cell r="U200">
            <v>1827.9</v>
          </cell>
          <cell r="V200">
            <v>0</v>
          </cell>
          <cell r="W200">
            <v>0</v>
          </cell>
          <cell r="X200">
            <v>0</v>
          </cell>
          <cell r="AL200">
            <v>0</v>
          </cell>
          <cell r="AM200">
            <v>0</v>
          </cell>
          <cell r="AP200">
            <v>-578</v>
          </cell>
          <cell r="AQ200">
            <v>-0.03</v>
          </cell>
          <cell r="AR200">
            <v>3485.83</v>
          </cell>
          <cell r="AV200">
            <v>433098.27</v>
          </cell>
          <cell r="AW200">
            <v>433098.26999999996</v>
          </cell>
          <cell r="AY200">
            <v>22657.98</v>
          </cell>
          <cell r="AZ200">
            <v>5430.59</v>
          </cell>
          <cell r="BA200">
            <v>15841.32</v>
          </cell>
          <cell r="BC200">
            <v>0</v>
          </cell>
          <cell r="BD200">
            <v>477028.16</v>
          </cell>
          <cell r="BG200">
            <v>132173.42000000001</v>
          </cell>
          <cell r="BI200" t="str">
            <v>Actual</v>
          </cell>
        </row>
        <row r="201">
          <cell r="B201" t="str">
            <v>Jun 2014</v>
          </cell>
          <cell r="C201" t="str">
            <v>PSS</v>
          </cell>
          <cell r="D201" t="str">
            <v>PSS</v>
          </cell>
          <cell r="E201" t="str">
            <v>KUCIE562</v>
          </cell>
          <cell r="F201">
            <v>4817</v>
          </cell>
          <cell r="G201">
            <v>0</v>
          </cell>
          <cell r="H201">
            <v>0</v>
          </cell>
          <cell r="I201">
            <v>0</v>
          </cell>
          <cell r="J201">
            <v>0</v>
          </cell>
          <cell r="K201">
            <v>148883695</v>
          </cell>
          <cell r="L201">
            <v>0</v>
          </cell>
          <cell r="M201">
            <v>0</v>
          </cell>
          <cell r="N201">
            <v>0</v>
          </cell>
          <cell r="O201">
            <v>396248.1</v>
          </cell>
          <cell r="S201">
            <v>0</v>
          </cell>
          <cell r="T201">
            <v>0</v>
          </cell>
          <cell r="U201">
            <v>48328.32</v>
          </cell>
          <cell r="V201">
            <v>0</v>
          </cell>
          <cell r="W201">
            <v>0</v>
          </cell>
          <cell r="X201">
            <v>0</v>
          </cell>
          <cell r="AL201">
            <v>0</v>
          </cell>
          <cell r="AM201">
            <v>0</v>
          </cell>
          <cell r="AP201">
            <v>461.66</v>
          </cell>
          <cell r="AQ201">
            <v>-0.2</v>
          </cell>
          <cell r="AR201">
            <v>-13362.41</v>
          </cell>
          <cell r="AV201">
            <v>12528863.170000002</v>
          </cell>
          <cell r="AW201">
            <v>12528863.17</v>
          </cell>
          <cell r="AY201">
            <v>729694.57</v>
          </cell>
          <cell r="AZ201">
            <v>194605.49</v>
          </cell>
          <cell r="BA201">
            <v>430300.33</v>
          </cell>
          <cell r="BC201">
            <v>0</v>
          </cell>
          <cell r="BD201">
            <v>13883463.560000001</v>
          </cell>
          <cell r="BG201">
            <v>4305716.46</v>
          </cell>
          <cell r="BI201" t="str">
            <v>Actual</v>
          </cell>
        </row>
        <row r="202">
          <cell r="B202" t="str">
            <v>Jun 2014</v>
          </cell>
          <cell r="C202" t="str">
            <v>TODP</v>
          </cell>
          <cell r="D202" t="str">
            <v>TODP</v>
          </cell>
          <cell r="E202" t="str">
            <v>KUCIE563</v>
          </cell>
          <cell r="F202">
            <v>53</v>
          </cell>
          <cell r="G202">
            <v>1</v>
          </cell>
          <cell r="H202">
            <v>0</v>
          </cell>
          <cell r="I202">
            <v>0</v>
          </cell>
          <cell r="J202">
            <v>0</v>
          </cell>
          <cell r="K202">
            <v>258255428</v>
          </cell>
          <cell r="L202">
            <v>0</v>
          </cell>
          <cell r="M202">
            <v>503667.8</v>
          </cell>
          <cell r="N202">
            <v>499668.1</v>
          </cell>
          <cell r="O202">
            <v>493520.7</v>
          </cell>
          <cell r="S202">
            <v>15745.1</v>
          </cell>
          <cell r="T202">
            <v>764.7</v>
          </cell>
          <cell r="U202">
            <v>776.2</v>
          </cell>
          <cell r="V202">
            <v>0</v>
          </cell>
          <cell r="W202">
            <v>0</v>
          </cell>
          <cell r="X202">
            <v>0</v>
          </cell>
          <cell r="AL202">
            <v>0</v>
          </cell>
          <cell r="AM202">
            <v>0</v>
          </cell>
          <cell r="AP202">
            <v>0</v>
          </cell>
          <cell r="AQ202">
            <v>0.02</v>
          </cell>
          <cell r="AR202">
            <v>-0.03</v>
          </cell>
          <cell r="AV202">
            <v>14114612.239999998</v>
          </cell>
          <cell r="AW202">
            <v>14114612.24</v>
          </cell>
          <cell r="AY202">
            <v>1174837.7</v>
          </cell>
          <cell r="AZ202">
            <v>63642.54</v>
          </cell>
          <cell r="BA202">
            <v>319033.45</v>
          </cell>
          <cell r="BC202">
            <v>0</v>
          </cell>
          <cell r="BD202">
            <v>15672125.93</v>
          </cell>
          <cell r="BG202">
            <v>7468746.9800000004</v>
          </cell>
          <cell r="BI202" t="str">
            <v>Actual</v>
          </cell>
        </row>
        <row r="203">
          <cell r="B203" t="str">
            <v>Jun 2014</v>
          </cell>
          <cell r="C203" t="str">
            <v>PSP</v>
          </cell>
          <cell r="D203" t="str">
            <v>PSP</v>
          </cell>
          <cell r="E203" t="str">
            <v>KUCIE566</v>
          </cell>
          <cell r="F203">
            <v>76</v>
          </cell>
          <cell r="G203">
            <v>2</v>
          </cell>
          <cell r="H203">
            <v>0</v>
          </cell>
          <cell r="I203">
            <v>0</v>
          </cell>
          <cell r="J203">
            <v>0</v>
          </cell>
          <cell r="K203">
            <v>23110040</v>
          </cell>
          <cell r="L203">
            <v>0</v>
          </cell>
          <cell r="M203">
            <v>0</v>
          </cell>
          <cell r="N203">
            <v>0</v>
          </cell>
          <cell r="O203">
            <v>50432.1</v>
          </cell>
          <cell r="S203">
            <v>0</v>
          </cell>
          <cell r="T203">
            <v>0</v>
          </cell>
          <cell r="U203">
            <v>3972.2</v>
          </cell>
          <cell r="V203">
            <v>0</v>
          </cell>
          <cell r="W203">
            <v>0</v>
          </cell>
          <cell r="X203">
            <v>0</v>
          </cell>
          <cell r="AL203">
            <v>812.5</v>
          </cell>
          <cell r="AM203">
            <v>10922.15</v>
          </cell>
          <cell r="AP203">
            <v>-96.33</v>
          </cell>
          <cell r="AQ203">
            <v>-0.03</v>
          </cell>
          <cell r="AR203">
            <v>-1132.5899999999999</v>
          </cell>
          <cell r="AV203">
            <v>1678243.0299999996</v>
          </cell>
          <cell r="AW203">
            <v>1678243.03</v>
          </cell>
          <cell r="AY203">
            <v>111619.31</v>
          </cell>
          <cell r="AZ203">
            <v>18850.419999999998</v>
          </cell>
          <cell r="BA203">
            <v>51863.08</v>
          </cell>
          <cell r="BC203">
            <v>0</v>
          </cell>
          <cell r="BD203">
            <v>1860575.84</v>
          </cell>
          <cell r="BG203">
            <v>668342.36</v>
          </cell>
          <cell r="BI203" t="str">
            <v>Actual</v>
          </cell>
        </row>
        <row r="204">
          <cell r="B204" t="str">
            <v>Jun 2014</v>
          </cell>
          <cell r="C204" t="str">
            <v>PSS</v>
          </cell>
          <cell r="D204" t="str">
            <v>PSS</v>
          </cell>
          <cell r="E204" t="str">
            <v>KUCIE568</v>
          </cell>
          <cell r="F204">
            <v>388</v>
          </cell>
          <cell r="G204">
            <v>3</v>
          </cell>
          <cell r="H204">
            <v>0</v>
          </cell>
          <cell r="I204">
            <v>0</v>
          </cell>
          <cell r="J204">
            <v>0</v>
          </cell>
          <cell r="K204">
            <v>60748792</v>
          </cell>
          <cell r="L204">
            <v>0</v>
          </cell>
          <cell r="M204">
            <v>0</v>
          </cell>
          <cell r="N204">
            <v>0</v>
          </cell>
          <cell r="O204">
            <v>146025.9</v>
          </cell>
          <cell r="S204">
            <v>0</v>
          </cell>
          <cell r="T204">
            <v>0</v>
          </cell>
          <cell r="U204">
            <v>5700.05</v>
          </cell>
          <cell r="V204">
            <v>0</v>
          </cell>
          <cell r="W204">
            <v>0</v>
          </cell>
          <cell r="X204">
            <v>0</v>
          </cell>
          <cell r="AL204">
            <v>335.25</v>
          </cell>
          <cell r="AM204">
            <v>84540.53</v>
          </cell>
          <cell r="AP204">
            <v>-454.13</v>
          </cell>
          <cell r="AQ204">
            <v>0</v>
          </cell>
          <cell r="AR204">
            <v>-18575.150000000001</v>
          </cell>
          <cell r="AV204">
            <v>4587530.49</v>
          </cell>
          <cell r="AW204">
            <v>4587530.49</v>
          </cell>
          <cell r="AY204">
            <v>298801.51</v>
          </cell>
          <cell r="AZ204">
            <v>50940.480000000003</v>
          </cell>
          <cell r="BA204">
            <v>147734.59</v>
          </cell>
          <cell r="BC204">
            <v>0</v>
          </cell>
          <cell r="BD204">
            <v>5085007.07</v>
          </cell>
          <cell r="BG204">
            <v>1756855.06</v>
          </cell>
          <cell r="BI204" t="str">
            <v>Actual</v>
          </cell>
        </row>
        <row r="205">
          <cell r="B205" t="str">
            <v>Jun 2014</v>
          </cell>
          <cell r="C205" t="str">
            <v>TODP</v>
          </cell>
          <cell r="D205" t="str">
            <v>TODP</v>
          </cell>
          <cell r="E205" t="str">
            <v>KUCIE571</v>
          </cell>
          <cell r="F205">
            <v>156</v>
          </cell>
          <cell r="G205">
            <v>0</v>
          </cell>
          <cell r="H205">
            <v>0</v>
          </cell>
          <cell r="I205">
            <v>0</v>
          </cell>
          <cell r="J205">
            <v>0</v>
          </cell>
          <cell r="K205">
            <v>106841640</v>
          </cell>
          <cell r="L205">
            <v>0</v>
          </cell>
          <cell r="M205">
            <v>262858.8</v>
          </cell>
          <cell r="N205">
            <v>260987.8</v>
          </cell>
          <cell r="O205">
            <v>254232.1</v>
          </cell>
          <cell r="S205">
            <v>8900.9</v>
          </cell>
          <cell r="T205">
            <v>1616.1</v>
          </cell>
          <cell r="U205">
            <v>3055.6</v>
          </cell>
          <cell r="V205">
            <v>0</v>
          </cell>
          <cell r="W205">
            <v>0</v>
          </cell>
          <cell r="X205">
            <v>0</v>
          </cell>
          <cell r="AL205">
            <v>16954.04</v>
          </cell>
          <cell r="AM205">
            <v>0</v>
          </cell>
          <cell r="AP205">
            <v>-240</v>
          </cell>
          <cell r="AQ205">
            <v>0.02</v>
          </cell>
          <cell r="AR205">
            <v>-8608.43</v>
          </cell>
          <cell r="AV205">
            <v>6363034.8399999999</v>
          </cell>
          <cell r="AW205">
            <v>6363034.8399999999</v>
          </cell>
          <cell r="AY205">
            <v>520315.37</v>
          </cell>
          <cell r="AZ205">
            <v>37453.599999999999</v>
          </cell>
          <cell r="BA205">
            <v>167643.62</v>
          </cell>
          <cell r="BC205">
            <v>0</v>
          </cell>
          <cell r="BD205">
            <v>7088447.4299999997</v>
          </cell>
          <cell r="BG205">
            <v>3089860.23</v>
          </cell>
          <cell r="BI205" t="str">
            <v>Actual</v>
          </cell>
        </row>
        <row r="206">
          <cell r="B206" t="str">
            <v>Jun 2014</v>
          </cell>
          <cell r="C206" t="str">
            <v>TODS</v>
          </cell>
          <cell r="D206" t="str">
            <v>TODS</v>
          </cell>
          <cell r="E206" t="str">
            <v>KUCIE572</v>
          </cell>
          <cell r="F206">
            <v>457</v>
          </cell>
          <cell r="G206">
            <v>5</v>
          </cell>
          <cell r="H206">
            <v>0</v>
          </cell>
          <cell r="I206">
            <v>0</v>
          </cell>
          <cell r="J206">
            <v>0</v>
          </cell>
          <cell r="K206">
            <v>114521799</v>
          </cell>
          <cell r="L206">
            <v>0</v>
          </cell>
          <cell r="M206">
            <v>256884.6</v>
          </cell>
          <cell r="N206">
            <v>254148.4</v>
          </cell>
          <cell r="O206">
            <v>247729.4</v>
          </cell>
          <cell r="S206">
            <v>16187.350000000006</v>
          </cell>
          <cell r="T206">
            <v>1283.9500000000116</v>
          </cell>
          <cell r="U206">
            <v>1459.6000000000058</v>
          </cell>
          <cell r="V206">
            <v>0</v>
          </cell>
          <cell r="W206">
            <v>0</v>
          </cell>
          <cell r="X206">
            <v>0</v>
          </cell>
          <cell r="AL206">
            <v>7916.67</v>
          </cell>
          <cell r="AM206">
            <v>112000.92</v>
          </cell>
          <cell r="AP206">
            <v>-511.67</v>
          </cell>
          <cell r="AQ206">
            <v>0.09</v>
          </cell>
          <cell r="AR206">
            <v>17157.919999999998</v>
          </cell>
          <cell r="AV206">
            <v>7425727.2500000009</v>
          </cell>
          <cell r="AW206">
            <v>7425727.25</v>
          </cell>
          <cell r="AY206">
            <v>555064.85</v>
          </cell>
          <cell r="AZ206">
            <v>90860.2</v>
          </cell>
          <cell r="BA206">
            <v>212318.99</v>
          </cell>
          <cell r="BC206">
            <v>0</v>
          </cell>
          <cell r="BD206">
            <v>8283971.29</v>
          </cell>
          <cell r="BG206">
            <v>3311970.43</v>
          </cell>
          <cell r="BI206" t="str">
            <v>Actual</v>
          </cell>
        </row>
        <row r="207">
          <cell r="B207" t="str">
            <v>Jun 2014</v>
          </cell>
          <cell r="C207" t="str">
            <v>PSS</v>
          </cell>
          <cell r="D207" t="str">
            <v>PSS</v>
          </cell>
          <cell r="E207" t="str">
            <v>KUCIE717</v>
          </cell>
          <cell r="F207">
            <v>1</v>
          </cell>
          <cell r="G207">
            <v>0</v>
          </cell>
          <cell r="H207">
            <v>0</v>
          </cell>
          <cell r="I207">
            <v>0</v>
          </cell>
          <cell r="J207">
            <v>0</v>
          </cell>
          <cell r="K207">
            <v>31680</v>
          </cell>
          <cell r="L207">
            <v>0</v>
          </cell>
          <cell r="M207">
            <v>0</v>
          </cell>
          <cell r="N207">
            <v>0</v>
          </cell>
          <cell r="O207">
            <v>85</v>
          </cell>
          <cell r="S207">
            <v>0</v>
          </cell>
          <cell r="T207">
            <v>0</v>
          </cell>
          <cell r="U207">
            <v>15</v>
          </cell>
          <cell r="V207">
            <v>0</v>
          </cell>
          <cell r="W207">
            <v>0</v>
          </cell>
          <cell r="X207">
            <v>0</v>
          </cell>
          <cell r="AL207">
            <v>0</v>
          </cell>
          <cell r="AM207">
            <v>0</v>
          </cell>
          <cell r="AP207">
            <v>0</v>
          </cell>
          <cell r="AQ207">
            <v>0</v>
          </cell>
          <cell r="AR207">
            <v>0</v>
          </cell>
          <cell r="AV207">
            <v>2749.08</v>
          </cell>
          <cell r="AW207">
            <v>2749.08</v>
          </cell>
          <cell r="AY207">
            <v>157.44999999999999</v>
          </cell>
          <cell r="AZ207">
            <v>43.4</v>
          </cell>
          <cell r="BA207">
            <v>97.38</v>
          </cell>
          <cell r="BC207">
            <v>0</v>
          </cell>
          <cell r="BD207">
            <v>3047.31</v>
          </cell>
          <cell r="BG207">
            <v>916.19</v>
          </cell>
          <cell r="BI207" t="str">
            <v>Actual</v>
          </cell>
        </row>
        <row r="208">
          <cell r="B208" t="str">
            <v>Jun 2014</v>
          </cell>
          <cell r="C208" t="str">
            <v>GS</v>
          </cell>
          <cell r="D208" t="str">
            <v>GS</v>
          </cell>
          <cell r="E208" t="str">
            <v>KUCME110</v>
          </cell>
          <cell r="F208">
            <v>63580</v>
          </cell>
          <cell r="G208">
            <v>0</v>
          </cell>
          <cell r="H208">
            <v>0</v>
          </cell>
          <cell r="I208">
            <v>0</v>
          </cell>
          <cell r="J208">
            <v>0</v>
          </cell>
          <cell r="K208">
            <v>59244758</v>
          </cell>
          <cell r="L208">
            <v>0</v>
          </cell>
          <cell r="M208">
            <v>101914.7</v>
          </cell>
          <cell r="N208">
            <v>0</v>
          </cell>
          <cell r="O208">
            <v>0</v>
          </cell>
          <cell r="S208">
            <v>0</v>
          </cell>
          <cell r="T208">
            <v>0</v>
          </cell>
          <cell r="U208">
            <v>0</v>
          </cell>
          <cell r="V208">
            <v>0</v>
          </cell>
          <cell r="W208">
            <v>0</v>
          </cell>
          <cell r="X208">
            <v>0</v>
          </cell>
          <cell r="AL208">
            <v>0</v>
          </cell>
          <cell r="AM208">
            <v>0</v>
          </cell>
          <cell r="AP208">
            <v>11696.24</v>
          </cell>
          <cell r="AQ208">
            <v>9.82</v>
          </cell>
          <cell r="AR208">
            <v>0</v>
          </cell>
          <cell r="AV208">
            <v>6748634.9900000002</v>
          </cell>
          <cell r="AW208">
            <v>6748634.9900000002</v>
          </cell>
          <cell r="AY208">
            <v>290937.03000000003</v>
          </cell>
          <cell r="AZ208">
            <v>173861</v>
          </cell>
          <cell r="BA208">
            <v>267899.77</v>
          </cell>
          <cell r="BC208">
            <v>0</v>
          </cell>
          <cell r="BD208">
            <v>7481332.79</v>
          </cell>
          <cell r="BG208">
            <v>1713358.4</v>
          </cell>
          <cell r="BI208" t="str">
            <v>Actual</v>
          </cell>
        </row>
        <row r="209">
          <cell r="B209" t="str">
            <v>Jun 2014</v>
          </cell>
          <cell r="C209" t="str">
            <v>GS</v>
          </cell>
          <cell r="D209" t="str">
            <v>GS</v>
          </cell>
          <cell r="E209" t="str">
            <v>KUCME112</v>
          </cell>
          <cell r="F209">
            <v>61</v>
          </cell>
          <cell r="G209">
            <v>0</v>
          </cell>
          <cell r="H209">
            <v>0</v>
          </cell>
          <cell r="I209">
            <v>0</v>
          </cell>
          <cell r="J209">
            <v>0</v>
          </cell>
          <cell r="K209">
            <v>10785</v>
          </cell>
          <cell r="L209">
            <v>0</v>
          </cell>
          <cell r="M209">
            <v>0</v>
          </cell>
          <cell r="N209">
            <v>0</v>
          </cell>
          <cell r="O209">
            <v>0</v>
          </cell>
          <cell r="S209">
            <v>0</v>
          </cell>
          <cell r="T209">
            <v>0</v>
          </cell>
          <cell r="U209">
            <v>0</v>
          </cell>
          <cell r="V209">
            <v>0</v>
          </cell>
          <cell r="W209">
            <v>0</v>
          </cell>
          <cell r="X209">
            <v>0</v>
          </cell>
          <cell r="AL209">
            <v>0</v>
          </cell>
          <cell r="AM209">
            <v>0</v>
          </cell>
          <cell r="AP209">
            <v>0</v>
          </cell>
          <cell r="AQ209">
            <v>0.02</v>
          </cell>
          <cell r="AR209">
            <v>0</v>
          </cell>
          <cell r="AV209">
            <v>2214.94</v>
          </cell>
          <cell r="AW209">
            <v>2214.9399999999996</v>
          </cell>
          <cell r="AY209">
            <v>51.21</v>
          </cell>
          <cell r="AZ209">
            <v>32.39</v>
          </cell>
          <cell r="BA209">
            <v>96.91</v>
          </cell>
          <cell r="BC209">
            <v>0</v>
          </cell>
          <cell r="BD209">
            <v>2395.4499999999998</v>
          </cell>
          <cell r="BG209">
            <v>311.89999999999998</v>
          </cell>
          <cell r="BI209" t="str">
            <v>Actual</v>
          </cell>
        </row>
        <row r="210">
          <cell r="B210" t="str">
            <v>Jun 2014</v>
          </cell>
          <cell r="C210" t="str">
            <v>GS3</v>
          </cell>
          <cell r="D210" t="str">
            <v>GS3</v>
          </cell>
          <cell r="E210" t="str">
            <v>KUCME113</v>
          </cell>
          <cell r="F210">
            <v>18341</v>
          </cell>
          <cell r="G210">
            <v>0</v>
          </cell>
          <cell r="H210">
            <v>0</v>
          </cell>
          <cell r="I210">
            <v>0</v>
          </cell>
          <cell r="J210">
            <v>0</v>
          </cell>
          <cell r="K210">
            <v>90852791</v>
          </cell>
          <cell r="L210">
            <v>0</v>
          </cell>
          <cell r="M210">
            <v>369809.3</v>
          </cell>
          <cell r="N210">
            <v>0</v>
          </cell>
          <cell r="O210">
            <v>0</v>
          </cell>
          <cell r="S210">
            <v>0</v>
          </cell>
          <cell r="T210">
            <v>0</v>
          </cell>
          <cell r="U210">
            <v>0</v>
          </cell>
          <cell r="V210">
            <v>0</v>
          </cell>
          <cell r="W210">
            <v>0</v>
          </cell>
          <cell r="X210">
            <v>0</v>
          </cell>
          <cell r="AL210">
            <v>0</v>
          </cell>
          <cell r="AM210">
            <v>0</v>
          </cell>
          <cell r="AP210">
            <v>1138.79</v>
          </cell>
          <cell r="AQ210">
            <v>3.7</v>
          </cell>
          <cell r="AR210">
            <v>0</v>
          </cell>
          <cell r="AV210">
            <v>9024247.4599999972</v>
          </cell>
          <cell r="AW210">
            <v>9024247.4600000009</v>
          </cell>
          <cell r="AY210">
            <v>447281.72</v>
          </cell>
          <cell r="AZ210">
            <v>250414.98</v>
          </cell>
          <cell r="BA210">
            <v>341796.33999999997</v>
          </cell>
          <cell r="BC210">
            <v>0</v>
          </cell>
          <cell r="BD210">
            <v>10063740.5</v>
          </cell>
          <cell r="BG210">
            <v>2627462.7200000002</v>
          </cell>
          <cell r="BI210" t="str">
            <v>Actual</v>
          </cell>
        </row>
        <row r="211">
          <cell r="B211" t="str">
            <v>Jun 2014</v>
          </cell>
          <cell r="C211" t="str">
            <v>AES</v>
          </cell>
          <cell r="D211" t="str">
            <v>AES</v>
          </cell>
          <cell r="E211" t="str">
            <v>KUCME220</v>
          </cell>
          <cell r="F211">
            <v>331</v>
          </cell>
          <cell r="G211">
            <v>6</v>
          </cell>
          <cell r="H211">
            <v>0</v>
          </cell>
          <cell r="I211">
            <v>0</v>
          </cell>
          <cell r="J211">
            <v>0</v>
          </cell>
          <cell r="K211">
            <v>381270</v>
          </cell>
          <cell r="L211">
            <v>0</v>
          </cell>
          <cell r="M211">
            <v>2204</v>
          </cell>
          <cell r="N211">
            <v>0</v>
          </cell>
          <cell r="O211">
            <v>0</v>
          </cell>
          <cell r="S211">
            <v>0</v>
          </cell>
          <cell r="T211">
            <v>0</v>
          </cell>
          <cell r="U211">
            <v>0</v>
          </cell>
          <cell r="V211">
            <v>0</v>
          </cell>
          <cell r="W211">
            <v>0</v>
          </cell>
          <cell r="X211">
            <v>0</v>
          </cell>
          <cell r="AL211">
            <v>0</v>
          </cell>
          <cell r="AM211">
            <v>0</v>
          </cell>
          <cell r="AP211">
            <v>-22.71</v>
          </cell>
          <cell r="AQ211">
            <v>-0.12</v>
          </cell>
          <cell r="AR211">
            <v>0</v>
          </cell>
          <cell r="AV211">
            <v>35083.660000000003</v>
          </cell>
          <cell r="AW211">
            <v>35083.660000000003</v>
          </cell>
          <cell r="AY211">
            <v>1763.14</v>
          </cell>
          <cell r="AZ211">
            <v>468.89</v>
          </cell>
          <cell r="BA211">
            <v>1045</v>
          </cell>
          <cell r="BC211">
            <v>0</v>
          </cell>
          <cell r="BD211">
            <v>38360.69</v>
          </cell>
          <cell r="BG211">
            <v>11026.33</v>
          </cell>
          <cell r="BI211" t="str">
            <v>Actual</v>
          </cell>
        </row>
        <row r="212">
          <cell r="B212" t="str">
            <v>Jun 2014</v>
          </cell>
          <cell r="C212" t="str">
            <v>AES</v>
          </cell>
          <cell r="D212" t="str">
            <v>AES</v>
          </cell>
          <cell r="E212" t="str">
            <v>KUCME221</v>
          </cell>
          <cell r="F212">
            <v>5</v>
          </cell>
          <cell r="G212">
            <v>0</v>
          </cell>
          <cell r="H212">
            <v>0</v>
          </cell>
          <cell r="I212">
            <v>0</v>
          </cell>
          <cell r="J212">
            <v>0</v>
          </cell>
          <cell r="K212">
            <v>480</v>
          </cell>
          <cell r="L212">
            <v>0</v>
          </cell>
          <cell r="M212">
            <v>164.6</v>
          </cell>
          <cell r="N212">
            <v>0</v>
          </cell>
          <cell r="O212">
            <v>0</v>
          </cell>
          <cell r="S212">
            <v>0</v>
          </cell>
          <cell r="T212">
            <v>0</v>
          </cell>
          <cell r="U212">
            <v>0</v>
          </cell>
          <cell r="V212">
            <v>0</v>
          </cell>
          <cell r="W212">
            <v>0</v>
          </cell>
          <cell r="X212">
            <v>0</v>
          </cell>
          <cell r="AL212">
            <v>0</v>
          </cell>
          <cell r="AM212">
            <v>0</v>
          </cell>
          <cell r="AP212">
            <v>0</v>
          </cell>
          <cell r="AQ212">
            <v>0</v>
          </cell>
          <cell r="AR212">
            <v>0</v>
          </cell>
          <cell r="AV212">
            <v>135.71</v>
          </cell>
          <cell r="AW212">
            <v>135.71</v>
          </cell>
          <cell r="AY212">
            <v>2.39</v>
          </cell>
          <cell r="AZ212">
            <v>0.59</v>
          </cell>
          <cell r="BA212">
            <v>4</v>
          </cell>
          <cell r="BC212">
            <v>0</v>
          </cell>
          <cell r="BD212">
            <v>142.69</v>
          </cell>
          <cell r="BG212">
            <v>13.88</v>
          </cell>
          <cell r="BI212" t="str">
            <v>Actual</v>
          </cell>
        </row>
        <row r="213">
          <cell r="B213" t="str">
            <v>Jun 2014</v>
          </cell>
          <cell r="C213" t="str">
            <v>AES3</v>
          </cell>
          <cell r="D213" t="str">
            <v>AES3</v>
          </cell>
          <cell r="E213" t="str">
            <v>KUCME223</v>
          </cell>
          <cell r="F213">
            <v>68</v>
          </cell>
          <cell r="G213">
            <v>0</v>
          </cell>
          <cell r="H213">
            <v>0</v>
          </cell>
          <cell r="I213">
            <v>0</v>
          </cell>
          <cell r="J213">
            <v>0</v>
          </cell>
          <cell r="K213">
            <v>312915</v>
          </cell>
          <cell r="L213">
            <v>0</v>
          </cell>
          <cell r="M213">
            <v>2754.8</v>
          </cell>
          <cell r="N213">
            <v>0</v>
          </cell>
          <cell r="O213">
            <v>0</v>
          </cell>
          <cell r="S213">
            <v>0</v>
          </cell>
          <cell r="T213">
            <v>0</v>
          </cell>
          <cell r="U213">
            <v>0</v>
          </cell>
          <cell r="V213">
            <v>0</v>
          </cell>
          <cell r="W213">
            <v>0</v>
          </cell>
          <cell r="X213">
            <v>0</v>
          </cell>
          <cell r="AL213">
            <v>0</v>
          </cell>
          <cell r="AM213">
            <v>0</v>
          </cell>
          <cell r="AP213">
            <v>0</v>
          </cell>
          <cell r="AQ213">
            <v>-0.02</v>
          </cell>
          <cell r="AR213">
            <v>0</v>
          </cell>
          <cell r="AV213">
            <v>25660.86</v>
          </cell>
          <cell r="AW213">
            <v>25660.86</v>
          </cell>
          <cell r="AY213">
            <v>1536.3</v>
          </cell>
          <cell r="AZ213">
            <v>384.84</v>
          </cell>
          <cell r="BA213">
            <v>813.95</v>
          </cell>
          <cell r="BC213">
            <v>0</v>
          </cell>
          <cell r="BD213">
            <v>28395.95</v>
          </cell>
          <cell r="BG213">
            <v>9049.5</v>
          </cell>
          <cell r="BI213" t="str">
            <v>Actual</v>
          </cell>
        </row>
        <row r="214">
          <cell r="B214" t="str">
            <v>Jun 2014</v>
          </cell>
          <cell r="C214" t="str">
            <v>AES3</v>
          </cell>
          <cell r="D214" t="str">
            <v>AES3</v>
          </cell>
          <cell r="E214" t="str">
            <v>KUCME224</v>
          </cell>
          <cell r="F214">
            <v>4</v>
          </cell>
          <cell r="G214">
            <v>0</v>
          </cell>
          <cell r="H214">
            <v>0</v>
          </cell>
          <cell r="I214">
            <v>0</v>
          </cell>
          <cell r="J214">
            <v>0</v>
          </cell>
          <cell r="K214">
            <v>222820</v>
          </cell>
          <cell r="L214">
            <v>0</v>
          </cell>
          <cell r="M214">
            <v>853</v>
          </cell>
          <cell r="N214">
            <v>0</v>
          </cell>
          <cell r="O214">
            <v>0</v>
          </cell>
          <cell r="S214">
            <v>0</v>
          </cell>
          <cell r="T214">
            <v>0</v>
          </cell>
          <cell r="U214">
            <v>0</v>
          </cell>
          <cell r="V214">
            <v>0</v>
          </cell>
          <cell r="W214">
            <v>0</v>
          </cell>
          <cell r="X214">
            <v>0</v>
          </cell>
          <cell r="AL214">
            <v>0</v>
          </cell>
          <cell r="AM214">
            <v>0</v>
          </cell>
          <cell r="AP214">
            <v>0</v>
          </cell>
          <cell r="AQ214">
            <v>0</v>
          </cell>
          <cell r="AR214">
            <v>0</v>
          </cell>
          <cell r="AV214">
            <v>16717.810000000001</v>
          </cell>
          <cell r="AW214">
            <v>16717.809999999998</v>
          </cell>
          <cell r="AY214">
            <v>998.63</v>
          </cell>
          <cell r="AZ214">
            <v>274.07</v>
          </cell>
          <cell r="BA214">
            <v>488.41</v>
          </cell>
          <cell r="BC214">
            <v>0</v>
          </cell>
          <cell r="BD214">
            <v>18478.919999999998</v>
          </cell>
          <cell r="BG214">
            <v>6443.95</v>
          </cell>
          <cell r="BI214" t="str">
            <v>Actual</v>
          </cell>
        </row>
        <row r="215">
          <cell r="B215" t="str">
            <v>Jun 2014</v>
          </cell>
          <cell r="C215" t="str">
            <v>AES3</v>
          </cell>
          <cell r="D215" t="str">
            <v>AES3</v>
          </cell>
          <cell r="E215" t="str">
            <v>KUCME225</v>
          </cell>
          <cell r="F215">
            <v>96</v>
          </cell>
          <cell r="G215">
            <v>1</v>
          </cell>
          <cell r="H215">
            <v>0</v>
          </cell>
          <cell r="I215">
            <v>0</v>
          </cell>
          <cell r="J215">
            <v>0</v>
          </cell>
          <cell r="K215">
            <v>2077714</v>
          </cell>
          <cell r="L215">
            <v>0</v>
          </cell>
          <cell r="M215">
            <v>10061.799999999999</v>
          </cell>
          <cell r="N215">
            <v>0</v>
          </cell>
          <cell r="O215">
            <v>0</v>
          </cell>
          <cell r="S215">
            <v>0</v>
          </cell>
          <cell r="T215">
            <v>0</v>
          </cell>
          <cell r="U215">
            <v>0</v>
          </cell>
          <cell r="V215">
            <v>0</v>
          </cell>
          <cell r="W215">
            <v>0</v>
          </cell>
          <cell r="X215">
            <v>0</v>
          </cell>
          <cell r="AL215">
            <v>0</v>
          </cell>
          <cell r="AM215">
            <v>0</v>
          </cell>
          <cell r="AP215">
            <v>-35</v>
          </cell>
          <cell r="AQ215">
            <v>7.0000000000000007E-2</v>
          </cell>
          <cell r="AR215">
            <v>0</v>
          </cell>
          <cell r="AV215">
            <v>157941.99000000002</v>
          </cell>
          <cell r="AW215">
            <v>157941.99</v>
          </cell>
          <cell r="AY215">
            <v>9763.24</v>
          </cell>
          <cell r="AZ215">
            <v>2555.63</v>
          </cell>
          <cell r="BA215">
            <v>4830.7</v>
          </cell>
          <cell r="BC215">
            <v>0</v>
          </cell>
          <cell r="BD215">
            <v>175091.56</v>
          </cell>
          <cell r="BG215">
            <v>60087.49</v>
          </cell>
          <cell r="BI215" t="str">
            <v>Actual</v>
          </cell>
        </row>
        <row r="216">
          <cell r="B216" t="str">
            <v>Jun 2014</v>
          </cell>
          <cell r="C216" t="str">
            <v>AES</v>
          </cell>
          <cell r="D216" t="str">
            <v>AES</v>
          </cell>
          <cell r="E216" t="str">
            <v>KUCME226</v>
          </cell>
          <cell r="F216">
            <v>19</v>
          </cell>
          <cell r="G216">
            <v>0</v>
          </cell>
          <cell r="H216">
            <v>0</v>
          </cell>
          <cell r="I216">
            <v>0</v>
          </cell>
          <cell r="J216">
            <v>0</v>
          </cell>
          <cell r="K216">
            <v>43228</v>
          </cell>
          <cell r="L216">
            <v>0</v>
          </cell>
          <cell r="M216">
            <v>1252.4000000000001</v>
          </cell>
          <cell r="N216">
            <v>0</v>
          </cell>
          <cell r="O216">
            <v>0</v>
          </cell>
          <cell r="S216">
            <v>0</v>
          </cell>
          <cell r="T216">
            <v>0</v>
          </cell>
          <cell r="U216">
            <v>0</v>
          </cell>
          <cell r="V216">
            <v>0</v>
          </cell>
          <cell r="W216">
            <v>0</v>
          </cell>
          <cell r="X216">
            <v>0</v>
          </cell>
          <cell r="AL216">
            <v>0</v>
          </cell>
          <cell r="AM216">
            <v>0</v>
          </cell>
          <cell r="AP216">
            <v>0</v>
          </cell>
          <cell r="AQ216">
            <v>0.01</v>
          </cell>
          <cell r="AR216">
            <v>0</v>
          </cell>
          <cell r="AV216">
            <v>3596.17</v>
          </cell>
          <cell r="AW216">
            <v>3596.17</v>
          </cell>
          <cell r="AY216">
            <v>191.91</v>
          </cell>
          <cell r="AZ216">
            <v>53.17</v>
          </cell>
          <cell r="BA216">
            <v>103.52</v>
          </cell>
          <cell r="BC216">
            <v>0</v>
          </cell>
          <cell r="BD216">
            <v>3944.77</v>
          </cell>
          <cell r="BG216">
            <v>1250.1500000000001</v>
          </cell>
          <cell r="BI216" t="str">
            <v>Actual</v>
          </cell>
        </row>
        <row r="217">
          <cell r="B217" t="str">
            <v>Jun 2014</v>
          </cell>
          <cell r="C217" t="str">
            <v>AES3</v>
          </cell>
          <cell r="D217" t="str">
            <v>AES3</v>
          </cell>
          <cell r="E217" t="str">
            <v>KUCME227</v>
          </cell>
          <cell r="F217">
            <v>99</v>
          </cell>
          <cell r="G217">
            <v>0</v>
          </cell>
          <cell r="H217">
            <v>0</v>
          </cell>
          <cell r="I217">
            <v>0</v>
          </cell>
          <cell r="J217">
            <v>0</v>
          </cell>
          <cell r="K217">
            <v>8310128</v>
          </cell>
          <cell r="L217">
            <v>0</v>
          </cell>
          <cell r="M217">
            <v>33399.199999999997</v>
          </cell>
          <cell r="N217">
            <v>0</v>
          </cell>
          <cell r="O217">
            <v>0</v>
          </cell>
          <cell r="S217">
            <v>0</v>
          </cell>
          <cell r="T217">
            <v>0</v>
          </cell>
          <cell r="U217">
            <v>0</v>
          </cell>
          <cell r="V217">
            <v>0</v>
          </cell>
          <cell r="W217">
            <v>0</v>
          </cell>
          <cell r="X217">
            <v>0</v>
          </cell>
          <cell r="AL217">
            <v>0</v>
          </cell>
          <cell r="AM217">
            <v>0</v>
          </cell>
          <cell r="AP217">
            <v>0</v>
          </cell>
          <cell r="AQ217">
            <v>-0.04</v>
          </cell>
          <cell r="AR217">
            <v>0</v>
          </cell>
          <cell r="AV217">
            <v>621738.48</v>
          </cell>
          <cell r="AW217">
            <v>621738.48</v>
          </cell>
          <cell r="AY217">
            <v>38491.199999999997</v>
          </cell>
          <cell r="AZ217">
            <v>10221.43</v>
          </cell>
          <cell r="BA217">
            <v>18768.22</v>
          </cell>
          <cell r="BC217">
            <v>0</v>
          </cell>
          <cell r="BD217">
            <v>689219.33</v>
          </cell>
          <cell r="BG217">
            <v>240328.9</v>
          </cell>
          <cell r="BI217" t="str">
            <v>Actual</v>
          </cell>
        </row>
        <row r="218">
          <cell r="B218" t="str">
            <v>Jun 2014</v>
          </cell>
          <cell r="C218" t="str">
            <v>LE</v>
          </cell>
          <cell r="D218" t="str">
            <v>LE</v>
          </cell>
          <cell r="E218" t="str">
            <v>KUCME290</v>
          </cell>
          <cell r="F218">
            <v>1</v>
          </cell>
          <cell r="G218">
            <v>0</v>
          </cell>
          <cell r="H218">
            <v>0</v>
          </cell>
          <cell r="I218">
            <v>0</v>
          </cell>
          <cell r="J218">
            <v>0</v>
          </cell>
          <cell r="K218">
            <v>9877</v>
          </cell>
          <cell r="L218">
            <v>0</v>
          </cell>
          <cell r="M218">
            <v>34.1</v>
          </cell>
          <cell r="N218">
            <v>0</v>
          </cell>
          <cell r="O218">
            <v>0</v>
          </cell>
          <cell r="S218">
            <v>0</v>
          </cell>
          <cell r="T218">
            <v>0</v>
          </cell>
          <cell r="U218">
            <v>0</v>
          </cell>
          <cell r="V218">
            <v>0</v>
          </cell>
          <cell r="W218">
            <v>0</v>
          </cell>
          <cell r="X218">
            <v>0</v>
          </cell>
          <cell r="AL218">
            <v>0</v>
          </cell>
          <cell r="AM218">
            <v>0</v>
          </cell>
          <cell r="AP218">
            <v>0</v>
          </cell>
          <cell r="AQ218">
            <v>0</v>
          </cell>
          <cell r="AR218">
            <v>0</v>
          </cell>
          <cell r="AV218">
            <v>630.15</v>
          </cell>
          <cell r="AW218">
            <v>630.15</v>
          </cell>
          <cell r="AY218">
            <v>49.09</v>
          </cell>
          <cell r="AZ218">
            <v>0</v>
          </cell>
          <cell r="BA218">
            <v>20.309999999999999</v>
          </cell>
          <cell r="BC218">
            <v>0</v>
          </cell>
          <cell r="BD218">
            <v>699.55</v>
          </cell>
          <cell r="BG218">
            <v>285.64</v>
          </cell>
          <cell r="BI218" t="str">
            <v>Actual</v>
          </cell>
        </row>
        <row r="219">
          <cell r="B219" t="str">
            <v>Jun 2014</v>
          </cell>
          <cell r="C219" t="str">
            <v>LE</v>
          </cell>
          <cell r="D219" t="str">
            <v>LE</v>
          </cell>
          <cell r="E219" t="str">
            <v>KUCME291</v>
          </cell>
          <cell r="F219">
            <v>1</v>
          </cell>
          <cell r="G219">
            <v>0</v>
          </cell>
          <cell r="H219">
            <v>0</v>
          </cell>
          <cell r="I219">
            <v>0</v>
          </cell>
          <cell r="J219">
            <v>0</v>
          </cell>
          <cell r="K219">
            <v>2716</v>
          </cell>
          <cell r="L219">
            <v>0</v>
          </cell>
          <cell r="M219">
            <v>0</v>
          </cell>
          <cell r="N219">
            <v>0</v>
          </cell>
          <cell r="O219">
            <v>0</v>
          </cell>
          <cell r="S219">
            <v>0</v>
          </cell>
          <cell r="T219">
            <v>0</v>
          </cell>
          <cell r="U219">
            <v>0</v>
          </cell>
          <cell r="V219">
            <v>0</v>
          </cell>
          <cell r="W219">
            <v>0</v>
          </cell>
          <cell r="X219">
            <v>0</v>
          </cell>
          <cell r="AL219">
            <v>0</v>
          </cell>
          <cell r="AM219">
            <v>0</v>
          </cell>
          <cell r="AP219">
            <v>0</v>
          </cell>
          <cell r="AQ219">
            <v>0</v>
          </cell>
          <cell r="AR219">
            <v>0</v>
          </cell>
          <cell r="AV219">
            <v>173.28</v>
          </cell>
          <cell r="AW219">
            <v>173.28</v>
          </cell>
          <cell r="AY219">
            <v>9.6999999999999993</v>
          </cell>
          <cell r="AZ219">
            <v>0</v>
          </cell>
          <cell r="BA219">
            <v>4.01</v>
          </cell>
          <cell r="BC219">
            <v>0</v>
          </cell>
          <cell r="BD219">
            <v>186.99</v>
          </cell>
          <cell r="BG219">
            <v>78.55</v>
          </cell>
          <cell r="BI219" t="str">
            <v>Actual</v>
          </cell>
        </row>
        <row r="220">
          <cell r="B220" t="str">
            <v>Jun 2014</v>
          </cell>
          <cell r="C220" t="str">
            <v>TE</v>
          </cell>
          <cell r="D220" t="str">
            <v>TE</v>
          </cell>
          <cell r="E220" t="str">
            <v>KUCME295</v>
          </cell>
          <cell r="F220">
            <v>477</v>
          </cell>
          <cell r="G220">
            <v>1</v>
          </cell>
          <cell r="H220">
            <v>0</v>
          </cell>
          <cell r="I220">
            <v>0</v>
          </cell>
          <cell r="J220">
            <v>0</v>
          </cell>
          <cell r="K220">
            <v>91300</v>
          </cell>
          <cell r="L220">
            <v>0</v>
          </cell>
          <cell r="M220">
            <v>16.399999999999999</v>
          </cell>
          <cell r="N220">
            <v>0</v>
          </cell>
          <cell r="O220">
            <v>0</v>
          </cell>
          <cell r="S220">
            <v>0</v>
          </cell>
          <cell r="T220">
            <v>0</v>
          </cell>
          <cell r="U220">
            <v>0</v>
          </cell>
          <cell r="V220">
            <v>0</v>
          </cell>
          <cell r="W220">
            <v>0</v>
          </cell>
          <cell r="X220">
            <v>0</v>
          </cell>
          <cell r="AL220">
            <v>0</v>
          </cell>
          <cell r="AM220">
            <v>0</v>
          </cell>
          <cell r="AP220">
            <v>-1.42</v>
          </cell>
          <cell r="AQ220">
            <v>0.03</v>
          </cell>
          <cell r="AR220">
            <v>0</v>
          </cell>
          <cell r="AV220">
            <v>8836.02</v>
          </cell>
          <cell r="AW220">
            <v>8836.02</v>
          </cell>
          <cell r="AY220">
            <v>383.3</v>
          </cell>
          <cell r="AZ220">
            <v>0</v>
          </cell>
          <cell r="BA220">
            <v>234.47</v>
          </cell>
          <cell r="BC220">
            <v>0</v>
          </cell>
          <cell r="BD220">
            <v>9453.7900000000009</v>
          </cell>
          <cell r="BG220">
            <v>2640.4</v>
          </cell>
          <cell r="BI220" t="str">
            <v>Actual</v>
          </cell>
        </row>
        <row r="221">
          <cell r="B221" t="str">
            <v>Jun 2014</v>
          </cell>
          <cell r="C221" t="str">
            <v>TE</v>
          </cell>
          <cell r="D221" t="str">
            <v>TE</v>
          </cell>
          <cell r="E221" t="str">
            <v>KUCME297</v>
          </cell>
          <cell r="F221">
            <v>272</v>
          </cell>
          <cell r="G221">
            <v>0</v>
          </cell>
          <cell r="H221">
            <v>0</v>
          </cell>
          <cell r="I221">
            <v>0</v>
          </cell>
          <cell r="J221">
            <v>0</v>
          </cell>
          <cell r="K221">
            <v>14416</v>
          </cell>
          <cell r="L221">
            <v>0</v>
          </cell>
          <cell r="M221">
            <v>0</v>
          </cell>
          <cell r="N221">
            <v>0</v>
          </cell>
          <cell r="O221">
            <v>0</v>
          </cell>
          <cell r="S221">
            <v>0</v>
          </cell>
          <cell r="T221">
            <v>0</v>
          </cell>
          <cell r="U221">
            <v>0</v>
          </cell>
          <cell r="V221">
            <v>0</v>
          </cell>
          <cell r="W221">
            <v>0</v>
          </cell>
          <cell r="X221">
            <v>0</v>
          </cell>
          <cell r="AL221">
            <v>0</v>
          </cell>
          <cell r="AM221">
            <v>0</v>
          </cell>
          <cell r="AP221">
            <v>0</v>
          </cell>
          <cell r="AQ221">
            <v>0.45</v>
          </cell>
          <cell r="AR221">
            <v>0</v>
          </cell>
          <cell r="AV221">
            <v>2034.56</v>
          </cell>
          <cell r="AW221">
            <v>2034.5600000000002</v>
          </cell>
          <cell r="AY221">
            <v>70.72</v>
          </cell>
          <cell r="AZ221">
            <v>0</v>
          </cell>
          <cell r="BA221">
            <v>62.56</v>
          </cell>
          <cell r="BC221">
            <v>0</v>
          </cell>
          <cell r="BD221">
            <v>2167.84</v>
          </cell>
          <cell r="BG221">
            <v>416.91</v>
          </cell>
          <cell r="BI221" t="str">
            <v>Actual</v>
          </cell>
        </row>
        <row r="222">
          <cell r="B222" t="str">
            <v>Jun 2014</v>
          </cell>
          <cell r="C222" t="str">
            <v>SQF</v>
          </cell>
          <cell r="D222" t="str">
            <v>SQF</v>
          </cell>
          <cell r="E222" t="str">
            <v>KUCME705</v>
          </cell>
          <cell r="F222">
            <v>0</v>
          </cell>
          <cell r="G222">
            <v>0</v>
          </cell>
          <cell r="H222">
            <v>0</v>
          </cell>
          <cell r="I222">
            <v>0</v>
          </cell>
          <cell r="J222">
            <v>0</v>
          </cell>
          <cell r="K222">
            <v>0</v>
          </cell>
          <cell r="L222">
            <v>0</v>
          </cell>
          <cell r="M222">
            <v>0</v>
          </cell>
          <cell r="N222">
            <v>0</v>
          </cell>
          <cell r="O222">
            <v>0</v>
          </cell>
          <cell r="S222">
            <v>0</v>
          </cell>
          <cell r="T222">
            <v>0</v>
          </cell>
          <cell r="U222">
            <v>0</v>
          </cell>
          <cell r="V222">
            <v>0</v>
          </cell>
          <cell r="W222">
            <v>0</v>
          </cell>
          <cell r="X222">
            <v>0</v>
          </cell>
          <cell r="AL222">
            <v>0</v>
          </cell>
          <cell r="AM222">
            <v>0</v>
          </cell>
          <cell r="AP222">
            <v>0</v>
          </cell>
          <cell r="AQ222">
            <v>0</v>
          </cell>
          <cell r="AR222">
            <v>0</v>
          </cell>
          <cell r="AV222">
            <v>0</v>
          </cell>
          <cell r="AW222">
            <v>0</v>
          </cell>
          <cell r="AY222">
            <v>0</v>
          </cell>
          <cell r="AZ222">
            <v>0</v>
          </cell>
          <cell r="BA222">
            <v>0</v>
          </cell>
          <cell r="BC222">
            <v>0</v>
          </cell>
          <cell r="BD222">
            <v>0</v>
          </cell>
          <cell r="BG222">
            <v>0</v>
          </cell>
          <cell r="BI222" t="str">
            <v>Actual</v>
          </cell>
        </row>
        <row r="223">
          <cell r="B223" t="str">
            <v>Jun 2014</v>
          </cell>
          <cell r="C223" t="str">
            <v>LQF</v>
          </cell>
          <cell r="D223" t="str">
            <v>LQF</v>
          </cell>
          <cell r="E223" t="str">
            <v>KUCME707</v>
          </cell>
          <cell r="F223">
            <v>0</v>
          </cell>
          <cell r="G223">
            <v>0</v>
          </cell>
          <cell r="H223">
            <v>0</v>
          </cell>
          <cell r="I223">
            <v>0</v>
          </cell>
          <cell r="J223">
            <v>0</v>
          </cell>
          <cell r="K223">
            <v>0</v>
          </cell>
          <cell r="L223">
            <v>0</v>
          </cell>
          <cell r="M223">
            <v>0</v>
          </cell>
          <cell r="N223">
            <v>0</v>
          </cell>
          <cell r="O223">
            <v>0</v>
          </cell>
          <cell r="S223">
            <v>0</v>
          </cell>
          <cell r="T223">
            <v>0</v>
          </cell>
          <cell r="U223">
            <v>0</v>
          </cell>
          <cell r="V223">
            <v>0</v>
          </cell>
          <cell r="W223">
            <v>0</v>
          </cell>
          <cell r="X223">
            <v>0</v>
          </cell>
          <cell r="AL223">
            <v>0</v>
          </cell>
          <cell r="AM223">
            <v>0</v>
          </cell>
          <cell r="AP223">
            <v>0</v>
          </cell>
          <cell r="AQ223">
            <v>0</v>
          </cell>
          <cell r="AR223">
            <v>0</v>
          </cell>
          <cell r="AV223">
            <v>0</v>
          </cell>
          <cell r="AW223">
            <v>0</v>
          </cell>
          <cell r="AY223">
            <v>0</v>
          </cell>
          <cell r="AZ223">
            <v>0</v>
          </cell>
          <cell r="BA223">
            <v>0</v>
          </cell>
          <cell r="BC223">
            <v>0</v>
          </cell>
          <cell r="BD223">
            <v>0</v>
          </cell>
          <cell r="BG223">
            <v>0</v>
          </cell>
          <cell r="BI223" t="str">
            <v>Actual</v>
          </cell>
        </row>
        <row r="224">
          <cell r="B224" t="str">
            <v>Jun 2014</v>
          </cell>
          <cell r="C224" t="str">
            <v>GS</v>
          </cell>
          <cell r="D224" t="str">
            <v>GS</v>
          </cell>
          <cell r="E224" t="str">
            <v>KUCME710</v>
          </cell>
          <cell r="F224">
            <v>10</v>
          </cell>
          <cell r="G224">
            <v>0</v>
          </cell>
          <cell r="H224">
            <v>0</v>
          </cell>
          <cell r="I224">
            <v>0</v>
          </cell>
          <cell r="J224">
            <v>0</v>
          </cell>
          <cell r="K224">
            <v>5304</v>
          </cell>
          <cell r="L224">
            <v>0</v>
          </cell>
          <cell r="M224">
            <v>0</v>
          </cell>
          <cell r="N224">
            <v>0</v>
          </cell>
          <cell r="O224">
            <v>0</v>
          </cell>
          <cell r="S224">
            <v>0</v>
          </cell>
          <cell r="T224">
            <v>0</v>
          </cell>
          <cell r="U224">
            <v>0</v>
          </cell>
          <cell r="V224">
            <v>0</v>
          </cell>
          <cell r="W224">
            <v>0</v>
          </cell>
          <cell r="X224">
            <v>0</v>
          </cell>
          <cell r="AL224">
            <v>0</v>
          </cell>
          <cell r="AM224">
            <v>0</v>
          </cell>
          <cell r="AP224">
            <v>-12.48</v>
          </cell>
          <cell r="AQ224">
            <v>0.01</v>
          </cell>
          <cell r="AR224">
            <v>0</v>
          </cell>
          <cell r="AV224">
            <v>676.81999999999994</v>
          </cell>
          <cell r="AW224">
            <v>676.82</v>
          </cell>
          <cell r="AY224">
            <v>26.36</v>
          </cell>
          <cell r="AZ224">
            <v>15.9</v>
          </cell>
          <cell r="BA224">
            <v>28</v>
          </cell>
          <cell r="BC224">
            <v>0</v>
          </cell>
          <cell r="BD224">
            <v>747.08</v>
          </cell>
          <cell r="BG224">
            <v>153.38999999999999</v>
          </cell>
          <cell r="BI224" t="str">
            <v>Actual</v>
          </cell>
        </row>
        <row r="225">
          <cell r="B225" t="str">
            <v>Jun 2014</v>
          </cell>
          <cell r="C225" t="str">
            <v>GS3</v>
          </cell>
          <cell r="D225" t="str">
            <v>GS3</v>
          </cell>
          <cell r="E225" t="str">
            <v>KUCME713</v>
          </cell>
          <cell r="F225">
            <v>2</v>
          </cell>
          <cell r="G225">
            <v>0</v>
          </cell>
          <cell r="H225">
            <v>0</v>
          </cell>
          <cell r="I225">
            <v>0</v>
          </cell>
          <cell r="J225">
            <v>0</v>
          </cell>
          <cell r="K225">
            <v>11560</v>
          </cell>
          <cell r="L225">
            <v>0</v>
          </cell>
          <cell r="M225">
            <v>67.400000000000006</v>
          </cell>
          <cell r="N225">
            <v>0</v>
          </cell>
          <cell r="O225">
            <v>0</v>
          </cell>
          <cell r="S225">
            <v>0</v>
          </cell>
          <cell r="T225">
            <v>0</v>
          </cell>
          <cell r="U225">
            <v>0</v>
          </cell>
          <cell r="V225">
            <v>0</v>
          </cell>
          <cell r="W225">
            <v>0</v>
          </cell>
          <cell r="X225">
            <v>0</v>
          </cell>
          <cell r="AL225">
            <v>0</v>
          </cell>
          <cell r="AM225">
            <v>0</v>
          </cell>
          <cell r="AP225">
            <v>0</v>
          </cell>
          <cell r="AQ225">
            <v>0</v>
          </cell>
          <cell r="AR225">
            <v>0</v>
          </cell>
          <cell r="AV225">
            <v>1136.4100000000001</v>
          </cell>
          <cell r="AW225">
            <v>1136.4099999999999</v>
          </cell>
          <cell r="AY225">
            <v>57.45</v>
          </cell>
          <cell r="AZ225">
            <v>7.68</v>
          </cell>
          <cell r="BA225">
            <v>42.03</v>
          </cell>
          <cell r="BC225">
            <v>0</v>
          </cell>
          <cell r="BD225">
            <v>1243.57</v>
          </cell>
          <cell r="BG225">
            <v>334.32</v>
          </cell>
          <cell r="BI225" t="str">
            <v>Actual</v>
          </cell>
        </row>
        <row r="226">
          <cell r="B226" t="str">
            <v>Jun 2014</v>
          </cell>
          <cell r="C226" t="str">
            <v>CSR10</v>
          </cell>
          <cell r="D226" t="str">
            <v>CSR10</v>
          </cell>
          <cell r="E226" t="str">
            <v>KUCSR760</v>
          </cell>
          <cell r="F226">
            <v>1</v>
          </cell>
          <cell r="G226">
            <v>0</v>
          </cell>
          <cell r="H226">
            <v>0</v>
          </cell>
          <cell r="I226">
            <v>0</v>
          </cell>
          <cell r="J226">
            <v>0</v>
          </cell>
          <cell r="K226">
            <v>0</v>
          </cell>
          <cell r="L226">
            <v>0</v>
          </cell>
          <cell r="M226">
            <v>0</v>
          </cell>
          <cell r="N226">
            <v>0</v>
          </cell>
          <cell r="O226">
            <v>0</v>
          </cell>
          <cell r="S226">
            <v>0</v>
          </cell>
          <cell r="T226">
            <v>0</v>
          </cell>
          <cell r="U226">
            <v>0</v>
          </cell>
          <cell r="V226">
            <v>0</v>
          </cell>
          <cell r="W226">
            <v>0</v>
          </cell>
          <cell r="X226">
            <v>0</v>
          </cell>
          <cell r="AL226">
            <v>0</v>
          </cell>
          <cell r="AM226">
            <v>0</v>
          </cell>
          <cell r="AP226">
            <v>0</v>
          </cell>
          <cell r="AQ226">
            <v>0</v>
          </cell>
          <cell r="AR226">
            <v>0</v>
          </cell>
          <cell r="AV226">
            <v>0</v>
          </cell>
          <cell r="AW226">
            <v>0</v>
          </cell>
          <cell r="AY226">
            <v>0</v>
          </cell>
          <cell r="AZ226">
            <v>0</v>
          </cell>
          <cell r="BA226">
            <v>0</v>
          </cell>
          <cell r="BC226">
            <v>-997368.28</v>
          </cell>
          <cell r="BD226">
            <v>-997368.28</v>
          </cell>
          <cell r="BG226">
            <v>0</v>
          </cell>
          <cell r="BI226" t="str">
            <v>Actual</v>
          </cell>
        </row>
        <row r="227">
          <cell r="B227" t="str">
            <v>Jun 2014</v>
          </cell>
          <cell r="C227" t="str">
            <v>CSR10</v>
          </cell>
          <cell r="D227" t="str">
            <v>CSR10</v>
          </cell>
          <cell r="E227" t="str">
            <v>KUCSR761</v>
          </cell>
          <cell r="F227">
            <v>1</v>
          </cell>
          <cell r="G227">
            <v>0</v>
          </cell>
          <cell r="H227">
            <v>0</v>
          </cell>
          <cell r="I227">
            <v>0</v>
          </cell>
          <cell r="J227">
            <v>0</v>
          </cell>
          <cell r="K227">
            <v>0</v>
          </cell>
          <cell r="L227">
            <v>0</v>
          </cell>
          <cell r="M227">
            <v>0</v>
          </cell>
          <cell r="N227">
            <v>0</v>
          </cell>
          <cell r="O227">
            <v>0</v>
          </cell>
          <cell r="S227">
            <v>0</v>
          </cell>
          <cell r="T227">
            <v>0</v>
          </cell>
          <cell r="U227">
            <v>0</v>
          </cell>
          <cell r="V227">
            <v>0</v>
          </cell>
          <cell r="W227">
            <v>0</v>
          </cell>
          <cell r="X227">
            <v>0</v>
          </cell>
          <cell r="AL227">
            <v>0</v>
          </cell>
          <cell r="AM227">
            <v>0</v>
          </cell>
          <cell r="AP227">
            <v>0</v>
          </cell>
          <cell r="AQ227">
            <v>0</v>
          </cell>
          <cell r="AR227">
            <v>0</v>
          </cell>
          <cell r="AV227">
            <v>0</v>
          </cell>
          <cell r="AW227">
            <v>0</v>
          </cell>
          <cell r="AY227">
            <v>0</v>
          </cell>
          <cell r="AZ227">
            <v>0</v>
          </cell>
          <cell r="BA227">
            <v>0</v>
          </cell>
          <cell r="BC227">
            <v>-32950.339999999997</v>
          </cell>
          <cell r="BD227">
            <v>-32950.339999999997</v>
          </cell>
          <cell r="BG227">
            <v>0</v>
          </cell>
          <cell r="BI227" t="str">
            <v>Actual</v>
          </cell>
        </row>
        <row r="228">
          <cell r="B228" t="str">
            <v>Jun 2014</v>
          </cell>
          <cell r="C228" t="str">
            <v>CSR30</v>
          </cell>
          <cell r="D228" t="str">
            <v>CSR30</v>
          </cell>
          <cell r="E228" t="str">
            <v>KUCSR780</v>
          </cell>
          <cell r="F228">
            <v>1</v>
          </cell>
          <cell r="G228">
            <v>0</v>
          </cell>
          <cell r="H228">
            <v>0</v>
          </cell>
          <cell r="I228">
            <v>0</v>
          </cell>
          <cell r="J228">
            <v>0</v>
          </cell>
          <cell r="K228">
            <v>0</v>
          </cell>
          <cell r="L228">
            <v>0</v>
          </cell>
          <cell r="M228">
            <v>0</v>
          </cell>
          <cell r="N228">
            <v>0</v>
          </cell>
          <cell r="O228">
            <v>0</v>
          </cell>
          <cell r="S228">
            <v>0</v>
          </cell>
          <cell r="T228">
            <v>0</v>
          </cell>
          <cell r="U228">
            <v>0</v>
          </cell>
          <cell r="V228">
            <v>0</v>
          </cell>
          <cell r="W228">
            <v>0</v>
          </cell>
          <cell r="X228">
            <v>0</v>
          </cell>
          <cell r="AL228">
            <v>0</v>
          </cell>
          <cell r="AM228">
            <v>0</v>
          </cell>
          <cell r="AP228">
            <v>0</v>
          </cell>
          <cell r="AQ228">
            <v>0</v>
          </cell>
          <cell r="AR228">
            <v>0</v>
          </cell>
          <cell r="AV228">
            <v>0</v>
          </cell>
          <cell r="AW228">
            <v>0</v>
          </cell>
          <cell r="AY228">
            <v>0</v>
          </cell>
          <cell r="AZ228">
            <v>0</v>
          </cell>
          <cell r="BA228">
            <v>0</v>
          </cell>
          <cell r="BC228">
            <v>-27298.85</v>
          </cell>
          <cell r="BD228">
            <v>-27298.85</v>
          </cell>
          <cell r="BG228">
            <v>0</v>
          </cell>
          <cell r="BI228" t="str">
            <v>Actual</v>
          </cell>
        </row>
        <row r="229">
          <cell r="B229" t="str">
            <v>Jun 2014</v>
          </cell>
          <cell r="C229" t="str">
            <v>CSR30</v>
          </cell>
          <cell r="D229" t="str">
            <v>CSR30</v>
          </cell>
          <cell r="E229" t="str">
            <v>KUCSR781</v>
          </cell>
          <cell r="F229">
            <v>1</v>
          </cell>
          <cell r="G229">
            <v>0</v>
          </cell>
          <cell r="H229">
            <v>0</v>
          </cell>
          <cell r="I229">
            <v>0</v>
          </cell>
          <cell r="J229">
            <v>0</v>
          </cell>
          <cell r="K229">
            <v>0</v>
          </cell>
          <cell r="L229">
            <v>0</v>
          </cell>
          <cell r="M229">
            <v>0</v>
          </cell>
          <cell r="N229">
            <v>0</v>
          </cell>
          <cell r="O229">
            <v>0</v>
          </cell>
          <cell r="S229">
            <v>0</v>
          </cell>
          <cell r="T229">
            <v>0</v>
          </cell>
          <cell r="U229">
            <v>0</v>
          </cell>
          <cell r="V229">
            <v>0</v>
          </cell>
          <cell r="W229">
            <v>0</v>
          </cell>
          <cell r="X229">
            <v>0</v>
          </cell>
          <cell r="AL229">
            <v>0</v>
          </cell>
          <cell r="AM229">
            <v>0</v>
          </cell>
          <cell r="AP229">
            <v>0</v>
          </cell>
          <cell r="AQ229">
            <v>0</v>
          </cell>
          <cell r="AR229">
            <v>0</v>
          </cell>
          <cell r="AV229">
            <v>0</v>
          </cell>
          <cell r="AW229">
            <v>0</v>
          </cell>
          <cell r="AY229">
            <v>0</v>
          </cell>
          <cell r="AZ229">
            <v>0</v>
          </cell>
          <cell r="BA229">
            <v>0</v>
          </cell>
          <cell r="BC229">
            <v>-25058.75</v>
          </cell>
          <cell r="BD229">
            <v>-25058.75</v>
          </cell>
          <cell r="BG229">
            <v>0</v>
          </cell>
          <cell r="BI229" t="str">
            <v>Actual</v>
          </cell>
        </row>
        <row r="230">
          <cell r="B230" t="str">
            <v>Jun 2014</v>
          </cell>
          <cell r="C230" t="str">
            <v>CSR30</v>
          </cell>
          <cell r="D230" t="str">
            <v>CSR30</v>
          </cell>
          <cell r="E230" t="str">
            <v>KUCSR783</v>
          </cell>
          <cell r="F230">
            <v>1</v>
          </cell>
          <cell r="G230">
            <v>0</v>
          </cell>
          <cell r="H230">
            <v>0</v>
          </cell>
          <cell r="I230">
            <v>0</v>
          </cell>
          <cell r="J230">
            <v>0</v>
          </cell>
          <cell r="K230">
            <v>0</v>
          </cell>
          <cell r="L230">
            <v>0</v>
          </cell>
          <cell r="M230">
            <v>0</v>
          </cell>
          <cell r="N230">
            <v>0</v>
          </cell>
          <cell r="O230">
            <v>0</v>
          </cell>
          <cell r="S230">
            <v>0</v>
          </cell>
          <cell r="T230">
            <v>0</v>
          </cell>
          <cell r="U230">
            <v>0</v>
          </cell>
          <cell r="V230">
            <v>0</v>
          </cell>
          <cell r="W230">
            <v>0</v>
          </cell>
          <cell r="X230">
            <v>0</v>
          </cell>
          <cell r="AL230">
            <v>0</v>
          </cell>
          <cell r="AM230">
            <v>0</v>
          </cell>
          <cell r="AP230">
            <v>0</v>
          </cell>
          <cell r="AQ230">
            <v>0</v>
          </cell>
          <cell r="AR230">
            <v>0</v>
          </cell>
          <cell r="AV230">
            <v>0</v>
          </cell>
          <cell r="AW230">
            <v>0</v>
          </cell>
          <cell r="AY230">
            <v>0</v>
          </cell>
          <cell r="AZ230">
            <v>0</v>
          </cell>
          <cell r="BA230">
            <v>0</v>
          </cell>
          <cell r="BC230">
            <v>-8800</v>
          </cell>
          <cell r="BD230">
            <v>-8800</v>
          </cell>
          <cell r="BG230">
            <v>0</v>
          </cell>
          <cell r="BI230" t="str">
            <v>Actual</v>
          </cell>
        </row>
        <row r="231">
          <cell r="B231" t="str">
            <v>Jun 2014</v>
          </cell>
          <cell r="C231" t="str">
            <v>FLS</v>
          </cell>
          <cell r="D231" t="str">
            <v>FLST</v>
          </cell>
          <cell r="E231" t="str">
            <v>KUINE730</v>
          </cell>
          <cell r="F231">
            <v>1</v>
          </cell>
          <cell r="G231">
            <v>0</v>
          </cell>
          <cell r="H231">
            <v>0</v>
          </cell>
          <cell r="I231">
            <v>0</v>
          </cell>
          <cell r="J231">
            <v>0</v>
          </cell>
          <cell r="K231">
            <v>48168000</v>
          </cell>
          <cell r="L231">
            <v>0</v>
          </cell>
          <cell r="M231">
            <v>188697.8</v>
          </cell>
          <cell r="N231">
            <v>188697.8</v>
          </cell>
          <cell r="O231">
            <v>154867.5</v>
          </cell>
          <cell r="S231">
            <v>0</v>
          </cell>
          <cell r="T231">
            <v>0</v>
          </cell>
          <cell r="U231">
            <v>0</v>
          </cell>
          <cell r="V231">
            <v>0</v>
          </cell>
          <cell r="W231">
            <v>0</v>
          </cell>
          <cell r="X231">
            <v>0</v>
          </cell>
          <cell r="AL231">
            <v>0</v>
          </cell>
          <cell r="AM231">
            <v>0</v>
          </cell>
          <cell r="AP231">
            <v>0</v>
          </cell>
          <cell r="AQ231">
            <v>0</v>
          </cell>
          <cell r="AR231">
            <v>0</v>
          </cell>
          <cell r="AV231">
            <v>2429692.5099999998</v>
          </cell>
          <cell r="AW231">
            <v>2429692.5100000002</v>
          </cell>
          <cell r="AY231">
            <v>239394.96</v>
          </cell>
          <cell r="AZ231">
            <v>0</v>
          </cell>
          <cell r="BA231">
            <v>53803.38</v>
          </cell>
          <cell r="BC231">
            <v>0</v>
          </cell>
          <cell r="BD231">
            <v>2722890.85</v>
          </cell>
          <cell r="BG231">
            <v>1393018.56</v>
          </cell>
          <cell r="BI231" t="str">
            <v>Actual</v>
          </cell>
        </row>
        <row r="232">
          <cell r="B232" t="str">
            <v>Jun 2014</v>
          </cell>
          <cell r="C232" t="str">
            <v>RS</v>
          </cell>
          <cell r="D232" t="str">
            <v>RS</v>
          </cell>
          <cell r="E232" t="str">
            <v>KURSE010</v>
          </cell>
          <cell r="F232">
            <v>229309</v>
          </cell>
          <cell r="G232">
            <v>414</v>
          </cell>
          <cell r="H232">
            <v>0</v>
          </cell>
          <cell r="I232">
            <v>0</v>
          </cell>
          <cell r="J232">
            <v>0</v>
          </cell>
          <cell r="K232">
            <v>234384000</v>
          </cell>
          <cell r="L232">
            <v>0</v>
          </cell>
          <cell r="M232">
            <v>0</v>
          </cell>
          <cell r="N232">
            <v>0</v>
          </cell>
          <cell r="O232">
            <v>0</v>
          </cell>
          <cell r="S232">
            <v>0</v>
          </cell>
          <cell r="T232">
            <v>0</v>
          </cell>
          <cell r="U232">
            <v>0</v>
          </cell>
          <cell r="V232">
            <v>0</v>
          </cell>
          <cell r="W232">
            <v>0</v>
          </cell>
          <cell r="X232">
            <v>0</v>
          </cell>
          <cell r="AL232">
            <v>0</v>
          </cell>
          <cell r="AM232">
            <v>0</v>
          </cell>
          <cell r="AP232">
            <v>-17588.259999999998</v>
          </cell>
          <cell r="AQ232">
            <v>-6.07</v>
          </cell>
          <cell r="AR232">
            <v>0</v>
          </cell>
          <cell r="AV232">
            <v>20602624.879999999</v>
          </cell>
          <cell r="AW232">
            <v>20602624.879999999</v>
          </cell>
          <cell r="AY232">
            <v>1164610.43</v>
          </cell>
          <cell r="AZ232">
            <v>923469.63</v>
          </cell>
          <cell r="BA232">
            <v>678310.37</v>
          </cell>
          <cell r="BC232">
            <v>0</v>
          </cell>
          <cell r="BD232">
            <v>23369015.309999999</v>
          </cell>
          <cell r="BG232">
            <v>6778385.2800000003</v>
          </cell>
          <cell r="BI232" t="str">
            <v>Actual</v>
          </cell>
        </row>
        <row r="233">
          <cell r="B233" t="str">
            <v>Jun 2014</v>
          </cell>
          <cell r="C233" t="str">
            <v>RS</v>
          </cell>
          <cell r="D233" t="str">
            <v>RS</v>
          </cell>
          <cell r="E233" t="str">
            <v>KURSE020</v>
          </cell>
          <cell r="F233">
            <v>195153</v>
          </cell>
          <cell r="G233">
            <v>311</v>
          </cell>
          <cell r="H233">
            <v>0</v>
          </cell>
          <cell r="I233">
            <v>0</v>
          </cell>
          <cell r="J233">
            <v>0</v>
          </cell>
          <cell r="K233">
            <v>204298851</v>
          </cell>
          <cell r="L233">
            <v>0</v>
          </cell>
          <cell r="M233">
            <v>0</v>
          </cell>
          <cell r="N233">
            <v>0</v>
          </cell>
          <cell r="O233">
            <v>0</v>
          </cell>
          <cell r="S233">
            <v>0</v>
          </cell>
          <cell r="T233">
            <v>0</v>
          </cell>
          <cell r="U233">
            <v>0</v>
          </cell>
          <cell r="V233">
            <v>0</v>
          </cell>
          <cell r="W233">
            <v>0</v>
          </cell>
          <cell r="X233">
            <v>0</v>
          </cell>
          <cell r="AL233">
            <v>0</v>
          </cell>
          <cell r="AM233">
            <v>0</v>
          </cell>
          <cell r="AP233">
            <v>-21123.69</v>
          </cell>
          <cell r="AQ233">
            <v>-0.24</v>
          </cell>
          <cell r="AR233">
            <v>0</v>
          </cell>
          <cell r="AV233">
            <v>17901017.09</v>
          </cell>
          <cell r="AW233">
            <v>17901017.09</v>
          </cell>
          <cell r="AY233">
            <v>1014887.3</v>
          </cell>
          <cell r="AZ233">
            <v>804939</v>
          </cell>
          <cell r="BA233">
            <v>589373.76</v>
          </cell>
          <cell r="BC233">
            <v>0</v>
          </cell>
          <cell r="BD233">
            <v>20310217.149999999</v>
          </cell>
          <cell r="BG233">
            <v>5908322.7699999996</v>
          </cell>
          <cell r="BI233" t="str">
            <v>Actual</v>
          </cell>
        </row>
        <row r="234">
          <cell r="B234" t="str">
            <v>Jun 2014</v>
          </cell>
          <cell r="C234" t="str">
            <v>RS</v>
          </cell>
          <cell r="D234" t="str">
            <v>RS</v>
          </cell>
          <cell r="E234" t="str">
            <v>KURSE025</v>
          </cell>
          <cell r="F234">
            <v>244</v>
          </cell>
          <cell r="G234">
            <v>3</v>
          </cell>
          <cell r="H234">
            <v>0</v>
          </cell>
          <cell r="I234">
            <v>0</v>
          </cell>
          <cell r="J234">
            <v>0</v>
          </cell>
          <cell r="K234">
            <v>545440</v>
          </cell>
          <cell r="L234">
            <v>0</v>
          </cell>
          <cell r="M234">
            <v>0</v>
          </cell>
          <cell r="N234">
            <v>0</v>
          </cell>
          <cell r="O234">
            <v>0</v>
          </cell>
          <cell r="S234">
            <v>0</v>
          </cell>
          <cell r="T234">
            <v>0</v>
          </cell>
          <cell r="U234">
            <v>0</v>
          </cell>
          <cell r="V234">
            <v>0</v>
          </cell>
          <cell r="W234">
            <v>0</v>
          </cell>
          <cell r="X234">
            <v>0</v>
          </cell>
          <cell r="AL234">
            <v>0</v>
          </cell>
          <cell r="AM234">
            <v>0</v>
          </cell>
          <cell r="AP234">
            <v>-17.690000000000001</v>
          </cell>
          <cell r="AQ234">
            <v>-0.04</v>
          </cell>
          <cell r="AR234">
            <v>0</v>
          </cell>
          <cell r="AV234">
            <v>44876.39</v>
          </cell>
          <cell r="AW234">
            <v>44876.39</v>
          </cell>
          <cell r="AY234">
            <v>2630.64</v>
          </cell>
          <cell r="AZ234">
            <v>2148.25</v>
          </cell>
          <cell r="BA234">
            <v>1451.36</v>
          </cell>
          <cell r="BC234">
            <v>0</v>
          </cell>
          <cell r="BD234">
            <v>51106.64</v>
          </cell>
          <cell r="BG234">
            <v>15774.12</v>
          </cell>
          <cell r="BI234" t="str">
            <v>Actual</v>
          </cell>
        </row>
        <row r="235">
          <cell r="B235" t="str">
            <v>Jun 2014</v>
          </cell>
          <cell r="C235" t="str">
            <v>LEV</v>
          </cell>
          <cell r="D235" t="str">
            <v>RSLEV</v>
          </cell>
          <cell r="E235" t="str">
            <v>KURSE040</v>
          </cell>
          <cell r="F235">
            <v>5</v>
          </cell>
          <cell r="G235">
            <v>0</v>
          </cell>
          <cell r="H235">
            <v>3672</v>
          </cell>
          <cell r="I235">
            <v>871</v>
          </cell>
          <cell r="J235">
            <v>646</v>
          </cell>
          <cell r="K235">
            <v>5189</v>
          </cell>
          <cell r="L235">
            <v>0</v>
          </cell>
          <cell r="M235">
            <v>0</v>
          </cell>
          <cell r="N235">
            <v>0</v>
          </cell>
          <cell r="O235">
            <v>0</v>
          </cell>
          <cell r="S235">
            <v>0</v>
          </cell>
          <cell r="T235">
            <v>0</v>
          </cell>
          <cell r="U235">
            <v>0</v>
          </cell>
          <cell r="V235">
            <v>0</v>
          </cell>
          <cell r="W235">
            <v>0</v>
          </cell>
          <cell r="X235">
            <v>0</v>
          </cell>
          <cell r="AL235">
            <v>0</v>
          </cell>
          <cell r="AM235">
            <v>0</v>
          </cell>
          <cell r="AP235">
            <v>0</v>
          </cell>
          <cell r="AQ235">
            <v>0</v>
          </cell>
          <cell r="AR235">
            <v>0</v>
          </cell>
          <cell r="AV235">
            <v>418.88</v>
          </cell>
          <cell r="AW235">
            <v>418.88</v>
          </cell>
          <cell r="AY235">
            <v>25.8</v>
          </cell>
          <cell r="AZ235">
            <v>20.43</v>
          </cell>
          <cell r="BA235">
            <v>13.92</v>
          </cell>
          <cell r="BC235">
            <v>0</v>
          </cell>
          <cell r="BD235">
            <v>479.03</v>
          </cell>
          <cell r="BG235">
            <v>150.07</v>
          </cell>
          <cell r="BI235" t="str">
            <v>Actual</v>
          </cell>
        </row>
        <row r="236">
          <cell r="B236" t="str">
            <v>Jun 2014</v>
          </cell>
          <cell r="C236" t="str">
            <v>RS</v>
          </cell>
          <cell r="D236" t="str">
            <v>RSVFD</v>
          </cell>
          <cell r="E236" t="str">
            <v>KURSE080</v>
          </cell>
          <cell r="F236">
            <v>50</v>
          </cell>
          <cell r="G236">
            <v>0</v>
          </cell>
          <cell r="H236">
            <v>0</v>
          </cell>
          <cell r="I236">
            <v>0</v>
          </cell>
          <cell r="J236">
            <v>0</v>
          </cell>
          <cell r="K236">
            <v>70898</v>
          </cell>
          <cell r="L236">
            <v>0</v>
          </cell>
          <cell r="M236">
            <v>0</v>
          </cell>
          <cell r="N236">
            <v>0</v>
          </cell>
          <cell r="O236">
            <v>0</v>
          </cell>
          <cell r="S236">
            <v>0</v>
          </cell>
          <cell r="T236">
            <v>0</v>
          </cell>
          <cell r="U236">
            <v>0</v>
          </cell>
          <cell r="V236">
            <v>0</v>
          </cell>
          <cell r="W236">
            <v>0</v>
          </cell>
          <cell r="X236">
            <v>0</v>
          </cell>
          <cell r="AL236">
            <v>0</v>
          </cell>
          <cell r="AM236">
            <v>0</v>
          </cell>
          <cell r="AP236">
            <v>0</v>
          </cell>
          <cell r="AQ236">
            <v>0.02</v>
          </cell>
          <cell r="AR236">
            <v>0</v>
          </cell>
          <cell r="AV236">
            <v>6027.8600000000006</v>
          </cell>
          <cell r="AW236">
            <v>6027.8600000000006</v>
          </cell>
          <cell r="AY236">
            <v>348.02</v>
          </cell>
          <cell r="AZ236">
            <v>279.35000000000002</v>
          </cell>
          <cell r="BA236">
            <v>196.79</v>
          </cell>
          <cell r="BC236">
            <v>0</v>
          </cell>
          <cell r="BD236">
            <v>6852.02</v>
          </cell>
          <cell r="BG236">
            <v>2050.37</v>
          </cell>
          <cell r="BI236" t="str">
            <v>Actual</v>
          </cell>
        </row>
        <row r="237">
          <cell r="B237" t="str">
            <v>Jun 2014</v>
          </cell>
          <cell r="C237" t="str">
            <v>RS</v>
          </cell>
          <cell r="D237" t="str">
            <v>RS</v>
          </cell>
          <cell r="E237" t="str">
            <v>KURSE715</v>
          </cell>
          <cell r="F237">
            <v>52</v>
          </cell>
          <cell r="G237">
            <v>0</v>
          </cell>
          <cell r="H237">
            <v>0</v>
          </cell>
          <cell r="I237">
            <v>0</v>
          </cell>
          <cell r="J237">
            <v>0</v>
          </cell>
          <cell r="K237">
            <v>41147</v>
          </cell>
          <cell r="L237">
            <v>0</v>
          </cell>
          <cell r="M237">
            <v>0</v>
          </cell>
          <cell r="N237">
            <v>0</v>
          </cell>
          <cell r="O237">
            <v>0</v>
          </cell>
          <cell r="S237">
            <v>0</v>
          </cell>
          <cell r="T237">
            <v>0</v>
          </cell>
          <cell r="U237">
            <v>0</v>
          </cell>
          <cell r="V237">
            <v>0</v>
          </cell>
          <cell r="W237">
            <v>0</v>
          </cell>
          <cell r="X237">
            <v>0</v>
          </cell>
          <cell r="AL237">
            <v>0</v>
          </cell>
          <cell r="AM237">
            <v>0</v>
          </cell>
          <cell r="AP237">
            <v>0</v>
          </cell>
          <cell r="AQ237">
            <v>0</v>
          </cell>
          <cell r="AR237">
            <v>0</v>
          </cell>
          <cell r="AV237">
            <v>3745.42</v>
          </cell>
          <cell r="AW237">
            <v>3745.4199999999996</v>
          </cell>
          <cell r="AY237">
            <v>204.48</v>
          </cell>
          <cell r="AZ237">
            <v>162.11000000000001</v>
          </cell>
          <cell r="BA237">
            <v>122.93</v>
          </cell>
          <cell r="BC237">
            <v>0</v>
          </cell>
          <cell r="BD237">
            <v>4234.9399999999996</v>
          </cell>
          <cell r="BG237">
            <v>1189.97</v>
          </cell>
          <cell r="BI237" t="str">
            <v>Actual</v>
          </cell>
        </row>
        <row r="238">
          <cell r="B238" t="str">
            <v>Jul 2014</v>
          </cell>
          <cell r="C238" t="str">
            <v>RTS</v>
          </cell>
          <cell r="D238" t="str">
            <v>RTS</v>
          </cell>
          <cell r="E238" t="str">
            <v>KUCIE550</v>
          </cell>
          <cell r="F238">
            <v>32</v>
          </cell>
          <cell r="G238">
            <v>1</v>
          </cell>
          <cell r="H238">
            <v>0</v>
          </cell>
          <cell r="I238">
            <v>0</v>
          </cell>
          <cell r="J238">
            <v>0</v>
          </cell>
          <cell r="K238">
            <v>123501495</v>
          </cell>
          <cell r="L238">
            <v>0</v>
          </cell>
          <cell r="M238">
            <v>304109.59999999998</v>
          </cell>
          <cell r="N238">
            <v>295424.59999999998</v>
          </cell>
          <cell r="O238">
            <v>292703.7</v>
          </cell>
          <cell r="S238">
            <v>3893.5</v>
          </cell>
          <cell r="T238">
            <v>1779.1</v>
          </cell>
          <cell r="U238">
            <v>1086.8</v>
          </cell>
          <cell r="V238">
            <v>0</v>
          </cell>
          <cell r="W238">
            <v>0</v>
          </cell>
          <cell r="X238">
            <v>0</v>
          </cell>
          <cell r="AL238">
            <v>0</v>
          </cell>
          <cell r="AM238">
            <v>0</v>
          </cell>
          <cell r="AP238">
            <v>0</v>
          </cell>
          <cell r="AQ238">
            <v>0</v>
          </cell>
          <cell r="AR238">
            <v>0.04</v>
          </cell>
          <cell r="AV238">
            <v>6944841.4200000009</v>
          </cell>
          <cell r="AW238">
            <v>6944841.4199999999</v>
          </cell>
          <cell r="AY238">
            <v>316216.61</v>
          </cell>
          <cell r="AZ238">
            <v>0</v>
          </cell>
          <cell r="BA238">
            <v>195290.03</v>
          </cell>
          <cell r="BC238">
            <v>0</v>
          </cell>
          <cell r="BD238">
            <v>7456348.0599999996</v>
          </cell>
          <cell r="BG238">
            <v>3571663.24</v>
          </cell>
          <cell r="BI238" t="str">
            <v>Actual</v>
          </cell>
        </row>
        <row r="239">
          <cell r="B239" t="str">
            <v>Jul 2014</v>
          </cell>
          <cell r="C239" t="str">
            <v>PSP</v>
          </cell>
          <cell r="D239" t="str">
            <v>PSP</v>
          </cell>
          <cell r="E239" t="str">
            <v>KUCIE561</v>
          </cell>
          <cell r="F239">
            <v>166</v>
          </cell>
          <cell r="G239">
            <v>4</v>
          </cell>
          <cell r="H239">
            <v>0</v>
          </cell>
          <cell r="I239">
            <v>0</v>
          </cell>
          <cell r="J239">
            <v>0</v>
          </cell>
          <cell r="K239">
            <v>5416412</v>
          </cell>
          <cell r="L239">
            <v>0</v>
          </cell>
          <cell r="M239">
            <v>0</v>
          </cell>
          <cell r="N239">
            <v>0</v>
          </cell>
          <cell r="O239">
            <v>15235.9</v>
          </cell>
          <cell r="S239">
            <v>0</v>
          </cell>
          <cell r="T239">
            <v>0</v>
          </cell>
          <cell r="U239">
            <v>1927</v>
          </cell>
          <cell r="V239">
            <v>0</v>
          </cell>
          <cell r="W239">
            <v>0</v>
          </cell>
          <cell r="X239">
            <v>0</v>
          </cell>
          <cell r="AL239">
            <v>0</v>
          </cell>
          <cell r="AM239">
            <v>0</v>
          </cell>
          <cell r="AP239">
            <v>0</v>
          </cell>
          <cell r="AQ239">
            <v>0</v>
          </cell>
          <cell r="AR239">
            <v>-0.04</v>
          </cell>
          <cell r="AV239">
            <v>484081.67000000004</v>
          </cell>
          <cell r="AW239">
            <v>484081.67</v>
          </cell>
          <cell r="AY239">
            <v>14009.55</v>
          </cell>
          <cell r="AZ239">
            <v>6539.85</v>
          </cell>
          <cell r="BA239">
            <v>19285.73</v>
          </cell>
          <cell r="BC239">
            <v>0</v>
          </cell>
          <cell r="BD239">
            <v>523916.79999999999</v>
          </cell>
          <cell r="BG239">
            <v>156642.64000000001</v>
          </cell>
          <cell r="BI239" t="str">
            <v>Actual</v>
          </cell>
        </row>
        <row r="240">
          <cell r="B240" t="str">
            <v>Jul 2014</v>
          </cell>
          <cell r="C240" t="str">
            <v>PSS</v>
          </cell>
          <cell r="D240" t="str">
            <v>PSS</v>
          </cell>
          <cell r="E240" t="str">
            <v>KUCIE562</v>
          </cell>
          <cell r="F240">
            <v>4767</v>
          </cell>
          <cell r="G240">
            <v>0</v>
          </cell>
          <cell r="H240">
            <v>0</v>
          </cell>
          <cell r="I240">
            <v>0</v>
          </cell>
          <cell r="J240">
            <v>0</v>
          </cell>
          <cell r="K240">
            <v>157324850</v>
          </cell>
          <cell r="L240">
            <v>0</v>
          </cell>
          <cell r="M240">
            <v>0</v>
          </cell>
          <cell r="N240">
            <v>0</v>
          </cell>
          <cell r="O240">
            <v>403576.2</v>
          </cell>
          <cell r="S240">
            <v>0</v>
          </cell>
          <cell r="T240">
            <v>0</v>
          </cell>
          <cell r="U240">
            <v>46211.77</v>
          </cell>
          <cell r="V240">
            <v>0</v>
          </cell>
          <cell r="W240">
            <v>0</v>
          </cell>
          <cell r="X240">
            <v>0</v>
          </cell>
          <cell r="AL240">
            <v>0</v>
          </cell>
          <cell r="AM240">
            <v>0</v>
          </cell>
          <cell r="AP240">
            <v>-1938.87</v>
          </cell>
          <cell r="AQ240">
            <v>0.46</v>
          </cell>
          <cell r="AR240">
            <v>-17453.86</v>
          </cell>
          <cell r="AV240">
            <v>12898451.320000004</v>
          </cell>
          <cell r="AW240">
            <v>12898451.32</v>
          </cell>
          <cell r="AY240">
            <v>420948.33</v>
          </cell>
          <cell r="AZ240">
            <v>205935.17</v>
          </cell>
          <cell r="BA240">
            <v>492623.93</v>
          </cell>
          <cell r="BC240">
            <v>0</v>
          </cell>
          <cell r="BD240">
            <v>14017958.75</v>
          </cell>
          <cell r="BG240">
            <v>4549834.66</v>
          </cell>
          <cell r="BI240" t="str">
            <v>Actual</v>
          </cell>
        </row>
        <row r="241">
          <cell r="B241" t="str">
            <v>Jul 2014</v>
          </cell>
          <cell r="C241" t="str">
            <v>TODP</v>
          </cell>
          <cell r="D241" t="str">
            <v>TODP</v>
          </cell>
          <cell r="E241" t="str">
            <v>KUCIE563</v>
          </cell>
          <cell r="F241">
            <v>54</v>
          </cell>
          <cell r="G241">
            <v>3</v>
          </cell>
          <cell r="H241">
            <v>0</v>
          </cell>
          <cell r="I241">
            <v>0</v>
          </cell>
          <cell r="J241">
            <v>0</v>
          </cell>
          <cell r="K241">
            <v>300636951</v>
          </cell>
          <cell r="L241">
            <v>0</v>
          </cell>
          <cell r="M241">
            <v>611442.4</v>
          </cell>
          <cell r="N241">
            <v>608164.5</v>
          </cell>
          <cell r="O241">
            <v>598084.9</v>
          </cell>
          <cell r="S241">
            <v>12251.4</v>
          </cell>
          <cell r="T241">
            <v>1047.2</v>
          </cell>
          <cell r="U241">
            <v>1084.5999999999999</v>
          </cell>
          <cell r="V241">
            <v>0</v>
          </cell>
          <cell r="W241">
            <v>0</v>
          </cell>
          <cell r="X241">
            <v>0</v>
          </cell>
          <cell r="AL241">
            <v>0</v>
          </cell>
          <cell r="AM241">
            <v>0</v>
          </cell>
          <cell r="AQ241">
            <v>0</v>
          </cell>
          <cell r="AR241">
            <v>0.04</v>
          </cell>
          <cell r="AV241">
            <v>16636484</v>
          </cell>
          <cell r="AW241">
            <v>16636484</v>
          </cell>
          <cell r="AY241">
            <v>980794.96</v>
          </cell>
          <cell r="AZ241">
            <v>67588.11</v>
          </cell>
          <cell r="BA241">
            <v>449790.47</v>
          </cell>
          <cell r="BC241">
            <v>0</v>
          </cell>
          <cell r="BD241">
            <v>18134657.539999999</v>
          </cell>
          <cell r="BG241">
            <v>8694420.6199999992</v>
          </cell>
          <cell r="BI241" t="str">
            <v>Actual</v>
          </cell>
        </row>
        <row r="242">
          <cell r="B242" t="str">
            <v>Jul 2014</v>
          </cell>
          <cell r="C242" t="str">
            <v>PSP</v>
          </cell>
          <cell r="D242" t="str">
            <v>PSP</v>
          </cell>
          <cell r="E242" t="str">
            <v>KUCIE566</v>
          </cell>
          <cell r="F242">
            <v>69</v>
          </cell>
          <cell r="G242">
            <v>0</v>
          </cell>
          <cell r="H242">
            <v>0</v>
          </cell>
          <cell r="I242">
            <v>0</v>
          </cell>
          <cell r="J242">
            <v>0</v>
          </cell>
          <cell r="K242">
            <v>19965688</v>
          </cell>
          <cell r="L242">
            <v>0</v>
          </cell>
          <cell r="M242">
            <v>0</v>
          </cell>
          <cell r="N242">
            <v>0</v>
          </cell>
          <cell r="O242">
            <v>43372.9</v>
          </cell>
          <cell r="U242">
            <v>2206.15</v>
          </cell>
          <cell r="V242">
            <v>0</v>
          </cell>
          <cell r="W242">
            <v>0</v>
          </cell>
          <cell r="X242">
            <v>0</v>
          </cell>
          <cell r="AL242">
            <v>812.5</v>
          </cell>
          <cell r="AM242">
            <v>12410.43</v>
          </cell>
          <cell r="AP242">
            <v>-240.43</v>
          </cell>
          <cell r="AQ242">
            <v>0.01</v>
          </cell>
          <cell r="AR242">
            <v>-5226.71</v>
          </cell>
          <cell r="AV242">
            <v>1427111.4900000002</v>
          </cell>
          <cell r="AW242">
            <v>1427111.4900000002</v>
          </cell>
          <cell r="AY242">
            <v>54567.24</v>
          </cell>
          <cell r="AZ242">
            <v>16639.88</v>
          </cell>
          <cell r="BA242">
            <v>49773.24</v>
          </cell>
          <cell r="BC242">
            <v>0</v>
          </cell>
          <cell r="BD242">
            <v>1548091.85</v>
          </cell>
          <cell r="BG242">
            <v>577407.69999999995</v>
          </cell>
          <cell r="BI242" t="str">
            <v>Actual</v>
          </cell>
        </row>
        <row r="243">
          <cell r="B243" t="str">
            <v>Jul 2014</v>
          </cell>
          <cell r="C243" t="str">
            <v>PSS</v>
          </cell>
          <cell r="D243" t="str">
            <v>PSS</v>
          </cell>
          <cell r="E243" t="str">
            <v>KUCIE568</v>
          </cell>
          <cell r="F243">
            <v>379</v>
          </cell>
          <cell r="G243">
            <v>0</v>
          </cell>
          <cell r="H243">
            <v>0</v>
          </cell>
          <cell r="I243">
            <v>0</v>
          </cell>
          <cell r="J243">
            <v>0</v>
          </cell>
          <cell r="K243">
            <v>59633358</v>
          </cell>
          <cell r="L243">
            <v>0</v>
          </cell>
          <cell r="M243">
            <v>0</v>
          </cell>
          <cell r="N243">
            <v>0</v>
          </cell>
          <cell r="O243">
            <v>144196</v>
          </cell>
          <cell r="U243">
            <v>-2412.06</v>
          </cell>
          <cell r="V243">
            <v>0</v>
          </cell>
          <cell r="W243">
            <v>0</v>
          </cell>
          <cell r="X243">
            <v>0</v>
          </cell>
          <cell r="AL243">
            <v>335.25</v>
          </cell>
          <cell r="AM243">
            <v>80606.559999999998</v>
          </cell>
          <cell r="AP243">
            <v>-466.95</v>
          </cell>
          <cell r="AQ243">
            <v>-1183.6300000000001</v>
          </cell>
          <cell r="AR243">
            <v>-49941.43</v>
          </cell>
          <cell r="AV243">
            <v>4358086.96</v>
          </cell>
          <cell r="AW243">
            <v>4358086.96</v>
          </cell>
          <cell r="AY243">
            <v>158438.25</v>
          </cell>
          <cell r="AZ243">
            <v>50241.26</v>
          </cell>
          <cell r="BA243">
            <v>154894.49</v>
          </cell>
          <cell r="BC243">
            <v>0</v>
          </cell>
          <cell r="BD243">
            <v>4721660.96</v>
          </cell>
          <cell r="BG243">
            <v>1724596.71</v>
          </cell>
          <cell r="BI243" t="str">
            <v>Actual</v>
          </cell>
        </row>
        <row r="244">
          <cell r="B244" t="str">
            <v>Jul 2014</v>
          </cell>
          <cell r="C244" t="str">
            <v>TODP</v>
          </cell>
          <cell r="D244" t="str">
            <v>TODP</v>
          </cell>
          <cell r="E244" t="str">
            <v>KUCIE571</v>
          </cell>
          <cell r="F244">
            <v>165</v>
          </cell>
          <cell r="G244">
            <v>5</v>
          </cell>
          <cell r="H244">
            <v>0</v>
          </cell>
          <cell r="I244">
            <v>0</v>
          </cell>
          <cell r="J244">
            <v>0</v>
          </cell>
          <cell r="K244">
            <v>116046769</v>
          </cell>
          <cell r="L244">
            <v>0</v>
          </cell>
          <cell r="M244">
            <v>290033.40000000002</v>
          </cell>
          <cell r="N244">
            <v>287903.8</v>
          </cell>
          <cell r="O244">
            <v>279562.59999999998</v>
          </cell>
          <cell r="S244">
            <v>9565.7000000000007</v>
          </cell>
          <cell r="T244">
            <v>1625.1</v>
          </cell>
          <cell r="U244">
            <v>2735.4</v>
          </cell>
          <cell r="V244">
            <v>0</v>
          </cell>
          <cell r="W244">
            <v>0</v>
          </cell>
          <cell r="X244">
            <v>0</v>
          </cell>
          <cell r="AL244">
            <v>18597.14</v>
          </cell>
          <cell r="AM244">
            <v>0</v>
          </cell>
          <cell r="AP244">
            <v>-175.71</v>
          </cell>
          <cell r="AQ244">
            <v>0.05</v>
          </cell>
          <cell r="AR244">
            <v>3257.51</v>
          </cell>
          <cell r="AV244">
            <v>6955843.5499999989</v>
          </cell>
          <cell r="AW244">
            <v>6955843.5499999998</v>
          </cell>
          <cell r="AY244">
            <v>316165.44</v>
          </cell>
          <cell r="AZ244">
            <v>45814.1</v>
          </cell>
          <cell r="BA244">
            <v>208475.07</v>
          </cell>
          <cell r="BC244">
            <v>0</v>
          </cell>
          <cell r="BD244">
            <v>7526298.1600000001</v>
          </cell>
          <cell r="BG244">
            <v>3356072.56</v>
          </cell>
          <cell r="BI244" t="str">
            <v>Actual</v>
          </cell>
        </row>
        <row r="245">
          <cell r="B245" t="str">
            <v>Jul 2014</v>
          </cell>
          <cell r="C245" t="str">
            <v>TODS</v>
          </cell>
          <cell r="D245" t="str">
            <v>TODS</v>
          </cell>
          <cell r="E245" t="str">
            <v>KUCIE572</v>
          </cell>
          <cell r="F245">
            <v>475</v>
          </cell>
          <cell r="G245">
            <v>11</v>
          </cell>
          <cell r="H245">
            <v>0</v>
          </cell>
          <cell r="I245">
            <v>0</v>
          </cell>
          <cell r="J245">
            <v>0</v>
          </cell>
          <cell r="K245">
            <v>124772908</v>
          </cell>
          <cell r="L245">
            <v>0</v>
          </cell>
          <cell r="M245">
            <v>271984.40000000002</v>
          </cell>
          <cell r="N245">
            <v>268249.40000000002</v>
          </cell>
          <cell r="O245">
            <v>262540</v>
          </cell>
          <cell r="S245">
            <v>18298.63</v>
          </cell>
          <cell r="T245">
            <v>1684.5</v>
          </cell>
          <cell r="U245">
            <v>2167.8000000000002</v>
          </cell>
          <cell r="V245">
            <v>0</v>
          </cell>
          <cell r="W245">
            <v>0</v>
          </cell>
          <cell r="X245">
            <v>0</v>
          </cell>
          <cell r="AL245">
            <v>7977.61</v>
          </cell>
          <cell r="AM245">
            <v>119390.8</v>
          </cell>
          <cell r="AP245">
            <v>-1246.46</v>
          </cell>
          <cell r="AQ245">
            <v>0.19</v>
          </cell>
          <cell r="AR245">
            <v>51473.45</v>
          </cell>
          <cell r="AV245">
            <v>8034027.4800000004</v>
          </cell>
          <cell r="AW245">
            <v>8034027.4800000004</v>
          </cell>
          <cell r="AY245">
            <v>343332.3</v>
          </cell>
          <cell r="AZ245">
            <v>98252.91</v>
          </cell>
          <cell r="BA245">
            <v>259219.87</v>
          </cell>
          <cell r="BC245">
            <v>0</v>
          </cell>
          <cell r="BD245">
            <v>8734832.5600000005</v>
          </cell>
          <cell r="BG245">
            <v>3608432.5</v>
          </cell>
          <cell r="BI245" t="str">
            <v>Actual</v>
          </cell>
        </row>
        <row r="246">
          <cell r="B246" t="str">
            <v>Jul 2014</v>
          </cell>
          <cell r="C246" t="str">
            <v>PSS</v>
          </cell>
          <cell r="D246" t="str">
            <v>PSS</v>
          </cell>
          <cell r="E246" t="str">
            <v>KUCIE717</v>
          </cell>
          <cell r="F246">
            <v>1</v>
          </cell>
          <cell r="G246">
            <v>0</v>
          </cell>
          <cell r="H246">
            <v>0</v>
          </cell>
          <cell r="I246">
            <v>0</v>
          </cell>
          <cell r="J246">
            <v>0</v>
          </cell>
          <cell r="K246">
            <v>33680</v>
          </cell>
          <cell r="L246">
            <v>0</v>
          </cell>
          <cell r="M246">
            <v>0</v>
          </cell>
          <cell r="N246">
            <v>0</v>
          </cell>
          <cell r="O246">
            <v>99.1</v>
          </cell>
          <cell r="S246">
            <v>0</v>
          </cell>
          <cell r="T246">
            <v>0</v>
          </cell>
          <cell r="U246">
            <v>0.9</v>
          </cell>
          <cell r="V246">
            <v>0</v>
          </cell>
          <cell r="W246">
            <v>0</v>
          </cell>
          <cell r="X246">
            <v>0</v>
          </cell>
          <cell r="AL246">
            <v>0</v>
          </cell>
          <cell r="AM246">
            <v>0</v>
          </cell>
          <cell r="AP246">
            <v>0</v>
          </cell>
          <cell r="AQ246">
            <v>0</v>
          </cell>
          <cell r="AR246">
            <v>0</v>
          </cell>
          <cell r="AV246">
            <v>2820.36</v>
          </cell>
          <cell r="AW246">
            <v>2820.36</v>
          </cell>
          <cell r="AY246">
            <v>86.22</v>
          </cell>
          <cell r="AZ246">
            <v>46.14</v>
          </cell>
          <cell r="BA246">
            <v>109.57</v>
          </cell>
          <cell r="BC246">
            <v>0</v>
          </cell>
          <cell r="BD246">
            <v>3062.29</v>
          </cell>
          <cell r="BG246">
            <v>974.03</v>
          </cell>
          <cell r="BI246" t="str">
            <v>Actual</v>
          </cell>
        </row>
        <row r="247">
          <cell r="B247" t="str">
            <v>Jul 2014</v>
          </cell>
          <cell r="C247" t="str">
            <v>GS</v>
          </cell>
          <cell r="D247" t="str">
            <v>GS</v>
          </cell>
          <cell r="E247" t="str">
            <v>KUCME110</v>
          </cell>
          <cell r="F247">
            <v>63631</v>
          </cell>
          <cell r="G247">
            <v>0</v>
          </cell>
          <cell r="H247">
            <v>0</v>
          </cell>
          <cell r="I247">
            <v>0</v>
          </cell>
          <cell r="J247">
            <v>0</v>
          </cell>
          <cell r="K247">
            <v>66109772</v>
          </cell>
          <cell r="L247">
            <v>0</v>
          </cell>
          <cell r="M247">
            <v>97326.6</v>
          </cell>
          <cell r="N247">
            <v>0</v>
          </cell>
          <cell r="O247">
            <v>0</v>
          </cell>
          <cell r="S247">
            <v>0</v>
          </cell>
          <cell r="T247">
            <v>0</v>
          </cell>
          <cell r="U247">
            <v>0</v>
          </cell>
          <cell r="V247">
            <v>0</v>
          </cell>
          <cell r="W247">
            <v>0</v>
          </cell>
          <cell r="X247">
            <v>0</v>
          </cell>
          <cell r="AL247">
            <v>0</v>
          </cell>
          <cell r="AM247">
            <v>0</v>
          </cell>
          <cell r="AP247">
            <v>19389.060000000001</v>
          </cell>
          <cell r="AQ247">
            <v>24.83</v>
          </cell>
          <cell r="AR247">
            <v>0</v>
          </cell>
          <cell r="AV247">
            <v>7390660.3599999994</v>
          </cell>
          <cell r="AW247">
            <v>7390660.3600000003</v>
          </cell>
          <cell r="AY247">
            <v>175473.96</v>
          </cell>
          <cell r="AZ247">
            <v>195287.45</v>
          </cell>
          <cell r="BA247">
            <v>326956.72000000003</v>
          </cell>
          <cell r="BC247">
            <v>0</v>
          </cell>
          <cell r="BD247">
            <v>8088378.4900000002</v>
          </cell>
          <cell r="BG247">
            <v>1911894.61</v>
          </cell>
          <cell r="BI247" t="str">
            <v>Actual</v>
          </cell>
        </row>
        <row r="248">
          <cell r="B248" t="str">
            <v>Jul 2014</v>
          </cell>
          <cell r="C248" t="str">
            <v>GS</v>
          </cell>
          <cell r="D248" t="str">
            <v>GS</v>
          </cell>
          <cell r="E248" t="str">
            <v>KUCME112</v>
          </cell>
          <cell r="F248">
            <v>61</v>
          </cell>
          <cell r="G248">
            <v>0</v>
          </cell>
          <cell r="H248">
            <v>0</v>
          </cell>
          <cell r="I248">
            <v>0</v>
          </cell>
          <cell r="J248">
            <v>0</v>
          </cell>
          <cell r="K248">
            <v>10885</v>
          </cell>
          <cell r="L248">
            <v>0</v>
          </cell>
          <cell r="M248">
            <v>0</v>
          </cell>
          <cell r="N248">
            <v>0</v>
          </cell>
          <cell r="O248">
            <v>0</v>
          </cell>
          <cell r="S248">
            <v>0</v>
          </cell>
          <cell r="T248">
            <v>0</v>
          </cell>
          <cell r="U248">
            <v>0</v>
          </cell>
          <cell r="V248">
            <v>0</v>
          </cell>
          <cell r="W248">
            <v>0</v>
          </cell>
          <cell r="X248">
            <v>0</v>
          </cell>
          <cell r="AL248">
            <v>0</v>
          </cell>
          <cell r="AM248">
            <v>0</v>
          </cell>
          <cell r="AP248">
            <v>20</v>
          </cell>
          <cell r="AQ248">
            <v>0.03</v>
          </cell>
          <cell r="AR248">
            <v>0</v>
          </cell>
          <cell r="AV248">
            <v>2244.17</v>
          </cell>
          <cell r="AW248">
            <v>2244.17</v>
          </cell>
          <cell r="AY248">
            <v>32</v>
          </cell>
          <cell r="AZ248">
            <v>32.69</v>
          </cell>
          <cell r="BA248">
            <v>112.1</v>
          </cell>
          <cell r="BC248">
            <v>0</v>
          </cell>
          <cell r="BD248">
            <v>2420.96</v>
          </cell>
          <cell r="BG248">
            <v>314.79000000000002</v>
          </cell>
          <cell r="BI248" t="str">
            <v>Actual</v>
          </cell>
        </row>
        <row r="249">
          <cell r="B249" t="str">
            <v>Jul 2014</v>
          </cell>
          <cell r="C249" t="str">
            <v>GS3</v>
          </cell>
          <cell r="D249" t="str">
            <v>GS3</v>
          </cell>
          <cell r="E249" t="str">
            <v>KUCME113</v>
          </cell>
          <cell r="F249">
            <v>18472</v>
          </cell>
          <cell r="G249">
            <v>0</v>
          </cell>
          <cell r="H249">
            <v>0</v>
          </cell>
          <cell r="I249">
            <v>0</v>
          </cell>
          <cell r="J249">
            <v>0</v>
          </cell>
          <cell r="K249">
            <v>99447216</v>
          </cell>
          <cell r="L249">
            <v>0</v>
          </cell>
          <cell r="M249">
            <v>379519.3</v>
          </cell>
          <cell r="N249">
            <v>0</v>
          </cell>
          <cell r="O249">
            <v>0</v>
          </cell>
          <cell r="S249">
            <v>0</v>
          </cell>
          <cell r="T249">
            <v>0</v>
          </cell>
          <cell r="U249">
            <v>0</v>
          </cell>
          <cell r="V249">
            <v>0</v>
          </cell>
          <cell r="W249">
            <v>0</v>
          </cell>
          <cell r="X249">
            <v>0</v>
          </cell>
          <cell r="AL249">
            <v>0</v>
          </cell>
          <cell r="AM249">
            <v>0</v>
          </cell>
          <cell r="AP249">
            <v>1073.03</v>
          </cell>
          <cell r="AQ249">
            <v>3.9</v>
          </cell>
          <cell r="AR249">
            <v>0</v>
          </cell>
          <cell r="AV249">
            <v>9821602.6099999994</v>
          </cell>
          <cell r="AW249">
            <v>9821602.6099999994</v>
          </cell>
          <cell r="AY249">
            <v>262983.51</v>
          </cell>
          <cell r="AZ249">
            <v>279289.58</v>
          </cell>
          <cell r="BA249">
            <v>416795.63</v>
          </cell>
          <cell r="BC249">
            <v>0</v>
          </cell>
          <cell r="BD249">
            <v>10780671.33</v>
          </cell>
          <cell r="BG249">
            <v>2876013.49</v>
          </cell>
          <cell r="BI249" t="str">
            <v>Actual</v>
          </cell>
        </row>
        <row r="250">
          <cell r="B250" t="str">
            <v>Jul 2014</v>
          </cell>
          <cell r="C250" t="str">
            <v>AES</v>
          </cell>
          <cell r="D250" t="str">
            <v>AES</v>
          </cell>
          <cell r="E250" t="str">
            <v>KUCME220</v>
          </cell>
          <cell r="F250">
            <v>329</v>
          </cell>
          <cell r="G250">
            <v>20</v>
          </cell>
          <cell r="H250">
            <v>0</v>
          </cell>
          <cell r="I250">
            <v>0</v>
          </cell>
          <cell r="J250">
            <v>0</v>
          </cell>
          <cell r="K250">
            <v>370960</v>
          </cell>
          <cell r="L250">
            <v>0</v>
          </cell>
          <cell r="M250">
            <v>1786.2</v>
          </cell>
          <cell r="N250">
            <v>0</v>
          </cell>
          <cell r="O250">
            <v>0</v>
          </cell>
          <cell r="S250">
            <v>0</v>
          </cell>
          <cell r="T250">
            <v>0</v>
          </cell>
          <cell r="U250">
            <v>0</v>
          </cell>
          <cell r="V250">
            <v>0</v>
          </cell>
          <cell r="W250">
            <v>0</v>
          </cell>
          <cell r="X250">
            <v>0</v>
          </cell>
          <cell r="AL250">
            <v>0</v>
          </cell>
          <cell r="AM250">
            <v>0</v>
          </cell>
          <cell r="AP250">
            <v>-68.87</v>
          </cell>
          <cell r="AQ250">
            <v>0.02</v>
          </cell>
          <cell r="AR250">
            <v>0</v>
          </cell>
          <cell r="AV250">
            <v>34510.569999999992</v>
          </cell>
          <cell r="AW250">
            <v>34510.570000000007</v>
          </cell>
          <cell r="AY250">
            <v>1133.47</v>
          </cell>
          <cell r="AZ250">
            <v>456.2</v>
          </cell>
          <cell r="BA250">
            <v>1177.17</v>
          </cell>
          <cell r="BC250">
            <v>0</v>
          </cell>
          <cell r="BD250">
            <v>37277.410000000003</v>
          </cell>
          <cell r="BG250">
            <v>10728.16</v>
          </cell>
          <cell r="BI250" t="str">
            <v>Actual</v>
          </cell>
        </row>
        <row r="251">
          <cell r="B251" t="str">
            <v>Jul 2014</v>
          </cell>
          <cell r="C251" t="str">
            <v>AES</v>
          </cell>
          <cell r="D251" t="str">
            <v>AES</v>
          </cell>
          <cell r="E251" t="str">
            <v>KUCME221</v>
          </cell>
          <cell r="F251">
            <v>6</v>
          </cell>
          <cell r="G251">
            <v>2</v>
          </cell>
          <cell r="H251">
            <v>0</v>
          </cell>
          <cell r="I251">
            <v>0</v>
          </cell>
          <cell r="J251">
            <v>0</v>
          </cell>
          <cell r="K251">
            <v>360</v>
          </cell>
          <cell r="L251">
            <v>0</v>
          </cell>
          <cell r="M251">
            <v>160.19999999999999</v>
          </cell>
          <cell r="N251">
            <v>0</v>
          </cell>
          <cell r="O251">
            <v>0</v>
          </cell>
          <cell r="S251">
            <v>0</v>
          </cell>
          <cell r="T251">
            <v>0</v>
          </cell>
          <cell r="U251">
            <v>0</v>
          </cell>
          <cell r="V251">
            <v>0</v>
          </cell>
          <cell r="W251">
            <v>0</v>
          </cell>
          <cell r="X251">
            <v>0</v>
          </cell>
          <cell r="AL251">
            <v>0</v>
          </cell>
          <cell r="AM251">
            <v>0</v>
          </cell>
          <cell r="AP251">
            <v>0</v>
          </cell>
          <cell r="AQ251">
            <v>0</v>
          </cell>
          <cell r="AR251">
            <v>0</v>
          </cell>
          <cell r="AV251">
            <v>186.78</v>
          </cell>
          <cell r="AW251">
            <v>186.78</v>
          </cell>
          <cell r="AY251">
            <v>1.35</v>
          </cell>
          <cell r="AZ251">
            <v>0.44</v>
          </cell>
          <cell r="BA251">
            <v>6.11</v>
          </cell>
          <cell r="BC251">
            <v>0</v>
          </cell>
          <cell r="BD251">
            <v>194.68</v>
          </cell>
          <cell r="BG251">
            <v>10.41</v>
          </cell>
          <cell r="BI251" t="str">
            <v>Actual</v>
          </cell>
        </row>
        <row r="252">
          <cell r="B252" t="str">
            <v>Jul 2014</v>
          </cell>
          <cell r="C252" t="str">
            <v>AES3</v>
          </cell>
          <cell r="D252" t="str">
            <v>AES3</v>
          </cell>
          <cell r="E252" t="str">
            <v>KUCME223</v>
          </cell>
          <cell r="F252">
            <v>67</v>
          </cell>
          <cell r="G252">
            <v>1</v>
          </cell>
          <cell r="H252">
            <v>0</v>
          </cell>
          <cell r="I252">
            <v>0</v>
          </cell>
          <cell r="J252">
            <v>0</v>
          </cell>
          <cell r="K252">
            <v>293238</v>
          </cell>
          <cell r="L252">
            <v>0</v>
          </cell>
          <cell r="M252">
            <v>1908.7</v>
          </cell>
          <cell r="N252">
            <v>0</v>
          </cell>
          <cell r="O252">
            <v>0</v>
          </cell>
          <cell r="S252">
            <v>0</v>
          </cell>
          <cell r="T252">
            <v>0</v>
          </cell>
          <cell r="U252">
            <v>0</v>
          </cell>
          <cell r="V252">
            <v>0</v>
          </cell>
          <cell r="W252">
            <v>0</v>
          </cell>
          <cell r="X252">
            <v>0</v>
          </cell>
          <cell r="AL252">
            <v>0</v>
          </cell>
          <cell r="AM252">
            <v>0</v>
          </cell>
          <cell r="AP252">
            <v>0</v>
          </cell>
          <cell r="AQ252">
            <v>0.01</v>
          </cell>
          <cell r="AR252">
            <v>0</v>
          </cell>
          <cell r="AV252">
            <v>24196.92</v>
          </cell>
          <cell r="AW252">
            <v>24196.92</v>
          </cell>
          <cell r="AY252">
            <v>791.92</v>
          </cell>
          <cell r="AZ252">
            <v>360.68</v>
          </cell>
          <cell r="BA252">
            <v>838.51</v>
          </cell>
          <cell r="BC252">
            <v>0</v>
          </cell>
          <cell r="BD252">
            <v>26188.03</v>
          </cell>
          <cell r="BG252">
            <v>8480.44</v>
          </cell>
          <cell r="BI252" t="str">
            <v>Actual</v>
          </cell>
        </row>
        <row r="253">
          <cell r="B253" t="str">
            <v>Jul 2014</v>
          </cell>
          <cell r="C253" t="str">
            <v>AES3</v>
          </cell>
          <cell r="D253" t="str">
            <v>AES3</v>
          </cell>
          <cell r="E253" t="str">
            <v>KUCME224</v>
          </cell>
          <cell r="F253">
            <v>4</v>
          </cell>
          <cell r="G253">
            <v>0</v>
          </cell>
          <cell r="H253">
            <v>0</v>
          </cell>
          <cell r="I253">
            <v>0</v>
          </cell>
          <cell r="J253">
            <v>0</v>
          </cell>
          <cell r="K253">
            <v>219600</v>
          </cell>
          <cell r="L253">
            <v>0</v>
          </cell>
          <cell r="M253">
            <v>647.79999999999995</v>
          </cell>
          <cell r="N253">
            <v>0</v>
          </cell>
          <cell r="O253">
            <v>0</v>
          </cell>
          <cell r="S253">
            <v>0</v>
          </cell>
          <cell r="T253">
            <v>0</v>
          </cell>
          <cell r="U253">
            <v>0</v>
          </cell>
          <cell r="V253">
            <v>0</v>
          </cell>
          <cell r="W253">
            <v>0</v>
          </cell>
          <cell r="X253">
            <v>0</v>
          </cell>
          <cell r="AL253">
            <v>0</v>
          </cell>
          <cell r="AM253">
            <v>0</v>
          </cell>
          <cell r="AP253">
            <v>0</v>
          </cell>
          <cell r="AQ253">
            <v>0</v>
          </cell>
          <cell r="AR253">
            <v>0</v>
          </cell>
          <cell r="AV253">
            <v>16478.239999999998</v>
          </cell>
          <cell r="AW253">
            <v>16478.239999999998</v>
          </cell>
          <cell r="AY253">
            <v>766.06</v>
          </cell>
          <cell r="AZ253">
            <v>270.11</v>
          </cell>
          <cell r="BA253">
            <v>559.94000000000005</v>
          </cell>
          <cell r="BC253">
            <v>0</v>
          </cell>
          <cell r="BD253">
            <v>18074.349999999999</v>
          </cell>
          <cell r="BG253">
            <v>6350.83</v>
          </cell>
          <cell r="BI253" t="str">
            <v>Actual</v>
          </cell>
        </row>
        <row r="254">
          <cell r="B254" t="str">
            <v>Jul 2014</v>
          </cell>
          <cell r="C254" t="str">
            <v>AES3</v>
          </cell>
          <cell r="D254" t="str">
            <v>AES3</v>
          </cell>
          <cell r="E254" t="str">
            <v>KUCME225</v>
          </cell>
          <cell r="F254">
            <v>96</v>
          </cell>
          <cell r="G254">
            <v>4</v>
          </cell>
          <cell r="H254">
            <v>0</v>
          </cell>
          <cell r="I254">
            <v>0</v>
          </cell>
          <cell r="J254">
            <v>0</v>
          </cell>
          <cell r="K254">
            <v>1853513</v>
          </cell>
          <cell r="L254">
            <v>0</v>
          </cell>
          <cell r="M254">
            <v>7860</v>
          </cell>
          <cell r="N254">
            <v>0</v>
          </cell>
          <cell r="O254">
            <v>0</v>
          </cell>
          <cell r="S254">
            <v>0</v>
          </cell>
          <cell r="T254">
            <v>0</v>
          </cell>
          <cell r="U254">
            <v>0</v>
          </cell>
          <cell r="V254">
            <v>0</v>
          </cell>
          <cell r="W254">
            <v>0</v>
          </cell>
          <cell r="X254">
            <v>0</v>
          </cell>
          <cell r="AL254">
            <v>0</v>
          </cell>
          <cell r="AM254">
            <v>0</v>
          </cell>
          <cell r="AP254">
            <v>-35</v>
          </cell>
          <cell r="AQ254">
            <v>0</v>
          </cell>
          <cell r="AR254">
            <v>0</v>
          </cell>
          <cell r="AV254">
            <v>141366.37</v>
          </cell>
          <cell r="AW254">
            <v>141366.37</v>
          </cell>
          <cell r="AY254">
            <v>5609.99</v>
          </cell>
          <cell r="AZ254">
            <v>2279.84</v>
          </cell>
          <cell r="BA254">
            <v>4869.6099999999997</v>
          </cell>
          <cell r="BC254">
            <v>0</v>
          </cell>
          <cell r="BD254">
            <v>154125.81</v>
          </cell>
          <cell r="BG254">
            <v>53603.6</v>
          </cell>
          <cell r="BI254" t="str">
            <v>Actual</v>
          </cell>
        </row>
        <row r="255">
          <cell r="B255" t="str">
            <v>Jul 2014</v>
          </cell>
          <cell r="C255" t="str">
            <v>AES</v>
          </cell>
          <cell r="D255" t="str">
            <v>AES</v>
          </cell>
          <cell r="E255" t="str">
            <v>KUCME226</v>
          </cell>
          <cell r="F255">
            <v>19</v>
          </cell>
          <cell r="G255">
            <v>0</v>
          </cell>
          <cell r="H255">
            <v>0</v>
          </cell>
          <cell r="I255">
            <v>0</v>
          </cell>
          <cell r="J255">
            <v>0</v>
          </cell>
          <cell r="K255">
            <v>39934</v>
          </cell>
          <cell r="L255">
            <v>0</v>
          </cell>
          <cell r="M255">
            <v>874.9</v>
          </cell>
          <cell r="N255">
            <v>0</v>
          </cell>
          <cell r="O255">
            <v>0</v>
          </cell>
          <cell r="S255">
            <v>0</v>
          </cell>
          <cell r="T255">
            <v>0</v>
          </cell>
          <cell r="U255">
            <v>0</v>
          </cell>
          <cell r="V255">
            <v>0</v>
          </cell>
          <cell r="W255">
            <v>0</v>
          </cell>
          <cell r="X255">
            <v>0</v>
          </cell>
          <cell r="AL255">
            <v>0</v>
          </cell>
          <cell r="AM255">
            <v>0</v>
          </cell>
          <cell r="AP255">
            <v>0</v>
          </cell>
          <cell r="AQ255">
            <v>0</v>
          </cell>
          <cell r="AR255">
            <v>0</v>
          </cell>
          <cell r="AV255">
            <v>3351.09</v>
          </cell>
          <cell r="AW255">
            <v>3351.09</v>
          </cell>
          <cell r="AY255">
            <v>132.51</v>
          </cell>
          <cell r="AZ255">
            <v>49.12</v>
          </cell>
          <cell r="BA255">
            <v>113.8</v>
          </cell>
          <cell r="BC255">
            <v>0</v>
          </cell>
          <cell r="BD255">
            <v>3646.52</v>
          </cell>
          <cell r="BG255">
            <v>1154.8900000000001</v>
          </cell>
          <cell r="BI255" t="str">
            <v>Actual</v>
          </cell>
        </row>
        <row r="256">
          <cell r="B256" t="str">
            <v>Jul 2014</v>
          </cell>
          <cell r="C256" t="str">
            <v>AES3</v>
          </cell>
          <cell r="D256" t="str">
            <v>AES3</v>
          </cell>
          <cell r="E256" t="str">
            <v>KUCME227</v>
          </cell>
          <cell r="F256">
            <v>99</v>
          </cell>
          <cell r="G256">
            <v>2</v>
          </cell>
          <cell r="H256">
            <v>0</v>
          </cell>
          <cell r="I256">
            <v>0</v>
          </cell>
          <cell r="J256">
            <v>0</v>
          </cell>
          <cell r="K256">
            <v>7160624</v>
          </cell>
          <cell r="L256">
            <v>0</v>
          </cell>
          <cell r="M256">
            <v>23348</v>
          </cell>
          <cell r="N256">
            <v>0</v>
          </cell>
          <cell r="O256">
            <v>0</v>
          </cell>
          <cell r="S256">
            <v>0</v>
          </cell>
          <cell r="T256">
            <v>0</v>
          </cell>
          <cell r="U256">
            <v>0</v>
          </cell>
          <cell r="V256">
            <v>0</v>
          </cell>
          <cell r="W256">
            <v>0</v>
          </cell>
          <cell r="X256">
            <v>0</v>
          </cell>
          <cell r="AL256">
            <v>0</v>
          </cell>
          <cell r="AM256">
            <v>0</v>
          </cell>
          <cell r="AP256">
            <v>-35</v>
          </cell>
          <cell r="AQ256">
            <v>-0.03</v>
          </cell>
          <cell r="AV256">
            <v>536250.4</v>
          </cell>
          <cell r="AW256">
            <v>536250.4</v>
          </cell>
          <cell r="AY256">
            <v>23155.13</v>
          </cell>
          <cell r="AZ256">
            <v>8807.57</v>
          </cell>
          <cell r="BA256">
            <v>18370.21</v>
          </cell>
          <cell r="BC256">
            <v>0</v>
          </cell>
          <cell r="BD256">
            <v>586583.31000000006</v>
          </cell>
          <cell r="BG256">
            <v>207085.25</v>
          </cell>
          <cell r="BI256" t="str">
            <v>Actual</v>
          </cell>
        </row>
        <row r="257">
          <cell r="B257" t="str">
            <v>Jul 2014</v>
          </cell>
          <cell r="C257" t="str">
            <v>LE</v>
          </cell>
          <cell r="D257" t="str">
            <v>LE</v>
          </cell>
          <cell r="E257" t="str">
            <v>KUCME290</v>
          </cell>
          <cell r="F257">
            <v>1</v>
          </cell>
          <cell r="G257">
            <v>0</v>
          </cell>
          <cell r="H257">
            <v>0</v>
          </cell>
          <cell r="I257">
            <v>0</v>
          </cell>
          <cell r="J257">
            <v>0</v>
          </cell>
          <cell r="K257">
            <v>10809</v>
          </cell>
          <cell r="L257">
            <v>0</v>
          </cell>
          <cell r="M257">
            <v>39.200000000000003</v>
          </cell>
          <cell r="N257">
            <v>0</v>
          </cell>
          <cell r="O257">
            <v>0</v>
          </cell>
          <cell r="S257">
            <v>0</v>
          </cell>
          <cell r="T257">
            <v>0</v>
          </cell>
          <cell r="U257">
            <v>0</v>
          </cell>
          <cell r="V257">
            <v>0</v>
          </cell>
          <cell r="W257">
            <v>0</v>
          </cell>
          <cell r="X257">
            <v>0</v>
          </cell>
          <cell r="AL257">
            <v>0</v>
          </cell>
          <cell r="AM257">
            <v>0</v>
          </cell>
          <cell r="AP257">
            <v>0</v>
          </cell>
          <cell r="AQ257">
            <v>0</v>
          </cell>
          <cell r="AR257">
            <v>0</v>
          </cell>
          <cell r="AV257">
            <v>689.61</v>
          </cell>
          <cell r="AW257">
            <v>689.6099999999999</v>
          </cell>
          <cell r="AY257">
            <v>27.67</v>
          </cell>
          <cell r="AZ257">
            <v>0</v>
          </cell>
          <cell r="BA257">
            <v>23.89</v>
          </cell>
          <cell r="BC257">
            <v>0</v>
          </cell>
          <cell r="BD257">
            <v>741.17</v>
          </cell>
          <cell r="BG257">
            <v>312.60000000000002</v>
          </cell>
          <cell r="BI257" t="str">
            <v>Actual</v>
          </cell>
        </row>
        <row r="258">
          <cell r="B258" t="str">
            <v>Jul 2014</v>
          </cell>
          <cell r="C258" t="str">
            <v>LE</v>
          </cell>
          <cell r="D258" t="str">
            <v>LE</v>
          </cell>
          <cell r="E258" t="str">
            <v>KUCME291</v>
          </cell>
          <cell r="F258">
            <v>1</v>
          </cell>
          <cell r="G258">
            <v>0</v>
          </cell>
          <cell r="H258">
            <v>0</v>
          </cell>
          <cell r="I258">
            <v>0</v>
          </cell>
          <cell r="J258">
            <v>0</v>
          </cell>
          <cell r="K258">
            <v>2625</v>
          </cell>
          <cell r="L258">
            <v>0</v>
          </cell>
          <cell r="M258">
            <v>0</v>
          </cell>
          <cell r="N258">
            <v>0</v>
          </cell>
          <cell r="O258">
            <v>0</v>
          </cell>
          <cell r="S258">
            <v>0</v>
          </cell>
          <cell r="T258">
            <v>0</v>
          </cell>
          <cell r="U258">
            <v>0</v>
          </cell>
          <cell r="V258">
            <v>0</v>
          </cell>
          <cell r="W258">
            <v>0</v>
          </cell>
          <cell r="X258">
            <v>0</v>
          </cell>
          <cell r="AL258">
            <v>0</v>
          </cell>
          <cell r="AM258">
            <v>0</v>
          </cell>
          <cell r="AP258">
            <v>0</v>
          </cell>
          <cell r="AQ258">
            <v>0</v>
          </cell>
          <cell r="AR258">
            <v>0</v>
          </cell>
          <cell r="AV258">
            <v>167.48</v>
          </cell>
          <cell r="AW258">
            <v>167.48000000000002</v>
          </cell>
          <cell r="AY258">
            <v>13.05</v>
          </cell>
          <cell r="AZ258">
            <v>0</v>
          </cell>
          <cell r="BA258">
            <v>5.4</v>
          </cell>
          <cell r="BC258">
            <v>0</v>
          </cell>
          <cell r="BD258">
            <v>185.93</v>
          </cell>
          <cell r="BG258">
            <v>75.92</v>
          </cell>
          <cell r="BI258" t="str">
            <v>Actual</v>
          </cell>
        </row>
        <row r="259">
          <cell r="B259" t="str">
            <v>Jul 2014</v>
          </cell>
          <cell r="C259" t="str">
            <v>TE</v>
          </cell>
          <cell r="D259" t="str">
            <v>TE</v>
          </cell>
          <cell r="E259" t="str">
            <v>KUCME295</v>
          </cell>
          <cell r="F259">
            <v>477</v>
          </cell>
          <cell r="G259">
            <v>3</v>
          </cell>
          <cell r="H259">
            <v>0</v>
          </cell>
          <cell r="I259">
            <v>0</v>
          </cell>
          <cell r="J259">
            <v>0</v>
          </cell>
          <cell r="K259">
            <v>90764</v>
          </cell>
          <cell r="L259">
            <v>0</v>
          </cell>
          <cell r="M259">
            <v>53.8</v>
          </cell>
          <cell r="N259">
            <v>0</v>
          </cell>
          <cell r="O259">
            <v>0</v>
          </cell>
          <cell r="S259">
            <v>0</v>
          </cell>
          <cell r="T259">
            <v>0</v>
          </cell>
          <cell r="U259">
            <v>0</v>
          </cell>
          <cell r="V259">
            <v>0</v>
          </cell>
          <cell r="W259">
            <v>0</v>
          </cell>
          <cell r="X259">
            <v>0</v>
          </cell>
          <cell r="AL259">
            <v>0</v>
          </cell>
          <cell r="AM259">
            <v>0</v>
          </cell>
          <cell r="AP259">
            <v>-6.5</v>
          </cell>
          <cell r="AQ259">
            <v>0.02</v>
          </cell>
          <cell r="AR259">
            <v>0</v>
          </cell>
          <cell r="AV259">
            <v>8794.67</v>
          </cell>
          <cell r="AW259">
            <v>8794.67</v>
          </cell>
          <cell r="AY259">
            <v>356.31</v>
          </cell>
          <cell r="AZ259">
            <v>0</v>
          </cell>
          <cell r="BA259">
            <v>286.61</v>
          </cell>
          <cell r="BC259">
            <v>0</v>
          </cell>
          <cell r="BD259">
            <v>9437.59</v>
          </cell>
          <cell r="BG259">
            <v>2624.89</v>
          </cell>
          <cell r="BI259" t="str">
            <v>Actual</v>
          </cell>
        </row>
        <row r="260">
          <cell r="B260" t="str">
            <v>Jul 2014</v>
          </cell>
          <cell r="C260" t="str">
            <v>TE</v>
          </cell>
          <cell r="D260" t="str">
            <v>TE</v>
          </cell>
          <cell r="E260" t="str">
            <v>KUCME297</v>
          </cell>
          <cell r="F260">
            <v>272</v>
          </cell>
          <cell r="G260">
            <v>0</v>
          </cell>
          <cell r="H260">
            <v>0</v>
          </cell>
          <cell r="I260">
            <v>0</v>
          </cell>
          <cell r="J260">
            <v>0</v>
          </cell>
          <cell r="K260">
            <v>14416</v>
          </cell>
          <cell r="L260">
            <v>0</v>
          </cell>
          <cell r="M260">
            <v>0</v>
          </cell>
          <cell r="N260">
            <v>0</v>
          </cell>
          <cell r="O260">
            <v>0</v>
          </cell>
          <cell r="S260">
            <v>0</v>
          </cell>
          <cell r="T260">
            <v>0</v>
          </cell>
          <cell r="U260">
            <v>0</v>
          </cell>
          <cell r="V260">
            <v>0</v>
          </cell>
          <cell r="W260">
            <v>0</v>
          </cell>
          <cell r="X260">
            <v>0</v>
          </cell>
          <cell r="AL260">
            <v>0</v>
          </cell>
          <cell r="AM260">
            <v>0</v>
          </cell>
          <cell r="AP260">
            <v>0</v>
          </cell>
          <cell r="AQ260">
            <v>0.45</v>
          </cell>
          <cell r="AR260">
            <v>0</v>
          </cell>
          <cell r="AV260">
            <v>2034.56</v>
          </cell>
          <cell r="AW260">
            <v>2034.56</v>
          </cell>
          <cell r="AY260">
            <v>38.08</v>
          </cell>
          <cell r="AZ260">
            <v>0</v>
          </cell>
          <cell r="BA260">
            <v>68</v>
          </cell>
          <cell r="BC260">
            <v>0</v>
          </cell>
          <cell r="BD260">
            <v>2140.64</v>
          </cell>
          <cell r="BG260">
            <v>416.91</v>
          </cell>
          <cell r="BI260" t="str">
            <v>Actual</v>
          </cell>
        </row>
        <row r="261">
          <cell r="B261" t="str">
            <v>Jul 2014</v>
          </cell>
          <cell r="C261" t="str">
            <v>SQF</v>
          </cell>
          <cell r="D261" t="str">
            <v>SQF</v>
          </cell>
          <cell r="E261" t="str">
            <v>KUCME705</v>
          </cell>
          <cell r="F261">
            <v>0</v>
          </cell>
          <cell r="G261">
            <v>0</v>
          </cell>
          <cell r="H261">
            <v>0</v>
          </cell>
          <cell r="I261">
            <v>0</v>
          </cell>
          <cell r="J261">
            <v>0</v>
          </cell>
          <cell r="K261">
            <v>0</v>
          </cell>
          <cell r="L261">
            <v>0</v>
          </cell>
          <cell r="M261">
            <v>0</v>
          </cell>
          <cell r="N261">
            <v>0</v>
          </cell>
          <cell r="O261">
            <v>0</v>
          </cell>
          <cell r="S261">
            <v>0</v>
          </cell>
          <cell r="T261">
            <v>0</v>
          </cell>
          <cell r="U261">
            <v>0</v>
          </cell>
          <cell r="V261">
            <v>0</v>
          </cell>
          <cell r="W261">
            <v>0</v>
          </cell>
          <cell r="X261">
            <v>0</v>
          </cell>
          <cell r="AL261">
            <v>0</v>
          </cell>
          <cell r="AM261">
            <v>0</v>
          </cell>
          <cell r="AV261">
            <v>0</v>
          </cell>
          <cell r="AW261">
            <v>0</v>
          </cell>
          <cell r="AY261">
            <v>0</v>
          </cell>
          <cell r="AZ261">
            <v>0</v>
          </cell>
          <cell r="BA261">
            <v>0</v>
          </cell>
          <cell r="BC261">
            <v>0</v>
          </cell>
          <cell r="BD261">
            <v>0</v>
          </cell>
          <cell r="BG261">
            <v>0</v>
          </cell>
          <cell r="BI261" t="str">
            <v>Actual</v>
          </cell>
        </row>
        <row r="262">
          <cell r="B262" t="str">
            <v>Jul 2014</v>
          </cell>
          <cell r="C262" t="str">
            <v>LQF</v>
          </cell>
          <cell r="D262" t="str">
            <v>LQF</v>
          </cell>
          <cell r="E262" t="str">
            <v>KUCME707</v>
          </cell>
          <cell r="F262">
            <v>0</v>
          </cell>
          <cell r="G262">
            <v>0</v>
          </cell>
          <cell r="H262">
            <v>0</v>
          </cell>
          <cell r="I262">
            <v>0</v>
          </cell>
          <cell r="J262">
            <v>0</v>
          </cell>
          <cell r="K262">
            <v>0</v>
          </cell>
          <cell r="L262">
            <v>0</v>
          </cell>
          <cell r="M262">
            <v>0</v>
          </cell>
          <cell r="N262">
            <v>0</v>
          </cell>
          <cell r="O262">
            <v>0</v>
          </cell>
          <cell r="S262">
            <v>0</v>
          </cell>
          <cell r="T262">
            <v>0</v>
          </cell>
          <cell r="U262">
            <v>0</v>
          </cell>
          <cell r="V262">
            <v>0</v>
          </cell>
          <cell r="W262">
            <v>0</v>
          </cell>
          <cell r="X262">
            <v>0</v>
          </cell>
          <cell r="AL262">
            <v>0</v>
          </cell>
          <cell r="AM262">
            <v>0</v>
          </cell>
          <cell r="AV262">
            <v>0</v>
          </cell>
          <cell r="AW262">
            <v>0</v>
          </cell>
          <cell r="AY262">
            <v>0</v>
          </cell>
          <cell r="AZ262">
            <v>0</v>
          </cell>
          <cell r="BA262">
            <v>0</v>
          </cell>
          <cell r="BC262">
            <v>0</v>
          </cell>
          <cell r="BD262">
            <v>0</v>
          </cell>
          <cell r="BG262">
            <v>0</v>
          </cell>
          <cell r="BI262" t="str">
            <v>Actual</v>
          </cell>
        </row>
        <row r="263">
          <cell r="B263" t="str">
            <v>Jul 2014</v>
          </cell>
          <cell r="C263" t="str">
            <v>GS</v>
          </cell>
          <cell r="D263" t="str">
            <v>GS</v>
          </cell>
          <cell r="E263" t="str">
            <v>KUCME710</v>
          </cell>
          <cell r="F263">
            <v>10</v>
          </cell>
          <cell r="G263">
            <v>0</v>
          </cell>
          <cell r="H263">
            <v>0</v>
          </cell>
          <cell r="I263">
            <v>0</v>
          </cell>
          <cell r="J263">
            <v>0</v>
          </cell>
          <cell r="K263">
            <v>5823</v>
          </cell>
          <cell r="L263">
            <v>0</v>
          </cell>
          <cell r="M263">
            <v>0</v>
          </cell>
          <cell r="N263">
            <v>0</v>
          </cell>
          <cell r="O263">
            <v>0</v>
          </cell>
          <cell r="S263">
            <v>0</v>
          </cell>
          <cell r="T263">
            <v>0</v>
          </cell>
          <cell r="U263">
            <v>0</v>
          </cell>
          <cell r="V263">
            <v>0</v>
          </cell>
          <cell r="W263">
            <v>0</v>
          </cell>
          <cell r="X263">
            <v>0</v>
          </cell>
          <cell r="AL263">
            <v>0</v>
          </cell>
          <cell r="AM263">
            <v>0</v>
          </cell>
          <cell r="AP263">
            <v>0</v>
          </cell>
          <cell r="AQ263">
            <v>0</v>
          </cell>
          <cell r="AR263">
            <v>0</v>
          </cell>
          <cell r="AV263">
            <v>737.17</v>
          </cell>
          <cell r="AW263">
            <v>737.17000000000007</v>
          </cell>
          <cell r="AY263">
            <v>14.89</v>
          </cell>
          <cell r="AZ263">
            <v>17.47</v>
          </cell>
          <cell r="BA263">
            <v>33.950000000000003</v>
          </cell>
          <cell r="BC263">
            <v>0</v>
          </cell>
          <cell r="BD263">
            <v>803.48</v>
          </cell>
          <cell r="BG263">
            <v>168.4</v>
          </cell>
          <cell r="BI263" t="str">
            <v>Actual</v>
          </cell>
        </row>
        <row r="264">
          <cell r="B264" t="str">
            <v>Jul 2014</v>
          </cell>
          <cell r="C264" t="str">
            <v>GS3</v>
          </cell>
          <cell r="D264" t="str">
            <v>GS3</v>
          </cell>
          <cell r="E264" t="str">
            <v>KUCME713</v>
          </cell>
          <cell r="F264">
            <v>2</v>
          </cell>
          <cell r="G264">
            <v>0</v>
          </cell>
          <cell r="H264">
            <v>0</v>
          </cell>
          <cell r="I264">
            <v>0</v>
          </cell>
          <cell r="J264">
            <v>0</v>
          </cell>
          <cell r="K264">
            <v>11880</v>
          </cell>
          <cell r="L264">
            <v>0</v>
          </cell>
          <cell r="M264">
            <v>62.3</v>
          </cell>
          <cell r="N264">
            <v>0</v>
          </cell>
          <cell r="O264">
            <v>0</v>
          </cell>
          <cell r="S264">
            <v>0</v>
          </cell>
          <cell r="T264">
            <v>0</v>
          </cell>
          <cell r="U264">
            <v>0</v>
          </cell>
          <cell r="V264">
            <v>0</v>
          </cell>
          <cell r="W264">
            <v>0</v>
          </cell>
          <cell r="X264">
            <v>0</v>
          </cell>
          <cell r="AL264">
            <v>0</v>
          </cell>
          <cell r="AM264">
            <v>0</v>
          </cell>
          <cell r="AP264">
            <v>0</v>
          </cell>
          <cell r="AQ264">
            <v>0</v>
          </cell>
          <cell r="AR264">
            <v>0</v>
          </cell>
          <cell r="AV264">
            <v>1165.93</v>
          </cell>
          <cell r="AW264">
            <v>1165.9299999999998</v>
          </cell>
          <cell r="AY264">
            <v>30.41</v>
          </cell>
          <cell r="AZ264">
            <v>9.1199999999999992</v>
          </cell>
          <cell r="BA264">
            <v>48.14</v>
          </cell>
          <cell r="BC264">
            <v>0</v>
          </cell>
          <cell r="BD264">
            <v>1253.5999999999999</v>
          </cell>
          <cell r="BG264">
            <v>343.57</v>
          </cell>
          <cell r="BI264" t="str">
            <v>Actual</v>
          </cell>
        </row>
        <row r="265">
          <cell r="B265" t="str">
            <v>Jul 2014</v>
          </cell>
          <cell r="C265" t="str">
            <v>CSR10</v>
          </cell>
          <cell r="D265" t="str">
            <v>CSR10</v>
          </cell>
          <cell r="E265" t="str">
            <v>KUCSR760</v>
          </cell>
          <cell r="F265">
            <v>1</v>
          </cell>
          <cell r="G265">
            <v>0</v>
          </cell>
          <cell r="H265">
            <v>0</v>
          </cell>
          <cell r="I265">
            <v>0</v>
          </cell>
          <cell r="J265">
            <v>0</v>
          </cell>
          <cell r="K265">
            <v>0</v>
          </cell>
          <cell r="L265">
            <v>0</v>
          </cell>
          <cell r="M265">
            <v>0</v>
          </cell>
          <cell r="N265">
            <v>0</v>
          </cell>
          <cell r="O265">
            <v>0</v>
          </cell>
          <cell r="S265">
            <v>0</v>
          </cell>
          <cell r="T265">
            <v>0</v>
          </cell>
          <cell r="U265">
            <v>0</v>
          </cell>
          <cell r="V265">
            <v>0</v>
          </cell>
          <cell r="W265">
            <v>0</v>
          </cell>
          <cell r="X265">
            <v>0</v>
          </cell>
          <cell r="AL265">
            <v>0</v>
          </cell>
          <cell r="AM265">
            <v>0</v>
          </cell>
          <cell r="AV265">
            <v>0</v>
          </cell>
          <cell r="AW265">
            <v>0</v>
          </cell>
          <cell r="AY265">
            <v>0</v>
          </cell>
          <cell r="AZ265">
            <v>0</v>
          </cell>
          <cell r="BA265">
            <v>0</v>
          </cell>
          <cell r="BC265">
            <v>-977006.02</v>
          </cell>
          <cell r="BD265">
            <v>-977006.02</v>
          </cell>
          <cell r="BG265">
            <v>0</v>
          </cell>
          <cell r="BI265" t="str">
            <v>Actual</v>
          </cell>
        </row>
        <row r="266">
          <cell r="B266" t="str">
            <v>Jul 2014</v>
          </cell>
          <cell r="C266" t="str">
            <v>CSR10</v>
          </cell>
          <cell r="D266" t="str">
            <v>CSR10</v>
          </cell>
          <cell r="E266" t="str">
            <v>KUCSR761</v>
          </cell>
          <cell r="F266">
            <v>1</v>
          </cell>
          <cell r="G266">
            <v>0</v>
          </cell>
          <cell r="H266">
            <v>0</v>
          </cell>
          <cell r="I266">
            <v>0</v>
          </cell>
          <cell r="J266">
            <v>0</v>
          </cell>
          <cell r="K266">
            <v>0</v>
          </cell>
          <cell r="L266">
            <v>0</v>
          </cell>
          <cell r="M266">
            <v>0</v>
          </cell>
          <cell r="N266">
            <v>0</v>
          </cell>
          <cell r="O266">
            <v>0</v>
          </cell>
          <cell r="S266">
            <v>0</v>
          </cell>
          <cell r="T266">
            <v>0</v>
          </cell>
          <cell r="U266">
            <v>0</v>
          </cell>
          <cell r="V266">
            <v>0</v>
          </cell>
          <cell r="W266">
            <v>0</v>
          </cell>
          <cell r="X266">
            <v>0</v>
          </cell>
          <cell r="AL266">
            <v>0</v>
          </cell>
          <cell r="AM266">
            <v>0</v>
          </cell>
          <cell r="AV266">
            <v>0</v>
          </cell>
          <cell r="AW266">
            <v>0</v>
          </cell>
          <cell r="AY266">
            <v>0</v>
          </cell>
          <cell r="AZ266">
            <v>0</v>
          </cell>
          <cell r="BA266">
            <v>0</v>
          </cell>
          <cell r="BC266">
            <v>-33499.18</v>
          </cell>
          <cell r="BD266">
            <v>-33499.18</v>
          </cell>
          <cell r="BG266">
            <v>0</v>
          </cell>
          <cell r="BI266" t="str">
            <v>Actual</v>
          </cell>
        </row>
        <row r="267">
          <cell r="B267" t="str">
            <v>Jul 2014</v>
          </cell>
          <cell r="C267" t="str">
            <v>CSR30</v>
          </cell>
          <cell r="D267" t="str">
            <v>CSR30</v>
          </cell>
          <cell r="E267" t="str">
            <v>KUCSR780</v>
          </cell>
          <cell r="F267">
            <v>1</v>
          </cell>
          <cell r="G267">
            <v>0</v>
          </cell>
          <cell r="H267">
            <v>0</v>
          </cell>
          <cell r="I267">
            <v>0</v>
          </cell>
          <cell r="J267">
            <v>0</v>
          </cell>
          <cell r="K267">
            <v>0</v>
          </cell>
          <cell r="L267">
            <v>0</v>
          </cell>
          <cell r="M267">
            <v>0</v>
          </cell>
          <cell r="N267">
            <v>0</v>
          </cell>
          <cell r="O267">
            <v>0</v>
          </cell>
          <cell r="S267">
            <v>0</v>
          </cell>
          <cell r="T267">
            <v>0</v>
          </cell>
          <cell r="U267">
            <v>0</v>
          </cell>
          <cell r="V267">
            <v>0</v>
          </cell>
          <cell r="W267">
            <v>0</v>
          </cell>
          <cell r="X267">
            <v>0</v>
          </cell>
          <cell r="AL267">
            <v>0</v>
          </cell>
          <cell r="AM267">
            <v>0</v>
          </cell>
          <cell r="AV267">
            <v>0</v>
          </cell>
          <cell r="AW267">
            <v>0</v>
          </cell>
          <cell r="AY267">
            <v>0</v>
          </cell>
          <cell r="AZ267">
            <v>0</v>
          </cell>
          <cell r="BA267">
            <v>0</v>
          </cell>
          <cell r="BC267">
            <v>-26359.99</v>
          </cell>
          <cell r="BD267">
            <v>-26359.99</v>
          </cell>
          <cell r="BG267">
            <v>0</v>
          </cell>
          <cell r="BI267" t="str">
            <v>Actual</v>
          </cell>
        </row>
        <row r="268">
          <cell r="B268" t="str">
            <v>Jul 2014</v>
          </cell>
          <cell r="C268" t="str">
            <v>CSR30</v>
          </cell>
          <cell r="D268" t="str">
            <v>CSR30</v>
          </cell>
          <cell r="E268" t="str">
            <v>KUCSR781</v>
          </cell>
          <cell r="F268">
            <v>1</v>
          </cell>
          <cell r="G268">
            <v>0</v>
          </cell>
          <cell r="H268">
            <v>0</v>
          </cell>
          <cell r="I268">
            <v>0</v>
          </cell>
          <cell r="J268">
            <v>0</v>
          </cell>
          <cell r="K268">
            <v>0</v>
          </cell>
          <cell r="L268">
            <v>0</v>
          </cell>
          <cell r="M268">
            <v>0</v>
          </cell>
          <cell r="N268">
            <v>0</v>
          </cell>
          <cell r="O268">
            <v>0</v>
          </cell>
          <cell r="S268">
            <v>0</v>
          </cell>
          <cell r="T268">
            <v>0</v>
          </cell>
          <cell r="U268">
            <v>0</v>
          </cell>
          <cell r="V268">
            <v>0</v>
          </cell>
          <cell r="W268">
            <v>0</v>
          </cell>
          <cell r="X268">
            <v>0</v>
          </cell>
          <cell r="AL268">
            <v>0</v>
          </cell>
          <cell r="AM268">
            <v>0</v>
          </cell>
          <cell r="AV268">
            <v>0</v>
          </cell>
          <cell r="AW268">
            <v>0</v>
          </cell>
          <cell r="AY268">
            <v>0</v>
          </cell>
          <cell r="AZ268">
            <v>0</v>
          </cell>
          <cell r="BA268">
            <v>0</v>
          </cell>
          <cell r="BC268">
            <v>-28805.3</v>
          </cell>
          <cell r="BD268">
            <v>-28805.3</v>
          </cell>
          <cell r="BG268">
            <v>0</v>
          </cell>
          <cell r="BI268" t="str">
            <v>Actual</v>
          </cell>
        </row>
        <row r="269">
          <cell r="B269" t="str">
            <v>Jul 2014</v>
          </cell>
          <cell r="C269" t="str">
            <v>CSR30</v>
          </cell>
          <cell r="D269" t="str">
            <v>CSR30</v>
          </cell>
          <cell r="E269" t="str">
            <v>KUCSR783</v>
          </cell>
          <cell r="F269">
            <v>1</v>
          </cell>
          <cell r="G269">
            <v>0</v>
          </cell>
          <cell r="H269">
            <v>0</v>
          </cell>
          <cell r="I269">
            <v>0</v>
          </cell>
          <cell r="J269">
            <v>0</v>
          </cell>
          <cell r="K269">
            <v>0</v>
          </cell>
          <cell r="L269">
            <v>0</v>
          </cell>
          <cell r="M269">
            <v>0</v>
          </cell>
          <cell r="N269">
            <v>0</v>
          </cell>
          <cell r="O269">
            <v>0</v>
          </cell>
          <cell r="S269">
            <v>0</v>
          </cell>
          <cell r="T269">
            <v>0</v>
          </cell>
          <cell r="U269">
            <v>0</v>
          </cell>
          <cell r="V269">
            <v>0</v>
          </cell>
          <cell r="W269">
            <v>0</v>
          </cell>
          <cell r="X269">
            <v>0</v>
          </cell>
          <cell r="AL269">
            <v>0</v>
          </cell>
          <cell r="AM269">
            <v>0</v>
          </cell>
          <cell r="AV269">
            <v>0</v>
          </cell>
          <cell r="AW269">
            <v>0</v>
          </cell>
          <cell r="AY269">
            <v>0</v>
          </cell>
          <cell r="AZ269">
            <v>0</v>
          </cell>
          <cell r="BA269">
            <v>0</v>
          </cell>
          <cell r="BC269">
            <v>-8800</v>
          </cell>
          <cell r="BD269">
            <v>-8800</v>
          </cell>
          <cell r="BG269">
            <v>0</v>
          </cell>
          <cell r="BI269" t="str">
            <v>Actual</v>
          </cell>
        </row>
        <row r="270">
          <cell r="B270" t="str">
            <v>Jul 2014</v>
          </cell>
          <cell r="C270" t="str">
            <v>FLS</v>
          </cell>
          <cell r="D270" t="str">
            <v>FLST</v>
          </cell>
          <cell r="E270" t="str">
            <v>KUINE730</v>
          </cell>
          <cell r="F270">
            <v>1</v>
          </cell>
          <cell r="G270">
            <v>0</v>
          </cell>
          <cell r="H270">
            <v>0</v>
          </cell>
          <cell r="I270">
            <v>0</v>
          </cell>
          <cell r="J270">
            <v>0</v>
          </cell>
          <cell r="K270">
            <v>42552000</v>
          </cell>
          <cell r="L270">
            <v>0</v>
          </cell>
          <cell r="M270">
            <v>184927.1</v>
          </cell>
          <cell r="N270">
            <v>184927.1</v>
          </cell>
          <cell r="O270">
            <v>137695</v>
          </cell>
          <cell r="S270">
            <v>0</v>
          </cell>
          <cell r="T270">
            <v>0</v>
          </cell>
          <cell r="U270">
            <v>0</v>
          </cell>
          <cell r="V270">
            <v>0</v>
          </cell>
          <cell r="W270">
            <v>0</v>
          </cell>
          <cell r="X270">
            <v>0</v>
          </cell>
          <cell r="AL270">
            <v>0</v>
          </cell>
          <cell r="AM270">
            <v>0</v>
          </cell>
          <cell r="AP270">
            <v>0</v>
          </cell>
          <cell r="AQ270">
            <v>0</v>
          </cell>
          <cell r="AR270">
            <v>0</v>
          </cell>
          <cell r="AV270">
            <v>2195478.3199999998</v>
          </cell>
          <cell r="AW270">
            <v>2195478.3199999998</v>
          </cell>
          <cell r="AY270">
            <v>108933.12</v>
          </cell>
          <cell r="AZ270">
            <v>0</v>
          </cell>
          <cell r="BA270">
            <v>55866.23</v>
          </cell>
          <cell r="BC270">
            <v>0</v>
          </cell>
          <cell r="BD270">
            <v>2360277.67</v>
          </cell>
          <cell r="BG270">
            <v>1230603.8400000001</v>
          </cell>
          <cell r="BI270" t="str">
            <v>Actual</v>
          </cell>
        </row>
        <row r="271">
          <cell r="B271" t="str">
            <v>Jul 2014</v>
          </cell>
          <cell r="C271" t="str">
            <v>RS</v>
          </cell>
          <cell r="D271" t="str">
            <v>RS</v>
          </cell>
          <cell r="E271" t="str">
            <v>KURSE010</v>
          </cell>
          <cell r="F271">
            <v>229471</v>
          </cell>
          <cell r="G271">
            <v>553</v>
          </cell>
          <cell r="H271">
            <v>0</v>
          </cell>
          <cell r="I271">
            <v>0</v>
          </cell>
          <cell r="J271">
            <v>0</v>
          </cell>
          <cell r="K271">
            <v>284511549</v>
          </cell>
          <cell r="L271">
            <v>0</v>
          </cell>
          <cell r="M271">
            <v>0</v>
          </cell>
          <cell r="N271">
            <v>0</v>
          </cell>
          <cell r="O271">
            <v>0</v>
          </cell>
          <cell r="S271">
            <v>0</v>
          </cell>
          <cell r="T271">
            <v>0</v>
          </cell>
          <cell r="U271">
            <v>0</v>
          </cell>
          <cell r="V271">
            <v>0</v>
          </cell>
          <cell r="W271">
            <v>0</v>
          </cell>
          <cell r="X271">
            <v>0</v>
          </cell>
          <cell r="AL271">
            <v>0</v>
          </cell>
          <cell r="AM271">
            <v>0</v>
          </cell>
          <cell r="AP271">
            <v>-12532.99</v>
          </cell>
          <cell r="AQ271">
            <v>-12.07</v>
          </cell>
          <cell r="AR271">
            <v>0</v>
          </cell>
          <cell r="AV271">
            <v>24492787.290000003</v>
          </cell>
          <cell r="AW271">
            <v>24492787.289999999</v>
          </cell>
          <cell r="AY271">
            <v>729020.05</v>
          </cell>
          <cell r="AZ271">
            <v>1120972.8799999999</v>
          </cell>
          <cell r="BA271">
            <v>877116.23</v>
          </cell>
          <cell r="BC271">
            <v>0</v>
          </cell>
          <cell r="BD271">
            <v>27219896.449999999</v>
          </cell>
          <cell r="BG271">
            <v>8228074</v>
          </cell>
          <cell r="BI271" t="str">
            <v>Actual</v>
          </cell>
        </row>
        <row r="272">
          <cell r="B272" t="str">
            <v>Jul 2014</v>
          </cell>
          <cell r="C272" t="str">
            <v>RS</v>
          </cell>
          <cell r="D272" t="str">
            <v>RS</v>
          </cell>
          <cell r="E272" t="str">
            <v>KURSE020</v>
          </cell>
          <cell r="F272">
            <v>194960</v>
          </cell>
          <cell r="G272">
            <v>439</v>
          </cell>
          <cell r="H272">
            <v>0</v>
          </cell>
          <cell r="I272">
            <v>0</v>
          </cell>
          <cell r="J272">
            <v>0</v>
          </cell>
          <cell r="K272">
            <v>233586553</v>
          </cell>
          <cell r="L272">
            <v>0</v>
          </cell>
          <cell r="M272">
            <v>0</v>
          </cell>
          <cell r="N272">
            <v>0</v>
          </cell>
          <cell r="O272">
            <v>0</v>
          </cell>
          <cell r="S272">
            <v>0</v>
          </cell>
          <cell r="T272">
            <v>0</v>
          </cell>
          <cell r="U272">
            <v>0</v>
          </cell>
          <cell r="V272">
            <v>0</v>
          </cell>
          <cell r="W272">
            <v>0</v>
          </cell>
          <cell r="X272">
            <v>0</v>
          </cell>
          <cell r="AL272">
            <v>0</v>
          </cell>
          <cell r="AM272">
            <v>0</v>
          </cell>
          <cell r="AP272">
            <v>-16506.09</v>
          </cell>
          <cell r="AQ272">
            <v>-0.96</v>
          </cell>
          <cell r="AR272">
            <v>0</v>
          </cell>
          <cell r="AV272">
            <v>20172974.859999999</v>
          </cell>
          <cell r="AW272">
            <v>20172974.859999999</v>
          </cell>
          <cell r="AY272">
            <v>599035.05000000005</v>
          </cell>
          <cell r="AZ272">
            <v>920335.74</v>
          </cell>
          <cell r="BA272">
            <v>722199.72</v>
          </cell>
          <cell r="BC272">
            <v>0</v>
          </cell>
          <cell r="BD272">
            <v>22414545.370000001</v>
          </cell>
          <cell r="BG272">
            <v>6755323.1100000003</v>
          </cell>
          <cell r="BI272" t="str">
            <v>Actual</v>
          </cell>
        </row>
        <row r="273">
          <cell r="B273" t="str">
            <v>Jul 2014</v>
          </cell>
          <cell r="C273" t="str">
            <v>RS</v>
          </cell>
          <cell r="D273" t="str">
            <v>RS</v>
          </cell>
          <cell r="E273" t="str">
            <v>KURSE025</v>
          </cell>
          <cell r="F273">
            <v>244</v>
          </cell>
          <cell r="G273">
            <v>2</v>
          </cell>
          <cell r="H273">
            <v>0</v>
          </cell>
          <cell r="I273">
            <v>0</v>
          </cell>
          <cell r="J273">
            <v>0</v>
          </cell>
          <cell r="K273">
            <v>660157</v>
          </cell>
          <cell r="L273">
            <v>0</v>
          </cell>
          <cell r="M273">
            <v>0</v>
          </cell>
          <cell r="N273">
            <v>0</v>
          </cell>
          <cell r="O273">
            <v>0</v>
          </cell>
          <cell r="S273">
            <v>0</v>
          </cell>
          <cell r="T273">
            <v>0</v>
          </cell>
          <cell r="U273">
            <v>0</v>
          </cell>
          <cell r="V273">
            <v>0</v>
          </cell>
          <cell r="W273">
            <v>0</v>
          </cell>
          <cell r="X273">
            <v>0</v>
          </cell>
          <cell r="AL273">
            <v>0</v>
          </cell>
          <cell r="AM273">
            <v>0</v>
          </cell>
          <cell r="AP273">
            <v>7.52</v>
          </cell>
          <cell r="AQ273">
            <v>0.04</v>
          </cell>
          <cell r="AR273">
            <v>0</v>
          </cell>
          <cell r="AV273">
            <v>53774.619999999995</v>
          </cell>
          <cell r="AW273">
            <v>53774.62</v>
          </cell>
          <cell r="AY273">
            <v>1809.86</v>
          </cell>
          <cell r="AZ273">
            <v>2601.0100000000002</v>
          </cell>
          <cell r="BA273">
            <v>1922.91</v>
          </cell>
          <cell r="BC273">
            <v>0</v>
          </cell>
          <cell r="BD273">
            <v>60108.4</v>
          </cell>
          <cell r="BG273">
            <v>19091.740000000002</v>
          </cell>
          <cell r="BI273" t="str">
            <v>Actual</v>
          </cell>
        </row>
        <row r="274">
          <cell r="B274" t="str">
            <v>Jul 2014</v>
          </cell>
          <cell r="C274" t="str">
            <v>LEV</v>
          </cell>
          <cell r="D274" t="str">
            <v>RSLEV</v>
          </cell>
          <cell r="E274" t="str">
            <v>KURSE040</v>
          </cell>
          <cell r="F274">
            <v>6</v>
          </cell>
          <cell r="G274">
            <v>0</v>
          </cell>
          <cell r="H274">
            <v>4082</v>
          </cell>
          <cell r="I274">
            <v>1223</v>
          </cell>
          <cell r="J274">
            <v>872</v>
          </cell>
          <cell r="K274">
            <v>6177</v>
          </cell>
          <cell r="L274">
            <v>0</v>
          </cell>
          <cell r="M274">
            <v>0</v>
          </cell>
          <cell r="N274">
            <v>0</v>
          </cell>
          <cell r="O274">
            <v>0</v>
          </cell>
          <cell r="S274">
            <v>0</v>
          </cell>
          <cell r="T274">
            <v>0</v>
          </cell>
          <cell r="U274">
            <v>0</v>
          </cell>
          <cell r="V274">
            <v>0</v>
          </cell>
          <cell r="W274">
            <v>0</v>
          </cell>
          <cell r="X274">
            <v>0</v>
          </cell>
          <cell r="AL274">
            <v>0</v>
          </cell>
          <cell r="AM274">
            <v>0</v>
          </cell>
          <cell r="AP274">
            <v>-2.5099999999999998</v>
          </cell>
          <cell r="AQ274">
            <v>0.01</v>
          </cell>
          <cell r="AV274">
            <v>509.67000000000007</v>
          </cell>
          <cell r="AW274">
            <v>509.67</v>
          </cell>
          <cell r="AY274">
            <v>15.8</v>
          </cell>
          <cell r="AZ274">
            <v>24.33</v>
          </cell>
          <cell r="BA274">
            <v>18.309999999999999</v>
          </cell>
          <cell r="BC274">
            <v>0</v>
          </cell>
          <cell r="BD274">
            <v>568.11</v>
          </cell>
          <cell r="BG274">
            <v>178.64</v>
          </cell>
          <cell r="BI274" t="str">
            <v>Actual</v>
          </cell>
        </row>
        <row r="275">
          <cell r="B275" t="str">
            <v>Jul 2014</v>
          </cell>
          <cell r="C275" t="str">
            <v>RS</v>
          </cell>
          <cell r="D275" t="str">
            <v>RSVFD</v>
          </cell>
          <cell r="E275" t="str">
            <v>KURSE080</v>
          </cell>
          <cell r="F275">
            <v>50</v>
          </cell>
          <cell r="G275">
            <v>0</v>
          </cell>
          <cell r="H275">
            <v>0</v>
          </cell>
          <cell r="I275">
            <v>0</v>
          </cell>
          <cell r="J275">
            <v>0</v>
          </cell>
          <cell r="K275">
            <v>78022</v>
          </cell>
          <cell r="L275">
            <v>0</v>
          </cell>
          <cell r="M275">
            <v>0</v>
          </cell>
          <cell r="N275">
            <v>0</v>
          </cell>
          <cell r="O275">
            <v>0</v>
          </cell>
          <cell r="S275">
            <v>0</v>
          </cell>
          <cell r="T275">
            <v>0</v>
          </cell>
          <cell r="U275">
            <v>0</v>
          </cell>
          <cell r="V275">
            <v>0</v>
          </cell>
          <cell r="W275">
            <v>0</v>
          </cell>
          <cell r="X275">
            <v>0</v>
          </cell>
          <cell r="AL275">
            <v>0</v>
          </cell>
          <cell r="AM275">
            <v>0</v>
          </cell>
          <cell r="AP275">
            <v>0</v>
          </cell>
          <cell r="AQ275">
            <v>0.02</v>
          </cell>
          <cell r="AR275">
            <v>0</v>
          </cell>
          <cell r="AV275">
            <v>6579.5400000000009</v>
          </cell>
          <cell r="AW275">
            <v>6579.54</v>
          </cell>
          <cell r="AY275">
            <v>207.92</v>
          </cell>
          <cell r="AZ275">
            <v>307.39999999999998</v>
          </cell>
          <cell r="BA275">
            <v>235.21</v>
          </cell>
          <cell r="BC275">
            <v>0</v>
          </cell>
          <cell r="BD275">
            <v>7330.07</v>
          </cell>
          <cell r="BG275">
            <v>2256.4</v>
          </cell>
          <cell r="BI275" t="str">
            <v>Actual</v>
          </cell>
        </row>
        <row r="276">
          <cell r="B276" t="str">
            <v>Jul 2014</v>
          </cell>
          <cell r="C276" t="str">
            <v>RS</v>
          </cell>
          <cell r="D276" t="str">
            <v>RS</v>
          </cell>
          <cell r="E276" t="str">
            <v>KURSE715</v>
          </cell>
          <cell r="F276">
            <v>55</v>
          </cell>
          <cell r="G276">
            <v>1</v>
          </cell>
          <cell r="H276">
            <v>0</v>
          </cell>
          <cell r="I276">
            <v>0</v>
          </cell>
          <cell r="J276">
            <v>0</v>
          </cell>
          <cell r="K276">
            <v>49459</v>
          </cell>
          <cell r="L276">
            <v>0</v>
          </cell>
          <cell r="M276">
            <v>0</v>
          </cell>
          <cell r="N276">
            <v>0</v>
          </cell>
          <cell r="O276">
            <v>0</v>
          </cell>
          <cell r="S276">
            <v>0</v>
          </cell>
          <cell r="T276">
            <v>0</v>
          </cell>
          <cell r="U276">
            <v>0</v>
          </cell>
          <cell r="V276">
            <v>0</v>
          </cell>
          <cell r="W276">
            <v>0</v>
          </cell>
          <cell r="X276">
            <v>0</v>
          </cell>
          <cell r="AL276">
            <v>0</v>
          </cell>
          <cell r="AM276">
            <v>0</v>
          </cell>
          <cell r="AP276">
            <v>-16.57</v>
          </cell>
          <cell r="AQ276">
            <v>0.01</v>
          </cell>
          <cell r="AR276">
            <v>0</v>
          </cell>
          <cell r="AV276">
            <v>4415.5400000000009</v>
          </cell>
          <cell r="AW276">
            <v>4415.54</v>
          </cell>
          <cell r="AY276">
            <v>126.85</v>
          </cell>
          <cell r="AZ276">
            <v>194.91</v>
          </cell>
          <cell r="BA276">
            <v>157.74</v>
          </cell>
          <cell r="BC276">
            <v>0</v>
          </cell>
          <cell r="BD276">
            <v>4895.04</v>
          </cell>
          <cell r="BG276">
            <v>1430.35</v>
          </cell>
          <cell r="BI276" t="str">
            <v>Actual</v>
          </cell>
        </row>
        <row r="277">
          <cell r="B277" t="str">
            <v>Aug 2014</v>
          </cell>
          <cell r="C277" t="str">
            <v>RTS</v>
          </cell>
          <cell r="D277" t="str">
            <v>RTS</v>
          </cell>
          <cell r="E277" t="str">
            <v>KUCIE550</v>
          </cell>
          <cell r="F277">
            <v>32</v>
          </cell>
          <cell r="G277">
            <v>1</v>
          </cell>
          <cell r="H277">
            <v>0</v>
          </cell>
          <cell r="I277">
            <v>0</v>
          </cell>
          <cell r="J277">
            <v>0</v>
          </cell>
          <cell r="K277">
            <v>139895327</v>
          </cell>
          <cell r="L277">
            <v>0</v>
          </cell>
          <cell r="M277">
            <v>307153.40000000002</v>
          </cell>
          <cell r="N277">
            <v>300825.7</v>
          </cell>
          <cell r="O277">
            <v>298228.3</v>
          </cell>
          <cell r="S277">
            <v>3823.6</v>
          </cell>
          <cell r="T277">
            <v>1819.7</v>
          </cell>
          <cell r="U277">
            <v>1141.2</v>
          </cell>
          <cell r="V277">
            <v>0</v>
          </cell>
          <cell r="W277">
            <v>0</v>
          </cell>
          <cell r="X277">
            <v>0</v>
          </cell>
          <cell r="AL277">
            <v>0</v>
          </cell>
          <cell r="AM277">
            <v>0</v>
          </cell>
          <cell r="AP277">
            <v>0</v>
          </cell>
          <cell r="AQ277">
            <v>0</v>
          </cell>
          <cell r="AR277">
            <v>0.05</v>
          </cell>
          <cell r="AV277">
            <v>7582344.6299999999</v>
          </cell>
          <cell r="AW277">
            <v>7582344.6299999999</v>
          </cell>
          <cell r="AY277">
            <v>-107719.4</v>
          </cell>
          <cell r="AZ277">
            <v>0</v>
          </cell>
          <cell r="BA277">
            <v>197696.52</v>
          </cell>
          <cell r="BC277">
            <v>0</v>
          </cell>
          <cell r="BD277">
            <v>7672321.75</v>
          </cell>
          <cell r="BG277">
            <v>4045772.86</v>
          </cell>
          <cell r="BI277" t="str">
            <v>Actual</v>
          </cell>
        </row>
        <row r="278">
          <cell r="B278" t="str">
            <v>Aug 2014</v>
          </cell>
          <cell r="C278" t="str">
            <v>PSP</v>
          </cell>
          <cell r="D278" t="str">
            <v>PSP</v>
          </cell>
          <cell r="E278" t="str">
            <v>KUCIE561</v>
          </cell>
          <cell r="F278">
            <v>165</v>
          </cell>
          <cell r="G278">
            <v>1</v>
          </cell>
          <cell r="H278">
            <v>0</v>
          </cell>
          <cell r="I278">
            <v>0</v>
          </cell>
          <cell r="J278">
            <v>0</v>
          </cell>
          <cell r="K278">
            <v>4805788</v>
          </cell>
          <cell r="L278">
            <v>0</v>
          </cell>
          <cell r="M278">
            <v>0</v>
          </cell>
          <cell r="N278">
            <v>0</v>
          </cell>
          <cell r="O278">
            <v>14572.1</v>
          </cell>
          <cell r="S278">
            <v>0</v>
          </cell>
          <cell r="T278">
            <v>0</v>
          </cell>
          <cell r="U278">
            <v>1959.95</v>
          </cell>
          <cell r="V278">
            <v>0</v>
          </cell>
          <cell r="W278">
            <v>0</v>
          </cell>
          <cell r="X278">
            <v>0</v>
          </cell>
          <cell r="AL278">
            <v>0</v>
          </cell>
          <cell r="AM278">
            <v>0</v>
          </cell>
          <cell r="AP278">
            <v>-102</v>
          </cell>
          <cell r="AQ278">
            <v>-0.03</v>
          </cell>
          <cell r="AR278">
            <v>-399.75</v>
          </cell>
          <cell r="AV278">
            <v>451510.11999999994</v>
          </cell>
          <cell r="AW278">
            <v>451510.12</v>
          </cell>
          <cell r="AY278">
            <v>-3703.54</v>
          </cell>
          <cell r="AZ278">
            <v>5766.17</v>
          </cell>
          <cell r="BA278">
            <v>17799.88</v>
          </cell>
          <cell r="BC278">
            <v>0</v>
          </cell>
          <cell r="BD278">
            <v>471372.63</v>
          </cell>
          <cell r="BG278">
            <v>138983.39000000001</v>
          </cell>
          <cell r="BI278" t="str">
            <v>Actual</v>
          </cell>
        </row>
        <row r="279">
          <cell r="B279" t="str">
            <v>Aug 2014</v>
          </cell>
          <cell r="C279" t="str">
            <v>PSS</v>
          </cell>
          <cell r="D279" t="str">
            <v>PSS</v>
          </cell>
          <cell r="E279" t="str">
            <v>KUCIE562</v>
          </cell>
          <cell r="F279">
            <v>4740</v>
          </cell>
          <cell r="G279">
            <v>0</v>
          </cell>
          <cell r="H279">
            <v>0</v>
          </cell>
          <cell r="I279">
            <v>0</v>
          </cell>
          <cell r="J279">
            <v>0</v>
          </cell>
          <cell r="K279">
            <v>147959641</v>
          </cell>
          <cell r="L279">
            <v>0</v>
          </cell>
          <cell r="M279">
            <v>0</v>
          </cell>
          <cell r="N279">
            <v>0</v>
          </cell>
          <cell r="O279">
            <v>395154.4</v>
          </cell>
          <cell r="S279">
            <v>0</v>
          </cell>
          <cell r="T279">
            <v>0</v>
          </cell>
          <cell r="U279">
            <v>47372.82</v>
          </cell>
          <cell r="V279">
            <v>0</v>
          </cell>
          <cell r="W279">
            <v>0</v>
          </cell>
          <cell r="X279">
            <v>0</v>
          </cell>
          <cell r="AL279">
            <v>0</v>
          </cell>
          <cell r="AM279">
            <v>0</v>
          </cell>
          <cell r="AP279">
            <v>-238.96</v>
          </cell>
          <cell r="AQ279">
            <v>0.18</v>
          </cell>
          <cell r="AR279">
            <v>-28719.98</v>
          </cell>
          <cell r="AV279">
            <v>12441589.319999998</v>
          </cell>
          <cell r="AW279">
            <v>12441589.319999998</v>
          </cell>
          <cell r="AY279">
            <v>-90235.13</v>
          </cell>
          <cell r="AZ279">
            <v>193275.25</v>
          </cell>
          <cell r="BA279">
            <v>467908.76</v>
          </cell>
          <cell r="BC279">
            <v>0</v>
          </cell>
          <cell r="BD279">
            <v>13012538.199999999</v>
          </cell>
          <cell r="BG279">
            <v>4278992.82</v>
          </cell>
          <cell r="BI279" t="str">
            <v>Actual</v>
          </cell>
        </row>
        <row r="280">
          <cell r="B280" t="str">
            <v>Aug 2014</v>
          </cell>
          <cell r="C280" t="str">
            <v>TODP</v>
          </cell>
          <cell r="D280" t="str">
            <v>TODP</v>
          </cell>
          <cell r="E280" t="str">
            <v>KUCIE563</v>
          </cell>
          <cell r="F280">
            <v>52</v>
          </cell>
          <cell r="G280">
            <v>1</v>
          </cell>
          <cell r="H280">
            <v>0</v>
          </cell>
          <cell r="I280">
            <v>0</v>
          </cell>
          <cell r="J280">
            <v>0</v>
          </cell>
          <cell r="K280">
            <v>215552537</v>
          </cell>
          <cell r="M280">
            <v>441194.9</v>
          </cell>
          <cell r="N280">
            <v>437518.1</v>
          </cell>
          <cell r="O280">
            <v>430847.5</v>
          </cell>
          <cell r="S280">
            <v>10464.200000000001</v>
          </cell>
          <cell r="T280">
            <v>775</v>
          </cell>
          <cell r="U280">
            <v>1088</v>
          </cell>
          <cell r="V280">
            <v>0</v>
          </cell>
          <cell r="W280">
            <v>0</v>
          </cell>
          <cell r="X280">
            <v>0</v>
          </cell>
          <cell r="AL280">
            <v>0</v>
          </cell>
          <cell r="AM280">
            <v>0</v>
          </cell>
          <cell r="AP280">
            <v>0</v>
          </cell>
          <cell r="AQ280">
            <v>0.01</v>
          </cell>
          <cell r="AR280">
            <v>0.02</v>
          </cell>
          <cell r="AV280">
            <v>11953524.299999997</v>
          </cell>
          <cell r="AW280">
            <v>11953524.300000001</v>
          </cell>
          <cell r="AY280">
            <v>-31091.71</v>
          </cell>
          <cell r="AZ280">
            <v>66601.72</v>
          </cell>
          <cell r="BA280">
            <v>325695.09999999998</v>
          </cell>
          <cell r="BC280">
            <v>0</v>
          </cell>
          <cell r="BD280">
            <v>12314729.41</v>
          </cell>
          <cell r="BG280">
            <v>6233779.3700000001</v>
          </cell>
          <cell r="BI280" t="str">
            <v>Actual</v>
          </cell>
        </row>
        <row r="281">
          <cell r="B281" t="str">
            <v>Aug 2014</v>
          </cell>
          <cell r="C281" t="str">
            <v>PSP</v>
          </cell>
          <cell r="D281" t="str">
            <v>PSP</v>
          </cell>
          <cell r="E281" t="str">
            <v>KUCIE566</v>
          </cell>
          <cell r="F281">
            <v>63</v>
          </cell>
          <cell r="G281">
            <v>1</v>
          </cell>
          <cell r="H281">
            <v>0</v>
          </cell>
          <cell r="I281">
            <v>0</v>
          </cell>
          <cell r="J281">
            <v>0</v>
          </cell>
          <cell r="K281">
            <v>16436798</v>
          </cell>
          <cell r="L281">
            <v>0</v>
          </cell>
          <cell r="M281">
            <v>0</v>
          </cell>
          <cell r="N281">
            <v>0</v>
          </cell>
          <cell r="O281">
            <v>37546.5</v>
          </cell>
          <cell r="S281">
            <v>0</v>
          </cell>
          <cell r="T281">
            <v>0</v>
          </cell>
          <cell r="U281">
            <v>2329.4</v>
          </cell>
          <cell r="V281">
            <v>0</v>
          </cell>
          <cell r="W281">
            <v>0</v>
          </cell>
          <cell r="X281">
            <v>0</v>
          </cell>
          <cell r="AL281">
            <v>812.5</v>
          </cell>
          <cell r="AM281">
            <v>13051.85</v>
          </cell>
          <cell r="AP281">
            <v>107.67</v>
          </cell>
          <cell r="AQ281">
            <v>0</v>
          </cell>
          <cell r="AR281">
            <v>-318.39999999999998</v>
          </cell>
          <cell r="AV281">
            <v>1219316.1100000001</v>
          </cell>
          <cell r="AW281">
            <v>1219316.1099999999</v>
          </cell>
          <cell r="AY281">
            <v>-8088.71</v>
          </cell>
          <cell r="AZ281">
            <v>14968.85</v>
          </cell>
          <cell r="BA281">
            <v>42486.67</v>
          </cell>
          <cell r="BC281">
            <v>0</v>
          </cell>
          <cell r="BD281">
            <v>1268682.92</v>
          </cell>
          <cell r="BG281">
            <v>475352.2</v>
          </cell>
          <cell r="BI281" t="str">
            <v>Actual</v>
          </cell>
        </row>
        <row r="282">
          <cell r="B282" t="str">
            <v>Aug 2014</v>
          </cell>
          <cell r="C282" t="str">
            <v>PSS</v>
          </cell>
          <cell r="D282" t="str">
            <v>PSS</v>
          </cell>
          <cell r="E282" t="str">
            <v>KUCIE568</v>
          </cell>
          <cell r="F282">
            <v>361</v>
          </cell>
          <cell r="H282">
            <v>0</v>
          </cell>
          <cell r="I282">
            <v>0</v>
          </cell>
          <cell r="J282">
            <v>0</v>
          </cell>
          <cell r="K282">
            <v>50342019</v>
          </cell>
          <cell r="L282">
            <v>0</v>
          </cell>
          <cell r="M282">
            <v>0</v>
          </cell>
          <cell r="N282">
            <v>0</v>
          </cell>
          <cell r="O282">
            <v>129148.4</v>
          </cell>
          <cell r="S282">
            <v>0</v>
          </cell>
          <cell r="T282">
            <v>0</v>
          </cell>
          <cell r="U282">
            <v>5544.55</v>
          </cell>
          <cell r="V282">
            <v>0</v>
          </cell>
          <cell r="W282">
            <v>0</v>
          </cell>
          <cell r="X282">
            <v>0</v>
          </cell>
          <cell r="AL282">
            <v>335.25</v>
          </cell>
          <cell r="AM282">
            <v>75109.84</v>
          </cell>
          <cell r="AP282">
            <v>-292.64999999999998</v>
          </cell>
          <cell r="AQ282">
            <v>7.0000000000000007E-2</v>
          </cell>
          <cell r="AR282">
            <v>-31298.59</v>
          </cell>
          <cell r="AV282">
            <v>3931335.62</v>
          </cell>
          <cell r="AW282">
            <v>3931335.62</v>
          </cell>
          <cell r="AY282">
            <v>-31864.98</v>
          </cell>
          <cell r="AZ282">
            <v>45483.8</v>
          </cell>
          <cell r="BA282">
            <v>141129.24</v>
          </cell>
          <cell r="BC282">
            <v>0</v>
          </cell>
          <cell r="BD282">
            <v>4086083.68</v>
          </cell>
          <cell r="BG282">
            <v>1455891.19</v>
          </cell>
          <cell r="BI282" t="str">
            <v>Actual</v>
          </cell>
        </row>
        <row r="283">
          <cell r="B283" t="str">
            <v>Aug 2014</v>
          </cell>
          <cell r="C283" t="str">
            <v>TODP</v>
          </cell>
          <cell r="D283" t="str">
            <v>TODP</v>
          </cell>
          <cell r="E283" t="str">
            <v>KUCIE571</v>
          </cell>
          <cell r="F283">
            <v>165</v>
          </cell>
          <cell r="G283">
            <v>4</v>
          </cell>
          <cell r="H283">
            <v>0</v>
          </cell>
          <cell r="I283">
            <v>0</v>
          </cell>
          <cell r="J283">
            <v>0</v>
          </cell>
          <cell r="K283">
            <v>105815191</v>
          </cell>
          <cell r="L283">
            <v>0</v>
          </cell>
          <cell r="M283">
            <v>274905.09999999998</v>
          </cell>
          <cell r="N283">
            <v>271374.59999999998</v>
          </cell>
          <cell r="O283">
            <v>263105.90000000002</v>
          </cell>
          <cell r="S283">
            <v>6476.9</v>
          </cell>
          <cell r="T283">
            <v>1223.5</v>
          </cell>
          <cell r="U283">
            <v>2327.3000000000002</v>
          </cell>
          <cell r="V283">
            <v>0</v>
          </cell>
          <cell r="W283">
            <v>0</v>
          </cell>
          <cell r="X283">
            <v>0</v>
          </cell>
          <cell r="AL283">
            <v>8756.51</v>
          </cell>
          <cell r="AM283">
            <v>0</v>
          </cell>
          <cell r="AP283">
            <v>-1220</v>
          </cell>
          <cell r="AQ283">
            <v>0.04</v>
          </cell>
          <cell r="AR283">
            <v>-25641.86</v>
          </cell>
          <cell r="AV283">
            <v>6380816.04</v>
          </cell>
          <cell r="AW283">
            <v>6380816.04</v>
          </cell>
          <cell r="AY283">
            <v>-72549.38</v>
          </cell>
          <cell r="AZ283">
            <v>37418.129999999997</v>
          </cell>
          <cell r="BA283">
            <v>187387.91</v>
          </cell>
          <cell r="BC283">
            <v>0</v>
          </cell>
          <cell r="BD283">
            <v>6533072.7000000002</v>
          </cell>
          <cell r="BG283">
            <v>3060175.32</v>
          </cell>
          <cell r="BI283" t="str">
            <v>Actual</v>
          </cell>
        </row>
        <row r="284">
          <cell r="B284" t="str">
            <v>Aug 2014</v>
          </cell>
          <cell r="C284" t="str">
            <v>TODS</v>
          </cell>
          <cell r="D284" t="str">
            <v>TODS</v>
          </cell>
          <cell r="E284" t="str">
            <v>KUCIE572</v>
          </cell>
          <cell r="F284">
            <v>488</v>
          </cell>
          <cell r="G284">
            <v>5</v>
          </cell>
          <cell r="H284">
            <v>0</v>
          </cell>
          <cell r="I284">
            <v>0</v>
          </cell>
          <cell r="J284">
            <v>0</v>
          </cell>
          <cell r="K284">
            <v>117890588</v>
          </cell>
          <cell r="L284">
            <v>0</v>
          </cell>
          <cell r="M284">
            <v>267627</v>
          </cell>
          <cell r="N284">
            <v>263976.90000000002</v>
          </cell>
          <cell r="O284">
            <v>258901.8</v>
          </cell>
          <cell r="S284">
            <v>20993.1</v>
          </cell>
          <cell r="T284">
            <v>3061.75</v>
          </cell>
          <cell r="U284">
            <v>3323.25</v>
          </cell>
          <cell r="V284">
            <v>0</v>
          </cell>
          <cell r="W284">
            <v>0</v>
          </cell>
          <cell r="X284">
            <v>0</v>
          </cell>
          <cell r="AL284">
            <v>8065.22</v>
          </cell>
          <cell r="AM284">
            <v>119006.83</v>
          </cell>
          <cell r="AP284">
            <v>-526.30999999999995</v>
          </cell>
          <cell r="AQ284">
            <v>0.21</v>
          </cell>
          <cell r="AR284">
            <v>24633.67</v>
          </cell>
          <cell r="AV284">
            <v>7723484.2699999996</v>
          </cell>
          <cell r="AW284">
            <v>7723484.2699999996</v>
          </cell>
          <cell r="AY284">
            <v>-71551.86</v>
          </cell>
          <cell r="AZ284">
            <v>89636.18</v>
          </cell>
          <cell r="BA284">
            <v>246203.59</v>
          </cell>
          <cell r="BC284">
            <v>0</v>
          </cell>
          <cell r="BD284">
            <v>7987772.1799999997</v>
          </cell>
          <cell r="BG284">
            <v>3409395.8</v>
          </cell>
          <cell r="BI284" t="str">
            <v>Actual</v>
          </cell>
        </row>
        <row r="285">
          <cell r="B285" t="str">
            <v>Aug 2014</v>
          </cell>
          <cell r="C285" t="str">
            <v>PSS</v>
          </cell>
          <cell r="D285" t="str">
            <v>PSS</v>
          </cell>
          <cell r="E285" t="str">
            <v>KUCIE717</v>
          </cell>
          <cell r="F285">
            <v>1</v>
          </cell>
          <cell r="G285">
            <v>0</v>
          </cell>
          <cell r="H285">
            <v>0</v>
          </cell>
          <cell r="I285">
            <v>0</v>
          </cell>
          <cell r="J285">
            <v>0</v>
          </cell>
          <cell r="K285">
            <v>32640</v>
          </cell>
          <cell r="L285">
            <v>0</v>
          </cell>
          <cell r="M285">
            <v>0</v>
          </cell>
          <cell r="N285">
            <v>0</v>
          </cell>
          <cell r="O285">
            <v>102.9</v>
          </cell>
          <cell r="S285">
            <v>0</v>
          </cell>
          <cell r="T285">
            <v>0</v>
          </cell>
          <cell r="U285">
            <v>0</v>
          </cell>
          <cell r="V285">
            <v>0</v>
          </cell>
          <cell r="W285">
            <v>0</v>
          </cell>
          <cell r="X285">
            <v>0</v>
          </cell>
          <cell r="AL285">
            <v>0</v>
          </cell>
          <cell r="AM285">
            <v>0</v>
          </cell>
          <cell r="AP285">
            <v>0</v>
          </cell>
          <cell r="AQ285">
            <v>0</v>
          </cell>
          <cell r="AR285">
            <v>0</v>
          </cell>
          <cell r="AV285">
            <v>2827.66</v>
          </cell>
          <cell r="AW285">
            <v>2827.6600000000003</v>
          </cell>
          <cell r="AY285">
            <v>-25.13</v>
          </cell>
          <cell r="AZ285">
            <v>44.72</v>
          </cell>
          <cell r="BA285">
            <v>107.8</v>
          </cell>
          <cell r="BC285">
            <v>0</v>
          </cell>
          <cell r="BD285">
            <v>2955.05</v>
          </cell>
          <cell r="BG285">
            <v>943.95</v>
          </cell>
          <cell r="BI285" t="str">
            <v>Actual</v>
          </cell>
        </row>
        <row r="286">
          <cell r="B286" t="str">
            <v>Aug 2014</v>
          </cell>
          <cell r="C286" t="str">
            <v>GS</v>
          </cell>
          <cell r="D286" t="str">
            <v>GS</v>
          </cell>
          <cell r="E286" t="str">
            <v>KUCME110</v>
          </cell>
          <cell r="F286">
            <v>63575</v>
          </cell>
          <cell r="G286">
            <v>0</v>
          </cell>
          <cell r="H286">
            <v>0</v>
          </cell>
          <cell r="I286">
            <v>0</v>
          </cell>
          <cell r="J286">
            <v>0</v>
          </cell>
          <cell r="K286">
            <v>61131589</v>
          </cell>
          <cell r="L286">
            <v>0</v>
          </cell>
          <cell r="M286">
            <v>96000.7</v>
          </cell>
          <cell r="N286">
            <v>0</v>
          </cell>
          <cell r="O286">
            <v>0</v>
          </cell>
          <cell r="S286">
            <v>0</v>
          </cell>
          <cell r="T286">
            <v>0</v>
          </cell>
          <cell r="U286">
            <v>0</v>
          </cell>
          <cell r="V286">
            <v>0</v>
          </cell>
          <cell r="W286">
            <v>0</v>
          </cell>
          <cell r="X286">
            <v>0</v>
          </cell>
          <cell r="AL286">
            <v>0</v>
          </cell>
          <cell r="AM286">
            <v>0</v>
          </cell>
          <cell r="AP286">
            <v>12000.77</v>
          </cell>
          <cell r="AQ286">
            <v>437.54</v>
          </cell>
          <cell r="AR286">
            <v>0</v>
          </cell>
          <cell r="AV286">
            <v>6923327.3999999994</v>
          </cell>
          <cell r="AW286">
            <v>6923327.3999999994</v>
          </cell>
          <cell r="AY286">
            <v>-38085.67</v>
          </cell>
          <cell r="AZ286">
            <v>180885.51</v>
          </cell>
          <cell r="BA286">
            <v>298635.98</v>
          </cell>
          <cell r="BC286">
            <v>0</v>
          </cell>
          <cell r="BD286">
            <v>7364763.2199999997</v>
          </cell>
          <cell r="BG286">
            <v>1767925.55</v>
          </cell>
          <cell r="BI286" t="str">
            <v>Actual</v>
          </cell>
        </row>
        <row r="287">
          <cell r="B287" t="str">
            <v>Aug 2014</v>
          </cell>
          <cell r="C287" t="str">
            <v>GS</v>
          </cell>
          <cell r="D287" t="str">
            <v>GS</v>
          </cell>
          <cell r="E287" t="str">
            <v>KUCME112</v>
          </cell>
          <cell r="F287">
            <v>61</v>
          </cell>
          <cell r="G287">
            <v>0</v>
          </cell>
          <cell r="H287">
            <v>0</v>
          </cell>
          <cell r="I287">
            <v>0</v>
          </cell>
          <cell r="J287">
            <v>0</v>
          </cell>
          <cell r="K287">
            <v>10785</v>
          </cell>
          <cell r="L287">
            <v>0</v>
          </cell>
          <cell r="M287">
            <v>0</v>
          </cell>
          <cell r="N287">
            <v>0</v>
          </cell>
          <cell r="O287">
            <v>0</v>
          </cell>
          <cell r="S287">
            <v>0</v>
          </cell>
          <cell r="T287">
            <v>0</v>
          </cell>
          <cell r="U287">
            <v>0</v>
          </cell>
          <cell r="V287">
            <v>0</v>
          </cell>
          <cell r="W287">
            <v>0</v>
          </cell>
          <cell r="X287">
            <v>0</v>
          </cell>
          <cell r="AL287">
            <v>0</v>
          </cell>
          <cell r="AM287">
            <v>0</v>
          </cell>
          <cell r="AP287">
            <v>0</v>
          </cell>
          <cell r="AQ287">
            <v>0.02</v>
          </cell>
          <cell r="AR287">
            <v>0</v>
          </cell>
          <cell r="AV287">
            <v>2214.94</v>
          </cell>
          <cell r="AW287">
            <v>2214.94</v>
          </cell>
          <cell r="AY287">
            <v>-2.95</v>
          </cell>
          <cell r="AZ287">
            <v>32.39</v>
          </cell>
          <cell r="BA287">
            <v>108.65</v>
          </cell>
          <cell r="BC287">
            <v>0</v>
          </cell>
          <cell r="BD287">
            <v>2353.0300000000002</v>
          </cell>
          <cell r="BG287">
            <v>311.89999999999998</v>
          </cell>
          <cell r="BI287" t="str">
            <v>Actual</v>
          </cell>
        </row>
        <row r="288">
          <cell r="B288" t="str">
            <v>Aug 2014</v>
          </cell>
          <cell r="C288" t="str">
            <v>GS3</v>
          </cell>
          <cell r="D288" t="str">
            <v>GS3</v>
          </cell>
          <cell r="E288" t="str">
            <v>KUCME113</v>
          </cell>
          <cell r="F288">
            <v>18493</v>
          </cell>
          <cell r="G288">
            <v>0</v>
          </cell>
          <cell r="H288">
            <v>0</v>
          </cell>
          <cell r="I288">
            <v>0</v>
          </cell>
          <cell r="J288">
            <v>0</v>
          </cell>
          <cell r="K288">
            <v>90576183</v>
          </cell>
          <cell r="L288">
            <v>0</v>
          </cell>
          <cell r="M288">
            <v>370106.2</v>
          </cell>
          <cell r="N288">
            <v>0</v>
          </cell>
          <cell r="O288">
            <v>0</v>
          </cell>
          <cell r="S288">
            <v>0</v>
          </cell>
          <cell r="T288">
            <v>0</v>
          </cell>
          <cell r="U288">
            <v>0</v>
          </cell>
          <cell r="V288">
            <v>0</v>
          </cell>
          <cell r="W288">
            <v>0</v>
          </cell>
          <cell r="X288">
            <v>0</v>
          </cell>
          <cell r="AL288">
            <v>0</v>
          </cell>
          <cell r="AM288">
            <v>0</v>
          </cell>
          <cell r="AP288">
            <v>-5912.4</v>
          </cell>
          <cell r="AQ288">
            <v>9.8800000000000008</v>
          </cell>
          <cell r="AR288">
            <v>0</v>
          </cell>
          <cell r="AV288">
            <v>8997005.3599999994</v>
          </cell>
          <cell r="AW288">
            <v>8997005.3600000013</v>
          </cell>
          <cell r="AY288">
            <v>-61393.760000000002</v>
          </cell>
          <cell r="AZ288">
            <v>252737.54</v>
          </cell>
          <cell r="BA288">
            <v>371196.09</v>
          </cell>
          <cell r="BC288">
            <v>0</v>
          </cell>
          <cell r="BD288">
            <v>9559545.2300000004</v>
          </cell>
          <cell r="BG288">
            <v>2619463.21</v>
          </cell>
          <cell r="BI288" t="str">
            <v>Actual</v>
          </cell>
        </row>
        <row r="289">
          <cell r="B289" t="str">
            <v>Aug 2014</v>
          </cell>
          <cell r="C289" t="str">
            <v>AES</v>
          </cell>
          <cell r="D289" t="str">
            <v>AES</v>
          </cell>
          <cell r="E289" t="str">
            <v>KUCME220</v>
          </cell>
          <cell r="F289">
            <v>326</v>
          </cell>
          <cell r="G289">
            <v>2</v>
          </cell>
          <cell r="H289">
            <v>0</v>
          </cell>
          <cell r="I289">
            <v>0</v>
          </cell>
          <cell r="J289">
            <v>0</v>
          </cell>
          <cell r="K289">
            <v>361884</v>
          </cell>
          <cell r="L289">
            <v>0</v>
          </cell>
          <cell r="M289">
            <v>1617.4</v>
          </cell>
          <cell r="N289">
            <v>0</v>
          </cell>
          <cell r="O289">
            <v>0</v>
          </cell>
          <cell r="S289">
            <v>0</v>
          </cell>
          <cell r="T289">
            <v>0</v>
          </cell>
          <cell r="U289">
            <v>0</v>
          </cell>
          <cell r="V289">
            <v>0</v>
          </cell>
          <cell r="W289">
            <v>0</v>
          </cell>
          <cell r="X289">
            <v>0</v>
          </cell>
          <cell r="AL289">
            <v>0</v>
          </cell>
          <cell r="AM289">
            <v>0</v>
          </cell>
          <cell r="AP289">
            <v>-40</v>
          </cell>
          <cell r="AQ289">
            <v>-0.11</v>
          </cell>
          <cell r="AR289">
            <v>0</v>
          </cell>
          <cell r="AV289">
            <v>33444.06</v>
          </cell>
          <cell r="AW289">
            <v>33444.060000000005</v>
          </cell>
          <cell r="AY289">
            <v>-37.54</v>
          </cell>
          <cell r="AZ289">
            <v>445.1</v>
          </cell>
          <cell r="BA289">
            <v>1094.43</v>
          </cell>
          <cell r="BC289">
            <v>0</v>
          </cell>
          <cell r="BD289">
            <v>34946.050000000003</v>
          </cell>
          <cell r="BG289">
            <v>10465.69</v>
          </cell>
          <cell r="BI289" t="str">
            <v>Actual</v>
          </cell>
        </row>
        <row r="290">
          <cell r="B290" t="str">
            <v>Aug 2014</v>
          </cell>
          <cell r="C290" t="str">
            <v>AES</v>
          </cell>
          <cell r="D290" t="str">
            <v>AES</v>
          </cell>
          <cell r="E290" t="str">
            <v>KUCME221</v>
          </cell>
          <cell r="F290">
            <v>6</v>
          </cell>
          <cell r="G290">
            <v>0</v>
          </cell>
          <cell r="H290">
            <v>0</v>
          </cell>
          <cell r="I290">
            <v>0</v>
          </cell>
          <cell r="J290">
            <v>0</v>
          </cell>
          <cell r="K290">
            <v>2100</v>
          </cell>
          <cell r="L290">
            <v>0</v>
          </cell>
          <cell r="M290">
            <v>225.3</v>
          </cell>
          <cell r="N290">
            <v>0</v>
          </cell>
          <cell r="O290">
            <v>0</v>
          </cell>
          <cell r="S290">
            <v>0</v>
          </cell>
          <cell r="T290">
            <v>0</v>
          </cell>
          <cell r="U290">
            <v>0</v>
          </cell>
          <cell r="V290">
            <v>0</v>
          </cell>
          <cell r="W290">
            <v>0</v>
          </cell>
          <cell r="X290">
            <v>0</v>
          </cell>
          <cell r="AL290">
            <v>0</v>
          </cell>
          <cell r="AM290">
            <v>0</v>
          </cell>
          <cell r="AP290">
            <v>0</v>
          </cell>
          <cell r="AQ290">
            <v>0</v>
          </cell>
          <cell r="AR290">
            <v>0</v>
          </cell>
          <cell r="AV290">
            <v>276.24</v>
          </cell>
          <cell r="AW290">
            <v>276.24</v>
          </cell>
          <cell r="AY290">
            <v>-1.62</v>
          </cell>
          <cell r="AZ290">
            <v>2.58</v>
          </cell>
          <cell r="BA290">
            <v>8.9</v>
          </cell>
          <cell r="BC290">
            <v>0</v>
          </cell>
          <cell r="BD290">
            <v>286.10000000000002</v>
          </cell>
          <cell r="BG290">
            <v>60.73</v>
          </cell>
          <cell r="BI290" t="str">
            <v>Actual</v>
          </cell>
        </row>
        <row r="291">
          <cell r="B291" t="str">
            <v>Aug 2014</v>
          </cell>
          <cell r="C291" t="str">
            <v>AES3</v>
          </cell>
          <cell r="D291" t="str">
            <v>AES3</v>
          </cell>
          <cell r="E291" t="str">
            <v>KUCME223</v>
          </cell>
          <cell r="F291">
            <v>67</v>
          </cell>
          <cell r="G291">
            <v>0</v>
          </cell>
          <cell r="H291">
            <v>0</v>
          </cell>
          <cell r="I291">
            <v>0</v>
          </cell>
          <cell r="J291">
            <v>0</v>
          </cell>
          <cell r="K291">
            <v>298495</v>
          </cell>
          <cell r="L291">
            <v>0</v>
          </cell>
          <cell r="M291">
            <v>1970.8</v>
          </cell>
          <cell r="N291">
            <v>0</v>
          </cell>
          <cell r="O291">
            <v>0</v>
          </cell>
          <cell r="S291">
            <v>0</v>
          </cell>
          <cell r="T291">
            <v>0</v>
          </cell>
          <cell r="U291">
            <v>0</v>
          </cell>
          <cell r="V291">
            <v>0</v>
          </cell>
          <cell r="W291">
            <v>0</v>
          </cell>
          <cell r="X291">
            <v>0</v>
          </cell>
          <cell r="AL291">
            <v>0</v>
          </cell>
          <cell r="AM291">
            <v>0</v>
          </cell>
          <cell r="AP291">
            <v>0.01</v>
          </cell>
          <cell r="AQ291">
            <v>0.03</v>
          </cell>
          <cell r="AR291">
            <v>0</v>
          </cell>
          <cell r="AV291">
            <v>24553.069999999996</v>
          </cell>
          <cell r="AW291">
            <v>24553.07</v>
          </cell>
          <cell r="AY291">
            <v>-183.59</v>
          </cell>
          <cell r="AZ291">
            <v>367.2</v>
          </cell>
          <cell r="BA291">
            <v>795.64</v>
          </cell>
          <cell r="BC291">
            <v>0</v>
          </cell>
          <cell r="BD291">
            <v>25532.32</v>
          </cell>
          <cell r="BG291">
            <v>8632.48</v>
          </cell>
          <cell r="BI291" t="str">
            <v>Actual</v>
          </cell>
        </row>
        <row r="292">
          <cell r="B292" t="str">
            <v>Aug 2014</v>
          </cell>
          <cell r="C292" t="str">
            <v>AES3</v>
          </cell>
          <cell r="D292" t="str">
            <v>AES3</v>
          </cell>
          <cell r="E292" t="str">
            <v>KUCME224</v>
          </cell>
          <cell r="F292">
            <v>4</v>
          </cell>
          <cell r="G292">
            <v>0</v>
          </cell>
          <cell r="H292">
            <v>0</v>
          </cell>
          <cell r="I292">
            <v>0</v>
          </cell>
          <cell r="J292">
            <v>0</v>
          </cell>
          <cell r="K292">
            <v>201220</v>
          </cell>
          <cell r="L292">
            <v>0</v>
          </cell>
          <cell r="M292">
            <v>696.1</v>
          </cell>
          <cell r="N292">
            <v>0</v>
          </cell>
          <cell r="O292">
            <v>0</v>
          </cell>
          <cell r="S292">
            <v>0</v>
          </cell>
          <cell r="T292">
            <v>0</v>
          </cell>
          <cell r="U292">
            <v>0</v>
          </cell>
          <cell r="V292">
            <v>0</v>
          </cell>
          <cell r="W292">
            <v>0</v>
          </cell>
          <cell r="X292">
            <v>0</v>
          </cell>
          <cell r="AL292">
            <v>0</v>
          </cell>
          <cell r="AM292">
            <v>0</v>
          </cell>
          <cell r="AP292">
            <v>0</v>
          </cell>
          <cell r="AQ292">
            <v>0</v>
          </cell>
          <cell r="AR292">
            <v>0</v>
          </cell>
          <cell r="AV292">
            <v>15110.77</v>
          </cell>
          <cell r="AW292">
            <v>15110.769999999999</v>
          </cell>
          <cell r="AY292">
            <v>83.82</v>
          </cell>
          <cell r="AZ292">
            <v>247.5</v>
          </cell>
          <cell r="BA292">
            <v>502.46</v>
          </cell>
          <cell r="BC292">
            <v>0</v>
          </cell>
          <cell r="BD292">
            <v>15944.55</v>
          </cell>
          <cell r="BG292">
            <v>5819.28</v>
          </cell>
          <cell r="BI292" t="str">
            <v>Actual</v>
          </cell>
        </row>
        <row r="293">
          <cell r="B293" t="str">
            <v>Aug 2014</v>
          </cell>
          <cell r="C293" t="str">
            <v>AES3</v>
          </cell>
          <cell r="D293" t="str">
            <v>AES3</v>
          </cell>
          <cell r="E293" t="str">
            <v>KUCME225</v>
          </cell>
          <cell r="F293">
            <v>96</v>
          </cell>
          <cell r="G293">
            <v>2</v>
          </cell>
          <cell r="H293">
            <v>0</v>
          </cell>
          <cell r="I293">
            <v>0</v>
          </cell>
          <cell r="J293">
            <v>0</v>
          </cell>
          <cell r="K293">
            <v>1887520</v>
          </cell>
          <cell r="L293">
            <v>0</v>
          </cell>
          <cell r="M293">
            <v>8545.7000000000007</v>
          </cell>
          <cell r="N293">
            <v>0</v>
          </cell>
          <cell r="O293">
            <v>0</v>
          </cell>
          <cell r="S293">
            <v>0</v>
          </cell>
          <cell r="T293">
            <v>0</v>
          </cell>
          <cell r="U293">
            <v>0</v>
          </cell>
          <cell r="V293">
            <v>0</v>
          </cell>
          <cell r="W293">
            <v>0</v>
          </cell>
          <cell r="X293">
            <v>0</v>
          </cell>
          <cell r="AL293">
            <v>0</v>
          </cell>
          <cell r="AM293">
            <v>0</v>
          </cell>
          <cell r="AP293">
            <v>-69.98</v>
          </cell>
          <cell r="AQ293">
            <v>-0.01</v>
          </cell>
          <cell r="AR293">
            <v>0</v>
          </cell>
          <cell r="AV293">
            <v>143791.49999999997</v>
          </cell>
          <cell r="AW293">
            <v>143791.5</v>
          </cell>
          <cell r="AY293">
            <v>-475.05</v>
          </cell>
          <cell r="AZ293">
            <v>2321.66</v>
          </cell>
          <cell r="BA293">
            <v>4703.84</v>
          </cell>
          <cell r="BC293">
            <v>0</v>
          </cell>
          <cell r="BD293">
            <v>150341.95000000001</v>
          </cell>
          <cell r="BG293">
            <v>54587.08</v>
          </cell>
          <cell r="BI293" t="str">
            <v>Actual</v>
          </cell>
        </row>
        <row r="294">
          <cell r="B294" t="str">
            <v>Aug 2014</v>
          </cell>
          <cell r="C294" t="str">
            <v>AES</v>
          </cell>
          <cell r="D294" t="str">
            <v>AES</v>
          </cell>
          <cell r="E294" t="str">
            <v>KUCME226</v>
          </cell>
          <cell r="F294">
            <v>19</v>
          </cell>
          <cell r="G294">
            <v>0</v>
          </cell>
          <cell r="H294">
            <v>0</v>
          </cell>
          <cell r="I294">
            <v>0</v>
          </cell>
          <cell r="J294">
            <v>0</v>
          </cell>
          <cell r="K294">
            <v>33989</v>
          </cell>
          <cell r="L294">
            <v>0</v>
          </cell>
          <cell r="M294">
            <v>896.2</v>
          </cell>
          <cell r="N294">
            <v>0</v>
          </cell>
          <cell r="O294">
            <v>0</v>
          </cell>
          <cell r="S294">
            <v>0</v>
          </cell>
          <cell r="T294">
            <v>0</v>
          </cell>
          <cell r="U294">
            <v>0</v>
          </cell>
          <cell r="V294">
            <v>0</v>
          </cell>
          <cell r="W294">
            <v>0</v>
          </cell>
          <cell r="X294">
            <v>0</v>
          </cell>
          <cell r="AL294">
            <v>0</v>
          </cell>
          <cell r="AM294">
            <v>0</v>
          </cell>
          <cell r="AP294">
            <v>0</v>
          </cell>
          <cell r="AQ294">
            <v>-0.01</v>
          </cell>
          <cell r="AR294">
            <v>0</v>
          </cell>
          <cell r="AV294">
            <v>2908.77</v>
          </cell>
          <cell r="AW294">
            <v>2908.77</v>
          </cell>
          <cell r="AY294">
            <v>16.04</v>
          </cell>
          <cell r="AZ294">
            <v>41.81</v>
          </cell>
          <cell r="BA294">
            <v>96.57</v>
          </cell>
          <cell r="BC294">
            <v>0</v>
          </cell>
          <cell r="BD294">
            <v>3063.19</v>
          </cell>
          <cell r="BG294">
            <v>982.96</v>
          </cell>
          <cell r="BI294" t="str">
            <v>Actual</v>
          </cell>
        </row>
        <row r="295">
          <cell r="B295" t="str">
            <v>Aug 2014</v>
          </cell>
          <cell r="C295" t="str">
            <v>AES3</v>
          </cell>
          <cell r="D295" t="str">
            <v>AES3</v>
          </cell>
          <cell r="E295" t="str">
            <v>KUCME227</v>
          </cell>
          <cell r="F295">
            <v>99</v>
          </cell>
          <cell r="G295">
            <v>0</v>
          </cell>
          <cell r="H295">
            <v>0</v>
          </cell>
          <cell r="I295">
            <v>0</v>
          </cell>
          <cell r="J295">
            <v>0</v>
          </cell>
          <cell r="K295">
            <v>6945036</v>
          </cell>
          <cell r="L295">
            <v>0</v>
          </cell>
          <cell r="M295">
            <v>26171.599999999999</v>
          </cell>
          <cell r="N295">
            <v>0</v>
          </cell>
          <cell r="O295">
            <v>0</v>
          </cell>
          <cell r="S295">
            <v>0</v>
          </cell>
          <cell r="T295">
            <v>0</v>
          </cell>
          <cell r="U295">
            <v>0</v>
          </cell>
          <cell r="V295">
            <v>0</v>
          </cell>
          <cell r="W295">
            <v>0</v>
          </cell>
          <cell r="X295">
            <v>0</v>
          </cell>
          <cell r="AL295">
            <v>0</v>
          </cell>
          <cell r="AM295">
            <v>0</v>
          </cell>
          <cell r="AP295">
            <v>0.02</v>
          </cell>
          <cell r="AQ295">
            <v>0</v>
          </cell>
          <cell r="AR295">
            <v>0</v>
          </cell>
          <cell r="AV295">
            <v>520175.7</v>
          </cell>
          <cell r="AW295">
            <v>520175.7</v>
          </cell>
          <cell r="AY295">
            <v>-316.44</v>
          </cell>
          <cell r="AZ295">
            <v>8542.42</v>
          </cell>
          <cell r="BA295">
            <v>17104.36</v>
          </cell>
          <cell r="BC295">
            <v>0</v>
          </cell>
          <cell r="BD295">
            <v>545506.04</v>
          </cell>
          <cell r="BG295">
            <v>200850.44</v>
          </cell>
          <cell r="BI295" t="str">
            <v>Actual</v>
          </cell>
        </row>
        <row r="296">
          <cell r="B296" t="str">
            <v>Aug 2014</v>
          </cell>
          <cell r="C296" t="str">
            <v>LE</v>
          </cell>
          <cell r="D296" t="str">
            <v>LE</v>
          </cell>
          <cell r="E296" t="str">
            <v>KUCME290</v>
          </cell>
          <cell r="F296">
            <v>1</v>
          </cell>
          <cell r="G296">
            <v>0</v>
          </cell>
          <cell r="H296">
            <v>0</v>
          </cell>
          <cell r="I296">
            <v>0</v>
          </cell>
          <cell r="J296">
            <v>0</v>
          </cell>
          <cell r="K296">
            <v>10593</v>
          </cell>
          <cell r="L296">
            <v>0</v>
          </cell>
          <cell r="M296">
            <v>40.9</v>
          </cell>
          <cell r="N296">
            <v>0</v>
          </cell>
          <cell r="O296">
            <v>0</v>
          </cell>
          <cell r="S296">
            <v>0</v>
          </cell>
          <cell r="T296">
            <v>0</v>
          </cell>
          <cell r="U296">
            <v>0</v>
          </cell>
          <cell r="V296">
            <v>0</v>
          </cell>
          <cell r="W296">
            <v>0</v>
          </cell>
          <cell r="X296">
            <v>0</v>
          </cell>
          <cell r="AL296">
            <v>0</v>
          </cell>
          <cell r="AM296">
            <v>0</v>
          </cell>
          <cell r="AP296">
            <v>0</v>
          </cell>
          <cell r="AQ296">
            <v>0</v>
          </cell>
          <cell r="AR296">
            <v>0</v>
          </cell>
          <cell r="AV296">
            <v>675.83</v>
          </cell>
          <cell r="AW296">
            <v>675.83</v>
          </cell>
          <cell r="AY296">
            <v>-8.16</v>
          </cell>
          <cell r="AZ296">
            <v>0</v>
          </cell>
          <cell r="BA296">
            <v>21.43</v>
          </cell>
          <cell r="BC296">
            <v>0</v>
          </cell>
          <cell r="BD296">
            <v>689.1</v>
          </cell>
          <cell r="BG296">
            <v>306.35000000000002</v>
          </cell>
          <cell r="BI296" t="str">
            <v>Actual</v>
          </cell>
        </row>
        <row r="297">
          <cell r="B297" t="str">
            <v>Aug 2014</v>
          </cell>
          <cell r="C297" t="str">
            <v>LE</v>
          </cell>
          <cell r="D297" t="str">
            <v>LE</v>
          </cell>
          <cell r="E297" t="str">
            <v>KUCME291</v>
          </cell>
          <cell r="F297">
            <v>1</v>
          </cell>
          <cell r="G297">
            <v>0</v>
          </cell>
          <cell r="H297">
            <v>0</v>
          </cell>
          <cell r="I297">
            <v>0</v>
          </cell>
          <cell r="J297">
            <v>0</v>
          </cell>
          <cell r="K297">
            <v>2792</v>
          </cell>
          <cell r="L297">
            <v>0</v>
          </cell>
          <cell r="M297">
            <v>0</v>
          </cell>
          <cell r="N297">
            <v>0</v>
          </cell>
          <cell r="O297">
            <v>0</v>
          </cell>
          <cell r="S297">
            <v>0</v>
          </cell>
          <cell r="T297">
            <v>0</v>
          </cell>
          <cell r="U297">
            <v>0</v>
          </cell>
          <cell r="V297">
            <v>0</v>
          </cell>
          <cell r="W297">
            <v>0</v>
          </cell>
          <cell r="X297">
            <v>0</v>
          </cell>
          <cell r="AL297">
            <v>0</v>
          </cell>
          <cell r="AM297">
            <v>0</v>
          </cell>
          <cell r="AP297">
            <v>0</v>
          </cell>
          <cell r="AQ297">
            <v>0</v>
          </cell>
          <cell r="AR297">
            <v>0</v>
          </cell>
          <cell r="AV297">
            <v>178.13</v>
          </cell>
          <cell r="AW297">
            <v>178.13</v>
          </cell>
          <cell r="AY297">
            <v>7.15</v>
          </cell>
          <cell r="AZ297">
            <v>0</v>
          </cell>
          <cell r="BA297">
            <v>6.17</v>
          </cell>
          <cell r="BC297">
            <v>0</v>
          </cell>
          <cell r="BD297">
            <v>191.45</v>
          </cell>
          <cell r="BG297">
            <v>80.739999999999995</v>
          </cell>
          <cell r="BI297" t="str">
            <v>Actual</v>
          </cell>
        </row>
        <row r="298">
          <cell r="B298" t="str">
            <v>Aug 2014</v>
          </cell>
          <cell r="C298" t="str">
            <v>TE</v>
          </cell>
          <cell r="D298" t="str">
            <v>TE</v>
          </cell>
          <cell r="E298" t="str">
            <v>KUCME295</v>
          </cell>
          <cell r="F298">
            <v>479</v>
          </cell>
          <cell r="G298">
            <v>2</v>
          </cell>
          <cell r="H298">
            <v>0</v>
          </cell>
          <cell r="I298">
            <v>0</v>
          </cell>
          <cell r="J298">
            <v>0</v>
          </cell>
          <cell r="K298">
            <v>100946</v>
          </cell>
          <cell r="L298">
            <v>0</v>
          </cell>
          <cell r="M298">
            <v>51.8</v>
          </cell>
          <cell r="N298">
            <v>0</v>
          </cell>
          <cell r="O298">
            <v>0</v>
          </cell>
          <cell r="S298">
            <v>0</v>
          </cell>
          <cell r="T298">
            <v>0</v>
          </cell>
          <cell r="U298">
            <v>0</v>
          </cell>
          <cell r="V298">
            <v>0</v>
          </cell>
          <cell r="W298">
            <v>0</v>
          </cell>
          <cell r="X298">
            <v>0</v>
          </cell>
          <cell r="AL298">
            <v>0</v>
          </cell>
          <cell r="AM298">
            <v>0</v>
          </cell>
          <cell r="AP298">
            <v>-6.71</v>
          </cell>
          <cell r="AQ298">
            <v>0.04</v>
          </cell>
          <cell r="AR298">
            <v>0</v>
          </cell>
          <cell r="AV298">
            <v>9610.0500000000029</v>
          </cell>
          <cell r="AW298">
            <v>9610.0499999999993</v>
          </cell>
          <cell r="AY298">
            <v>102.92</v>
          </cell>
          <cell r="AZ298">
            <v>0</v>
          </cell>
          <cell r="BA298">
            <v>318.29000000000002</v>
          </cell>
          <cell r="BC298">
            <v>0</v>
          </cell>
          <cell r="BD298">
            <v>10031.26</v>
          </cell>
          <cell r="BG298">
            <v>2919.36</v>
          </cell>
          <cell r="BI298" t="str">
            <v>Actual</v>
          </cell>
        </row>
        <row r="299">
          <cell r="B299" t="str">
            <v>Aug 2014</v>
          </cell>
          <cell r="C299" t="str">
            <v>TE</v>
          </cell>
          <cell r="D299" t="str">
            <v>TE</v>
          </cell>
          <cell r="E299" t="str">
            <v>KUCME297</v>
          </cell>
          <cell r="F299">
            <v>272</v>
          </cell>
          <cell r="G299">
            <v>0</v>
          </cell>
          <cell r="H299">
            <v>0</v>
          </cell>
          <cell r="I299">
            <v>0</v>
          </cell>
          <cell r="J299">
            <v>0</v>
          </cell>
          <cell r="K299">
            <v>14416</v>
          </cell>
          <cell r="L299">
            <v>0</v>
          </cell>
          <cell r="M299">
            <v>0</v>
          </cell>
          <cell r="N299">
            <v>0</v>
          </cell>
          <cell r="O299">
            <v>0</v>
          </cell>
          <cell r="S299">
            <v>0</v>
          </cell>
          <cell r="T299">
            <v>0</v>
          </cell>
          <cell r="U299">
            <v>0</v>
          </cell>
          <cell r="V299">
            <v>0</v>
          </cell>
          <cell r="W299">
            <v>0</v>
          </cell>
          <cell r="X299">
            <v>0</v>
          </cell>
          <cell r="AL299">
            <v>0</v>
          </cell>
          <cell r="AM299">
            <v>0</v>
          </cell>
          <cell r="AP299">
            <v>0</v>
          </cell>
          <cell r="AQ299">
            <v>0.45</v>
          </cell>
          <cell r="AR299">
            <v>0</v>
          </cell>
          <cell r="AV299">
            <v>2034.56</v>
          </cell>
          <cell r="AW299">
            <v>2034.56</v>
          </cell>
          <cell r="AY299">
            <v>-10.88</v>
          </cell>
          <cell r="AZ299">
            <v>0</v>
          </cell>
          <cell r="BA299">
            <v>65.28</v>
          </cell>
          <cell r="BC299">
            <v>0</v>
          </cell>
          <cell r="BD299">
            <v>2088.96</v>
          </cell>
          <cell r="BG299">
            <v>416.91</v>
          </cell>
          <cell r="BI299" t="str">
            <v>Actual</v>
          </cell>
        </row>
        <row r="300">
          <cell r="B300" t="str">
            <v>Aug 2014</v>
          </cell>
          <cell r="C300" t="str">
            <v>SQF</v>
          </cell>
          <cell r="D300" t="str">
            <v>SQF</v>
          </cell>
          <cell r="E300" t="str">
            <v>KUCME705</v>
          </cell>
          <cell r="F300">
            <v>0</v>
          </cell>
          <cell r="G300">
            <v>0</v>
          </cell>
          <cell r="H300">
            <v>0</v>
          </cell>
          <cell r="I300">
            <v>0</v>
          </cell>
          <cell r="J300">
            <v>0</v>
          </cell>
          <cell r="K300">
            <v>0</v>
          </cell>
          <cell r="L300">
            <v>0</v>
          </cell>
          <cell r="M300">
            <v>0</v>
          </cell>
          <cell r="N300">
            <v>0</v>
          </cell>
          <cell r="O300">
            <v>0</v>
          </cell>
          <cell r="S300">
            <v>0</v>
          </cell>
          <cell r="T300">
            <v>0</v>
          </cell>
          <cell r="U300">
            <v>0</v>
          </cell>
          <cell r="V300">
            <v>0</v>
          </cell>
          <cell r="W300">
            <v>0</v>
          </cell>
          <cell r="X300">
            <v>0</v>
          </cell>
          <cell r="AL300">
            <v>0</v>
          </cell>
          <cell r="AM300">
            <v>0</v>
          </cell>
          <cell r="AP300">
            <v>0</v>
          </cell>
          <cell r="AQ300">
            <v>0</v>
          </cell>
          <cell r="AR300">
            <v>0</v>
          </cell>
          <cell r="AV300">
            <v>0</v>
          </cell>
          <cell r="AW300">
            <v>0</v>
          </cell>
          <cell r="AY300">
            <v>0</v>
          </cell>
          <cell r="AZ300">
            <v>0</v>
          </cell>
          <cell r="BA300">
            <v>0</v>
          </cell>
          <cell r="BC300">
            <v>0</v>
          </cell>
          <cell r="BD300">
            <v>0</v>
          </cell>
          <cell r="BG300">
            <v>0</v>
          </cell>
          <cell r="BI300" t="str">
            <v>Actual</v>
          </cell>
        </row>
        <row r="301">
          <cell r="B301" t="str">
            <v>Aug 2014</v>
          </cell>
          <cell r="C301" t="str">
            <v>LQF</v>
          </cell>
          <cell r="D301" t="str">
            <v>LQF</v>
          </cell>
          <cell r="E301" t="str">
            <v>KUCME707</v>
          </cell>
          <cell r="F301">
            <v>0</v>
          </cell>
          <cell r="G301">
            <v>0</v>
          </cell>
          <cell r="H301">
            <v>0</v>
          </cell>
          <cell r="I301">
            <v>0</v>
          </cell>
          <cell r="J301">
            <v>0</v>
          </cell>
          <cell r="K301">
            <v>0</v>
          </cell>
          <cell r="L301">
            <v>0</v>
          </cell>
          <cell r="M301">
            <v>0</v>
          </cell>
          <cell r="N301">
            <v>0</v>
          </cell>
          <cell r="O301">
            <v>0</v>
          </cell>
          <cell r="S301">
            <v>0</v>
          </cell>
          <cell r="T301">
            <v>0</v>
          </cell>
          <cell r="U301">
            <v>0</v>
          </cell>
          <cell r="V301">
            <v>0</v>
          </cell>
          <cell r="W301">
            <v>0</v>
          </cell>
          <cell r="X301">
            <v>0</v>
          </cell>
          <cell r="AL301">
            <v>0</v>
          </cell>
          <cell r="AM301">
            <v>0</v>
          </cell>
          <cell r="AP301">
            <v>0</v>
          </cell>
          <cell r="AQ301">
            <v>0</v>
          </cell>
          <cell r="AR301">
            <v>0</v>
          </cell>
          <cell r="AV301">
            <v>0</v>
          </cell>
          <cell r="AW301">
            <v>0</v>
          </cell>
          <cell r="AY301">
            <v>0</v>
          </cell>
          <cell r="AZ301">
            <v>0</v>
          </cell>
          <cell r="BA301">
            <v>0</v>
          </cell>
          <cell r="BC301">
            <v>0</v>
          </cell>
          <cell r="BD301">
            <v>0</v>
          </cell>
          <cell r="BG301">
            <v>0</v>
          </cell>
          <cell r="BI301" t="str">
            <v>Actual</v>
          </cell>
        </row>
        <row r="302">
          <cell r="B302" t="str">
            <v>Aug 2014</v>
          </cell>
          <cell r="C302" t="str">
            <v>GS</v>
          </cell>
          <cell r="D302" t="str">
            <v>GS</v>
          </cell>
          <cell r="E302" t="str">
            <v>KUCME710</v>
          </cell>
          <cell r="F302">
            <v>11</v>
          </cell>
          <cell r="G302">
            <v>0</v>
          </cell>
          <cell r="H302">
            <v>0</v>
          </cell>
          <cell r="I302">
            <v>0</v>
          </cell>
          <cell r="J302">
            <v>0</v>
          </cell>
          <cell r="K302">
            <v>5785</v>
          </cell>
          <cell r="L302">
            <v>0</v>
          </cell>
          <cell r="M302">
            <v>0</v>
          </cell>
          <cell r="N302">
            <v>0</v>
          </cell>
          <cell r="O302">
            <v>0</v>
          </cell>
          <cell r="S302">
            <v>0</v>
          </cell>
          <cell r="T302">
            <v>0</v>
          </cell>
          <cell r="U302">
            <v>0</v>
          </cell>
          <cell r="V302">
            <v>0</v>
          </cell>
          <cell r="W302">
            <v>0</v>
          </cell>
          <cell r="X302">
            <v>0</v>
          </cell>
          <cell r="AL302">
            <v>0</v>
          </cell>
          <cell r="AM302">
            <v>0</v>
          </cell>
          <cell r="AP302">
            <v>-18.57</v>
          </cell>
          <cell r="AQ302">
            <v>-0.01</v>
          </cell>
          <cell r="AR302">
            <v>0</v>
          </cell>
          <cell r="AV302">
            <v>735.08999999999992</v>
          </cell>
          <cell r="AW302">
            <v>735.09</v>
          </cell>
          <cell r="AY302">
            <v>-4.4400000000000004</v>
          </cell>
          <cell r="AZ302">
            <v>17.36</v>
          </cell>
          <cell r="BA302">
            <v>32.700000000000003</v>
          </cell>
          <cell r="BC302">
            <v>0</v>
          </cell>
          <cell r="BD302">
            <v>780.71</v>
          </cell>
          <cell r="BG302">
            <v>167.3</v>
          </cell>
          <cell r="BI302" t="str">
            <v>Actual</v>
          </cell>
        </row>
        <row r="303">
          <cell r="B303" t="str">
            <v>Aug 2014</v>
          </cell>
          <cell r="C303" t="str">
            <v>GS3</v>
          </cell>
          <cell r="D303" t="str">
            <v>GS3</v>
          </cell>
          <cell r="E303" t="str">
            <v>KUCME713</v>
          </cell>
          <cell r="F303">
            <v>2</v>
          </cell>
          <cell r="G303">
            <v>0</v>
          </cell>
          <cell r="H303">
            <v>0</v>
          </cell>
          <cell r="I303">
            <v>0</v>
          </cell>
          <cell r="J303">
            <v>0</v>
          </cell>
          <cell r="K303">
            <v>10120</v>
          </cell>
          <cell r="L303">
            <v>0</v>
          </cell>
          <cell r="M303">
            <v>65.3</v>
          </cell>
          <cell r="N303">
            <v>0</v>
          </cell>
          <cell r="O303">
            <v>0</v>
          </cell>
          <cell r="S303">
            <v>0</v>
          </cell>
          <cell r="T303">
            <v>0</v>
          </cell>
          <cell r="U303">
            <v>0</v>
          </cell>
          <cell r="V303">
            <v>0</v>
          </cell>
          <cell r="W303">
            <v>0</v>
          </cell>
          <cell r="X303">
            <v>0</v>
          </cell>
          <cell r="AL303">
            <v>0</v>
          </cell>
          <cell r="AM303">
            <v>0</v>
          </cell>
          <cell r="AP303">
            <v>0</v>
          </cell>
          <cell r="AQ303">
            <v>0</v>
          </cell>
          <cell r="AR303">
            <v>0</v>
          </cell>
          <cell r="AV303">
            <v>1003.57</v>
          </cell>
          <cell r="AW303">
            <v>1003.5699999999999</v>
          </cell>
          <cell r="AY303">
            <v>-7.79</v>
          </cell>
          <cell r="AZ303">
            <v>7.44</v>
          </cell>
          <cell r="BA303">
            <v>40.15</v>
          </cell>
          <cell r="BC303">
            <v>0</v>
          </cell>
          <cell r="BD303">
            <v>1043.3699999999999</v>
          </cell>
          <cell r="BG303">
            <v>292.67</v>
          </cell>
          <cell r="BI303" t="str">
            <v>Actual</v>
          </cell>
        </row>
        <row r="304">
          <cell r="B304" t="str">
            <v>Aug 2014</v>
          </cell>
          <cell r="C304" t="str">
            <v>CSR10</v>
          </cell>
          <cell r="D304" t="str">
            <v>CSR10</v>
          </cell>
          <cell r="E304" t="str">
            <v>KUCSR760</v>
          </cell>
          <cell r="F304">
            <v>1</v>
          </cell>
          <cell r="G304">
            <v>0</v>
          </cell>
          <cell r="H304">
            <v>0</v>
          </cell>
          <cell r="I304">
            <v>0</v>
          </cell>
          <cell r="J304">
            <v>0</v>
          </cell>
          <cell r="K304">
            <v>0</v>
          </cell>
          <cell r="L304">
            <v>0</v>
          </cell>
          <cell r="M304">
            <v>0</v>
          </cell>
          <cell r="N304">
            <v>0</v>
          </cell>
          <cell r="O304">
            <v>0</v>
          </cell>
          <cell r="S304">
            <v>0</v>
          </cell>
          <cell r="T304">
            <v>0</v>
          </cell>
          <cell r="U304">
            <v>0</v>
          </cell>
          <cell r="V304">
            <v>0</v>
          </cell>
          <cell r="W304">
            <v>0</v>
          </cell>
          <cell r="X304">
            <v>0</v>
          </cell>
          <cell r="AL304">
            <v>0</v>
          </cell>
          <cell r="AM304">
            <v>0</v>
          </cell>
          <cell r="AP304">
            <v>0</v>
          </cell>
          <cell r="AQ304">
            <v>0</v>
          </cell>
          <cell r="AR304">
            <v>0</v>
          </cell>
          <cell r="AV304">
            <v>0</v>
          </cell>
          <cell r="AW304">
            <v>0</v>
          </cell>
          <cell r="AY304">
            <v>0</v>
          </cell>
          <cell r="AZ304">
            <v>0</v>
          </cell>
          <cell r="BA304">
            <v>0</v>
          </cell>
          <cell r="BC304">
            <v>-1013676.34</v>
          </cell>
          <cell r="BD304">
            <v>-1013676.34</v>
          </cell>
          <cell r="BG304">
            <v>0</v>
          </cell>
          <cell r="BI304" t="str">
            <v>Actual</v>
          </cell>
        </row>
        <row r="305">
          <cell r="B305" t="str">
            <v>Aug 2014</v>
          </cell>
          <cell r="C305" t="str">
            <v>CSR10</v>
          </cell>
          <cell r="D305" t="str">
            <v>CSR10</v>
          </cell>
          <cell r="E305" t="str">
            <v>KUCSR761</v>
          </cell>
          <cell r="F305">
            <v>0</v>
          </cell>
          <cell r="G305">
            <v>0</v>
          </cell>
          <cell r="H305">
            <v>0</v>
          </cell>
          <cell r="I305">
            <v>0</v>
          </cell>
          <cell r="J305">
            <v>0</v>
          </cell>
          <cell r="K305">
            <v>0</v>
          </cell>
          <cell r="L305">
            <v>0</v>
          </cell>
          <cell r="M305">
            <v>0</v>
          </cell>
          <cell r="N305">
            <v>0</v>
          </cell>
          <cell r="O305">
            <v>0</v>
          </cell>
          <cell r="S305">
            <v>0</v>
          </cell>
          <cell r="T305">
            <v>0</v>
          </cell>
          <cell r="U305">
            <v>0</v>
          </cell>
          <cell r="V305">
            <v>0</v>
          </cell>
          <cell r="W305">
            <v>0</v>
          </cell>
          <cell r="X305">
            <v>0</v>
          </cell>
          <cell r="AL305">
            <v>0</v>
          </cell>
          <cell r="AM305">
            <v>0</v>
          </cell>
          <cell r="AP305">
            <v>0</v>
          </cell>
          <cell r="AQ305">
            <v>0</v>
          </cell>
          <cell r="AR305">
            <v>0</v>
          </cell>
          <cell r="AV305">
            <v>0</v>
          </cell>
          <cell r="AW305">
            <v>0</v>
          </cell>
          <cell r="AY305">
            <v>0</v>
          </cell>
          <cell r="AZ305">
            <v>0</v>
          </cell>
          <cell r="BA305">
            <v>0</v>
          </cell>
          <cell r="BC305">
            <v>0</v>
          </cell>
          <cell r="BD305">
            <v>0</v>
          </cell>
          <cell r="BG305">
            <v>0</v>
          </cell>
          <cell r="BI305" t="str">
            <v>Actual</v>
          </cell>
        </row>
        <row r="306">
          <cell r="B306" t="str">
            <v>Aug 2014</v>
          </cell>
          <cell r="C306" t="str">
            <v>CSR30</v>
          </cell>
          <cell r="D306" t="str">
            <v>CSR30</v>
          </cell>
          <cell r="E306" t="str">
            <v>KUCSR780</v>
          </cell>
          <cell r="F306">
            <v>1</v>
          </cell>
          <cell r="G306">
            <v>0</v>
          </cell>
          <cell r="H306">
            <v>0</v>
          </cell>
          <cell r="I306">
            <v>0</v>
          </cell>
          <cell r="J306">
            <v>0</v>
          </cell>
          <cell r="K306">
            <v>0</v>
          </cell>
          <cell r="L306">
            <v>0</v>
          </cell>
          <cell r="M306">
            <v>0</v>
          </cell>
          <cell r="N306">
            <v>0</v>
          </cell>
          <cell r="O306">
            <v>0</v>
          </cell>
          <cell r="S306">
            <v>0</v>
          </cell>
          <cell r="T306">
            <v>0</v>
          </cell>
          <cell r="U306">
            <v>0</v>
          </cell>
          <cell r="V306">
            <v>0</v>
          </cell>
          <cell r="W306">
            <v>0</v>
          </cell>
          <cell r="X306">
            <v>0</v>
          </cell>
          <cell r="AL306">
            <v>0</v>
          </cell>
          <cell r="AM306">
            <v>0</v>
          </cell>
          <cell r="AP306">
            <v>0</v>
          </cell>
          <cell r="AQ306">
            <v>0</v>
          </cell>
          <cell r="AR306">
            <v>0</v>
          </cell>
          <cell r="AV306">
            <v>0</v>
          </cell>
          <cell r="AW306">
            <v>0</v>
          </cell>
          <cell r="AY306">
            <v>0</v>
          </cell>
          <cell r="AZ306">
            <v>0</v>
          </cell>
          <cell r="BA306">
            <v>0</v>
          </cell>
          <cell r="BC306">
            <v>-23449.66</v>
          </cell>
          <cell r="BD306">
            <v>-23449.66</v>
          </cell>
          <cell r="BG306">
            <v>0</v>
          </cell>
          <cell r="BI306" t="str">
            <v>Actual</v>
          </cell>
        </row>
        <row r="307">
          <cell r="B307" t="str">
            <v>Aug 2014</v>
          </cell>
          <cell r="C307" t="str">
            <v>CSR30</v>
          </cell>
          <cell r="D307" t="str">
            <v>CSR30</v>
          </cell>
          <cell r="E307" t="str">
            <v>KUCSR781</v>
          </cell>
          <cell r="F307">
            <v>2</v>
          </cell>
          <cell r="G307">
            <v>0</v>
          </cell>
          <cell r="H307">
            <v>0</v>
          </cell>
          <cell r="I307">
            <v>0</v>
          </cell>
          <cell r="J307">
            <v>0</v>
          </cell>
          <cell r="K307">
            <v>0</v>
          </cell>
          <cell r="L307">
            <v>0</v>
          </cell>
          <cell r="M307">
            <v>0</v>
          </cell>
          <cell r="N307">
            <v>0</v>
          </cell>
          <cell r="O307">
            <v>0</v>
          </cell>
          <cell r="S307">
            <v>0</v>
          </cell>
          <cell r="T307">
            <v>0</v>
          </cell>
          <cell r="U307">
            <v>0</v>
          </cell>
          <cell r="V307">
            <v>0</v>
          </cell>
          <cell r="W307">
            <v>0</v>
          </cell>
          <cell r="X307">
            <v>0</v>
          </cell>
          <cell r="AL307">
            <v>0</v>
          </cell>
          <cell r="AM307">
            <v>0</v>
          </cell>
          <cell r="AP307">
            <v>0</v>
          </cell>
          <cell r="AQ307">
            <v>0</v>
          </cell>
          <cell r="AR307">
            <v>0</v>
          </cell>
          <cell r="AV307">
            <v>0</v>
          </cell>
          <cell r="AW307">
            <v>0</v>
          </cell>
          <cell r="AY307">
            <v>0</v>
          </cell>
          <cell r="AZ307">
            <v>0</v>
          </cell>
          <cell r="BA307">
            <v>0</v>
          </cell>
          <cell r="BC307">
            <v>-51492.4</v>
          </cell>
          <cell r="BD307">
            <v>-51492.4</v>
          </cell>
          <cell r="BG307">
            <v>0</v>
          </cell>
          <cell r="BI307" t="str">
            <v>Actual</v>
          </cell>
        </row>
        <row r="308">
          <cell r="B308" t="str">
            <v>Aug 2014</v>
          </cell>
          <cell r="C308" t="str">
            <v>CSR30</v>
          </cell>
          <cell r="D308" t="str">
            <v>CSR30</v>
          </cell>
          <cell r="E308" t="str">
            <v>KUCSR783</v>
          </cell>
          <cell r="F308">
            <v>1</v>
          </cell>
          <cell r="G308">
            <v>0</v>
          </cell>
          <cell r="H308">
            <v>0</v>
          </cell>
          <cell r="I308">
            <v>0</v>
          </cell>
          <cell r="J308">
            <v>0</v>
          </cell>
          <cell r="K308">
            <v>0</v>
          </cell>
          <cell r="L308">
            <v>0</v>
          </cell>
          <cell r="M308">
            <v>0</v>
          </cell>
          <cell r="N308">
            <v>0</v>
          </cell>
          <cell r="O308">
            <v>0</v>
          </cell>
          <cell r="S308">
            <v>0</v>
          </cell>
          <cell r="T308">
            <v>0</v>
          </cell>
          <cell r="U308">
            <v>0</v>
          </cell>
          <cell r="V308">
            <v>0</v>
          </cell>
          <cell r="W308">
            <v>0</v>
          </cell>
          <cell r="X308">
            <v>0</v>
          </cell>
          <cell r="AL308">
            <v>0</v>
          </cell>
          <cell r="AM308">
            <v>0</v>
          </cell>
          <cell r="AP308">
            <v>0</v>
          </cell>
          <cell r="AQ308">
            <v>0</v>
          </cell>
          <cell r="AR308">
            <v>0</v>
          </cell>
          <cell r="AV308">
            <v>0</v>
          </cell>
          <cell r="AW308">
            <v>0</v>
          </cell>
          <cell r="AY308">
            <v>0</v>
          </cell>
          <cell r="AZ308">
            <v>0</v>
          </cell>
          <cell r="BA308">
            <v>0</v>
          </cell>
          <cell r="BC308">
            <v>-8800</v>
          </cell>
          <cell r="BD308">
            <v>-8800</v>
          </cell>
          <cell r="BG308">
            <v>0</v>
          </cell>
          <cell r="BI308" t="str">
            <v>Actual</v>
          </cell>
        </row>
        <row r="309">
          <cell r="B309" t="str">
            <v>Aug 2014</v>
          </cell>
          <cell r="C309" t="str">
            <v>FLS</v>
          </cell>
          <cell r="D309" t="str">
            <v>FLST</v>
          </cell>
          <cell r="E309" t="str">
            <v>KUINE730</v>
          </cell>
          <cell r="F309">
            <v>1</v>
          </cell>
          <cell r="G309">
            <v>0</v>
          </cell>
          <cell r="H309">
            <v>0</v>
          </cell>
          <cell r="I309">
            <v>0</v>
          </cell>
          <cell r="J309">
            <v>0</v>
          </cell>
          <cell r="K309">
            <v>46872000</v>
          </cell>
          <cell r="L309">
            <v>0</v>
          </cell>
          <cell r="M309">
            <v>191717.9</v>
          </cell>
          <cell r="N309">
            <v>191717.9</v>
          </cell>
          <cell r="O309">
            <v>138467.9</v>
          </cell>
          <cell r="S309">
            <v>0</v>
          </cell>
          <cell r="T309">
            <v>0</v>
          </cell>
          <cell r="U309">
            <v>0</v>
          </cell>
          <cell r="V309">
            <v>0</v>
          </cell>
          <cell r="W309">
            <v>0</v>
          </cell>
          <cell r="X309">
            <v>0</v>
          </cell>
          <cell r="AL309">
            <v>0</v>
          </cell>
          <cell r="AM309">
            <v>0</v>
          </cell>
          <cell r="AP309">
            <v>0</v>
          </cell>
          <cell r="AQ309">
            <v>0</v>
          </cell>
          <cell r="AR309">
            <v>0</v>
          </cell>
          <cell r="AV309">
            <v>2355668.5699999998</v>
          </cell>
          <cell r="AW309">
            <v>2355668.5699999998</v>
          </cell>
          <cell r="AY309">
            <v>-36091.440000000002</v>
          </cell>
          <cell r="AZ309">
            <v>0</v>
          </cell>
          <cell r="BA309">
            <v>55907.29</v>
          </cell>
          <cell r="BC309">
            <v>0</v>
          </cell>
          <cell r="BD309">
            <v>2375484.42</v>
          </cell>
          <cell r="BG309">
            <v>1355538.24</v>
          </cell>
          <cell r="BI309" t="str">
            <v>Actual</v>
          </cell>
        </row>
        <row r="310">
          <cell r="B310" t="str">
            <v>Aug 2014</v>
          </cell>
          <cell r="C310" t="str">
            <v>RS</v>
          </cell>
          <cell r="D310" t="str">
            <v>RS</v>
          </cell>
          <cell r="E310" t="str">
            <v>KURSE010</v>
          </cell>
          <cell r="F310">
            <v>229620</v>
          </cell>
          <cell r="G310">
            <v>392</v>
          </cell>
          <cell r="H310">
            <v>0</v>
          </cell>
          <cell r="I310">
            <v>0</v>
          </cell>
          <cell r="J310">
            <v>0</v>
          </cell>
          <cell r="K310">
            <v>248055650</v>
          </cell>
          <cell r="L310">
            <v>0</v>
          </cell>
          <cell r="M310">
            <v>0</v>
          </cell>
          <cell r="N310">
            <v>0</v>
          </cell>
          <cell r="O310">
            <v>0</v>
          </cell>
          <cell r="S310">
            <v>0</v>
          </cell>
          <cell r="T310">
            <v>0</v>
          </cell>
          <cell r="U310">
            <v>0</v>
          </cell>
          <cell r="V310">
            <v>0</v>
          </cell>
          <cell r="W310">
            <v>0</v>
          </cell>
          <cell r="X310">
            <v>0</v>
          </cell>
          <cell r="AL310">
            <v>0</v>
          </cell>
          <cell r="AM310">
            <v>0</v>
          </cell>
          <cell r="AP310">
            <v>-23030.1</v>
          </cell>
          <cell r="AQ310">
            <v>-365.33</v>
          </cell>
          <cell r="AR310">
            <v>0</v>
          </cell>
          <cell r="AV310">
            <v>21658663.109999999</v>
          </cell>
          <cell r="AW310">
            <v>21658663.109999999</v>
          </cell>
          <cell r="AY310">
            <v>-190254.93</v>
          </cell>
          <cell r="AZ310">
            <v>977265.5</v>
          </cell>
          <cell r="BA310">
            <v>720564.25</v>
          </cell>
          <cell r="BC310">
            <v>0</v>
          </cell>
          <cell r="BD310">
            <v>23166237.93</v>
          </cell>
          <cell r="BG310">
            <v>7173769.4000000004</v>
          </cell>
          <cell r="BI310" t="str">
            <v>Actual</v>
          </cell>
        </row>
        <row r="311">
          <cell r="B311" t="str">
            <v>Aug 2014</v>
          </cell>
          <cell r="C311" t="str">
            <v>RS</v>
          </cell>
          <cell r="D311" t="str">
            <v>RS</v>
          </cell>
          <cell r="E311" t="str">
            <v>KURSE020</v>
          </cell>
          <cell r="F311">
            <v>194680</v>
          </cell>
          <cell r="G311">
            <v>391</v>
          </cell>
          <cell r="H311">
            <v>0</v>
          </cell>
          <cell r="I311">
            <v>0</v>
          </cell>
          <cell r="J311">
            <v>0</v>
          </cell>
          <cell r="K311">
            <v>207118409</v>
          </cell>
          <cell r="L311">
            <v>0</v>
          </cell>
          <cell r="M311">
            <v>0</v>
          </cell>
          <cell r="N311">
            <v>0</v>
          </cell>
          <cell r="O311">
            <v>0</v>
          </cell>
          <cell r="S311">
            <v>0</v>
          </cell>
          <cell r="T311">
            <v>0</v>
          </cell>
          <cell r="U311">
            <v>0</v>
          </cell>
          <cell r="V311">
            <v>0</v>
          </cell>
          <cell r="W311">
            <v>0</v>
          </cell>
          <cell r="X311">
            <v>0</v>
          </cell>
          <cell r="AL311">
            <v>0</v>
          </cell>
          <cell r="AM311">
            <v>0</v>
          </cell>
          <cell r="AP311">
            <v>-27638.95</v>
          </cell>
          <cell r="AQ311">
            <v>-0.56999999999999995</v>
          </cell>
          <cell r="AR311">
            <v>0</v>
          </cell>
          <cell r="AV311">
            <v>18108623.32</v>
          </cell>
          <cell r="AW311">
            <v>18108623.32</v>
          </cell>
          <cell r="AY311">
            <v>-158458.09</v>
          </cell>
          <cell r="AZ311">
            <v>816041.95</v>
          </cell>
          <cell r="BA311">
            <v>602437.56999999995</v>
          </cell>
          <cell r="BC311">
            <v>0</v>
          </cell>
          <cell r="BD311">
            <v>19368644.75</v>
          </cell>
          <cell r="BG311">
            <v>5989864.3899999997</v>
          </cell>
          <cell r="BI311" t="str">
            <v>Actual</v>
          </cell>
        </row>
        <row r="312">
          <cell r="B312" t="str">
            <v>Aug 2014</v>
          </cell>
          <cell r="C312" t="str">
            <v>RS</v>
          </cell>
          <cell r="D312" t="str">
            <v>RS</v>
          </cell>
          <cell r="E312" t="str">
            <v>KURSE025</v>
          </cell>
          <cell r="F312">
            <v>244</v>
          </cell>
          <cell r="G312">
            <v>0</v>
          </cell>
          <cell r="H312">
            <v>0</v>
          </cell>
          <cell r="I312">
            <v>0</v>
          </cell>
          <cell r="J312">
            <v>0</v>
          </cell>
          <cell r="K312">
            <v>511256</v>
          </cell>
          <cell r="L312">
            <v>0</v>
          </cell>
          <cell r="M312">
            <v>0</v>
          </cell>
          <cell r="N312">
            <v>0</v>
          </cell>
          <cell r="O312">
            <v>0</v>
          </cell>
          <cell r="S312">
            <v>0</v>
          </cell>
          <cell r="T312">
            <v>0</v>
          </cell>
          <cell r="U312">
            <v>0</v>
          </cell>
          <cell r="V312">
            <v>0</v>
          </cell>
          <cell r="W312">
            <v>0</v>
          </cell>
          <cell r="X312">
            <v>0</v>
          </cell>
          <cell r="AL312">
            <v>0</v>
          </cell>
          <cell r="AM312">
            <v>0</v>
          </cell>
          <cell r="AP312">
            <v>14.7</v>
          </cell>
          <cell r="AQ312">
            <v>7.0000000000000007E-2</v>
          </cell>
          <cell r="AR312">
            <v>0</v>
          </cell>
          <cell r="AV312">
            <v>42229.43</v>
          </cell>
          <cell r="AW312">
            <v>42229.429999999993</v>
          </cell>
          <cell r="AY312">
            <v>-355.03</v>
          </cell>
          <cell r="AZ312">
            <v>2014.37</v>
          </cell>
          <cell r="BA312">
            <v>1410.07</v>
          </cell>
          <cell r="BC312">
            <v>0</v>
          </cell>
          <cell r="BD312">
            <v>45298.84</v>
          </cell>
          <cell r="BG312">
            <v>14785.52</v>
          </cell>
          <cell r="BI312" t="str">
            <v>Actual</v>
          </cell>
        </row>
        <row r="313">
          <cell r="B313" t="str">
            <v>Aug 2014</v>
          </cell>
          <cell r="C313" t="str">
            <v>LEV</v>
          </cell>
          <cell r="D313" t="str">
            <v>RSLEV</v>
          </cell>
          <cell r="E313" t="str">
            <v>KURSE040</v>
          </cell>
          <cell r="F313">
            <v>7</v>
          </cell>
          <cell r="G313">
            <v>0</v>
          </cell>
          <cell r="H313">
            <v>4686</v>
          </cell>
          <cell r="I313">
            <v>1412</v>
          </cell>
          <cell r="J313">
            <v>1143</v>
          </cell>
          <cell r="K313">
            <v>7241</v>
          </cell>
          <cell r="L313">
            <v>0</v>
          </cell>
          <cell r="M313">
            <v>0</v>
          </cell>
          <cell r="N313">
            <v>0</v>
          </cell>
          <cell r="O313">
            <v>0</v>
          </cell>
          <cell r="S313">
            <v>0</v>
          </cell>
          <cell r="T313">
            <v>0</v>
          </cell>
          <cell r="U313">
            <v>0</v>
          </cell>
          <cell r="V313">
            <v>0</v>
          </cell>
          <cell r="W313">
            <v>0</v>
          </cell>
          <cell r="X313">
            <v>0</v>
          </cell>
          <cell r="AL313">
            <v>0</v>
          </cell>
          <cell r="AM313">
            <v>0</v>
          </cell>
          <cell r="AP313">
            <v>0</v>
          </cell>
          <cell r="AQ313">
            <v>-0.01</v>
          </cell>
          <cell r="AR313">
            <v>0</v>
          </cell>
          <cell r="AV313">
            <v>610.08000000000004</v>
          </cell>
          <cell r="AW313">
            <v>610.08000000000004</v>
          </cell>
          <cell r="AY313">
            <v>-5.58</v>
          </cell>
          <cell r="AZ313">
            <v>28.53</v>
          </cell>
          <cell r="BA313">
            <v>20.32</v>
          </cell>
          <cell r="BC313">
            <v>0</v>
          </cell>
          <cell r="BD313">
            <v>653.35</v>
          </cell>
          <cell r="BG313">
            <v>209.41</v>
          </cell>
          <cell r="BI313" t="str">
            <v>Actual</v>
          </cell>
        </row>
        <row r="314">
          <cell r="B314" t="str">
            <v>Aug 2014</v>
          </cell>
          <cell r="C314" t="str">
            <v>RS</v>
          </cell>
          <cell r="D314" t="str">
            <v>RSVFD</v>
          </cell>
          <cell r="E314" t="str">
            <v>KURSE080</v>
          </cell>
          <cell r="F314">
            <v>50</v>
          </cell>
          <cell r="G314">
            <v>0</v>
          </cell>
          <cell r="H314">
            <v>0</v>
          </cell>
          <cell r="I314">
            <v>0</v>
          </cell>
          <cell r="J314">
            <v>0</v>
          </cell>
          <cell r="K314">
            <v>70043</v>
          </cell>
          <cell r="L314">
            <v>0</v>
          </cell>
          <cell r="M314">
            <v>0</v>
          </cell>
          <cell r="N314">
            <v>0</v>
          </cell>
          <cell r="O314">
            <v>0</v>
          </cell>
          <cell r="S314">
            <v>0</v>
          </cell>
          <cell r="T314">
            <v>0</v>
          </cell>
          <cell r="U314">
            <v>0</v>
          </cell>
          <cell r="V314">
            <v>0</v>
          </cell>
          <cell r="W314">
            <v>0</v>
          </cell>
          <cell r="X314">
            <v>0</v>
          </cell>
          <cell r="AL314">
            <v>0</v>
          </cell>
          <cell r="AM314">
            <v>0</v>
          </cell>
          <cell r="AP314">
            <v>5.74</v>
          </cell>
          <cell r="AQ314">
            <v>0</v>
          </cell>
          <cell r="AR314">
            <v>0</v>
          </cell>
          <cell r="AV314">
            <v>5967.37</v>
          </cell>
          <cell r="AW314">
            <v>5967.3700000000008</v>
          </cell>
          <cell r="AY314">
            <v>-45.27</v>
          </cell>
          <cell r="AZ314">
            <v>275.93</v>
          </cell>
          <cell r="BA314">
            <v>199.24</v>
          </cell>
          <cell r="BC314">
            <v>0</v>
          </cell>
          <cell r="BD314">
            <v>6397.27</v>
          </cell>
          <cell r="BG314">
            <v>2025.64</v>
          </cell>
          <cell r="BI314" t="str">
            <v>Actual</v>
          </cell>
        </row>
        <row r="315">
          <cell r="B315" t="str">
            <v>Aug 2014</v>
          </cell>
          <cell r="C315" t="str">
            <v>RS</v>
          </cell>
          <cell r="D315" t="str">
            <v>RS</v>
          </cell>
          <cell r="E315" t="str">
            <v>KURSE715</v>
          </cell>
          <cell r="F315">
            <v>57</v>
          </cell>
          <cell r="G315">
            <v>0</v>
          </cell>
          <cell r="H315">
            <v>0</v>
          </cell>
          <cell r="I315">
            <v>0</v>
          </cell>
          <cell r="J315">
            <v>0</v>
          </cell>
          <cell r="K315">
            <v>47697</v>
          </cell>
          <cell r="L315">
            <v>0</v>
          </cell>
          <cell r="M315">
            <v>0</v>
          </cell>
          <cell r="N315">
            <v>0</v>
          </cell>
          <cell r="O315">
            <v>0</v>
          </cell>
          <cell r="S315">
            <v>0</v>
          </cell>
          <cell r="T315">
            <v>0</v>
          </cell>
          <cell r="U315">
            <v>0</v>
          </cell>
          <cell r="V315">
            <v>0</v>
          </cell>
          <cell r="W315">
            <v>0</v>
          </cell>
          <cell r="X315">
            <v>0</v>
          </cell>
          <cell r="AL315">
            <v>0</v>
          </cell>
          <cell r="AM315">
            <v>0</v>
          </cell>
          <cell r="AP315">
            <v>-2.0499999999999998</v>
          </cell>
          <cell r="AQ315">
            <v>-0.01</v>
          </cell>
          <cell r="AR315">
            <v>0</v>
          </cell>
          <cell r="AV315">
            <v>4304.3499999999995</v>
          </cell>
          <cell r="AW315">
            <v>4304.3500000000004</v>
          </cell>
          <cell r="AY315">
            <v>-36.700000000000003</v>
          </cell>
          <cell r="AZ315">
            <v>187.93</v>
          </cell>
          <cell r="BA315">
            <v>143.1</v>
          </cell>
          <cell r="BC315">
            <v>0</v>
          </cell>
          <cell r="BD315">
            <v>4598.68</v>
          </cell>
          <cell r="BG315">
            <v>1379.4</v>
          </cell>
          <cell r="BI315" t="str">
            <v>Actual</v>
          </cell>
        </row>
        <row r="316">
          <cell r="B316" t="str">
            <v>Sep 2014</v>
          </cell>
          <cell r="C316" t="str">
            <v>RTS</v>
          </cell>
          <cell r="D316" t="str">
            <v>RTS</v>
          </cell>
          <cell r="E316" t="str">
            <v>KUCIE550</v>
          </cell>
          <cell r="F316">
            <v>32</v>
          </cell>
          <cell r="G316">
            <v>0</v>
          </cell>
          <cell r="H316">
            <v>0</v>
          </cell>
          <cell r="I316">
            <v>0</v>
          </cell>
          <cell r="J316">
            <v>0</v>
          </cell>
          <cell r="K316">
            <v>131381603</v>
          </cell>
          <cell r="L316">
            <v>0</v>
          </cell>
          <cell r="M316">
            <v>297220.78000000003</v>
          </cell>
          <cell r="N316">
            <v>280988.93</v>
          </cell>
          <cell r="O316">
            <v>277346.96000000002</v>
          </cell>
          <cell r="V316">
            <v>0</v>
          </cell>
          <cell r="W316">
            <v>0</v>
          </cell>
          <cell r="X316">
            <v>0</v>
          </cell>
          <cell r="AL316">
            <v>0</v>
          </cell>
          <cell r="AM316">
            <v>0</v>
          </cell>
          <cell r="AP316">
            <v>0</v>
          </cell>
          <cell r="AQ316">
            <v>0</v>
          </cell>
          <cell r="AV316">
            <v>7104188.959999999</v>
          </cell>
          <cell r="AW316">
            <v>7104189</v>
          </cell>
          <cell r="AY316">
            <v>-321151</v>
          </cell>
          <cell r="AZ316">
            <v>0</v>
          </cell>
          <cell r="BA316">
            <v>361581</v>
          </cell>
          <cell r="BC316">
            <v>0</v>
          </cell>
          <cell r="BD316">
            <v>7144619</v>
          </cell>
          <cell r="BG316">
            <v>3799555.96</v>
          </cell>
          <cell r="BI316" t="str">
            <v>Forecast</v>
          </cell>
        </row>
        <row r="317">
          <cell r="B317" t="str">
            <v>Sep 2014</v>
          </cell>
          <cell r="C317" t="str">
            <v>PSP</v>
          </cell>
          <cell r="D317" t="str">
            <v>PSP</v>
          </cell>
          <cell r="E317" t="str">
            <v>KUCIE561</v>
          </cell>
          <cell r="F317">
            <v>219</v>
          </cell>
          <cell r="H317">
            <v>0</v>
          </cell>
          <cell r="I317">
            <v>0</v>
          </cell>
          <cell r="J317">
            <v>0</v>
          </cell>
          <cell r="K317">
            <v>20027433</v>
          </cell>
          <cell r="L317">
            <v>0</v>
          </cell>
          <cell r="M317">
            <v>0</v>
          </cell>
          <cell r="N317">
            <v>0</v>
          </cell>
          <cell r="O317">
            <v>59273.46</v>
          </cell>
          <cell r="V317">
            <v>0</v>
          </cell>
          <cell r="W317">
            <v>0</v>
          </cell>
          <cell r="X317">
            <v>0</v>
          </cell>
          <cell r="AL317">
            <v>0</v>
          </cell>
          <cell r="AM317">
            <v>0</v>
          </cell>
          <cell r="AV317">
            <v>1656305.63</v>
          </cell>
          <cell r="AW317">
            <v>1656306</v>
          </cell>
          <cell r="AY317">
            <v>-48955</v>
          </cell>
          <cell r="AZ317">
            <v>43682</v>
          </cell>
          <cell r="BA317">
            <v>55118</v>
          </cell>
          <cell r="BC317">
            <v>0</v>
          </cell>
          <cell r="BD317">
            <v>1706151</v>
          </cell>
          <cell r="BG317">
            <v>579193.36</v>
          </cell>
          <cell r="BI317" t="str">
            <v>Forecast</v>
          </cell>
        </row>
        <row r="318">
          <cell r="B318" t="str">
            <v>Sep 2014</v>
          </cell>
          <cell r="C318" t="str">
            <v>PSS</v>
          </cell>
          <cell r="D318" t="str">
            <v>PSS</v>
          </cell>
          <cell r="E318" t="str">
            <v>KUCIE562</v>
          </cell>
          <cell r="F318">
            <v>4845</v>
          </cell>
          <cell r="H318">
            <v>0</v>
          </cell>
          <cell r="I318">
            <v>0</v>
          </cell>
          <cell r="J318">
            <v>0</v>
          </cell>
          <cell r="K318">
            <v>213372347</v>
          </cell>
          <cell r="L318">
            <v>0</v>
          </cell>
          <cell r="M318">
            <v>0</v>
          </cell>
          <cell r="N318">
            <v>0</v>
          </cell>
          <cell r="O318">
            <v>723592.85</v>
          </cell>
          <cell r="V318">
            <v>0</v>
          </cell>
          <cell r="W318">
            <v>0</v>
          </cell>
          <cell r="X318">
            <v>0</v>
          </cell>
          <cell r="AL318">
            <v>0</v>
          </cell>
          <cell r="AM318">
            <v>0</v>
          </cell>
          <cell r="AV318">
            <v>19111611.059999999</v>
          </cell>
          <cell r="AW318">
            <v>19111611</v>
          </cell>
          <cell r="AY318">
            <v>-521570</v>
          </cell>
          <cell r="AZ318">
            <v>465389</v>
          </cell>
          <cell r="BA318">
            <v>587231</v>
          </cell>
          <cell r="BC318">
            <v>0</v>
          </cell>
          <cell r="BD318">
            <v>19642661</v>
          </cell>
          <cell r="BG318">
            <v>6170728.2800000003</v>
          </cell>
          <cell r="BI318" t="str">
            <v>Forecast</v>
          </cell>
        </row>
        <row r="319">
          <cell r="B319" t="str">
            <v>Sep 2014</v>
          </cell>
          <cell r="C319" t="str">
            <v>TODP</v>
          </cell>
          <cell r="D319" t="str">
            <v>TODP</v>
          </cell>
          <cell r="E319" t="str">
            <v>KUCIE563</v>
          </cell>
          <cell r="F319">
            <v>52</v>
          </cell>
          <cell r="H319">
            <v>0</v>
          </cell>
          <cell r="I319">
            <v>0</v>
          </cell>
          <cell r="J319">
            <v>0</v>
          </cell>
          <cell r="K319">
            <v>261037114</v>
          </cell>
          <cell r="L319">
            <v>0</v>
          </cell>
          <cell r="M319">
            <v>525147.27</v>
          </cell>
          <cell r="N319">
            <v>518484.99</v>
          </cell>
          <cell r="O319">
            <v>511615.98</v>
          </cell>
          <cell r="V319">
            <v>0</v>
          </cell>
          <cell r="W319">
            <v>0</v>
          </cell>
          <cell r="X319">
            <v>0</v>
          </cell>
          <cell r="AL319">
            <v>0</v>
          </cell>
          <cell r="AM319">
            <v>0</v>
          </cell>
          <cell r="AV319">
            <v>14352151.810000001</v>
          </cell>
          <cell r="AW319">
            <v>14352153</v>
          </cell>
          <cell r="AY319">
            <v>-638083</v>
          </cell>
          <cell r="AZ319">
            <v>569351</v>
          </cell>
          <cell r="BA319">
            <v>718411</v>
          </cell>
          <cell r="BC319">
            <v>0</v>
          </cell>
          <cell r="BD319">
            <v>15001832</v>
          </cell>
          <cell r="BG319">
            <v>7549193.3399999999</v>
          </cell>
          <cell r="BI319" t="str">
            <v>Forecast</v>
          </cell>
        </row>
        <row r="320">
          <cell r="B320" t="str">
            <v>Sep 2014</v>
          </cell>
          <cell r="C320" t="str">
            <v>PSP</v>
          </cell>
          <cell r="D320" t="str">
            <v>PSP</v>
          </cell>
          <cell r="E320" t="str">
            <v>KUCIE566</v>
          </cell>
          <cell r="F320">
            <v>0</v>
          </cell>
          <cell r="H320">
            <v>0</v>
          </cell>
          <cell r="I320">
            <v>0</v>
          </cell>
          <cell r="J320">
            <v>0</v>
          </cell>
          <cell r="K320">
            <v>0</v>
          </cell>
          <cell r="L320">
            <v>0</v>
          </cell>
          <cell r="M320">
            <v>0</v>
          </cell>
          <cell r="N320">
            <v>0</v>
          </cell>
          <cell r="O320">
            <v>0</v>
          </cell>
          <cell r="S320">
            <v>0</v>
          </cell>
          <cell r="V320">
            <v>0</v>
          </cell>
          <cell r="W320">
            <v>0</v>
          </cell>
          <cell r="X320">
            <v>0</v>
          </cell>
          <cell r="AL320">
            <v>0</v>
          </cell>
          <cell r="AM320">
            <v>0</v>
          </cell>
          <cell r="AV320">
            <v>0</v>
          </cell>
          <cell r="AW320">
            <v>0</v>
          </cell>
          <cell r="AY320">
            <v>0</v>
          </cell>
          <cell r="AZ320">
            <v>0</v>
          </cell>
          <cell r="BA320">
            <v>0</v>
          </cell>
          <cell r="BC320">
            <v>0</v>
          </cell>
          <cell r="BD320">
            <v>0</v>
          </cell>
          <cell r="BG320">
            <v>0</v>
          </cell>
          <cell r="BI320" t="str">
            <v>Forecast</v>
          </cell>
        </row>
        <row r="321">
          <cell r="B321" t="str">
            <v>Sep 2014</v>
          </cell>
          <cell r="C321" t="str">
            <v>PSS</v>
          </cell>
          <cell r="D321" t="str">
            <v>PSS</v>
          </cell>
          <cell r="E321" t="str">
            <v>KUCIE568</v>
          </cell>
          <cell r="F321">
            <v>0</v>
          </cell>
          <cell r="H321">
            <v>0</v>
          </cell>
          <cell r="I321">
            <v>0</v>
          </cell>
          <cell r="J321">
            <v>0</v>
          </cell>
          <cell r="K321">
            <v>0</v>
          </cell>
          <cell r="L321">
            <v>0</v>
          </cell>
          <cell r="M321">
            <v>0</v>
          </cell>
          <cell r="N321">
            <v>0</v>
          </cell>
          <cell r="O321">
            <v>0</v>
          </cell>
          <cell r="S321">
            <v>0</v>
          </cell>
          <cell r="T321">
            <v>0</v>
          </cell>
          <cell r="V321">
            <v>0</v>
          </cell>
          <cell r="W321">
            <v>0</v>
          </cell>
          <cell r="X321">
            <v>0</v>
          </cell>
          <cell r="AM321">
            <v>0</v>
          </cell>
          <cell r="AV321">
            <v>0</v>
          </cell>
          <cell r="AW321">
            <v>0</v>
          </cell>
          <cell r="AY321">
            <v>0</v>
          </cell>
          <cell r="AZ321">
            <v>0</v>
          </cell>
          <cell r="BA321">
            <v>0</v>
          </cell>
          <cell r="BC321">
            <v>0</v>
          </cell>
          <cell r="BD321">
            <v>0</v>
          </cell>
          <cell r="BG321">
            <v>0</v>
          </cell>
          <cell r="BI321" t="str">
            <v>Forecast</v>
          </cell>
        </row>
        <row r="322">
          <cell r="B322" t="str">
            <v>Sep 2014</v>
          </cell>
          <cell r="C322" t="str">
            <v>TODP</v>
          </cell>
          <cell r="D322" t="str">
            <v>TODP</v>
          </cell>
          <cell r="E322" t="str">
            <v>KUCIE571</v>
          </cell>
          <cell r="F322">
            <v>179</v>
          </cell>
          <cell r="H322">
            <v>0</v>
          </cell>
          <cell r="I322">
            <v>0</v>
          </cell>
          <cell r="J322">
            <v>0</v>
          </cell>
          <cell r="K322">
            <v>109759335</v>
          </cell>
          <cell r="L322">
            <v>0</v>
          </cell>
          <cell r="M322">
            <v>269418.2</v>
          </cell>
          <cell r="N322">
            <v>258888.53</v>
          </cell>
          <cell r="O322">
            <v>249324.74</v>
          </cell>
          <cell r="V322">
            <v>0</v>
          </cell>
          <cell r="W322">
            <v>0</v>
          </cell>
          <cell r="X322">
            <v>0</v>
          </cell>
          <cell r="AL322">
            <v>0</v>
          </cell>
          <cell r="AM322">
            <v>0</v>
          </cell>
          <cell r="AV322">
            <v>6423499.8099999996</v>
          </cell>
          <cell r="AW322">
            <v>6423500</v>
          </cell>
          <cell r="AY322">
            <v>-268297</v>
          </cell>
          <cell r="AZ322">
            <v>239397</v>
          </cell>
          <cell r="BA322">
            <v>302073</v>
          </cell>
          <cell r="BC322">
            <v>0</v>
          </cell>
          <cell r="BD322">
            <v>6696673</v>
          </cell>
          <cell r="BG322">
            <v>3174239.97</v>
          </cell>
          <cell r="BI322" t="str">
            <v>Forecast</v>
          </cell>
        </row>
        <row r="323">
          <cell r="B323" t="str">
            <v>Sep 2014</v>
          </cell>
          <cell r="C323" t="str">
            <v>TODS</v>
          </cell>
          <cell r="D323" t="str">
            <v>TODS</v>
          </cell>
          <cell r="E323" t="str">
            <v>KUCIE572</v>
          </cell>
          <cell r="F323">
            <v>451</v>
          </cell>
          <cell r="H323">
            <v>0</v>
          </cell>
          <cell r="I323">
            <v>0</v>
          </cell>
          <cell r="J323">
            <v>0</v>
          </cell>
          <cell r="K323">
            <v>134322230</v>
          </cell>
          <cell r="M323">
            <v>331428.90999999997</v>
          </cell>
          <cell r="N323">
            <v>309430.81</v>
          </cell>
          <cell r="O323">
            <v>303407.62</v>
          </cell>
          <cell r="V323">
            <v>0</v>
          </cell>
          <cell r="W323">
            <v>0</v>
          </cell>
          <cell r="X323">
            <v>0</v>
          </cell>
          <cell r="AM323">
            <v>0</v>
          </cell>
          <cell r="AV323">
            <v>8651275.9499999993</v>
          </cell>
          <cell r="AW323">
            <v>8651276</v>
          </cell>
          <cell r="AY323">
            <v>-328339</v>
          </cell>
          <cell r="AZ323">
            <v>292972</v>
          </cell>
          <cell r="BA323">
            <v>369674</v>
          </cell>
          <cell r="BC323">
            <v>0</v>
          </cell>
          <cell r="BD323">
            <v>8985583</v>
          </cell>
          <cell r="BG323">
            <v>3884598.89</v>
          </cell>
          <cell r="BI323" t="str">
            <v>Forecast</v>
          </cell>
        </row>
        <row r="324">
          <cell r="B324" t="str">
            <v>Sep 2014</v>
          </cell>
          <cell r="C324" t="str">
            <v>PSS</v>
          </cell>
          <cell r="D324" t="str">
            <v>PSS</v>
          </cell>
          <cell r="E324" t="str">
            <v>KUCIE717</v>
          </cell>
          <cell r="F324">
            <v>0</v>
          </cell>
          <cell r="G324">
            <v>0</v>
          </cell>
          <cell r="H324">
            <v>0</v>
          </cell>
          <cell r="I324">
            <v>0</v>
          </cell>
          <cell r="J324">
            <v>0</v>
          </cell>
          <cell r="K324">
            <v>0</v>
          </cell>
          <cell r="L324">
            <v>0</v>
          </cell>
          <cell r="M324">
            <v>0</v>
          </cell>
          <cell r="N324">
            <v>0</v>
          </cell>
          <cell r="O324">
            <v>0</v>
          </cell>
          <cell r="S324">
            <v>0</v>
          </cell>
          <cell r="T324">
            <v>0</v>
          </cell>
          <cell r="U324">
            <v>0</v>
          </cell>
          <cell r="V324">
            <v>0</v>
          </cell>
          <cell r="W324">
            <v>0</v>
          </cell>
          <cell r="X324">
            <v>0</v>
          </cell>
          <cell r="AL324">
            <v>0</v>
          </cell>
          <cell r="AM324">
            <v>0</v>
          </cell>
          <cell r="AP324">
            <v>0</v>
          </cell>
          <cell r="AQ324">
            <v>0</v>
          </cell>
          <cell r="AR324">
            <v>0</v>
          </cell>
          <cell r="AV324">
            <v>0</v>
          </cell>
          <cell r="AW324">
            <v>0</v>
          </cell>
          <cell r="AY324">
            <v>0</v>
          </cell>
          <cell r="AZ324">
            <v>0</v>
          </cell>
          <cell r="BA324">
            <v>0</v>
          </cell>
          <cell r="BC324">
            <v>0</v>
          </cell>
          <cell r="BD324">
            <v>0</v>
          </cell>
          <cell r="BG324">
            <v>0</v>
          </cell>
          <cell r="BI324" t="str">
            <v>Forecast</v>
          </cell>
        </row>
        <row r="325">
          <cell r="B325" t="str">
            <v>Sep 2014</v>
          </cell>
          <cell r="C325" t="str">
            <v>GS</v>
          </cell>
          <cell r="D325" t="str">
            <v>GS</v>
          </cell>
          <cell r="E325" t="str">
            <v>KUCME110</v>
          </cell>
          <cell r="F325">
            <v>63413</v>
          </cell>
          <cell r="G325">
            <v>0</v>
          </cell>
          <cell r="H325">
            <v>0</v>
          </cell>
          <cell r="I325">
            <v>0</v>
          </cell>
          <cell r="J325">
            <v>0</v>
          </cell>
          <cell r="K325">
            <v>67737296</v>
          </cell>
          <cell r="L325">
            <v>0</v>
          </cell>
          <cell r="M325">
            <v>0</v>
          </cell>
          <cell r="N325">
            <v>0</v>
          </cell>
          <cell r="O325">
            <v>0</v>
          </cell>
          <cell r="S325">
            <v>0</v>
          </cell>
          <cell r="T325">
            <v>0</v>
          </cell>
          <cell r="U325">
            <v>0</v>
          </cell>
          <cell r="V325">
            <v>0</v>
          </cell>
          <cell r="W325">
            <v>0</v>
          </cell>
          <cell r="X325">
            <v>0</v>
          </cell>
          <cell r="AL325">
            <v>0</v>
          </cell>
          <cell r="AM325">
            <v>0</v>
          </cell>
          <cell r="AP325">
            <v>0</v>
          </cell>
          <cell r="AQ325">
            <v>0</v>
          </cell>
          <cell r="AR325">
            <v>0</v>
          </cell>
          <cell r="AV325">
            <v>7517025.5599999996</v>
          </cell>
          <cell r="AW325">
            <v>7517027</v>
          </cell>
          <cell r="AY325">
            <v>-165578</v>
          </cell>
          <cell r="AZ325">
            <v>147743</v>
          </cell>
          <cell r="BA325">
            <v>186423</v>
          </cell>
          <cell r="BC325">
            <v>0</v>
          </cell>
          <cell r="BD325">
            <v>7685615</v>
          </cell>
          <cell r="BG325">
            <v>1958962.6</v>
          </cell>
          <cell r="BI325" t="str">
            <v>Forecast</v>
          </cell>
        </row>
        <row r="326">
          <cell r="B326" t="str">
            <v>Sep 2014</v>
          </cell>
          <cell r="C326" t="str">
            <v>GS</v>
          </cell>
          <cell r="D326" t="str">
            <v>GS</v>
          </cell>
          <cell r="E326" t="str">
            <v>KUCME112</v>
          </cell>
          <cell r="F326">
            <v>0</v>
          </cell>
          <cell r="G326">
            <v>0</v>
          </cell>
          <cell r="H326">
            <v>0</v>
          </cell>
          <cell r="I326">
            <v>0</v>
          </cell>
          <cell r="J326">
            <v>0</v>
          </cell>
          <cell r="K326">
            <v>0</v>
          </cell>
          <cell r="L326">
            <v>0</v>
          </cell>
          <cell r="M326">
            <v>0</v>
          </cell>
          <cell r="N326">
            <v>0</v>
          </cell>
          <cell r="O326">
            <v>0</v>
          </cell>
          <cell r="S326">
            <v>0</v>
          </cell>
          <cell r="T326">
            <v>0</v>
          </cell>
          <cell r="U326">
            <v>0</v>
          </cell>
          <cell r="V326">
            <v>0</v>
          </cell>
          <cell r="W326">
            <v>0</v>
          </cell>
          <cell r="X326">
            <v>0</v>
          </cell>
          <cell r="AL326">
            <v>0</v>
          </cell>
          <cell r="AM326">
            <v>0</v>
          </cell>
          <cell r="AP326">
            <v>0</v>
          </cell>
          <cell r="AQ326">
            <v>0</v>
          </cell>
          <cell r="AR326">
            <v>0</v>
          </cell>
          <cell r="AV326">
            <v>0</v>
          </cell>
          <cell r="AW326">
            <v>0</v>
          </cell>
          <cell r="AY326">
            <v>0</v>
          </cell>
          <cell r="AZ326">
            <v>0</v>
          </cell>
          <cell r="BA326">
            <v>0</v>
          </cell>
          <cell r="BC326">
            <v>0</v>
          </cell>
          <cell r="BD326">
            <v>0</v>
          </cell>
          <cell r="BG326">
            <v>0</v>
          </cell>
          <cell r="BI326" t="str">
            <v>Forecast</v>
          </cell>
        </row>
        <row r="327">
          <cell r="B327" t="str">
            <v>Sep 2014</v>
          </cell>
          <cell r="C327" t="str">
            <v>GS3</v>
          </cell>
          <cell r="D327" t="str">
            <v>GS3</v>
          </cell>
          <cell r="E327" t="str">
            <v>KUCME113</v>
          </cell>
          <cell r="F327">
            <v>18537</v>
          </cell>
          <cell r="G327">
            <v>0</v>
          </cell>
          <cell r="H327">
            <v>0</v>
          </cell>
          <cell r="I327">
            <v>0</v>
          </cell>
          <cell r="J327">
            <v>0</v>
          </cell>
          <cell r="K327">
            <v>98971337</v>
          </cell>
          <cell r="L327">
            <v>0</v>
          </cell>
          <cell r="M327">
            <v>361876.83</v>
          </cell>
          <cell r="N327">
            <v>0</v>
          </cell>
          <cell r="O327">
            <v>0</v>
          </cell>
          <cell r="S327">
            <v>0</v>
          </cell>
          <cell r="T327">
            <v>0</v>
          </cell>
          <cell r="U327">
            <v>0</v>
          </cell>
          <cell r="V327">
            <v>0</v>
          </cell>
          <cell r="W327">
            <v>0</v>
          </cell>
          <cell r="X327">
            <v>0</v>
          </cell>
          <cell r="AL327">
            <v>0</v>
          </cell>
          <cell r="AM327">
            <v>0</v>
          </cell>
          <cell r="AP327">
            <v>0</v>
          </cell>
          <cell r="AQ327">
            <v>0</v>
          </cell>
          <cell r="AR327">
            <v>0</v>
          </cell>
          <cell r="AV327">
            <v>9778900.8399999999</v>
          </cell>
          <cell r="AW327">
            <v>9778897</v>
          </cell>
          <cell r="AY327">
            <v>-241927</v>
          </cell>
          <cell r="AZ327">
            <v>215868</v>
          </cell>
          <cell r="BA327">
            <v>272383</v>
          </cell>
          <cell r="BC327">
            <v>0</v>
          </cell>
          <cell r="BD327">
            <v>10025221</v>
          </cell>
          <cell r="BG327">
            <v>2862251.07</v>
          </cell>
          <cell r="BI327" t="str">
            <v>Forecast</v>
          </cell>
        </row>
        <row r="328">
          <cell r="B328" t="str">
            <v>Sep 2014</v>
          </cell>
          <cell r="C328" t="str">
            <v>AES</v>
          </cell>
          <cell r="D328" t="str">
            <v>AES</v>
          </cell>
          <cell r="E328" t="str">
            <v>KUCME220</v>
          </cell>
          <cell r="F328">
            <v>372</v>
          </cell>
          <cell r="G328">
            <v>0</v>
          </cell>
          <cell r="H328">
            <v>0</v>
          </cell>
          <cell r="I328">
            <v>0</v>
          </cell>
          <cell r="J328">
            <v>0</v>
          </cell>
          <cell r="K328">
            <v>584367</v>
          </cell>
          <cell r="L328">
            <v>0</v>
          </cell>
          <cell r="M328">
            <v>0</v>
          </cell>
          <cell r="N328">
            <v>0</v>
          </cell>
          <cell r="O328">
            <v>0</v>
          </cell>
          <cell r="S328">
            <v>0</v>
          </cell>
          <cell r="T328">
            <v>0</v>
          </cell>
          <cell r="U328">
            <v>0</v>
          </cell>
          <cell r="V328">
            <v>0</v>
          </cell>
          <cell r="W328">
            <v>0</v>
          </cell>
          <cell r="X328">
            <v>0</v>
          </cell>
          <cell r="AL328">
            <v>0</v>
          </cell>
          <cell r="AM328">
            <v>0</v>
          </cell>
          <cell r="AP328">
            <v>0</v>
          </cell>
          <cell r="AQ328">
            <v>0</v>
          </cell>
          <cell r="AR328">
            <v>0</v>
          </cell>
          <cell r="AV328">
            <v>50916.9</v>
          </cell>
          <cell r="AW328">
            <v>50916</v>
          </cell>
          <cell r="AY328">
            <v>-1428</v>
          </cell>
          <cell r="AZ328">
            <v>1275</v>
          </cell>
          <cell r="BA328">
            <v>1608</v>
          </cell>
          <cell r="BC328">
            <v>0</v>
          </cell>
          <cell r="BD328">
            <v>52371</v>
          </cell>
          <cell r="BG328">
            <v>16899.89</v>
          </cell>
          <cell r="BI328" t="str">
            <v>Forecast</v>
          </cell>
        </row>
        <row r="329">
          <cell r="B329" t="str">
            <v>Sep 2014</v>
          </cell>
          <cell r="C329" t="str">
            <v>AES</v>
          </cell>
          <cell r="D329" t="str">
            <v>AES</v>
          </cell>
          <cell r="E329" t="str">
            <v>KUCME221</v>
          </cell>
          <cell r="F329">
            <v>0</v>
          </cell>
          <cell r="G329">
            <v>0</v>
          </cell>
          <cell r="H329">
            <v>0</v>
          </cell>
          <cell r="I329">
            <v>0</v>
          </cell>
          <cell r="J329">
            <v>0</v>
          </cell>
          <cell r="K329">
            <v>0</v>
          </cell>
          <cell r="L329">
            <v>0</v>
          </cell>
          <cell r="M329">
            <v>0</v>
          </cell>
          <cell r="N329">
            <v>0</v>
          </cell>
          <cell r="O329">
            <v>0</v>
          </cell>
          <cell r="S329">
            <v>0</v>
          </cell>
          <cell r="T329">
            <v>0</v>
          </cell>
          <cell r="U329">
            <v>0</v>
          </cell>
          <cell r="V329">
            <v>0</v>
          </cell>
          <cell r="W329">
            <v>0</v>
          </cell>
          <cell r="X329">
            <v>0</v>
          </cell>
          <cell r="AL329">
            <v>0</v>
          </cell>
          <cell r="AM329">
            <v>0</v>
          </cell>
          <cell r="AP329">
            <v>0</v>
          </cell>
          <cell r="AQ329">
            <v>0</v>
          </cell>
          <cell r="AR329">
            <v>0</v>
          </cell>
          <cell r="AV329">
            <v>0</v>
          </cell>
          <cell r="AW329">
            <v>0</v>
          </cell>
          <cell r="AY329">
            <v>0</v>
          </cell>
          <cell r="AZ329">
            <v>0</v>
          </cell>
          <cell r="BA329">
            <v>0</v>
          </cell>
          <cell r="BC329">
            <v>0</v>
          </cell>
          <cell r="BD329">
            <v>0</v>
          </cell>
          <cell r="BG329">
            <v>0</v>
          </cell>
          <cell r="BI329" t="str">
            <v>Forecast</v>
          </cell>
        </row>
        <row r="330">
          <cell r="B330" t="str">
            <v>Sep 2014</v>
          </cell>
          <cell r="C330" t="str">
            <v>AES3</v>
          </cell>
          <cell r="D330" t="str">
            <v>AES3</v>
          </cell>
          <cell r="E330" t="str">
            <v>KUCME223</v>
          </cell>
          <cell r="F330">
            <v>0</v>
          </cell>
          <cell r="G330">
            <v>0</v>
          </cell>
          <cell r="H330">
            <v>0</v>
          </cell>
          <cell r="I330">
            <v>0</v>
          </cell>
          <cell r="J330">
            <v>0</v>
          </cell>
          <cell r="K330">
            <v>0</v>
          </cell>
          <cell r="L330">
            <v>0</v>
          </cell>
          <cell r="M330">
            <v>0</v>
          </cell>
          <cell r="N330">
            <v>0</v>
          </cell>
          <cell r="O330">
            <v>0</v>
          </cell>
          <cell r="S330">
            <v>0</v>
          </cell>
          <cell r="T330">
            <v>0</v>
          </cell>
          <cell r="U330">
            <v>0</v>
          </cell>
          <cell r="V330">
            <v>0</v>
          </cell>
          <cell r="W330">
            <v>0</v>
          </cell>
          <cell r="X330">
            <v>0</v>
          </cell>
          <cell r="AL330">
            <v>0</v>
          </cell>
          <cell r="AM330">
            <v>0</v>
          </cell>
          <cell r="AP330">
            <v>0</v>
          </cell>
          <cell r="AQ330">
            <v>0</v>
          </cell>
          <cell r="AR330">
            <v>0</v>
          </cell>
          <cell r="AV330">
            <v>0</v>
          </cell>
          <cell r="AW330">
            <v>0</v>
          </cell>
          <cell r="AY330">
            <v>0</v>
          </cell>
          <cell r="AZ330">
            <v>0</v>
          </cell>
          <cell r="BA330">
            <v>0</v>
          </cell>
          <cell r="BC330">
            <v>0</v>
          </cell>
          <cell r="BD330">
            <v>0</v>
          </cell>
          <cell r="BG330">
            <v>0</v>
          </cell>
          <cell r="BI330" t="str">
            <v>Forecast</v>
          </cell>
        </row>
        <row r="331">
          <cell r="B331" t="str">
            <v>Sep 2014</v>
          </cell>
          <cell r="C331" t="str">
            <v>AES3</v>
          </cell>
          <cell r="D331" t="str">
            <v>AES3</v>
          </cell>
          <cell r="E331" t="str">
            <v>KUCME224</v>
          </cell>
          <cell r="F331">
            <v>259</v>
          </cell>
          <cell r="G331">
            <v>0</v>
          </cell>
          <cell r="H331">
            <v>0</v>
          </cell>
          <cell r="I331">
            <v>0</v>
          </cell>
          <cell r="J331">
            <v>0</v>
          </cell>
          <cell r="K331">
            <v>10830968</v>
          </cell>
          <cell r="L331">
            <v>0</v>
          </cell>
          <cell r="M331">
            <v>39481.29</v>
          </cell>
          <cell r="N331">
            <v>0</v>
          </cell>
          <cell r="O331">
            <v>0</v>
          </cell>
          <cell r="S331">
            <v>0</v>
          </cell>
          <cell r="T331">
            <v>0</v>
          </cell>
          <cell r="U331">
            <v>0</v>
          </cell>
          <cell r="V331">
            <v>0</v>
          </cell>
          <cell r="W331">
            <v>0</v>
          </cell>
          <cell r="X331">
            <v>0</v>
          </cell>
          <cell r="AL331">
            <v>0</v>
          </cell>
          <cell r="AM331">
            <v>0</v>
          </cell>
          <cell r="AP331">
            <v>0</v>
          </cell>
          <cell r="AQ331">
            <v>0</v>
          </cell>
          <cell r="AR331">
            <v>0</v>
          </cell>
          <cell r="AV331">
            <v>814889.02</v>
          </cell>
          <cell r="AW331">
            <v>814889</v>
          </cell>
          <cell r="AY331">
            <v>-26475</v>
          </cell>
          <cell r="AZ331">
            <v>23624</v>
          </cell>
          <cell r="BA331">
            <v>29808</v>
          </cell>
          <cell r="BC331">
            <v>0</v>
          </cell>
          <cell r="BD331">
            <v>841846</v>
          </cell>
          <cell r="BG331">
            <v>313231.59000000003</v>
          </cell>
          <cell r="BI331" t="str">
            <v>Forecast</v>
          </cell>
        </row>
        <row r="332">
          <cell r="B332" t="str">
            <v>Sep 2014</v>
          </cell>
          <cell r="C332" t="str">
            <v>AES3</v>
          </cell>
          <cell r="D332" t="str">
            <v>AES3</v>
          </cell>
          <cell r="E332" t="str">
            <v>KUCME225</v>
          </cell>
          <cell r="F332">
            <v>0</v>
          </cell>
          <cell r="G332">
            <v>0</v>
          </cell>
          <cell r="H332">
            <v>0</v>
          </cell>
          <cell r="I332">
            <v>0</v>
          </cell>
          <cell r="J332">
            <v>0</v>
          </cell>
          <cell r="K332">
            <v>0</v>
          </cell>
          <cell r="L332">
            <v>0</v>
          </cell>
          <cell r="M332">
            <v>0</v>
          </cell>
          <cell r="N332">
            <v>0</v>
          </cell>
          <cell r="O332">
            <v>0</v>
          </cell>
          <cell r="S332">
            <v>0</v>
          </cell>
          <cell r="T332">
            <v>0</v>
          </cell>
          <cell r="U332">
            <v>0</v>
          </cell>
          <cell r="V332">
            <v>0</v>
          </cell>
          <cell r="W332">
            <v>0</v>
          </cell>
          <cell r="X332">
            <v>0</v>
          </cell>
          <cell r="AL332">
            <v>0</v>
          </cell>
          <cell r="AM332">
            <v>0</v>
          </cell>
          <cell r="AP332">
            <v>0</v>
          </cell>
          <cell r="AQ332">
            <v>0</v>
          </cell>
          <cell r="AR332">
            <v>0</v>
          </cell>
          <cell r="AV332">
            <v>0</v>
          </cell>
          <cell r="AW332">
            <v>0</v>
          </cell>
          <cell r="AY332">
            <v>0</v>
          </cell>
          <cell r="AZ332">
            <v>0</v>
          </cell>
          <cell r="BA332">
            <v>0</v>
          </cell>
          <cell r="BC332">
            <v>0</v>
          </cell>
          <cell r="BD332">
            <v>0</v>
          </cell>
          <cell r="BG332">
            <v>0</v>
          </cell>
          <cell r="BI332" t="str">
            <v>Forecast</v>
          </cell>
        </row>
        <row r="333">
          <cell r="B333" t="str">
            <v>Sep 2014</v>
          </cell>
          <cell r="C333" t="str">
            <v>AES</v>
          </cell>
          <cell r="D333" t="str">
            <v>AES</v>
          </cell>
          <cell r="E333" t="str">
            <v>KUCME226</v>
          </cell>
          <cell r="F333">
            <v>0</v>
          </cell>
          <cell r="G333">
            <v>0</v>
          </cell>
          <cell r="H333">
            <v>0</v>
          </cell>
          <cell r="I333">
            <v>0</v>
          </cell>
          <cell r="J333">
            <v>0</v>
          </cell>
          <cell r="K333">
            <v>0</v>
          </cell>
          <cell r="L333">
            <v>0</v>
          </cell>
          <cell r="M333">
            <v>0</v>
          </cell>
          <cell r="N333">
            <v>0</v>
          </cell>
          <cell r="O333">
            <v>0</v>
          </cell>
          <cell r="S333">
            <v>0</v>
          </cell>
          <cell r="T333">
            <v>0</v>
          </cell>
          <cell r="U333">
            <v>0</v>
          </cell>
          <cell r="V333">
            <v>0</v>
          </cell>
          <cell r="W333">
            <v>0</v>
          </cell>
          <cell r="X333">
            <v>0</v>
          </cell>
          <cell r="AL333">
            <v>0</v>
          </cell>
          <cell r="AM333">
            <v>0</v>
          </cell>
          <cell r="AP333">
            <v>0</v>
          </cell>
          <cell r="AQ333">
            <v>0</v>
          </cell>
          <cell r="AR333">
            <v>0</v>
          </cell>
          <cell r="AV333">
            <v>0</v>
          </cell>
          <cell r="AW333">
            <v>0</v>
          </cell>
          <cell r="AY333">
            <v>0</v>
          </cell>
          <cell r="AZ333">
            <v>0</v>
          </cell>
          <cell r="BA333">
            <v>0</v>
          </cell>
          <cell r="BC333">
            <v>0</v>
          </cell>
          <cell r="BD333">
            <v>0</v>
          </cell>
          <cell r="BG333">
            <v>0</v>
          </cell>
          <cell r="BI333" t="str">
            <v>Forecast</v>
          </cell>
        </row>
        <row r="334">
          <cell r="B334" t="str">
            <v>Sep 2014</v>
          </cell>
          <cell r="C334" t="str">
            <v>AES3</v>
          </cell>
          <cell r="D334" t="str">
            <v>AES3</v>
          </cell>
          <cell r="E334" t="str">
            <v>KUCME227</v>
          </cell>
          <cell r="F334">
            <v>0</v>
          </cell>
          <cell r="G334">
            <v>0</v>
          </cell>
          <cell r="H334">
            <v>0</v>
          </cell>
          <cell r="I334">
            <v>0</v>
          </cell>
          <cell r="J334">
            <v>0</v>
          </cell>
          <cell r="K334">
            <v>0</v>
          </cell>
          <cell r="L334">
            <v>0</v>
          </cell>
          <cell r="M334">
            <v>0</v>
          </cell>
          <cell r="N334">
            <v>0</v>
          </cell>
          <cell r="O334">
            <v>0</v>
          </cell>
          <cell r="S334">
            <v>0</v>
          </cell>
          <cell r="T334">
            <v>0</v>
          </cell>
          <cell r="U334">
            <v>0</v>
          </cell>
          <cell r="V334">
            <v>0</v>
          </cell>
          <cell r="W334">
            <v>0</v>
          </cell>
          <cell r="X334">
            <v>0</v>
          </cell>
          <cell r="AL334">
            <v>0</v>
          </cell>
          <cell r="AM334">
            <v>0</v>
          </cell>
          <cell r="AP334">
            <v>0</v>
          </cell>
          <cell r="AQ334">
            <v>0</v>
          </cell>
          <cell r="AR334">
            <v>0</v>
          </cell>
          <cell r="AV334">
            <v>0</v>
          </cell>
          <cell r="AW334">
            <v>0</v>
          </cell>
          <cell r="AY334">
            <v>0</v>
          </cell>
          <cell r="AZ334">
            <v>0</v>
          </cell>
          <cell r="BA334">
            <v>0</v>
          </cell>
          <cell r="BC334">
            <v>0</v>
          </cell>
          <cell r="BD334">
            <v>0</v>
          </cell>
          <cell r="BG334">
            <v>0</v>
          </cell>
          <cell r="BI334" t="str">
            <v>Forecast</v>
          </cell>
        </row>
        <row r="335">
          <cell r="B335" t="str">
            <v>Sep 2014</v>
          </cell>
          <cell r="C335" t="str">
            <v>LE</v>
          </cell>
          <cell r="D335" t="str">
            <v>LE</v>
          </cell>
          <cell r="E335" t="str">
            <v>KUCME290</v>
          </cell>
          <cell r="F335">
            <v>2</v>
          </cell>
          <cell r="G335">
            <v>0</v>
          </cell>
          <cell r="H335">
            <v>0</v>
          </cell>
          <cell r="I335">
            <v>0</v>
          </cell>
          <cell r="J335">
            <v>0</v>
          </cell>
          <cell r="K335">
            <v>14365</v>
          </cell>
          <cell r="L335">
            <v>0</v>
          </cell>
          <cell r="M335">
            <v>0</v>
          </cell>
          <cell r="N335">
            <v>0</v>
          </cell>
          <cell r="O335">
            <v>0</v>
          </cell>
          <cell r="S335">
            <v>0</v>
          </cell>
          <cell r="T335">
            <v>0</v>
          </cell>
          <cell r="U335">
            <v>0</v>
          </cell>
          <cell r="V335">
            <v>0</v>
          </cell>
          <cell r="W335">
            <v>0</v>
          </cell>
          <cell r="X335">
            <v>0</v>
          </cell>
          <cell r="AL335">
            <v>0</v>
          </cell>
          <cell r="AM335">
            <v>0</v>
          </cell>
          <cell r="AP335">
            <v>0</v>
          </cell>
          <cell r="AQ335">
            <v>0</v>
          </cell>
          <cell r="AR335">
            <v>0</v>
          </cell>
          <cell r="AV335">
            <v>916.49</v>
          </cell>
          <cell r="AW335">
            <v>916</v>
          </cell>
          <cell r="AY335">
            <v>-35</v>
          </cell>
          <cell r="AZ335">
            <v>0</v>
          </cell>
          <cell r="BA335">
            <v>40</v>
          </cell>
          <cell r="BC335">
            <v>0</v>
          </cell>
          <cell r="BD335">
            <v>921</v>
          </cell>
          <cell r="BG335">
            <v>415.44</v>
          </cell>
          <cell r="BI335" t="str">
            <v>Forecast</v>
          </cell>
        </row>
        <row r="336">
          <cell r="B336" t="str">
            <v>Sep 2014</v>
          </cell>
          <cell r="C336" t="str">
            <v>LE</v>
          </cell>
          <cell r="D336" t="str">
            <v>LE</v>
          </cell>
          <cell r="E336" t="str">
            <v>KUCME291</v>
          </cell>
          <cell r="F336">
            <v>0</v>
          </cell>
          <cell r="G336">
            <v>0</v>
          </cell>
          <cell r="H336">
            <v>0</v>
          </cell>
          <cell r="I336">
            <v>0</v>
          </cell>
          <cell r="J336">
            <v>0</v>
          </cell>
          <cell r="K336">
            <v>0</v>
          </cell>
          <cell r="L336">
            <v>0</v>
          </cell>
          <cell r="M336">
            <v>0</v>
          </cell>
          <cell r="N336">
            <v>0</v>
          </cell>
          <cell r="O336">
            <v>0</v>
          </cell>
          <cell r="S336">
            <v>0</v>
          </cell>
          <cell r="T336">
            <v>0</v>
          </cell>
          <cell r="U336">
            <v>0</v>
          </cell>
          <cell r="V336">
            <v>0</v>
          </cell>
          <cell r="W336">
            <v>0</v>
          </cell>
          <cell r="X336">
            <v>0</v>
          </cell>
          <cell r="AL336">
            <v>0</v>
          </cell>
          <cell r="AM336">
            <v>0</v>
          </cell>
          <cell r="AP336">
            <v>0</v>
          </cell>
          <cell r="AQ336">
            <v>0</v>
          </cell>
          <cell r="AR336">
            <v>0</v>
          </cell>
          <cell r="AV336">
            <v>0</v>
          </cell>
          <cell r="AW336">
            <v>0</v>
          </cell>
          <cell r="AY336">
            <v>0</v>
          </cell>
          <cell r="AZ336">
            <v>0</v>
          </cell>
          <cell r="BA336">
            <v>0</v>
          </cell>
          <cell r="BC336">
            <v>0</v>
          </cell>
          <cell r="BD336">
            <v>0</v>
          </cell>
          <cell r="BG336">
            <v>0</v>
          </cell>
          <cell r="BI336" t="str">
            <v>Forecast</v>
          </cell>
        </row>
        <row r="337">
          <cell r="B337" t="str">
            <v>Sep 2014</v>
          </cell>
          <cell r="C337" t="str">
            <v>TE</v>
          </cell>
          <cell r="D337" t="str">
            <v>TE</v>
          </cell>
          <cell r="E337" t="str">
            <v>KUCME295</v>
          </cell>
          <cell r="F337">
            <v>747</v>
          </cell>
          <cell r="G337">
            <v>0</v>
          </cell>
          <cell r="H337">
            <v>0</v>
          </cell>
          <cell r="I337">
            <v>0</v>
          </cell>
          <cell r="J337">
            <v>0</v>
          </cell>
          <cell r="K337">
            <v>103686</v>
          </cell>
          <cell r="L337">
            <v>0</v>
          </cell>
          <cell r="M337">
            <v>0</v>
          </cell>
          <cell r="N337">
            <v>0</v>
          </cell>
          <cell r="O337">
            <v>0</v>
          </cell>
          <cell r="S337">
            <v>0</v>
          </cell>
          <cell r="T337">
            <v>0</v>
          </cell>
          <cell r="U337">
            <v>0</v>
          </cell>
          <cell r="V337">
            <v>0</v>
          </cell>
          <cell r="W337">
            <v>0</v>
          </cell>
          <cell r="X337">
            <v>0</v>
          </cell>
          <cell r="AL337">
            <v>0</v>
          </cell>
          <cell r="AM337">
            <v>0</v>
          </cell>
          <cell r="AP337">
            <v>0</v>
          </cell>
          <cell r="AQ337">
            <v>0</v>
          </cell>
          <cell r="AR337">
            <v>0</v>
          </cell>
          <cell r="AV337">
            <v>10699.82</v>
          </cell>
          <cell r="AW337">
            <v>10699.75</v>
          </cell>
          <cell r="AY337">
            <v>-253</v>
          </cell>
          <cell r="AZ337">
            <v>0</v>
          </cell>
          <cell r="BA337">
            <v>285</v>
          </cell>
          <cell r="BC337">
            <v>0</v>
          </cell>
          <cell r="BD337">
            <v>10731.75</v>
          </cell>
          <cell r="BG337">
            <v>2998.6</v>
          </cell>
          <cell r="BI337" t="str">
            <v>Forecast</v>
          </cell>
        </row>
        <row r="338">
          <cell r="B338" t="str">
            <v>Sep 2014</v>
          </cell>
          <cell r="C338" t="str">
            <v>TE</v>
          </cell>
          <cell r="D338" t="str">
            <v>TE</v>
          </cell>
          <cell r="E338" t="str">
            <v>KUCME297</v>
          </cell>
          <cell r="F338">
            <v>0</v>
          </cell>
          <cell r="G338">
            <v>0</v>
          </cell>
          <cell r="H338">
            <v>0</v>
          </cell>
          <cell r="I338">
            <v>0</v>
          </cell>
          <cell r="J338">
            <v>0</v>
          </cell>
          <cell r="K338">
            <v>0</v>
          </cell>
          <cell r="L338">
            <v>0</v>
          </cell>
          <cell r="M338">
            <v>0</v>
          </cell>
          <cell r="N338">
            <v>0</v>
          </cell>
          <cell r="O338">
            <v>0</v>
          </cell>
          <cell r="S338">
            <v>0</v>
          </cell>
          <cell r="T338">
            <v>0</v>
          </cell>
          <cell r="U338">
            <v>0</v>
          </cell>
          <cell r="V338">
            <v>0</v>
          </cell>
          <cell r="W338">
            <v>0</v>
          </cell>
          <cell r="X338">
            <v>0</v>
          </cell>
          <cell r="AL338">
            <v>0</v>
          </cell>
          <cell r="AM338">
            <v>0</v>
          </cell>
          <cell r="AP338">
            <v>0</v>
          </cell>
          <cell r="AQ338">
            <v>0</v>
          </cell>
          <cell r="AR338">
            <v>0</v>
          </cell>
          <cell r="AV338">
            <v>0</v>
          </cell>
          <cell r="AW338">
            <v>0</v>
          </cell>
          <cell r="AY338">
            <v>0</v>
          </cell>
          <cell r="AZ338">
            <v>0</v>
          </cell>
          <cell r="BA338">
            <v>0</v>
          </cell>
          <cell r="BC338">
            <v>0</v>
          </cell>
          <cell r="BD338">
            <v>0</v>
          </cell>
          <cell r="BG338">
            <v>0</v>
          </cell>
          <cell r="BI338" t="str">
            <v>Forecast</v>
          </cell>
        </row>
        <row r="339">
          <cell r="B339" t="str">
            <v>Sep 2014</v>
          </cell>
          <cell r="C339" t="str">
            <v>SQF</v>
          </cell>
          <cell r="D339" t="str">
            <v>SQF</v>
          </cell>
          <cell r="E339" t="str">
            <v>KUCME705</v>
          </cell>
          <cell r="F339">
            <v>0</v>
          </cell>
          <cell r="G339">
            <v>0</v>
          </cell>
          <cell r="H339">
            <v>0</v>
          </cell>
          <cell r="I339">
            <v>0</v>
          </cell>
          <cell r="J339">
            <v>0</v>
          </cell>
          <cell r="K339">
            <v>0</v>
          </cell>
          <cell r="L339">
            <v>0</v>
          </cell>
          <cell r="M339">
            <v>0</v>
          </cell>
          <cell r="N339">
            <v>0</v>
          </cell>
          <cell r="O339">
            <v>0</v>
          </cell>
          <cell r="S339">
            <v>0</v>
          </cell>
          <cell r="T339">
            <v>0</v>
          </cell>
          <cell r="U339">
            <v>0</v>
          </cell>
          <cell r="V339">
            <v>0</v>
          </cell>
          <cell r="W339">
            <v>0</v>
          </cell>
          <cell r="X339">
            <v>0</v>
          </cell>
          <cell r="AL339">
            <v>0</v>
          </cell>
          <cell r="AM339">
            <v>0</v>
          </cell>
          <cell r="AP339">
            <v>0</v>
          </cell>
          <cell r="AQ339">
            <v>0</v>
          </cell>
          <cell r="AR339">
            <v>0</v>
          </cell>
          <cell r="AV339">
            <v>0</v>
          </cell>
          <cell r="AW339">
            <v>0</v>
          </cell>
          <cell r="AY339">
            <v>0</v>
          </cell>
          <cell r="AZ339">
            <v>0</v>
          </cell>
          <cell r="BA339">
            <v>0</v>
          </cell>
          <cell r="BC339">
            <v>0</v>
          </cell>
          <cell r="BD339">
            <v>0</v>
          </cell>
          <cell r="BG339">
            <v>0</v>
          </cell>
          <cell r="BI339" t="str">
            <v>Forecast</v>
          </cell>
        </row>
        <row r="340">
          <cell r="B340" t="str">
            <v>Sep 2014</v>
          </cell>
          <cell r="C340" t="str">
            <v>LQF</v>
          </cell>
          <cell r="D340" t="str">
            <v>LQF</v>
          </cell>
          <cell r="E340" t="str">
            <v>KUCME707</v>
          </cell>
          <cell r="F340">
            <v>0</v>
          </cell>
          <cell r="G340">
            <v>0</v>
          </cell>
          <cell r="H340">
            <v>0</v>
          </cell>
          <cell r="I340">
            <v>0</v>
          </cell>
          <cell r="J340">
            <v>0</v>
          </cell>
          <cell r="K340">
            <v>0</v>
          </cell>
          <cell r="L340">
            <v>0</v>
          </cell>
          <cell r="M340">
            <v>0</v>
          </cell>
          <cell r="N340">
            <v>0</v>
          </cell>
          <cell r="O340">
            <v>0</v>
          </cell>
          <cell r="S340">
            <v>0</v>
          </cell>
          <cell r="T340">
            <v>0</v>
          </cell>
          <cell r="U340">
            <v>0</v>
          </cell>
          <cell r="V340">
            <v>0</v>
          </cell>
          <cell r="W340">
            <v>0</v>
          </cell>
          <cell r="X340">
            <v>0</v>
          </cell>
          <cell r="AL340">
            <v>0</v>
          </cell>
          <cell r="AM340">
            <v>0</v>
          </cell>
          <cell r="AP340">
            <v>0</v>
          </cell>
          <cell r="AQ340">
            <v>0</v>
          </cell>
          <cell r="AR340">
            <v>0</v>
          </cell>
          <cell r="AV340">
            <v>0</v>
          </cell>
          <cell r="AW340">
            <v>0</v>
          </cell>
          <cell r="AY340">
            <v>0</v>
          </cell>
          <cell r="AZ340">
            <v>0</v>
          </cell>
          <cell r="BA340">
            <v>0</v>
          </cell>
          <cell r="BC340">
            <v>0</v>
          </cell>
          <cell r="BD340">
            <v>0</v>
          </cell>
          <cell r="BG340">
            <v>0</v>
          </cell>
          <cell r="BI340" t="str">
            <v>Forecast</v>
          </cell>
        </row>
        <row r="341">
          <cell r="B341" t="str">
            <v>Sep 2014</v>
          </cell>
          <cell r="C341" t="str">
            <v>GS</v>
          </cell>
          <cell r="D341" t="str">
            <v>GS</v>
          </cell>
          <cell r="E341" t="str">
            <v>KUCME710</v>
          </cell>
          <cell r="F341">
            <v>0</v>
          </cell>
          <cell r="G341">
            <v>0</v>
          </cell>
          <cell r="H341">
            <v>0</v>
          </cell>
          <cell r="I341">
            <v>0</v>
          </cell>
          <cell r="J341">
            <v>0</v>
          </cell>
          <cell r="K341">
            <v>0</v>
          </cell>
          <cell r="L341">
            <v>0</v>
          </cell>
          <cell r="M341">
            <v>0</v>
          </cell>
          <cell r="N341">
            <v>0</v>
          </cell>
          <cell r="O341">
            <v>0</v>
          </cell>
          <cell r="S341">
            <v>0</v>
          </cell>
          <cell r="T341">
            <v>0</v>
          </cell>
          <cell r="U341">
            <v>0</v>
          </cell>
          <cell r="V341">
            <v>0</v>
          </cell>
          <cell r="W341">
            <v>0</v>
          </cell>
          <cell r="X341">
            <v>0</v>
          </cell>
          <cell r="AL341">
            <v>0</v>
          </cell>
          <cell r="AM341">
            <v>0</v>
          </cell>
          <cell r="AP341">
            <v>0</v>
          </cell>
          <cell r="AQ341">
            <v>0</v>
          </cell>
          <cell r="AR341">
            <v>0</v>
          </cell>
          <cell r="AV341">
            <v>0</v>
          </cell>
          <cell r="AW341">
            <v>0</v>
          </cell>
          <cell r="AY341">
            <v>0</v>
          </cell>
          <cell r="AZ341">
            <v>0</v>
          </cell>
          <cell r="BA341">
            <v>0</v>
          </cell>
          <cell r="BC341">
            <v>0</v>
          </cell>
          <cell r="BD341">
            <v>0</v>
          </cell>
          <cell r="BG341">
            <v>0</v>
          </cell>
          <cell r="BI341" t="str">
            <v>Forecast</v>
          </cell>
        </row>
        <row r="342">
          <cell r="B342" t="str">
            <v>Sep 2014</v>
          </cell>
          <cell r="C342" t="str">
            <v>GS3</v>
          </cell>
          <cell r="D342" t="str">
            <v>GS3</v>
          </cell>
          <cell r="E342" t="str">
            <v>KUCME713</v>
          </cell>
          <cell r="F342">
            <v>0</v>
          </cell>
          <cell r="G342">
            <v>0</v>
          </cell>
          <cell r="H342">
            <v>0</v>
          </cell>
          <cell r="I342">
            <v>0</v>
          </cell>
          <cell r="J342">
            <v>0</v>
          </cell>
          <cell r="K342">
            <v>0</v>
          </cell>
          <cell r="L342">
            <v>0</v>
          </cell>
          <cell r="M342">
            <v>0</v>
          </cell>
          <cell r="N342">
            <v>0</v>
          </cell>
          <cell r="O342">
            <v>0</v>
          </cell>
          <cell r="S342">
            <v>0</v>
          </cell>
          <cell r="T342">
            <v>0</v>
          </cell>
          <cell r="U342">
            <v>0</v>
          </cell>
          <cell r="V342">
            <v>0</v>
          </cell>
          <cell r="W342">
            <v>0</v>
          </cell>
          <cell r="X342">
            <v>0</v>
          </cell>
          <cell r="AL342">
            <v>0</v>
          </cell>
          <cell r="AM342">
            <v>0</v>
          </cell>
          <cell r="AP342">
            <v>0</v>
          </cell>
          <cell r="AQ342">
            <v>0</v>
          </cell>
          <cell r="AR342">
            <v>0</v>
          </cell>
          <cell r="AV342">
            <v>0</v>
          </cell>
          <cell r="AW342">
            <v>0</v>
          </cell>
          <cell r="AY342">
            <v>0</v>
          </cell>
          <cell r="AZ342">
            <v>0</v>
          </cell>
          <cell r="BA342">
            <v>0</v>
          </cell>
          <cell r="BC342">
            <v>0</v>
          </cell>
          <cell r="BD342">
            <v>0</v>
          </cell>
          <cell r="BG342">
            <v>0</v>
          </cell>
          <cell r="BI342" t="str">
            <v>Forecast</v>
          </cell>
        </row>
        <row r="343">
          <cell r="B343" t="str">
            <v>Sep 2014</v>
          </cell>
          <cell r="C343" t="str">
            <v>CSR10</v>
          </cell>
          <cell r="D343" t="str">
            <v>CSR10</v>
          </cell>
          <cell r="E343" t="str">
            <v>KUCSR760</v>
          </cell>
          <cell r="F343">
            <v>0</v>
          </cell>
          <cell r="G343">
            <v>0</v>
          </cell>
          <cell r="H343">
            <v>0</v>
          </cell>
          <cell r="I343">
            <v>0</v>
          </cell>
          <cell r="J343">
            <v>0</v>
          </cell>
          <cell r="K343">
            <v>0</v>
          </cell>
          <cell r="L343">
            <v>0</v>
          </cell>
          <cell r="M343">
            <v>0</v>
          </cell>
          <cell r="N343">
            <v>0</v>
          </cell>
          <cell r="O343">
            <v>0</v>
          </cell>
          <cell r="S343">
            <v>0</v>
          </cell>
          <cell r="T343">
            <v>0</v>
          </cell>
          <cell r="U343">
            <v>0</v>
          </cell>
          <cell r="V343">
            <v>0</v>
          </cell>
          <cell r="W343">
            <v>0</v>
          </cell>
          <cell r="X343">
            <v>0</v>
          </cell>
          <cell r="AL343">
            <v>0</v>
          </cell>
          <cell r="AM343">
            <v>0</v>
          </cell>
          <cell r="AP343">
            <v>0</v>
          </cell>
          <cell r="AQ343">
            <v>0</v>
          </cell>
          <cell r="AR343">
            <v>0</v>
          </cell>
          <cell r="AV343">
            <v>0</v>
          </cell>
          <cell r="AW343">
            <v>0</v>
          </cell>
          <cell r="AY343">
            <v>0</v>
          </cell>
          <cell r="AZ343">
            <v>0</v>
          </cell>
          <cell r="BA343">
            <v>0</v>
          </cell>
          <cell r="BC343">
            <v>-989829</v>
          </cell>
          <cell r="BD343">
            <v>-989829</v>
          </cell>
          <cell r="BG343">
            <v>0</v>
          </cell>
          <cell r="BI343" t="str">
            <v>Forecast</v>
          </cell>
        </row>
        <row r="344">
          <cell r="B344" t="str">
            <v>Sep 2014</v>
          </cell>
          <cell r="C344" t="str">
            <v>CSR10</v>
          </cell>
          <cell r="D344" t="str">
            <v>CSR10</v>
          </cell>
          <cell r="E344" t="str">
            <v>KUCSR761</v>
          </cell>
          <cell r="F344">
            <v>0</v>
          </cell>
          <cell r="G344">
            <v>0</v>
          </cell>
          <cell r="H344">
            <v>0</v>
          </cell>
          <cell r="I344">
            <v>0</v>
          </cell>
          <cell r="J344">
            <v>0</v>
          </cell>
          <cell r="K344">
            <v>0</v>
          </cell>
          <cell r="L344">
            <v>0</v>
          </cell>
          <cell r="M344">
            <v>0</v>
          </cell>
          <cell r="N344">
            <v>0</v>
          </cell>
          <cell r="O344">
            <v>0</v>
          </cell>
          <cell r="S344">
            <v>0</v>
          </cell>
          <cell r="T344">
            <v>0</v>
          </cell>
          <cell r="U344">
            <v>0</v>
          </cell>
          <cell r="V344">
            <v>0</v>
          </cell>
          <cell r="W344">
            <v>0</v>
          </cell>
          <cell r="X344">
            <v>0</v>
          </cell>
          <cell r="AL344">
            <v>0</v>
          </cell>
          <cell r="AM344">
            <v>0</v>
          </cell>
          <cell r="AP344">
            <v>0</v>
          </cell>
          <cell r="AQ344">
            <v>0</v>
          </cell>
          <cell r="AR344">
            <v>0</v>
          </cell>
          <cell r="AV344">
            <v>0</v>
          </cell>
          <cell r="AW344">
            <v>0</v>
          </cell>
          <cell r="AY344">
            <v>0</v>
          </cell>
          <cell r="AZ344">
            <v>0</v>
          </cell>
          <cell r="BA344">
            <v>0</v>
          </cell>
          <cell r="BC344">
            <v>0</v>
          </cell>
          <cell r="BD344">
            <v>0</v>
          </cell>
          <cell r="BG344">
            <v>0</v>
          </cell>
          <cell r="BI344" t="str">
            <v>Forecast</v>
          </cell>
        </row>
        <row r="345">
          <cell r="B345" t="str">
            <v>Sep 2014</v>
          </cell>
          <cell r="C345" t="str">
            <v>CSR30</v>
          </cell>
          <cell r="D345" t="str">
            <v>CSR30</v>
          </cell>
          <cell r="E345" t="str">
            <v>KUCSR780</v>
          </cell>
          <cell r="F345">
            <v>0</v>
          </cell>
          <cell r="G345">
            <v>0</v>
          </cell>
          <cell r="H345">
            <v>0</v>
          </cell>
          <cell r="I345">
            <v>0</v>
          </cell>
          <cell r="J345">
            <v>0</v>
          </cell>
          <cell r="K345">
            <v>0</v>
          </cell>
          <cell r="L345">
            <v>0</v>
          </cell>
          <cell r="M345">
            <v>0</v>
          </cell>
          <cell r="N345">
            <v>0</v>
          </cell>
          <cell r="O345">
            <v>0</v>
          </cell>
          <cell r="S345">
            <v>0</v>
          </cell>
          <cell r="T345">
            <v>0</v>
          </cell>
          <cell r="U345">
            <v>0</v>
          </cell>
          <cell r="V345">
            <v>0</v>
          </cell>
          <cell r="W345">
            <v>0</v>
          </cell>
          <cell r="X345">
            <v>0</v>
          </cell>
          <cell r="AL345">
            <v>0</v>
          </cell>
          <cell r="AM345">
            <v>0</v>
          </cell>
          <cell r="AP345">
            <v>0</v>
          </cell>
          <cell r="AQ345">
            <v>0</v>
          </cell>
          <cell r="AR345">
            <v>0</v>
          </cell>
          <cell r="AV345">
            <v>0</v>
          </cell>
          <cell r="AW345">
            <v>0</v>
          </cell>
          <cell r="AY345">
            <v>0</v>
          </cell>
          <cell r="AZ345">
            <v>0</v>
          </cell>
          <cell r="BA345">
            <v>0</v>
          </cell>
          <cell r="BC345">
            <v>0</v>
          </cell>
          <cell r="BD345">
            <v>0</v>
          </cell>
          <cell r="BG345">
            <v>0</v>
          </cell>
          <cell r="BI345" t="str">
            <v>Forecast</v>
          </cell>
        </row>
        <row r="346">
          <cell r="B346" t="str">
            <v>Sep 2014</v>
          </cell>
          <cell r="C346" t="str">
            <v>CSR30</v>
          </cell>
          <cell r="D346" t="str">
            <v>CSR30</v>
          </cell>
          <cell r="E346" t="str">
            <v>KUCSR781</v>
          </cell>
          <cell r="F346">
            <v>0</v>
          </cell>
          <cell r="G346">
            <v>0</v>
          </cell>
          <cell r="H346">
            <v>0</v>
          </cell>
          <cell r="I346">
            <v>0</v>
          </cell>
          <cell r="J346">
            <v>0</v>
          </cell>
          <cell r="K346">
            <v>0</v>
          </cell>
          <cell r="L346">
            <v>0</v>
          </cell>
          <cell r="M346">
            <v>0</v>
          </cell>
          <cell r="N346">
            <v>0</v>
          </cell>
          <cell r="O346">
            <v>0</v>
          </cell>
          <cell r="S346">
            <v>0</v>
          </cell>
          <cell r="T346">
            <v>0</v>
          </cell>
          <cell r="U346">
            <v>0</v>
          </cell>
          <cell r="V346">
            <v>0</v>
          </cell>
          <cell r="W346">
            <v>0</v>
          </cell>
          <cell r="X346">
            <v>0</v>
          </cell>
          <cell r="AL346">
            <v>0</v>
          </cell>
          <cell r="AM346">
            <v>0</v>
          </cell>
          <cell r="AP346">
            <v>0</v>
          </cell>
          <cell r="AQ346">
            <v>0</v>
          </cell>
          <cell r="AR346">
            <v>0</v>
          </cell>
          <cell r="AV346">
            <v>0</v>
          </cell>
          <cell r="AW346">
            <v>0</v>
          </cell>
          <cell r="AY346">
            <v>0</v>
          </cell>
          <cell r="AZ346">
            <v>0</v>
          </cell>
          <cell r="BA346">
            <v>0</v>
          </cell>
          <cell r="BC346">
            <v>0</v>
          </cell>
          <cell r="BD346">
            <v>0</v>
          </cell>
          <cell r="BG346">
            <v>0</v>
          </cell>
          <cell r="BI346" t="str">
            <v>Forecast</v>
          </cell>
        </row>
        <row r="347">
          <cell r="B347" t="str">
            <v>Sep 2014</v>
          </cell>
          <cell r="C347" t="str">
            <v>CSR30</v>
          </cell>
          <cell r="D347" t="str">
            <v>CSR30</v>
          </cell>
          <cell r="E347" t="str">
            <v>KUCSR783</v>
          </cell>
          <cell r="F347">
            <v>0</v>
          </cell>
          <cell r="G347">
            <v>0</v>
          </cell>
          <cell r="H347">
            <v>0</v>
          </cell>
          <cell r="I347">
            <v>0</v>
          </cell>
          <cell r="J347">
            <v>0</v>
          </cell>
          <cell r="K347">
            <v>0</v>
          </cell>
          <cell r="L347">
            <v>0</v>
          </cell>
          <cell r="M347">
            <v>0</v>
          </cell>
          <cell r="N347">
            <v>0</v>
          </cell>
          <cell r="O347">
            <v>0</v>
          </cell>
          <cell r="S347">
            <v>0</v>
          </cell>
          <cell r="T347">
            <v>0</v>
          </cell>
          <cell r="U347">
            <v>0</v>
          </cell>
          <cell r="V347">
            <v>0</v>
          </cell>
          <cell r="W347">
            <v>0</v>
          </cell>
          <cell r="X347">
            <v>0</v>
          </cell>
          <cell r="AL347">
            <v>0</v>
          </cell>
          <cell r="AM347">
            <v>0</v>
          </cell>
          <cell r="AP347">
            <v>0</v>
          </cell>
          <cell r="AQ347">
            <v>0</v>
          </cell>
          <cell r="AR347">
            <v>0</v>
          </cell>
          <cell r="AV347">
            <v>0</v>
          </cell>
          <cell r="AW347">
            <v>0</v>
          </cell>
          <cell r="AY347">
            <v>0</v>
          </cell>
          <cell r="AZ347">
            <v>0</v>
          </cell>
          <cell r="BA347">
            <v>0</v>
          </cell>
          <cell r="BC347">
            <v>0</v>
          </cell>
          <cell r="BD347">
            <v>0</v>
          </cell>
          <cell r="BG347">
            <v>0</v>
          </cell>
          <cell r="BI347" t="str">
            <v>Forecast</v>
          </cell>
        </row>
        <row r="348">
          <cell r="B348" t="str">
            <v>Sep 2014</v>
          </cell>
          <cell r="C348" t="str">
            <v>FLS</v>
          </cell>
          <cell r="D348" t="str">
            <v>FLST</v>
          </cell>
          <cell r="E348" t="str">
            <v>KUINE730</v>
          </cell>
          <cell r="F348">
            <v>1</v>
          </cell>
          <cell r="G348">
            <v>0</v>
          </cell>
          <cell r="H348">
            <v>0</v>
          </cell>
          <cell r="I348">
            <v>0</v>
          </cell>
          <cell r="J348">
            <v>0</v>
          </cell>
          <cell r="K348">
            <v>45641536</v>
          </cell>
          <cell r="L348">
            <v>0</v>
          </cell>
          <cell r="M348">
            <v>185157.6</v>
          </cell>
          <cell r="N348">
            <v>185157.6</v>
          </cell>
          <cell r="O348">
            <v>101387.6</v>
          </cell>
          <cell r="S348">
            <v>0</v>
          </cell>
          <cell r="T348">
            <v>0</v>
          </cell>
          <cell r="U348">
            <v>0</v>
          </cell>
          <cell r="V348">
            <v>0</v>
          </cell>
          <cell r="W348">
            <v>0</v>
          </cell>
          <cell r="X348">
            <v>0</v>
          </cell>
          <cell r="AL348">
            <v>0</v>
          </cell>
          <cell r="AM348">
            <v>0</v>
          </cell>
          <cell r="AP348">
            <v>0</v>
          </cell>
          <cell r="AQ348">
            <v>0</v>
          </cell>
          <cell r="AR348">
            <v>0</v>
          </cell>
          <cell r="AV348">
            <v>2209319.64</v>
          </cell>
          <cell r="AW348">
            <v>2209320</v>
          </cell>
          <cell r="AY348">
            <v>-111567</v>
          </cell>
          <cell r="AZ348">
            <v>0</v>
          </cell>
          <cell r="BA348">
            <v>125612</v>
          </cell>
          <cell r="BC348">
            <v>0</v>
          </cell>
          <cell r="BD348">
            <v>2223365</v>
          </cell>
          <cell r="BG348">
            <v>1319953.22</v>
          </cell>
          <cell r="BI348" t="str">
            <v>Forecast</v>
          </cell>
        </row>
        <row r="349">
          <cell r="B349" t="str">
            <v>Sep 2014</v>
          </cell>
          <cell r="C349" t="str">
            <v>RS</v>
          </cell>
          <cell r="D349" t="str">
            <v>RS</v>
          </cell>
          <cell r="E349" t="str">
            <v>KURSE010</v>
          </cell>
          <cell r="F349">
            <v>427399</v>
          </cell>
          <cell r="G349">
            <v>0</v>
          </cell>
          <cell r="H349">
            <v>0</v>
          </cell>
          <cell r="I349">
            <v>0</v>
          </cell>
          <cell r="J349">
            <v>0</v>
          </cell>
          <cell r="K349">
            <v>515550083</v>
          </cell>
          <cell r="L349">
            <v>0</v>
          </cell>
          <cell r="M349">
            <v>0</v>
          </cell>
          <cell r="N349">
            <v>0</v>
          </cell>
          <cell r="O349">
            <v>0</v>
          </cell>
          <cell r="S349">
            <v>0</v>
          </cell>
          <cell r="T349">
            <v>0</v>
          </cell>
          <cell r="U349">
            <v>0</v>
          </cell>
          <cell r="V349">
            <v>0</v>
          </cell>
          <cell r="W349">
            <v>0</v>
          </cell>
          <cell r="X349">
            <v>0</v>
          </cell>
          <cell r="AL349">
            <v>0</v>
          </cell>
          <cell r="AM349">
            <v>0</v>
          </cell>
          <cell r="AR349">
            <v>0</v>
          </cell>
          <cell r="AV349">
            <v>44518737.68</v>
          </cell>
          <cell r="AW349">
            <v>44518734</v>
          </cell>
          <cell r="AY349">
            <v>-1260217</v>
          </cell>
          <cell r="AZ349">
            <v>1124472</v>
          </cell>
          <cell r="BA349">
            <v>1418868</v>
          </cell>
          <cell r="BC349">
            <v>0</v>
          </cell>
          <cell r="BD349">
            <v>45801857</v>
          </cell>
          <cell r="BG349">
            <v>14909708.4</v>
          </cell>
          <cell r="BI349" t="str">
            <v>Forecast</v>
          </cell>
        </row>
        <row r="350">
          <cell r="B350" t="str">
            <v>Sep 2014</v>
          </cell>
          <cell r="C350" t="str">
            <v>RS</v>
          </cell>
          <cell r="D350" t="str">
            <v>RS</v>
          </cell>
          <cell r="E350" t="str">
            <v>KURSE020</v>
          </cell>
          <cell r="F350">
            <v>0</v>
          </cell>
          <cell r="G350">
            <v>0</v>
          </cell>
          <cell r="H350">
            <v>0</v>
          </cell>
          <cell r="I350">
            <v>0</v>
          </cell>
          <cell r="J350">
            <v>0</v>
          </cell>
          <cell r="K350">
            <v>0</v>
          </cell>
          <cell r="L350">
            <v>0</v>
          </cell>
          <cell r="M350">
            <v>0</v>
          </cell>
          <cell r="N350">
            <v>0</v>
          </cell>
          <cell r="O350">
            <v>0</v>
          </cell>
          <cell r="S350">
            <v>0</v>
          </cell>
          <cell r="T350">
            <v>0</v>
          </cell>
          <cell r="U350">
            <v>0</v>
          </cell>
          <cell r="V350">
            <v>0</v>
          </cell>
          <cell r="W350">
            <v>0</v>
          </cell>
          <cell r="X350">
            <v>0</v>
          </cell>
          <cell r="AL350">
            <v>0</v>
          </cell>
          <cell r="AM350">
            <v>0</v>
          </cell>
          <cell r="AR350">
            <v>0</v>
          </cell>
          <cell r="AV350">
            <v>0</v>
          </cell>
          <cell r="AW350">
            <v>0</v>
          </cell>
          <cell r="AY350">
            <v>0</v>
          </cell>
          <cell r="AZ350">
            <v>0</v>
          </cell>
          <cell r="BA350">
            <v>0</v>
          </cell>
          <cell r="BC350">
            <v>0</v>
          </cell>
          <cell r="BD350">
            <v>0</v>
          </cell>
          <cell r="BG350">
            <v>0</v>
          </cell>
          <cell r="BI350" t="str">
            <v>Forecast</v>
          </cell>
        </row>
        <row r="351">
          <cell r="B351" t="str">
            <v>Sep 2014</v>
          </cell>
          <cell r="C351" t="str">
            <v>RS</v>
          </cell>
          <cell r="D351" t="str">
            <v>RS</v>
          </cell>
          <cell r="E351" t="str">
            <v>KURSE025</v>
          </cell>
          <cell r="F351">
            <v>0</v>
          </cell>
          <cell r="G351">
            <v>0</v>
          </cell>
          <cell r="H351">
            <v>0</v>
          </cell>
          <cell r="I351">
            <v>0</v>
          </cell>
          <cell r="J351">
            <v>0</v>
          </cell>
          <cell r="K351">
            <v>0</v>
          </cell>
          <cell r="L351">
            <v>0</v>
          </cell>
          <cell r="M351">
            <v>0</v>
          </cell>
          <cell r="N351">
            <v>0</v>
          </cell>
          <cell r="O351">
            <v>0</v>
          </cell>
          <cell r="S351">
            <v>0</v>
          </cell>
          <cell r="T351">
            <v>0</v>
          </cell>
          <cell r="U351">
            <v>0</v>
          </cell>
          <cell r="V351">
            <v>0</v>
          </cell>
          <cell r="W351">
            <v>0</v>
          </cell>
          <cell r="X351">
            <v>0</v>
          </cell>
          <cell r="AL351">
            <v>0</v>
          </cell>
          <cell r="AM351">
            <v>0</v>
          </cell>
          <cell r="AR351">
            <v>0</v>
          </cell>
          <cell r="AV351">
            <v>0</v>
          </cell>
          <cell r="AW351">
            <v>0</v>
          </cell>
          <cell r="AY351">
            <v>0</v>
          </cell>
          <cell r="AZ351">
            <v>0</v>
          </cell>
          <cell r="BA351">
            <v>0</v>
          </cell>
          <cell r="BC351">
            <v>0</v>
          </cell>
          <cell r="BD351">
            <v>0</v>
          </cell>
          <cell r="BG351">
            <v>0</v>
          </cell>
          <cell r="BI351" t="str">
            <v>Forecast</v>
          </cell>
        </row>
        <row r="352">
          <cell r="B352" t="str">
            <v>Sep 2014</v>
          </cell>
          <cell r="C352" t="str">
            <v>LEV</v>
          </cell>
          <cell r="D352" t="str">
            <v>RSLEV</v>
          </cell>
          <cell r="E352" t="str">
            <v>KURSE040</v>
          </cell>
          <cell r="F352">
            <v>0</v>
          </cell>
          <cell r="G352">
            <v>0</v>
          </cell>
          <cell r="H352">
            <v>0</v>
          </cell>
          <cell r="I352">
            <v>0</v>
          </cell>
          <cell r="J352">
            <v>0</v>
          </cell>
          <cell r="K352">
            <v>0</v>
          </cell>
          <cell r="L352">
            <v>0</v>
          </cell>
          <cell r="M352">
            <v>0</v>
          </cell>
          <cell r="N352">
            <v>0</v>
          </cell>
          <cell r="O352">
            <v>0</v>
          </cell>
          <cell r="S352">
            <v>0</v>
          </cell>
          <cell r="T352">
            <v>0</v>
          </cell>
          <cell r="U352">
            <v>0</v>
          </cell>
          <cell r="V352">
            <v>0</v>
          </cell>
          <cell r="W352">
            <v>0</v>
          </cell>
          <cell r="X352">
            <v>0</v>
          </cell>
          <cell r="AL352">
            <v>0</v>
          </cell>
          <cell r="AM352">
            <v>0</v>
          </cell>
          <cell r="AP352">
            <v>0</v>
          </cell>
          <cell r="AQ352">
            <v>0</v>
          </cell>
          <cell r="AR352">
            <v>0</v>
          </cell>
          <cell r="AV352">
            <v>0</v>
          </cell>
          <cell r="AW352">
            <v>0</v>
          </cell>
          <cell r="AY352">
            <v>0</v>
          </cell>
          <cell r="AZ352">
            <v>0</v>
          </cell>
          <cell r="BA352">
            <v>0</v>
          </cell>
          <cell r="BC352">
            <v>0</v>
          </cell>
          <cell r="BD352">
            <v>0</v>
          </cell>
          <cell r="BG352">
            <v>0</v>
          </cell>
          <cell r="BI352" t="str">
            <v>Forecast</v>
          </cell>
        </row>
        <row r="353">
          <cell r="B353" t="str">
            <v>Sep 2014</v>
          </cell>
          <cell r="C353" t="str">
            <v>RS</v>
          </cell>
          <cell r="D353" t="str">
            <v>RSVFD</v>
          </cell>
          <cell r="E353" t="str">
            <v>KURSE080</v>
          </cell>
          <cell r="F353">
            <v>0</v>
          </cell>
          <cell r="G353">
            <v>0</v>
          </cell>
          <cell r="H353">
            <v>0</v>
          </cell>
          <cell r="I353">
            <v>0</v>
          </cell>
          <cell r="J353">
            <v>0</v>
          </cell>
          <cell r="K353">
            <v>0</v>
          </cell>
          <cell r="L353">
            <v>0</v>
          </cell>
          <cell r="M353">
            <v>0</v>
          </cell>
          <cell r="N353">
            <v>0</v>
          </cell>
          <cell r="O353">
            <v>0</v>
          </cell>
          <cell r="S353">
            <v>0</v>
          </cell>
          <cell r="T353">
            <v>0</v>
          </cell>
          <cell r="U353">
            <v>0</v>
          </cell>
          <cell r="V353">
            <v>0</v>
          </cell>
          <cell r="W353">
            <v>0</v>
          </cell>
          <cell r="X353">
            <v>0</v>
          </cell>
          <cell r="AL353">
            <v>0</v>
          </cell>
          <cell r="AM353">
            <v>0</v>
          </cell>
          <cell r="AR353">
            <v>0</v>
          </cell>
          <cell r="AV353">
            <v>0</v>
          </cell>
          <cell r="AW353">
            <v>0</v>
          </cell>
          <cell r="AY353">
            <v>0</v>
          </cell>
          <cell r="AZ353">
            <v>0</v>
          </cell>
          <cell r="BA353">
            <v>0</v>
          </cell>
          <cell r="BC353">
            <v>0</v>
          </cell>
          <cell r="BD353">
            <v>0</v>
          </cell>
          <cell r="BG353">
            <v>0</v>
          </cell>
          <cell r="BI353" t="str">
            <v>Forecast</v>
          </cell>
        </row>
        <row r="354">
          <cell r="B354" t="str">
            <v>Sep 2014</v>
          </cell>
          <cell r="C354" t="str">
            <v>RS</v>
          </cell>
          <cell r="D354" t="str">
            <v>RS</v>
          </cell>
          <cell r="E354" t="str">
            <v>KURSE715</v>
          </cell>
          <cell r="F354">
            <v>0</v>
          </cell>
          <cell r="G354">
            <v>0</v>
          </cell>
          <cell r="H354">
            <v>0</v>
          </cell>
          <cell r="I354">
            <v>0</v>
          </cell>
          <cell r="J354">
            <v>0</v>
          </cell>
          <cell r="K354">
            <v>0</v>
          </cell>
          <cell r="L354">
            <v>0</v>
          </cell>
          <cell r="M354">
            <v>0</v>
          </cell>
          <cell r="N354">
            <v>0</v>
          </cell>
          <cell r="O354">
            <v>0</v>
          </cell>
          <cell r="S354">
            <v>0</v>
          </cell>
          <cell r="T354">
            <v>0</v>
          </cell>
          <cell r="U354">
            <v>0</v>
          </cell>
          <cell r="V354">
            <v>0</v>
          </cell>
          <cell r="W354">
            <v>0</v>
          </cell>
          <cell r="X354">
            <v>0</v>
          </cell>
          <cell r="AL354">
            <v>0</v>
          </cell>
          <cell r="AM354">
            <v>0</v>
          </cell>
          <cell r="AR354">
            <v>0</v>
          </cell>
          <cell r="AV354">
            <v>0</v>
          </cell>
          <cell r="AW354">
            <v>0</v>
          </cell>
          <cell r="AY354">
            <v>0</v>
          </cell>
          <cell r="AZ354">
            <v>0</v>
          </cell>
          <cell r="BA354">
            <v>0</v>
          </cell>
          <cell r="BC354">
            <v>0</v>
          </cell>
          <cell r="BD354">
            <v>0</v>
          </cell>
          <cell r="BG354">
            <v>0</v>
          </cell>
          <cell r="BI354" t="str">
            <v>Forecast</v>
          </cell>
        </row>
        <row r="355">
          <cell r="B355" t="str">
            <v>Oct 2014</v>
          </cell>
          <cell r="C355" t="str">
            <v>RTS</v>
          </cell>
          <cell r="D355" t="str">
            <v>RTS</v>
          </cell>
          <cell r="E355" t="str">
            <v>KUCIE550</v>
          </cell>
          <cell r="F355">
            <v>32</v>
          </cell>
          <cell r="G355">
            <v>0</v>
          </cell>
          <cell r="H355">
            <v>0</v>
          </cell>
          <cell r="I355">
            <v>0</v>
          </cell>
          <cell r="J355">
            <v>0</v>
          </cell>
          <cell r="K355">
            <v>126631031</v>
          </cell>
          <cell r="L355">
            <v>0</v>
          </cell>
          <cell r="M355">
            <v>286592.09000000003</v>
          </cell>
          <cell r="N355">
            <v>276811.53000000003</v>
          </cell>
          <cell r="O355">
            <v>272775.56</v>
          </cell>
          <cell r="V355">
            <v>0</v>
          </cell>
          <cell r="W355">
            <v>0</v>
          </cell>
          <cell r="X355">
            <v>0</v>
          </cell>
          <cell r="AL355">
            <v>0</v>
          </cell>
          <cell r="AM355">
            <v>0</v>
          </cell>
          <cell r="AP355">
            <v>0</v>
          </cell>
          <cell r="AQ355">
            <v>0</v>
          </cell>
          <cell r="AV355">
            <v>6887173.1299999999</v>
          </cell>
          <cell r="AW355">
            <v>6887173</v>
          </cell>
          <cell r="AY355">
            <v>97442</v>
          </cell>
          <cell r="AZ355">
            <v>0</v>
          </cell>
          <cell r="BA355">
            <v>474134</v>
          </cell>
          <cell r="BC355">
            <v>0</v>
          </cell>
          <cell r="BD355">
            <v>7458749</v>
          </cell>
          <cell r="BG355">
            <v>3662169.42</v>
          </cell>
          <cell r="BI355" t="str">
            <v>Forecast</v>
          </cell>
        </row>
        <row r="356">
          <cell r="B356" t="str">
            <v>Oct 2014</v>
          </cell>
          <cell r="C356" t="str">
            <v>PSP</v>
          </cell>
          <cell r="D356" t="str">
            <v>PSP</v>
          </cell>
          <cell r="E356" t="str">
            <v>KUCIE561</v>
          </cell>
          <cell r="F356">
            <v>217</v>
          </cell>
          <cell r="H356">
            <v>0</v>
          </cell>
          <cell r="I356">
            <v>0</v>
          </cell>
          <cell r="J356">
            <v>0</v>
          </cell>
          <cell r="K356">
            <v>19115050</v>
          </cell>
          <cell r="L356">
            <v>0</v>
          </cell>
          <cell r="M356">
            <v>0</v>
          </cell>
          <cell r="N356">
            <v>54973.94</v>
          </cell>
          <cell r="O356">
            <v>0</v>
          </cell>
          <cell r="V356">
            <v>0</v>
          </cell>
          <cell r="W356">
            <v>0</v>
          </cell>
          <cell r="X356">
            <v>0</v>
          </cell>
          <cell r="AL356">
            <v>0</v>
          </cell>
          <cell r="AM356">
            <v>0</v>
          </cell>
          <cell r="AV356">
            <v>1442324.6099999999</v>
          </cell>
          <cell r="AW356">
            <v>1442325</v>
          </cell>
          <cell r="AY356">
            <v>14709</v>
          </cell>
          <cell r="AZ356">
            <v>32567</v>
          </cell>
          <cell r="BA356">
            <v>71571</v>
          </cell>
          <cell r="BC356">
            <v>0</v>
          </cell>
          <cell r="BD356">
            <v>1561172</v>
          </cell>
          <cell r="BG356">
            <v>552807.25</v>
          </cell>
          <cell r="BI356" t="str">
            <v>Forecast</v>
          </cell>
        </row>
        <row r="357">
          <cell r="B357" t="str">
            <v>Oct 2014</v>
          </cell>
          <cell r="C357" t="str">
            <v>PSS</v>
          </cell>
          <cell r="D357" t="str">
            <v>PSS</v>
          </cell>
          <cell r="E357" t="str">
            <v>KUCIE562</v>
          </cell>
          <cell r="F357">
            <v>4830</v>
          </cell>
          <cell r="H357">
            <v>0</v>
          </cell>
          <cell r="I357">
            <v>0</v>
          </cell>
          <cell r="J357">
            <v>0</v>
          </cell>
          <cell r="K357">
            <v>183801650</v>
          </cell>
          <cell r="L357">
            <v>0</v>
          </cell>
          <cell r="M357">
            <v>0</v>
          </cell>
          <cell r="N357">
            <v>596288.13</v>
          </cell>
          <cell r="O357">
            <v>0</v>
          </cell>
          <cell r="V357">
            <v>0</v>
          </cell>
          <cell r="W357">
            <v>0</v>
          </cell>
          <cell r="X357">
            <v>0</v>
          </cell>
          <cell r="AL357">
            <v>0</v>
          </cell>
          <cell r="AM357">
            <v>0</v>
          </cell>
          <cell r="AV357">
            <v>14856394.129999999</v>
          </cell>
          <cell r="AW357">
            <v>14856395</v>
          </cell>
          <cell r="AY357">
            <v>141434</v>
          </cell>
          <cell r="AZ357">
            <v>313150</v>
          </cell>
          <cell r="BA357">
            <v>688194</v>
          </cell>
          <cell r="BC357">
            <v>0</v>
          </cell>
          <cell r="BD357">
            <v>15999173</v>
          </cell>
          <cell r="BG357">
            <v>5315543.72</v>
          </cell>
          <cell r="BI357" t="str">
            <v>Forecast</v>
          </cell>
        </row>
        <row r="358">
          <cell r="B358" t="str">
            <v>Oct 2014</v>
          </cell>
          <cell r="C358" t="str">
            <v>TODP</v>
          </cell>
          <cell r="D358" t="str">
            <v>TODP</v>
          </cell>
          <cell r="E358" t="str">
            <v>KUCIE563</v>
          </cell>
          <cell r="F358">
            <v>52</v>
          </cell>
          <cell r="H358">
            <v>0</v>
          </cell>
          <cell r="I358">
            <v>0</v>
          </cell>
          <cell r="J358">
            <v>0</v>
          </cell>
          <cell r="K358">
            <v>245605634</v>
          </cell>
          <cell r="L358">
            <v>0</v>
          </cell>
          <cell r="M358">
            <v>529837.80000000005</v>
          </cell>
          <cell r="N358">
            <v>515177.96</v>
          </cell>
          <cell r="O358">
            <v>498457.73</v>
          </cell>
          <cell r="V358">
            <v>0</v>
          </cell>
          <cell r="W358">
            <v>0</v>
          </cell>
          <cell r="X358">
            <v>0</v>
          </cell>
          <cell r="AL358">
            <v>0</v>
          </cell>
          <cell r="AM358">
            <v>0</v>
          </cell>
          <cell r="AV358">
            <v>13713995.859999999</v>
          </cell>
          <cell r="AW358">
            <v>13713996</v>
          </cell>
          <cell r="AY358">
            <v>188992</v>
          </cell>
          <cell r="AZ358">
            <v>418448</v>
          </cell>
          <cell r="BA358">
            <v>919602</v>
          </cell>
          <cell r="BC358">
            <v>0</v>
          </cell>
          <cell r="BD358">
            <v>15241038</v>
          </cell>
          <cell r="BG358">
            <v>7102914.9400000004</v>
          </cell>
          <cell r="BI358" t="str">
            <v>Forecast</v>
          </cell>
        </row>
        <row r="359">
          <cell r="B359" t="str">
            <v>Oct 2014</v>
          </cell>
          <cell r="C359" t="str">
            <v>PSP</v>
          </cell>
          <cell r="D359" t="str">
            <v>PSP</v>
          </cell>
          <cell r="E359" t="str">
            <v>KUCIE566</v>
          </cell>
          <cell r="F359">
            <v>0</v>
          </cell>
          <cell r="H359">
            <v>0</v>
          </cell>
          <cell r="I359">
            <v>0</v>
          </cell>
          <cell r="J359">
            <v>0</v>
          </cell>
          <cell r="K359">
            <v>0</v>
          </cell>
          <cell r="L359">
            <v>0</v>
          </cell>
          <cell r="M359">
            <v>0</v>
          </cell>
          <cell r="N359">
            <v>0</v>
          </cell>
          <cell r="O359">
            <v>0</v>
          </cell>
          <cell r="S359">
            <v>0</v>
          </cell>
          <cell r="V359">
            <v>0</v>
          </cell>
          <cell r="W359">
            <v>0</v>
          </cell>
          <cell r="X359">
            <v>0</v>
          </cell>
          <cell r="AL359">
            <v>0</v>
          </cell>
          <cell r="AM359">
            <v>0</v>
          </cell>
          <cell r="AV359">
            <v>0</v>
          </cell>
          <cell r="AW359">
            <v>0</v>
          </cell>
          <cell r="AY359">
            <v>0</v>
          </cell>
          <cell r="AZ359">
            <v>0</v>
          </cell>
          <cell r="BA359">
            <v>0</v>
          </cell>
          <cell r="BC359">
            <v>0</v>
          </cell>
          <cell r="BD359">
            <v>0</v>
          </cell>
          <cell r="BG359">
            <v>0</v>
          </cell>
          <cell r="BI359" t="str">
            <v>Forecast</v>
          </cell>
        </row>
        <row r="360">
          <cell r="B360" t="str">
            <v>Oct 2014</v>
          </cell>
          <cell r="C360" t="str">
            <v>PSS</v>
          </cell>
          <cell r="D360" t="str">
            <v>PSS</v>
          </cell>
          <cell r="E360" t="str">
            <v>KUCIE568</v>
          </cell>
          <cell r="F360">
            <v>0</v>
          </cell>
          <cell r="H360">
            <v>0</v>
          </cell>
          <cell r="I360">
            <v>0</v>
          </cell>
          <cell r="J360">
            <v>0</v>
          </cell>
          <cell r="K360">
            <v>0</v>
          </cell>
          <cell r="L360">
            <v>0</v>
          </cell>
          <cell r="M360">
            <v>0</v>
          </cell>
          <cell r="N360">
            <v>0</v>
          </cell>
          <cell r="O360">
            <v>0</v>
          </cell>
          <cell r="S360">
            <v>0</v>
          </cell>
          <cell r="U360">
            <v>0</v>
          </cell>
          <cell r="V360">
            <v>0</v>
          </cell>
          <cell r="W360">
            <v>0</v>
          </cell>
          <cell r="X360">
            <v>0</v>
          </cell>
          <cell r="AM360">
            <v>0</v>
          </cell>
          <cell r="AV360">
            <v>0</v>
          </cell>
          <cell r="AW360">
            <v>0</v>
          </cell>
          <cell r="AY360">
            <v>0</v>
          </cell>
          <cell r="AZ360">
            <v>0</v>
          </cell>
          <cell r="BA360">
            <v>0</v>
          </cell>
          <cell r="BC360">
            <v>0</v>
          </cell>
          <cell r="BD360">
            <v>0</v>
          </cell>
          <cell r="BG360">
            <v>0</v>
          </cell>
          <cell r="BI360" t="str">
            <v>Forecast</v>
          </cell>
        </row>
        <row r="361">
          <cell r="B361" t="str">
            <v>Oct 2014</v>
          </cell>
          <cell r="C361" t="str">
            <v>TODP</v>
          </cell>
          <cell r="D361" t="str">
            <v>TODP</v>
          </cell>
          <cell r="E361" t="str">
            <v>KUCIE571</v>
          </cell>
          <cell r="F361">
            <v>181</v>
          </cell>
          <cell r="H361">
            <v>0</v>
          </cell>
          <cell r="I361">
            <v>0</v>
          </cell>
          <cell r="J361">
            <v>0</v>
          </cell>
          <cell r="K361">
            <v>102999239</v>
          </cell>
          <cell r="L361">
            <v>0</v>
          </cell>
          <cell r="M361">
            <v>268584.38</v>
          </cell>
          <cell r="N361">
            <v>258805.99</v>
          </cell>
          <cell r="O361">
            <v>250643.39</v>
          </cell>
          <cell r="V361">
            <v>0</v>
          </cell>
          <cell r="W361">
            <v>0</v>
          </cell>
          <cell r="X361">
            <v>0</v>
          </cell>
          <cell r="AL361">
            <v>0</v>
          </cell>
          <cell r="AM361">
            <v>0</v>
          </cell>
          <cell r="AV361">
            <v>6173546.0099999998</v>
          </cell>
          <cell r="AW361">
            <v>6173546</v>
          </cell>
          <cell r="AY361">
            <v>79257</v>
          </cell>
          <cell r="AZ361">
            <v>175484</v>
          </cell>
          <cell r="BA361">
            <v>385652</v>
          </cell>
          <cell r="BC361">
            <v>0</v>
          </cell>
          <cell r="BD361">
            <v>6813939</v>
          </cell>
          <cell r="BG361">
            <v>2978737.99</v>
          </cell>
          <cell r="BI361" t="str">
            <v>Forecast</v>
          </cell>
        </row>
        <row r="362">
          <cell r="B362" t="str">
            <v>Oct 2014</v>
          </cell>
          <cell r="C362" t="str">
            <v>TODS</v>
          </cell>
          <cell r="D362" t="str">
            <v>TODS</v>
          </cell>
          <cell r="E362" t="str">
            <v>KUCIE572</v>
          </cell>
          <cell r="F362">
            <v>452</v>
          </cell>
          <cell r="H362">
            <v>0</v>
          </cell>
          <cell r="I362">
            <v>0</v>
          </cell>
          <cell r="J362">
            <v>0</v>
          </cell>
          <cell r="K362">
            <v>118237134</v>
          </cell>
          <cell r="L362">
            <v>0</v>
          </cell>
          <cell r="M362">
            <v>288421.92</v>
          </cell>
          <cell r="N362">
            <v>262694.96000000002</v>
          </cell>
          <cell r="O362">
            <v>256810.6</v>
          </cell>
          <cell r="V362">
            <v>0</v>
          </cell>
          <cell r="W362">
            <v>0</v>
          </cell>
          <cell r="X362">
            <v>0</v>
          </cell>
          <cell r="AM362">
            <v>0</v>
          </cell>
          <cell r="AV362">
            <v>7539012.7799999993</v>
          </cell>
          <cell r="AW362">
            <v>7539013</v>
          </cell>
          <cell r="AY362">
            <v>90983</v>
          </cell>
          <cell r="AZ362">
            <v>201445</v>
          </cell>
          <cell r="BA362">
            <v>442706</v>
          </cell>
          <cell r="BC362">
            <v>0</v>
          </cell>
          <cell r="BD362">
            <v>8274147</v>
          </cell>
          <cell r="BG362">
            <v>3419417.92</v>
          </cell>
          <cell r="BI362" t="str">
            <v>Forecast</v>
          </cell>
        </row>
        <row r="363">
          <cell r="B363" t="str">
            <v>Oct 2014</v>
          </cell>
          <cell r="C363" t="str">
            <v>PSS</v>
          </cell>
          <cell r="D363" t="str">
            <v>PSS</v>
          </cell>
          <cell r="E363" t="str">
            <v>KUCIE717</v>
          </cell>
          <cell r="F363">
            <v>0</v>
          </cell>
          <cell r="G363">
            <v>0</v>
          </cell>
          <cell r="H363">
            <v>0</v>
          </cell>
          <cell r="I363">
            <v>0</v>
          </cell>
          <cell r="J363">
            <v>0</v>
          </cell>
          <cell r="K363">
            <v>0</v>
          </cell>
          <cell r="L363">
            <v>0</v>
          </cell>
          <cell r="M363">
            <v>0</v>
          </cell>
          <cell r="N363">
            <v>0</v>
          </cell>
          <cell r="O363">
            <v>0</v>
          </cell>
          <cell r="S363">
            <v>0</v>
          </cell>
          <cell r="T363">
            <v>0</v>
          </cell>
          <cell r="U363">
            <v>0</v>
          </cell>
          <cell r="V363">
            <v>0</v>
          </cell>
          <cell r="W363">
            <v>0</v>
          </cell>
          <cell r="X363">
            <v>0</v>
          </cell>
          <cell r="AL363">
            <v>0</v>
          </cell>
          <cell r="AM363">
            <v>0</v>
          </cell>
          <cell r="AP363">
            <v>0</v>
          </cell>
          <cell r="AQ363">
            <v>0</v>
          </cell>
          <cell r="AR363">
            <v>0</v>
          </cell>
          <cell r="AV363">
            <v>0</v>
          </cell>
          <cell r="AW363">
            <v>0</v>
          </cell>
          <cell r="AY363">
            <v>0</v>
          </cell>
          <cell r="AZ363">
            <v>0</v>
          </cell>
          <cell r="BA363">
            <v>0</v>
          </cell>
          <cell r="BC363">
            <v>0</v>
          </cell>
          <cell r="BD363">
            <v>0</v>
          </cell>
          <cell r="BG363">
            <v>0</v>
          </cell>
          <cell r="BI363" t="str">
            <v>Forecast</v>
          </cell>
        </row>
        <row r="364">
          <cell r="B364" t="str">
            <v>Oct 2014</v>
          </cell>
          <cell r="C364" t="str">
            <v>GS</v>
          </cell>
          <cell r="D364" t="str">
            <v>GS</v>
          </cell>
          <cell r="E364" t="str">
            <v>KUCME110</v>
          </cell>
          <cell r="F364">
            <v>63421</v>
          </cell>
          <cell r="G364">
            <v>0</v>
          </cell>
          <cell r="H364">
            <v>0</v>
          </cell>
          <cell r="I364">
            <v>0</v>
          </cell>
          <cell r="J364">
            <v>0</v>
          </cell>
          <cell r="K364">
            <v>57186337</v>
          </cell>
          <cell r="L364">
            <v>0</v>
          </cell>
          <cell r="M364">
            <v>0</v>
          </cell>
          <cell r="N364">
            <v>0</v>
          </cell>
          <cell r="O364">
            <v>0</v>
          </cell>
          <cell r="S364">
            <v>0</v>
          </cell>
          <cell r="T364">
            <v>0</v>
          </cell>
          <cell r="U364">
            <v>0</v>
          </cell>
          <cell r="V364">
            <v>0</v>
          </cell>
          <cell r="W364">
            <v>0</v>
          </cell>
          <cell r="X364">
            <v>0</v>
          </cell>
          <cell r="AL364">
            <v>0</v>
          </cell>
          <cell r="AM364">
            <v>0</v>
          </cell>
          <cell r="AP364">
            <v>0</v>
          </cell>
          <cell r="AQ364">
            <v>0</v>
          </cell>
          <cell r="AR364">
            <v>0</v>
          </cell>
          <cell r="AV364">
            <v>6543859.5899999999</v>
          </cell>
          <cell r="AW364">
            <v>6543857</v>
          </cell>
          <cell r="AY364">
            <v>44005</v>
          </cell>
          <cell r="AZ364">
            <v>97431</v>
          </cell>
          <cell r="BA364">
            <v>214118</v>
          </cell>
          <cell r="BC364">
            <v>0</v>
          </cell>
          <cell r="BD364">
            <v>6899411</v>
          </cell>
          <cell r="BG364">
            <v>1653828.87</v>
          </cell>
          <cell r="BI364" t="str">
            <v>Forecast</v>
          </cell>
        </row>
        <row r="365">
          <cell r="B365" t="str">
            <v>Oct 2014</v>
          </cell>
          <cell r="C365" t="str">
            <v>GS</v>
          </cell>
          <cell r="D365" t="str">
            <v>GS</v>
          </cell>
          <cell r="E365" t="str">
            <v>KUCME112</v>
          </cell>
          <cell r="F365">
            <v>0</v>
          </cell>
          <cell r="G365">
            <v>0</v>
          </cell>
          <cell r="H365">
            <v>0</v>
          </cell>
          <cell r="I365">
            <v>0</v>
          </cell>
          <cell r="J365">
            <v>0</v>
          </cell>
          <cell r="K365">
            <v>0</v>
          </cell>
          <cell r="L365">
            <v>0</v>
          </cell>
          <cell r="M365">
            <v>0</v>
          </cell>
          <cell r="N365">
            <v>0</v>
          </cell>
          <cell r="O365">
            <v>0</v>
          </cell>
          <cell r="S365">
            <v>0</v>
          </cell>
          <cell r="T365">
            <v>0</v>
          </cell>
          <cell r="U365">
            <v>0</v>
          </cell>
          <cell r="V365">
            <v>0</v>
          </cell>
          <cell r="W365">
            <v>0</v>
          </cell>
          <cell r="X365">
            <v>0</v>
          </cell>
          <cell r="AL365">
            <v>0</v>
          </cell>
          <cell r="AM365">
            <v>0</v>
          </cell>
          <cell r="AP365">
            <v>0</v>
          </cell>
          <cell r="AQ365">
            <v>0</v>
          </cell>
          <cell r="AR365">
            <v>0</v>
          </cell>
          <cell r="AV365">
            <v>0</v>
          </cell>
          <cell r="AW365">
            <v>0</v>
          </cell>
          <cell r="AY365">
            <v>0</v>
          </cell>
          <cell r="AZ365">
            <v>0</v>
          </cell>
          <cell r="BA365">
            <v>0</v>
          </cell>
          <cell r="BC365">
            <v>0</v>
          </cell>
          <cell r="BD365">
            <v>0</v>
          </cell>
          <cell r="BG365">
            <v>0</v>
          </cell>
          <cell r="BI365" t="str">
            <v>Forecast</v>
          </cell>
        </row>
        <row r="366">
          <cell r="B366" t="str">
            <v>Oct 2014</v>
          </cell>
          <cell r="C366" t="str">
            <v>GS3</v>
          </cell>
          <cell r="D366" t="str">
            <v>GS3</v>
          </cell>
          <cell r="E366" t="str">
            <v>KUCME113</v>
          </cell>
          <cell r="F366">
            <v>18539</v>
          </cell>
          <cell r="G366">
            <v>0</v>
          </cell>
          <cell r="H366">
            <v>0</v>
          </cell>
          <cell r="I366">
            <v>0</v>
          </cell>
          <cell r="J366">
            <v>0</v>
          </cell>
          <cell r="K366">
            <v>83400407</v>
          </cell>
          <cell r="L366">
            <v>0</v>
          </cell>
          <cell r="M366">
            <v>350429.59</v>
          </cell>
          <cell r="N366">
            <v>0</v>
          </cell>
          <cell r="O366">
            <v>0</v>
          </cell>
          <cell r="S366">
            <v>0</v>
          </cell>
          <cell r="T366">
            <v>0</v>
          </cell>
          <cell r="U366">
            <v>0</v>
          </cell>
          <cell r="V366">
            <v>0</v>
          </cell>
          <cell r="W366">
            <v>0</v>
          </cell>
          <cell r="X366">
            <v>0</v>
          </cell>
          <cell r="AL366">
            <v>0</v>
          </cell>
          <cell r="AM366">
            <v>0</v>
          </cell>
          <cell r="AP366">
            <v>0</v>
          </cell>
          <cell r="AQ366">
            <v>0</v>
          </cell>
          <cell r="AR366">
            <v>0</v>
          </cell>
          <cell r="AV366">
            <v>8342552.5499999998</v>
          </cell>
          <cell r="AW366">
            <v>8342556</v>
          </cell>
          <cell r="AY366">
            <v>64176</v>
          </cell>
          <cell r="AZ366">
            <v>142093</v>
          </cell>
          <cell r="BA366">
            <v>312270</v>
          </cell>
          <cell r="BC366">
            <v>0</v>
          </cell>
          <cell r="BD366">
            <v>8861095</v>
          </cell>
          <cell r="BG366">
            <v>2411939.77</v>
          </cell>
          <cell r="BI366" t="str">
            <v>Forecast</v>
          </cell>
        </row>
        <row r="367">
          <cell r="B367" t="str">
            <v>Oct 2014</v>
          </cell>
          <cell r="C367" t="str">
            <v>AES</v>
          </cell>
          <cell r="D367" t="str">
            <v>AES</v>
          </cell>
          <cell r="E367" t="str">
            <v>KUCME220</v>
          </cell>
          <cell r="F367">
            <v>372</v>
          </cell>
          <cell r="G367">
            <v>0</v>
          </cell>
          <cell r="H367">
            <v>0</v>
          </cell>
          <cell r="I367">
            <v>0</v>
          </cell>
          <cell r="J367">
            <v>0</v>
          </cell>
          <cell r="K367">
            <v>571422</v>
          </cell>
          <cell r="L367">
            <v>0</v>
          </cell>
          <cell r="M367">
            <v>0</v>
          </cell>
          <cell r="N367">
            <v>0</v>
          </cell>
          <cell r="O367">
            <v>0</v>
          </cell>
          <cell r="S367">
            <v>0</v>
          </cell>
          <cell r="T367">
            <v>0</v>
          </cell>
          <cell r="U367">
            <v>0</v>
          </cell>
          <cell r="V367">
            <v>0</v>
          </cell>
          <cell r="W367">
            <v>0</v>
          </cell>
          <cell r="X367">
            <v>0</v>
          </cell>
          <cell r="AL367">
            <v>0</v>
          </cell>
          <cell r="AM367">
            <v>0</v>
          </cell>
          <cell r="AP367">
            <v>0</v>
          </cell>
          <cell r="AQ367">
            <v>0</v>
          </cell>
          <cell r="AR367">
            <v>0</v>
          </cell>
          <cell r="AV367">
            <v>49953.8</v>
          </cell>
          <cell r="AW367">
            <v>49953</v>
          </cell>
          <cell r="AY367">
            <v>440</v>
          </cell>
          <cell r="AZ367">
            <v>974</v>
          </cell>
          <cell r="BA367">
            <v>2140</v>
          </cell>
          <cell r="BC367">
            <v>0</v>
          </cell>
          <cell r="BD367">
            <v>53507</v>
          </cell>
          <cell r="BG367">
            <v>16525.52</v>
          </cell>
          <cell r="BI367" t="str">
            <v>Forecast</v>
          </cell>
        </row>
        <row r="368">
          <cell r="B368" t="str">
            <v>Oct 2014</v>
          </cell>
          <cell r="C368" t="str">
            <v>AES</v>
          </cell>
          <cell r="D368" t="str">
            <v>AES</v>
          </cell>
          <cell r="E368" t="str">
            <v>KUCME221</v>
          </cell>
          <cell r="F368">
            <v>0</v>
          </cell>
          <cell r="G368">
            <v>0</v>
          </cell>
          <cell r="H368">
            <v>0</v>
          </cell>
          <cell r="I368">
            <v>0</v>
          </cell>
          <cell r="J368">
            <v>0</v>
          </cell>
          <cell r="K368">
            <v>0</v>
          </cell>
          <cell r="L368">
            <v>0</v>
          </cell>
          <cell r="M368">
            <v>0</v>
          </cell>
          <cell r="N368">
            <v>0</v>
          </cell>
          <cell r="O368">
            <v>0</v>
          </cell>
          <cell r="S368">
            <v>0</v>
          </cell>
          <cell r="T368">
            <v>0</v>
          </cell>
          <cell r="U368">
            <v>0</v>
          </cell>
          <cell r="V368">
            <v>0</v>
          </cell>
          <cell r="W368">
            <v>0</v>
          </cell>
          <cell r="X368">
            <v>0</v>
          </cell>
          <cell r="AL368">
            <v>0</v>
          </cell>
          <cell r="AM368">
            <v>0</v>
          </cell>
          <cell r="AP368">
            <v>0</v>
          </cell>
          <cell r="AQ368">
            <v>0</v>
          </cell>
          <cell r="AR368">
            <v>0</v>
          </cell>
          <cell r="AV368">
            <v>0</v>
          </cell>
          <cell r="AW368">
            <v>0</v>
          </cell>
          <cell r="AY368">
            <v>0</v>
          </cell>
          <cell r="AZ368">
            <v>0</v>
          </cell>
          <cell r="BA368">
            <v>0</v>
          </cell>
          <cell r="BC368">
            <v>0</v>
          </cell>
          <cell r="BD368">
            <v>0</v>
          </cell>
          <cell r="BG368">
            <v>0</v>
          </cell>
          <cell r="BI368" t="str">
            <v>Forecast</v>
          </cell>
        </row>
        <row r="369">
          <cell r="B369" t="str">
            <v>Oct 2014</v>
          </cell>
          <cell r="C369" t="str">
            <v>AES3</v>
          </cell>
          <cell r="D369" t="str">
            <v>AES3</v>
          </cell>
          <cell r="E369" t="str">
            <v>KUCME223</v>
          </cell>
          <cell r="F369">
            <v>0</v>
          </cell>
          <cell r="G369">
            <v>0</v>
          </cell>
          <cell r="H369">
            <v>0</v>
          </cell>
          <cell r="I369">
            <v>0</v>
          </cell>
          <cell r="J369">
            <v>0</v>
          </cell>
          <cell r="K369">
            <v>0</v>
          </cell>
          <cell r="L369">
            <v>0</v>
          </cell>
          <cell r="M369">
            <v>0</v>
          </cell>
          <cell r="N369">
            <v>0</v>
          </cell>
          <cell r="O369">
            <v>0</v>
          </cell>
          <cell r="S369">
            <v>0</v>
          </cell>
          <cell r="T369">
            <v>0</v>
          </cell>
          <cell r="U369">
            <v>0</v>
          </cell>
          <cell r="V369">
            <v>0</v>
          </cell>
          <cell r="W369">
            <v>0</v>
          </cell>
          <cell r="X369">
            <v>0</v>
          </cell>
          <cell r="AL369">
            <v>0</v>
          </cell>
          <cell r="AM369">
            <v>0</v>
          </cell>
          <cell r="AP369">
            <v>0</v>
          </cell>
          <cell r="AQ369">
            <v>0</v>
          </cell>
          <cell r="AR369">
            <v>0</v>
          </cell>
          <cell r="AV369">
            <v>0</v>
          </cell>
          <cell r="AW369">
            <v>0</v>
          </cell>
          <cell r="AY369">
            <v>0</v>
          </cell>
          <cell r="AZ369">
            <v>0</v>
          </cell>
          <cell r="BA369">
            <v>0</v>
          </cell>
          <cell r="BC369">
            <v>0</v>
          </cell>
          <cell r="BD369">
            <v>0</v>
          </cell>
          <cell r="BG369">
            <v>0</v>
          </cell>
          <cell r="BI369" t="str">
            <v>Forecast</v>
          </cell>
        </row>
        <row r="370">
          <cell r="B370" t="str">
            <v>Oct 2014</v>
          </cell>
          <cell r="C370" t="str">
            <v>AES3</v>
          </cell>
          <cell r="D370" t="str">
            <v>AES3</v>
          </cell>
          <cell r="E370" t="str">
            <v>KUCME224</v>
          </cell>
          <cell r="F370">
            <v>259</v>
          </cell>
          <cell r="G370">
            <v>0</v>
          </cell>
          <cell r="H370">
            <v>0</v>
          </cell>
          <cell r="I370">
            <v>0</v>
          </cell>
          <cell r="J370">
            <v>0</v>
          </cell>
          <cell r="K370">
            <v>10591038</v>
          </cell>
          <cell r="L370">
            <v>0</v>
          </cell>
          <cell r="M370">
            <v>43111.19</v>
          </cell>
          <cell r="N370">
            <v>0</v>
          </cell>
          <cell r="O370">
            <v>0</v>
          </cell>
          <cell r="S370">
            <v>0</v>
          </cell>
          <cell r="T370">
            <v>0</v>
          </cell>
          <cell r="U370">
            <v>0</v>
          </cell>
          <cell r="V370">
            <v>0</v>
          </cell>
          <cell r="W370">
            <v>0</v>
          </cell>
          <cell r="X370">
            <v>0</v>
          </cell>
          <cell r="AL370">
            <v>0</v>
          </cell>
          <cell r="AM370">
            <v>0</v>
          </cell>
          <cell r="AP370">
            <v>0</v>
          </cell>
          <cell r="AQ370">
            <v>0</v>
          </cell>
          <cell r="AR370">
            <v>0</v>
          </cell>
          <cell r="AV370">
            <v>797038.23</v>
          </cell>
          <cell r="AW370">
            <v>797039</v>
          </cell>
          <cell r="AY370">
            <v>8150</v>
          </cell>
          <cell r="AZ370">
            <v>18044</v>
          </cell>
          <cell r="BA370">
            <v>39655</v>
          </cell>
          <cell r="BC370">
            <v>0</v>
          </cell>
          <cell r="BD370">
            <v>862888</v>
          </cell>
          <cell r="BG370">
            <v>306292.82</v>
          </cell>
          <cell r="BI370" t="str">
            <v>Forecast</v>
          </cell>
        </row>
        <row r="371">
          <cell r="B371" t="str">
            <v>Oct 2014</v>
          </cell>
          <cell r="C371" t="str">
            <v>AES3</v>
          </cell>
          <cell r="D371" t="str">
            <v>AES3</v>
          </cell>
          <cell r="E371" t="str">
            <v>KUCME225</v>
          </cell>
          <cell r="F371">
            <v>0</v>
          </cell>
          <cell r="G371">
            <v>0</v>
          </cell>
          <cell r="H371">
            <v>0</v>
          </cell>
          <cell r="I371">
            <v>0</v>
          </cell>
          <cell r="J371">
            <v>0</v>
          </cell>
          <cell r="K371">
            <v>0</v>
          </cell>
          <cell r="L371">
            <v>0</v>
          </cell>
          <cell r="M371">
            <v>0</v>
          </cell>
          <cell r="N371">
            <v>0</v>
          </cell>
          <cell r="O371">
            <v>0</v>
          </cell>
          <cell r="S371">
            <v>0</v>
          </cell>
          <cell r="T371">
            <v>0</v>
          </cell>
          <cell r="U371">
            <v>0</v>
          </cell>
          <cell r="V371">
            <v>0</v>
          </cell>
          <cell r="W371">
            <v>0</v>
          </cell>
          <cell r="X371">
            <v>0</v>
          </cell>
          <cell r="AL371">
            <v>0</v>
          </cell>
          <cell r="AM371">
            <v>0</v>
          </cell>
          <cell r="AP371">
            <v>0</v>
          </cell>
          <cell r="AQ371">
            <v>0</v>
          </cell>
          <cell r="AR371">
            <v>0</v>
          </cell>
          <cell r="AV371">
            <v>0</v>
          </cell>
          <cell r="AW371">
            <v>0</v>
          </cell>
          <cell r="AY371">
            <v>0</v>
          </cell>
          <cell r="AZ371">
            <v>0</v>
          </cell>
          <cell r="BA371">
            <v>0</v>
          </cell>
          <cell r="BC371">
            <v>0</v>
          </cell>
          <cell r="BD371">
            <v>0</v>
          </cell>
          <cell r="BG371">
            <v>0</v>
          </cell>
          <cell r="BI371" t="str">
            <v>Forecast</v>
          </cell>
        </row>
        <row r="372">
          <cell r="B372" t="str">
            <v>Oct 2014</v>
          </cell>
          <cell r="C372" t="str">
            <v>AES</v>
          </cell>
          <cell r="D372" t="str">
            <v>AES</v>
          </cell>
          <cell r="E372" t="str">
            <v>KUCME226</v>
          </cell>
          <cell r="F372">
            <v>0</v>
          </cell>
          <cell r="G372">
            <v>0</v>
          </cell>
          <cell r="H372">
            <v>0</v>
          </cell>
          <cell r="I372">
            <v>0</v>
          </cell>
          <cell r="J372">
            <v>0</v>
          </cell>
          <cell r="K372">
            <v>0</v>
          </cell>
          <cell r="L372">
            <v>0</v>
          </cell>
          <cell r="M372">
            <v>0</v>
          </cell>
          <cell r="N372">
            <v>0</v>
          </cell>
          <cell r="O372">
            <v>0</v>
          </cell>
          <cell r="S372">
            <v>0</v>
          </cell>
          <cell r="T372">
            <v>0</v>
          </cell>
          <cell r="U372">
            <v>0</v>
          </cell>
          <cell r="V372">
            <v>0</v>
          </cell>
          <cell r="W372">
            <v>0</v>
          </cell>
          <cell r="X372">
            <v>0</v>
          </cell>
          <cell r="AL372">
            <v>0</v>
          </cell>
          <cell r="AM372">
            <v>0</v>
          </cell>
          <cell r="AP372">
            <v>0</v>
          </cell>
          <cell r="AQ372">
            <v>0</v>
          </cell>
          <cell r="AR372">
            <v>0</v>
          </cell>
          <cell r="AV372">
            <v>0</v>
          </cell>
          <cell r="AW372">
            <v>0</v>
          </cell>
          <cell r="AY372">
            <v>0</v>
          </cell>
          <cell r="AZ372">
            <v>0</v>
          </cell>
          <cell r="BA372">
            <v>0</v>
          </cell>
          <cell r="BC372">
            <v>0</v>
          </cell>
          <cell r="BD372">
            <v>0</v>
          </cell>
          <cell r="BG372">
            <v>0</v>
          </cell>
          <cell r="BI372" t="str">
            <v>Forecast</v>
          </cell>
        </row>
        <row r="373">
          <cell r="B373" t="str">
            <v>Oct 2014</v>
          </cell>
          <cell r="C373" t="str">
            <v>AES3</v>
          </cell>
          <cell r="D373" t="str">
            <v>AES3</v>
          </cell>
          <cell r="E373" t="str">
            <v>KUCME227</v>
          </cell>
          <cell r="F373">
            <v>0</v>
          </cell>
          <cell r="G373">
            <v>0</v>
          </cell>
          <cell r="H373">
            <v>0</v>
          </cell>
          <cell r="I373">
            <v>0</v>
          </cell>
          <cell r="J373">
            <v>0</v>
          </cell>
          <cell r="K373">
            <v>0</v>
          </cell>
          <cell r="L373">
            <v>0</v>
          </cell>
          <cell r="M373">
            <v>0</v>
          </cell>
          <cell r="N373">
            <v>0</v>
          </cell>
          <cell r="O373">
            <v>0</v>
          </cell>
          <cell r="S373">
            <v>0</v>
          </cell>
          <cell r="T373">
            <v>0</v>
          </cell>
          <cell r="U373">
            <v>0</v>
          </cell>
          <cell r="V373">
            <v>0</v>
          </cell>
          <cell r="W373">
            <v>0</v>
          </cell>
          <cell r="X373">
            <v>0</v>
          </cell>
          <cell r="AL373">
            <v>0</v>
          </cell>
          <cell r="AM373">
            <v>0</v>
          </cell>
          <cell r="AP373">
            <v>0</v>
          </cell>
          <cell r="AQ373">
            <v>0</v>
          </cell>
          <cell r="AR373">
            <v>0</v>
          </cell>
          <cell r="AV373">
            <v>0</v>
          </cell>
          <cell r="AW373">
            <v>0</v>
          </cell>
          <cell r="AY373">
            <v>0</v>
          </cell>
          <cell r="AZ373">
            <v>0</v>
          </cell>
          <cell r="BA373">
            <v>0</v>
          </cell>
          <cell r="BC373">
            <v>0</v>
          </cell>
          <cell r="BD373">
            <v>0</v>
          </cell>
          <cell r="BG373">
            <v>0</v>
          </cell>
          <cell r="BI373" t="str">
            <v>Forecast</v>
          </cell>
        </row>
        <row r="374">
          <cell r="B374" t="str">
            <v>Oct 2014</v>
          </cell>
          <cell r="C374" t="str">
            <v>LE</v>
          </cell>
          <cell r="D374" t="str">
            <v>LE</v>
          </cell>
          <cell r="E374" t="str">
            <v>KUCME290</v>
          </cell>
          <cell r="F374">
            <v>2</v>
          </cell>
          <cell r="G374">
            <v>0</v>
          </cell>
          <cell r="H374">
            <v>0</v>
          </cell>
          <cell r="I374">
            <v>0</v>
          </cell>
          <cell r="J374">
            <v>0</v>
          </cell>
          <cell r="K374">
            <v>14105</v>
          </cell>
          <cell r="L374">
            <v>0</v>
          </cell>
          <cell r="M374">
            <v>0</v>
          </cell>
          <cell r="N374">
            <v>0</v>
          </cell>
          <cell r="O374">
            <v>0</v>
          </cell>
          <cell r="S374">
            <v>0</v>
          </cell>
          <cell r="T374">
            <v>0</v>
          </cell>
          <cell r="U374">
            <v>0</v>
          </cell>
          <cell r="V374">
            <v>0</v>
          </cell>
          <cell r="W374">
            <v>0</v>
          </cell>
          <cell r="X374">
            <v>0</v>
          </cell>
          <cell r="AL374">
            <v>0</v>
          </cell>
          <cell r="AM374">
            <v>0</v>
          </cell>
          <cell r="AP374">
            <v>0</v>
          </cell>
          <cell r="AQ374">
            <v>0</v>
          </cell>
          <cell r="AR374">
            <v>0</v>
          </cell>
          <cell r="AV374">
            <v>899.9</v>
          </cell>
          <cell r="AW374">
            <v>900</v>
          </cell>
          <cell r="AY374">
            <v>11</v>
          </cell>
          <cell r="AZ374">
            <v>0</v>
          </cell>
          <cell r="BA374">
            <v>53</v>
          </cell>
          <cell r="BC374">
            <v>0</v>
          </cell>
          <cell r="BD374">
            <v>964</v>
          </cell>
          <cell r="BG374">
            <v>407.92</v>
          </cell>
          <cell r="BI374" t="str">
            <v>Forecast</v>
          </cell>
        </row>
        <row r="375">
          <cell r="B375" t="str">
            <v>Oct 2014</v>
          </cell>
          <cell r="C375" t="str">
            <v>LE</v>
          </cell>
          <cell r="D375" t="str">
            <v>LE</v>
          </cell>
          <cell r="E375" t="str">
            <v>KUCME291</v>
          </cell>
          <cell r="F375">
            <v>0</v>
          </cell>
          <cell r="G375">
            <v>0</v>
          </cell>
          <cell r="H375">
            <v>0</v>
          </cell>
          <cell r="I375">
            <v>0</v>
          </cell>
          <cell r="J375">
            <v>0</v>
          </cell>
          <cell r="K375">
            <v>0</v>
          </cell>
          <cell r="L375">
            <v>0</v>
          </cell>
          <cell r="M375">
            <v>0</v>
          </cell>
          <cell r="N375">
            <v>0</v>
          </cell>
          <cell r="O375">
            <v>0</v>
          </cell>
          <cell r="S375">
            <v>0</v>
          </cell>
          <cell r="T375">
            <v>0</v>
          </cell>
          <cell r="U375">
            <v>0</v>
          </cell>
          <cell r="V375">
            <v>0</v>
          </cell>
          <cell r="W375">
            <v>0</v>
          </cell>
          <cell r="X375">
            <v>0</v>
          </cell>
          <cell r="AL375">
            <v>0</v>
          </cell>
          <cell r="AM375">
            <v>0</v>
          </cell>
          <cell r="AP375">
            <v>0</v>
          </cell>
          <cell r="AQ375">
            <v>0</v>
          </cell>
          <cell r="AR375">
            <v>0</v>
          </cell>
          <cell r="AV375">
            <v>0</v>
          </cell>
          <cell r="AW375">
            <v>0</v>
          </cell>
          <cell r="AY375">
            <v>0</v>
          </cell>
          <cell r="AZ375">
            <v>0</v>
          </cell>
          <cell r="BA375">
            <v>0</v>
          </cell>
          <cell r="BC375">
            <v>0</v>
          </cell>
          <cell r="BD375">
            <v>0</v>
          </cell>
          <cell r="BG375">
            <v>0</v>
          </cell>
          <cell r="BI375" t="str">
            <v>Forecast</v>
          </cell>
        </row>
        <row r="376">
          <cell r="B376" t="str">
            <v>Oct 2014</v>
          </cell>
          <cell r="C376" t="str">
            <v>TE</v>
          </cell>
          <cell r="D376" t="str">
            <v>TE</v>
          </cell>
          <cell r="E376" t="str">
            <v>KUCME295</v>
          </cell>
          <cell r="F376">
            <v>747</v>
          </cell>
          <cell r="G376">
            <v>0</v>
          </cell>
          <cell r="H376">
            <v>0</v>
          </cell>
          <cell r="I376">
            <v>0</v>
          </cell>
          <cell r="J376">
            <v>0</v>
          </cell>
          <cell r="K376">
            <v>97932</v>
          </cell>
          <cell r="L376">
            <v>0</v>
          </cell>
          <cell r="M376">
            <v>0</v>
          </cell>
          <cell r="N376">
            <v>0</v>
          </cell>
          <cell r="O376">
            <v>0</v>
          </cell>
          <cell r="S376">
            <v>0</v>
          </cell>
          <cell r="T376">
            <v>0</v>
          </cell>
          <cell r="U376">
            <v>0</v>
          </cell>
          <cell r="V376">
            <v>0</v>
          </cell>
          <cell r="W376">
            <v>0</v>
          </cell>
          <cell r="X376">
            <v>0</v>
          </cell>
          <cell r="AL376">
            <v>0</v>
          </cell>
          <cell r="AM376">
            <v>0</v>
          </cell>
          <cell r="AP376">
            <v>0</v>
          </cell>
          <cell r="AQ376">
            <v>0</v>
          </cell>
          <cell r="AR376">
            <v>0</v>
          </cell>
          <cell r="AV376">
            <v>10240.76</v>
          </cell>
          <cell r="AW376">
            <v>10240.75</v>
          </cell>
          <cell r="AY376">
            <v>75</v>
          </cell>
          <cell r="AZ376">
            <v>0</v>
          </cell>
          <cell r="BA376">
            <v>366</v>
          </cell>
          <cell r="BC376">
            <v>0</v>
          </cell>
          <cell r="BD376">
            <v>10681.75</v>
          </cell>
          <cell r="BG376">
            <v>2832.19</v>
          </cell>
          <cell r="BI376" t="str">
            <v>Forecast</v>
          </cell>
        </row>
        <row r="377">
          <cell r="B377" t="str">
            <v>Oct 2014</v>
          </cell>
          <cell r="C377" t="str">
            <v>TE</v>
          </cell>
          <cell r="D377" t="str">
            <v>TE</v>
          </cell>
          <cell r="E377" t="str">
            <v>KUCME297</v>
          </cell>
          <cell r="F377">
            <v>0</v>
          </cell>
          <cell r="G377">
            <v>0</v>
          </cell>
          <cell r="H377">
            <v>0</v>
          </cell>
          <cell r="I377">
            <v>0</v>
          </cell>
          <cell r="J377">
            <v>0</v>
          </cell>
          <cell r="K377">
            <v>0</v>
          </cell>
          <cell r="L377">
            <v>0</v>
          </cell>
          <cell r="M377">
            <v>0</v>
          </cell>
          <cell r="N377">
            <v>0</v>
          </cell>
          <cell r="O377">
            <v>0</v>
          </cell>
          <cell r="S377">
            <v>0</v>
          </cell>
          <cell r="T377">
            <v>0</v>
          </cell>
          <cell r="U377">
            <v>0</v>
          </cell>
          <cell r="V377">
            <v>0</v>
          </cell>
          <cell r="W377">
            <v>0</v>
          </cell>
          <cell r="X377">
            <v>0</v>
          </cell>
          <cell r="AL377">
            <v>0</v>
          </cell>
          <cell r="AM377">
            <v>0</v>
          </cell>
          <cell r="AP377">
            <v>0</v>
          </cell>
          <cell r="AQ377">
            <v>0</v>
          </cell>
          <cell r="AR377">
            <v>0</v>
          </cell>
          <cell r="AV377">
            <v>0</v>
          </cell>
          <cell r="AW377">
            <v>0</v>
          </cell>
          <cell r="AY377">
            <v>0</v>
          </cell>
          <cell r="AZ377">
            <v>0</v>
          </cell>
          <cell r="BA377">
            <v>0</v>
          </cell>
          <cell r="BC377">
            <v>0</v>
          </cell>
          <cell r="BD377">
            <v>0</v>
          </cell>
          <cell r="BG377">
            <v>0</v>
          </cell>
          <cell r="BI377" t="str">
            <v>Forecast</v>
          </cell>
        </row>
        <row r="378">
          <cell r="B378" t="str">
            <v>Oct 2014</v>
          </cell>
          <cell r="C378" t="str">
            <v>SQF</v>
          </cell>
          <cell r="D378" t="str">
            <v>SQF</v>
          </cell>
          <cell r="E378" t="str">
            <v>KUCME705</v>
          </cell>
          <cell r="F378">
            <v>0</v>
          </cell>
          <cell r="G378">
            <v>0</v>
          </cell>
          <cell r="H378">
            <v>0</v>
          </cell>
          <cell r="I378">
            <v>0</v>
          </cell>
          <cell r="J378">
            <v>0</v>
          </cell>
          <cell r="K378">
            <v>0</v>
          </cell>
          <cell r="L378">
            <v>0</v>
          </cell>
          <cell r="M378">
            <v>0</v>
          </cell>
          <cell r="N378">
            <v>0</v>
          </cell>
          <cell r="O378">
            <v>0</v>
          </cell>
          <cell r="S378">
            <v>0</v>
          </cell>
          <cell r="T378">
            <v>0</v>
          </cell>
          <cell r="U378">
            <v>0</v>
          </cell>
          <cell r="V378">
            <v>0</v>
          </cell>
          <cell r="W378">
            <v>0</v>
          </cell>
          <cell r="X378">
            <v>0</v>
          </cell>
          <cell r="AL378">
            <v>0</v>
          </cell>
          <cell r="AM378">
            <v>0</v>
          </cell>
          <cell r="AP378">
            <v>0</v>
          </cell>
          <cell r="AQ378">
            <v>0</v>
          </cell>
          <cell r="AR378">
            <v>0</v>
          </cell>
          <cell r="AV378">
            <v>0</v>
          </cell>
          <cell r="AW378">
            <v>0</v>
          </cell>
          <cell r="AY378">
            <v>0</v>
          </cell>
          <cell r="AZ378">
            <v>0</v>
          </cell>
          <cell r="BA378">
            <v>0</v>
          </cell>
          <cell r="BC378">
            <v>0</v>
          </cell>
          <cell r="BD378">
            <v>0</v>
          </cell>
          <cell r="BG378">
            <v>0</v>
          </cell>
          <cell r="BI378" t="str">
            <v>Forecast</v>
          </cell>
        </row>
        <row r="379">
          <cell r="B379" t="str">
            <v>Oct 2014</v>
          </cell>
          <cell r="C379" t="str">
            <v>LQF</v>
          </cell>
          <cell r="D379" t="str">
            <v>LQF</v>
          </cell>
          <cell r="E379" t="str">
            <v>KUCME707</v>
          </cell>
          <cell r="F379">
            <v>0</v>
          </cell>
          <cell r="G379">
            <v>0</v>
          </cell>
          <cell r="H379">
            <v>0</v>
          </cell>
          <cell r="I379">
            <v>0</v>
          </cell>
          <cell r="J379">
            <v>0</v>
          </cell>
          <cell r="K379">
            <v>0</v>
          </cell>
          <cell r="L379">
            <v>0</v>
          </cell>
          <cell r="M379">
            <v>0</v>
          </cell>
          <cell r="N379">
            <v>0</v>
          </cell>
          <cell r="O379">
            <v>0</v>
          </cell>
          <cell r="S379">
            <v>0</v>
          </cell>
          <cell r="T379">
            <v>0</v>
          </cell>
          <cell r="U379">
            <v>0</v>
          </cell>
          <cell r="V379">
            <v>0</v>
          </cell>
          <cell r="W379">
            <v>0</v>
          </cell>
          <cell r="X379">
            <v>0</v>
          </cell>
          <cell r="AL379">
            <v>0</v>
          </cell>
          <cell r="AM379">
            <v>0</v>
          </cell>
          <cell r="AP379">
            <v>0</v>
          </cell>
          <cell r="AQ379">
            <v>0</v>
          </cell>
          <cell r="AR379">
            <v>0</v>
          </cell>
          <cell r="AV379">
            <v>0</v>
          </cell>
          <cell r="AW379">
            <v>0</v>
          </cell>
          <cell r="AY379">
            <v>0</v>
          </cell>
          <cell r="AZ379">
            <v>0</v>
          </cell>
          <cell r="BA379">
            <v>0</v>
          </cell>
          <cell r="BC379">
            <v>0</v>
          </cell>
          <cell r="BD379">
            <v>0</v>
          </cell>
          <cell r="BG379">
            <v>0</v>
          </cell>
          <cell r="BI379" t="str">
            <v>Forecast</v>
          </cell>
        </row>
        <row r="380">
          <cell r="B380" t="str">
            <v>Oct 2014</v>
          </cell>
          <cell r="C380" t="str">
            <v>GS</v>
          </cell>
          <cell r="D380" t="str">
            <v>GS</v>
          </cell>
          <cell r="E380" t="str">
            <v>KUCME710</v>
          </cell>
          <cell r="F380">
            <v>0</v>
          </cell>
          <cell r="G380">
            <v>0</v>
          </cell>
          <cell r="H380">
            <v>0</v>
          </cell>
          <cell r="I380">
            <v>0</v>
          </cell>
          <cell r="J380">
            <v>0</v>
          </cell>
          <cell r="K380">
            <v>0</v>
          </cell>
          <cell r="L380">
            <v>0</v>
          </cell>
          <cell r="M380">
            <v>0</v>
          </cell>
          <cell r="N380">
            <v>0</v>
          </cell>
          <cell r="O380">
            <v>0</v>
          </cell>
          <cell r="S380">
            <v>0</v>
          </cell>
          <cell r="T380">
            <v>0</v>
          </cell>
          <cell r="U380">
            <v>0</v>
          </cell>
          <cell r="V380">
            <v>0</v>
          </cell>
          <cell r="W380">
            <v>0</v>
          </cell>
          <cell r="X380">
            <v>0</v>
          </cell>
          <cell r="AL380">
            <v>0</v>
          </cell>
          <cell r="AM380">
            <v>0</v>
          </cell>
          <cell r="AP380">
            <v>0</v>
          </cell>
          <cell r="AQ380">
            <v>0</v>
          </cell>
          <cell r="AR380">
            <v>0</v>
          </cell>
          <cell r="AV380">
            <v>0</v>
          </cell>
          <cell r="AW380">
            <v>0</v>
          </cell>
          <cell r="AY380">
            <v>0</v>
          </cell>
          <cell r="AZ380">
            <v>0</v>
          </cell>
          <cell r="BA380">
            <v>0</v>
          </cell>
          <cell r="BC380">
            <v>0</v>
          </cell>
          <cell r="BD380">
            <v>0</v>
          </cell>
          <cell r="BG380">
            <v>0</v>
          </cell>
          <cell r="BI380" t="str">
            <v>Forecast</v>
          </cell>
        </row>
        <row r="381">
          <cell r="B381" t="str">
            <v>Oct 2014</v>
          </cell>
          <cell r="C381" t="str">
            <v>GS3</v>
          </cell>
          <cell r="D381" t="str">
            <v>GS3</v>
          </cell>
          <cell r="E381" t="str">
            <v>KUCME713</v>
          </cell>
          <cell r="F381">
            <v>0</v>
          </cell>
          <cell r="G381">
            <v>0</v>
          </cell>
          <cell r="H381">
            <v>0</v>
          </cell>
          <cell r="I381">
            <v>0</v>
          </cell>
          <cell r="J381">
            <v>0</v>
          </cell>
          <cell r="K381">
            <v>0</v>
          </cell>
          <cell r="L381">
            <v>0</v>
          </cell>
          <cell r="M381">
            <v>0</v>
          </cell>
          <cell r="N381">
            <v>0</v>
          </cell>
          <cell r="O381">
            <v>0</v>
          </cell>
          <cell r="S381">
            <v>0</v>
          </cell>
          <cell r="T381">
            <v>0</v>
          </cell>
          <cell r="U381">
            <v>0</v>
          </cell>
          <cell r="V381">
            <v>0</v>
          </cell>
          <cell r="W381">
            <v>0</v>
          </cell>
          <cell r="X381">
            <v>0</v>
          </cell>
          <cell r="AL381">
            <v>0</v>
          </cell>
          <cell r="AM381">
            <v>0</v>
          </cell>
          <cell r="AP381">
            <v>0</v>
          </cell>
          <cell r="AQ381">
            <v>0</v>
          </cell>
          <cell r="AR381">
            <v>0</v>
          </cell>
          <cell r="AV381">
            <v>0</v>
          </cell>
          <cell r="AW381">
            <v>0</v>
          </cell>
          <cell r="AY381">
            <v>0</v>
          </cell>
          <cell r="AZ381">
            <v>0</v>
          </cell>
          <cell r="BA381">
            <v>0</v>
          </cell>
          <cell r="BC381">
            <v>0</v>
          </cell>
          <cell r="BD381">
            <v>0</v>
          </cell>
          <cell r="BG381">
            <v>0</v>
          </cell>
          <cell r="BI381" t="str">
            <v>Forecast</v>
          </cell>
        </row>
        <row r="382">
          <cell r="B382" t="str">
            <v>Oct 2014</v>
          </cell>
          <cell r="C382" t="str">
            <v>CSR10</v>
          </cell>
          <cell r="D382" t="str">
            <v>CSR10</v>
          </cell>
          <cell r="E382" t="str">
            <v>KUCSR760</v>
          </cell>
          <cell r="F382">
            <v>0</v>
          </cell>
          <cell r="G382">
            <v>0</v>
          </cell>
          <cell r="H382">
            <v>0</v>
          </cell>
          <cell r="I382">
            <v>0</v>
          </cell>
          <cell r="J382">
            <v>0</v>
          </cell>
          <cell r="K382">
            <v>0</v>
          </cell>
          <cell r="L382">
            <v>0</v>
          </cell>
          <cell r="M382">
            <v>0</v>
          </cell>
          <cell r="N382">
            <v>0</v>
          </cell>
          <cell r="O382">
            <v>0</v>
          </cell>
          <cell r="S382">
            <v>0</v>
          </cell>
          <cell r="T382">
            <v>0</v>
          </cell>
          <cell r="U382">
            <v>0</v>
          </cell>
          <cell r="V382">
            <v>0</v>
          </cell>
          <cell r="W382">
            <v>0</v>
          </cell>
          <cell r="X382">
            <v>0</v>
          </cell>
          <cell r="AL382">
            <v>0</v>
          </cell>
          <cell r="AM382">
            <v>0</v>
          </cell>
          <cell r="AP382">
            <v>0</v>
          </cell>
          <cell r="AQ382">
            <v>0</v>
          </cell>
          <cell r="AR382">
            <v>0</v>
          </cell>
          <cell r="AV382">
            <v>0</v>
          </cell>
          <cell r="AW382">
            <v>0</v>
          </cell>
          <cell r="AY382">
            <v>0</v>
          </cell>
          <cell r="AZ382">
            <v>0</v>
          </cell>
          <cell r="BA382">
            <v>0</v>
          </cell>
          <cell r="BC382">
            <v>-989829</v>
          </cell>
          <cell r="BD382">
            <v>-989829</v>
          </cell>
          <cell r="BG382">
            <v>0</v>
          </cell>
          <cell r="BI382" t="str">
            <v>Forecast</v>
          </cell>
        </row>
        <row r="383">
          <cell r="B383" t="str">
            <v>Oct 2014</v>
          </cell>
          <cell r="C383" t="str">
            <v>CSR10</v>
          </cell>
          <cell r="D383" t="str">
            <v>CSR10</v>
          </cell>
          <cell r="E383" t="str">
            <v>KUCSR761</v>
          </cell>
          <cell r="F383">
            <v>0</v>
          </cell>
          <cell r="G383">
            <v>0</v>
          </cell>
          <cell r="H383">
            <v>0</v>
          </cell>
          <cell r="I383">
            <v>0</v>
          </cell>
          <cell r="J383">
            <v>0</v>
          </cell>
          <cell r="K383">
            <v>0</v>
          </cell>
          <cell r="L383">
            <v>0</v>
          </cell>
          <cell r="M383">
            <v>0</v>
          </cell>
          <cell r="N383">
            <v>0</v>
          </cell>
          <cell r="O383">
            <v>0</v>
          </cell>
          <cell r="S383">
            <v>0</v>
          </cell>
          <cell r="T383">
            <v>0</v>
          </cell>
          <cell r="U383">
            <v>0</v>
          </cell>
          <cell r="V383">
            <v>0</v>
          </cell>
          <cell r="W383">
            <v>0</v>
          </cell>
          <cell r="X383">
            <v>0</v>
          </cell>
          <cell r="AL383">
            <v>0</v>
          </cell>
          <cell r="AM383">
            <v>0</v>
          </cell>
          <cell r="AP383">
            <v>0</v>
          </cell>
          <cell r="AQ383">
            <v>0</v>
          </cell>
          <cell r="AR383">
            <v>0</v>
          </cell>
          <cell r="AV383">
            <v>0</v>
          </cell>
          <cell r="AW383">
            <v>0</v>
          </cell>
          <cell r="AY383">
            <v>0</v>
          </cell>
          <cell r="AZ383">
            <v>0</v>
          </cell>
          <cell r="BA383">
            <v>0</v>
          </cell>
          <cell r="BC383">
            <v>0</v>
          </cell>
          <cell r="BD383">
            <v>0</v>
          </cell>
          <cell r="BG383">
            <v>0</v>
          </cell>
          <cell r="BI383" t="str">
            <v>Forecast</v>
          </cell>
        </row>
        <row r="384">
          <cell r="B384" t="str">
            <v>Oct 2014</v>
          </cell>
          <cell r="C384" t="str">
            <v>CSR30</v>
          </cell>
          <cell r="D384" t="str">
            <v>CSR30</v>
          </cell>
          <cell r="E384" t="str">
            <v>KUCSR780</v>
          </cell>
          <cell r="F384">
            <v>0</v>
          </cell>
          <cell r="G384">
            <v>0</v>
          </cell>
          <cell r="H384">
            <v>0</v>
          </cell>
          <cell r="I384">
            <v>0</v>
          </cell>
          <cell r="J384">
            <v>0</v>
          </cell>
          <cell r="K384">
            <v>0</v>
          </cell>
          <cell r="L384">
            <v>0</v>
          </cell>
          <cell r="M384">
            <v>0</v>
          </cell>
          <cell r="N384">
            <v>0</v>
          </cell>
          <cell r="O384">
            <v>0</v>
          </cell>
          <cell r="S384">
            <v>0</v>
          </cell>
          <cell r="T384">
            <v>0</v>
          </cell>
          <cell r="U384">
            <v>0</v>
          </cell>
          <cell r="V384">
            <v>0</v>
          </cell>
          <cell r="W384">
            <v>0</v>
          </cell>
          <cell r="X384">
            <v>0</v>
          </cell>
          <cell r="AL384">
            <v>0</v>
          </cell>
          <cell r="AM384">
            <v>0</v>
          </cell>
          <cell r="AP384">
            <v>0</v>
          </cell>
          <cell r="AQ384">
            <v>0</v>
          </cell>
          <cell r="AR384">
            <v>0</v>
          </cell>
          <cell r="AV384">
            <v>0</v>
          </cell>
          <cell r="AW384">
            <v>0</v>
          </cell>
          <cell r="AY384">
            <v>0</v>
          </cell>
          <cell r="AZ384">
            <v>0</v>
          </cell>
          <cell r="BA384">
            <v>0</v>
          </cell>
          <cell r="BC384">
            <v>0</v>
          </cell>
          <cell r="BD384">
            <v>0</v>
          </cell>
          <cell r="BG384">
            <v>0</v>
          </cell>
          <cell r="BI384" t="str">
            <v>Forecast</v>
          </cell>
        </row>
        <row r="385">
          <cell r="B385" t="str">
            <v>Oct 2014</v>
          </cell>
          <cell r="C385" t="str">
            <v>CSR30</v>
          </cell>
          <cell r="D385" t="str">
            <v>CSR30</v>
          </cell>
          <cell r="E385" t="str">
            <v>KUCSR781</v>
          </cell>
          <cell r="F385">
            <v>0</v>
          </cell>
          <cell r="G385">
            <v>0</v>
          </cell>
          <cell r="H385">
            <v>0</v>
          </cell>
          <cell r="I385">
            <v>0</v>
          </cell>
          <cell r="J385">
            <v>0</v>
          </cell>
          <cell r="K385">
            <v>0</v>
          </cell>
          <cell r="L385">
            <v>0</v>
          </cell>
          <cell r="M385">
            <v>0</v>
          </cell>
          <cell r="N385">
            <v>0</v>
          </cell>
          <cell r="O385">
            <v>0</v>
          </cell>
          <cell r="S385">
            <v>0</v>
          </cell>
          <cell r="T385">
            <v>0</v>
          </cell>
          <cell r="U385">
            <v>0</v>
          </cell>
          <cell r="V385">
            <v>0</v>
          </cell>
          <cell r="W385">
            <v>0</v>
          </cell>
          <cell r="X385">
            <v>0</v>
          </cell>
          <cell r="AL385">
            <v>0</v>
          </cell>
          <cell r="AM385">
            <v>0</v>
          </cell>
          <cell r="AP385">
            <v>0</v>
          </cell>
          <cell r="AQ385">
            <v>0</v>
          </cell>
          <cell r="AR385">
            <v>0</v>
          </cell>
          <cell r="AV385">
            <v>0</v>
          </cell>
          <cell r="AW385">
            <v>0</v>
          </cell>
          <cell r="AY385">
            <v>0</v>
          </cell>
          <cell r="AZ385">
            <v>0</v>
          </cell>
          <cell r="BA385">
            <v>0</v>
          </cell>
          <cell r="BC385">
            <v>0</v>
          </cell>
          <cell r="BD385">
            <v>0</v>
          </cell>
          <cell r="BG385">
            <v>0</v>
          </cell>
          <cell r="BI385" t="str">
            <v>Forecast</v>
          </cell>
        </row>
        <row r="386">
          <cell r="B386" t="str">
            <v>Oct 2014</v>
          </cell>
          <cell r="C386" t="str">
            <v>CSR30</v>
          </cell>
          <cell r="D386" t="str">
            <v>CSR30</v>
          </cell>
          <cell r="E386" t="str">
            <v>KUCSR783</v>
          </cell>
          <cell r="F386">
            <v>0</v>
          </cell>
          <cell r="G386">
            <v>0</v>
          </cell>
          <cell r="H386">
            <v>0</v>
          </cell>
          <cell r="I386">
            <v>0</v>
          </cell>
          <cell r="J386">
            <v>0</v>
          </cell>
          <cell r="K386">
            <v>0</v>
          </cell>
          <cell r="L386">
            <v>0</v>
          </cell>
          <cell r="M386">
            <v>0</v>
          </cell>
          <cell r="N386">
            <v>0</v>
          </cell>
          <cell r="O386">
            <v>0</v>
          </cell>
          <cell r="S386">
            <v>0</v>
          </cell>
          <cell r="T386">
            <v>0</v>
          </cell>
          <cell r="U386">
            <v>0</v>
          </cell>
          <cell r="V386">
            <v>0</v>
          </cell>
          <cell r="W386">
            <v>0</v>
          </cell>
          <cell r="X386">
            <v>0</v>
          </cell>
          <cell r="AL386">
            <v>0</v>
          </cell>
          <cell r="AM386">
            <v>0</v>
          </cell>
          <cell r="AP386">
            <v>0</v>
          </cell>
          <cell r="AQ386">
            <v>0</v>
          </cell>
          <cell r="AR386">
            <v>0</v>
          </cell>
          <cell r="AV386">
            <v>0</v>
          </cell>
          <cell r="AW386">
            <v>0</v>
          </cell>
          <cell r="AY386">
            <v>0</v>
          </cell>
          <cell r="AZ386">
            <v>0</v>
          </cell>
          <cell r="BA386">
            <v>0</v>
          </cell>
          <cell r="BC386">
            <v>0</v>
          </cell>
          <cell r="BD386">
            <v>0</v>
          </cell>
          <cell r="BG386">
            <v>0</v>
          </cell>
          <cell r="BI386" t="str">
            <v>Forecast</v>
          </cell>
        </row>
        <row r="387">
          <cell r="B387" t="str">
            <v>Oct 2014</v>
          </cell>
          <cell r="C387" t="str">
            <v>FLS</v>
          </cell>
          <cell r="D387" t="str">
            <v>FLST</v>
          </cell>
          <cell r="E387" t="str">
            <v>KUINE730</v>
          </cell>
          <cell r="F387">
            <v>1</v>
          </cell>
          <cell r="G387">
            <v>0</v>
          </cell>
          <cell r="H387">
            <v>0</v>
          </cell>
          <cell r="I387">
            <v>0</v>
          </cell>
          <cell r="J387">
            <v>0</v>
          </cell>
          <cell r="K387">
            <v>45507524</v>
          </cell>
          <cell r="L387">
            <v>0</v>
          </cell>
          <cell r="M387">
            <v>185157.6</v>
          </cell>
          <cell r="N387">
            <v>185157.6</v>
          </cell>
          <cell r="O387">
            <v>101387.6</v>
          </cell>
          <cell r="S387">
            <v>0</v>
          </cell>
          <cell r="T387">
            <v>0</v>
          </cell>
          <cell r="U387">
            <v>0</v>
          </cell>
          <cell r="V387">
            <v>0</v>
          </cell>
          <cell r="W387">
            <v>0</v>
          </cell>
          <cell r="X387">
            <v>0</v>
          </cell>
          <cell r="AL387">
            <v>0</v>
          </cell>
          <cell r="AM387">
            <v>0</v>
          </cell>
          <cell r="AP387">
            <v>0</v>
          </cell>
          <cell r="AQ387">
            <v>0</v>
          </cell>
          <cell r="AR387">
            <v>0</v>
          </cell>
          <cell r="AV387">
            <v>2204949.5100000002</v>
          </cell>
          <cell r="AW387">
            <v>2204949</v>
          </cell>
          <cell r="AY387">
            <v>35018</v>
          </cell>
          <cell r="AZ387">
            <v>0</v>
          </cell>
          <cell r="BA387">
            <v>170390</v>
          </cell>
          <cell r="BC387">
            <v>0</v>
          </cell>
          <cell r="BD387">
            <v>2410357</v>
          </cell>
          <cell r="BG387">
            <v>1316077.5900000001</v>
          </cell>
          <cell r="BI387" t="str">
            <v>Forecast</v>
          </cell>
        </row>
        <row r="388">
          <cell r="B388" t="str">
            <v>Oct 2014</v>
          </cell>
          <cell r="C388" t="str">
            <v>RS</v>
          </cell>
          <cell r="D388" t="str">
            <v>RS</v>
          </cell>
          <cell r="E388" t="str">
            <v>KURSE010</v>
          </cell>
          <cell r="F388">
            <v>427399</v>
          </cell>
          <cell r="G388">
            <v>0</v>
          </cell>
          <cell r="H388">
            <v>0</v>
          </cell>
          <cell r="I388">
            <v>0</v>
          </cell>
          <cell r="J388">
            <v>0</v>
          </cell>
          <cell r="K388">
            <v>379965025</v>
          </cell>
          <cell r="L388">
            <v>0</v>
          </cell>
          <cell r="M388">
            <v>0</v>
          </cell>
          <cell r="N388">
            <v>0</v>
          </cell>
          <cell r="O388">
            <v>0</v>
          </cell>
          <cell r="S388">
            <v>0</v>
          </cell>
          <cell r="T388">
            <v>0</v>
          </cell>
          <cell r="U388">
            <v>0</v>
          </cell>
          <cell r="V388">
            <v>0</v>
          </cell>
          <cell r="W388">
            <v>0</v>
          </cell>
          <cell r="X388">
            <v>0</v>
          </cell>
          <cell r="AL388">
            <v>0</v>
          </cell>
          <cell r="AM388">
            <v>0</v>
          </cell>
          <cell r="AR388">
            <v>0</v>
          </cell>
          <cell r="AV388">
            <v>34019030.789999999</v>
          </cell>
          <cell r="AW388">
            <v>34021088</v>
          </cell>
          <cell r="AY388">
            <v>292381</v>
          </cell>
          <cell r="AZ388">
            <v>647362</v>
          </cell>
          <cell r="BA388">
            <v>1422673</v>
          </cell>
          <cell r="BC388">
            <v>0</v>
          </cell>
          <cell r="BD388">
            <v>36383504</v>
          </cell>
          <cell r="BG388">
            <v>10988588.52</v>
          </cell>
          <cell r="BI388" t="str">
            <v>Forecast</v>
          </cell>
        </row>
        <row r="389">
          <cell r="B389" t="str">
            <v>Oct 2014</v>
          </cell>
          <cell r="C389" t="str">
            <v>RS</v>
          </cell>
          <cell r="D389" t="str">
            <v>RS</v>
          </cell>
          <cell r="E389" t="str">
            <v>KURSE020</v>
          </cell>
          <cell r="F389">
            <v>0</v>
          </cell>
          <cell r="G389">
            <v>0</v>
          </cell>
          <cell r="H389">
            <v>0</v>
          </cell>
          <cell r="I389">
            <v>0</v>
          </cell>
          <cell r="J389">
            <v>0</v>
          </cell>
          <cell r="K389">
            <v>0</v>
          </cell>
          <cell r="L389">
            <v>0</v>
          </cell>
          <cell r="M389">
            <v>0</v>
          </cell>
          <cell r="N389">
            <v>0</v>
          </cell>
          <cell r="O389">
            <v>0</v>
          </cell>
          <cell r="S389">
            <v>0</v>
          </cell>
          <cell r="T389">
            <v>0</v>
          </cell>
          <cell r="U389">
            <v>0</v>
          </cell>
          <cell r="V389">
            <v>0</v>
          </cell>
          <cell r="W389">
            <v>0</v>
          </cell>
          <cell r="X389">
            <v>0</v>
          </cell>
          <cell r="AL389">
            <v>0</v>
          </cell>
          <cell r="AM389">
            <v>0</v>
          </cell>
          <cell r="AR389">
            <v>0</v>
          </cell>
          <cell r="AV389">
            <v>0</v>
          </cell>
          <cell r="AW389">
            <v>0</v>
          </cell>
          <cell r="AY389">
            <v>0</v>
          </cell>
          <cell r="AZ389">
            <v>0</v>
          </cell>
          <cell r="BA389">
            <v>0</v>
          </cell>
          <cell r="BC389">
            <v>0</v>
          </cell>
          <cell r="BD389">
            <v>0</v>
          </cell>
          <cell r="BG389">
            <v>0</v>
          </cell>
          <cell r="BI389" t="str">
            <v>Forecast</v>
          </cell>
        </row>
        <row r="390">
          <cell r="B390" t="str">
            <v>Oct 2014</v>
          </cell>
          <cell r="C390" t="str">
            <v>RS</v>
          </cell>
          <cell r="D390" t="str">
            <v>RS</v>
          </cell>
          <cell r="E390" t="str">
            <v>KURSE025</v>
          </cell>
          <cell r="F390">
            <v>0</v>
          </cell>
          <cell r="G390">
            <v>0</v>
          </cell>
          <cell r="H390">
            <v>0</v>
          </cell>
          <cell r="I390">
            <v>0</v>
          </cell>
          <cell r="J390">
            <v>0</v>
          </cell>
          <cell r="K390">
            <v>0</v>
          </cell>
          <cell r="L390">
            <v>0</v>
          </cell>
          <cell r="M390">
            <v>0</v>
          </cell>
          <cell r="N390">
            <v>0</v>
          </cell>
          <cell r="O390">
            <v>0</v>
          </cell>
          <cell r="S390">
            <v>0</v>
          </cell>
          <cell r="T390">
            <v>0</v>
          </cell>
          <cell r="U390">
            <v>0</v>
          </cell>
          <cell r="V390">
            <v>0</v>
          </cell>
          <cell r="W390">
            <v>0</v>
          </cell>
          <cell r="X390">
            <v>0</v>
          </cell>
          <cell r="AL390">
            <v>0</v>
          </cell>
          <cell r="AM390">
            <v>0</v>
          </cell>
          <cell r="AR390">
            <v>0</v>
          </cell>
          <cell r="AV390">
            <v>0</v>
          </cell>
          <cell r="AW390">
            <v>0</v>
          </cell>
          <cell r="AY390">
            <v>0</v>
          </cell>
          <cell r="AZ390">
            <v>0</v>
          </cell>
          <cell r="BA390">
            <v>0</v>
          </cell>
          <cell r="BC390">
            <v>0</v>
          </cell>
          <cell r="BD390">
            <v>0</v>
          </cell>
          <cell r="BG390">
            <v>0</v>
          </cell>
          <cell r="BI390" t="str">
            <v>Forecast</v>
          </cell>
        </row>
        <row r="391">
          <cell r="B391" t="str">
            <v>Oct 2014</v>
          </cell>
          <cell r="C391" t="str">
            <v>LEV</v>
          </cell>
          <cell r="D391" t="str">
            <v>RSLEV</v>
          </cell>
          <cell r="E391" t="str">
            <v>KURSE040</v>
          </cell>
          <cell r="F391">
            <v>0</v>
          </cell>
          <cell r="G391">
            <v>0</v>
          </cell>
          <cell r="H391">
            <v>0</v>
          </cell>
          <cell r="I391">
            <v>0</v>
          </cell>
          <cell r="J391">
            <v>0</v>
          </cell>
          <cell r="K391">
            <v>0</v>
          </cell>
          <cell r="L391">
            <v>0</v>
          </cell>
          <cell r="M391">
            <v>0</v>
          </cell>
          <cell r="N391">
            <v>0</v>
          </cell>
          <cell r="O391">
            <v>0</v>
          </cell>
          <cell r="S391">
            <v>0</v>
          </cell>
          <cell r="T391">
            <v>0</v>
          </cell>
          <cell r="U391">
            <v>0</v>
          </cell>
          <cell r="V391">
            <v>0</v>
          </cell>
          <cell r="W391">
            <v>0</v>
          </cell>
          <cell r="X391">
            <v>0</v>
          </cell>
          <cell r="AL391">
            <v>0</v>
          </cell>
          <cell r="AM391">
            <v>0</v>
          </cell>
          <cell r="AP391">
            <v>0</v>
          </cell>
          <cell r="AQ391">
            <v>0</v>
          </cell>
          <cell r="AR391">
            <v>0</v>
          </cell>
          <cell r="AV391">
            <v>0</v>
          </cell>
          <cell r="AW391">
            <v>0</v>
          </cell>
          <cell r="AY391">
            <v>0</v>
          </cell>
          <cell r="AZ391">
            <v>0</v>
          </cell>
          <cell r="BA391">
            <v>0</v>
          </cell>
          <cell r="BC391">
            <v>0</v>
          </cell>
          <cell r="BD391">
            <v>0</v>
          </cell>
          <cell r="BG391">
            <v>0</v>
          </cell>
          <cell r="BI391" t="str">
            <v>Forecast</v>
          </cell>
        </row>
        <row r="392">
          <cell r="B392" t="str">
            <v>Oct 2014</v>
          </cell>
          <cell r="C392" t="str">
            <v>RS</v>
          </cell>
          <cell r="D392" t="str">
            <v>RSVFD</v>
          </cell>
          <cell r="E392" t="str">
            <v>KURSE080</v>
          </cell>
          <cell r="F392">
            <v>0</v>
          </cell>
          <cell r="G392">
            <v>0</v>
          </cell>
          <cell r="H392">
            <v>0</v>
          </cell>
          <cell r="I392">
            <v>0</v>
          </cell>
          <cell r="J392">
            <v>0</v>
          </cell>
          <cell r="K392">
            <v>0</v>
          </cell>
          <cell r="L392">
            <v>0</v>
          </cell>
          <cell r="M392">
            <v>0</v>
          </cell>
          <cell r="N392">
            <v>0</v>
          </cell>
          <cell r="O392">
            <v>0</v>
          </cell>
          <cell r="S392">
            <v>0</v>
          </cell>
          <cell r="T392">
            <v>0</v>
          </cell>
          <cell r="U392">
            <v>0</v>
          </cell>
          <cell r="V392">
            <v>0</v>
          </cell>
          <cell r="W392">
            <v>0</v>
          </cell>
          <cell r="X392">
            <v>0</v>
          </cell>
          <cell r="AL392">
            <v>0</v>
          </cell>
          <cell r="AM392">
            <v>0</v>
          </cell>
          <cell r="AR392">
            <v>0</v>
          </cell>
          <cell r="AV392">
            <v>0</v>
          </cell>
          <cell r="AW392">
            <v>0</v>
          </cell>
          <cell r="AY392">
            <v>0</v>
          </cell>
          <cell r="AZ392">
            <v>0</v>
          </cell>
          <cell r="BA392">
            <v>0</v>
          </cell>
          <cell r="BC392">
            <v>0</v>
          </cell>
          <cell r="BD392">
            <v>0</v>
          </cell>
          <cell r="BG392">
            <v>0</v>
          </cell>
          <cell r="BI392" t="str">
            <v>Forecast</v>
          </cell>
        </row>
        <row r="393">
          <cell r="B393" t="str">
            <v>Oct 2014</v>
          </cell>
          <cell r="C393" t="str">
            <v>RS</v>
          </cell>
          <cell r="D393" t="str">
            <v>RS</v>
          </cell>
          <cell r="E393" t="str">
            <v>KURSE715</v>
          </cell>
          <cell r="F393">
            <v>0</v>
          </cell>
          <cell r="G393">
            <v>0</v>
          </cell>
          <cell r="H393">
            <v>0</v>
          </cell>
          <cell r="I393">
            <v>0</v>
          </cell>
          <cell r="J393">
            <v>0</v>
          </cell>
          <cell r="K393">
            <v>0</v>
          </cell>
          <cell r="L393">
            <v>0</v>
          </cell>
          <cell r="M393">
            <v>0</v>
          </cell>
          <cell r="N393">
            <v>0</v>
          </cell>
          <cell r="O393">
            <v>0</v>
          </cell>
          <cell r="S393">
            <v>0</v>
          </cell>
          <cell r="T393">
            <v>0</v>
          </cell>
          <cell r="U393">
            <v>0</v>
          </cell>
          <cell r="V393">
            <v>0</v>
          </cell>
          <cell r="W393">
            <v>0</v>
          </cell>
          <cell r="X393">
            <v>0</v>
          </cell>
          <cell r="AL393">
            <v>0</v>
          </cell>
          <cell r="AM393">
            <v>0</v>
          </cell>
          <cell r="AR393">
            <v>0</v>
          </cell>
          <cell r="AV393">
            <v>0</v>
          </cell>
          <cell r="AW393">
            <v>0</v>
          </cell>
          <cell r="AY393">
            <v>0</v>
          </cell>
          <cell r="AZ393">
            <v>0</v>
          </cell>
          <cell r="BA393">
            <v>0</v>
          </cell>
          <cell r="BC393">
            <v>0</v>
          </cell>
          <cell r="BD393">
            <v>0</v>
          </cell>
          <cell r="BG393">
            <v>0</v>
          </cell>
          <cell r="BI393" t="str">
            <v>Forecast</v>
          </cell>
        </row>
        <row r="394">
          <cell r="B394" t="str">
            <v>Nov 2014</v>
          </cell>
          <cell r="C394" t="str">
            <v>RTS</v>
          </cell>
          <cell r="D394" t="str">
            <v>RTS</v>
          </cell>
          <cell r="E394" t="str">
            <v>KUCIE550</v>
          </cell>
          <cell r="F394">
            <v>32</v>
          </cell>
          <cell r="G394">
            <v>0</v>
          </cell>
          <cell r="H394">
            <v>0</v>
          </cell>
          <cell r="I394">
            <v>0</v>
          </cell>
          <cell r="J394">
            <v>0</v>
          </cell>
          <cell r="K394">
            <v>129791084</v>
          </cell>
          <cell r="L394">
            <v>0</v>
          </cell>
          <cell r="M394">
            <v>293910.55</v>
          </cell>
          <cell r="N394">
            <v>286728.15000000002</v>
          </cell>
          <cell r="O394">
            <v>276345.67</v>
          </cell>
          <cell r="V394">
            <v>0</v>
          </cell>
          <cell r="W394">
            <v>0</v>
          </cell>
          <cell r="X394">
            <v>0</v>
          </cell>
          <cell r="AL394">
            <v>0</v>
          </cell>
          <cell r="AM394">
            <v>0</v>
          </cell>
          <cell r="AP394">
            <v>0</v>
          </cell>
          <cell r="AQ394">
            <v>0</v>
          </cell>
          <cell r="AV394">
            <v>7054450.2300000004</v>
          </cell>
          <cell r="AW394">
            <v>7054451</v>
          </cell>
          <cell r="AY394">
            <v>317934</v>
          </cell>
          <cell r="AZ394">
            <v>0</v>
          </cell>
          <cell r="BA394">
            <v>501921</v>
          </cell>
          <cell r="BC394">
            <v>0</v>
          </cell>
          <cell r="BD394">
            <v>7874306</v>
          </cell>
          <cell r="BG394">
            <v>3753558.15</v>
          </cell>
          <cell r="BI394" t="str">
            <v>Forecast</v>
          </cell>
        </row>
        <row r="395">
          <cell r="B395" t="str">
            <v>Nov 2014</v>
          </cell>
          <cell r="C395" t="str">
            <v>PSP</v>
          </cell>
          <cell r="D395" t="str">
            <v>PSP</v>
          </cell>
          <cell r="E395" t="str">
            <v>KUCIE561</v>
          </cell>
          <cell r="F395">
            <v>216</v>
          </cell>
          <cell r="H395">
            <v>0</v>
          </cell>
          <cell r="I395">
            <v>0</v>
          </cell>
          <cell r="J395">
            <v>0</v>
          </cell>
          <cell r="K395">
            <v>18873291</v>
          </cell>
          <cell r="L395">
            <v>0</v>
          </cell>
          <cell r="M395">
            <v>0</v>
          </cell>
          <cell r="N395">
            <v>53495.68</v>
          </cell>
          <cell r="O395">
            <v>0</v>
          </cell>
          <cell r="V395">
            <v>0</v>
          </cell>
          <cell r="W395">
            <v>0</v>
          </cell>
          <cell r="X395">
            <v>0</v>
          </cell>
          <cell r="AL395">
            <v>0</v>
          </cell>
          <cell r="AM395">
            <v>0</v>
          </cell>
          <cell r="AV395">
            <v>1414059.69</v>
          </cell>
          <cell r="AW395">
            <v>1414059</v>
          </cell>
          <cell r="AY395">
            <v>46232</v>
          </cell>
          <cell r="AZ395">
            <v>38179</v>
          </cell>
          <cell r="BA395">
            <v>72986</v>
          </cell>
          <cell r="BC395">
            <v>0</v>
          </cell>
          <cell r="BD395">
            <v>1571456</v>
          </cell>
          <cell r="BG395">
            <v>545815.57999999996</v>
          </cell>
          <cell r="BI395" t="str">
            <v>Forecast</v>
          </cell>
        </row>
        <row r="396">
          <cell r="B396" t="str">
            <v>Nov 2014</v>
          </cell>
          <cell r="C396" t="str">
            <v>PSS</v>
          </cell>
          <cell r="D396" t="str">
            <v>PSS</v>
          </cell>
          <cell r="E396" t="str">
            <v>KUCIE562</v>
          </cell>
          <cell r="F396">
            <v>4815</v>
          </cell>
          <cell r="H396">
            <v>0</v>
          </cell>
          <cell r="I396">
            <v>0</v>
          </cell>
          <cell r="J396">
            <v>0</v>
          </cell>
          <cell r="K396">
            <v>165279163</v>
          </cell>
          <cell r="L396">
            <v>0</v>
          </cell>
          <cell r="M396">
            <v>0</v>
          </cell>
          <cell r="N396">
            <v>535245.07999999996</v>
          </cell>
          <cell r="O396">
            <v>0</v>
          </cell>
          <cell r="V396">
            <v>0</v>
          </cell>
          <cell r="W396">
            <v>0</v>
          </cell>
          <cell r="X396">
            <v>0</v>
          </cell>
          <cell r="AL396">
            <v>0</v>
          </cell>
          <cell r="AM396">
            <v>0</v>
          </cell>
          <cell r="AV396">
            <v>13389134.43</v>
          </cell>
          <cell r="AW396">
            <v>13389134</v>
          </cell>
          <cell r="AY396">
            <v>404865</v>
          </cell>
          <cell r="AZ396">
            <v>334346</v>
          </cell>
          <cell r="BA396">
            <v>639159</v>
          </cell>
          <cell r="BC396">
            <v>0</v>
          </cell>
          <cell r="BD396">
            <v>14767504</v>
          </cell>
          <cell r="BG396">
            <v>4779873.3899999997</v>
          </cell>
          <cell r="BI396" t="str">
            <v>Forecast</v>
          </cell>
        </row>
        <row r="397">
          <cell r="B397" t="str">
            <v>Nov 2014</v>
          </cell>
          <cell r="C397" t="str">
            <v>TODP</v>
          </cell>
          <cell r="D397" t="str">
            <v>TODP</v>
          </cell>
          <cell r="E397" t="str">
            <v>KUCIE563</v>
          </cell>
          <cell r="F397">
            <v>52</v>
          </cell>
          <cell r="H397">
            <v>0</v>
          </cell>
          <cell r="I397">
            <v>0</v>
          </cell>
          <cell r="J397">
            <v>0</v>
          </cell>
          <cell r="K397">
            <v>240299969</v>
          </cell>
          <cell r="L397">
            <v>0</v>
          </cell>
          <cell r="M397">
            <v>505391.85</v>
          </cell>
          <cell r="N397">
            <v>483224.92</v>
          </cell>
          <cell r="O397">
            <v>477199.84</v>
          </cell>
          <cell r="V397">
            <v>0</v>
          </cell>
          <cell r="W397">
            <v>0</v>
          </cell>
          <cell r="X397">
            <v>0</v>
          </cell>
          <cell r="AL397">
            <v>0</v>
          </cell>
          <cell r="AM397">
            <v>0</v>
          </cell>
          <cell r="AV397">
            <v>13293685.99</v>
          </cell>
          <cell r="AW397">
            <v>13293686</v>
          </cell>
          <cell r="AY397">
            <v>588635</v>
          </cell>
          <cell r="AZ397">
            <v>486107</v>
          </cell>
          <cell r="BA397">
            <v>929275</v>
          </cell>
          <cell r="BC397">
            <v>0</v>
          </cell>
          <cell r="BD397">
            <v>15297703</v>
          </cell>
          <cell r="BG397">
            <v>6949475.0999999996</v>
          </cell>
          <cell r="BI397" t="str">
            <v>Forecast</v>
          </cell>
        </row>
        <row r="398">
          <cell r="B398" t="str">
            <v>Nov 2014</v>
          </cell>
          <cell r="C398" t="str">
            <v>PSP</v>
          </cell>
          <cell r="D398" t="str">
            <v>PSP</v>
          </cell>
          <cell r="E398" t="str">
            <v>KUCIE566</v>
          </cell>
          <cell r="F398">
            <v>0</v>
          </cell>
          <cell r="H398">
            <v>0</v>
          </cell>
          <cell r="I398">
            <v>0</v>
          </cell>
          <cell r="J398">
            <v>0</v>
          </cell>
          <cell r="K398">
            <v>0</v>
          </cell>
          <cell r="L398">
            <v>0</v>
          </cell>
          <cell r="M398">
            <v>0</v>
          </cell>
          <cell r="N398">
            <v>0</v>
          </cell>
          <cell r="O398">
            <v>0</v>
          </cell>
          <cell r="S398">
            <v>0</v>
          </cell>
          <cell r="V398">
            <v>0</v>
          </cell>
          <cell r="W398">
            <v>0</v>
          </cell>
          <cell r="X398">
            <v>0</v>
          </cell>
          <cell r="AL398">
            <v>0</v>
          </cell>
          <cell r="AM398">
            <v>0</v>
          </cell>
          <cell r="AV398">
            <v>0</v>
          </cell>
          <cell r="AW398">
            <v>0</v>
          </cell>
          <cell r="AY398">
            <v>0</v>
          </cell>
          <cell r="AZ398">
            <v>0</v>
          </cell>
          <cell r="BA398">
            <v>0</v>
          </cell>
          <cell r="BC398">
            <v>0</v>
          </cell>
          <cell r="BD398">
            <v>0</v>
          </cell>
          <cell r="BG398">
            <v>0</v>
          </cell>
          <cell r="BI398" t="str">
            <v>Forecast</v>
          </cell>
        </row>
        <row r="399">
          <cell r="B399" t="str">
            <v>Nov 2014</v>
          </cell>
          <cell r="C399" t="str">
            <v>PSS</v>
          </cell>
          <cell r="D399" t="str">
            <v>PSS</v>
          </cell>
          <cell r="E399" t="str">
            <v>KUCIE568</v>
          </cell>
          <cell r="F399">
            <v>0</v>
          </cell>
          <cell r="H399">
            <v>0</v>
          </cell>
          <cell r="I399">
            <v>0</v>
          </cell>
          <cell r="J399">
            <v>0</v>
          </cell>
          <cell r="K399">
            <v>0</v>
          </cell>
          <cell r="L399">
            <v>0</v>
          </cell>
          <cell r="M399">
            <v>0</v>
          </cell>
          <cell r="N399">
            <v>0</v>
          </cell>
          <cell r="O399">
            <v>0</v>
          </cell>
          <cell r="S399">
            <v>0</v>
          </cell>
          <cell r="U399">
            <v>0</v>
          </cell>
          <cell r="V399">
            <v>0</v>
          </cell>
          <cell r="W399">
            <v>0</v>
          </cell>
          <cell r="X399">
            <v>0</v>
          </cell>
          <cell r="AM399">
            <v>0</v>
          </cell>
          <cell r="AV399">
            <v>0</v>
          </cell>
          <cell r="AW399">
            <v>0</v>
          </cell>
          <cell r="AY399">
            <v>0</v>
          </cell>
          <cell r="AZ399">
            <v>0</v>
          </cell>
          <cell r="BA399">
            <v>0</v>
          </cell>
          <cell r="BC399">
            <v>0</v>
          </cell>
          <cell r="BD399">
            <v>0</v>
          </cell>
          <cell r="BG399">
            <v>0</v>
          </cell>
          <cell r="BI399" t="str">
            <v>Forecast</v>
          </cell>
        </row>
        <row r="400">
          <cell r="B400" t="str">
            <v>Nov 2014</v>
          </cell>
          <cell r="C400" t="str">
            <v>TODP</v>
          </cell>
          <cell r="D400" t="str">
            <v>TODP</v>
          </cell>
          <cell r="E400" t="str">
            <v>KUCIE571</v>
          </cell>
          <cell r="F400">
            <v>182</v>
          </cell>
          <cell r="H400">
            <v>0</v>
          </cell>
          <cell r="I400">
            <v>0</v>
          </cell>
          <cell r="J400">
            <v>0</v>
          </cell>
          <cell r="K400">
            <v>100603039</v>
          </cell>
          <cell r="L400">
            <v>0</v>
          </cell>
          <cell r="M400">
            <v>265026.83</v>
          </cell>
          <cell r="N400">
            <v>254100.38</v>
          </cell>
          <cell r="O400">
            <v>250156.83</v>
          </cell>
          <cell r="V400">
            <v>0</v>
          </cell>
          <cell r="W400">
            <v>0</v>
          </cell>
          <cell r="X400">
            <v>0</v>
          </cell>
          <cell r="AL400">
            <v>0</v>
          </cell>
          <cell r="AM400">
            <v>0</v>
          </cell>
          <cell r="AV400">
            <v>6062485.4499999993</v>
          </cell>
          <cell r="AW400">
            <v>6062484</v>
          </cell>
          <cell r="AY400">
            <v>246436</v>
          </cell>
          <cell r="AZ400">
            <v>203512</v>
          </cell>
          <cell r="BA400">
            <v>389047</v>
          </cell>
          <cell r="BC400">
            <v>0</v>
          </cell>
          <cell r="BD400">
            <v>6901479</v>
          </cell>
          <cell r="BG400">
            <v>2909439.89</v>
          </cell>
          <cell r="BI400" t="str">
            <v>Forecast</v>
          </cell>
        </row>
        <row r="401">
          <cell r="B401" t="str">
            <v>Nov 2014</v>
          </cell>
          <cell r="C401" t="str">
            <v>TODS</v>
          </cell>
          <cell r="D401" t="str">
            <v>TODS</v>
          </cell>
          <cell r="E401" t="str">
            <v>KUCIE572</v>
          </cell>
          <cell r="F401">
            <v>453</v>
          </cell>
          <cell r="H401">
            <v>0</v>
          </cell>
          <cell r="I401">
            <v>0</v>
          </cell>
          <cell r="J401">
            <v>0</v>
          </cell>
          <cell r="K401">
            <v>108841166</v>
          </cell>
          <cell r="L401">
            <v>0</v>
          </cell>
          <cell r="M401">
            <v>267018.43</v>
          </cell>
          <cell r="N401">
            <v>243200.64000000001</v>
          </cell>
          <cell r="O401">
            <v>237752.95</v>
          </cell>
          <cell r="V401">
            <v>0</v>
          </cell>
          <cell r="W401">
            <v>0</v>
          </cell>
          <cell r="X401">
            <v>0</v>
          </cell>
          <cell r="AM401">
            <v>0</v>
          </cell>
          <cell r="AV401">
            <v>6963001.7199999988</v>
          </cell>
          <cell r="AW401">
            <v>6963001</v>
          </cell>
          <cell r="AY401">
            <v>266616</v>
          </cell>
          <cell r="AZ401">
            <v>220177</v>
          </cell>
          <cell r="BA401">
            <v>420905</v>
          </cell>
          <cell r="BC401">
            <v>0</v>
          </cell>
          <cell r="BD401">
            <v>7870699</v>
          </cell>
          <cell r="BG401">
            <v>3147686.52</v>
          </cell>
          <cell r="BI401" t="str">
            <v>Forecast</v>
          </cell>
        </row>
        <row r="402">
          <cell r="B402" t="str">
            <v>Nov 2014</v>
          </cell>
          <cell r="C402" t="str">
            <v>PSS</v>
          </cell>
          <cell r="D402" t="str">
            <v>PSS</v>
          </cell>
          <cell r="E402" t="str">
            <v>KUCIE717</v>
          </cell>
          <cell r="F402">
            <v>0</v>
          </cell>
          <cell r="G402">
            <v>0</v>
          </cell>
          <cell r="H402">
            <v>0</v>
          </cell>
          <cell r="I402">
            <v>0</v>
          </cell>
          <cell r="J402">
            <v>0</v>
          </cell>
          <cell r="K402">
            <v>0</v>
          </cell>
          <cell r="L402">
            <v>0</v>
          </cell>
          <cell r="M402">
            <v>0</v>
          </cell>
          <cell r="N402">
            <v>0</v>
          </cell>
          <cell r="O402">
            <v>0</v>
          </cell>
          <cell r="S402">
            <v>0</v>
          </cell>
          <cell r="T402">
            <v>0</v>
          </cell>
          <cell r="U402">
            <v>0</v>
          </cell>
          <cell r="V402">
            <v>0</v>
          </cell>
          <cell r="W402">
            <v>0</v>
          </cell>
          <cell r="X402">
            <v>0</v>
          </cell>
          <cell r="AL402">
            <v>0</v>
          </cell>
          <cell r="AM402">
            <v>0</v>
          </cell>
          <cell r="AP402">
            <v>0</v>
          </cell>
          <cell r="AQ402">
            <v>0</v>
          </cell>
          <cell r="AR402">
            <v>0</v>
          </cell>
          <cell r="AV402">
            <v>0</v>
          </cell>
          <cell r="AW402">
            <v>0</v>
          </cell>
          <cell r="AY402">
            <v>0</v>
          </cell>
          <cell r="AZ402">
            <v>0</v>
          </cell>
          <cell r="BA402">
            <v>0</v>
          </cell>
          <cell r="BC402">
            <v>0</v>
          </cell>
          <cell r="BD402">
            <v>0</v>
          </cell>
          <cell r="BG402">
            <v>0</v>
          </cell>
          <cell r="BI402" t="str">
            <v>Forecast</v>
          </cell>
        </row>
        <row r="403">
          <cell r="B403" t="str">
            <v>Nov 2014</v>
          </cell>
          <cell r="C403" t="str">
            <v>GS</v>
          </cell>
          <cell r="D403" t="str">
            <v>GS</v>
          </cell>
          <cell r="E403" t="str">
            <v>KUCME110</v>
          </cell>
          <cell r="F403">
            <v>63429</v>
          </cell>
          <cell r="G403">
            <v>0</v>
          </cell>
          <cell r="H403">
            <v>0</v>
          </cell>
          <cell r="I403">
            <v>0</v>
          </cell>
          <cell r="J403">
            <v>0</v>
          </cell>
          <cell r="K403">
            <v>53225861</v>
          </cell>
          <cell r="L403">
            <v>0</v>
          </cell>
          <cell r="M403">
            <v>0</v>
          </cell>
          <cell r="N403">
            <v>0</v>
          </cell>
          <cell r="O403">
            <v>0</v>
          </cell>
          <cell r="S403">
            <v>0</v>
          </cell>
          <cell r="T403">
            <v>0</v>
          </cell>
          <cell r="U403">
            <v>0</v>
          </cell>
          <cell r="V403">
            <v>0</v>
          </cell>
          <cell r="W403">
            <v>0</v>
          </cell>
          <cell r="X403">
            <v>0</v>
          </cell>
          <cell r="AL403">
            <v>0</v>
          </cell>
          <cell r="AM403">
            <v>0</v>
          </cell>
          <cell r="AP403">
            <v>0</v>
          </cell>
          <cell r="AQ403">
            <v>0</v>
          </cell>
          <cell r="AR403">
            <v>0</v>
          </cell>
          <cell r="AV403">
            <v>6178665.6799999997</v>
          </cell>
          <cell r="AW403">
            <v>6178658</v>
          </cell>
          <cell r="AY403">
            <v>130381</v>
          </cell>
          <cell r="AZ403">
            <v>107672</v>
          </cell>
          <cell r="BA403">
            <v>205832</v>
          </cell>
          <cell r="BC403">
            <v>0</v>
          </cell>
          <cell r="BD403">
            <v>6622543</v>
          </cell>
          <cell r="BG403">
            <v>1539291.9</v>
          </cell>
          <cell r="BI403" t="str">
            <v>Forecast</v>
          </cell>
        </row>
        <row r="404">
          <cell r="B404" t="str">
            <v>Nov 2014</v>
          </cell>
          <cell r="C404" t="str">
            <v>GS</v>
          </cell>
          <cell r="D404" t="str">
            <v>GS</v>
          </cell>
          <cell r="E404" t="str">
            <v>KUCME112</v>
          </cell>
          <cell r="F404">
            <v>0</v>
          </cell>
          <cell r="G404">
            <v>0</v>
          </cell>
          <cell r="H404">
            <v>0</v>
          </cell>
          <cell r="I404">
            <v>0</v>
          </cell>
          <cell r="J404">
            <v>0</v>
          </cell>
          <cell r="K404">
            <v>0</v>
          </cell>
          <cell r="L404">
            <v>0</v>
          </cell>
          <cell r="M404">
            <v>0</v>
          </cell>
          <cell r="N404">
            <v>0</v>
          </cell>
          <cell r="O404">
            <v>0</v>
          </cell>
          <cell r="S404">
            <v>0</v>
          </cell>
          <cell r="T404">
            <v>0</v>
          </cell>
          <cell r="U404">
            <v>0</v>
          </cell>
          <cell r="V404">
            <v>0</v>
          </cell>
          <cell r="W404">
            <v>0</v>
          </cell>
          <cell r="X404">
            <v>0</v>
          </cell>
          <cell r="AL404">
            <v>0</v>
          </cell>
          <cell r="AM404">
            <v>0</v>
          </cell>
          <cell r="AP404">
            <v>0</v>
          </cell>
          <cell r="AQ404">
            <v>0</v>
          </cell>
          <cell r="AR404">
            <v>0</v>
          </cell>
          <cell r="AV404">
            <v>0</v>
          </cell>
          <cell r="AW404">
            <v>0</v>
          </cell>
          <cell r="AY404">
            <v>0</v>
          </cell>
          <cell r="AZ404">
            <v>0</v>
          </cell>
          <cell r="BA404">
            <v>0</v>
          </cell>
          <cell r="BC404">
            <v>0</v>
          </cell>
          <cell r="BD404">
            <v>0</v>
          </cell>
          <cell r="BG404">
            <v>0</v>
          </cell>
          <cell r="BI404" t="str">
            <v>Forecast</v>
          </cell>
        </row>
        <row r="405">
          <cell r="B405" t="str">
            <v>Nov 2014</v>
          </cell>
          <cell r="C405" t="str">
            <v>GS3</v>
          </cell>
          <cell r="D405" t="str">
            <v>GS3</v>
          </cell>
          <cell r="E405" t="str">
            <v>KUCME113</v>
          </cell>
          <cell r="F405">
            <v>18541</v>
          </cell>
          <cell r="G405">
            <v>0</v>
          </cell>
          <cell r="H405">
            <v>0</v>
          </cell>
          <cell r="I405">
            <v>0</v>
          </cell>
          <cell r="J405">
            <v>0</v>
          </cell>
          <cell r="K405">
            <v>77573969</v>
          </cell>
          <cell r="L405">
            <v>0</v>
          </cell>
          <cell r="M405">
            <v>359334.01</v>
          </cell>
          <cell r="N405">
            <v>0</v>
          </cell>
          <cell r="O405">
            <v>0</v>
          </cell>
          <cell r="S405">
            <v>0</v>
          </cell>
          <cell r="T405">
            <v>0</v>
          </cell>
          <cell r="U405">
            <v>0</v>
          </cell>
          <cell r="V405">
            <v>0</v>
          </cell>
          <cell r="W405">
            <v>0</v>
          </cell>
          <cell r="X405">
            <v>0</v>
          </cell>
          <cell r="AL405">
            <v>0</v>
          </cell>
          <cell r="AM405">
            <v>0</v>
          </cell>
          <cell r="AP405">
            <v>0</v>
          </cell>
          <cell r="AQ405">
            <v>0</v>
          </cell>
          <cell r="AR405">
            <v>0</v>
          </cell>
          <cell r="AV405">
            <v>7805133.6399999997</v>
          </cell>
          <cell r="AW405">
            <v>7805147</v>
          </cell>
          <cell r="AY405">
            <v>190024</v>
          </cell>
          <cell r="AZ405">
            <v>156926</v>
          </cell>
          <cell r="BA405">
            <v>299990</v>
          </cell>
          <cell r="BC405">
            <v>0</v>
          </cell>
          <cell r="BD405">
            <v>8452087</v>
          </cell>
          <cell r="BG405">
            <v>2243439.1800000002</v>
          </cell>
          <cell r="BI405" t="str">
            <v>Forecast</v>
          </cell>
        </row>
        <row r="406">
          <cell r="B406" t="str">
            <v>Nov 2014</v>
          </cell>
          <cell r="C406" t="str">
            <v>AES</v>
          </cell>
          <cell r="D406" t="str">
            <v>AES</v>
          </cell>
          <cell r="E406" t="str">
            <v>KUCME220</v>
          </cell>
          <cell r="F406">
            <v>372</v>
          </cell>
          <cell r="G406">
            <v>0</v>
          </cell>
          <cell r="H406">
            <v>0</v>
          </cell>
          <cell r="I406">
            <v>0</v>
          </cell>
          <cell r="J406">
            <v>0</v>
          </cell>
          <cell r="K406">
            <v>624557</v>
          </cell>
          <cell r="L406">
            <v>0</v>
          </cell>
          <cell r="M406">
            <v>0</v>
          </cell>
          <cell r="N406">
            <v>0</v>
          </cell>
          <cell r="O406">
            <v>0</v>
          </cell>
          <cell r="S406">
            <v>0</v>
          </cell>
          <cell r="T406">
            <v>0</v>
          </cell>
          <cell r="U406">
            <v>0</v>
          </cell>
          <cell r="V406">
            <v>0</v>
          </cell>
          <cell r="W406">
            <v>0</v>
          </cell>
          <cell r="X406">
            <v>0</v>
          </cell>
          <cell r="AL406">
            <v>0</v>
          </cell>
          <cell r="AM406">
            <v>0</v>
          </cell>
          <cell r="AP406">
            <v>0</v>
          </cell>
          <cell r="AQ406">
            <v>0</v>
          </cell>
          <cell r="AR406">
            <v>0</v>
          </cell>
          <cell r="AV406">
            <v>53907.040000000001</v>
          </cell>
          <cell r="AW406">
            <v>53908</v>
          </cell>
          <cell r="AY406">
            <v>1530</v>
          </cell>
          <cell r="AZ406">
            <v>1263</v>
          </cell>
          <cell r="BA406">
            <v>2415</v>
          </cell>
          <cell r="BC406">
            <v>0</v>
          </cell>
          <cell r="BD406">
            <v>59116</v>
          </cell>
          <cell r="BG406">
            <v>18062.189999999999</v>
          </cell>
          <cell r="BI406" t="str">
            <v>Forecast</v>
          </cell>
        </row>
        <row r="407">
          <cell r="B407" t="str">
            <v>Nov 2014</v>
          </cell>
          <cell r="C407" t="str">
            <v>AES</v>
          </cell>
          <cell r="D407" t="str">
            <v>AES</v>
          </cell>
          <cell r="E407" t="str">
            <v>KUCME221</v>
          </cell>
          <cell r="F407">
            <v>0</v>
          </cell>
          <cell r="G407">
            <v>0</v>
          </cell>
          <cell r="H407">
            <v>0</v>
          </cell>
          <cell r="I407">
            <v>0</v>
          </cell>
          <cell r="J407">
            <v>0</v>
          </cell>
          <cell r="K407">
            <v>0</v>
          </cell>
          <cell r="L407">
            <v>0</v>
          </cell>
          <cell r="M407">
            <v>0</v>
          </cell>
          <cell r="N407">
            <v>0</v>
          </cell>
          <cell r="O407">
            <v>0</v>
          </cell>
          <cell r="S407">
            <v>0</v>
          </cell>
          <cell r="T407">
            <v>0</v>
          </cell>
          <cell r="U407">
            <v>0</v>
          </cell>
          <cell r="V407">
            <v>0</v>
          </cell>
          <cell r="W407">
            <v>0</v>
          </cell>
          <cell r="X407">
            <v>0</v>
          </cell>
          <cell r="AL407">
            <v>0</v>
          </cell>
          <cell r="AM407">
            <v>0</v>
          </cell>
          <cell r="AP407">
            <v>0</v>
          </cell>
          <cell r="AQ407">
            <v>0</v>
          </cell>
          <cell r="AR407">
            <v>0</v>
          </cell>
          <cell r="AV407">
            <v>0</v>
          </cell>
          <cell r="AW407">
            <v>0</v>
          </cell>
          <cell r="AY407">
            <v>0</v>
          </cell>
          <cell r="AZ407">
            <v>0</v>
          </cell>
          <cell r="BA407">
            <v>0</v>
          </cell>
          <cell r="BC407">
            <v>0</v>
          </cell>
          <cell r="BD407">
            <v>0</v>
          </cell>
          <cell r="BG407">
            <v>0</v>
          </cell>
          <cell r="BI407" t="str">
            <v>Forecast</v>
          </cell>
        </row>
        <row r="408">
          <cell r="B408" t="str">
            <v>Nov 2014</v>
          </cell>
          <cell r="C408" t="str">
            <v>AES3</v>
          </cell>
          <cell r="D408" t="str">
            <v>AES3</v>
          </cell>
          <cell r="E408" t="str">
            <v>KUCME223</v>
          </cell>
          <cell r="F408">
            <v>0</v>
          </cell>
          <cell r="G408">
            <v>0</v>
          </cell>
          <cell r="H408">
            <v>0</v>
          </cell>
          <cell r="I408">
            <v>0</v>
          </cell>
          <cell r="J408">
            <v>0</v>
          </cell>
          <cell r="K408">
            <v>0</v>
          </cell>
          <cell r="L408">
            <v>0</v>
          </cell>
          <cell r="M408">
            <v>0</v>
          </cell>
          <cell r="N408">
            <v>0</v>
          </cell>
          <cell r="O408">
            <v>0</v>
          </cell>
          <cell r="S408">
            <v>0</v>
          </cell>
          <cell r="T408">
            <v>0</v>
          </cell>
          <cell r="U408">
            <v>0</v>
          </cell>
          <cell r="V408">
            <v>0</v>
          </cell>
          <cell r="W408">
            <v>0</v>
          </cell>
          <cell r="X408">
            <v>0</v>
          </cell>
          <cell r="AL408">
            <v>0</v>
          </cell>
          <cell r="AM408">
            <v>0</v>
          </cell>
          <cell r="AP408">
            <v>0</v>
          </cell>
          <cell r="AQ408">
            <v>0</v>
          </cell>
          <cell r="AR408">
            <v>0</v>
          </cell>
          <cell r="AV408">
            <v>0</v>
          </cell>
          <cell r="AW408">
            <v>0</v>
          </cell>
          <cell r="AY408">
            <v>0</v>
          </cell>
          <cell r="AZ408">
            <v>0</v>
          </cell>
          <cell r="BA408">
            <v>0</v>
          </cell>
          <cell r="BC408">
            <v>0</v>
          </cell>
          <cell r="BD408">
            <v>0</v>
          </cell>
          <cell r="BG408">
            <v>0</v>
          </cell>
          <cell r="BI408" t="str">
            <v>Forecast</v>
          </cell>
        </row>
        <row r="409">
          <cell r="B409" t="str">
            <v>Nov 2014</v>
          </cell>
          <cell r="C409" t="str">
            <v>AES3</v>
          </cell>
          <cell r="D409" t="str">
            <v>AES3</v>
          </cell>
          <cell r="E409" t="str">
            <v>KUCME224</v>
          </cell>
          <cell r="F409">
            <v>258</v>
          </cell>
          <cell r="G409">
            <v>0</v>
          </cell>
          <cell r="H409">
            <v>0</v>
          </cell>
          <cell r="I409">
            <v>0</v>
          </cell>
          <cell r="J409">
            <v>0</v>
          </cell>
          <cell r="K409">
            <v>11575861</v>
          </cell>
          <cell r="L409">
            <v>0</v>
          </cell>
          <cell r="M409">
            <v>54055.32</v>
          </cell>
          <cell r="N409">
            <v>0</v>
          </cell>
          <cell r="O409">
            <v>0</v>
          </cell>
          <cell r="S409">
            <v>0</v>
          </cell>
          <cell r="T409">
            <v>0</v>
          </cell>
          <cell r="U409">
            <v>0</v>
          </cell>
          <cell r="V409">
            <v>0</v>
          </cell>
          <cell r="W409">
            <v>0</v>
          </cell>
          <cell r="X409">
            <v>0</v>
          </cell>
          <cell r="AL409">
            <v>0</v>
          </cell>
          <cell r="AM409">
            <v>0</v>
          </cell>
          <cell r="AP409">
            <v>0</v>
          </cell>
          <cell r="AQ409">
            <v>0</v>
          </cell>
          <cell r="AR409">
            <v>0</v>
          </cell>
          <cell r="AV409">
            <v>870274.06</v>
          </cell>
          <cell r="AW409">
            <v>870274</v>
          </cell>
          <cell r="AY409">
            <v>28356</v>
          </cell>
          <cell r="AZ409">
            <v>23417</v>
          </cell>
          <cell r="BA409">
            <v>44766</v>
          </cell>
          <cell r="BC409">
            <v>0</v>
          </cell>
          <cell r="BD409">
            <v>966813</v>
          </cell>
          <cell r="BG409">
            <v>334773.90000000002</v>
          </cell>
          <cell r="BI409" t="str">
            <v>Forecast</v>
          </cell>
        </row>
        <row r="410">
          <cell r="B410" t="str">
            <v>Nov 2014</v>
          </cell>
          <cell r="C410" t="str">
            <v>AES3</v>
          </cell>
          <cell r="D410" t="str">
            <v>AES3</v>
          </cell>
          <cell r="E410" t="str">
            <v>KUCME225</v>
          </cell>
          <cell r="F410">
            <v>0</v>
          </cell>
          <cell r="G410">
            <v>0</v>
          </cell>
          <cell r="H410">
            <v>0</v>
          </cell>
          <cell r="I410">
            <v>0</v>
          </cell>
          <cell r="J410">
            <v>0</v>
          </cell>
          <cell r="K410">
            <v>0</v>
          </cell>
          <cell r="L410">
            <v>0</v>
          </cell>
          <cell r="M410">
            <v>0</v>
          </cell>
          <cell r="N410">
            <v>0</v>
          </cell>
          <cell r="O410">
            <v>0</v>
          </cell>
          <cell r="S410">
            <v>0</v>
          </cell>
          <cell r="T410">
            <v>0</v>
          </cell>
          <cell r="U410">
            <v>0</v>
          </cell>
          <cell r="V410">
            <v>0</v>
          </cell>
          <cell r="W410">
            <v>0</v>
          </cell>
          <cell r="X410">
            <v>0</v>
          </cell>
          <cell r="AL410">
            <v>0</v>
          </cell>
          <cell r="AM410">
            <v>0</v>
          </cell>
          <cell r="AP410">
            <v>0</v>
          </cell>
          <cell r="AQ410">
            <v>0</v>
          </cell>
          <cell r="AR410">
            <v>0</v>
          </cell>
          <cell r="AV410">
            <v>0</v>
          </cell>
          <cell r="AW410">
            <v>0</v>
          </cell>
          <cell r="AY410">
            <v>0</v>
          </cell>
          <cell r="AZ410">
            <v>0</v>
          </cell>
          <cell r="BA410">
            <v>0</v>
          </cell>
          <cell r="BC410">
            <v>0</v>
          </cell>
          <cell r="BD410">
            <v>0</v>
          </cell>
          <cell r="BG410">
            <v>0</v>
          </cell>
          <cell r="BI410" t="str">
            <v>Forecast</v>
          </cell>
        </row>
        <row r="411">
          <cell r="B411" t="str">
            <v>Nov 2014</v>
          </cell>
          <cell r="C411" t="str">
            <v>AES</v>
          </cell>
          <cell r="D411" t="str">
            <v>AES</v>
          </cell>
          <cell r="E411" t="str">
            <v>KUCME226</v>
          </cell>
          <cell r="F411">
            <v>0</v>
          </cell>
          <cell r="G411">
            <v>0</v>
          </cell>
          <cell r="H411">
            <v>0</v>
          </cell>
          <cell r="I411">
            <v>0</v>
          </cell>
          <cell r="J411">
            <v>0</v>
          </cell>
          <cell r="K411">
            <v>0</v>
          </cell>
          <cell r="L411">
            <v>0</v>
          </cell>
          <cell r="M411">
            <v>0</v>
          </cell>
          <cell r="N411">
            <v>0</v>
          </cell>
          <cell r="O411">
            <v>0</v>
          </cell>
          <cell r="S411">
            <v>0</v>
          </cell>
          <cell r="T411">
            <v>0</v>
          </cell>
          <cell r="U411">
            <v>0</v>
          </cell>
          <cell r="V411">
            <v>0</v>
          </cell>
          <cell r="W411">
            <v>0</v>
          </cell>
          <cell r="X411">
            <v>0</v>
          </cell>
          <cell r="AL411">
            <v>0</v>
          </cell>
          <cell r="AM411">
            <v>0</v>
          </cell>
          <cell r="AP411">
            <v>0</v>
          </cell>
          <cell r="AQ411">
            <v>0</v>
          </cell>
          <cell r="AR411">
            <v>0</v>
          </cell>
          <cell r="AV411">
            <v>0</v>
          </cell>
          <cell r="AW411">
            <v>0</v>
          </cell>
          <cell r="AY411">
            <v>0</v>
          </cell>
          <cell r="AZ411">
            <v>0</v>
          </cell>
          <cell r="BA411">
            <v>0</v>
          </cell>
          <cell r="BC411">
            <v>0</v>
          </cell>
          <cell r="BD411">
            <v>0</v>
          </cell>
          <cell r="BG411">
            <v>0</v>
          </cell>
          <cell r="BI411" t="str">
            <v>Forecast</v>
          </cell>
        </row>
        <row r="412">
          <cell r="B412" t="str">
            <v>Nov 2014</v>
          </cell>
          <cell r="C412" t="str">
            <v>AES3</v>
          </cell>
          <cell r="D412" t="str">
            <v>AES3</v>
          </cell>
          <cell r="E412" t="str">
            <v>KUCME227</v>
          </cell>
          <cell r="F412">
            <v>0</v>
          </cell>
          <cell r="G412">
            <v>0</v>
          </cell>
          <cell r="H412">
            <v>0</v>
          </cell>
          <cell r="I412">
            <v>0</v>
          </cell>
          <cell r="J412">
            <v>0</v>
          </cell>
          <cell r="K412">
            <v>0</v>
          </cell>
          <cell r="L412">
            <v>0</v>
          </cell>
          <cell r="M412">
            <v>0</v>
          </cell>
          <cell r="N412">
            <v>0</v>
          </cell>
          <cell r="O412">
            <v>0</v>
          </cell>
          <cell r="S412">
            <v>0</v>
          </cell>
          <cell r="T412">
            <v>0</v>
          </cell>
          <cell r="U412">
            <v>0</v>
          </cell>
          <cell r="V412">
            <v>0</v>
          </cell>
          <cell r="W412">
            <v>0</v>
          </cell>
          <cell r="X412">
            <v>0</v>
          </cell>
          <cell r="AL412">
            <v>0</v>
          </cell>
          <cell r="AM412">
            <v>0</v>
          </cell>
          <cell r="AP412">
            <v>0</v>
          </cell>
          <cell r="AQ412">
            <v>0</v>
          </cell>
          <cell r="AR412">
            <v>0</v>
          </cell>
          <cell r="AV412">
            <v>0</v>
          </cell>
          <cell r="AW412">
            <v>0</v>
          </cell>
          <cell r="AY412">
            <v>0</v>
          </cell>
          <cell r="AZ412">
            <v>0</v>
          </cell>
          <cell r="BA412">
            <v>0</v>
          </cell>
          <cell r="BC412">
            <v>0</v>
          </cell>
          <cell r="BD412">
            <v>0</v>
          </cell>
          <cell r="BG412">
            <v>0</v>
          </cell>
          <cell r="BI412" t="str">
            <v>Forecast</v>
          </cell>
        </row>
        <row r="413">
          <cell r="B413" t="str">
            <v>Nov 2014</v>
          </cell>
          <cell r="C413" t="str">
            <v>LE</v>
          </cell>
          <cell r="D413" t="str">
            <v>LE</v>
          </cell>
          <cell r="E413" t="str">
            <v>KUCME290</v>
          </cell>
          <cell r="F413">
            <v>2</v>
          </cell>
          <cell r="G413">
            <v>0</v>
          </cell>
          <cell r="H413">
            <v>0</v>
          </cell>
          <cell r="I413">
            <v>0</v>
          </cell>
          <cell r="J413">
            <v>0</v>
          </cell>
          <cell r="K413">
            <v>15644</v>
          </cell>
          <cell r="L413">
            <v>0</v>
          </cell>
          <cell r="M413">
            <v>0</v>
          </cell>
          <cell r="N413">
            <v>0</v>
          </cell>
          <cell r="O413">
            <v>0</v>
          </cell>
          <cell r="S413">
            <v>0</v>
          </cell>
          <cell r="T413">
            <v>0</v>
          </cell>
          <cell r="U413">
            <v>0</v>
          </cell>
          <cell r="V413">
            <v>0</v>
          </cell>
          <cell r="W413">
            <v>0</v>
          </cell>
          <cell r="X413">
            <v>0</v>
          </cell>
          <cell r="AL413">
            <v>0</v>
          </cell>
          <cell r="AM413">
            <v>0</v>
          </cell>
          <cell r="AP413">
            <v>0</v>
          </cell>
          <cell r="AQ413">
            <v>0</v>
          </cell>
          <cell r="AR413">
            <v>0</v>
          </cell>
          <cell r="AV413">
            <v>998.09</v>
          </cell>
          <cell r="AW413">
            <v>998</v>
          </cell>
          <cell r="AY413">
            <v>38</v>
          </cell>
          <cell r="AZ413">
            <v>0</v>
          </cell>
          <cell r="BA413">
            <v>61</v>
          </cell>
          <cell r="BC413">
            <v>0</v>
          </cell>
          <cell r="BD413">
            <v>1097</v>
          </cell>
          <cell r="BG413">
            <v>452.42</v>
          </cell>
          <cell r="BI413" t="str">
            <v>Forecast</v>
          </cell>
        </row>
        <row r="414">
          <cell r="B414" t="str">
            <v>Nov 2014</v>
          </cell>
          <cell r="C414" t="str">
            <v>LE</v>
          </cell>
          <cell r="D414" t="str">
            <v>LE</v>
          </cell>
          <cell r="E414" t="str">
            <v>KUCME291</v>
          </cell>
          <cell r="F414">
            <v>0</v>
          </cell>
          <cell r="G414">
            <v>0</v>
          </cell>
          <cell r="H414">
            <v>0</v>
          </cell>
          <cell r="I414">
            <v>0</v>
          </cell>
          <cell r="J414">
            <v>0</v>
          </cell>
          <cell r="K414">
            <v>0</v>
          </cell>
          <cell r="L414">
            <v>0</v>
          </cell>
          <cell r="M414">
            <v>0</v>
          </cell>
          <cell r="N414">
            <v>0</v>
          </cell>
          <cell r="O414">
            <v>0</v>
          </cell>
          <cell r="S414">
            <v>0</v>
          </cell>
          <cell r="T414">
            <v>0</v>
          </cell>
          <cell r="U414">
            <v>0</v>
          </cell>
          <cell r="V414">
            <v>0</v>
          </cell>
          <cell r="W414">
            <v>0</v>
          </cell>
          <cell r="X414">
            <v>0</v>
          </cell>
          <cell r="AL414">
            <v>0</v>
          </cell>
          <cell r="AM414">
            <v>0</v>
          </cell>
          <cell r="AP414">
            <v>0</v>
          </cell>
          <cell r="AQ414">
            <v>0</v>
          </cell>
          <cell r="AR414">
            <v>0</v>
          </cell>
          <cell r="AV414">
            <v>0</v>
          </cell>
          <cell r="AW414">
            <v>0</v>
          </cell>
          <cell r="AY414">
            <v>0</v>
          </cell>
          <cell r="AZ414">
            <v>0</v>
          </cell>
          <cell r="BA414">
            <v>0</v>
          </cell>
          <cell r="BC414">
            <v>0</v>
          </cell>
          <cell r="BD414">
            <v>0</v>
          </cell>
          <cell r="BG414">
            <v>0</v>
          </cell>
          <cell r="BI414" t="str">
            <v>Forecast</v>
          </cell>
        </row>
        <row r="415">
          <cell r="B415" t="str">
            <v>Nov 2014</v>
          </cell>
          <cell r="C415" t="str">
            <v>TE</v>
          </cell>
          <cell r="D415" t="str">
            <v>TE</v>
          </cell>
          <cell r="E415" t="str">
            <v>KUCME295</v>
          </cell>
          <cell r="F415">
            <v>747</v>
          </cell>
          <cell r="G415">
            <v>0</v>
          </cell>
          <cell r="H415">
            <v>0</v>
          </cell>
          <cell r="I415">
            <v>0</v>
          </cell>
          <cell r="J415">
            <v>0</v>
          </cell>
          <cell r="K415">
            <v>98259</v>
          </cell>
          <cell r="L415">
            <v>0</v>
          </cell>
          <cell r="M415">
            <v>0</v>
          </cell>
          <cell r="N415">
            <v>0</v>
          </cell>
          <cell r="O415">
            <v>0</v>
          </cell>
          <cell r="S415">
            <v>0</v>
          </cell>
          <cell r="T415">
            <v>0</v>
          </cell>
          <cell r="U415">
            <v>0</v>
          </cell>
          <cell r="V415">
            <v>0</v>
          </cell>
          <cell r="W415">
            <v>0</v>
          </cell>
          <cell r="X415">
            <v>0</v>
          </cell>
          <cell r="AL415">
            <v>0</v>
          </cell>
          <cell r="AM415">
            <v>0</v>
          </cell>
          <cell r="AP415">
            <v>0</v>
          </cell>
          <cell r="AQ415">
            <v>0</v>
          </cell>
          <cell r="AR415">
            <v>0</v>
          </cell>
          <cell r="AV415">
            <v>10266.85</v>
          </cell>
          <cell r="AW415">
            <v>10266.75</v>
          </cell>
          <cell r="AY415">
            <v>241</v>
          </cell>
          <cell r="AZ415">
            <v>0</v>
          </cell>
          <cell r="BA415">
            <v>380</v>
          </cell>
          <cell r="BC415">
            <v>0</v>
          </cell>
          <cell r="BD415">
            <v>10887.75</v>
          </cell>
          <cell r="BG415">
            <v>2841.65</v>
          </cell>
          <cell r="BI415" t="str">
            <v>Forecast</v>
          </cell>
        </row>
        <row r="416">
          <cell r="B416" t="str">
            <v>Nov 2014</v>
          </cell>
          <cell r="C416" t="str">
            <v>TE</v>
          </cell>
          <cell r="D416" t="str">
            <v>TE</v>
          </cell>
          <cell r="E416" t="str">
            <v>KUCME297</v>
          </cell>
          <cell r="F416">
            <v>0</v>
          </cell>
          <cell r="G416">
            <v>0</v>
          </cell>
          <cell r="H416">
            <v>0</v>
          </cell>
          <cell r="I416">
            <v>0</v>
          </cell>
          <cell r="J416">
            <v>0</v>
          </cell>
          <cell r="K416">
            <v>0</v>
          </cell>
          <cell r="L416">
            <v>0</v>
          </cell>
          <cell r="M416">
            <v>0</v>
          </cell>
          <cell r="N416">
            <v>0</v>
          </cell>
          <cell r="O416">
            <v>0</v>
          </cell>
          <cell r="S416">
            <v>0</v>
          </cell>
          <cell r="T416">
            <v>0</v>
          </cell>
          <cell r="U416">
            <v>0</v>
          </cell>
          <cell r="V416">
            <v>0</v>
          </cell>
          <cell r="W416">
            <v>0</v>
          </cell>
          <cell r="X416">
            <v>0</v>
          </cell>
          <cell r="AL416">
            <v>0</v>
          </cell>
          <cell r="AM416">
            <v>0</v>
          </cell>
          <cell r="AP416">
            <v>0</v>
          </cell>
          <cell r="AQ416">
            <v>0</v>
          </cell>
          <cell r="AR416">
            <v>0</v>
          </cell>
          <cell r="AV416">
            <v>0</v>
          </cell>
          <cell r="AW416">
            <v>0</v>
          </cell>
          <cell r="AY416">
            <v>0</v>
          </cell>
          <cell r="AZ416">
            <v>0</v>
          </cell>
          <cell r="BA416">
            <v>0</v>
          </cell>
          <cell r="BC416">
            <v>0</v>
          </cell>
          <cell r="BD416">
            <v>0</v>
          </cell>
          <cell r="BG416">
            <v>0</v>
          </cell>
          <cell r="BI416" t="str">
            <v>Forecast</v>
          </cell>
        </row>
        <row r="417">
          <cell r="B417" t="str">
            <v>Nov 2014</v>
          </cell>
          <cell r="C417" t="str">
            <v>SQF</v>
          </cell>
          <cell r="D417" t="str">
            <v>SQF</v>
          </cell>
          <cell r="E417" t="str">
            <v>KUCME705</v>
          </cell>
          <cell r="F417">
            <v>0</v>
          </cell>
          <cell r="G417">
            <v>0</v>
          </cell>
          <cell r="H417">
            <v>0</v>
          </cell>
          <cell r="I417">
            <v>0</v>
          </cell>
          <cell r="J417">
            <v>0</v>
          </cell>
          <cell r="K417">
            <v>0</v>
          </cell>
          <cell r="L417">
            <v>0</v>
          </cell>
          <cell r="M417">
            <v>0</v>
          </cell>
          <cell r="N417">
            <v>0</v>
          </cell>
          <cell r="O417">
            <v>0</v>
          </cell>
          <cell r="S417">
            <v>0</v>
          </cell>
          <cell r="T417">
            <v>0</v>
          </cell>
          <cell r="U417">
            <v>0</v>
          </cell>
          <cell r="V417">
            <v>0</v>
          </cell>
          <cell r="W417">
            <v>0</v>
          </cell>
          <cell r="X417">
            <v>0</v>
          </cell>
          <cell r="AL417">
            <v>0</v>
          </cell>
          <cell r="AM417">
            <v>0</v>
          </cell>
          <cell r="AP417">
            <v>0</v>
          </cell>
          <cell r="AQ417">
            <v>0</v>
          </cell>
          <cell r="AR417">
            <v>0</v>
          </cell>
          <cell r="AV417">
            <v>0</v>
          </cell>
          <cell r="AW417">
            <v>0</v>
          </cell>
          <cell r="AY417">
            <v>0</v>
          </cell>
          <cell r="AZ417">
            <v>0</v>
          </cell>
          <cell r="BA417">
            <v>0</v>
          </cell>
          <cell r="BC417">
            <v>0</v>
          </cell>
          <cell r="BD417">
            <v>0</v>
          </cell>
          <cell r="BG417">
            <v>0</v>
          </cell>
          <cell r="BI417" t="str">
            <v>Forecast</v>
          </cell>
        </row>
        <row r="418">
          <cell r="B418" t="str">
            <v>Nov 2014</v>
          </cell>
          <cell r="C418" t="str">
            <v>LQF</v>
          </cell>
          <cell r="D418" t="str">
            <v>LQF</v>
          </cell>
          <cell r="E418" t="str">
            <v>KUCME707</v>
          </cell>
          <cell r="F418">
            <v>0</v>
          </cell>
          <cell r="G418">
            <v>0</v>
          </cell>
          <cell r="H418">
            <v>0</v>
          </cell>
          <cell r="I418">
            <v>0</v>
          </cell>
          <cell r="J418">
            <v>0</v>
          </cell>
          <cell r="K418">
            <v>0</v>
          </cell>
          <cell r="L418">
            <v>0</v>
          </cell>
          <cell r="M418">
            <v>0</v>
          </cell>
          <cell r="N418">
            <v>0</v>
          </cell>
          <cell r="O418">
            <v>0</v>
          </cell>
          <cell r="S418">
            <v>0</v>
          </cell>
          <cell r="T418">
            <v>0</v>
          </cell>
          <cell r="U418">
            <v>0</v>
          </cell>
          <cell r="V418">
            <v>0</v>
          </cell>
          <cell r="W418">
            <v>0</v>
          </cell>
          <cell r="X418">
            <v>0</v>
          </cell>
          <cell r="AL418">
            <v>0</v>
          </cell>
          <cell r="AM418">
            <v>0</v>
          </cell>
          <cell r="AP418">
            <v>0</v>
          </cell>
          <cell r="AQ418">
            <v>0</v>
          </cell>
          <cell r="AR418">
            <v>0</v>
          </cell>
          <cell r="AV418">
            <v>0</v>
          </cell>
          <cell r="AW418">
            <v>0</v>
          </cell>
          <cell r="AY418">
            <v>0</v>
          </cell>
          <cell r="AZ418">
            <v>0</v>
          </cell>
          <cell r="BA418">
            <v>0</v>
          </cell>
          <cell r="BC418">
            <v>0</v>
          </cell>
          <cell r="BD418">
            <v>0</v>
          </cell>
          <cell r="BG418">
            <v>0</v>
          </cell>
          <cell r="BI418" t="str">
            <v>Forecast</v>
          </cell>
        </row>
        <row r="419">
          <cell r="B419" t="str">
            <v>Nov 2014</v>
          </cell>
          <cell r="C419" t="str">
            <v>GS</v>
          </cell>
          <cell r="D419" t="str">
            <v>GS</v>
          </cell>
          <cell r="E419" t="str">
            <v>KUCME710</v>
          </cell>
          <cell r="F419">
            <v>0</v>
          </cell>
          <cell r="G419">
            <v>0</v>
          </cell>
          <cell r="H419">
            <v>0</v>
          </cell>
          <cell r="I419">
            <v>0</v>
          </cell>
          <cell r="J419">
            <v>0</v>
          </cell>
          <cell r="K419">
            <v>0</v>
          </cell>
          <cell r="L419">
            <v>0</v>
          </cell>
          <cell r="M419">
            <v>0</v>
          </cell>
          <cell r="N419">
            <v>0</v>
          </cell>
          <cell r="O419">
            <v>0</v>
          </cell>
          <cell r="S419">
            <v>0</v>
          </cell>
          <cell r="T419">
            <v>0</v>
          </cell>
          <cell r="U419">
            <v>0</v>
          </cell>
          <cell r="V419">
            <v>0</v>
          </cell>
          <cell r="W419">
            <v>0</v>
          </cell>
          <cell r="X419">
            <v>0</v>
          </cell>
          <cell r="AL419">
            <v>0</v>
          </cell>
          <cell r="AM419">
            <v>0</v>
          </cell>
          <cell r="AP419">
            <v>0</v>
          </cell>
          <cell r="AQ419">
            <v>0</v>
          </cell>
          <cell r="AR419">
            <v>0</v>
          </cell>
          <cell r="AV419">
            <v>0</v>
          </cell>
          <cell r="AW419">
            <v>0</v>
          </cell>
          <cell r="AY419">
            <v>0</v>
          </cell>
          <cell r="AZ419">
            <v>0</v>
          </cell>
          <cell r="BA419">
            <v>0</v>
          </cell>
          <cell r="BC419">
            <v>0</v>
          </cell>
          <cell r="BD419">
            <v>0</v>
          </cell>
          <cell r="BG419">
            <v>0</v>
          </cell>
          <cell r="BI419" t="str">
            <v>Forecast</v>
          </cell>
        </row>
        <row r="420">
          <cell r="B420" t="str">
            <v>Nov 2014</v>
          </cell>
          <cell r="C420" t="str">
            <v>GS3</v>
          </cell>
          <cell r="D420" t="str">
            <v>GS3</v>
          </cell>
          <cell r="E420" t="str">
            <v>KUCME713</v>
          </cell>
          <cell r="F420">
            <v>0</v>
          </cell>
          <cell r="G420">
            <v>0</v>
          </cell>
          <cell r="H420">
            <v>0</v>
          </cell>
          <cell r="I420">
            <v>0</v>
          </cell>
          <cell r="J420">
            <v>0</v>
          </cell>
          <cell r="K420">
            <v>0</v>
          </cell>
          <cell r="L420">
            <v>0</v>
          </cell>
          <cell r="M420">
            <v>0</v>
          </cell>
          <cell r="N420">
            <v>0</v>
          </cell>
          <cell r="O420">
            <v>0</v>
          </cell>
          <cell r="S420">
            <v>0</v>
          </cell>
          <cell r="T420">
            <v>0</v>
          </cell>
          <cell r="U420">
            <v>0</v>
          </cell>
          <cell r="V420">
            <v>0</v>
          </cell>
          <cell r="W420">
            <v>0</v>
          </cell>
          <cell r="X420">
            <v>0</v>
          </cell>
          <cell r="AL420">
            <v>0</v>
          </cell>
          <cell r="AM420">
            <v>0</v>
          </cell>
          <cell r="AP420">
            <v>0</v>
          </cell>
          <cell r="AQ420">
            <v>0</v>
          </cell>
          <cell r="AR420">
            <v>0</v>
          </cell>
          <cell r="AV420">
            <v>0</v>
          </cell>
          <cell r="AW420">
            <v>0</v>
          </cell>
          <cell r="AY420">
            <v>0</v>
          </cell>
          <cell r="AZ420">
            <v>0</v>
          </cell>
          <cell r="BA420">
            <v>0</v>
          </cell>
          <cell r="BC420">
            <v>0</v>
          </cell>
          <cell r="BD420">
            <v>0</v>
          </cell>
          <cell r="BG420">
            <v>0</v>
          </cell>
          <cell r="BI420" t="str">
            <v>Forecast</v>
          </cell>
        </row>
        <row r="421">
          <cell r="B421" t="str">
            <v>Nov 2014</v>
          </cell>
          <cell r="C421" t="str">
            <v>CSR10</v>
          </cell>
          <cell r="D421" t="str">
            <v>CSR10</v>
          </cell>
          <cell r="E421" t="str">
            <v>KUCSR760</v>
          </cell>
          <cell r="F421">
            <v>0</v>
          </cell>
          <cell r="G421">
            <v>0</v>
          </cell>
          <cell r="H421">
            <v>0</v>
          </cell>
          <cell r="I421">
            <v>0</v>
          </cell>
          <cell r="J421">
            <v>0</v>
          </cell>
          <cell r="K421">
            <v>0</v>
          </cell>
          <cell r="L421">
            <v>0</v>
          </cell>
          <cell r="M421">
            <v>0</v>
          </cell>
          <cell r="N421">
            <v>0</v>
          </cell>
          <cell r="O421">
            <v>0</v>
          </cell>
          <cell r="S421">
            <v>0</v>
          </cell>
          <cell r="T421">
            <v>0</v>
          </cell>
          <cell r="U421">
            <v>0</v>
          </cell>
          <cell r="V421">
            <v>0</v>
          </cell>
          <cell r="W421">
            <v>0</v>
          </cell>
          <cell r="X421">
            <v>0</v>
          </cell>
          <cell r="AL421">
            <v>0</v>
          </cell>
          <cell r="AM421">
            <v>0</v>
          </cell>
          <cell r="AP421">
            <v>0</v>
          </cell>
          <cell r="AQ421">
            <v>0</v>
          </cell>
          <cell r="AR421">
            <v>0</v>
          </cell>
          <cell r="AV421">
            <v>0</v>
          </cell>
          <cell r="AW421">
            <v>0</v>
          </cell>
          <cell r="AY421">
            <v>0</v>
          </cell>
          <cell r="AZ421">
            <v>0</v>
          </cell>
          <cell r="BA421">
            <v>0</v>
          </cell>
          <cell r="BC421">
            <v>-989829</v>
          </cell>
          <cell r="BD421">
            <v>-989829</v>
          </cell>
          <cell r="BG421">
            <v>0</v>
          </cell>
          <cell r="BI421" t="str">
            <v>Forecast</v>
          </cell>
        </row>
        <row r="422">
          <cell r="B422" t="str">
            <v>Nov 2014</v>
          </cell>
          <cell r="C422" t="str">
            <v>CSR10</v>
          </cell>
          <cell r="D422" t="str">
            <v>CSR10</v>
          </cell>
          <cell r="E422" t="str">
            <v>KUCSR761</v>
          </cell>
          <cell r="F422">
            <v>0</v>
          </cell>
          <cell r="G422">
            <v>0</v>
          </cell>
          <cell r="H422">
            <v>0</v>
          </cell>
          <cell r="I422">
            <v>0</v>
          </cell>
          <cell r="J422">
            <v>0</v>
          </cell>
          <cell r="K422">
            <v>0</v>
          </cell>
          <cell r="L422">
            <v>0</v>
          </cell>
          <cell r="M422">
            <v>0</v>
          </cell>
          <cell r="N422">
            <v>0</v>
          </cell>
          <cell r="O422">
            <v>0</v>
          </cell>
          <cell r="S422">
            <v>0</v>
          </cell>
          <cell r="T422">
            <v>0</v>
          </cell>
          <cell r="U422">
            <v>0</v>
          </cell>
          <cell r="V422">
            <v>0</v>
          </cell>
          <cell r="W422">
            <v>0</v>
          </cell>
          <cell r="X422">
            <v>0</v>
          </cell>
          <cell r="AL422">
            <v>0</v>
          </cell>
          <cell r="AM422">
            <v>0</v>
          </cell>
          <cell r="AP422">
            <v>0</v>
          </cell>
          <cell r="AQ422">
            <v>0</v>
          </cell>
          <cell r="AR422">
            <v>0</v>
          </cell>
          <cell r="AV422">
            <v>0</v>
          </cell>
          <cell r="AW422">
            <v>0</v>
          </cell>
          <cell r="AY422">
            <v>0</v>
          </cell>
          <cell r="AZ422">
            <v>0</v>
          </cell>
          <cell r="BA422">
            <v>0</v>
          </cell>
          <cell r="BC422">
            <v>0</v>
          </cell>
          <cell r="BD422">
            <v>0</v>
          </cell>
          <cell r="BG422">
            <v>0</v>
          </cell>
          <cell r="BI422" t="str">
            <v>Forecast</v>
          </cell>
        </row>
        <row r="423">
          <cell r="B423" t="str">
            <v>Nov 2014</v>
          </cell>
          <cell r="C423" t="str">
            <v>CSR30</v>
          </cell>
          <cell r="D423" t="str">
            <v>CSR30</v>
          </cell>
          <cell r="E423" t="str">
            <v>KUCSR780</v>
          </cell>
          <cell r="F423">
            <v>0</v>
          </cell>
          <cell r="G423">
            <v>0</v>
          </cell>
          <cell r="H423">
            <v>0</v>
          </cell>
          <cell r="I423">
            <v>0</v>
          </cell>
          <cell r="J423">
            <v>0</v>
          </cell>
          <cell r="K423">
            <v>0</v>
          </cell>
          <cell r="L423">
            <v>0</v>
          </cell>
          <cell r="M423">
            <v>0</v>
          </cell>
          <cell r="N423">
            <v>0</v>
          </cell>
          <cell r="O423">
            <v>0</v>
          </cell>
          <cell r="S423">
            <v>0</v>
          </cell>
          <cell r="T423">
            <v>0</v>
          </cell>
          <cell r="U423">
            <v>0</v>
          </cell>
          <cell r="V423">
            <v>0</v>
          </cell>
          <cell r="W423">
            <v>0</v>
          </cell>
          <cell r="X423">
            <v>0</v>
          </cell>
          <cell r="AL423">
            <v>0</v>
          </cell>
          <cell r="AM423">
            <v>0</v>
          </cell>
          <cell r="AP423">
            <v>0</v>
          </cell>
          <cell r="AQ423">
            <v>0</v>
          </cell>
          <cell r="AR423">
            <v>0</v>
          </cell>
          <cell r="AV423">
            <v>0</v>
          </cell>
          <cell r="AW423">
            <v>0</v>
          </cell>
          <cell r="AY423">
            <v>0</v>
          </cell>
          <cell r="AZ423">
            <v>0</v>
          </cell>
          <cell r="BA423">
            <v>0</v>
          </cell>
          <cell r="BC423">
            <v>0</v>
          </cell>
          <cell r="BD423">
            <v>0</v>
          </cell>
          <cell r="BG423">
            <v>0</v>
          </cell>
          <cell r="BI423" t="str">
            <v>Forecast</v>
          </cell>
        </row>
        <row r="424">
          <cell r="B424" t="str">
            <v>Nov 2014</v>
          </cell>
          <cell r="C424" t="str">
            <v>CSR30</v>
          </cell>
          <cell r="D424" t="str">
            <v>CSR30</v>
          </cell>
          <cell r="E424" t="str">
            <v>KUCSR781</v>
          </cell>
          <cell r="F424">
            <v>0</v>
          </cell>
          <cell r="G424">
            <v>0</v>
          </cell>
          <cell r="H424">
            <v>0</v>
          </cell>
          <cell r="I424">
            <v>0</v>
          </cell>
          <cell r="J424">
            <v>0</v>
          </cell>
          <cell r="K424">
            <v>0</v>
          </cell>
          <cell r="L424">
            <v>0</v>
          </cell>
          <cell r="M424">
            <v>0</v>
          </cell>
          <cell r="N424">
            <v>0</v>
          </cell>
          <cell r="O424">
            <v>0</v>
          </cell>
          <cell r="S424">
            <v>0</v>
          </cell>
          <cell r="T424">
            <v>0</v>
          </cell>
          <cell r="U424">
            <v>0</v>
          </cell>
          <cell r="V424">
            <v>0</v>
          </cell>
          <cell r="W424">
            <v>0</v>
          </cell>
          <cell r="X424">
            <v>0</v>
          </cell>
          <cell r="AL424">
            <v>0</v>
          </cell>
          <cell r="AM424">
            <v>0</v>
          </cell>
          <cell r="AP424">
            <v>0</v>
          </cell>
          <cell r="AQ424">
            <v>0</v>
          </cell>
          <cell r="AR424">
            <v>0</v>
          </cell>
          <cell r="AV424">
            <v>0</v>
          </cell>
          <cell r="AW424">
            <v>0</v>
          </cell>
          <cell r="AY424">
            <v>0</v>
          </cell>
          <cell r="AZ424">
            <v>0</v>
          </cell>
          <cell r="BA424">
            <v>0</v>
          </cell>
          <cell r="BC424">
            <v>0</v>
          </cell>
          <cell r="BD424">
            <v>0</v>
          </cell>
          <cell r="BG424">
            <v>0</v>
          </cell>
          <cell r="BI424" t="str">
            <v>Forecast</v>
          </cell>
        </row>
        <row r="425">
          <cell r="B425" t="str">
            <v>Nov 2014</v>
          </cell>
          <cell r="C425" t="str">
            <v>CSR30</v>
          </cell>
          <cell r="D425" t="str">
            <v>CSR30</v>
          </cell>
          <cell r="E425" t="str">
            <v>KUCSR783</v>
          </cell>
          <cell r="F425">
            <v>0</v>
          </cell>
          <cell r="G425">
            <v>0</v>
          </cell>
          <cell r="H425">
            <v>0</v>
          </cell>
          <cell r="I425">
            <v>0</v>
          </cell>
          <cell r="J425">
            <v>0</v>
          </cell>
          <cell r="K425">
            <v>0</v>
          </cell>
          <cell r="L425">
            <v>0</v>
          </cell>
          <cell r="M425">
            <v>0</v>
          </cell>
          <cell r="N425">
            <v>0</v>
          </cell>
          <cell r="O425">
            <v>0</v>
          </cell>
          <cell r="S425">
            <v>0</v>
          </cell>
          <cell r="T425">
            <v>0</v>
          </cell>
          <cell r="U425">
            <v>0</v>
          </cell>
          <cell r="V425">
            <v>0</v>
          </cell>
          <cell r="W425">
            <v>0</v>
          </cell>
          <cell r="X425">
            <v>0</v>
          </cell>
          <cell r="AL425">
            <v>0</v>
          </cell>
          <cell r="AM425">
            <v>0</v>
          </cell>
          <cell r="AP425">
            <v>0</v>
          </cell>
          <cell r="AQ425">
            <v>0</v>
          </cell>
          <cell r="AR425">
            <v>0</v>
          </cell>
          <cell r="AV425">
            <v>0</v>
          </cell>
          <cell r="AW425">
            <v>0</v>
          </cell>
          <cell r="AY425">
            <v>0</v>
          </cell>
          <cell r="AZ425">
            <v>0</v>
          </cell>
          <cell r="BA425">
            <v>0</v>
          </cell>
          <cell r="BC425">
            <v>0</v>
          </cell>
          <cell r="BD425">
            <v>0</v>
          </cell>
          <cell r="BG425">
            <v>0</v>
          </cell>
          <cell r="BI425" t="str">
            <v>Forecast</v>
          </cell>
        </row>
        <row r="426">
          <cell r="B426" t="str">
            <v>Nov 2014</v>
          </cell>
          <cell r="C426" t="str">
            <v>FLS</v>
          </cell>
          <cell r="D426" t="str">
            <v>FLST</v>
          </cell>
          <cell r="E426" t="str">
            <v>KUINE730</v>
          </cell>
          <cell r="F426">
            <v>1</v>
          </cell>
          <cell r="G426">
            <v>0</v>
          </cell>
          <cell r="H426">
            <v>0</v>
          </cell>
          <cell r="I426">
            <v>0</v>
          </cell>
          <cell r="J426">
            <v>0</v>
          </cell>
          <cell r="K426">
            <v>44497248</v>
          </cell>
          <cell r="L426">
            <v>0</v>
          </cell>
          <cell r="M426">
            <v>185157.6</v>
          </cell>
          <cell r="N426">
            <v>185157.6</v>
          </cell>
          <cell r="O426">
            <v>101387.6</v>
          </cell>
          <cell r="S426">
            <v>0</v>
          </cell>
          <cell r="T426">
            <v>0</v>
          </cell>
          <cell r="U426">
            <v>0</v>
          </cell>
          <cell r="V426">
            <v>0</v>
          </cell>
          <cell r="W426">
            <v>0</v>
          </cell>
          <cell r="X426">
            <v>0</v>
          </cell>
          <cell r="AL426">
            <v>0</v>
          </cell>
          <cell r="AM426">
            <v>0</v>
          </cell>
          <cell r="AP426">
            <v>0</v>
          </cell>
          <cell r="AQ426">
            <v>0</v>
          </cell>
          <cell r="AR426">
            <v>0</v>
          </cell>
          <cell r="AV426">
            <v>2172004.41</v>
          </cell>
          <cell r="AW426">
            <v>2172005</v>
          </cell>
          <cell r="AY426">
            <v>109000</v>
          </cell>
          <cell r="AZ426">
            <v>0</v>
          </cell>
          <cell r="BA426">
            <v>172077</v>
          </cell>
          <cell r="BC426">
            <v>0</v>
          </cell>
          <cell r="BD426">
            <v>2453082</v>
          </cell>
          <cell r="BG426">
            <v>1286860.4099999999</v>
          </cell>
          <cell r="BI426" t="str">
            <v>Forecast</v>
          </cell>
        </row>
        <row r="427">
          <cell r="B427" t="str">
            <v>Nov 2014</v>
          </cell>
          <cell r="C427" t="str">
            <v>RS</v>
          </cell>
          <cell r="D427" t="str">
            <v>RS</v>
          </cell>
          <cell r="E427" t="str">
            <v>KURSE010</v>
          </cell>
          <cell r="F427">
            <v>427782</v>
          </cell>
          <cell r="G427">
            <v>0</v>
          </cell>
          <cell r="H427">
            <v>0</v>
          </cell>
          <cell r="I427">
            <v>0</v>
          </cell>
          <cell r="J427">
            <v>0</v>
          </cell>
          <cell r="K427">
            <v>412194813</v>
          </cell>
          <cell r="L427">
            <v>0</v>
          </cell>
          <cell r="M427">
            <v>0</v>
          </cell>
          <cell r="N427">
            <v>0</v>
          </cell>
          <cell r="O427">
            <v>0</v>
          </cell>
          <cell r="S427">
            <v>0</v>
          </cell>
          <cell r="T427">
            <v>0</v>
          </cell>
          <cell r="U427">
            <v>0</v>
          </cell>
          <cell r="V427">
            <v>0</v>
          </cell>
          <cell r="W427">
            <v>0</v>
          </cell>
          <cell r="X427">
            <v>0</v>
          </cell>
          <cell r="AL427">
            <v>0</v>
          </cell>
          <cell r="AM427">
            <v>0</v>
          </cell>
          <cell r="AP427">
            <v>0</v>
          </cell>
          <cell r="AQ427">
            <v>0</v>
          </cell>
          <cell r="AR427">
            <v>0</v>
          </cell>
          <cell r="AV427">
            <v>36519022.82</v>
          </cell>
          <cell r="AW427">
            <v>36519024</v>
          </cell>
          <cell r="AY427">
            <v>1009706</v>
          </cell>
          <cell r="AZ427">
            <v>833836</v>
          </cell>
          <cell r="BA427">
            <v>1594018</v>
          </cell>
          <cell r="BC427">
            <v>0</v>
          </cell>
          <cell r="BD427">
            <v>39956584</v>
          </cell>
          <cell r="BG427">
            <v>11920673.99</v>
          </cell>
          <cell r="BI427" t="str">
            <v>Forecast</v>
          </cell>
        </row>
        <row r="428">
          <cell r="B428" t="str">
            <v>Nov 2014</v>
          </cell>
          <cell r="C428" t="str">
            <v>RS</v>
          </cell>
          <cell r="D428" t="str">
            <v>RS</v>
          </cell>
          <cell r="E428" t="str">
            <v>KURSE020</v>
          </cell>
          <cell r="F428">
            <v>0</v>
          </cell>
          <cell r="G428">
            <v>0</v>
          </cell>
          <cell r="H428">
            <v>0</v>
          </cell>
          <cell r="I428">
            <v>0</v>
          </cell>
          <cell r="J428">
            <v>0</v>
          </cell>
          <cell r="K428">
            <v>0</v>
          </cell>
          <cell r="L428">
            <v>0</v>
          </cell>
          <cell r="M428">
            <v>0</v>
          </cell>
          <cell r="N428">
            <v>0</v>
          </cell>
          <cell r="O428">
            <v>0</v>
          </cell>
          <cell r="S428">
            <v>0</v>
          </cell>
          <cell r="T428">
            <v>0</v>
          </cell>
          <cell r="U428">
            <v>0</v>
          </cell>
          <cell r="V428">
            <v>0</v>
          </cell>
          <cell r="W428">
            <v>0</v>
          </cell>
          <cell r="X428">
            <v>0</v>
          </cell>
          <cell r="AL428">
            <v>0</v>
          </cell>
          <cell r="AM428">
            <v>0</v>
          </cell>
          <cell r="AP428">
            <v>0</v>
          </cell>
          <cell r="AQ428">
            <v>0</v>
          </cell>
          <cell r="AR428">
            <v>0</v>
          </cell>
          <cell r="AV428">
            <v>0</v>
          </cell>
          <cell r="AW428">
            <v>0</v>
          </cell>
          <cell r="AY428">
            <v>0</v>
          </cell>
          <cell r="AZ428">
            <v>0</v>
          </cell>
          <cell r="BA428">
            <v>0</v>
          </cell>
          <cell r="BC428">
            <v>0</v>
          </cell>
          <cell r="BD428">
            <v>0</v>
          </cell>
          <cell r="BG428">
            <v>0</v>
          </cell>
          <cell r="BI428" t="str">
            <v>Forecast</v>
          </cell>
        </row>
        <row r="429">
          <cell r="B429" t="str">
            <v>Nov 2014</v>
          </cell>
          <cell r="C429" t="str">
            <v>RS</v>
          </cell>
          <cell r="D429" t="str">
            <v>RS</v>
          </cell>
          <cell r="E429" t="str">
            <v>KURSE025</v>
          </cell>
          <cell r="F429">
            <v>0</v>
          </cell>
          <cell r="G429">
            <v>0</v>
          </cell>
          <cell r="H429">
            <v>0</v>
          </cell>
          <cell r="I429">
            <v>0</v>
          </cell>
          <cell r="J429">
            <v>0</v>
          </cell>
          <cell r="K429">
            <v>0</v>
          </cell>
          <cell r="L429">
            <v>0</v>
          </cell>
          <cell r="M429">
            <v>0</v>
          </cell>
          <cell r="N429">
            <v>0</v>
          </cell>
          <cell r="O429">
            <v>0</v>
          </cell>
          <cell r="S429">
            <v>0</v>
          </cell>
          <cell r="T429">
            <v>0</v>
          </cell>
          <cell r="U429">
            <v>0</v>
          </cell>
          <cell r="V429">
            <v>0</v>
          </cell>
          <cell r="W429">
            <v>0</v>
          </cell>
          <cell r="X429">
            <v>0</v>
          </cell>
          <cell r="AL429">
            <v>0</v>
          </cell>
          <cell r="AM429">
            <v>0</v>
          </cell>
          <cell r="AP429">
            <v>0</v>
          </cell>
          <cell r="AQ429">
            <v>0</v>
          </cell>
          <cell r="AR429">
            <v>0</v>
          </cell>
          <cell r="AV429">
            <v>0</v>
          </cell>
          <cell r="AW429">
            <v>0</v>
          </cell>
          <cell r="AY429">
            <v>0</v>
          </cell>
          <cell r="AZ429">
            <v>0</v>
          </cell>
          <cell r="BA429">
            <v>0</v>
          </cell>
          <cell r="BC429">
            <v>0</v>
          </cell>
          <cell r="BD429">
            <v>0</v>
          </cell>
          <cell r="BG429">
            <v>0</v>
          </cell>
          <cell r="BI429" t="str">
            <v>Forecast</v>
          </cell>
        </row>
        <row r="430">
          <cell r="B430" t="str">
            <v>Nov 2014</v>
          </cell>
          <cell r="C430" t="str">
            <v>LEV</v>
          </cell>
          <cell r="D430" t="str">
            <v>RSLEV</v>
          </cell>
          <cell r="E430" t="str">
            <v>KURSE040</v>
          </cell>
          <cell r="F430">
            <v>0</v>
          </cell>
          <cell r="G430">
            <v>0</v>
          </cell>
          <cell r="H430">
            <v>0</v>
          </cell>
          <cell r="I430">
            <v>0</v>
          </cell>
          <cell r="J430">
            <v>0</v>
          </cell>
          <cell r="K430">
            <v>0</v>
          </cell>
          <cell r="L430">
            <v>0</v>
          </cell>
          <cell r="M430">
            <v>0</v>
          </cell>
          <cell r="N430">
            <v>0</v>
          </cell>
          <cell r="O430">
            <v>0</v>
          </cell>
          <cell r="S430">
            <v>0</v>
          </cell>
          <cell r="T430">
            <v>0</v>
          </cell>
          <cell r="U430">
            <v>0</v>
          </cell>
          <cell r="V430">
            <v>0</v>
          </cell>
          <cell r="W430">
            <v>0</v>
          </cell>
          <cell r="X430">
            <v>0</v>
          </cell>
          <cell r="AL430">
            <v>0</v>
          </cell>
          <cell r="AM430">
            <v>0</v>
          </cell>
          <cell r="AP430">
            <v>0</v>
          </cell>
          <cell r="AQ430">
            <v>0</v>
          </cell>
          <cell r="AR430">
            <v>0</v>
          </cell>
          <cell r="AV430">
            <v>0</v>
          </cell>
          <cell r="AW430">
            <v>0</v>
          </cell>
          <cell r="AY430">
            <v>0</v>
          </cell>
          <cell r="AZ430">
            <v>0</v>
          </cell>
          <cell r="BA430">
            <v>0</v>
          </cell>
          <cell r="BC430">
            <v>0</v>
          </cell>
          <cell r="BD430">
            <v>0</v>
          </cell>
          <cell r="BG430">
            <v>0</v>
          </cell>
          <cell r="BI430" t="str">
            <v>Forecast</v>
          </cell>
        </row>
        <row r="431">
          <cell r="B431" t="str">
            <v>Nov 2014</v>
          </cell>
          <cell r="C431" t="str">
            <v>RS</v>
          </cell>
          <cell r="D431" t="str">
            <v>RSVFD</v>
          </cell>
          <cell r="E431" t="str">
            <v>KURSE080</v>
          </cell>
          <cell r="F431">
            <v>0</v>
          </cell>
          <cell r="G431">
            <v>0</v>
          </cell>
          <cell r="H431">
            <v>0</v>
          </cell>
          <cell r="I431">
            <v>0</v>
          </cell>
          <cell r="J431">
            <v>0</v>
          </cell>
          <cell r="K431">
            <v>0</v>
          </cell>
          <cell r="L431">
            <v>0</v>
          </cell>
          <cell r="M431">
            <v>0</v>
          </cell>
          <cell r="N431">
            <v>0</v>
          </cell>
          <cell r="O431">
            <v>0</v>
          </cell>
          <cell r="S431">
            <v>0</v>
          </cell>
          <cell r="T431">
            <v>0</v>
          </cell>
          <cell r="U431">
            <v>0</v>
          </cell>
          <cell r="V431">
            <v>0</v>
          </cell>
          <cell r="W431">
            <v>0</v>
          </cell>
          <cell r="X431">
            <v>0</v>
          </cell>
          <cell r="AL431">
            <v>0</v>
          </cell>
          <cell r="AM431">
            <v>0</v>
          </cell>
          <cell r="AP431">
            <v>0</v>
          </cell>
          <cell r="AQ431">
            <v>0</v>
          </cell>
          <cell r="AR431">
            <v>0</v>
          </cell>
          <cell r="AV431">
            <v>0</v>
          </cell>
          <cell r="AW431">
            <v>0</v>
          </cell>
          <cell r="AY431">
            <v>0</v>
          </cell>
          <cell r="AZ431">
            <v>0</v>
          </cell>
          <cell r="BA431">
            <v>0</v>
          </cell>
          <cell r="BC431">
            <v>0</v>
          </cell>
          <cell r="BD431">
            <v>0</v>
          </cell>
          <cell r="BG431">
            <v>0</v>
          </cell>
          <cell r="BI431" t="str">
            <v>Forecast</v>
          </cell>
        </row>
        <row r="432">
          <cell r="B432" t="str">
            <v>Nov 2014</v>
          </cell>
          <cell r="C432" t="str">
            <v>RS</v>
          </cell>
          <cell r="D432" t="str">
            <v>RS</v>
          </cell>
          <cell r="E432" t="str">
            <v>KURSE715</v>
          </cell>
          <cell r="F432">
            <v>0</v>
          </cell>
          <cell r="G432">
            <v>0</v>
          </cell>
          <cell r="H432">
            <v>0</v>
          </cell>
          <cell r="I432">
            <v>0</v>
          </cell>
          <cell r="J432">
            <v>0</v>
          </cell>
          <cell r="K432">
            <v>0</v>
          </cell>
          <cell r="L432">
            <v>0</v>
          </cell>
          <cell r="M432">
            <v>0</v>
          </cell>
          <cell r="N432">
            <v>0</v>
          </cell>
          <cell r="O432">
            <v>0</v>
          </cell>
          <cell r="S432">
            <v>0</v>
          </cell>
          <cell r="T432">
            <v>0</v>
          </cell>
          <cell r="U432">
            <v>0</v>
          </cell>
          <cell r="V432">
            <v>0</v>
          </cell>
          <cell r="W432">
            <v>0</v>
          </cell>
          <cell r="X432">
            <v>0</v>
          </cell>
          <cell r="AL432">
            <v>0</v>
          </cell>
          <cell r="AM432">
            <v>0</v>
          </cell>
          <cell r="AP432">
            <v>0</v>
          </cell>
          <cell r="AQ432">
            <v>0</v>
          </cell>
          <cell r="AR432">
            <v>0</v>
          </cell>
          <cell r="AV432">
            <v>0</v>
          </cell>
          <cell r="AW432">
            <v>0</v>
          </cell>
          <cell r="AY432">
            <v>0</v>
          </cell>
          <cell r="AZ432">
            <v>0</v>
          </cell>
          <cell r="BA432">
            <v>0</v>
          </cell>
          <cell r="BC432">
            <v>0</v>
          </cell>
          <cell r="BD432">
            <v>0</v>
          </cell>
          <cell r="BG432">
            <v>0</v>
          </cell>
          <cell r="BI432" t="str">
            <v>Forecast</v>
          </cell>
        </row>
        <row r="433">
          <cell r="B433" t="str">
            <v>Dec 2014</v>
          </cell>
          <cell r="C433" t="str">
            <v>RTS</v>
          </cell>
          <cell r="D433" t="str">
            <v>RTS</v>
          </cell>
          <cell r="E433" t="str">
            <v>KUCIE550</v>
          </cell>
          <cell r="F433">
            <v>32</v>
          </cell>
          <cell r="G433">
            <v>0</v>
          </cell>
          <cell r="H433">
            <v>0</v>
          </cell>
          <cell r="I433">
            <v>0</v>
          </cell>
          <cell r="J433">
            <v>0</v>
          </cell>
          <cell r="K433">
            <v>134177811</v>
          </cell>
          <cell r="L433">
            <v>0</v>
          </cell>
          <cell r="M433">
            <v>298216.46000000002</v>
          </cell>
          <cell r="N433">
            <v>291926.5</v>
          </cell>
          <cell r="O433">
            <v>285866.23999999999</v>
          </cell>
          <cell r="V433">
            <v>0</v>
          </cell>
          <cell r="W433">
            <v>0</v>
          </cell>
          <cell r="X433">
            <v>0</v>
          </cell>
          <cell r="AL433">
            <v>0</v>
          </cell>
          <cell r="AM433">
            <v>0</v>
          </cell>
          <cell r="AP433">
            <v>0</v>
          </cell>
          <cell r="AQ433">
            <v>0</v>
          </cell>
          <cell r="AV433">
            <v>7272349.7399999993</v>
          </cell>
          <cell r="AW433">
            <v>7272350</v>
          </cell>
          <cell r="AY433">
            <v>484800</v>
          </cell>
          <cell r="AZ433">
            <v>0</v>
          </cell>
          <cell r="BA433">
            <v>426583</v>
          </cell>
          <cell r="BC433">
            <v>0</v>
          </cell>
          <cell r="BD433">
            <v>8183733</v>
          </cell>
          <cell r="BG433">
            <v>3880422.29</v>
          </cell>
          <cell r="BI433" t="str">
            <v>Forecast</v>
          </cell>
        </row>
        <row r="434">
          <cell r="B434" t="str">
            <v>Dec 2014</v>
          </cell>
          <cell r="C434" t="str">
            <v>PSP</v>
          </cell>
          <cell r="D434" t="str">
            <v>PSP</v>
          </cell>
          <cell r="E434" t="str">
            <v>KUCIE561</v>
          </cell>
          <cell r="F434">
            <v>214</v>
          </cell>
          <cell r="H434">
            <v>0</v>
          </cell>
          <cell r="I434">
            <v>0</v>
          </cell>
          <cell r="J434">
            <v>0</v>
          </cell>
          <cell r="K434">
            <v>18871437</v>
          </cell>
          <cell r="L434">
            <v>0</v>
          </cell>
          <cell r="M434">
            <v>0</v>
          </cell>
          <cell r="N434">
            <v>53415.89</v>
          </cell>
          <cell r="O434">
            <v>0</v>
          </cell>
          <cell r="V434">
            <v>0</v>
          </cell>
          <cell r="W434">
            <v>0</v>
          </cell>
          <cell r="X434">
            <v>0</v>
          </cell>
          <cell r="AL434">
            <v>0</v>
          </cell>
          <cell r="AM434">
            <v>0</v>
          </cell>
          <cell r="AV434">
            <v>1412602.02</v>
          </cell>
          <cell r="AW434">
            <v>1412601</v>
          </cell>
          <cell r="AY434">
            <v>68185</v>
          </cell>
          <cell r="AZ434">
            <v>40132</v>
          </cell>
          <cell r="BA434">
            <v>59997</v>
          </cell>
          <cell r="BC434">
            <v>0</v>
          </cell>
          <cell r="BD434">
            <v>1580915</v>
          </cell>
          <cell r="BG434">
            <v>545761.96</v>
          </cell>
          <cell r="BI434" t="str">
            <v>Forecast</v>
          </cell>
        </row>
        <row r="435">
          <cell r="B435" t="str">
            <v>Dec 2014</v>
          </cell>
          <cell r="C435" t="str">
            <v>PSS</v>
          </cell>
          <cell r="D435" t="str">
            <v>PSS</v>
          </cell>
          <cell r="E435" t="str">
            <v>KUCIE562</v>
          </cell>
          <cell r="F435">
            <v>4800</v>
          </cell>
          <cell r="H435">
            <v>0</v>
          </cell>
          <cell r="I435">
            <v>0</v>
          </cell>
          <cell r="J435">
            <v>0</v>
          </cell>
          <cell r="K435">
            <v>178534636</v>
          </cell>
          <cell r="L435">
            <v>0</v>
          </cell>
          <cell r="M435">
            <v>0</v>
          </cell>
          <cell r="N435">
            <v>577561.39</v>
          </cell>
          <cell r="O435">
            <v>0</v>
          </cell>
          <cell r="V435">
            <v>0</v>
          </cell>
          <cell r="W435">
            <v>0</v>
          </cell>
          <cell r="X435">
            <v>0</v>
          </cell>
          <cell r="AL435">
            <v>0</v>
          </cell>
          <cell r="AM435">
            <v>0</v>
          </cell>
          <cell r="AV435">
            <v>14418784.779999999</v>
          </cell>
          <cell r="AW435">
            <v>14418785</v>
          </cell>
          <cell r="AY435">
            <v>645066</v>
          </cell>
          <cell r="AZ435">
            <v>379668</v>
          </cell>
          <cell r="BA435">
            <v>567604</v>
          </cell>
          <cell r="BC435">
            <v>0</v>
          </cell>
          <cell r="BD435">
            <v>16011123</v>
          </cell>
          <cell r="BG435">
            <v>5163221.67</v>
          </cell>
          <cell r="BI435" t="str">
            <v>Forecast</v>
          </cell>
        </row>
        <row r="436">
          <cell r="B436" t="str">
            <v>Dec 2014</v>
          </cell>
          <cell r="C436" t="str">
            <v>TODP</v>
          </cell>
          <cell r="D436" t="str">
            <v>TODP</v>
          </cell>
          <cell r="E436" t="str">
            <v>KUCIE563</v>
          </cell>
          <cell r="F436">
            <v>52</v>
          </cell>
          <cell r="H436">
            <v>0</v>
          </cell>
          <cell r="I436">
            <v>0</v>
          </cell>
          <cell r="J436">
            <v>0</v>
          </cell>
          <cell r="K436">
            <v>240013581</v>
          </cell>
          <cell r="L436">
            <v>0</v>
          </cell>
          <cell r="M436">
            <v>509319.59</v>
          </cell>
          <cell r="N436">
            <v>475228.56</v>
          </cell>
          <cell r="O436">
            <v>471671.44</v>
          </cell>
          <cell r="V436">
            <v>0</v>
          </cell>
          <cell r="W436">
            <v>0</v>
          </cell>
          <cell r="X436">
            <v>0</v>
          </cell>
          <cell r="AL436">
            <v>0</v>
          </cell>
          <cell r="AM436">
            <v>0</v>
          </cell>
          <cell r="AV436">
            <v>13243998.98</v>
          </cell>
          <cell r="AW436">
            <v>13244000</v>
          </cell>
          <cell r="AY436">
            <v>867196</v>
          </cell>
          <cell r="AZ436">
            <v>510408</v>
          </cell>
          <cell r="BA436">
            <v>763060</v>
          </cell>
          <cell r="BC436">
            <v>0</v>
          </cell>
          <cell r="BD436">
            <v>15384664</v>
          </cell>
          <cell r="BG436">
            <v>6941192.7599999998</v>
          </cell>
          <cell r="BI436" t="str">
            <v>Forecast</v>
          </cell>
        </row>
        <row r="437">
          <cell r="B437" t="str">
            <v>Dec 2014</v>
          </cell>
          <cell r="C437" t="str">
            <v>PSP</v>
          </cell>
          <cell r="D437" t="str">
            <v>PSP</v>
          </cell>
          <cell r="E437" t="str">
            <v>KUCIE566</v>
          </cell>
          <cell r="F437">
            <v>0</v>
          </cell>
          <cell r="H437">
            <v>0</v>
          </cell>
          <cell r="I437">
            <v>0</v>
          </cell>
          <cell r="J437">
            <v>0</v>
          </cell>
          <cell r="K437">
            <v>0</v>
          </cell>
          <cell r="L437">
            <v>0</v>
          </cell>
          <cell r="M437">
            <v>0</v>
          </cell>
          <cell r="N437">
            <v>0</v>
          </cell>
          <cell r="O437">
            <v>0</v>
          </cell>
          <cell r="S437">
            <v>0</v>
          </cell>
          <cell r="V437">
            <v>0</v>
          </cell>
          <cell r="W437">
            <v>0</v>
          </cell>
          <cell r="X437">
            <v>0</v>
          </cell>
          <cell r="AL437">
            <v>0</v>
          </cell>
          <cell r="AM437">
            <v>0</v>
          </cell>
          <cell r="AV437">
            <v>0</v>
          </cell>
          <cell r="AW437">
            <v>0</v>
          </cell>
          <cell r="AY437">
            <v>0</v>
          </cell>
          <cell r="AZ437">
            <v>0</v>
          </cell>
          <cell r="BA437">
            <v>0</v>
          </cell>
          <cell r="BC437">
            <v>0</v>
          </cell>
          <cell r="BD437">
            <v>0</v>
          </cell>
          <cell r="BG437">
            <v>0</v>
          </cell>
          <cell r="BI437" t="str">
            <v>Forecast</v>
          </cell>
        </row>
        <row r="438">
          <cell r="B438" t="str">
            <v>Dec 2014</v>
          </cell>
          <cell r="C438" t="str">
            <v>PSS</v>
          </cell>
          <cell r="D438" t="str">
            <v>PSS</v>
          </cell>
          <cell r="E438" t="str">
            <v>KUCIE568</v>
          </cell>
          <cell r="F438">
            <v>0</v>
          </cell>
          <cell r="H438">
            <v>0</v>
          </cell>
          <cell r="I438">
            <v>0</v>
          </cell>
          <cell r="J438">
            <v>0</v>
          </cell>
          <cell r="K438">
            <v>0</v>
          </cell>
          <cell r="L438">
            <v>0</v>
          </cell>
          <cell r="M438">
            <v>0</v>
          </cell>
          <cell r="N438">
            <v>0</v>
          </cell>
          <cell r="O438">
            <v>0</v>
          </cell>
          <cell r="S438">
            <v>0</v>
          </cell>
          <cell r="U438">
            <v>0</v>
          </cell>
          <cell r="V438">
            <v>0</v>
          </cell>
          <cell r="W438">
            <v>0</v>
          </cell>
          <cell r="X438">
            <v>0</v>
          </cell>
          <cell r="AM438">
            <v>0</v>
          </cell>
          <cell r="AV438">
            <v>0</v>
          </cell>
          <cell r="AW438">
            <v>0</v>
          </cell>
          <cell r="AY438">
            <v>0</v>
          </cell>
          <cell r="AZ438">
            <v>0</v>
          </cell>
          <cell r="BA438">
            <v>0</v>
          </cell>
          <cell r="BC438">
            <v>0</v>
          </cell>
          <cell r="BD438">
            <v>0</v>
          </cell>
          <cell r="BG438">
            <v>0</v>
          </cell>
          <cell r="BI438" t="str">
            <v>Forecast</v>
          </cell>
        </row>
        <row r="439">
          <cell r="B439" t="str">
            <v>Dec 2014</v>
          </cell>
          <cell r="C439" t="str">
            <v>TODP</v>
          </cell>
          <cell r="D439" t="str">
            <v>TODP</v>
          </cell>
          <cell r="E439" t="str">
            <v>KUCIE571</v>
          </cell>
          <cell r="F439">
            <v>184</v>
          </cell>
          <cell r="H439">
            <v>0</v>
          </cell>
          <cell r="I439">
            <v>0</v>
          </cell>
          <cell r="J439">
            <v>0</v>
          </cell>
          <cell r="K439">
            <v>100462503</v>
          </cell>
          <cell r="L439">
            <v>0</v>
          </cell>
          <cell r="M439">
            <v>250727.32</v>
          </cell>
          <cell r="N439">
            <v>241204.87</v>
          </cell>
          <cell r="O439">
            <v>237747.33</v>
          </cell>
          <cell r="V439">
            <v>0</v>
          </cell>
          <cell r="W439">
            <v>0</v>
          </cell>
          <cell r="X439">
            <v>0</v>
          </cell>
          <cell r="AL439">
            <v>0</v>
          </cell>
          <cell r="AM439">
            <v>0</v>
          </cell>
          <cell r="AV439">
            <v>5944886.0300000003</v>
          </cell>
          <cell r="AW439">
            <v>5944886</v>
          </cell>
          <cell r="AY439">
            <v>362982</v>
          </cell>
          <cell r="AZ439">
            <v>213642</v>
          </cell>
          <cell r="BA439">
            <v>319394</v>
          </cell>
          <cell r="BC439">
            <v>0</v>
          </cell>
          <cell r="BD439">
            <v>6840904</v>
          </cell>
          <cell r="BG439">
            <v>2905375.59</v>
          </cell>
          <cell r="BI439" t="str">
            <v>Forecast</v>
          </cell>
        </row>
        <row r="440">
          <cell r="B440" t="str">
            <v>Dec 2014</v>
          </cell>
          <cell r="C440" t="str">
            <v>TODS</v>
          </cell>
          <cell r="D440" t="str">
            <v>TODS</v>
          </cell>
          <cell r="E440" t="str">
            <v>KUCIE572</v>
          </cell>
          <cell r="F440">
            <v>454</v>
          </cell>
          <cell r="H440">
            <v>0</v>
          </cell>
          <cell r="I440">
            <v>0</v>
          </cell>
          <cell r="J440">
            <v>0</v>
          </cell>
          <cell r="K440">
            <v>117631384</v>
          </cell>
          <cell r="M440">
            <v>288657.27</v>
          </cell>
          <cell r="N440">
            <v>262909.32</v>
          </cell>
          <cell r="O440">
            <v>257020.16</v>
          </cell>
          <cell r="V440">
            <v>0</v>
          </cell>
          <cell r="W440">
            <v>0</v>
          </cell>
          <cell r="X440">
            <v>0</v>
          </cell>
          <cell r="AM440">
            <v>0</v>
          </cell>
          <cell r="AV440">
            <v>7518995.6600000001</v>
          </cell>
          <cell r="AW440">
            <v>7518995</v>
          </cell>
          <cell r="AY440">
            <v>425016</v>
          </cell>
          <cell r="AZ440">
            <v>250153</v>
          </cell>
          <cell r="BA440">
            <v>373978</v>
          </cell>
          <cell r="BC440">
            <v>0</v>
          </cell>
          <cell r="BD440">
            <v>8568142</v>
          </cell>
          <cell r="BG440">
            <v>3401899.63</v>
          </cell>
          <cell r="BI440" t="str">
            <v>Forecast</v>
          </cell>
        </row>
        <row r="441">
          <cell r="B441" t="str">
            <v>Dec 2014</v>
          </cell>
          <cell r="C441" t="str">
            <v>PSS</v>
          </cell>
          <cell r="D441" t="str">
            <v>PSS</v>
          </cell>
          <cell r="E441" t="str">
            <v>KUCIE717</v>
          </cell>
          <cell r="F441">
            <v>0</v>
          </cell>
          <cell r="G441">
            <v>0</v>
          </cell>
          <cell r="H441">
            <v>0</v>
          </cell>
          <cell r="I441">
            <v>0</v>
          </cell>
          <cell r="J441">
            <v>0</v>
          </cell>
          <cell r="K441">
            <v>0</v>
          </cell>
          <cell r="L441">
            <v>0</v>
          </cell>
          <cell r="M441">
            <v>0</v>
          </cell>
          <cell r="N441">
            <v>0</v>
          </cell>
          <cell r="O441">
            <v>0</v>
          </cell>
          <cell r="S441">
            <v>0</v>
          </cell>
          <cell r="T441">
            <v>0</v>
          </cell>
          <cell r="U441">
            <v>0</v>
          </cell>
          <cell r="V441">
            <v>0</v>
          </cell>
          <cell r="W441">
            <v>0</v>
          </cell>
          <cell r="X441">
            <v>0</v>
          </cell>
          <cell r="AL441">
            <v>0</v>
          </cell>
          <cell r="AM441">
            <v>0</v>
          </cell>
          <cell r="AP441">
            <v>0</v>
          </cell>
          <cell r="AQ441">
            <v>0</v>
          </cell>
          <cell r="AR441">
            <v>0</v>
          </cell>
          <cell r="AV441">
            <v>0</v>
          </cell>
          <cell r="AW441">
            <v>0</v>
          </cell>
          <cell r="AY441">
            <v>0</v>
          </cell>
          <cell r="AZ441">
            <v>0</v>
          </cell>
          <cell r="BA441">
            <v>0</v>
          </cell>
          <cell r="BC441">
            <v>0</v>
          </cell>
          <cell r="BD441">
            <v>0</v>
          </cell>
          <cell r="BG441">
            <v>0</v>
          </cell>
          <cell r="BI441" t="str">
            <v>Forecast</v>
          </cell>
        </row>
        <row r="442">
          <cell r="B442" t="str">
            <v>Dec 2014</v>
          </cell>
          <cell r="C442" t="str">
            <v>GS</v>
          </cell>
          <cell r="D442" t="str">
            <v>GS</v>
          </cell>
          <cell r="E442" t="str">
            <v>KUCME110</v>
          </cell>
          <cell r="F442">
            <v>63436</v>
          </cell>
          <cell r="G442">
            <v>0</v>
          </cell>
          <cell r="H442">
            <v>0</v>
          </cell>
          <cell r="I442">
            <v>0</v>
          </cell>
          <cell r="J442">
            <v>0</v>
          </cell>
          <cell r="K442">
            <v>65046378</v>
          </cell>
          <cell r="L442">
            <v>0</v>
          </cell>
          <cell r="M442">
            <v>0</v>
          </cell>
          <cell r="N442">
            <v>0</v>
          </cell>
          <cell r="O442">
            <v>0</v>
          </cell>
          <cell r="S442">
            <v>0</v>
          </cell>
          <cell r="T442">
            <v>0</v>
          </cell>
          <cell r="U442">
            <v>0</v>
          </cell>
          <cell r="V442">
            <v>0</v>
          </cell>
          <cell r="W442">
            <v>0</v>
          </cell>
          <cell r="X442">
            <v>0</v>
          </cell>
          <cell r="AL442">
            <v>0</v>
          </cell>
          <cell r="AM442">
            <v>0</v>
          </cell>
          <cell r="AP442">
            <v>0</v>
          </cell>
          <cell r="AQ442">
            <v>0</v>
          </cell>
          <cell r="AR442">
            <v>0</v>
          </cell>
          <cell r="AV442">
            <v>7269248.3700000001</v>
          </cell>
          <cell r="AW442">
            <v>7269256</v>
          </cell>
          <cell r="AY442">
            <v>235020</v>
          </cell>
          <cell r="AZ442">
            <v>138326</v>
          </cell>
          <cell r="BA442">
            <v>206798</v>
          </cell>
          <cell r="BC442">
            <v>0</v>
          </cell>
          <cell r="BD442">
            <v>7849400</v>
          </cell>
          <cell r="BG442">
            <v>1881141.25</v>
          </cell>
          <cell r="BI442" t="str">
            <v>Forecast</v>
          </cell>
        </row>
        <row r="443">
          <cell r="B443" t="str">
            <v>Dec 2014</v>
          </cell>
          <cell r="C443" t="str">
            <v>GS</v>
          </cell>
          <cell r="D443" t="str">
            <v>GS</v>
          </cell>
          <cell r="E443" t="str">
            <v>KUCME112</v>
          </cell>
          <cell r="F443">
            <v>0</v>
          </cell>
          <cell r="G443">
            <v>0</v>
          </cell>
          <cell r="H443">
            <v>0</v>
          </cell>
          <cell r="I443">
            <v>0</v>
          </cell>
          <cell r="J443">
            <v>0</v>
          </cell>
          <cell r="K443">
            <v>0</v>
          </cell>
          <cell r="L443">
            <v>0</v>
          </cell>
          <cell r="M443">
            <v>0</v>
          </cell>
          <cell r="N443">
            <v>0</v>
          </cell>
          <cell r="O443">
            <v>0</v>
          </cell>
          <cell r="S443">
            <v>0</v>
          </cell>
          <cell r="T443">
            <v>0</v>
          </cell>
          <cell r="U443">
            <v>0</v>
          </cell>
          <cell r="V443">
            <v>0</v>
          </cell>
          <cell r="W443">
            <v>0</v>
          </cell>
          <cell r="X443">
            <v>0</v>
          </cell>
          <cell r="AL443">
            <v>0</v>
          </cell>
          <cell r="AM443">
            <v>0</v>
          </cell>
          <cell r="AP443">
            <v>0</v>
          </cell>
          <cell r="AQ443">
            <v>0</v>
          </cell>
          <cell r="AR443">
            <v>0</v>
          </cell>
          <cell r="AV443">
            <v>0</v>
          </cell>
          <cell r="AW443">
            <v>0</v>
          </cell>
          <cell r="AY443">
            <v>0</v>
          </cell>
          <cell r="AZ443">
            <v>0</v>
          </cell>
          <cell r="BA443">
            <v>0</v>
          </cell>
          <cell r="BC443">
            <v>0</v>
          </cell>
          <cell r="BD443">
            <v>0</v>
          </cell>
          <cell r="BG443">
            <v>0</v>
          </cell>
          <cell r="BI443" t="str">
            <v>Forecast</v>
          </cell>
        </row>
        <row r="444">
          <cell r="B444" t="str">
            <v>Dec 2014</v>
          </cell>
          <cell r="C444" t="str">
            <v>GS3</v>
          </cell>
          <cell r="D444" t="str">
            <v>GS3</v>
          </cell>
          <cell r="E444" t="str">
            <v>KUCME113</v>
          </cell>
          <cell r="F444">
            <v>18544</v>
          </cell>
          <cell r="G444">
            <v>0</v>
          </cell>
          <cell r="H444">
            <v>0</v>
          </cell>
          <cell r="I444">
            <v>0</v>
          </cell>
          <cell r="J444">
            <v>0</v>
          </cell>
          <cell r="K444">
            <v>95315025</v>
          </cell>
          <cell r="L444">
            <v>0</v>
          </cell>
          <cell r="M444">
            <v>380870.99</v>
          </cell>
          <cell r="N444">
            <v>0</v>
          </cell>
          <cell r="O444">
            <v>0</v>
          </cell>
          <cell r="S444">
            <v>0</v>
          </cell>
          <cell r="T444">
            <v>0</v>
          </cell>
          <cell r="U444">
            <v>0</v>
          </cell>
          <cell r="V444">
            <v>0</v>
          </cell>
          <cell r="W444">
            <v>0</v>
          </cell>
          <cell r="X444">
            <v>0</v>
          </cell>
          <cell r="AL444">
            <v>0</v>
          </cell>
          <cell r="AM444">
            <v>0</v>
          </cell>
          <cell r="AP444">
            <v>0</v>
          </cell>
          <cell r="AQ444">
            <v>0</v>
          </cell>
          <cell r="AR444">
            <v>0</v>
          </cell>
          <cell r="AV444">
            <v>9441851.0600000005</v>
          </cell>
          <cell r="AW444">
            <v>9441838</v>
          </cell>
          <cell r="AY444">
            <v>344384</v>
          </cell>
          <cell r="AZ444">
            <v>202695</v>
          </cell>
          <cell r="BA444">
            <v>303029</v>
          </cell>
          <cell r="BC444">
            <v>0</v>
          </cell>
          <cell r="BD444">
            <v>10291946</v>
          </cell>
          <cell r="BG444">
            <v>2756510.52</v>
          </cell>
          <cell r="BI444" t="str">
            <v>Forecast</v>
          </cell>
        </row>
        <row r="445">
          <cell r="B445" t="str">
            <v>Dec 2014</v>
          </cell>
          <cell r="C445" t="str">
            <v>AES</v>
          </cell>
          <cell r="D445" t="str">
            <v>AES</v>
          </cell>
          <cell r="E445" t="str">
            <v>KUCME220</v>
          </cell>
          <cell r="F445">
            <v>371</v>
          </cell>
          <cell r="G445">
            <v>0</v>
          </cell>
          <cell r="H445">
            <v>0</v>
          </cell>
          <cell r="I445">
            <v>0</v>
          </cell>
          <cell r="J445">
            <v>0</v>
          </cell>
          <cell r="K445">
            <v>706313</v>
          </cell>
          <cell r="L445">
            <v>0</v>
          </cell>
          <cell r="M445">
            <v>0</v>
          </cell>
          <cell r="N445">
            <v>0</v>
          </cell>
          <cell r="O445">
            <v>0</v>
          </cell>
          <cell r="S445">
            <v>0</v>
          </cell>
          <cell r="T445">
            <v>0</v>
          </cell>
          <cell r="U445">
            <v>0</v>
          </cell>
          <cell r="V445">
            <v>0</v>
          </cell>
          <cell r="W445">
            <v>0</v>
          </cell>
          <cell r="X445">
            <v>0</v>
          </cell>
          <cell r="AL445">
            <v>0</v>
          </cell>
          <cell r="AM445">
            <v>0</v>
          </cell>
          <cell r="AP445">
            <v>0</v>
          </cell>
          <cell r="AQ445">
            <v>0</v>
          </cell>
          <cell r="AR445">
            <v>0</v>
          </cell>
          <cell r="AV445">
            <v>59969.69</v>
          </cell>
          <cell r="AW445">
            <v>59969</v>
          </cell>
          <cell r="AY445">
            <v>2552</v>
          </cell>
          <cell r="AZ445">
            <v>1502</v>
          </cell>
          <cell r="BA445">
            <v>2246</v>
          </cell>
          <cell r="BC445">
            <v>0</v>
          </cell>
          <cell r="BD445">
            <v>66269</v>
          </cell>
          <cell r="BG445">
            <v>20426.57</v>
          </cell>
          <cell r="BI445" t="str">
            <v>Forecast</v>
          </cell>
        </row>
        <row r="446">
          <cell r="B446" t="str">
            <v>Dec 2014</v>
          </cell>
          <cell r="C446" t="str">
            <v>AES</v>
          </cell>
          <cell r="D446" t="str">
            <v>AES</v>
          </cell>
          <cell r="E446" t="str">
            <v>KUCME221</v>
          </cell>
          <cell r="F446">
            <v>0</v>
          </cell>
          <cell r="G446">
            <v>0</v>
          </cell>
          <cell r="H446">
            <v>0</v>
          </cell>
          <cell r="I446">
            <v>0</v>
          </cell>
          <cell r="J446">
            <v>0</v>
          </cell>
          <cell r="K446">
            <v>0</v>
          </cell>
          <cell r="L446">
            <v>0</v>
          </cell>
          <cell r="M446">
            <v>0</v>
          </cell>
          <cell r="N446">
            <v>0</v>
          </cell>
          <cell r="O446">
            <v>0</v>
          </cell>
          <cell r="S446">
            <v>0</v>
          </cell>
          <cell r="T446">
            <v>0</v>
          </cell>
          <cell r="U446">
            <v>0</v>
          </cell>
          <cell r="V446">
            <v>0</v>
          </cell>
          <cell r="W446">
            <v>0</v>
          </cell>
          <cell r="X446">
            <v>0</v>
          </cell>
          <cell r="AL446">
            <v>0</v>
          </cell>
          <cell r="AM446">
            <v>0</v>
          </cell>
          <cell r="AP446">
            <v>0</v>
          </cell>
          <cell r="AQ446">
            <v>0</v>
          </cell>
          <cell r="AR446">
            <v>0</v>
          </cell>
          <cell r="AV446">
            <v>0</v>
          </cell>
          <cell r="AW446">
            <v>0</v>
          </cell>
          <cell r="AY446">
            <v>0</v>
          </cell>
          <cell r="AZ446">
            <v>0</v>
          </cell>
          <cell r="BA446">
            <v>0</v>
          </cell>
          <cell r="BC446">
            <v>0</v>
          </cell>
          <cell r="BD446">
            <v>0</v>
          </cell>
          <cell r="BG446">
            <v>0</v>
          </cell>
          <cell r="BI446" t="str">
            <v>Forecast</v>
          </cell>
        </row>
        <row r="447">
          <cell r="B447" t="str">
            <v>Dec 2014</v>
          </cell>
          <cell r="C447" t="str">
            <v>AES3</v>
          </cell>
          <cell r="D447" t="str">
            <v>AES3</v>
          </cell>
          <cell r="E447" t="str">
            <v>KUCME223</v>
          </cell>
          <cell r="F447">
            <v>0</v>
          </cell>
          <cell r="G447">
            <v>0</v>
          </cell>
          <cell r="H447">
            <v>0</v>
          </cell>
          <cell r="I447">
            <v>0</v>
          </cell>
          <cell r="J447">
            <v>0</v>
          </cell>
          <cell r="K447">
            <v>0</v>
          </cell>
          <cell r="L447">
            <v>0</v>
          </cell>
          <cell r="M447">
            <v>0</v>
          </cell>
          <cell r="N447">
            <v>0</v>
          </cell>
          <cell r="O447">
            <v>0</v>
          </cell>
          <cell r="S447">
            <v>0</v>
          </cell>
          <cell r="T447">
            <v>0</v>
          </cell>
          <cell r="U447">
            <v>0</v>
          </cell>
          <cell r="V447">
            <v>0</v>
          </cell>
          <cell r="W447">
            <v>0</v>
          </cell>
          <cell r="X447">
            <v>0</v>
          </cell>
          <cell r="AL447">
            <v>0</v>
          </cell>
          <cell r="AM447">
            <v>0</v>
          </cell>
          <cell r="AP447">
            <v>0</v>
          </cell>
          <cell r="AQ447">
            <v>0</v>
          </cell>
          <cell r="AR447">
            <v>0</v>
          </cell>
          <cell r="AV447">
            <v>0</v>
          </cell>
          <cell r="AW447">
            <v>0</v>
          </cell>
          <cell r="AY447">
            <v>0</v>
          </cell>
          <cell r="AZ447">
            <v>0</v>
          </cell>
          <cell r="BA447">
            <v>0</v>
          </cell>
          <cell r="BC447">
            <v>0</v>
          </cell>
          <cell r="BD447">
            <v>0</v>
          </cell>
          <cell r="BG447">
            <v>0</v>
          </cell>
          <cell r="BI447" t="str">
            <v>Forecast</v>
          </cell>
        </row>
        <row r="448">
          <cell r="B448" t="str">
            <v>Dec 2014</v>
          </cell>
          <cell r="C448" t="str">
            <v>AES3</v>
          </cell>
          <cell r="D448" t="str">
            <v>AES3</v>
          </cell>
          <cell r="E448" t="str">
            <v>KUCME224</v>
          </cell>
          <cell r="F448">
            <v>257</v>
          </cell>
          <cell r="G448">
            <v>0</v>
          </cell>
          <cell r="H448">
            <v>0</v>
          </cell>
          <cell r="I448">
            <v>0</v>
          </cell>
          <cell r="J448">
            <v>0</v>
          </cell>
          <cell r="K448">
            <v>13091164</v>
          </cell>
          <cell r="L448">
            <v>0</v>
          </cell>
          <cell r="M448">
            <v>51506.239999999998</v>
          </cell>
          <cell r="N448">
            <v>0</v>
          </cell>
          <cell r="O448">
            <v>0</v>
          </cell>
          <cell r="S448">
            <v>0</v>
          </cell>
          <cell r="T448">
            <v>0</v>
          </cell>
          <cell r="U448">
            <v>0</v>
          </cell>
          <cell r="V448">
            <v>0</v>
          </cell>
          <cell r="W448">
            <v>0</v>
          </cell>
          <cell r="X448">
            <v>0</v>
          </cell>
          <cell r="AL448">
            <v>0</v>
          </cell>
          <cell r="AM448">
            <v>0</v>
          </cell>
          <cell r="AP448">
            <v>0</v>
          </cell>
          <cell r="AQ448">
            <v>0</v>
          </cell>
          <cell r="AR448">
            <v>0</v>
          </cell>
          <cell r="AV448">
            <v>982977.6</v>
          </cell>
          <cell r="AW448">
            <v>982978</v>
          </cell>
          <cell r="AY448">
            <v>47300</v>
          </cell>
          <cell r="AZ448">
            <v>27839</v>
          </cell>
          <cell r="BA448">
            <v>41620</v>
          </cell>
          <cell r="BC448">
            <v>0</v>
          </cell>
          <cell r="BD448">
            <v>1099737</v>
          </cell>
          <cell r="BG448">
            <v>378596.46</v>
          </cell>
          <cell r="BI448" t="str">
            <v>Forecast</v>
          </cell>
        </row>
        <row r="449">
          <cell r="B449" t="str">
            <v>Dec 2014</v>
          </cell>
          <cell r="C449" t="str">
            <v>AES3</v>
          </cell>
          <cell r="D449" t="str">
            <v>AES3</v>
          </cell>
          <cell r="E449" t="str">
            <v>KUCME225</v>
          </cell>
          <cell r="F449">
            <v>0</v>
          </cell>
          <cell r="G449">
            <v>0</v>
          </cell>
          <cell r="H449">
            <v>0</v>
          </cell>
          <cell r="I449">
            <v>0</v>
          </cell>
          <cell r="J449">
            <v>0</v>
          </cell>
          <cell r="K449">
            <v>0</v>
          </cell>
          <cell r="L449">
            <v>0</v>
          </cell>
          <cell r="M449">
            <v>0</v>
          </cell>
          <cell r="N449">
            <v>0</v>
          </cell>
          <cell r="O449">
            <v>0</v>
          </cell>
          <cell r="S449">
            <v>0</v>
          </cell>
          <cell r="T449">
            <v>0</v>
          </cell>
          <cell r="U449">
            <v>0</v>
          </cell>
          <cell r="V449">
            <v>0</v>
          </cell>
          <cell r="W449">
            <v>0</v>
          </cell>
          <cell r="X449">
            <v>0</v>
          </cell>
          <cell r="AL449">
            <v>0</v>
          </cell>
          <cell r="AM449">
            <v>0</v>
          </cell>
          <cell r="AP449">
            <v>0</v>
          </cell>
          <cell r="AQ449">
            <v>0</v>
          </cell>
          <cell r="AR449">
            <v>0</v>
          </cell>
          <cell r="AV449">
            <v>0</v>
          </cell>
          <cell r="AW449">
            <v>0</v>
          </cell>
          <cell r="AY449">
            <v>0</v>
          </cell>
          <cell r="AZ449">
            <v>0</v>
          </cell>
          <cell r="BA449">
            <v>0</v>
          </cell>
          <cell r="BC449">
            <v>0</v>
          </cell>
          <cell r="BD449">
            <v>0</v>
          </cell>
          <cell r="BG449">
            <v>0</v>
          </cell>
          <cell r="BI449" t="str">
            <v>Forecast</v>
          </cell>
        </row>
        <row r="450">
          <cell r="B450" t="str">
            <v>Dec 2014</v>
          </cell>
          <cell r="C450" t="str">
            <v>AES</v>
          </cell>
          <cell r="D450" t="str">
            <v>AES</v>
          </cell>
          <cell r="E450" t="str">
            <v>KUCME226</v>
          </cell>
          <cell r="F450">
            <v>0</v>
          </cell>
          <cell r="G450">
            <v>0</v>
          </cell>
          <cell r="H450">
            <v>0</v>
          </cell>
          <cell r="I450">
            <v>0</v>
          </cell>
          <cell r="J450">
            <v>0</v>
          </cell>
          <cell r="K450">
            <v>0</v>
          </cell>
          <cell r="L450">
            <v>0</v>
          </cell>
          <cell r="M450">
            <v>0</v>
          </cell>
          <cell r="N450">
            <v>0</v>
          </cell>
          <cell r="O450">
            <v>0</v>
          </cell>
          <cell r="S450">
            <v>0</v>
          </cell>
          <cell r="T450">
            <v>0</v>
          </cell>
          <cell r="U450">
            <v>0</v>
          </cell>
          <cell r="V450">
            <v>0</v>
          </cell>
          <cell r="W450">
            <v>0</v>
          </cell>
          <cell r="X450">
            <v>0</v>
          </cell>
          <cell r="AL450">
            <v>0</v>
          </cell>
          <cell r="AM450">
            <v>0</v>
          </cell>
          <cell r="AP450">
            <v>0</v>
          </cell>
          <cell r="AQ450">
            <v>0</v>
          </cell>
          <cell r="AR450">
            <v>0</v>
          </cell>
          <cell r="AV450">
            <v>0</v>
          </cell>
          <cell r="AW450">
            <v>0</v>
          </cell>
          <cell r="AY450">
            <v>0</v>
          </cell>
          <cell r="AZ450">
            <v>0</v>
          </cell>
          <cell r="BA450">
            <v>0</v>
          </cell>
          <cell r="BC450">
            <v>0</v>
          </cell>
          <cell r="BD450">
            <v>0</v>
          </cell>
          <cell r="BG450">
            <v>0</v>
          </cell>
          <cell r="BI450" t="str">
            <v>Forecast</v>
          </cell>
        </row>
        <row r="451">
          <cell r="B451" t="str">
            <v>Dec 2014</v>
          </cell>
          <cell r="C451" t="str">
            <v>AES3</v>
          </cell>
          <cell r="D451" t="str">
            <v>AES3</v>
          </cell>
          <cell r="E451" t="str">
            <v>KUCME227</v>
          </cell>
          <cell r="F451">
            <v>0</v>
          </cell>
          <cell r="G451">
            <v>0</v>
          </cell>
          <cell r="H451">
            <v>0</v>
          </cell>
          <cell r="I451">
            <v>0</v>
          </cell>
          <cell r="J451">
            <v>0</v>
          </cell>
          <cell r="K451">
            <v>0</v>
          </cell>
          <cell r="L451">
            <v>0</v>
          </cell>
          <cell r="M451">
            <v>0</v>
          </cell>
          <cell r="N451">
            <v>0</v>
          </cell>
          <cell r="O451">
            <v>0</v>
          </cell>
          <cell r="S451">
            <v>0</v>
          </cell>
          <cell r="T451">
            <v>0</v>
          </cell>
          <cell r="U451">
            <v>0</v>
          </cell>
          <cell r="V451">
            <v>0</v>
          </cell>
          <cell r="W451">
            <v>0</v>
          </cell>
          <cell r="X451">
            <v>0</v>
          </cell>
          <cell r="AL451">
            <v>0</v>
          </cell>
          <cell r="AM451">
            <v>0</v>
          </cell>
          <cell r="AP451">
            <v>0</v>
          </cell>
          <cell r="AQ451">
            <v>0</v>
          </cell>
          <cell r="AR451">
            <v>0</v>
          </cell>
          <cell r="AV451">
            <v>0</v>
          </cell>
          <cell r="AW451">
            <v>0</v>
          </cell>
          <cell r="AY451">
            <v>0</v>
          </cell>
          <cell r="AZ451">
            <v>0</v>
          </cell>
          <cell r="BA451">
            <v>0</v>
          </cell>
          <cell r="BC451">
            <v>0</v>
          </cell>
          <cell r="BD451">
            <v>0</v>
          </cell>
          <cell r="BG451">
            <v>0</v>
          </cell>
          <cell r="BI451" t="str">
            <v>Forecast</v>
          </cell>
        </row>
        <row r="452">
          <cell r="B452" t="str">
            <v>Dec 2014</v>
          </cell>
          <cell r="C452" t="str">
            <v>LE</v>
          </cell>
          <cell r="D452" t="str">
            <v>LE</v>
          </cell>
          <cell r="E452" t="str">
            <v>KUCME290</v>
          </cell>
          <cell r="F452">
            <v>2</v>
          </cell>
          <cell r="G452">
            <v>0</v>
          </cell>
          <cell r="H452">
            <v>0</v>
          </cell>
          <cell r="I452">
            <v>0</v>
          </cell>
          <cell r="J452">
            <v>0</v>
          </cell>
          <cell r="K452">
            <v>19258</v>
          </cell>
          <cell r="L452">
            <v>0</v>
          </cell>
          <cell r="M452">
            <v>0</v>
          </cell>
          <cell r="N452">
            <v>0</v>
          </cell>
          <cell r="O452">
            <v>0</v>
          </cell>
          <cell r="S452">
            <v>0</v>
          </cell>
          <cell r="T452">
            <v>0</v>
          </cell>
          <cell r="U452">
            <v>0</v>
          </cell>
          <cell r="V452">
            <v>0</v>
          </cell>
          <cell r="W452">
            <v>0</v>
          </cell>
          <cell r="X452">
            <v>0</v>
          </cell>
          <cell r="AL452">
            <v>0</v>
          </cell>
          <cell r="AM452">
            <v>0</v>
          </cell>
          <cell r="AP452">
            <v>0</v>
          </cell>
          <cell r="AQ452">
            <v>0</v>
          </cell>
          <cell r="AR452">
            <v>0</v>
          </cell>
          <cell r="AV452">
            <v>1228.6600000000001</v>
          </cell>
          <cell r="AW452">
            <v>1229</v>
          </cell>
          <cell r="AY452">
            <v>70</v>
          </cell>
          <cell r="AZ452">
            <v>0</v>
          </cell>
          <cell r="BA452">
            <v>61</v>
          </cell>
          <cell r="BC452">
            <v>0</v>
          </cell>
          <cell r="BD452">
            <v>1360</v>
          </cell>
          <cell r="BG452">
            <v>556.94000000000005</v>
          </cell>
          <cell r="BI452" t="str">
            <v>Forecast</v>
          </cell>
        </row>
        <row r="453">
          <cell r="B453" t="str">
            <v>Dec 2014</v>
          </cell>
          <cell r="C453" t="str">
            <v>LE</v>
          </cell>
          <cell r="D453" t="str">
            <v>LE</v>
          </cell>
          <cell r="E453" t="str">
            <v>KUCME291</v>
          </cell>
          <cell r="F453">
            <v>0</v>
          </cell>
          <cell r="G453">
            <v>0</v>
          </cell>
          <cell r="H453">
            <v>0</v>
          </cell>
          <cell r="I453">
            <v>0</v>
          </cell>
          <cell r="J453">
            <v>0</v>
          </cell>
          <cell r="K453">
            <v>0</v>
          </cell>
          <cell r="L453">
            <v>0</v>
          </cell>
          <cell r="M453">
            <v>0</v>
          </cell>
          <cell r="N453">
            <v>0</v>
          </cell>
          <cell r="O453">
            <v>0</v>
          </cell>
          <cell r="S453">
            <v>0</v>
          </cell>
          <cell r="T453">
            <v>0</v>
          </cell>
          <cell r="U453">
            <v>0</v>
          </cell>
          <cell r="V453">
            <v>0</v>
          </cell>
          <cell r="W453">
            <v>0</v>
          </cell>
          <cell r="X453">
            <v>0</v>
          </cell>
          <cell r="AL453">
            <v>0</v>
          </cell>
          <cell r="AM453">
            <v>0</v>
          </cell>
          <cell r="AP453">
            <v>0</v>
          </cell>
          <cell r="AQ453">
            <v>0</v>
          </cell>
          <cell r="AR453">
            <v>0</v>
          </cell>
          <cell r="AV453">
            <v>0</v>
          </cell>
          <cell r="AW453">
            <v>0</v>
          </cell>
          <cell r="AY453">
            <v>0</v>
          </cell>
          <cell r="AZ453">
            <v>0</v>
          </cell>
          <cell r="BA453">
            <v>0</v>
          </cell>
          <cell r="BC453">
            <v>0</v>
          </cell>
          <cell r="BD453">
            <v>0</v>
          </cell>
          <cell r="BG453">
            <v>0</v>
          </cell>
          <cell r="BI453" t="str">
            <v>Forecast</v>
          </cell>
        </row>
        <row r="454">
          <cell r="B454" t="str">
            <v>Dec 2014</v>
          </cell>
          <cell r="C454" t="str">
            <v>TE</v>
          </cell>
          <cell r="D454" t="str">
            <v>TE</v>
          </cell>
          <cell r="E454" t="str">
            <v>KUCME295</v>
          </cell>
          <cell r="F454">
            <v>747</v>
          </cell>
          <cell r="G454">
            <v>0</v>
          </cell>
          <cell r="H454">
            <v>0</v>
          </cell>
          <cell r="I454">
            <v>0</v>
          </cell>
          <cell r="J454">
            <v>0</v>
          </cell>
          <cell r="K454">
            <v>112853</v>
          </cell>
          <cell r="L454">
            <v>0</v>
          </cell>
          <cell r="M454">
            <v>0</v>
          </cell>
          <cell r="N454">
            <v>0</v>
          </cell>
          <cell r="O454">
            <v>0</v>
          </cell>
          <cell r="S454">
            <v>0</v>
          </cell>
          <cell r="T454">
            <v>0</v>
          </cell>
          <cell r="U454">
            <v>0</v>
          </cell>
          <cell r="V454">
            <v>0</v>
          </cell>
          <cell r="W454">
            <v>0</v>
          </cell>
          <cell r="X454">
            <v>0</v>
          </cell>
          <cell r="AL454">
            <v>0</v>
          </cell>
          <cell r="AM454">
            <v>0</v>
          </cell>
          <cell r="AP454">
            <v>0</v>
          </cell>
          <cell r="AQ454">
            <v>0</v>
          </cell>
          <cell r="AR454">
            <v>0</v>
          </cell>
          <cell r="AV454">
            <v>11431.16</v>
          </cell>
          <cell r="AW454">
            <v>11430.75</v>
          </cell>
          <cell r="AY454">
            <v>407</v>
          </cell>
          <cell r="AZ454">
            <v>0</v>
          </cell>
          <cell r="BA454">
            <v>359</v>
          </cell>
          <cell r="BC454">
            <v>0</v>
          </cell>
          <cell r="BD454">
            <v>12196.75</v>
          </cell>
          <cell r="BG454">
            <v>3263.71</v>
          </cell>
          <cell r="BI454" t="str">
            <v>Forecast</v>
          </cell>
        </row>
        <row r="455">
          <cell r="B455" t="str">
            <v>Dec 2014</v>
          </cell>
          <cell r="C455" t="str">
            <v>TE</v>
          </cell>
          <cell r="D455" t="str">
            <v>TE</v>
          </cell>
          <cell r="E455" t="str">
            <v>KUCME297</v>
          </cell>
          <cell r="F455">
            <v>0</v>
          </cell>
          <cell r="G455">
            <v>0</v>
          </cell>
          <cell r="H455">
            <v>0</v>
          </cell>
          <cell r="I455">
            <v>0</v>
          </cell>
          <cell r="J455">
            <v>0</v>
          </cell>
          <cell r="K455">
            <v>0</v>
          </cell>
          <cell r="L455">
            <v>0</v>
          </cell>
          <cell r="M455">
            <v>0</v>
          </cell>
          <cell r="N455">
            <v>0</v>
          </cell>
          <cell r="O455">
            <v>0</v>
          </cell>
          <cell r="S455">
            <v>0</v>
          </cell>
          <cell r="T455">
            <v>0</v>
          </cell>
          <cell r="U455">
            <v>0</v>
          </cell>
          <cell r="V455">
            <v>0</v>
          </cell>
          <cell r="W455">
            <v>0</v>
          </cell>
          <cell r="X455">
            <v>0</v>
          </cell>
          <cell r="AL455">
            <v>0</v>
          </cell>
          <cell r="AM455">
            <v>0</v>
          </cell>
          <cell r="AP455">
            <v>0</v>
          </cell>
          <cell r="AQ455">
            <v>0</v>
          </cell>
          <cell r="AR455">
            <v>0</v>
          </cell>
          <cell r="AV455">
            <v>0</v>
          </cell>
          <cell r="AW455">
            <v>0</v>
          </cell>
          <cell r="AY455">
            <v>0</v>
          </cell>
          <cell r="AZ455">
            <v>0</v>
          </cell>
          <cell r="BA455">
            <v>0</v>
          </cell>
          <cell r="BC455">
            <v>0</v>
          </cell>
          <cell r="BD455">
            <v>0</v>
          </cell>
          <cell r="BG455">
            <v>0</v>
          </cell>
          <cell r="BI455" t="str">
            <v>Forecast</v>
          </cell>
        </row>
        <row r="456">
          <cell r="B456" t="str">
            <v>Dec 2014</v>
          </cell>
          <cell r="C456" t="str">
            <v>SQF</v>
          </cell>
          <cell r="D456" t="str">
            <v>SQF</v>
          </cell>
          <cell r="E456" t="str">
            <v>KUCME705</v>
          </cell>
          <cell r="F456">
            <v>0</v>
          </cell>
          <cell r="G456">
            <v>0</v>
          </cell>
          <cell r="H456">
            <v>0</v>
          </cell>
          <cell r="I456">
            <v>0</v>
          </cell>
          <cell r="J456">
            <v>0</v>
          </cell>
          <cell r="K456">
            <v>0</v>
          </cell>
          <cell r="L456">
            <v>0</v>
          </cell>
          <cell r="M456">
            <v>0</v>
          </cell>
          <cell r="N456">
            <v>0</v>
          </cell>
          <cell r="O456">
            <v>0</v>
          </cell>
          <cell r="S456">
            <v>0</v>
          </cell>
          <cell r="T456">
            <v>0</v>
          </cell>
          <cell r="U456">
            <v>0</v>
          </cell>
          <cell r="V456">
            <v>0</v>
          </cell>
          <cell r="W456">
            <v>0</v>
          </cell>
          <cell r="X456">
            <v>0</v>
          </cell>
          <cell r="AL456">
            <v>0</v>
          </cell>
          <cell r="AM456">
            <v>0</v>
          </cell>
          <cell r="AP456">
            <v>0</v>
          </cell>
          <cell r="AQ456">
            <v>0</v>
          </cell>
          <cell r="AR456">
            <v>0</v>
          </cell>
          <cell r="AV456">
            <v>0</v>
          </cell>
          <cell r="AW456">
            <v>0</v>
          </cell>
          <cell r="AY456">
            <v>0</v>
          </cell>
          <cell r="AZ456">
            <v>0</v>
          </cell>
          <cell r="BA456">
            <v>0</v>
          </cell>
          <cell r="BC456">
            <v>0</v>
          </cell>
          <cell r="BD456">
            <v>0</v>
          </cell>
          <cell r="BG456">
            <v>0</v>
          </cell>
          <cell r="BI456" t="str">
            <v>Forecast</v>
          </cell>
        </row>
        <row r="457">
          <cell r="B457" t="str">
            <v>Dec 2014</v>
          </cell>
          <cell r="C457" t="str">
            <v>LQF</v>
          </cell>
          <cell r="D457" t="str">
            <v>LQF</v>
          </cell>
          <cell r="E457" t="str">
            <v>KUCME707</v>
          </cell>
          <cell r="F457">
            <v>0</v>
          </cell>
          <cell r="G457">
            <v>0</v>
          </cell>
          <cell r="H457">
            <v>0</v>
          </cell>
          <cell r="I457">
            <v>0</v>
          </cell>
          <cell r="J457">
            <v>0</v>
          </cell>
          <cell r="K457">
            <v>0</v>
          </cell>
          <cell r="L457">
            <v>0</v>
          </cell>
          <cell r="M457">
            <v>0</v>
          </cell>
          <cell r="N457">
            <v>0</v>
          </cell>
          <cell r="O457">
            <v>0</v>
          </cell>
          <cell r="S457">
            <v>0</v>
          </cell>
          <cell r="T457">
            <v>0</v>
          </cell>
          <cell r="U457">
            <v>0</v>
          </cell>
          <cell r="V457">
            <v>0</v>
          </cell>
          <cell r="W457">
            <v>0</v>
          </cell>
          <cell r="X457">
            <v>0</v>
          </cell>
          <cell r="AL457">
            <v>0</v>
          </cell>
          <cell r="AM457">
            <v>0</v>
          </cell>
          <cell r="AP457">
            <v>0</v>
          </cell>
          <cell r="AQ457">
            <v>0</v>
          </cell>
          <cell r="AR457">
            <v>0</v>
          </cell>
          <cell r="AV457">
            <v>0</v>
          </cell>
          <cell r="AW457">
            <v>0</v>
          </cell>
          <cell r="AY457">
            <v>0</v>
          </cell>
          <cell r="AZ457">
            <v>0</v>
          </cell>
          <cell r="BA457">
            <v>0</v>
          </cell>
          <cell r="BC457">
            <v>0</v>
          </cell>
          <cell r="BD457">
            <v>0</v>
          </cell>
          <cell r="BG457">
            <v>0</v>
          </cell>
          <cell r="BI457" t="str">
            <v>Forecast</v>
          </cell>
        </row>
        <row r="458">
          <cell r="B458" t="str">
            <v>Dec 2014</v>
          </cell>
          <cell r="C458" t="str">
            <v>GS</v>
          </cell>
          <cell r="D458" t="str">
            <v>GS</v>
          </cell>
          <cell r="E458" t="str">
            <v>KUCME710</v>
          </cell>
          <cell r="F458">
            <v>0</v>
          </cell>
          <cell r="G458">
            <v>0</v>
          </cell>
          <cell r="H458">
            <v>0</v>
          </cell>
          <cell r="I458">
            <v>0</v>
          </cell>
          <cell r="J458">
            <v>0</v>
          </cell>
          <cell r="K458">
            <v>0</v>
          </cell>
          <cell r="L458">
            <v>0</v>
          </cell>
          <cell r="M458">
            <v>0</v>
          </cell>
          <cell r="N458">
            <v>0</v>
          </cell>
          <cell r="O458">
            <v>0</v>
          </cell>
          <cell r="S458">
            <v>0</v>
          </cell>
          <cell r="T458">
            <v>0</v>
          </cell>
          <cell r="U458">
            <v>0</v>
          </cell>
          <cell r="V458">
            <v>0</v>
          </cell>
          <cell r="W458">
            <v>0</v>
          </cell>
          <cell r="X458">
            <v>0</v>
          </cell>
          <cell r="AL458">
            <v>0</v>
          </cell>
          <cell r="AM458">
            <v>0</v>
          </cell>
          <cell r="AP458">
            <v>0</v>
          </cell>
          <cell r="AQ458">
            <v>0</v>
          </cell>
          <cell r="AR458">
            <v>0</v>
          </cell>
          <cell r="AV458">
            <v>0</v>
          </cell>
          <cell r="AW458">
            <v>0</v>
          </cell>
          <cell r="AY458">
            <v>0</v>
          </cell>
          <cell r="AZ458">
            <v>0</v>
          </cell>
          <cell r="BA458">
            <v>0</v>
          </cell>
          <cell r="BC458">
            <v>0</v>
          </cell>
          <cell r="BD458">
            <v>0</v>
          </cell>
          <cell r="BG458">
            <v>0</v>
          </cell>
          <cell r="BI458" t="str">
            <v>Forecast</v>
          </cell>
        </row>
        <row r="459">
          <cell r="B459" t="str">
            <v>Dec 2014</v>
          </cell>
          <cell r="C459" t="str">
            <v>GS3</v>
          </cell>
          <cell r="D459" t="str">
            <v>GS3</v>
          </cell>
          <cell r="E459" t="str">
            <v>KUCME713</v>
          </cell>
          <cell r="F459">
            <v>0</v>
          </cell>
          <cell r="G459">
            <v>0</v>
          </cell>
          <cell r="H459">
            <v>0</v>
          </cell>
          <cell r="I459">
            <v>0</v>
          </cell>
          <cell r="J459">
            <v>0</v>
          </cell>
          <cell r="K459">
            <v>0</v>
          </cell>
          <cell r="L459">
            <v>0</v>
          </cell>
          <cell r="M459">
            <v>0</v>
          </cell>
          <cell r="N459">
            <v>0</v>
          </cell>
          <cell r="O459">
            <v>0</v>
          </cell>
          <cell r="S459">
            <v>0</v>
          </cell>
          <cell r="T459">
            <v>0</v>
          </cell>
          <cell r="U459">
            <v>0</v>
          </cell>
          <cell r="V459">
            <v>0</v>
          </cell>
          <cell r="W459">
            <v>0</v>
          </cell>
          <cell r="X459">
            <v>0</v>
          </cell>
          <cell r="AL459">
            <v>0</v>
          </cell>
          <cell r="AM459">
            <v>0</v>
          </cell>
          <cell r="AP459">
            <v>0</v>
          </cell>
          <cell r="AQ459">
            <v>0</v>
          </cell>
          <cell r="AR459">
            <v>0</v>
          </cell>
          <cell r="AV459">
            <v>0</v>
          </cell>
          <cell r="AW459">
            <v>0</v>
          </cell>
          <cell r="AY459">
            <v>0</v>
          </cell>
          <cell r="AZ459">
            <v>0</v>
          </cell>
          <cell r="BA459">
            <v>0</v>
          </cell>
          <cell r="BC459">
            <v>0</v>
          </cell>
          <cell r="BD459">
            <v>0</v>
          </cell>
          <cell r="BG459">
            <v>0</v>
          </cell>
          <cell r="BI459" t="str">
            <v>Forecast</v>
          </cell>
        </row>
        <row r="460">
          <cell r="B460" t="str">
            <v>Dec 2014</v>
          </cell>
          <cell r="C460" t="str">
            <v>CSR10</v>
          </cell>
          <cell r="D460" t="str">
            <v>CSR10</v>
          </cell>
          <cell r="E460" t="str">
            <v>KUCSR760</v>
          </cell>
          <cell r="F460">
            <v>0</v>
          </cell>
          <cell r="G460">
            <v>0</v>
          </cell>
          <cell r="H460">
            <v>0</v>
          </cell>
          <cell r="I460">
            <v>0</v>
          </cell>
          <cell r="J460">
            <v>0</v>
          </cell>
          <cell r="K460">
            <v>0</v>
          </cell>
          <cell r="L460">
            <v>0</v>
          </cell>
          <cell r="M460">
            <v>0</v>
          </cell>
          <cell r="N460">
            <v>0</v>
          </cell>
          <cell r="O460">
            <v>0</v>
          </cell>
          <cell r="S460">
            <v>0</v>
          </cell>
          <cell r="T460">
            <v>0</v>
          </cell>
          <cell r="U460">
            <v>0</v>
          </cell>
          <cell r="V460">
            <v>0</v>
          </cell>
          <cell r="W460">
            <v>0</v>
          </cell>
          <cell r="X460">
            <v>0</v>
          </cell>
          <cell r="AL460">
            <v>0</v>
          </cell>
          <cell r="AM460">
            <v>0</v>
          </cell>
          <cell r="AP460">
            <v>0</v>
          </cell>
          <cell r="AQ460">
            <v>0</v>
          </cell>
          <cell r="AR460">
            <v>0</v>
          </cell>
          <cell r="AV460">
            <v>0</v>
          </cell>
          <cell r="AW460">
            <v>0</v>
          </cell>
          <cell r="AY460">
            <v>0</v>
          </cell>
          <cell r="AZ460">
            <v>0</v>
          </cell>
          <cell r="BA460">
            <v>0</v>
          </cell>
          <cell r="BC460">
            <v>-989829</v>
          </cell>
          <cell r="BD460">
            <v>-989829</v>
          </cell>
          <cell r="BG460">
            <v>0</v>
          </cell>
          <cell r="BI460" t="str">
            <v>Forecast</v>
          </cell>
        </row>
        <row r="461">
          <cell r="B461" t="str">
            <v>Dec 2014</v>
          </cell>
          <cell r="C461" t="str">
            <v>CSR10</v>
          </cell>
          <cell r="D461" t="str">
            <v>CSR10</v>
          </cell>
          <cell r="E461" t="str">
            <v>KUCSR761</v>
          </cell>
          <cell r="F461">
            <v>0</v>
          </cell>
          <cell r="G461">
            <v>0</v>
          </cell>
          <cell r="H461">
            <v>0</v>
          </cell>
          <cell r="I461">
            <v>0</v>
          </cell>
          <cell r="J461">
            <v>0</v>
          </cell>
          <cell r="K461">
            <v>0</v>
          </cell>
          <cell r="L461">
            <v>0</v>
          </cell>
          <cell r="M461">
            <v>0</v>
          </cell>
          <cell r="N461">
            <v>0</v>
          </cell>
          <cell r="O461">
            <v>0</v>
          </cell>
          <cell r="S461">
            <v>0</v>
          </cell>
          <cell r="T461">
            <v>0</v>
          </cell>
          <cell r="U461">
            <v>0</v>
          </cell>
          <cell r="V461">
            <v>0</v>
          </cell>
          <cell r="W461">
            <v>0</v>
          </cell>
          <cell r="X461">
            <v>0</v>
          </cell>
          <cell r="AL461">
            <v>0</v>
          </cell>
          <cell r="AM461">
            <v>0</v>
          </cell>
          <cell r="AP461">
            <v>0</v>
          </cell>
          <cell r="AQ461">
            <v>0</v>
          </cell>
          <cell r="AR461">
            <v>0</v>
          </cell>
          <cell r="AV461">
            <v>0</v>
          </cell>
          <cell r="AW461">
            <v>0</v>
          </cell>
          <cell r="AY461">
            <v>0</v>
          </cell>
          <cell r="AZ461">
            <v>0</v>
          </cell>
          <cell r="BA461">
            <v>0</v>
          </cell>
          <cell r="BC461">
            <v>0</v>
          </cell>
          <cell r="BD461">
            <v>0</v>
          </cell>
          <cell r="BG461">
            <v>0</v>
          </cell>
          <cell r="BI461" t="str">
            <v>Forecast</v>
          </cell>
        </row>
        <row r="462">
          <cell r="B462" t="str">
            <v>Dec 2014</v>
          </cell>
          <cell r="C462" t="str">
            <v>CSR30</v>
          </cell>
          <cell r="D462" t="str">
            <v>CSR30</v>
          </cell>
          <cell r="E462" t="str">
            <v>KUCSR780</v>
          </cell>
          <cell r="F462">
            <v>0</v>
          </cell>
          <cell r="G462">
            <v>0</v>
          </cell>
          <cell r="H462">
            <v>0</v>
          </cell>
          <cell r="I462">
            <v>0</v>
          </cell>
          <cell r="J462">
            <v>0</v>
          </cell>
          <cell r="K462">
            <v>0</v>
          </cell>
          <cell r="L462">
            <v>0</v>
          </cell>
          <cell r="M462">
            <v>0</v>
          </cell>
          <cell r="N462">
            <v>0</v>
          </cell>
          <cell r="O462">
            <v>0</v>
          </cell>
          <cell r="S462">
            <v>0</v>
          </cell>
          <cell r="T462">
            <v>0</v>
          </cell>
          <cell r="U462">
            <v>0</v>
          </cell>
          <cell r="V462">
            <v>0</v>
          </cell>
          <cell r="W462">
            <v>0</v>
          </cell>
          <cell r="X462">
            <v>0</v>
          </cell>
          <cell r="AL462">
            <v>0</v>
          </cell>
          <cell r="AM462">
            <v>0</v>
          </cell>
          <cell r="AP462">
            <v>0</v>
          </cell>
          <cell r="AQ462">
            <v>0</v>
          </cell>
          <cell r="AR462">
            <v>0</v>
          </cell>
          <cell r="AV462">
            <v>0</v>
          </cell>
          <cell r="AW462">
            <v>0</v>
          </cell>
          <cell r="AY462">
            <v>0</v>
          </cell>
          <cell r="AZ462">
            <v>0</v>
          </cell>
          <cell r="BA462">
            <v>0</v>
          </cell>
          <cell r="BC462">
            <v>0</v>
          </cell>
          <cell r="BD462">
            <v>0</v>
          </cell>
          <cell r="BG462">
            <v>0</v>
          </cell>
          <cell r="BI462" t="str">
            <v>Forecast</v>
          </cell>
        </row>
        <row r="463">
          <cell r="B463" t="str">
            <v>Dec 2014</v>
          </cell>
          <cell r="C463" t="str">
            <v>CSR30</v>
          </cell>
          <cell r="D463" t="str">
            <v>CSR30</v>
          </cell>
          <cell r="E463" t="str">
            <v>KUCSR781</v>
          </cell>
          <cell r="F463">
            <v>0</v>
          </cell>
          <cell r="G463">
            <v>0</v>
          </cell>
          <cell r="H463">
            <v>0</v>
          </cell>
          <cell r="I463">
            <v>0</v>
          </cell>
          <cell r="J463">
            <v>0</v>
          </cell>
          <cell r="K463">
            <v>0</v>
          </cell>
          <cell r="L463">
            <v>0</v>
          </cell>
          <cell r="M463">
            <v>0</v>
          </cell>
          <cell r="N463">
            <v>0</v>
          </cell>
          <cell r="O463">
            <v>0</v>
          </cell>
          <cell r="S463">
            <v>0</v>
          </cell>
          <cell r="T463">
            <v>0</v>
          </cell>
          <cell r="U463">
            <v>0</v>
          </cell>
          <cell r="V463">
            <v>0</v>
          </cell>
          <cell r="W463">
            <v>0</v>
          </cell>
          <cell r="X463">
            <v>0</v>
          </cell>
          <cell r="AL463">
            <v>0</v>
          </cell>
          <cell r="AM463">
            <v>0</v>
          </cell>
          <cell r="AP463">
            <v>0</v>
          </cell>
          <cell r="AQ463">
            <v>0</v>
          </cell>
          <cell r="AR463">
            <v>0</v>
          </cell>
          <cell r="AV463">
            <v>0</v>
          </cell>
          <cell r="AW463">
            <v>0</v>
          </cell>
          <cell r="AY463">
            <v>0</v>
          </cell>
          <cell r="AZ463">
            <v>0</v>
          </cell>
          <cell r="BA463">
            <v>0</v>
          </cell>
          <cell r="BC463">
            <v>0</v>
          </cell>
          <cell r="BD463">
            <v>0</v>
          </cell>
          <cell r="BG463">
            <v>0</v>
          </cell>
          <cell r="BI463" t="str">
            <v>Forecast</v>
          </cell>
        </row>
        <row r="464">
          <cell r="B464" t="str">
            <v>Dec 2014</v>
          </cell>
          <cell r="C464" t="str">
            <v>CSR30</v>
          </cell>
          <cell r="D464" t="str">
            <v>CSR30</v>
          </cell>
          <cell r="E464" t="str">
            <v>KUCSR783</v>
          </cell>
          <cell r="F464">
            <v>0</v>
          </cell>
          <cell r="G464">
            <v>0</v>
          </cell>
          <cell r="H464">
            <v>0</v>
          </cell>
          <cell r="I464">
            <v>0</v>
          </cell>
          <cell r="J464">
            <v>0</v>
          </cell>
          <cell r="K464">
            <v>0</v>
          </cell>
          <cell r="L464">
            <v>0</v>
          </cell>
          <cell r="M464">
            <v>0</v>
          </cell>
          <cell r="N464">
            <v>0</v>
          </cell>
          <cell r="O464">
            <v>0</v>
          </cell>
          <cell r="S464">
            <v>0</v>
          </cell>
          <cell r="T464">
            <v>0</v>
          </cell>
          <cell r="U464">
            <v>0</v>
          </cell>
          <cell r="V464">
            <v>0</v>
          </cell>
          <cell r="W464">
            <v>0</v>
          </cell>
          <cell r="X464">
            <v>0</v>
          </cell>
          <cell r="AL464">
            <v>0</v>
          </cell>
          <cell r="AM464">
            <v>0</v>
          </cell>
          <cell r="AP464">
            <v>0</v>
          </cell>
          <cell r="AQ464">
            <v>0</v>
          </cell>
          <cell r="AR464">
            <v>0</v>
          </cell>
          <cell r="AV464">
            <v>0</v>
          </cell>
          <cell r="AW464">
            <v>0</v>
          </cell>
          <cell r="AY464">
            <v>0</v>
          </cell>
          <cell r="AZ464">
            <v>0</v>
          </cell>
          <cell r="BA464">
            <v>0</v>
          </cell>
          <cell r="BC464">
            <v>0</v>
          </cell>
          <cell r="BD464">
            <v>0</v>
          </cell>
          <cell r="BG464">
            <v>0</v>
          </cell>
          <cell r="BI464" t="str">
            <v>Forecast</v>
          </cell>
        </row>
        <row r="465">
          <cell r="B465" t="str">
            <v>Dec 2014</v>
          </cell>
          <cell r="C465" t="str">
            <v>FLS</v>
          </cell>
          <cell r="D465" t="str">
            <v>FLST</v>
          </cell>
          <cell r="E465" t="str">
            <v>KUINE730</v>
          </cell>
          <cell r="F465">
            <v>1</v>
          </cell>
          <cell r="G465">
            <v>0</v>
          </cell>
          <cell r="H465">
            <v>0</v>
          </cell>
          <cell r="I465">
            <v>0</v>
          </cell>
          <cell r="J465">
            <v>0</v>
          </cell>
          <cell r="K465">
            <v>48145895</v>
          </cell>
          <cell r="L465">
            <v>0</v>
          </cell>
          <cell r="M465">
            <v>185157.6</v>
          </cell>
          <cell r="N465">
            <v>185157.6</v>
          </cell>
          <cell r="O465">
            <v>101387.6</v>
          </cell>
          <cell r="S465">
            <v>0</v>
          </cell>
          <cell r="T465">
            <v>0</v>
          </cell>
          <cell r="U465">
            <v>0</v>
          </cell>
          <cell r="V465">
            <v>0</v>
          </cell>
          <cell r="W465">
            <v>0</v>
          </cell>
          <cell r="X465">
            <v>0</v>
          </cell>
          <cell r="AL465">
            <v>0</v>
          </cell>
          <cell r="AM465">
            <v>0</v>
          </cell>
          <cell r="AP465">
            <v>0</v>
          </cell>
          <cell r="AQ465">
            <v>0</v>
          </cell>
          <cell r="AR465">
            <v>0</v>
          </cell>
          <cell r="AV465">
            <v>2290986.79</v>
          </cell>
          <cell r="AW465">
            <v>2290987</v>
          </cell>
          <cell r="AY465">
            <v>173957</v>
          </cell>
          <cell r="AZ465">
            <v>0</v>
          </cell>
          <cell r="BA465">
            <v>153067</v>
          </cell>
          <cell r="BC465">
            <v>0</v>
          </cell>
          <cell r="BD465">
            <v>2618011</v>
          </cell>
          <cell r="BG465">
            <v>1392379.28</v>
          </cell>
          <cell r="BI465" t="str">
            <v>Forecast</v>
          </cell>
        </row>
        <row r="466">
          <cell r="B466" t="str">
            <v>Dec 2014</v>
          </cell>
          <cell r="C466" t="str">
            <v>RS</v>
          </cell>
          <cell r="D466" t="str">
            <v>RS</v>
          </cell>
          <cell r="E466" t="str">
            <v>KURSE010</v>
          </cell>
          <cell r="F466">
            <v>427974</v>
          </cell>
          <cell r="G466">
            <v>0</v>
          </cell>
          <cell r="H466">
            <v>0</v>
          </cell>
          <cell r="I466">
            <v>0</v>
          </cell>
          <cell r="J466">
            <v>0</v>
          </cell>
          <cell r="K466">
            <v>595382951</v>
          </cell>
          <cell r="L466">
            <v>0</v>
          </cell>
          <cell r="M466">
            <v>0</v>
          </cell>
          <cell r="N466">
            <v>0</v>
          </cell>
          <cell r="O466">
            <v>0</v>
          </cell>
          <cell r="S466">
            <v>0</v>
          </cell>
          <cell r="T466">
            <v>0</v>
          </cell>
          <cell r="U466">
            <v>0</v>
          </cell>
          <cell r="V466">
            <v>0</v>
          </cell>
          <cell r="W466">
            <v>0</v>
          </cell>
          <cell r="X466">
            <v>0</v>
          </cell>
          <cell r="AL466">
            <v>0</v>
          </cell>
          <cell r="AM466">
            <v>0</v>
          </cell>
          <cell r="AP466">
            <v>0</v>
          </cell>
          <cell r="AQ466">
            <v>0</v>
          </cell>
          <cell r="AR466">
            <v>0</v>
          </cell>
          <cell r="AV466">
            <v>50707176.229999997</v>
          </cell>
          <cell r="AW466">
            <v>50707175</v>
          </cell>
          <cell r="AY466">
            <v>2151186</v>
          </cell>
          <cell r="AZ466">
            <v>1266130</v>
          </cell>
          <cell r="BA466">
            <v>1892864</v>
          </cell>
          <cell r="BC466">
            <v>0</v>
          </cell>
          <cell r="BD466">
            <v>56017355</v>
          </cell>
          <cell r="BG466">
            <v>17218474.940000001</v>
          </cell>
          <cell r="BI466" t="str">
            <v>Forecast</v>
          </cell>
        </row>
        <row r="467">
          <cell r="B467" t="str">
            <v>Dec 2014</v>
          </cell>
          <cell r="C467" t="str">
            <v>RS</v>
          </cell>
          <cell r="D467" t="str">
            <v>RS</v>
          </cell>
          <cell r="E467" t="str">
            <v>KURSE020</v>
          </cell>
          <cell r="F467">
            <v>0</v>
          </cell>
          <cell r="G467">
            <v>0</v>
          </cell>
          <cell r="H467">
            <v>0</v>
          </cell>
          <cell r="I467">
            <v>0</v>
          </cell>
          <cell r="J467">
            <v>0</v>
          </cell>
          <cell r="K467">
            <v>0</v>
          </cell>
          <cell r="L467">
            <v>0</v>
          </cell>
          <cell r="M467">
            <v>0</v>
          </cell>
          <cell r="N467">
            <v>0</v>
          </cell>
          <cell r="O467">
            <v>0</v>
          </cell>
          <cell r="S467">
            <v>0</v>
          </cell>
          <cell r="T467">
            <v>0</v>
          </cell>
          <cell r="U467">
            <v>0</v>
          </cell>
          <cell r="V467">
            <v>0</v>
          </cell>
          <cell r="W467">
            <v>0</v>
          </cell>
          <cell r="X467">
            <v>0</v>
          </cell>
          <cell r="AL467">
            <v>0</v>
          </cell>
          <cell r="AM467">
            <v>0</v>
          </cell>
          <cell r="AP467">
            <v>0</v>
          </cell>
          <cell r="AQ467">
            <v>0</v>
          </cell>
          <cell r="AR467">
            <v>0</v>
          </cell>
          <cell r="AV467">
            <v>0</v>
          </cell>
          <cell r="AW467">
            <v>0</v>
          </cell>
          <cell r="AY467">
            <v>0</v>
          </cell>
          <cell r="AZ467">
            <v>0</v>
          </cell>
          <cell r="BA467">
            <v>0</v>
          </cell>
          <cell r="BC467">
            <v>0</v>
          </cell>
          <cell r="BD467">
            <v>0</v>
          </cell>
          <cell r="BG467">
            <v>0</v>
          </cell>
          <cell r="BI467" t="str">
            <v>Forecast</v>
          </cell>
        </row>
        <row r="468">
          <cell r="B468" t="str">
            <v>Dec 2014</v>
          </cell>
          <cell r="C468" t="str">
            <v>RS</v>
          </cell>
          <cell r="D468" t="str">
            <v>RS</v>
          </cell>
          <cell r="E468" t="str">
            <v>KURSE025</v>
          </cell>
          <cell r="F468">
            <v>0</v>
          </cell>
          <cell r="G468">
            <v>0</v>
          </cell>
          <cell r="H468">
            <v>0</v>
          </cell>
          <cell r="I468">
            <v>0</v>
          </cell>
          <cell r="J468">
            <v>0</v>
          </cell>
          <cell r="K468">
            <v>0</v>
          </cell>
          <cell r="L468">
            <v>0</v>
          </cell>
          <cell r="M468">
            <v>0</v>
          </cell>
          <cell r="N468">
            <v>0</v>
          </cell>
          <cell r="O468">
            <v>0</v>
          </cell>
          <cell r="S468">
            <v>0</v>
          </cell>
          <cell r="T468">
            <v>0</v>
          </cell>
          <cell r="U468">
            <v>0</v>
          </cell>
          <cell r="V468">
            <v>0</v>
          </cell>
          <cell r="W468">
            <v>0</v>
          </cell>
          <cell r="X468">
            <v>0</v>
          </cell>
          <cell r="AL468">
            <v>0</v>
          </cell>
          <cell r="AM468">
            <v>0</v>
          </cell>
          <cell r="AP468">
            <v>0</v>
          </cell>
          <cell r="AQ468">
            <v>0</v>
          </cell>
          <cell r="AR468">
            <v>0</v>
          </cell>
          <cell r="AV468">
            <v>0</v>
          </cell>
          <cell r="AW468">
            <v>0</v>
          </cell>
          <cell r="AY468">
            <v>0</v>
          </cell>
          <cell r="AZ468">
            <v>0</v>
          </cell>
          <cell r="BA468">
            <v>0</v>
          </cell>
          <cell r="BC468">
            <v>0</v>
          </cell>
          <cell r="BD468">
            <v>0</v>
          </cell>
          <cell r="BG468">
            <v>0</v>
          </cell>
          <cell r="BI468" t="str">
            <v>Forecast</v>
          </cell>
        </row>
        <row r="469">
          <cell r="B469" t="str">
            <v>Dec 2014</v>
          </cell>
          <cell r="C469" t="str">
            <v>LEV</v>
          </cell>
          <cell r="D469" t="str">
            <v>RSLEV</v>
          </cell>
          <cell r="E469" t="str">
            <v>KURSE040</v>
          </cell>
          <cell r="F469">
            <v>0</v>
          </cell>
          <cell r="G469">
            <v>0</v>
          </cell>
          <cell r="H469">
            <v>0</v>
          </cell>
          <cell r="I469">
            <v>0</v>
          </cell>
          <cell r="J469">
            <v>0</v>
          </cell>
          <cell r="K469">
            <v>0</v>
          </cell>
          <cell r="L469">
            <v>0</v>
          </cell>
          <cell r="M469">
            <v>0</v>
          </cell>
          <cell r="N469">
            <v>0</v>
          </cell>
          <cell r="O469">
            <v>0</v>
          </cell>
          <cell r="S469">
            <v>0</v>
          </cell>
          <cell r="T469">
            <v>0</v>
          </cell>
          <cell r="U469">
            <v>0</v>
          </cell>
          <cell r="V469">
            <v>0</v>
          </cell>
          <cell r="W469">
            <v>0</v>
          </cell>
          <cell r="X469">
            <v>0</v>
          </cell>
          <cell r="AL469">
            <v>0</v>
          </cell>
          <cell r="AM469">
            <v>0</v>
          </cell>
          <cell r="AP469">
            <v>0</v>
          </cell>
          <cell r="AQ469">
            <v>0</v>
          </cell>
          <cell r="AR469">
            <v>0</v>
          </cell>
          <cell r="AV469">
            <v>0</v>
          </cell>
          <cell r="AW469">
            <v>0</v>
          </cell>
          <cell r="AY469">
            <v>0</v>
          </cell>
          <cell r="AZ469">
            <v>0</v>
          </cell>
          <cell r="BA469">
            <v>0</v>
          </cell>
          <cell r="BC469">
            <v>0</v>
          </cell>
          <cell r="BD469">
            <v>0</v>
          </cell>
          <cell r="BG469">
            <v>0</v>
          </cell>
          <cell r="BI469" t="str">
            <v>Forecast</v>
          </cell>
        </row>
        <row r="470">
          <cell r="B470" t="str">
            <v>Dec 2014</v>
          </cell>
          <cell r="C470" t="str">
            <v>RS</v>
          </cell>
          <cell r="D470" t="str">
            <v>RSVFD</v>
          </cell>
          <cell r="E470" t="str">
            <v>KURSE080</v>
          </cell>
          <cell r="F470">
            <v>0</v>
          </cell>
          <cell r="G470">
            <v>0</v>
          </cell>
          <cell r="H470">
            <v>0</v>
          </cell>
          <cell r="I470">
            <v>0</v>
          </cell>
          <cell r="J470">
            <v>0</v>
          </cell>
          <cell r="K470">
            <v>0</v>
          </cell>
          <cell r="L470">
            <v>0</v>
          </cell>
          <cell r="M470">
            <v>0</v>
          </cell>
          <cell r="N470">
            <v>0</v>
          </cell>
          <cell r="O470">
            <v>0</v>
          </cell>
          <cell r="S470">
            <v>0</v>
          </cell>
          <cell r="T470">
            <v>0</v>
          </cell>
          <cell r="U470">
            <v>0</v>
          </cell>
          <cell r="V470">
            <v>0</v>
          </cell>
          <cell r="W470">
            <v>0</v>
          </cell>
          <cell r="X470">
            <v>0</v>
          </cell>
          <cell r="AL470">
            <v>0</v>
          </cell>
          <cell r="AM470">
            <v>0</v>
          </cell>
          <cell r="AP470">
            <v>0</v>
          </cell>
          <cell r="AQ470">
            <v>0</v>
          </cell>
          <cell r="AR470">
            <v>0</v>
          </cell>
          <cell r="AV470">
            <v>0</v>
          </cell>
          <cell r="AW470">
            <v>0</v>
          </cell>
          <cell r="AY470">
            <v>0</v>
          </cell>
          <cell r="AZ470">
            <v>0</v>
          </cell>
          <cell r="BA470">
            <v>0</v>
          </cell>
          <cell r="BC470">
            <v>0</v>
          </cell>
          <cell r="BD470">
            <v>0</v>
          </cell>
          <cell r="BG470">
            <v>0</v>
          </cell>
          <cell r="BI470" t="str">
            <v>Forecast</v>
          </cell>
        </row>
        <row r="471">
          <cell r="B471" t="str">
            <v>Dec 2014</v>
          </cell>
          <cell r="C471" t="str">
            <v>RS</v>
          </cell>
          <cell r="D471" t="str">
            <v>RS</v>
          </cell>
          <cell r="E471" t="str">
            <v>KURSE715</v>
          </cell>
          <cell r="F471">
            <v>0</v>
          </cell>
          <cell r="G471">
            <v>0</v>
          </cell>
          <cell r="H471">
            <v>0</v>
          </cell>
          <cell r="I471">
            <v>0</v>
          </cell>
          <cell r="J471">
            <v>0</v>
          </cell>
          <cell r="K471">
            <v>0</v>
          </cell>
          <cell r="L471">
            <v>0</v>
          </cell>
          <cell r="M471">
            <v>0</v>
          </cell>
          <cell r="N471">
            <v>0</v>
          </cell>
          <cell r="O471">
            <v>0</v>
          </cell>
          <cell r="S471">
            <v>0</v>
          </cell>
          <cell r="T471">
            <v>0</v>
          </cell>
          <cell r="U471">
            <v>0</v>
          </cell>
          <cell r="V471">
            <v>0</v>
          </cell>
          <cell r="W471">
            <v>0</v>
          </cell>
          <cell r="X471">
            <v>0</v>
          </cell>
          <cell r="AL471">
            <v>0</v>
          </cell>
          <cell r="AM471">
            <v>0</v>
          </cell>
          <cell r="AP471">
            <v>0</v>
          </cell>
          <cell r="AQ471">
            <v>0</v>
          </cell>
          <cell r="AR471">
            <v>0</v>
          </cell>
          <cell r="AV471">
            <v>0</v>
          </cell>
          <cell r="AW471">
            <v>0</v>
          </cell>
          <cell r="AY471">
            <v>0</v>
          </cell>
          <cell r="AZ471">
            <v>0</v>
          </cell>
          <cell r="BA471">
            <v>0</v>
          </cell>
          <cell r="BC471">
            <v>0</v>
          </cell>
          <cell r="BD471">
            <v>0</v>
          </cell>
          <cell r="BG471">
            <v>0</v>
          </cell>
          <cell r="BI471" t="str">
            <v>Forecast</v>
          </cell>
        </row>
      </sheetData>
      <sheetData sheetId="17">
        <row r="2">
          <cell r="B2" t="str">
            <v>Jan 2015</v>
          </cell>
          <cell r="C2" t="str">
            <v>LS</v>
          </cell>
          <cell r="D2" t="str">
            <v>KUUM_300</v>
          </cell>
          <cell r="E2">
            <v>0</v>
          </cell>
          <cell r="F2">
            <v>0</v>
          </cell>
          <cell r="G2">
            <v>0</v>
          </cell>
          <cell r="H2">
            <v>0</v>
          </cell>
          <cell r="L2">
            <v>0</v>
          </cell>
          <cell r="N2">
            <v>0</v>
          </cell>
          <cell r="O2">
            <v>0</v>
          </cell>
          <cell r="Q2">
            <v>0</v>
          </cell>
          <cell r="S2">
            <v>0</v>
          </cell>
          <cell r="U2">
            <v>0</v>
          </cell>
          <cell r="Y2">
            <v>0</v>
          </cell>
          <cell r="AE2" t="str">
            <v>20140101KUUM_300</v>
          </cell>
        </row>
        <row r="3">
          <cell r="B3" t="str">
            <v>Jan 2015</v>
          </cell>
          <cell r="C3" t="str">
            <v>LS</v>
          </cell>
          <cell r="D3" t="str">
            <v>KUUM_301</v>
          </cell>
          <cell r="E3">
            <v>0</v>
          </cell>
          <cell r="F3">
            <v>0</v>
          </cell>
          <cell r="G3">
            <v>0</v>
          </cell>
          <cell r="H3">
            <v>0</v>
          </cell>
          <cell r="L3">
            <v>0</v>
          </cell>
          <cell r="N3">
            <v>0</v>
          </cell>
          <cell r="O3">
            <v>0</v>
          </cell>
          <cell r="Q3">
            <v>0</v>
          </cell>
          <cell r="S3">
            <v>0</v>
          </cell>
          <cell r="U3">
            <v>0</v>
          </cell>
          <cell r="Y3">
            <v>0</v>
          </cell>
          <cell r="AE3" t="str">
            <v>20140101KUUM_301</v>
          </cell>
        </row>
        <row r="4">
          <cell r="B4" t="str">
            <v>Jan 2015</v>
          </cell>
          <cell r="C4" t="str">
            <v>LS</v>
          </cell>
          <cell r="D4" t="str">
            <v>KUUM_360</v>
          </cell>
          <cell r="E4">
            <v>172</v>
          </cell>
          <cell r="F4">
            <v>0</v>
          </cell>
          <cell r="G4">
            <v>0</v>
          </cell>
          <cell r="H4">
            <v>0</v>
          </cell>
          <cell r="L4">
            <v>0</v>
          </cell>
          <cell r="N4">
            <v>9516.76</v>
          </cell>
          <cell r="O4">
            <v>0</v>
          </cell>
          <cell r="Q4">
            <v>0</v>
          </cell>
          <cell r="S4">
            <v>0</v>
          </cell>
          <cell r="U4">
            <v>0</v>
          </cell>
          <cell r="Y4">
            <v>301</v>
          </cell>
          <cell r="AE4" t="str">
            <v>20140101KUUM_360</v>
          </cell>
        </row>
        <row r="5">
          <cell r="B5" t="str">
            <v>Jan 2015</v>
          </cell>
          <cell r="C5" t="str">
            <v>LS</v>
          </cell>
          <cell r="D5" t="str">
            <v>KUUM_361</v>
          </cell>
          <cell r="E5">
            <v>26</v>
          </cell>
          <cell r="F5">
            <v>0</v>
          </cell>
          <cell r="G5">
            <v>0</v>
          </cell>
          <cell r="H5">
            <v>0</v>
          </cell>
          <cell r="L5">
            <v>0</v>
          </cell>
          <cell r="N5">
            <v>2162.16</v>
          </cell>
          <cell r="O5">
            <v>0</v>
          </cell>
          <cell r="Q5">
            <v>0</v>
          </cell>
          <cell r="S5">
            <v>0</v>
          </cell>
          <cell r="U5">
            <v>0</v>
          </cell>
          <cell r="Y5">
            <v>45.5</v>
          </cell>
          <cell r="AE5" t="str">
            <v>20140101KUUM_361</v>
          </cell>
        </row>
        <row r="6">
          <cell r="B6" t="str">
            <v>Jan 2015</v>
          </cell>
          <cell r="C6" t="str">
            <v>LS</v>
          </cell>
          <cell r="D6" t="str">
            <v>KUUM_362</v>
          </cell>
          <cell r="E6">
            <v>44</v>
          </cell>
          <cell r="F6">
            <v>0</v>
          </cell>
          <cell r="G6">
            <v>0</v>
          </cell>
          <cell r="H6">
            <v>0</v>
          </cell>
          <cell r="L6">
            <v>0</v>
          </cell>
          <cell r="N6">
            <v>2630.32</v>
          </cell>
          <cell r="O6">
            <v>0</v>
          </cell>
          <cell r="Q6">
            <v>0</v>
          </cell>
          <cell r="S6">
            <v>0</v>
          </cell>
          <cell r="U6">
            <v>0</v>
          </cell>
          <cell r="Y6">
            <v>77</v>
          </cell>
          <cell r="AE6" t="str">
            <v>20140101KUUM_362</v>
          </cell>
        </row>
        <row r="7">
          <cell r="B7" t="str">
            <v>Jan 2015</v>
          </cell>
          <cell r="C7" t="str">
            <v>LS</v>
          </cell>
          <cell r="D7" t="str">
            <v>KUUM_363</v>
          </cell>
          <cell r="E7">
            <v>5</v>
          </cell>
          <cell r="F7">
            <v>0</v>
          </cell>
          <cell r="G7">
            <v>0</v>
          </cell>
          <cell r="H7">
            <v>0</v>
          </cell>
          <cell r="L7">
            <v>0</v>
          </cell>
          <cell r="N7">
            <v>308.75</v>
          </cell>
          <cell r="O7">
            <v>0</v>
          </cell>
          <cell r="Q7">
            <v>0</v>
          </cell>
          <cell r="S7">
            <v>0</v>
          </cell>
          <cell r="U7">
            <v>0</v>
          </cell>
          <cell r="Y7">
            <v>8.75</v>
          </cell>
          <cell r="AE7" t="str">
            <v>20140101KUUM_363</v>
          </cell>
        </row>
        <row r="8">
          <cell r="B8" t="str">
            <v>Jan 2015</v>
          </cell>
          <cell r="C8" t="str">
            <v>LS</v>
          </cell>
          <cell r="D8" t="str">
            <v>KUUM_364</v>
          </cell>
          <cell r="E8">
            <v>1</v>
          </cell>
          <cell r="F8">
            <v>0</v>
          </cell>
          <cell r="G8">
            <v>0</v>
          </cell>
          <cell r="H8">
            <v>0</v>
          </cell>
          <cell r="L8">
            <v>0</v>
          </cell>
          <cell r="N8">
            <v>63.11</v>
          </cell>
          <cell r="O8">
            <v>0</v>
          </cell>
          <cell r="Q8">
            <v>0</v>
          </cell>
          <cell r="S8">
            <v>0</v>
          </cell>
          <cell r="U8">
            <v>0</v>
          </cell>
          <cell r="Y8">
            <v>1.75</v>
          </cell>
          <cell r="AE8" t="str">
            <v>20140101KUUM_364</v>
          </cell>
        </row>
        <row r="9">
          <cell r="B9" t="str">
            <v>Jan 2015</v>
          </cell>
          <cell r="C9" t="str">
            <v>LS</v>
          </cell>
          <cell r="D9" t="str">
            <v>KUUM_365</v>
          </cell>
          <cell r="E9">
            <v>5</v>
          </cell>
          <cell r="F9">
            <v>0</v>
          </cell>
          <cell r="G9">
            <v>0</v>
          </cell>
          <cell r="H9">
            <v>0</v>
          </cell>
          <cell r="L9">
            <v>0</v>
          </cell>
          <cell r="N9">
            <v>404.7</v>
          </cell>
          <cell r="O9">
            <v>0</v>
          </cell>
          <cell r="Q9">
            <v>0</v>
          </cell>
          <cell r="S9">
            <v>0</v>
          </cell>
          <cell r="U9">
            <v>0</v>
          </cell>
          <cell r="Y9">
            <v>8.75</v>
          </cell>
          <cell r="AE9" t="str">
            <v>20140101KUUM_365</v>
          </cell>
        </row>
        <row r="10">
          <cell r="B10" t="str">
            <v>Jan 2015</v>
          </cell>
          <cell r="C10" t="str">
            <v>LS</v>
          </cell>
          <cell r="D10" t="str">
            <v>KUUM_366</v>
          </cell>
          <cell r="E10">
            <v>10</v>
          </cell>
          <cell r="F10">
            <v>0</v>
          </cell>
          <cell r="G10">
            <v>0</v>
          </cell>
          <cell r="H10">
            <v>0</v>
          </cell>
          <cell r="L10">
            <v>0</v>
          </cell>
          <cell r="N10">
            <v>789.7</v>
          </cell>
          <cell r="O10">
            <v>0</v>
          </cell>
          <cell r="Q10">
            <v>0</v>
          </cell>
          <cell r="S10">
            <v>0</v>
          </cell>
          <cell r="U10">
            <v>0</v>
          </cell>
          <cell r="Y10">
            <v>17.5</v>
          </cell>
          <cell r="AE10" t="str">
            <v>20140101KUUM_366</v>
          </cell>
        </row>
        <row r="11">
          <cell r="B11" t="str">
            <v>Jan 2015</v>
          </cell>
          <cell r="C11" t="str">
            <v>LS</v>
          </cell>
          <cell r="D11" t="str">
            <v>KUUM_367</v>
          </cell>
          <cell r="E11">
            <v>24</v>
          </cell>
          <cell r="F11">
            <v>0</v>
          </cell>
          <cell r="G11">
            <v>0</v>
          </cell>
          <cell r="H11">
            <v>0</v>
          </cell>
          <cell r="L11">
            <v>0</v>
          </cell>
          <cell r="N11">
            <v>1469.52</v>
          </cell>
          <cell r="O11">
            <v>0</v>
          </cell>
          <cell r="Q11">
            <v>0</v>
          </cell>
          <cell r="S11">
            <v>0</v>
          </cell>
          <cell r="U11">
            <v>0</v>
          </cell>
          <cell r="Y11">
            <v>42</v>
          </cell>
          <cell r="AE11" t="str">
            <v>20140101KUUM_367</v>
          </cell>
        </row>
        <row r="12">
          <cell r="B12" t="str">
            <v>Jan 2015</v>
          </cell>
          <cell r="C12" t="str">
            <v>LS</v>
          </cell>
          <cell r="D12" t="str">
            <v>KUUM_368</v>
          </cell>
          <cell r="E12">
            <v>1</v>
          </cell>
          <cell r="F12">
            <v>0</v>
          </cell>
          <cell r="G12">
            <v>0</v>
          </cell>
          <cell r="H12">
            <v>0</v>
          </cell>
          <cell r="L12">
            <v>0</v>
          </cell>
          <cell r="N12">
            <v>56.69</v>
          </cell>
          <cell r="O12">
            <v>0</v>
          </cell>
          <cell r="Q12">
            <v>0</v>
          </cell>
          <cell r="S12">
            <v>0</v>
          </cell>
          <cell r="U12">
            <v>0</v>
          </cell>
          <cell r="Y12">
            <v>1.75</v>
          </cell>
          <cell r="AE12" t="str">
            <v>20140101KUUM_368</v>
          </cell>
        </row>
        <row r="13">
          <cell r="B13" t="str">
            <v>Jan 2015</v>
          </cell>
          <cell r="C13" t="str">
            <v>LS</v>
          </cell>
          <cell r="D13" t="str">
            <v>KUUM_370</v>
          </cell>
          <cell r="E13">
            <v>16</v>
          </cell>
          <cell r="F13">
            <v>0</v>
          </cell>
          <cell r="G13">
            <v>0</v>
          </cell>
          <cell r="H13">
            <v>0</v>
          </cell>
          <cell r="L13">
            <v>0</v>
          </cell>
          <cell r="N13">
            <v>1192.32</v>
          </cell>
          <cell r="O13">
            <v>0</v>
          </cell>
          <cell r="Q13">
            <v>0</v>
          </cell>
          <cell r="S13">
            <v>0</v>
          </cell>
          <cell r="U13">
            <v>0</v>
          </cell>
          <cell r="Y13">
            <v>28</v>
          </cell>
          <cell r="AE13" t="str">
            <v>20140101KUUM_370</v>
          </cell>
        </row>
        <row r="14">
          <cell r="B14" t="str">
            <v>Jan 2015</v>
          </cell>
          <cell r="C14" t="str">
            <v>LS</v>
          </cell>
          <cell r="D14" t="str">
            <v>KUUM_372</v>
          </cell>
          <cell r="E14">
            <v>1</v>
          </cell>
          <cell r="F14">
            <v>0</v>
          </cell>
          <cell r="G14">
            <v>0</v>
          </cell>
          <cell r="H14">
            <v>0</v>
          </cell>
          <cell r="L14">
            <v>0</v>
          </cell>
          <cell r="N14">
            <v>82.3</v>
          </cell>
          <cell r="O14">
            <v>0</v>
          </cell>
          <cell r="Q14">
            <v>0</v>
          </cell>
          <cell r="S14">
            <v>0</v>
          </cell>
          <cell r="U14">
            <v>0</v>
          </cell>
          <cell r="Y14">
            <v>1.75</v>
          </cell>
          <cell r="AE14" t="str">
            <v>20140101KUUM_372</v>
          </cell>
        </row>
        <row r="15">
          <cell r="B15" t="str">
            <v>Jan 2015</v>
          </cell>
          <cell r="C15" t="str">
            <v>LS</v>
          </cell>
          <cell r="D15" t="str">
            <v>KUUM_373</v>
          </cell>
          <cell r="E15">
            <v>19</v>
          </cell>
          <cell r="F15">
            <v>0</v>
          </cell>
          <cell r="G15">
            <v>0</v>
          </cell>
          <cell r="H15">
            <v>0</v>
          </cell>
          <cell r="L15">
            <v>0</v>
          </cell>
          <cell r="N15">
            <v>1415.88</v>
          </cell>
          <cell r="O15">
            <v>0</v>
          </cell>
          <cell r="Q15">
            <v>0</v>
          </cell>
          <cell r="S15">
            <v>0</v>
          </cell>
          <cell r="U15">
            <v>0</v>
          </cell>
          <cell r="Y15">
            <v>33.25</v>
          </cell>
          <cell r="AE15" t="str">
            <v>20140101KUUM_373</v>
          </cell>
        </row>
        <row r="16">
          <cell r="B16" t="str">
            <v>Jan 2015</v>
          </cell>
          <cell r="C16" t="str">
            <v>LS</v>
          </cell>
          <cell r="D16" t="str">
            <v>KUUM_374</v>
          </cell>
          <cell r="E16">
            <v>4</v>
          </cell>
          <cell r="F16">
            <v>0</v>
          </cell>
          <cell r="G16">
            <v>0</v>
          </cell>
          <cell r="H16">
            <v>0</v>
          </cell>
          <cell r="L16">
            <v>0</v>
          </cell>
          <cell r="N16">
            <v>303.52</v>
          </cell>
          <cell r="O16">
            <v>0</v>
          </cell>
          <cell r="Q16">
            <v>0</v>
          </cell>
          <cell r="S16">
            <v>0</v>
          </cell>
          <cell r="U16">
            <v>0</v>
          </cell>
          <cell r="Y16">
            <v>7</v>
          </cell>
          <cell r="AE16" t="str">
            <v>20140101KUUM_374</v>
          </cell>
        </row>
        <row r="17">
          <cell r="B17" t="str">
            <v>Jan 2015</v>
          </cell>
          <cell r="C17" t="str">
            <v>LS</v>
          </cell>
          <cell r="D17" t="str">
            <v>KUUM_375</v>
          </cell>
          <cell r="E17">
            <v>3</v>
          </cell>
          <cell r="F17">
            <v>0</v>
          </cell>
          <cell r="G17">
            <v>0</v>
          </cell>
          <cell r="H17">
            <v>0</v>
          </cell>
          <cell r="L17">
            <v>0</v>
          </cell>
          <cell r="N17">
            <v>236.91</v>
          </cell>
          <cell r="O17">
            <v>0</v>
          </cell>
          <cell r="Q17">
            <v>0</v>
          </cell>
          <cell r="S17">
            <v>0</v>
          </cell>
          <cell r="U17">
            <v>0</v>
          </cell>
          <cell r="Y17">
            <v>5.25</v>
          </cell>
          <cell r="AE17" t="str">
            <v>20140101KUUM_375</v>
          </cell>
        </row>
        <row r="18">
          <cell r="B18" t="str">
            <v>Jan 2015</v>
          </cell>
          <cell r="C18" t="str">
            <v>LS</v>
          </cell>
          <cell r="D18" t="str">
            <v>KUUM_376</v>
          </cell>
          <cell r="E18">
            <v>2</v>
          </cell>
          <cell r="F18">
            <v>0</v>
          </cell>
          <cell r="G18">
            <v>0</v>
          </cell>
          <cell r="H18">
            <v>0</v>
          </cell>
          <cell r="L18">
            <v>0</v>
          </cell>
          <cell r="N18">
            <v>154.52000000000001</v>
          </cell>
          <cell r="O18">
            <v>0</v>
          </cell>
          <cell r="Q18">
            <v>0</v>
          </cell>
          <cell r="S18">
            <v>0</v>
          </cell>
          <cell r="U18">
            <v>0</v>
          </cell>
          <cell r="Y18">
            <v>3.5</v>
          </cell>
          <cell r="AE18" t="str">
            <v>20140101KUUM_376</v>
          </cell>
        </row>
        <row r="19">
          <cell r="B19" t="str">
            <v>Jan 2015</v>
          </cell>
          <cell r="C19" t="str">
            <v>LS</v>
          </cell>
          <cell r="D19" t="str">
            <v>KUUM_377</v>
          </cell>
          <cell r="E19">
            <v>49</v>
          </cell>
          <cell r="F19">
            <v>0</v>
          </cell>
          <cell r="G19">
            <v>0</v>
          </cell>
          <cell r="H19">
            <v>0</v>
          </cell>
          <cell r="L19">
            <v>0</v>
          </cell>
          <cell r="N19">
            <v>3145.31</v>
          </cell>
          <cell r="O19">
            <v>0</v>
          </cell>
          <cell r="Q19">
            <v>0</v>
          </cell>
          <cell r="S19">
            <v>0</v>
          </cell>
          <cell r="U19">
            <v>0</v>
          </cell>
          <cell r="Y19">
            <v>85.75</v>
          </cell>
          <cell r="AE19" t="str">
            <v>20140101KUUM_377</v>
          </cell>
        </row>
        <row r="20">
          <cell r="B20" t="str">
            <v>Jan 2015</v>
          </cell>
          <cell r="C20" t="str">
            <v>LS</v>
          </cell>
          <cell r="D20" t="str">
            <v>KUUM_378</v>
          </cell>
          <cell r="E20">
            <v>2</v>
          </cell>
          <cell r="F20">
            <v>0</v>
          </cell>
          <cell r="G20">
            <v>0</v>
          </cell>
          <cell r="H20">
            <v>0</v>
          </cell>
          <cell r="L20">
            <v>0</v>
          </cell>
          <cell r="N20">
            <v>151.80000000000001</v>
          </cell>
          <cell r="O20">
            <v>0</v>
          </cell>
          <cell r="Q20">
            <v>0</v>
          </cell>
          <cell r="S20">
            <v>0</v>
          </cell>
          <cell r="U20">
            <v>0</v>
          </cell>
          <cell r="Y20">
            <v>3.5</v>
          </cell>
          <cell r="AE20" t="str">
            <v>20140101KUUM_378</v>
          </cell>
        </row>
        <row r="21">
          <cell r="B21" t="str">
            <v>Jan 2015</v>
          </cell>
          <cell r="C21" t="str">
            <v>LS</v>
          </cell>
          <cell r="D21" t="str">
            <v>KUUM_401</v>
          </cell>
          <cell r="E21">
            <v>52</v>
          </cell>
          <cell r="F21">
            <v>0</v>
          </cell>
          <cell r="G21">
            <v>0</v>
          </cell>
          <cell r="H21">
            <v>0</v>
          </cell>
          <cell r="L21">
            <v>0</v>
          </cell>
          <cell r="N21">
            <v>772.72</v>
          </cell>
          <cell r="O21">
            <v>0</v>
          </cell>
          <cell r="Q21">
            <v>0</v>
          </cell>
          <cell r="S21">
            <v>0</v>
          </cell>
          <cell r="U21">
            <v>0</v>
          </cell>
          <cell r="Y21">
            <v>41.6</v>
          </cell>
          <cell r="AE21" t="str">
            <v>20140101KUUM_401</v>
          </cell>
        </row>
        <row r="22">
          <cell r="B22" t="str">
            <v>Jan 2015</v>
          </cell>
          <cell r="C22" t="str">
            <v>RLS</v>
          </cell>
          <cell r="D22" t="str">
            <v>KUUM_404</v>
          </cell>
          <cell r="E22">
            <v>7293</v>
          </cell>
          <cell r="F22">
            <v>0</v>
          </cell>
          <cell r="G22">
            <v>0</v>
          </cell>
          <cell r="H22">
            <v>0</v>
          </cell>
          <cell r="L22">
            <v>0</v>
          </cell>
          <cell r="N22">
            <v>77087.009999999995</v>
          </cell>
          <cell r="O22">
            <v>0</v>
          </cell>
          <cell r="Q22">
            <v>0</v>
          </cell>
          <cell r="S22">
            <v>0</v>
          </cell>
          <cell r="U22">
            <v>0</v>
          </cell>
          <cell r="Y22">
            <v>14513.07</v>
          </cell>
          <cell r="AE22" t="str">
            <v>20140101KUUM_404</v>
          </cell>
        </row>
        <row r="23">
          <cell r="B23" t="str">
            <v>Jan 2015</v>
          </cell>
          <cell r="C23" t="str">
            <v>RLS</v>
          </cell>
          <cell r="D23" t="str">
            <v>KUUM_405</v>
          </cell>
          <cell r="E23">
            <v>0</v>
          </cell>
          <cell r="F23">
            <v>0</v>
          </cell>
          <cell r="G23">
            <v>0</v>
          </cell>
          <cell r="H23">
            <v>0</v>
          </cell>
          <cell r="L23">
            <v>0</v>
          </cell>
          <cell r="N23">
            <v>0</v>
          </cell>
          <cell r="O23">
            <v>0</v>
          </cell>
          <cell r="Q23">
            <v>0</v>
          </cell>
          <cell r="S23">
            <v>0</v>
          </cell>
          <cell r="U23">
            <v>0</v>
          </cell>
          <cell r="Y23">
            <v>0</v>
          </cell>
          <cell r="AE23" t="str">
            <v>20140101KUUM_405</v>
          </cell>
        </row>
        <row r="24">
          <cell r="B24" t="str">
            <v>Jan 2015</v>
          </cell>
          <cell r="C24" t="str">
            <v>LS</v>
          </cell>
          <cell r="D24" t="str">
            <v>KUUM_407</v>
          </cell>
          <cell r="E24">
            <v>0</v>
          </cell>
          <cell r="F24">
            <v>0</v>
          </cell>
          <cell r="G24">
            <v>0</v>
          </cell>
          <cell r="H24">
            <v>0</v>
          </cell>
          <cell r="L24">
            <v>0</v>
          </cell>
          <cell r="N24">
            <v>0</v>
          </cell>
          <cell r="O24">
            <v>0</v>
          </cell>
          <cell r="Q24">
            <v>0</v>
          </cell>
          <cell r="S24">
            <v>0</v>
          </cell>
          <cell r="U24">
            <v>0</v>
          </cell>
          <cell r="Y24">
            <v>0</v>
          </cell>
          <cell r="AE24" t="str">
            <v>20140101KUUM_407</v>
          </cell>
        </row>
        <row r="25">
          <cell r="B25" t="str">
            <v>Jan 2015</v>
          </cell>
          <cell r="C25" t="str">
            <v>RLS</v>
          </cell>
          <cell r="D25" t="str">
            <v>KUUM_409</v>
          </cell>
          <cell r="E25">
            <v>147</v>
          </cell>
          <cell r="F25">
            <v>0</v>
          </cell>
          <cell r="G25">
            <v>0</v>
          </cell>
          <cell r="H25">
            <v>0</v>
          </cell>
          <cell r="L25">
            <v>0</v>
          </cell>
          <cell r="N25">
            <v>1721.37</v>
          </cell>
          <cell r="O25">
            <v>0</v>
          </cell>
          <cell r="Q25">
            <v>0</v>
          </cell>
          <cell r="S25">
            <v>0</v>
          </cell>
          <cell r="U25">
            <v>0</v>
          </cell>
          <cell r="Y25">
            <v>665.91</v>
          </cell>
          <cell r="AE25" t="str">
            <v>20140101KUUM_409</v>
          </cell>
        </row>
        <row r="26">
          <cell r="B26" t="str">
            <v>Jan 2015</v>
          </cell>
          <cell r="C26" t="str">
            <v>RLS</v>
          </cell>
          <cell r="D26" t="str">
            <v>KUUM_410</v>
          </cell>
          <cell r="E26">
            <v>240</v>
          </cell>
          <cell r="F26">
            <v>0</v>
          </cell>
          <cell r="G26">
            <v>0</v>
          </cell>
          <cell r="H26">
            <v>0</v>
          </cell>
          <cell r="L26">
            <v>0</v>
          </cell>
          <cell r="N26">
            <v>4862.3999999999996</v>
          </cell>
          <cell r="O26">
            <v>0</v>
          </cell>
          <cell r="Q26">
            <v>0</v>
          </cell>
          <cell r="S26">
            <v>0</v>
          </cell>
          <cell r="U26">
            <v>0</v>
          </cell>
          <cell r="Y26">
            <v>136.80000000000001</v>
          </cell>
          <cell r="AE26" t="str">
            <v>20140101KUUM_410</v>
          </cell>
        </row>
        <row r="27">
          <cell r="B27" t="str">
            <v>Jan 2015</v>
          </cell>
          <cell r="C27" t="str">
            <v>LS</v>
          </cell>
          <cell r="D27" t="str">
            <v>KUUM_411</v>
          </cell>
          <cell r="E27">
            <v>145</v>
          </cell>
          <cell r="F27">
            <v>0</v>
          </cell>
          <cell r="G27">
            <v>0</v>
          </cell>
          <cell r="H27">
            <v>0</v>
          </cell>
          <cell r="L27">
            <v>0</v>
          </cell>
          <cell r="N27">
            <v>3100.1</v>
          </cell>
          <cell r="O27">
            <v>0</v>
          </cell>
          <cell r="Q27">
            <v>0</v>
          </cell>
          <cell r="S27">
            <v>0</v>
          </cell>
          <cell r="U27">
            <v>0</v>
          </cell>
          <cell r="Y27">
            <v>116</v>
          </cell>
          <cell r="AE27" t="str">
            <v>20140101KUUM_411</v>
          </cell>
        </row>
        <row r="28">
          <cell r="B28" t="str">
            <v>Jan 2015</v>
          </cell>
          <cell r="C28" t="str">
            <v>RLS</v>
          </cell>
          <cell r="D28" t="str">
            <v>KUUM_412</v>
          </cell>
          <cell r="E28">
            <v>28</v>
          </cell>
          <cell r="F28">
            <v>0</v>
          </cell>
          <cell r="G28">
            <v>0</v>
          </cell>
          <cell r="H28">
            <v>0</v>
          </cell>
          <cell r="L28">
            <v>0</v>
          </cell>
          <cell r="N28">
            <v>863.52</v>
          </cell>
          <cell r="O28">
            <v>0</v>
          </cell>
          <cell r="Q28">
            <v>0</v>
          </cell>
          <cell r="S28">
            <v>0</v>
          </cell>
          <cell r="U28">
            <v>0</v>
          </cell>
          <cell r="Y28">
            <v>22.4</v>
          </cell>
          <cell r="AE28" t="str">
            <v>20140101KUUM_412</v>
          </cell>
        </row>
        <row r="29">
          <cell r="B29" t="str">
            <v>Jan 2015</v>
          </cell>
          <cell r="C29" t="str">
            <v>RLS</v>
          </cell>
          <cell r="D29" t="str">
            <v>KUUM_413</v>
          </cell>
          <cell r="E29">
            <v>96</v>
          </cell>
          <cell r="F29">
            <v>0</v>
          </cell>
          <cell r="G29">
            <v>0</v>
          </cell>
          <cell r="H29">
            <v>0</v>
          </cell>
          <cell r="L29">
            <v>0</v>
          </cell>
          <cell r="N29">
            <v>2997.12</v>
          </cell>
          <cell r="O29">
            <v>0</v>
          </cell>
          <cell r="Q29">
            <v>0</v>
          </cell>
          <cell r="S29">
            <v>0</v>
          </cell>
          <cell r="U29">
            <v>0</v>
          </cell>
          <cell r="Y29">
            <v>108.48</v>
          </cell>
          <cell r="AE29" t="str">
            <v>20140101KUUM_413</v>
          </cell>
        </row>
        <row r="30">
          <cell r="B30" t="str">
            <v>Jan 2015</v>
          </cell>
          <cell r="C30" t="str">
            <v>LS</v>
          </cell>
          <cell r="D30" t="str">
            <v>KUUM_414</v>
          </cell>
          <cell r="E30">
            <v>21</v>
          </cell>
          <cell r="F30">
            <v>0</v>
          </cell>
          <cell r="G30">
            <v>0</v>
          </cell>
          <cell r="H30">
            <v>0</v>
          </cell>
          <cell r="L30">
            <v>0</v>
          </cell>
          <cell r="N30">
            <v>647.64</v>
          </cell>
          <cell r="O30">
            <v>0</v>
          </cell>
          <cell r="Q30">
            <v>0</v>
          </cell>
          <cell r="S30">
            <v>0</v>
          </cell>
          <cell r="U30">
            <v>0</v>
          </cell>
          <cell r="Y30">
            <v>16.8</v>
          </cell>
          <cell r="AE30" t="str">
            <v>20140101KUUM_414</v>
          </cell>
        </row>
        <row r="31">
          <cell r="B31" t="str">
            <v>Jan 2015</v>
          </cell>
          <cell r="C31" t="str">
            <v>LS</v>
          </cell>
          <cell r="D31" t="str">
            <v>KUUM_415</v>
          </cell>
          <cell r="E31">
            <v>10</v>
          </cell>
          <cell r="F31">
            <v>0</v>
          </cell>
          <cell r="G31">
            <v>0</v>
          </cell>
          <cell r="H31">
            <v>0</v>
          </cell>
          <cell r="L31">
            <v>0</v>
          </cell>
          <cell r="N31">
            <v>312.2</v>
          </cell>
          <cell r="O31">
            <v>0</v>
          </cell>
          <cell r="Q31">
            <v>0</v>
          </cell>
          <cell r="S31">
            <v>0</v>
          </cell>
          <cell r="U31">
            <v>0</v>
          </cell>
          <cell r="Y31">
            <v>11.3</v>
          </cell>
          <cell r="AE31" t="str">
            <v>20140101KUUM_415</v>
          </cell>
        </row>
        <row r="32">
          <cell r="B32" t="str">
            <v>Jan 2015</v>
          </cell>
          <cell r="C32" t="str">
            <v>LS</v>
          </cell>
          <cell r="D32" t="str">
            <v>KUUM_420</v>
          </cell>
          <cell r="E32">
            <v>454</v>
          </cell>
          <cell r="F32">
            <v>0</v>
          </cell>
          <cell r="G32">
            <v>0</v>
          </cell>
          <cell r="H32">
            <v>0</v>
          </cell>
          <cell r="L32">
            <v>0</v>
          </cell>
          <cell r="N32">
            <v>6973.44</v>
          </cell>
          <cell r="O32">
            <v>0</v>
          </cell>
          <cell r="Q32">
            <v>0</v>
          </cell>
          <cell r="S32">
            <v>0</v>
          </cell>
          <cell r="U32">
            <v>0</v>
          </cell>
          <cell r="Y32">
            <v>513.02</v>
          </cell>
          <cell r="AE32" t="str">
            <v>20140101KUUM_420</v>
          </cell>
        </row>
        <row r="33">
          <cell r="B33" t="str">
            <v>Jan 2015</v>
          </cell>
          <cell r="C33" t="str">
            <v>RLS</v>
          </cell>
          <cell r="D33" t="str">
            <v>KUUM_421</v>
          </cell>
          <cell r="E33">
            <v>5</v>
          </cell>
          <cell r="F33">
            <v>0</v>
          </cell>
          <cell r="G33">
            <v>0</v>
          </cell>
          <cell r="H33">
            <v>0</v>
          </cell>
          <cell r="L33">
            <v>0</v>
          </cell>
          <cell r="N33">
            <v>16.95</v>
          </cell>
          <cell r="O33">
            <v>0</v>
          </cell>
          <cell r="Q33">
            <v>0</v>
          </cell>
          <cell r="S33">
            <v>0</v>
          </cell>
          <cell r="U33">
            <v>0</v>
          </cell>
          <cell r="Y33">
            <v>4.95</v>
          </cell>
          <cell r="AE33" t="str">
            <v>20140101KUUM_421</v>
          </cell>
        </row>
        <row r="34">
          <cell r="B34" t="str">
            <v>Jan 2015</v>
          </cell>
          <cell r="C34" t="str">
            <v>RLS</v>
          </cell>
          <cell r="D34" t="str">
            <v>KUUM_422</v>
          </cell>
          <cell r="E34">
            <v>684</v>
          </cell>
          <cell r="F34">
            <v>0</v>
          </cell>
          <cell r="G34">
            <v>0</v>
          </cell>
          <cell r="H34">
            <v>0</v>
          </cell>
          <cell r="L34">
            <v>0</v>
          </cell>
          <cell r="N34">
            <v>3105.36</v>
          </cell>
          <cell r="O34">
            <v>0</v>
          </cell>
          <cell r="Q34">
            <v>0</v>
          </cell>
          <cell r="S34">
            <v>0</v>
          </cell>
          <cell r="U34">
            <v>0</v>
          </cell>
          <cell r="Y34">
            <v>1326.96</v>
          </cell>
          <cell r="AE34" t="str">
            <v>20140101KUUM_422</v>
          </cell>
        </row>
        <row r="35">
          <cell r="B35" t="str">
            <v>Jan 2015</v>
          </cell>
          <cell r="C35" t="str">
            <v>RLS</v>
          </cell>
          <cell r="D35" t="str">
            <v>KUUM_424</v>
          </cell>
          <cell r="E35">
            <v>92</v>
          </cell>
          <cell r="F35">
            <v>0</v>
          </cell>
          <cell r="G35">
            <v>0</v>
          </cell>
          <cell r="H35">
            <v>0</v>
          </cell>
          <cell r="L35">
            <v>0</v>
          </cell>
          <cell r="N35">
            <v>623.76</v>
          </cell>
          <cell r="O35">
            <v>0</v>
          </cell>
          <cell r="Q35">
            <v>0</v>
          </cell>
          <cell r="S35">
            <v>0</v>
          </cell>
          <cell r="U35">
            <v>0</v>
          </cell>
          <cell r="Y35">
            <v>64.400000000000006</v>
          </cell>
          <cell r="AE35" t="str">
            <v>20140101KUUM_424</v>
          </cell>
        </row>
        <row r="36">
          <cell r="B36" t="str">
            <v>Jan 2015</v>
          </cell>
          <cell r="C36" t="str">
            <v>RLS</v>
          </cell>
          <cell r="D36" t="str">
            <v>KUUM_425</v>
          </cell>
          <cell r="E36">
            <v>2</v>
          </cell>
          <cell r="F36">
            <v>0</v>
          </cell>
          <cell r="G36">
            <v>0</v>
          </cell>
          <cell r="H36">
            <v>0</v>
          </cell>
          <cell r="L36">
            <v>0</v>
          </cell>
          <cell r="N36">
            <v>18.12</v>
          </cell>
          <cell r="O36">
            <v>0</v>
          </cell>
          <cell r="Q36">
            <v>0</v>
          </cell>
          <cell r="S36">
            <v>0</v>
          </cell>
          <cell r="U36">
            <v>0</v>
          </cell>
          <cell r="Y36">
            <v>8.6</v>
          </cell>
          <cell r="AE36" t="str">
            <v>20140101KUUM_425</v>
          </cell>
        </row>
        <row r="37">
          <cell r="B37" t="str">
            <v>Jan 2015</v>
          </cell>
          <cell r="C37" t="str">
            <v>RLS</v>
          </cell>
          <cell r="D37" t="str">
            <v>KUUM_426</v>
          </cell>
          <cell r="E37">
            <v>171</v>
          </cell>
          <cell r="F37">
            <v>0</v>
          </cell>
          <cell r="G37">
            <v>0</v>
          </cell>
          <cell r="H37">
            <v>0</v>
          </cell>
          <cell r="L37">
            <v>0</v>
          </cell>
          <cell r="N37">
            <v>1272.24</v>
          </cell>
          <cell r="O37">
            <v>0</v>
          </cell>
          <cell r="Q37">
            <v>0</v>
          </cell>
          <cell r="S37">
            <v>0</v>
          </cell>
          <cell r="U37">
            <v>0</v>
          </cell>
          <cell r="Y37">
            <v>136.80000000000001</v>
          </cell>
          <cell r="AE37" t="str">
            <v>20140101KUUM_426</v>
          </cell>
        </row>
        <row r="38">
          <cell r="B38" t="str">
            <v>Jan 2015</v>
          </cell>
          <cell r="C38" t="str">
            <v>LS</v>
          </cell>
          <cell r="D38" t="str">
            <v>KUUM_428</v>
          </cell>
          <cell r="E38">
            <v>36283</v>
          </cell>
          <cell r="F38">
            <v>0</v>
          </cell>
          <cell r="G38">
            <v>0</v>
          </cell>
          <cell r="H38">
            <v>0</v>
          </cell>
          <cell r="L38">
            <v>0</v>
          </cell>
          <cell r="N38">
            <v>284458.71999999997</v>
          </cell>
          <cell r="O38">
            <v>0</v>
          </cell>
          <cell r="Q38">
            <v>0</v>
          </cell>
          <cell r="S38">
            <v>0</v>
          </cell>
          <cell r="U38">
            <v>0</v>
          </cell>
          <cell r="Y38">
            <v>40999.79</v>
          </cell>
          <cell r="AE38" t="str">
            <v>20140101KUUM_428</v>
          </cell>
        </row>
        <row r="39">
          <cell r="B39" t="str">
            <v>Jan 2015</v>
          </cell>
          <cell r="C39" t="str">
            <v>LS</v>
          </cell>
          <cell r="D39" t="str">
            <v>KUUM_429</v>
          </cell>
          <cell r="E39">
            <v>0</v>
          </cell>
          <cell r="F39">
            <v>0</v>
          </cell>
          <cell r="G39">
            <v>0</v>
          </cell>
          <cell r="H39">
            <v>0</v>
          </cell>
          <cell r="L39">
            <v>0</v>
          </cell>
          <cell r="N39">
            <v>0</v>
          </cell>
          <cell r="O39">
            <v>0</v>
          </cell>
          <cell r="Q39">
            <v>0</v>
          </cell>
          <cell r="S39">
            <v>0</v>
          </cell>
          <cell r="U39">
            <v>0</v>
          </cell>
          <cell r="Y39">
            <v>0</v>
          </cell>
          <cell r="AE39" t="str">
            <v>20140101KUUM_429</v>
          </cell>
        </row>
        <row r="40">
          <cell r="B40" t="str">
            <v>Jan 2015</v>
          </cell>
          <cell r="C40" t="str">
            <v>LS</v>
          </cell>
          <cell r="D40" t="str">
            <v>KUUM_430</v>
          </cell>
          <cell r="E40">
            <v>1166</v>
          </cell>
          <cell r="F40">
            <v>0</v>
          </cell>
          <cell r="G40">
            <v>0</v>
          </cell>
          <cell r="H40">
            <v>0</v>
          </cell>
          <cell r="L40">
            <v>0</v>
          </cell>
          <cell r="N40">
            <v>25652</v>
          </cell>
          <cell r="O40">
            <v>0</v>
          </cell>
          <cell r="Q40">
            <v>0</v>
          </cell>
          <cell r="S40">
            <v>0</v>
          </cell>
          <cell r="U40">
            <v>0</v>
          </cell>
          <cell r="Y40">
            <v>1317.58</v>
          </cell>
          <cell r="AE40" t="str">
            <v>20140101KUUM_430</v>
          </cell>
        </row>
        <row r="41">
          <cell r="B41" t="str">
            <v>Jan 2015</v>
          </cell>
          <cell r="C41" t="str">
            <v>RLS</v>
          </cell>
          <cell r="D41" t="str">
            <v>KUUM_434</v>
          </cell>
          <cell r="E41">
            <v>6</v>
          </cell>
          <cell r="F41">
            <v>0</v>
          </cell>
          <cell r="G41">
            <v>0</v>
          </cell>
          <cell r="H41">
            <v>0</v>
          </cell>
          <cell r="L41">
            <v>0</v>
          </cell>
          <cell r="N41">
            <v>46.44</v>
          </cell>
          <cell r="O41">
            <v>0</v>
          </cell>
          <cell r="Q41">
            <v>0</v>
          </cell>
          <cell r="S41">
            <v>0</v>
          </cell>
          <cell r="U41">
            <v>0</v>
          </cell>
          <cell r="Y41">
            <v>4.2</v>
          </cell>
          <cell r="AE41" t="str">
            <v>20140101KUUM_434</v>
          </cell>
        </row>
        <row r="42">
          <cell r="B42" t="str">
            <v>Jan 2015</v>
          </cell>
          <cell r="C42" t="str">
            <v>RLS</v>
          </cell>
          <cell r="D42" t="str">
            <v>KUUM_440</v>
          </cell>
          <cell r="E42">
            <v>2</v>
          </cell>
          <cell r="F42">
            <v>0</v>
          </cell>
          <cell r="G42">
            <v>0</v>
          </cell>
          <cell r="H42">
            <v>0</v>
          </cell>
          <cell r="L42">
            <v>0</v>
          </cell>
          <cell r="N42">
            <v>27.22</v>
          </cell>
          <cell r="O42">
            <v>0</v>
          </cell>
          <cell r="Q42">
            <v>0</v>
          </cell>
          <cell r="S42">
            <v>0</v>
          </cell>
          <cell r="U42">
            <v>0</v>
          </cell>
          <cell r="Y42">
            <v>1.1399999999999999</v>
          </cell>
          <cell r="AE42" t="str">
            <v>20140101KUUM_440</v>
          </cell>
        </row>
        <row r="43">
          <cell r="B43" t="str">
            <v>Jan 2015</v>
          </cell>
          <cell r="C43" t="str">
            <v>RLS</v>
          </cell>
          <cell r="D43" t="str">
            <v>KUUM_446</v>
          </cell>
          <cell r="E43">
            <v>1080</v>
          </cell>
          <cell r="F43">
            <v>0</v>
          </cell>
          <cell r="G43">
            <v>0</v>
          </cell>
          <cell r="H43">
            <v>0</v>
          </cell>
          <cell r="L43">
            <v>0</v>
          </cell>
          <cell r="N43">
            <v>10324.799999999999</v>
          </cell>
          <cell r="O43">
            <v>0</v>
          </cell>
          <cell r="Q43">
            <v>0</v>
          </cell>
          <cell r="S43">
            <v>0</v>
          </cell>
          <cell r="U43">
            <v>0</v>
          </cell>
          <cell r="Y43">
            <v>2149.1999999999998</v>
          </cell>
          <cell r="AE43" t="str">
            <v>20140101KUUM_446</v>
          </cell>
        </row>
        <row r="44">
          <cell r="B44" t="str">
            <v>Jan 2015</v>
          </cell>
          <cell r="C44" t="str">
            <v>RLS</v>
          </cell>
          <cell r="D44" t="str">
            <v>KUUM_447</v>
          </cell>
          <cell r="E44">
            <v>728</v>
          </cell>
          <cell r="F44">
            <v>0</v>
          </cell>
          <cell r="G44">
            <v>0</v>
          </cell>
          <cell r="H44">
            <v>0</v>
          </cell>
          <cell r="L44">
            <v>0</v>
          </cell>
          <cell r="N44">
            <v>8240.9599999999991</v>
          </cell>
          <cell r="O44">
            <v>0</v>
          </cell>
          <cell r="Q44">
            <v>0</v>
          </cell>
          <cell r="S44">
            <v>0</v>
          </cell>
          <cell r="U44">
            <v>0</v>
          </cell>
          <cell r="Y44">
            <v>2067.52</v>
          </cell>
          <cell r="AE44" t="str">
            <v>20140101KUUM_447</v>
          </cell>
        </row>
        <row r="45">
          <cell r="B45" t="str">
            <v>Jan 2015</v>
          </cell>
          <cell r="C45" t="str">
            <v>RLS</v>
          </cell>
          <cell r="D45" t="str">
            <v>KUUM_448</v>
          </cell>
          <cell r="E45">
            <v>1476</v>
          </cell>
          <cell r="F45">
            <v>0</v>
          </cell>
          <cell r="G45">
            <v>0</v>
          </cell>
          <cell r="H45">
            <v>0</v>
          </cell>
          <cell r="L45">
            <v>0</v>
          </cell>
          <cell r="N45">
            <v>18907.560000000001</v>
          </cell>
          <cell r="O45">
            <v>0</v>
          </cell>
          <cell r="Q45">
            <v>0</v>
          </cell>
          <cell r="S45">
            <v>0</v>
          </cell>
          <cell r="U45">
            <v>0</v>
          </cell>
          <cell r="Y45">
            <v>6450.12</v>
          </cell>
          <cell r="AE45" t="str">
            <v>20140101KUUM_448</v>
          </cell>
        </row>
        <row r="46">
          <cell r="B46" t="str">
            <v>Jan 2015</v>
          </cell>
          <cell r="C46" t="str">
            <v>LS</v>
          </cell>
          <cell r="D46" t="str">
            <v>KUUM_450</v>
          </cell>
          <cell r="E46">
            <v>646</v>
          </cell>
          <cell r="F46">
            <v>0</v>
          </cell>
          <cell r="G46">
            <v>0</v>
          </cell>
          <cell r="H46">
            <v>0</v>
          </cell>
          <cell r="L46">
            <v>0</v>
          </cell>
          <cell r="N46">
            <v>9205.5</v>
          </cell>
          <cell r="O46">
            <v>0</v>
          </cell>
          <cell r="Q46">
            <v>0</v>
          </cell>
          <cell r="S46">
            <v>0</v>
          </cell>
          <cell r="U46">
            <v>0</v>
          </cell>
          <cell r="Y46">
            <v>1272.6199999999999</v>
          </cell>
          <cell r="AE46" t="str">
            <v>20140101KUUM_450</v>
          </cell>
        </row>
        <row r="47">
          <cell r="B47" t="str">
            <v>Jan 2015</v>
          </cell>
          <cell r="C47" t="str">
            <v>LS</v>
          </cell>
          <cell r="D47" t="str">
            <v>KUUM_451</v>
          </cell>
          <cell r="E47">
            <v>5134</v>
          </cell>
          <cell r="F47">
            <v>0</v>
          </cell>
          <cell r="G47">
            <v>0</v>
          </cell>
          <cell r="H47">
            <v>0</v>
          </cell>
          <cell r="L47">
            <v>0</v>
          </cell>
          <cell r="N47">
            <v>103706.8</v>
          </cell>
          <cell r="O47">
            <v>0</v>
          </cell>
          <cell r="Q47">
            <v>0</v>
          </cell>
          <cell r="S47">
            <v>0</v>
          </cell>
          <cell r="U47">
            <v>0</v>
          </cell>
          <cell r="Y47">
            <v>22024.86</v>
          </cell>
          <cell r="AE47" t="str">
            <v>20140101KUUM_451</v>
          </cell>
        </row>
        <row r="48">
          <cell r="B48" t="str">
            <v>Jan 2015</v>
          </cell>
          <cell r="C48" t="str">
            <v>LS</v>
          </cell>
          <cell r="D48" t="str">
            <v>KUUM_452</v>
          </cell>
          <cell r="E48">
            <v>1057</v>
          </cell>
          <cell r="F48">
            <v>0</v>
          </cell>
          <cell r="G48">
            <v>0</v>
          </cell>
          <cell r="H48">
            <v>0</v>
          </cell>
          <cell r="L48">
            <v>0</v>
          </cell>
          <cell r="N48">
            <v>44763.95</v>
          </cell>
          <cell r="O48">
            <v>0</v>
          </cell>
          <cell r="Q48">
            <v>0</v>
          </cell>
          <cell r="S48">
            <v>0</v>
          </cell>
          <cell r="U48">
            <v>0</v>
          </cell>
          <cell r="Y48">
            <v>11003.37</v>
          </cell>
          <cell r="AE48" t="str">
            <v>20140101KUUM_452</v>
          </cell>
        </row>
        <row r="49">
          <cell r="B49" t="str">
            <v>Jan 2015</v>
          </cell>
          <cell r="C49" t="str">
            <v>RLS</v>
          </cell>
          <cell r="D49" t="str">
            <v>KUUM_454</v>
          </cell>
          <cell r="E49">
            <v>150</v>
          </cell>
          <cell r="F49">
            <v>0</v>
          </cell>
          <cell r="G49">
            <v>0</v>
          </cell>
          <cell r="H49">
            <v>0</v>
          </cell>
          <cell r="L49">
            <v>0</v>
          </cell>
          <cell r="N49">
            <v>2797.5</v>
          </cell>
          <cell r="O49">
            <v>0</v>
          </cell>
          <cell r="Q49">
            <v>0</v>
          </cell>
          <cell r="S49">
            <v>0</v>
          </cell>
          <cell r="U49">
            <v>0</v>
          </cell>
          <cell r="Y49">
            <v>295.5</v>
          </cell>
          <cell r="AE49" t="str">
            <v>20140101KUUM_454</v>
          </cell>
        </row>
        <row r="50">
          <cell r="B50" t="str">
            <v>Jan 2015</v>
          </cell>
          <cell r="C50" t="str">
            <v>RLS</v>
          </cell>
          <cell r="D50" t="str">
            <v>KUUM_455</v>
          </cell>
          <cell r="E50">
            <v>1024</v>
          </cell>
          <cell r="F50">
            <v>0</v>
          </cell>
          <cell r="G50">
            <v>0</v>
          </cell>
          <cell r="H50">
            <v>0</v>
          </cell>
          <cell r="L50">
            <v>0</v>
          </cell>
          <cell r="N50">
            <v>25180.16</v>
          </cell>
          <cell r="O50">
            <v>0</v>
          </cell>
          <cell r="Q50">
            <v>0</v>
          </cell>
          <cell r="S50">
            <v>0</v>
          </cell>
          <cell r="U50">
            <v>0</v>
          </cell>
          <cell r="Y50">
            <v>4392.96</v>
          </cell>
          <cell r="AE50" t="str">
            <v>20140101KUUM_455</v>
          </cell>
        </row>
        <row r="51">
          <cell r="B51" t="str">
            <v>Jan 2015</v>
          </cell>
          <cell r="C51" t="str">
            <v>RLS</v>
          </cell>
          <cell r="D51" t="str">
            <v>KUUM_456</v>
          </cell>
          <cell r="E51">
            <v>139</v>
          </cell>
          <cell r="F51">
            <v>0</v>
          </cell>
          <cell r="G51">
            <v>0</v>
          </cell>
          <cell r="H51">
            <v>0</v>
          </cell>
          <cell r="L51">
            <v>0</v>
          </cell>
          <cell r="N51">
            <v>1649.93</v>
          </cell>
          <cell r="O51">
            <v>0</v>
          </cell>
          <cell r="Q51">
            <v>0</v>
          </cell>
          <cell r="S51">
            <v>0</v>
          </cell>
          <cell r="U51">
            <v>0</v>
          </cell>
          <cell r="Y51">
            <v>276.61</v>
          </cell>
          <cell r="AE51" t="str">
            <v>20140101KUUM_456</v>
          </cell>
        </row>
        <row r="52">
          <cell r="B52" t="str">
            <v>Jan 2015</v>
          </cell>
          <cell r="C52" t="str">
            <v>RLS</v>
          </cell>
          <cell r="D52" t="str">
            <v>KUUM_457</v>
          </cell>
          <cell r="E52">
            <v>439</v>
          </cell>
          <cell r="F52">
            <v>0</v>
          </cell>
          <cell r="G52">
            <v>0</v>
          </cell>
          <cell r="H52">
            <v>0</v>
          </cell>
          <cell r="L52">
            <v>0</v>
          </cell>
          <cell r="N52">
            <v>5865.04</v>
          </cell>
          <cell r="O52">
            <v>0</v>
          </cell>
          <cell r="Q52">
            <v>0</v>
          </cell>
          <cell r="S52">
            <v>0</v>
          </cell>
          <cell r="U52">
            <v>0</v>
          </cell>
          <cell r="Y52">
            <v>1246.76</v>
          </cell>
          <cell r="AE52" t="str">
            <v>20140101KUUM_457</v>
          </cell>
        </row>
        <row r="53">
          <cell r="B53" t="str">
            <v>Jan 2015</v>
          </cell>
          <cell r="C53" t="str">
            <v>RLS</v>
          </cell>
          <cell r="D53" t="str">
            <v>KUUM_458</v>
          </cell>
          <cell r="E53">
            <v>1471</v>
          </cell>
          <cell r="F53">
            <v>0</v>
          </cell>
          <cell r="G53">
            <v>0</v>
          </cell>
          <cell r="H53">
            <v>0</v>
          </cell>
          <cell r="L53">
            <v>0</v>
          </cell>
          <cell r="N53">
            <v>22182.68</v>
          </cell>
          <cell r="O53">
            <v>0</v>
          </cell>
          <cell r="Q53">
            <v>0</v>
          </cell>
          <cell r="S53">
            <v>0</v>
          </cell>
          <cell r="U53">
            <v>0</v>
          </cell>
          <cell r="Y53">
            <v>6428.27</v>
          </cell>
          <cell r="AE53" t="str">
            <v>20140101KUUM_458</v>
          </cell>
        </row>
        <row r="54">
          <cell r="B54" t="str">
            <v>Jan 2015</v>
          </cell>
          <cell r="C54" t="str">
            <v>RLS</v>
          </cell>
          <cell r="D54" t="str">
            <v>KUUM_459</v>
          </cell>
          <cell r="E54">
            <v>231</v>
          </cell>
          <cell r="F54">
            <v>0</v>
          </cell>
          <cell r="G54">
            <v>0</v>
          </cell>
          <cell r="H54">
            <v>0</v>
          </cell>
          <cell r="L54">
            <v>0</v>
          </cell>
          <cell r="N54">
            <v>10796.94</v>
          </cell>
          <cell r="O54">
            <v>0</v>
          </cell>
          <cell r="Q54">
            <v>0</v>
          </cell>
          <cell r="S54">
            <v>0</v>
          </cell>
          <cell r="U54">
            <v>0</v>
          </cell>
          <cell r="Y54">
            <v>2404.71</v>
          </cell>
          <cell r="AE54" t="str">
            <v>20140101KUUM_459</v>
          </cell>
        </row>
        <row r="55">
          <cell r="B55" t="str">
            <v>Jan 2015</v>
          </cell>
          <cell r="C55" t="str">
            <v>RLS</v>
          </cell>
          <cell r="D55" t="str">
            <v>KUUM_460</v>
          </cell>
          <cell r="E55">
            <v>27</v>
          </cell>
          <cell r="F55">
            <v>0</v>
          </cell>
          <cell r="G55">
            <v>0</v>
          </cell>
          <cell r="H55">
            <v>0</v>
          </cell>
          <cell r="L55">
            <v>0</v>
          </cell>
          <cell r="N55">
            <v>733.05</v>
          </cell>
          <cell r="O55">
            <v>0</v>
          </cell>
          <cell r="Q55">
            <v>0</v>
          </cell>
          <cell r="S55">
            <v>0</v>
          </cell>
          <cell r="U55">
            <v>0</v>
          </cell>
          <cell r="Y55">
            <v>53.19</v>
          </cell>
          <cell r="AE55" t="str">
            <v>20140101KUUM_460</v>
          </cell>
        </row>
        <row r="56">
          <cell r="B56" t="str">
            <v>Jan 2015</v>
          </cell>
          <cell r="C56" t="str">
            <v>RLS</v>
          </cell>
          <cell r="D56" t="str">
            <v>KUUM_461</v>
          </cell>
          <cell r="E56">
            <v>7211</v>
          </cell>
          <cell r="F56">
            <v>0</v>
          </cell>
          <cell r="G56">
            <v>0</v>
          </cell>
          <cell r="H56">
            <v>0</v>
          </cell>
          <cell r="L56">
            <v>0</v>
          </cell>
          <cell r="N56">
            <v>54370.94</v>
          </cell>
          <cell r="O56">
            <v>0</v>
          </cell>
          <cell r="Q56">
            <v>0</v>
          </cell>
          <cell r="S56">
            <v>0</v>
          </cell>
          <cell r="U56">
            <v>0</v>
          </cell>
          <cell r="Y56">
            <v>4110.2700000000004</v>
          </cell>
          <cell r="AE56" t="str">
            <v>20140101KUUM_461</v>
          </cell>
        </row>
        <row r="57">
          <cell r="B57" t="str">
            <v>Jan 2015</v>
          </cell>
          <cell r="C57" t="str">
            <v>LS</v>
          </cell>
          <cell r="D57" t="str">
            <v>KUUM_462</v>
          </cell>
          <cell r="E57">
            <v>8738</v>
          </cell>
          <cell r="F57">
            <v>0</v>
          </cell>
          <cell r="G57">
            <v>0</v>
          </cell>
          <cell r="H57">
            <v>0</v>
          </cell>
          <cell r="L57">
            <v>0</v>
          </cell>
          <cell r="N57">
            <v>75671.08</v>
          </cell>
          <cell r="O57">
            <v>0</v>
          </cell>
          <cell r="Q57">
            <v>0</v>
          </cell>
          <cell r="S57">
            <v>0</v>
          </cell>
          <cell r="U57">
            <v>0</v>
          </cell>
          <cell r="Y57">
            <v>6990.4</v>
          </cell>
          <cell r="AE57" t="str">
            <v>20140101KUUM_462</v>
          </cell>
        </row>
        <row r="58">
          <cell r="B58" t="str">
            <v>Jan 2015</v>
          </cell>
          <cell r="C58" t="str">
            <v>LS</v>
          </cell>
          <cell r="D58" t="str">
            <v>KUUM_463</v>
          </cell>
          <cell r="E58">
            <v>20839</v>
          </cell>
          <cell r="F58">
            <v>0</v>
          </cell>
          <cell r="G58">
            <v>0</v>
          </cell>
          <cell r="H58">
            <v>0</v>
          </cell>
          <cell r="L58">
            <v>0</v>
          </cell>
          <cell r="N58">
            <v>190468.46</v>
          </cell>
          <cell r="O58">
            <v>0</v>
          </cell>
          <cell r="Q58">
            <v>0</v>
          </cell>
          <cell r="S58">
            <v>0</v>
          </cell>
          <cell r="U58">
            <v>0</v>
          </cell>
          <cell r="Y58">
            <v>23548.07</v>
          </cell>
          <cell r="AE58" t="str">
            <v>20140101KUUM_463</v>
          </cell>
        </row>
        <row r="59">
          <cell r="B59" t="str">
            <v>Jan 2015</v>
          </cell>
          <cell r="C59" t="str">
            <v>LS</v>
          </cell>
          <cell r="D59" t="str">
            <v>KUUM_464</v>
          </cell>
          <cell r="E59">
            <v>7628</v>
          </cell>
          <cell r="F59">
            <v>0</v>
          </cell>
          <cell r="G59">
            <v>0</v>
          </cell>
          <cell r="H59">
            <v>0</v>
          </cell>
          <cell r="L59">
            <v>0</v>
          </cell>
          <cell r="N59">
            <v>108699</v>
          </cell>
          <cell r="O59">
            <v>0</v>
          </cell>
          <cell r="Q59">
            <v>0</v>
          </cell>
          <cell r="S59">
            <v>0</v>
          </cell>
          <cell r="U59">
            <v>0</v>
          </cell>
          <cell r="Y59">
            <v>17773.240000000002</v>
          </cell>
          <cell r="AE59" t="str">
            <v>20140101KUUM_464</v>
          </cell>
        </row>
        <row r="60">
          <cell r="B60" t="str">
            <v>Jan 2015</v>
          </cell>
          <cell r="C60" t="str">
            <v>LS</v>
          </cell>
          <cell r="D60" t="str">
            <v>KUUM_465</v>
          </cell>
          <cell r="E60">
            <v>2804</v>
          </cell>
          <cell r="F60">
            <v>0</v>
          </cell>
          <cell r="G60">
            <v>0</v>
          </cell>
          <cell r="H60">
            <v>0</v>
          </cell>
          <cell r="L60">
            <v>0</v>
          </cell>
          <cell r="N60">
            <v>64043.360000000001</v>
          </cell>
          <cell r="O60">
            <v>0</v>
          </cell>
          <cell r="Q60">
            <v>0</v>
          </cell>
          <cell r="S60">
            <v>0</v>
          </cell>
          <cell r="U60">
            <v>0</v>
          </cell>
          <cell r="Y60">
            <v>12702.12</v>
          </cell>
          <cell r="AE60" t="str">
            <v>20140101KUUM_465</v>
          </cell>
        </row>
        <row r="61">
          <cell r="B61" t="str">
            <v>Jan 2015</v>
          </cell>
          <cell r="C61" t="str">
            <v>RLS</v>
          </cell>
          <cell r="D61" t="str">
            <v>KUUM_466</v>
          </cell>
          <cell r="E61">
            <v>855</v>
          </cell>
          <cell r="F61">
            <v>0</v>
          </cell>
          <cell r="G61">
            <v>0</v>
          </cell>
          <cell r="H61">
            <v>0</v>
          </cell>
          <cell r="L61">
            <v>0</v>
          </cell>
          <cell r="N61">
            <v>8225.1</v>
          </cell>
          <cell r="O61">
            <v>0</v>
          </cell>
          <cell r="Q61">
            <v>0</v>
          </cell>
          <cell r="S61">
            <v>0</v>
          </cell>
          <cell r="U61">
            <v>0</v>
          </cell>
          <cell r="Y61">
            <v>487.35</v>
          </cell>
          <cell r="AE61" t="str">
            <v>20140101KUUM_466</v>
          </cell>
        </row>
        <row r="62">
          <cell r="B62" t="str">
            <v>Jan 2015</v>
          </cell>
          <cell r="C62" t="str">
            <v>LS</v>
          </cell>
          <cell r="D62" t="str">
            <v>KUUM_467</v>
          </cell>
          <cell r="E62">
            <v>1353</v>
          </cell>
          <cell r="F62">
            <v>0</v>
          </cell>
          <cell r="G62">
            <v>0</v>
          </cell>
          <cell r="H62">
            <v>0</v>
          </cell>
          <cell r="L62">
            <v>0</v>
          </cell>
          <cell r="N62">
            <v>14571.81</v>
          </cell>
          <cell r="O62">
            <v>0</v>
          </cell>
          <cell r="Q62">
            <v>0</v>
          </cell>
          <cell r="S62">
            <v>0</v>
          </cell>
          <cell r="U62">
            <v>0</v>
          </cell>
          <cell r="Y62">
            <v>1082.4000000000001</v>
          </cell>
          <cell r="AE62" t="str">
            <v>20140101KUUM_467</v>
          </cell>
        </row>
        <row r="63">
          <cell r="B63" t="str">
            <v>Jan 2015</v>
          </cell>
          <cell r="C63" t="str">
            <v>LS</v>
          </cell>
          <cell r="D63" t="str">
            <v>KUUM_468</v>
          </cell>
          <cell r="E63">
            <v>4050</v>
          </cell>
          <cell r="F63">
            <v>0</v>
          </cell>
          <cell r="G63">
            <v>0</v>
          </cell>
          <cell r="H63">
            <v>0</v>
          </cell>
          <cell r="L63">
            <v>0</v>
          </cell>
          <cell r="N63">
            <v>45198</v>
          </cell>
          <cell r="O63">
            <v>0</v>
          </cell>
          <cell r="Q63">
            <v>0</v>
          </cell>
          <cell r="S63">
            <v>0</v>
          </cell>
          <cell r="U63">
            <v>0</v>
          </cell>
          <cell r="Y63">
            <v>4576.5</v>
          </cell>
          <cell r="AE63" t="str">
            <v>20140101KUUM_468</v>
          </cell>
        </row>
        <row r="64">
          <cell r="B64" t="str">
            <v>Jan 2015</v>
          </cell>
          <cell r="C64" t="str">
            <v>RLS</v>
          </cell>
          <cell r="D64" t="str">
            <v>KUUM_469</v>
          </cell>
          <cell r="E64">
            <v>293</v>
          </cell>
          <cell r="F64">
            <v>0</v>
          </cell>
          <cell r="G64">
            <v>0</v>
          </cell>
          <cell r="H64">
            <v>0</v>
          </cell>
          <cell r="L64">
            <v>0</v>
          </cell>
          <cell r="N64">
            <v>9698.2999999999993</v>
          </cell>
          <cell r="O64">
            <v>0</v>
          </cell>
          <cell r="Q64">
            <v>0</v>
          </cell>
          <cell r="S64">
            <v>0</v>
          </cell>
          <cell r="U64">
            <v>0</v>
          </cell>
          <cell r="Y64">
            <v>1256.97</v>
          </cell>
          <cell r="AE64" t="str">
            <v>20140101KUUM_469</v>
          </cell>
        </row>
        <row r="65">
          <cell r="B65" t="str">
            <v>Jan 2015</v>
          </cell>
          <cell r="C65" t="str">
            <v>RLS</v>
          </cell>
          <cell r="D65" t="str">
            <v>KUUM_470</v>
          </cell>
          <cell r="E65">
            <v>61</v>
          </cell>
          <cell r="F65">
            <v>0</v>
          </cell>
          <cell r="G65">
            <v>0</v>
          </cell>
          <cell r="H65">
            <v>0</v>
          </cell>
          <cell r="L65">
            <v>0</v>
          </cell>
          <cell r="N65">
            <v>3370.25</v>
          </cell>
          <cell r="O65">
            <v>0</v>
          </cell>
          <cell r="Q65">
            <v>0</v>
          </cell>
          <cell r="S65">
            <v>0</v>
          </cell>
          <cell r="U65">
            <v>0</v>
          </cell>
          <cell r="Y65">
            <v>635.01</v>
          </cell>
          <cell r="AE65" t="str">
            <v>20140101KUUM_470</v>
          </cell>
        </row>
        <row r="66">
          <cell r="B66" t="str">
            <v>Jan 2015</v>
          </cell>
          <cell r="C66" t="str">
            <v>RLS</v>
          </cell>
          <cell r="D66" t="str">
            <v>KUUM_471</v>
          </cell>
          <cell r="E66">
            <v>3569</v>
          </cell>
          <cell r="F66">
            <v>0</v>
          </cell>
          <cell r="G66">
            <v>0</v>
          </cell>
          <cell r="H66">
            <v>0</v>
          </cell>
          <cell r="L66">
            <v>0</v>
          </cell>
          <cell r="N66">
            <v>37438.81</v>
          </cell>
          <cell r="O66">
            <v>0</v>
          </cell>
          <cell r="Q66">
            <v>0</v>
          </cell>
          <cell r="S66">
            <v>0</v>
          </cell>
          <cell r="U66">
            <v>0</v>
          </cell>
          <cell r="Y66">
            <v>2034.33</v>
          </cell>
          <cell r="AE66" t="str">
            <v>20140101KUUM_471</v>
          </cell>
        </row>
        <row r="67">
          <cell r="B67" t="str">
            <v>Jan 2015</v>
          </cell>
          <cell r="C67" t="str">
            <v>LS</v>
          </cell>
          <cell r="D67" t="str">
            <v>KUUM_472</v>
          </cell>
          <cell r="E67">
            <v>8447</v>
          </cell>
          <cell r="F67">
            <v>0</v>
          </cell>
          <cell r="G67">
            <v>0</v>
          </cell>
          <cell r="H67">
            <v>0</v>
          </cell>
          <cell r="L67">
            <v>0</v>
          </cell>
          <cell r="N67">
            <v>97985.2</v>
          </cell>
          <cell r="O67">
            <v>0</v>
          </cell>
          <cell r="Q67">
            <v>0</v>
          </cell>
          <cell r="S67">
            <v>0</v>
          </cell>
          <cell r="U67">
            <v>0</v>
          </cell>
          <cell r="Y67">
            <v>6757.6</v>
          </cell>
          <cell r="AE67" t="str">
            <v>20140101KUUM_472</v>
          </cell>
        </row>
        <row r="68">
          <cell r="B68" t="str">
            <v>Jan 2015</v>
          </cell>
          <cell r="C68" t="str">
            <v>LS</v>
          </cell>
          <cell r="D68" t="str">
            <v>KUUM_473</v>
          </cell>
          <cell r="E68">
            <v>3345</v>
          </cell>
          <cell r="F68">
            <v>0</v>
          </cell>
          <cell r="G68">
            <v>0</v>
          </cell>
          <cell r="H68">
            <v>0</v>
          </cell>
          <cell r="L68">
            <v>0</v>
          </cell>
          <cell r="N68">
            <v>41143.5</v>
          </cell>
          <cell r="O68">
            <v>0</v>
          </cell>
          <cell r="Q68">
            <v>0</v>
          </cell>
          <cell r="S68">
            <v>0</v>
          </cell>
          <cell r="U68">
            <v>0</v>
          </cell>
          <cell r="Y68">
            <v>3779.85</v>
          </cell>
          <cell r="AE68" t="str">
            <v>20140101KUUM_473</v>
          </cell>
        </row>
        <row r="69">
          <cell r="B69" t="str">
            <v>Jan 2015</v>
          </cell>
          <cell r="C69" t="str">
            <v>LS</v>
          </cell>
          <cell r="D69" t="str">
            <v>KUUM_474</v>
          </cell>
          <cell r="E69">
            <v>5074</v>
          </cell>
          <cell r="F69">
            <v>0</v>
          </cell>
          <cell r="G69">
            <v>0</v>
          </cell>
          <cell r="H69">
            <v>0</v>
          </cell>
          <cell r="L69">
            <v>0</v>
          </cell>
          <cell r="N69">
            <v>88338.34</v>
          </cell>
          <cell r="O69">
            <v>0</v>
          </cell>
          <cell r="Q69">
            <v>0</v>
          </cell>
          <cell r="S69">
            <v>0</v>
          </cell>
          <cell r="U69">
            <v>0</v>
          </cell>
          <cell r="Y69">
            <v>11822.42</v>
          </cell>
          <cell r="AE69" t="str">
            <v>20140101KUUM_474</v>
          </cell>
        </row>
        <row r="70">
          <cell r="B70" t="str">
            <v>Jan 2015</v>
          </cell>
          <cell r="C70" t="str">
            <v>LS</v>
          </cell>
          <cell r="D70" t="str">
            <v>KUUM_475</v>
          </cell>
          <cell r="E70">
            <v>506</v>
          </cell>
          <cell r="F70">
            <v>0</v>
          </cell>
          <cell r="G70">
            <v>0</v>
          </cell>
          <cell r="H70">
            <v>0</v>
          </cell>
          <cell r="L70">
            <v>0</v>
          </cell>
          <cell r="N70">
            <v>12376.76</v>
          </cell>
          <cell r="O70">
            <v>0</v>
          </cell>
          <cell r="Q70">
            <v>0</v>
          </cell>
          <cell r="S70">
            <v>0</v>
          </cell>
          <cell r="U70">
            <v>0</v>
          </cell>
          <cell r="Y70">
            <v>2292.1799999999998</v>
          </cell>
          <cell r="AE70" t="str">
            <v>20140101KUUM_475</v>
          </cell>
        </row>
        <row r="71">
          <cell r="B71" t="str">
            <v>Jan 2015</v>
          </cell>
          <cell r="C71" t="str">
            <v>LS</v>
          </cell>
          <cell r="D71" t="str">
            <v>KUUM_476</v>
          </cell>
          <cell r="E71">
            <v>4464</v>
          </cell>
          <cell r="F71">
            <v>0</v>
          </cell>
          <cell r="G71">
            <v>0</v>
          </cell>
          <cell r="H71">
            <v>0</v>
          </cell>
          <cell r="L71">
            <v>0</v>
          </cell>
          <cell r="N71">
            <v>74950.559999999998</v>
          </cell>
          <cell r="O71">
            <v>0</v>
          </cell>
          <cell r="Q71">
            <v>0</v>
          </cell>
          <cell r="S71">
            <v>0</v>
          </cell>
          <cell r="U71">
            <v>0</v>
          </cell>
          <cell r="Y71">
            <v>3571.2</v>
          </cell>
          <cell r="AE71" t="str">
            <v>20140101KUUM_476</v>
          </cell>
        </row>
        <row r="72">
          <cell r="B72" t="str">
            <v>Jan 2015</v>
          </cell>
          <cell r="C72" t="str">
            <v>LS</v>
          </cell>
          <cell r="D72" t="str">
            <v>KUUM_477</v>
          </cell>
          <cell r="E72">
            <v>1061</v>
          </cell>
          <cell r="F72">
            <v>0</v>
          </cell>
          <cell r="G72">
            <v>0</v>
          </cell>
          <cell r="H72">
            <v>0</v>
          </cell>
          <cell r="L72">
            <v>0</v>
          </cell>
          <cell r="N72">
            <v>22249.17</v>
          </cell>
          <cell r="O72">
            <v>0</v>
          </cell>
          <cell r="Q72">
            <v>0</v>
          </cell>
          <cell r="S72">
            <v>0</v>
          </cell>
          <cell r="U72">
            <v>0</v>
          </cell>
          <cell r="Y72">
            <v>1198.93</v>
          </cell>
          <cell r="AE72" t="str">
            <v>20140101KUUM_477</v>
          </cell>
        </row>
        <row r="73">
          <cell r="B73" t="str">
            <v>Jan 2015</v>
          </cell>
          <cell r="C73" t="str">
            <v>LS</v>
          </cell>
          <cell r="D73" t="str">
            <v>KUUM_478</v>
          </cell>
          <cell r="E73">
            <v>1421</v>
          </cell>
          <cell r="F73">
            <v>0</v>
          </cell>
          <cell r="G73">
            <v>0</v>
          </cell>
          <cell r="H73">
            <v>0</v>
          </cell>
          <cell r="L73">
            <v>0</v>
          </cell>
          <cell r="N73">
            <v>38168.06</v>
          </cell>
          <cell r="O73">
            <v>0</v>
          </cell>
          <cell r="Q73">
            <v>0</v>
          </cell>
          <cell r="S73">
            <v>0</v>
          </cell>
          <cell r="U73">
            <v>0</v>
          </cell>
          <cell r="Y73">
            <v>3310.93</v>
          </cell>
          <cell r="AE73" t="str">
            <v>20140101KUUM_478</v>
          </cell>
        </row>
        <row r="74">
          <cell r="B74" t="str">
            <v>Jan 2015</v>
          </cell>
          <cell r="C74" t="str">
            <v>LS</v>
          </cell>
          <cell r="D74" t="str">
            <v>KUUM_479</v>
          </cell>
          <cell r="E74">
            <v>962</v>
          </cell>
          <cell r="F74">
            <v>0</v>
          </cell>
          <cell r="G74">
            <v>0</v>
          </cell>
          <cell r="H74">
            <v>0</v>
          </cell>
          <cell r="L74">
            <v>0</v>
          </cell>
          <cell r="N74">
            <v>31861.439999999999</v>
          </cell>
          <cell r="O74">
            <v>0</v>
          </cell>
          <cell r="Q74">
            <v>0</v>
          </cell>
          <cell r="S74">
            <v>0</v>
          </cell>
          <cell r="U74">
            <v>0</v>
          </cell>
          <cell r="Y74">
            <v>4357.8599999999997</v>
          </cell>
          <cell r="AE74" t="str">
            <v>20140101KUUM_479</v>
          </cell>
        </row>
        <row r="75">
          <cell r="B75" t="str">
            <v>Jan 2015</v>
          </cell>
          <cell r="C75" t="str">
            <v>LS</v>
          </cell>
          <cell r="D75" t="str">
            <v>KUUM_486</v>
          </cell>
          <cell r="E75">
            <v>0</v>
          </cell>
          <cell r="F75">
            <v>0</v>
          </cell>
          <cell r="G75">
            <v>0</v>
          </cell>
          <cell r="H75">
            <v>0</v>
          </cell>
          <cell r="L75">
            <v>0</v>
          </cell>
          <cell r="N75">
            <v>0</v>
          </cell>
          <cell r="O75">
            <v>0</v>
          </cell>
          <cell r="Q75">
            <v>0</v>
          </cell>
          <cell r="S75">
            <v>0</v>
          </cell>
          <cell r="U75">
            <v>0</v>
          </cell>
          <cell r="Y75">
            <v>0</v>
          </cell>
          <cell r="AE75" t="str">
            <v>20140101KUUM_486</v>
          </cell>
        </row>
        <row r="76">
          <cell r="B76" t="str">
            <v>Jan 2015</v>
          </cell>
          <cell r="C76" t="str">
            <v>LS</v>
          </cell>
          <cell r="D76" t="str">
            <v>KUUM_487</v>
          </cell>
          <cell r="E76">
            <v>11100</v>
          </cell>
          <cell r="F76">
            <v>0</v>
          </cell>
          <cell r="G76">
            <v>0</v>
          </cell>
          <cell r="H76">
            <v>0</v>
          </cell>
          <cell r="L76">
            <v>0</v>
          </cell>
          <cell r="N76">
            <v>99900</v>
          </cell>
          <cell r="O76">
            <v>0</v>
          </cell>
          <cell r="Q76">
            <v>0</v>
          </cell>
          <cell r="S76">
            <v>0</v>
          </cell>
          <cell r="U76">
            <v>0</v>
          </cell>
          <cell r="Y76">
            <v>12543</v>
          </cell>
          <cell r="AE76" t="str">
            <v>20140101KUUM_487</v>
          </cell>
        </row>
        <row r="77">
          <cell r="B77" t="str">
            <v>Jan 2015</v>
          </cell>
          <cell r="C77" t="str">
            <v>LS</v>
          </cell>
          <cell r="D77" t="str">
            <v>KUUM_488</v>
          </cell>
          <cell r="E77">
            <v>6584</v>
          </cell>
          <cell r="F77">
            <v>0</v>
          </cell>
          <cell r="G77">
            <v>0</v>
          </cell>
          <cell r="H77">
            <v>0</v>
          </cell>
          <cell r="L77">
            <v>0</v>
          </cell>
          <cell r="N77">
            <v>89805.759999999995</v>
          </cell>
          <cell r="O77">
            <v>0</v>
          </cell>
          <cell r="Q77">
            <v>0</v>
          </cell>
          <cell r="S77">
            <v>0</v>
          </cell>
          <cell r="U77">
            <v>0</v>
          </cell>
          <cell r="Y77">
            <v>15340.72</v>
          </cell>
          <cell r="AE77" t="str">
            <v>20140101KUUM_488</v>
          </cell>
        </row>
        <row r="78">
          <cell r="B78" t="str">
            <v>Jan 2015</v>
          </cell>
          <cell r="C78" t="str">
            <v>LS</v>
          </cell>
          <cell r="D78" t="str">
            <v>KUUM_489</v>
          </cell>
          <cell r="E78">
            <v>8363</v>
          </cell>
          <cell r="F78">
            <v>0</v>
          </cell>
          <cell r="G78">
            <v>0</v>
          </cell>
          <cell r="H78">
            <v>0</v>
          </cell>
          <cell r="L78">
            <v>0</v>
          </cell>
          <cell r="N78">
            <v>162743.98000000001</v>
          </cell>
          <cell r="O78">
            <v>0</v>
          </cell>
          <cell r="Q78">
            <v>0</v>
          </cell>
          <cell r="S78">
            <v>0</v>
          </cell>
          <cell r="U78">
            <v>0</v>
          </cell>
          <cell r="Y78">
            <v>37884.39</v>
          </cell>
          <cell r="AE78" t="str">
            <v>20140101KUUM_489</v>
          </cell>
        </row>
        <row r="79">
          <cell r="B79" t="str">
            <v>Jan 2015</v>
          </cell>
          <cell r="C79" t="str">
            <v>LS</v>
          </cell>
          <cell r="D79" t="str">
            <v>KUUM_490</v>
          </cell>
          <cell r="E79">
            <v>58</v>
          </cell>
          <cell r="F79">
            <v>0</v>
          </cell>
          <cell r="G79">
            <v>0</v>
          </cell>
          <cell r="H79">
            <v>0</v>
          </cell>
          <cell r="L79">
            <v>0</v>
          </cell>
          <cell r="N79">
            <v>897.26</v>
          </cell>
          <cell r="O79">
            <v>0</v>
          </cell>
          <cell r="Q79">
            <v>0</v>
          </cell>
          <cell r="S79">
            <v>0</v>
          </cell>
          <cell r="U79">
            <v>0</v>
          </cell>
          <cell r="Y79">
            <v>114.26</v>
          </cell>
          <cell r="AE79" t="str">
            <v>20140101KUUM_490</v>
          </cell>
        </row>
        <row r="80">
          <cell r="B80" t="str">
            <v>Jan 2015</v>
          </cell>
          <cell r="C80" t="str">
            <v>LS</v>
          </cell>
          <cell r="D80" t="str">
            <v>KUUM_491</v>
          </cell>
          <cell r="E80">
            <v>301</v>
          </cell>
          <cell r="F80">
            <v>0</v>
          </cell>
          <cell r="G80">
            <v>0</v>
          </cell>
          <cell r="H80">
            <v>0</v>
          </cell>
          <cell r="L80">
            <v>0</v>
          </cell>
          <cell r="N80">
            <v>6600.93</v>
          </cell>
          <cell r="O80">
            <v>0</v>
          </cell>
          <cell r="Q80">
            <v>0</v>
          </cell>
          <cell r="S80">
            <v>0</v>
          </cell>
          <cell r="U80">
            <v>0</v>
          </cell>
          <cell r="Y80">
            <v>1291.29</v>
          </cell>
          <cell r="AE80" t="str">
            <v>20140101KUUM_491</v>
          </cell>
        </row>
        <row r="81">
          <cell r="B81" t="str">
            <v>Jan 2015</v>
          </cell>
          <cell r="C81" t="str">
            <v>LS</v>
          </cell>
          <cell r="D81" t="str">
            <v>KUUM_492</v>
          </cell>
          <cell r="E81">
            <v>2</v>
          </cell>
          <cell r="F81">
            <v>0</v>
          </cell>
          <cell r="G81">
            <v>0</v>
          </cell>
          <cell r="H81">
            <v>0</v>
          </cell>
          <cell r="L81">
            <v>0</v>
          </cell>
          <cell r="N81">
            <v>30.74</v>
          </cell>
          <cell r="O81">
            <v>0</v>
          </cell>
          <cell r="Q81">
            <v>0</v>
          </cell>
          <cell r="S81">
            <v>0</v>
          </cell>
          <cell r="U81">
            <v>0</v>
          </cell>
          <cell r="Y81">
            <v>1.6</v>
          </cell>
          <cell r="AE81" t="str">
            <v>20140101KUUM_492</v>
          </cell>
        </row>
        <row r="82">
          <cell r="B82" t="str">
            <v>Jan 2015</v>
          </cell>
          <cell r="C82" t="str">
            <v>LS</v>
          </cell>
          <cell r="D82" t="str">
            <v>KUUM_493</v>
          </cell>
          <cell r="E82">
            <v>43</v>
          </cell>
          <cell r="F82">
            <v>0</v>
          </cell>
          <cell r="G82">
            <v>0</v>
          </cell>
          <cell r="H82">
            <v>0</v>
          </cell>
          <cell r="L82">
            <v>0</v>
          </cell>
          <cell r="N82">
            <v>1965.1</v>
          </cell>
          <cell r="O82">
            <v>0</v>
          </cell>
          <cell r="Q82">
            <v>0</v>
          </cell>
          <cell r="S82">
            <v>0</v>
          </cell>
          <cell r="U82">
            <v>0</v>
          </cell>
          <cell r="Y82">
            <v>447.63</v>
          </cell>
          <cell r="AE82" t="str">
            <v>20140101KUUM_493</v>
          </cell>
        </row>
        <row r="83">
          <cell r="B83" t="str">
            <v>Jan 2015</v>
          </cell>
          <cell r="C83" t="str">
            <v>LS</v>
          </cell>
          <cell r="D83" t="str">
            <v>KUUM_494</v>
          </cell>
          <cell r="E83">
            <v>167</v>
          </cell>
          <cell r="F83">
            <v>0</v>
          </cell>
          <cell r="G83">
            <v>0</v>
          </cell>
          <cell r="H83">
            <v>0</v>
          </cell>
          <cell r="L83">
            <v>0</v>
          </cell>
          <cell r="N83">
            <v>4737.79</v>
          </cell>
          <cell r="O83">
            <v>0</v>
          </cell>
          <cell r="Q83">
            <v>0</v>
          </cell>
          <cell r="S83">
            <v>0</v>
          </cell>
          <cell r="U83">
            <v>0</v>
          </cell>
          <cell r="Y83">
            <v>328.99</v>
          </cell>
          <cell r="AE83" t="str">
            <v>20140101KUUM_494</v>
          </cell>
        </row>
        <row r="84">
          <cell r="B84" t="str">
            <v>Jan 2015</v>
          </cell>
          <cell r="C84" t="str">
            <v>LS</v>
          </cell>
          <cell r="D84" t="str">
            <v>KUUM_495</v>
          </cell>
          <cell r="E84">
            <v>617</v>
          </cell>
          <cell r="F84">
            <v>0</v>
          </cell>
          <cell r="G84">
            <v>0</v>
          </cell>
          <cell r="H84">
            <v>0</v>
          </cell>
          <cell r="L84">
            <v>0</v>
          </cell>
          <cell r="N84">
            <v>21490.11</v>
          </cell>
          <cell r="O84">
            <v>0</v>
          </cell>
          <cell r="Q84">
            <v>0</v>
          </cell>
          <cell r="S84">
            <v>0</v>
          </cell>
          <cell r="U84">
            <v>0</v>
          </cell>
          <cell r="Y84">
            <v>2646.93</v>
          </cell>
          <cell r="AE84" t="str">
            <v>20140101KUUM_495</v>
          </cell>
        </row>
        <row r="85">
          <cell r="B85" t="str">
            <v>Jan 2015</v>
          </cell>
          <cell r="C85" t="str">
            <v>LS</v>
          </cell>
          <cell r="D85" t="str">
            <v>KUUM_496</v>
          </cell>
          <cell r="E85">
            <v>157</v>
          </cell>
          <cell r="F85">
            <v>0</v>
          </cell>
          <cell r="G85">
            <v>0</v>
          </cell>
          <cell r="H85">
            <v>0</v>
          </cell>
          <cell r="L85">
            <v>0</v>
          </cell>
          <cell r="N85">
            <v>9198.6299999999992</v>
          </cell>
          <cell r="O85">
            <v>0</v>
          </cell>
          <cell r="Q85">
            <v>0</v>
          </cell>
          <cell r="S85">
            <v>0</v>
          </cell>
          <cell r="U85">
            <v>0</v>
          </cell>
          <cell r="Y85">
            <v>1634.37</v>
          </cell>
          <cell r="AE85" t="str">
            <v>20140101KUUM_496</v>
          </cell>
        </row>
        <row r="86">
          <cell r="B86" t="str">
            <v>Jan 2015</v>
          </cell>
          <cell r="C86" t="str">
            <v>LS</v>
          </cell>
          <cell r="D86" t="str">
            <v>KUUM_497</v>
          </cell>
          <cell r="E86">
            <v>8</v>
          </cell>
          <cell r="F86">
            <v>0</v>
          </cell>
          <cell r="G86">
            <v>0</v>
          </cell>
          <cell r="H86">
            <v>0</v>
          </cell>
          <cell r="L86">
            <v>0</v>
          </cell>
          <cell r="N86">
            <v>122.8</v>
          </cell>
          <cell r="O86">
            <v>0</v>
          </cell>
          <cell r="Q86">
            <v>0</v>
          </cell>
          <cell r="S86">
            <v>0</v>
          </cell>
          <cell r="U86">
            <v>0</v>
          </cell>
          <cell r="Y86">
            <v>9.0399999999999991</v>
          </cell>
          <cell r="AE86" t="str">
            <v>20140101KUUM_497</v>
          </cell>
        </row>
        <row r="87">
          <cell r="B87" t="str">
            <v>Jan 2015</v>
          </cell>
          <cell r="C87" t="str">
            <v>LS</v>
          </cell>
          <cell r="D87" t="str">
            <v>KUUM_498</v>
          </cell>
          <cell r="E87">
            <v>24</v>
          </cell>
          <cell r="F87">
            <v>0</v>
          </cell>
          <cell r="G87">
            <v>0</v>
          </cell>
          <cell r="H87">
            <v>0</v>
          </cell>
          <cell r="L87">
            <v>0</v>
          </cell>
          <cell r="N87">
            <v>425.28</v>
          </cell>
          <cell r="O87">
            <v>0</v>
          </cell>
          <cell r="Q87">
            <v>0</v>
          </cell>
          <cell r="S87">
            <v>0</v>
          </cell>
          <cell r="U87">
            <v>0</v>
          </cell>
          <cell r="Y87">
            <v>55.92</v>
          </cell>
          <cell r="AE87" t="str">
            <v>20140101KUUM_498</v>
          </cell>
        </row>
        <row r="88">
          <cell r="B88" t="str">
            <v>Jan 2015</v>
          </cell>
          <cell r="C88" t="str">
            <v>LS</v>
          </cell>
          <cell r="D88" t="str">
            <v>KUUM_499</v>
          </cell>
          <cell r="E88">
            <v>24</v>
          </cell>
          <cell r="F88">
            <v>0</v>
          </cell>
          <cell r="G88">
            <v>0</v>
          </cell>
          <cell r="H88">
            <v>0</v>
          </cell>
          <cell r="L88">
            <v>0</v>
          </cell>
          <cell r="N88">
            <v>515.76</v>
          </cell>
          <cell r="O88">
            <v>0</v>
          </cell>
          <cell r="Q88">
            <v>0</v>
          </cell>
          <cell r="S88">
            <v>0</v>
          </cell>
          <cell r="U88">
            <v>0</v>
          </cell>
          <cell r="Y88">
            <v>108.72</v>
          </cell>
          <cell r="AE88" t="str">
            <v>20140101KUUM_499</v>
          </cell>
        </row>
        <row r="89">
          <cell r="B89" t="str">
            <v>Jan 2015</v>
          </cell>
          <cell r="C89" t="str">
            <v>ODL</v>
          </cell>
          <cell r="D89" t="str">
            <v>ODL</v>
          </cell>
          <cell r="E89">
            <v>0</v>
          </cell>
          <cell r="F89">
            <v>0</v>
          </cell>
          <cell r="G89">
            <v>12776614</v>
          </cell>
          <cell r="H89">
            <v>0</v>
          </cell>
          <cell r="L89">
            <v>0</v>
          </cell>
          <cell r="N89">
            <v>0</v>
          </cell>
          <cell r="O89">
            <v>2120256.25</v>
          </cell>
          <cell r="Q89">
            <v>33000</v>
          </cell>
          <cell r="S89">
            <v>39175</v>
          </cell>
          <cell r="U89">
            <v>2192431.25</v>
          </cell>
          <cell r="Y89">
            <v>0</v>
          </cell>
          <cell r="AE89" t="str">
            <v>20140101ODL</v>
          </cell>
        </row>
        <row r="90">
          <cell r="B90" t="str">
            <v>Feb 2015</v>
          </cell>
          <cell r="C90" t="str">
            <v>LS</v>
          </cell>
          <cell r="D90" t="str">
            <v>KUUM_300</v>
          </cell>
          <cell r="E90">
            <v>0</v>
          </cell>
          <cell r="F90">
            <v>0</v>
          </cell>
          <cell r="G90">
            <v>0</v>
          </cell>
          <cell r="H90">
            <v>0</v>
          </cell>
          <cell r="L90">
            <v>0</v>
          </cell>
          <cell r="N90">
            <v>0</v>
          </cell>
          <cell r="O90">
            <v>0</v>
          </cell>
          <cell r="Q90">
            <v>0</v>
          </cell>
          <cell r="S90">
            <v>0</v>
          </cell>
          <cell r="U90">
            <v>0</v>
          </cell>
          <cell r="Y90">
            <v>0</v>
          </cell>
          <cell r="AE90" t="str">
            <v>20140101KUUM_300</v>
          </cell>
        </row>
        <row r="91">
          <cell r="B91" t="str">
            <v>Feb 2015</v>
          </cell>
          <cell r="C91" t="str">
            <v>LS</v>
          </cell>
          <cell r="D91" t="str">
            <v>KUUM_301</v>
          </cell>
          <cell r="E91">
            <v>0</v>
          </cell>
          <cell r="F91">
            <v>0</v>
          </cell>
          <cell r="G91">
            <v>0</v>
          </cell>
          <cell r="H91">
            <v>0</v>
          </cell>
          <cell r="L91">
            <v>0</v>
          </cell>
          <cell r="N91">
            <v>0</v>
          </cell>
          <cell r="O91">
            <v>0</v>
          </cell>
          <cell r="Q91">
            <v>0</v>
          </cell>
          <cell r="S91">
            <v>0</v>
          </cell>
          <cell r="U91">
            <v>0</v>
          </cell>
          <cell r="Y91">
            <v>0</v>
          </cell>
          <cell r="AE91" t="str">
            <v>20140101KUUM_301</v>
          </cell>
        </row>
        <row r="92">
          <cell r="B92" t="str">
            <v>Feb 2015</v>
          </cell>
          <cell r="C92" t="str">
            <v>LS</v>
          </cell>
          <cell r="D92" t="str">
            <v>KUUM_360</v>
          </cell>
          <cell r="E92">
            <v>177</v>
          </cell>
          <cell r="F92">
            <v>0</v>
          </cell>
          <cell r="G92">
            <v>0</v>
          </cell>
          <cell r="H92">
            <v>0</v>
          </cell>
          <cell r="L92">
            <v>0</v>
          </cell>
          <cell r="N92">
            <v>9793.41</v>
          </cell>
          <cell r="O92">
            <v>0</v>
          </cell>
          <cell r="Q92">
            <v>0</v>
          </cell>
          <cell r="S92">
            <v>0</v>
          </cell>
          <cell r="U92">
            <v>0</v>
          </cell>
          <cell r="Y92">
            <v>309.75</v>
          </cell>
          <cell r="AE92" t="str">
            <v>20140101KUUM_360</v>
          </cell>
        </row>
        <row r="93">
          <cell r="B93" t="str">
            <v>Feb 2015</v>
          </cell>
          <cell r="C93" t="str">
            <v>LS</v>
          </cell>
          <cell r="D93" t="str">
            <v>KUUM_361</v>
          </cell>
          <cell r="E93">
            <v>25</v>
          </cell>
          <cell r="F93">
            <v>0</v>
          </cell>
          <cell r="G93">
            <v>0</v>
          </cell>
          <cell r="H93">
            <v>0</v>
          </cell>
          <cell r="L93">
            <v>0</v>
          </cell>
          <cell r="N93">
            <v>2079</v>
          </cell>
          <cell r="O93">
            <v>0</v>
          </cell>
          <cell r="Q93">
            <v>0</v>
          </cell>
          <cell r="S93">
            <v>0</v>
          </cell>
          <cell r="U93">
            <v>0</v>
          </cell>
          <cell r="Y93">
            <v>43.75</v>
          </cell>
          <cell r="AE93" t="str">
            <v>20140101KUUM_361</v>
          </cell>
        </row>
        <row r="94">
          <cell r="B94" t="str">
            <v>Feb 2015</v>
          </cell>
          <cell r="C94" t="str">
            <v>LS</v>
          </cell>
          <cell r="D94" t="str">
            <v>KUUM_362</v>
          </cell>
          <cell r="E94">
            <v>43</v>
          </cell>
          <cell r="F94">
            <v>0</v>
          </cell>
          <cell r="G94">
            <v>0</v>
          </cell>
          <cell r="H94">
            <v>0</v>
          </cell>
          <cell r="L94">
            <v>0</v>
          </cell>
          <cell r="N94">
            <v>2570.54</v>
          </cell>
          <cell r="O94">
            <v>0</v>
          </cell>
          <cell r="Q94">
            <v>0</v>
          </cell>
          <cell r="S94">
            <v>0</v>
          </cell>
          <cell r="U94">
            <v>0</v>
          </cell>
          <cell r="Y94">
            <v>75.25</v>
          </cell>
          <cell r="AE94" t="str">
            <v>20140101KUUM_362</v>
          </cell>
        </row>
        <row r="95">
          <cell r="B95" t="str">
            <v>Feb 2015</v>
          </cell>
          <cell r="C95" t="str">
            <v>LS</v>
          </cell>
          <cell r="D95" t="str">
            <v>KUUM_363</v>
          </cell>
          <cell r="E95">
            <v>5</v>
          </cell>
          <cell r="F95">
            <v>0</v>
          </cell>
          <cell r="G95">
            <v>0</v>
          </cell>
          <cell r="H95">
            <v>0</v>
          </cell>
          <cell r="L95">
            <v>0</v>
          </cell>
          <cell r="N95">
            <v>308.75</v>
          </cell>
          <cell r="O95">
            <v>0</v>
          </cell>
          <cell r="Q95">
            <v>0</v>
          </cell>
          <cell r="S95">
            <v>0</v>
          </cell>
          <cell r="U95">
            <v>0</v>
          </cell>
          <cell r="Y95">
            <v>8.75</v>
          </cell>
          <cell r="AE95" t="str">
            <v>20140101KUUM_363</v>
          </cell>
        </row>
        <row r="96">
          <cell r="B96" t="str">
            <v>Feb 2015</v>
          </cell>
          <cell r="C96" t="str">
            <v>LS</v>
          </cell>
          <cell r="D96" t="str">
            <v>KUUM_364</v>
          </cell>
          <cell r="E96">
            <v>1</v>
          </cell>
          <cell r="F96">
            <v>0</v>
          </cell>
          <cell r="G96">
            <v>0</v>
          </cell>
          <cell r="H96">
            <v>0</v>
          </cell>
          <cell r="L96">
            <v>0</v>
          </cell>
          <cell r="N96">
            <v>63.11</v>
          </cell>
          <cell r="O96">
            <v>0</v>
          </cell>
          <cell r="Q96">
            <v>0</v>
          </cell>
          <cell r="S96">
            <v>0</v>
          </cell>
          <cell r="U96">
            <v>0</v>
          </cell>
          <cell r="Y96">
            <v>1.75</v>
          </cell>
          <cell r="AE96" t="str">
            <v>20140101KUUM_364</v>
          </cell>
        </row>
        <row r="97">
          <cell r="B97" t="str">
            <v>Feb 2015</v>
          </cell>
          <cell r="C97" t="str">
            <v>LS</v>
          </cell>
          <cell r="D97" t="str">
            <v>KUUM_365</v>
          </cell>
          <cell r="E97">
            <v>5</v>
          </cell>
          <cell r="F97">
            <v>0</v>
          </cell>
          <cell r="G97">
            <v>0</v>
          </cell>
          <cell r="H97">
            <v>0</v>
          </cell>
          <cell r="L97">
            <v>0</v>
          </cell>
          <cell r="N97">
            <v>404.7</v>
          </cell>
          <cell r="O97">
            <v>0</v>
          </cell>
          <cell r="Q97">
            <v>0</v>
          </cell>
          <cell r="S97">
            <v>0</v>
          </cell>
          <cell r="U97">
            <v>0</v>
          </cell>
          <cell r="Y97">
            <v>8.75</v>
          </cell>
          <cell r="AE97" t="str">
            <v>20140101KUUM_365</v>
          </cell>
        </row>
        <row r="98">
          <cell r="B98" t="str">
            <v>Feb 2015</v>
          </cell>
          <cell r="C98" t="str">
            <v>LS</v>
          </cell>
          <cell r="D98" t="str">
            <v>KUUM_366</v>
          </cell>
          <cell r="E98">
            <v>9</v>
          </cell>
          <cell r="F98">
            <v>0</v>
          </cell>
          <cell r="G98">
            <v>0</v>
          </cell>
          <cell r="H98">
            <v>0</v>
          </cell>
          <cell r="L98">
            <v>0</v>
          </cell>
          <cell r="N98">
            <v>710.73</v>
          </cell>
          <cell r="O98">
            <v>0</v>
          </cell>
          <cell r="Q98">
            <v>0</v>
          </cell>
          <cell r="S98">
            <v>0</v>
          </cell>
          <cell r="U98">
            <v>0</v>
          </cell>
          <cell r="Y98">
            <v>15.75</v>
          </cell>
          <cell r="AE98" t="str">
            <v>20140101KUUM_366</v>
          </cell>
        </row>
        <row r="99">
          <cell r="B99" t="str">
            <v>Feb 2015</v>
          </cell>
          <cell r="C99" t="str">
            <v>LS</v>
          </cell>
          <cell r="D99" t="str">
            <v>KUUM_367</v>
          </cell>
          <cell r="E99">
            <v>25</v>
          </cell>
          <cell r="F99">
            <v>0</v>
          </cell>
          <cell r="G99">
            <v>0</v>
          </cell>
          <cell r="H99">
            <v>0</v>
          </cell>
          <cell r="L99">
            <v>0</v>
          </cell>
          <cell r="N99">
            <v>1530.75</v>
          </cell>
          <cell r="O99">
            <v>0</v>
          </cell>
          <cell r="Q99">
            <v>0</v>
          </cell>
          <cell r="S99">
            <v>0</v>
          </cell>
          <cell r="U99">
            <v>0</v>
          </cell>
          <cell r="Y99">
            <v>43.75</v>
          </cell>
          <cell r="AE99" t="str">
            <v>20140101KUUM_367</v>
          </cell>
        </row>
        <row r="100">
          <cell r="B100" t="str">
            <v>Feb 2015</v>
          </cell>
          <cell r="C100" t="str">
            <v>LS</v>
          </cell>
          <cell r="D100" t="str">
            <v>KUUM_368</v>
          </cell>
          <cell r="E100">
            <v>1</v>
          </cell>
          <cell r="F100">
            <v>0</v>
          </cell>
          <cell r="G100">
            <v>0</v>
          </cell>
          <cell r="H100">
            <v>0</v>
          </cell>
          <cell r="L100">
            <v>0</v>
          </cell>
          <cell r="N100">
            <v>56.69</v>
          </cell>
          <cell r="O100">
            <v>0</v>
          </cell>
          <cell r="Q100">
            <v>0</v>
          </cell>
          <cell r="S100">
            <v>0</v>
          </cell>
          <cell r="U100">
            <v>0</v>
          </cell>
          <cell r="Y100">
            <v>1.75</v>
          </cell>
          <cell r="AE100" t="str">
            <v>20140101KUUM_368</v>
          </cell>
        </row>
        <row r="101">
          <cell r="B101" t="str">
            <v>Feb 2015</v>
          </cell>
          <cell r="C101" t="str">
            <v>LS</v>
          </cell>
          <cell r="D101" t="str">
            <v>KUUM_370</v>
          </cell>
          <cell r="E101">
            <v>15</v>
          </cell>
          <cell r="F101">
            <v>0</v>
          </cell>
          <cell r="G101">
            <v>0</v>
          </cell>
          <cell r="H101">
            <v>0</v>
          </cell>
          <cell r="L101">
            <v>0</v>
          </cell>
          <cell r="N101">
            <v>1117.8</v>
          </cell>
          <cell r="O101">
            <v>0</v>
          </cell>
          <cell r="Q101">
            <v>0</v>
          </cell>
          <cell r="S101">
            <v>0</v>
          </cell>
          <cell r="U101">
            <v>0</v>
          </cell>
          <cell r="Y101">
            <v>26.25</v>
          </cell>
          <cell r="AE101" t="str">
            <v>20140101KUUM_370</v>
          </cell>
        </row>
        <row r="102">
          <cell r="B102" t="str">
            <v>Feb 2015</v>
          </cell>
          <cell r="C102" t="str">
            <v>LS</v>
          </cell>
          <cell r="D102" t="str">
            <v>KUUM_372</v>
          </cell>
          <cell r="E102">
            <v>1</v>
          </cell>
          <cell r="F102">
            <v>0</v>
          </cell>
          <cell r="G102">
            <v>0</v>
          </cell>
          <cell r="H102">
            <v>0</v>
          </cell>
          <cell r="L102">
            <v>0</v>
          </cell>
          <cell r="N102">
            <v>82.3</v>
          </cell>
          <cell r="O102">
            <v>0</v>
          </cell>
          <cell r="Q102">
            <v>0</v>
          </cell>
          <cell r="S102">
            <v>0</v>
          </cell>
          <cell r="U102">
            <v>0</v>
          </cell>
          <cell r="Y102">
            <v>1.75</v>
          </cell>
          <cell r="AE102" t="str">
            <v>20140101KUUM_372</v>
          </cell>
        </row>
        <row r="103">
          <cell r="B103" t="str">
            <v>Feb 2015</v>
          </cell>
          <cell r="C103" t="str">
            <v>LS</v>
          </cell>
          <cell r="D103" t="str">
            <v>KUUM_373</v>
          </cell>
          <cell r="E103">
            <v>20</v>
          </cell>
          <cell r="F103">
            <v>0</v>
          </cell>
          <cell r="G103">
            <v>0</v>
          </cell>
          <cell r="H103">
            <v>0</v>
          </cell>
          <cell r="L103">
            <v>0</v>
          </cell>
          <cell r="N103">
            <v>1490.4</v>
          </cell>
          <cell r="O103">
            <v>0</v>
          </cell>
          <cell r="Q103">
            <v>0</v>
          </cell>
          <cell r="S103">
            <v>0</v>
          </cell>
          <cell r="U103">
            <v>0</v>
          </cell>
          <cell r="Y103">
            <v>35</v>
          </cell>
          <cell r="AE103" t="str">
            <v>20140101KUUM_373</v>
          </cell>
        </row>
        <row r="104">
          <cell r="B104" t="str">
            <v>Feb 2015</v>
          </cell>
          <cell r="C104" t="str">
            <v>LS</v>
          </cell>
          <cell r="D104" t="str">
            <v>KUUM_374</v>
          </cell>
          <cell r="E104">
            <v>4</v>
          </cell>
          <cell r="F104">
            <v>0</v>
          </cell>
          <cell r="G104">
            <v>0</v>
          </cell>
          <cell r="H104">
            <v>0</v>
          </cell>
          <cell r="L104">
            <v>0</v>
          </cell>
          <cell r="N104">
            <v>303.52</v>
          </cell>
          <cell r="O104">
            <v>0</v>
          </cell>
          <cell r="Q104">
            <v>0</v>
          </cell>
          <cell r="S104">
            <v>0</v>
          </cell>
          <cell r="U104">
            <v>0</v>
          </cell>
          <cell r="Y104">
            <v>7</v>
          </cell>
          <cell r="AE104" t="str">
            <v>20140101KUUM_374</v>
          </cell>
        </row>
        <row r="105">
          <cell r="B105" t="str">
            <v>Feb 2015</v>
          </cell>
          <cell r="C105" t="str">
            <v>LS</v>
          </cell>
          <cell r="D105" t="str">
            <v>KUUM_375</v>
          </cell>
          <cell r="E105">
            <v>3</v>
          </cell>
          <cell r="F105">
            <v>0</v>
          </cell>
          <cell r="G105">
            <v>0</v>
          </cell>
          <cell r="H105">
            <v>0</v>
          </cell>
          <cell r="L105">
            <v>0</v>
          </cell>
          <cell r="N105">
            <v>236.91</v>
          </cell>
          <cell r="O105">
            <v>0</v>
          </cell>
          <cell r="Q105">
            <v>0</v>
          </cell>
          <cell r="S105">
            <v>0</v>
          </cell>
          <cell r="U105">
            <v>0</v>
          </cell>
          <cell r="Y105">
            <v>5.25</v>
          </cell>
          <cell r="AE105" t="str">
            <v>20140101KUUM_375</v>
          </cell>
        </row>
        <row r="106">
          <cell r="B106" t="str">
            <v>Feb 2015</v>
          </cell>
          <cell r="C106" t="str">
            <v>LS</v>
          </cell>
          <cell r="D106" t="str">
            <v>KUUM_376</v>
          </cell>
          <cell r="E106">
            <v>2</v>
          </cell>
          <cell r="F106">
            <v>0</v>
          </cell>
          <cell r="G106">
            <v>0</v>
          </cell>
          <cell r="H106">
            <v>0</v>
          </cell>
          <cell r="L106">
            <v>0</v>
          </cell>
          <cell r="N106">
            <v>154.52000000000001</v>
          </cell>
          <cell r="O106">
            <v>0</v>
          </cell>
          <cell r="Q106">
            <v>0</v>
          </cell>
          <cell r="S106">
            <v>0</v>
          </cell>
          <cell r="U106">
            <v>0</v>
          </cell>
          <cell r="Y106">
            <v>3.5</v>
          </cell>
          <cell r="AE106" t="str">
            <v>20140101KUUM_376</v>
          </cell>
        </row>
        <row r="107">
          <cell r="B107" t="str">
            <v>Feb 2015</v>
          </cell>
          <cell r="C107" t="str">
            <v>LS</v>
          </cell>
          <cell r="D107" t="str">
            <v>KUUM_377</v>
          </cell>
          <cell r="E107">
            <v>51</v>
          </cell>
          <cell r="F107">
            <v>0</v>
          </cell>
          <cell r="G107">
            <v>0</v>
          </cell>
          <cell r="H107">
            <v>0</v>
          </cell>
          <cell r="L107">
            <v>0</v>
          </cell>
          <cell r="N107">
            <v>3273.69</v>
          </cell>
          <cell r="O107">
            <v>0</v>
          </cell>
          <cell r="Q107">
            <v>0</v>
          </cell>
          <cell r="S107">
            <v>0</v>
          </cell>
          <cell r="U107">
            <v>0</v>
          </cell>
          <cell r="Y107">
            <v>89.25</v>
          </cell>
          <cell r="AE107" t="str">
            <v>20140101KUUM_377</v>
          </cell>
        </row>
        <row r="108">
          <cell r="B108" t="str">
            <v>Feb 2015</v>
          </cell>
          <cell r="C108" t="str">
            <v>LS</v>
          </cell>
          <cell r="D108" t="str">
            <v>KUUM_378</v>
          </cell>
          <cell r="E108">
            <v>2</v>
          </cell>
          <cell r="F108">
            <v>0</v>
          </cell>
          <cell r="G108">
            <v>0</v>
          </cell>
          <cell r="H108">
            <v>0</v>
          </cell>
          <cell r="L108">
            <v>0</v>
          </cell>
          <cell r="N108">
            <v>151.80000000000001</v>
          </cell>
          <cell r="O108">
            <v>0</v>
          </cell>
          <cell r="Q108">
            <v>0</v>
          </cell>
          <cell r="S108">
            <v>0</v>
          </cell>
          <cell r="U108">
            <v>0</v>
          </cell>
          <cell r="Y108">
            <v>3.5</v>
          </cell>
          <cell r="AE108" t="str">
            <v>20140101KUUM_378</v>
          </cell>
        </row>
        <row r="109">
          <cell r="B109" t="str">
            <v>Feb 2015</v>
          </cell>
          <cell r="C109" t="str">
            <v>LS</v>
          </cell>
          <cell r="D109" t="str">
            <v>KUUM_401</v>
          </cell>
          <cell r="E109">
            <v>52</v>
          </cell>
          <cell r="F109">
            <v>0</v>
          </cell>
          <cell r="G109">
            <v>0</v>
          </cell>
          <cell r="H109">
            <v>0</v>
          </cell>
          <cell r="L109">
            <v>0</v>
          </cell>
          <cell r="N109">
            <v>772.72</v>
          </cell>
          <cell r="O109">
            <v>0</v>
          </cell>
          <cell r="Q109">
            <v>0</v>
          </cell>
          <cell r="S109">
            <v>0</v>
          </cell>
          <cell r="U109">
            <v>0</v>
          </cell>
          <cell r="Y109">
            <v>41.6</v>
          </cell>
          <cell r="AE109" t="str">
            <v>20140101KUUM_401</v>
          </cell>
        </row>
        <row r="110">
          <cell r="B110" t="str">
            <v>Feb 2015</v>
          </cell>
          <cell r="C110" t="str">
            <v>RLS</v>
          </cell>
          <cell r="D110" t="str">
            <v>KUUM_404</v>
          </cell>
          <cell r="E110">
            <v>7335</v>
          </cell>
          <cell r="F110">
            <v>0</v>
          </cell>
          <cell r="G110">
            <v>0</v>
          </cell>
          <cell r="H110">
            <v>0</v>
          </cell>
          <cell r="L110">
            <v>0</v>
          </cell>
          <cell r="N110">
            <v>77530.95</v>
          </cell>
          <cell r="O110">
            <v>0</v>
          </cell>
          <cell r="Q110">
            <v>0</v>
          </cell>
          <cell r="S110">
            <v>0</v>
          </cell>
          <cell r="U110">
            <v>0</v>
          </cell>
          <cell r="Y110">
            <v>14596.65</v>
          </cell>
          <cell r="AE110" t="str">
            <v>20140101KUUM_404</v>
          </cell>
        </row>
        <row r="111">
          <cell r="B111" t="str">
            <v>Feb 2015</v>
          </cell>
          <cell r="C111" t="str">
            <v>RLS</v>
          </cell>
          <cell r="D111" t="str">
            <v>KUUM_405</v>
          </cell>
          <cell r="E111">
            <v>0</v>
          </cell>
          <cell r="F111">
            <v>0</v>
          </cell>
          <cell r="G111">
            <v>0</v>
          </cell>
          <cell r="H111">
            <v>0</v>
          </cell>
          <cell r="L111">
            <v>0</v>
          </cell>
          <cell r="N111">
            <v>0</v>
          </cell>
          <cell r="O111">
            <v>0</v>
          </cell>
          <cell r="Q111">
            <v>0</v>
          </cell>
          <cell r="S111">
            <v>0</v>
          </cell>
          <cell r="U111">
            <v>0</v>
          </cell>
          <cell r="Y111">
            <v>0</v>
          </cell>
          <cell r="AE111" t="str">
            <v>20140101KUUM_405</v>
          </cell>
        </row>
        <row r="112">
          <cell r="B112" t="str">
            <v>Feb 2015</v>
          </cell>
          <cell r="C112" t="str">
            <v>LS</v>
          </cell>
          <cell r="D112" t="str">
            <v>KUUM_407</v>
          </cell>
          <cell r="E112">
            <v>0</v>
          </cell>
          <cell r="F112">
            <v>0</v>
          </cell>
          <cell r="G112">
            <v>0</v>
          </cell>
          <cell r="H112">
            <v>0</v>
          </cell>
          <cell r="L112">
            <v>0</v>
          </cell>
          <cell r="N112">
            <v>0</v>
          </cell>
          <cell r="O112">
            <v>0</v>
          </cell>
          <cell r="Q112">
            <v>0</v>
          </cell>
          <cell r="S112">
            <v>0</v>
          </cell>
          <cell r="U112">
            <v>0</v>
          </cell>
          <cell r="Y112">
            <v>0</v>
          </cell>
          <cell r="AE112" t="str">
            <v>20140101KUUM_407</v>
          </cell>
        </row>
        <row r="113">
          <cell r="B113" t="str">
            <v>Feb 2015</v>
          </cell>
          <cell r="C113" t="str">
            <v>RLS</v>
          </cell>
          <cell r="D113" t="str">
            <v>KUUM_409</v>
          </cell>
          <cell r="E113">
            <v>136</v>
          </cell>
          <cell r="F113">
            <v>0</v>
          </cell>
          <cell r="G113">
            <v>0</v>
          </cell>
          <cell r="H113">
            <v>0</v>
          </cell>
          <cell r="L113">
            <v>0</v>
          </cell>
          <cell r="N113">
            <v>1592.56</v>
          </cell>
          <cell r="O113">
            <v>0</v>
          </cell>
          <cell r="Q113">
            <v>0</v>
          </cell>
          <cell r="S113">
            <v>0</v>
          </cell>
          <cell r="U113">
            <v>0</v>
          </cell>
          <cell r="Y113">
            <v>616.08000000000004</v>
          </cell>
          <cell r="AE113" t="str">
            <v>20140101KUUM_409</v>
          </cell>
        </row>
        <row r="114">
          <cell r="B114" t="str">
            <v>Feb 2015</v>
          </cell>
          <cell r="C114" t="str">
            <v>RLS</v>
          </cell>
          <cell r="D114" t="str">
            <v>KUUM_410</v>
          </cell>
          <cell r="E114">
            <v>239</v>
          </cell>
          <cell r="F114">
            <v>0</v>
          </cell>
          <cell r="G114">
            <v>0</v>
          </cell>
          <cell r="H114">
            <v>0</v>
          </cell>
          <cell r="L114">
            <v>0</v>
          </cell>
          <cell r="N114">
            <v>4842.1400000000003</v>
          </cell>
          <cell r="O114">
            <v>0</v>
          </cell>
          <cell r="Q114">
            <v>0</v>
          </cell>
          <cell r="S114">
            <v>0</v>
          </cell>
          <cell r="U114">
            <v>0</v>
          </cell>
          <cell r="Y114">
            <v>136.22999999999999</v>
          </cell>
          <cell r="AE114" t="str">
            <v>20140101KUUM_410</v>
          </cell>
        </row>
        <row r="115">
          <cell r="B115" t="str">
            <v>Feb 2015</v>
          </cell>
          <cell r="C115" t="str">
            <v>LS</v>
          </cell>
          <cell r="D115" t="str">
            <v>KUUM_411</v>
          </cell>
          <cell r="E115">
            <v>144</v>
          </cell>
          <cell r="F115">
            <v>0</v>
          </cell>
          <cell r="G115">
            <v>0</v>
          </cell>
          <cell r="H115">
            <v>0</v>
          </cell>
          <cell r="L115">
            <v>0</v>
          </cell>
          <cell r="N115">
            <v>3078.72</v>
          </cell>
          <cell r="O115">
            <v>0</v>
          </cell>
          <cell r="Q115">
            <v>0</v>
          </cell>
          <cell r="S115">
            <v>0</v>
          </cell>
          <cell r="U115">
            <v>0</v>
          </cell>
          <cell r="Y115">
            <v>115.2</v>
          </cell>
          <cell r="AE115" t="str">
            <v>20140101KUUM_411</v>
          </cell>
        </row>
        <row r="116">
          <cell r="B116" t="str">
            <v>Feb 2015</v>
          </cell>
          <cell r="C116" t="str">
            <v>RLS</v>
          </cell>
          <cell r="D116" t="str">
            <v>KUUM_412</v>
          </cell>
          <cell r="E116">
            <v>28</v>
          </cell>
          <cell r="F116">
            <v>0</v>
          </cell>
          <cell r="G116">
            <v>0</v>
          </cell>
          <cell r="H116">
            <v>0</v>
          </cell>
          <cell r="L116">
            <v>0</v>
          </cell>
          <cell r="N116">
            <v>863.52</v>
          </cell>
          <cell r="O116">
            <v>0</v>
          </cell>
          <cell r="Q116">
            <v>0</v>
          </cell>
          <cell r="S116">
            <v>0</v>
          </cell>
          <cell r="U116">
            <v>0</v>
          </cell>
          <cell r="Y116">
            <v>22.4</v>
          </cell>
          <cell r="AE116" t="str">
            <v>20140101KUUM_412</v>
          </cell>
        </row>
        <row r="117">
          <cell r="B117" t="str">
            <v>Feb 2015</v>
          </cell>
          <cell r="C117" t="str">
            <v>RLS</v>
          </cell>
          <cell r="D117" t="str">
            <v>KUUM_413</v>
          </cell>
          <cell r="E117">
            <v>96</v>
          </cell>
          <cell r="F117">
            <v>0</v>
          </cell>
          <cell r="G117">
            <v>0</v>
          </cell>
          <cell r="H117">
            <v>0</v>
          </cell>
          <cell r="L117">
            <v>0</v>
          </cell>
          <cell r="N117">
            <v>2997.12</v>
          </cell>
          <cell r="O117">
            <v>0</v>
          </cell>
          <cell r="Q117">
            <v>0</v>
          </cell>
          <cell r="S117">
            <v>0</v>
          </cell>
          <cell r="U117">
            <v>0</v>
          </cell>
          <cell r="Y117">
            <v>108.48</v>
          </cell>
          <cell r="AE117" t="str">
            <v>20140101KUUM_413</v>
          </cell>
        </row>
        <row r="118">
          <cell r="B118" t="str">
            <v>Feb 2015</v>
          </cell>
          <cell r="C118" t="str">
            <v>LS</v>
          </cell>
          <cell r="D118" t="str">
            <v>KUUM_414</v>
          </cell>
          <cell r="E118">
            <v>21</v>
          </cell>
          <cell r="F118">
            <v>0</v>
          </cell>
          <cell r="G118">
            <v>0</v>
          </cell>
          <cell r="H118">
            <v>0</v>
          </cell>
          <cell r="L118">
            <v>0</v>
          </cell>
          <cell r="N118">
            <v>647.64</v>
          </cell>
          <cell r="O118">
            <v>0</v>
          </cell>
          <cell r="Q118">
            <v>0</v>
          </cell>
          <cell r="S118">
            <v>0</v>
          </cell>
          <cell r="U118">
            <v>0</v>
          </cell>
          <cell r="Y118">
            <v>16.8</v>
          </cell>
          <cell r="AE118" t="str">
            <v>20140101KUUM_414</v>
          </cell>
        </row>
        <row r="119">
          <cell r="B119" t="str">
            <v>Feb 2015</v>
          </cell>
          <cell r="C119" t="str">
            <v>LS</v>
          </cell>
          <cell r="D119" t="str">
            <v>KUUM_415</v>
          </cell>
          <cell r="E119">
            <v>10</v>
          </cell>
          <cell r="F119">
            <v>0</v>
          </cell>
          <cell r="G119">
            <v>0</v>
          </cell>
          <cell r="H119">
            <v>0</v>
          </cell>
          <cell r="L119">
            <v>0</v>
          </cell>
          <cell r="N119">
            <v>312.2</v>
          </cell>
          <cell r="O119">
            <v>0</v>
          </cell>
          <cell r="Q119">
            <v>0</v>
          </cell>
          <cell r="S119">
            <v>0</v>
          </cell>
          <cell r="U119">
            <v>0</v>
          </cell>
          <cell r="Y119">
            <v>11.3</v>
          </cell>
          <cell r="AE119" t="str">
            <v>20140101KUUM_415</v>
          </cell>
        </row>
        <row r="120">
          <cell r="B120" t="str">
            <v>Feb 2015</v>
          </cell>
          <cell r="C120" t="str">
            <v>LS</v>
          </cell>
          <cell r="D120" t="str">
            <v>KUUM_420</v>
          </cell>
          <cell r="E120">
            <v>462</v>
          </cell>
          <cell r="F120">
            <v>0</v>
          </cell>
          <cell r="G120">
            <v>0</v>
          </cell>
          <cell r="H120">
            <v>0</v>
          </cell>
          <cell r="L120">
            <v>0</v>
          </cell>
          <cell r="N120">
            <v>7096.32</v>
          </cell>
          <cell r="O120">
            <v>0</v>
          </cell>
          <cell r="Q120">
            <v>0</v>
          </cell>
          <cell r="S120">
            <v>0</v>
          </cell>
          <cell r="U120">
            <v>0</v>
          </cell>
          <cell r="Y120">
            <v>522.05999999999995</v>
          </cell>
          <cell r="AE120" t="str">
            <v>20140101KUUM_420</v>
          </cell>
        </row>
        <row r="121">
          <cell r="B121" t="str">
            <v>Feb 2015</v>
          </cell>
          <cell r="C121" t="str">
            <v>RLS</v>
          </cell>
          <cell r="D121" t="str">
            <v>KUUM_421</v>
          </cell>
          <cell r="E121">
            <v>5</v>
          </cell>
          <cell r="F121">
            <v>0</v>
          </cell>
          <cell r="G121">
            <v>0</v>
          </cell>
          <cell r="H121">
            <v>0</v>
          </cell>
          <cell r="L121">
            <v>0</v>
          </cell>
          <cell r="N121">
            <v>16.95</v>
          </cell>
          <cell r="O121">
            <v>0</v>
          </cell>
          <cell r="Q121">
            <v>0</v>
          </cell>
          <cell r="S121">
            <v>0</v>
          </cell>
          <cell r="U121">
            <v>0</v>
          </cell>
          <cell r="Y121">
            <v>4.95</v>
          </cell>
          <cell r="AE121" t="str">
            <v>20140101KUUM_421</v>
          </cell>
        </row>
        <row r="122">
          <cell r="B122" t="str">
            <v>Feb 2015</v>
          </cell>
          <cell r="C122" t="str">
            <v>RLS</v>
          </cell>
          <cell r="D122" t="str">
            <v>KUUM_422</v>
          </cell>
          <cell r="E122">
            <v>686</v>
          </cell>
          <cell r="F122">
            <v>0</v>
          </cell>
          <cell r="G122">
            <v>0</v>
          </cell>
          <cell r="H122">
            <v>0</v>
          </cell>
          <cell r="L122">
            <v>0</v>
          </cell>
          <cell r="N122">
            <v>3114.44</v>
          </cell>
          <cell r="O122">
            <v>0</v>
          </cell>
          <cell r="Q122">
            <v>0</v>
          </cell>
          <cell r="S122">
            <v>0</v>
          </cell>
          <cell r="U122">
            <v>0</v>
          </cell>
          <cell r="Y122">
            <v>1330.84</v>
          </cell>
          <cell r="AE122" t="str">
            <v>20140101KUUM_422</v>
          </cell>
        </row>
        <row r="123">
          <cell r="B123" t="str">
            <v>Feb 2015</v>
          </cell>
          <cell r="C123" t="str">
            <v>RLS</v>
          </cell>
          <cell r="D123" t="str">
            <v>KUUM_424</v>
          </cell>
          <cell r="E123">
            <v>87</v>
          </cell>
          <cell r="F123">
            <v>0</v>
          </cell>
          <cell r="G123">
            <v>0</v>
          </cell>
          <cell r="H123">
            <v>0</v>
          </cell>
          <cell r="L123">
            <v>0</v>
          </cell>
          <cell r="N123">
            <v>589.86</v>
          </cell>
          <cell r="O123">
            <v>0</v>
          </cell>
          <cell r="Q123">
            <v>0</v>
          </cell>
          <cell r="S123">
            <v>0</v>
          </cell>
          <cell r="U123">
            <v>0</v>
          </cell>
          <cell r="Y123">
            <v>60.9</v>
          </cell>
          <cell r="AE123" t="str">
            <v>20140101KUUM_424</v>
          </cell>
        </row>
        <row r="124">
          <cell r="B124" t="str">
            <v>Feb 2015</v>
          </cell>
          <cell r="C124" t="str">
            <v>RLS</v>
          </cell>
          <cell r="D124" t="str">
            <v>KUUM_425</v>
          </cell>
          <cell r="E124">
            <v>2</v>
          </cell>
          <cell r="F124">
            <v>0</v>
          </cell>
          <cell r="G124">
            <v>0</v>
          </cell>
          <cell r="H124">
            <v>0</v>
          </cell>
          <cell r="L124">
            <v>0</v>
          </cell>
          <cell r="N124">
            <v>18.12</v>
          </cell>
          <cell r="O124">
            <v>0</v>
          </cell>
          <cell r="Q124">
            <v>0</v>
          </cell>
          <cell r="S124">
            <v>0</v>
          </cell>
          <cell r="U124">
            <v>0</v>
          </cell>
          <cell r="Y124">
            <v>8.6</v>
          </cell>
          <cell r="AE124" t="str">
            <v>20140101KUUM_425</v>
          </cell>
        </row>
        <row r="125">
          <cell r="B125" t="str">
            <v>Feb 2015</v>
          </cell>
          <cell r="C125" t="str">
            <v>RLS</v>
          </cell>
          <cell r="D125" t="str">
            <v>KUUM_426</v>
          </cell>
          <cell r="E125">
            <v>171</v>
          </cell>
          <cell r="F125">
            <v>0</v>
          </cell>
          <cell r="G125">
            <v>0</v>
          </cell>
          <cell r="H125">
            <v>0</v>
          </cell>
          <cell r="L125">
            <v>0</v>
          </cell>
          <cell r="N125">
            <v>1272.24</v>
          </cell>
          <cell r="O125">
            <v>0</v>
          </cell>
          <cell r="Q125">
            <v>0</v>
          </cell>
          <cell r="S125">
            <v>0</v>
          </cell>
          <cell r="U125">
            <v>0</v>
          </cell>
          <cell r="Y125">
            <v>136.80000000000001</v>
          </cell>
          <cell r="AE125" t="str">
            <v>20140101KUUM_426</v>
          </cell>
        </row>
        <row r="126">
          <cell r="B126" t="str">
            <v>Feb 2015</v>
          </cell>
          <cell r="C126" t="str">
            <v>LS</v>
          </cell>
          <cell r="D126" t="str">
            <v>KUUM_428</v>
          </cell>
          <cell r="E126">
            <v>36616</v>
          </cell>
          <cell r="F126">
            <v>0</v>
          </cell>
          <cell r="G126">
            <v>0</v>
          </cell>
          <cell r="H126">
            <v>0</v>
          </cell>
          <cell r="L126">
            <v>0</v>
          </cell>
          <cell r="N126">
            <v>287069.44</v>
          </cell>
          <cell r="O126">
            <v>0</v>
          </cell>
          <cell r="Q126">
            <v>0</v>
          </cell>
          <cell r="S126">
            <v>0</v>
          </cell>
          <cell r="U126">
            <v>0</v>
          </cell>
          <cell r="Y126">
            <v>41376.080000000002</v>
          </cell>
          <cell r="AE126" t="str">
            <v>20140101KUUM_428</v>
          </cell>
        </row>
        <row r="127">
          <cell r="B127" t="str">
            <v>Feb 2015</v>
          </cell>
          <cell r="C127" t="str">
            <v>LS</v>
          </cell>
          <cell r="D127" t="str">
            <v>KUUM_429</v>
          </cell>
          <cell r="E127">
            <v>0</v>
          </cell>
          <cell r="F127">
            <v>0</v>
          </cell>
          <cell r="G127">
            <v>0</v>
          </cell>
          <cell r="H127">
            <v>0</v>
          </cell>
          <cell r="L127">
            <v>0</v>
          </cell>
          <cell r="N127">
            <v>0</v>
          </cell>
          <cell r="O127">
            <v>0</v>
          </cell>
          <cell r="Q127">
            <v>0</v>
          </cell>
          <cell r="S127">
            <v>0</v>
          </cell>
          <cell r="U127">
            <v>0</v>
          </cell>
          <cell r="Y127">
            <v>0</v>
          </cell>
          <cell r="AE127" t="str">
            <v>20140101KUUM_429</v>
          </cell>
        </row>
        <row r="128">
          <cell r="B128" t="str">
            <v>Feb 2015</v>
          </cell>
          <cell r="C128" t="str">
            <v>LS</v>
          </cell>
          <cell r="D128" t="str">
            <v>KUUM_430</v>
          </cell>
          <cell r="E128">
            <v>1148</v>
          </cell>
          <cell r="F128">
            <v>0</v>
          </cell>
          <cell r="G128">
            <v>0</v>
          </cell>
          <cell r="H128">
            <v>0</v>
          </cell>
          <cell r="L128">
            <v>0</v>
          </cell>
          <cell r="N128">
            <v>25256</v>
          </cell>
          <cell r="O128">
            <v>0</v>
          </cell>
          <cell r="Q128">
            <v>0</v>
          </cell>
          <cell r="S128">
            <v>0</v>
          </cell>
          <cell r="U128">
            <v>0</v>
          </cell>
          <cell r="Y128">
            <v>1297.24</v>
          </cell>
          <cell r="AE128" t="str">
            <v>20140101KUUM_430</v>
          </cell>
        </row>
        <row r="129">
          <cell r="B129" t="str">
            <v>Feb 2015</v>
          </cell>
          <cell r="C129" t="str">
            <v>RLS</v>
          </cell>
          <cell r="D129" t="str">
            <v>KUUM_434</v>
          </cell>
          <cell r="E129">
            <v>6</v>
          </cell>
          <cell r="F129">
            <v>0</v>
          </cell>
          <cell r="G129">
            <v>0</v>
          </cell>
          <cell r="H129">
            <v>0</v>
          </cell>
          <cell r="L129">
            <v>0</v>
          </cell>
          <cell r="N129">
            <v>46.44</v>
          </cell>
          <cell r="O129">
            <v>0</v>
          </cell>
          <cell r="Q129">
            <v>0</v>
          </cell>
          <cell r="S129">
            <v>0</v>
          </cell>
          <cell r="U129">
            <v>0</v>
          </cell>
          <cell r="Y129">
            <v>4.2</v>
          </cell>
          <cell r="AE129" t="str">
            <v>20140101KUUM_434</v>
          </cell>
        </row>
        <row r="130">
          <cell r="B130" t="str">
            <v>Feb 2015</v>
          </cell>
          <cell r="C130" t="str">
            <v>RLS</v>
          </cell>
          <cell r="D130" t="str">
            <v>KUUM_440</v>
          </cell>
          <cell r="E130">
            <v>2</v>
          </cell>
          <cell r="F130">
            <v>0</v>
          </cell>
          <cell r="G130">
            <v>0</v>
          </cell>
          <cell r="H130">
            <v>0</v>
          </cell>
          <cell r="L130">
            <v>0</v>
          </cell>
          <cell r="N130">
            <v>27.22</v>
          </cell>
          <cell r="O130">
            <v>0</v>
          </cell>
          <cell r="Q130">
            <v>0</v>
          </cell>
          <cell r="S130">
            <v>0</v>
          </cell>
          <cell r="U130">
            <v>0</v>
          </cell>
          <cell r="Y130">
            <v>1.1399999999999999</v>
          </cell>
          <cell r="AE130" t="str">
            <v>20140101KUUM_440</v>
          </cell>
        </row>
        <row r="131">
          <cell r="B131" t="str">
            <v>Feb 2015</v>
          </cell>
          <cell r="C131" t="str">
            <v>RLS</v>
          </cell>
          <cell r="D131" t="str">
            <v>KUUM_446</v>
          </cell>
          <cell r="E131">
            <v>1082</v>
          </cell>
          <cell r="F131">
            <v>0</v>
          </cell>
          <cell r="G131">
            <v>0</v>
          </cell>
          <cell r="H131">
            <v>0</v>
          </cell>
          <cell r="L131">
            <v>0</v>
          </cell>
          <cell r="N131">
            <v>10343.92</v>
          </cell>
          <cell r="O131">
            <v>0</v>
          </cell>
          <cell r="Q131">
            <v>0</v>
          </cell>
          <cell r="S131">
            <v>0</v>
          </cell>
          <cell r="U131">
            <v>0</v>
          </cell>
          <cell r="Y131">
            <v>2153.1799999999998</v>
          </cell>
          <cell r="AE131" t="str">
            <v>20140101KUUM_446</v>
          </cell>
        </row>
        <row r="132">
          <cell r="B132" t="str">
            <v>Feb 2015</v>
          </cell>
          <cell r="C132" t="str">
            <v>RLS</v>
          </cell>
          <cell r="D132" t="str">
            <v>KUUM_447</v>
          </cell>
          <cell r="E132">
            <v>752</v>
          </cell>
          <cell r="F132">
            <v>0</v>
          </cell>
          <cell r="G132">
            <v>0</v>
          </cell>
          <cell r="H132">
            <v>0</v>
          </cell>
          <cell r="L132">
            <v>0</v>
          </cell>
          <cell r="N132">
            <v>8512.64</v>
          </cell>
          <cell r="O132">
            <v>0</v>
          </cell>
          <cell r="Q132">
            <v>0</v>
          </cell>
          <cell r="S132">
            <v>0</v>
          </cell>
          <cell r="U132">
            <v>0</v>
          </cell>
          <cell r="Y132">
            <v>2135.6799999999998</v>
          </cell>
          <cell r="AE132" t="str">
            <v>20140101KUUM_447</v>
          </cell>
        </row>
        <row r="133">
          <cell r="B133" t="str">
            <v>Feb 2015</v>
          </cell>
          <cell r="C133" t="str">
            <v>RLS</v>
          </cell>
          <cell r="D133" t="str">
            <v>KUUM_448</v>
          </cell>
          <cell r="E133">
            <v>1493</v>
          </cell>
          <cell r="F133">
            <v>0</v>
          </cell>
          <cell r="G133">
            <v>0</v>
          </cell>
          <cell r="H133">
            <v>0</v>
          </cell>
          <cell r="L133">
            <v>0</v>
          </cell>
          <cell r="N133">
            <v>19125.330000000002</v>
          </cell>
          <cell r="O133">
            <v>0</v>
          </cell>
          <cell r="Q133">
            <v>0</v>
          </cell>
          <cell r="S133">
            <v>0</v>
          </cell>
          <cell r="U133">
            <v>0</v>
          </cell>
          <cell r="Y133">
            <v>6524.41</v>
          </cell>
          <cell r="AE133" t="str">
            <v>20140101KUUM_448</v>
          </cell>
        </row>
        <row r="134">
          <cell r="B134" t="str">
            <v>Feb 2015</v>
          </cell>
          <cell r="C134" t="str">
            <v>LS</v>
          </cell>
          <cell r="D134" t="str">
            <v>KUUM_450</v>
          </cell>
          <cell r="E134">
            <v>660</v>
          </cell>
          <cell r="F134">
            <v>0</v>
          </cell>
          <cell r="G134">
            <v>0</v>
          </cell>
          <cell r="H134">
            <v>0</v>
          </cell>
          <cell r="L134">
            <v>0</v>
          </cell>
          <cell r="N134">
            <v>9405</v>
          </cell>
          <cell r="O134">
            <v>0</v>
          </cell>
          <cell r="Q134">
            <v>0</v>
          </cell>
          <cell r="S134">
            <v>0</v>
          </cell>
          <cell r="U134">
            <v>0</v>
          </cell>
          <cell r="Y134">
            <v>1300.2</v>
          </cell>
          <cell r="AE134" t="str">
            <v>20140101KUUM_450</v>
          </cell>
        </row>
        <row r="135">
          <cell r="B135" t="str">
            <v>Feb 2015</v>
          </cell>
          <cell r="C135" t="str">
            <v>LS</v>
          </cell>
          <cell r="D135" t="str">
            <v>KUUM_451</v>
          </cell>
          <cell r="E135">
            <v>5068</v>
          </cell>
          <cell r="F135">
            <v>0</v>
          </cell>
          <cell r="G135">
            <v>0</v>
          </cell>
          <cell r="H135">
            <v>0</v>
          </cell>
          <cell r="L135">
            <v>0</v>
          </cell>
          <cell r="N135">
            <v>102373.6</v>
          </cell>
          <cell r="O135">
            <v>0</v>
          </cell>
          <cell r="Q135">
            <v>0</v>
          </cell>
          <cell r="S135">
            <v>0</v>
          </cell>
          <cell r="U135">
            <v>0</v>
          </cell>
          <cell r="Y135">
            <v>21741.72</v>
          </cell>
          <cell r="AE135" t="str">
            <v>20140101KUUM_451</v>
          </cell>
        </row>
        <row r="136">
          <cell r="B136" t="str">
            <v>Feb 2015</v>
          </cell>
          <cell r="C136" t="str">
            <v>LS</v>
          </cell>
          <cell r="D136" t="str">
            <v>KUUM_452</v>
          </cell>
          <cell r="E136">
            <v>1038</v>
          </cell>
          <cell r="F136">
            <v>0</v>
          </cell>
          <cell r="G136">
            <v>0</v>
          </cell>
          <cell r="H136">
            <v>0</v>
          </cell>
          <cell r="L136">
            <v>0</v>
          </cell>
          <cell r="N136">
            <v>43959.3</v>
          </cell>
          <cell r="O136">
            <v>0</v>
          </cell>
          <cell r="Q136">
            <v>0</v>
          </cell>
          <cell r="S136">
            <v>0</v>
          </cell>
          <cell r="U136">
            <v>0</v>
          </cell>
          <cell r="Y136">
            <v>10805.58</v>
          </cell>
          <cell r="AE136" t="str">
            <v>20140101KUUM_452</v>
          </cell>
        </row>
        <row r="137">
          <cell r="B137" t="str">
            <v>Feb 2015</v>
          </cell>
          <cell r="C137" t="str">
            <v>RLS</v>
          </cell>
          <cell r="D137" t="str">
            <v>KUUM_454</v>
          </cell>
          <cell r="E137">
            <v>155</v>
          </cell>
          <cell r="F137">
            <v>0</v>
          </cell>
          <cell r="G137">
            <v>0</v>
          </cell>
          <cell r="H137">
            <v>0</v>
          </cell>
          <cell r="L137">
            <v>0</v>
          </cell>
          <cell r="N137">
            <v>2890.75</v>
          </cell>
          <cell r="O137">
            <v>0</v>
          </cell>
          <cell r="Q137">
            <v>0</v>
          </cell>
          <cell r="S137">
            <v>0</v>
          </cell>
          <cell r="U137">
            <v>0</v>
          </cell>
          <cell r="Y137">
            <v>305.35000000000002</v>
          </cell>
          <cell r="AE137" t="str">
            <v>20140101KUUM_454</v>
          </cell>
        </row>
        <row r="138">
          <cell r="B138" t="str">
            <v>Feb 2015</v>
          </cell>
          <cell r="C138" t="str">
            <v>RLS</v>
          </cell>
          <cell r="D138" t="str">
            <v>KUUM_455</v>
          </cell>
          <cell r="E138">
            <v>1014</v>
          </cell>
          <cell r="F138">
            <v>0</v>
          </cell>
          <cell r="G138">
            <v>0</v>
          </cell>
          <cell r="H138">
            <v>0</v>
          </cell>
          <cell r="L138">
            <v>0</v>
          </cell>
          <cell r="N138">
            <v>24934.26</v>
          </cell>
          <cell r="O138">
            <v>0</v>
          </cell>
          <cell r="Q138">
            <v>0</v>
          </cell>
          <cell r="S138">
            <v>0</v>
          </cell>
          <cell r="U138">
            <v>0</v>
          </cell>
          <cell r="Y138">
            <v>4350.0600000000004</v>
          </cell>
          <cell r="AE138" t="str">
            <v>20140101KUUM_455</v>
          </cell>
        </row>
        <row r="139">
          <cell r="B139" t="str">
            <v>Feb 2015</v>
          </cell>
          <cell r="C139" t="str">
            <v>RLS</v>
          </cell>
          <cell r="D139" t="str">
            <v>KUUM_456</v>
          </cell>
          <cell r="E139">
            <v>139</v>
          </cell>
          <cell r="F139">
            <v>0</v>
          </cell>
          <cell r="G139">
            <v>0</v>
          </cell>
          <cell r="H139">
            <v>0</v>
          </cell>
          <cell r="L139">
            <v>0</v>
          </cell>
          <cell r="N139">
            <v>1649.93</v>
          </cell>
          <cell r="O139">
            <v>0</v>
          </cell>
          <cell r="Q139">
            <v>0</v>
          </cell>
          <cell r="S139">
            <v>0</v>
          </cell>
          <cell r="U139">
            <v>0</v>
          </cell>
          <cell r="Y139">
            <v>276.61</v>
          </cell>
          <cell r="AE139" t="str">
            <v>20140101KUUM_456</v>
          </cell>
        </row>
        <row r="140">
          <cell r="B140" t="str">
            <v>Feb 2015</v>
          </cell>
          <cell r="C140" t="str">
            <v>RLS</v>
          </cell>
          <cell r="D140" t="str">
            <v>KUUM_457</v>
          </cell>
          <cell r="E140">
            <v>451</v>
          </cell>
          <cell r="F140">
            <v>0</v>
          </cell>
          <cell r="G140">
            <v>0</v>
          </cell>
          <cell r="H140">
            <v>0</v>
          </cell>
          <cell r="L140">
            <v>0</v>
          </cell>
          <cell r="N140">
            <v>6025.36</v>
          </cell>
          <cell r="O140">
            <v>0</v>
          </cell>
          <cell r="Q140">
            <v>0</v>
          </cell>
          <cell r="S140">
            <v>0</v>
          </cell>
          <cell r="U140">
            <v>0</v>
          </cell>
          <cell r="Y140">
            <v>1280.8399999999999</v>
          </cell>
          <cell r="AE140" t="str">
            <v>20140101KUUM_457</v>
          </cell>
        </row>
        <row r="141">
          <cell r="B141" t="str">
            <v>Feb 2015</v>
          </cell>
          <cell r="C141" t="str">
            <v>RLS</v>
          </cell>
          <cell r="D141" t="str">
            <v>KUUM_458</v>
          </cell>
          <cell r="E141">
            <v>1458</v>
          </cell>
          <cell r="F141">
            <v>0</v>
          </cell>
          <cell r="G141">
            <v>0</v>
          </cell>
          <cell r="H141">
            <v>0</v>
          </cell>
          <cell r="L141">
            <v>0</v>
          </cell>
          <cell r="N141">
            <v>21986.639999999999</v>
          </cell>
          <cell r="O141">
            <v>0</v>
          </cell>
          <cell r="Q141">
            <v>0</v>
          </cell>
          <cell r="S141">
            <v>0</v>
          </cell>
          <cell r="U141">
            <v>0</v>
          </cell>
          <cell r="Y141">
            <v>6371.46</v>
          </cell>
          <cell r="AE141" t="str">
            <v>20140101KUUM_458</v>
          </cell>
        </row>
        <row r="142">
          <cell r="B142" t="str">
            <v>Feb 2015</v>
          </cell>
          <cell r="C142" t="str">
            <v>RLS</v>
          </cell>
          <cell r="D142" t="str">
            <v>KUUM_459</v>
          </cell>
          <cell r="E142">
            <v>227</v>
          </cell>
          <cell r="F142">
            <v>0</v>
          </cell>
          <cell r="G142">
            <v>0</v>
          </cell>
          <cell r="H142">
            <v>0</v>
          </cell>
          <cell r="L142">
            <v>0</v>
          </cell>
          <cell r="N142">
            <v>10609.98</v>
          </cell>
          <cell r="O142">
            <v>0</v>
          </cell>
          <cell r="Q142">
            <v>0</v>
          </cell>
          <cell r="S142">
            <v>0</v>
          </cell>
          <cell r="U142">
            <v>0</v>
          </cell>
          <cell r="Y142">
            <v>2363.0700000000002</v>
          </cell>
          <cell r="AE142" t="str">
            <v>20140101KUUM_459</v>
          </cell>
        </row>
        <row r="143">
          <cell r="B143" t="str">
            <v>Feb 2015</v>
          </cell>
          <cell r="C143" t="str">
            <v>RLS</v>
          </cell>
          <cell r="D143" t="str">
            <v>KUUM_460</v>
          </cell>
          <cell r="E143">
            <v>27</v>
          </cell>
          <cell r="F143">
            <v>0</v>
          </cell>
          <cell r="G143">
            <v>0</v>
          </cell>
          <cell r="H143">
            <v>0</v>
          </cell>
          <cell r="L143">
            <v>0</v>
          </cell>
          <cell r="N143">
            <v>733.05</v>
          </cell>
          <cell r="O143">
            <v>0</v>
          </cell>
          <cell r="Q143">
            <v>0</v>
          </cell>
          <cell r="S143">
            <v>0</v>
          </cell>
          <cell r="U143">
            <v>0</v>
          </cell>
          <cell r="Y143">
            <v>53.19</v>
          </cell>
          <cell r="AE143" t="str">
            <v>20140101KUUM_460</v>
          </cell>
        </row>
        <row r="144">
          <cell r="B144" t="str">
            <v>Feb 2015</v>
          </cell>
          <cell r="C144" t="str">
            <v>RLS</v>
          </cell>
          <cell r="D144" t="str">
            <v>KUUM_461</v>
          </cell>
          <cell r="E144">
            <v>6484</v>
          </cell>
          <cell r="F144">
            <v>0</v>
          </cell>
          <cell r="G144">
            <v>0</v>
          </cell>
          <cell r="H144">
            <v>0</v>
          </cell>
          <cell r="L144">
            <v>0</v>
          </cell>
          <cell r="N144">
            <v>48889.36</v>
          </cell>
          <cell r="O144">
            <v>0</v>
          </cell>
          <cell r="Q144">
            <v>0</v>
          </cell>
          <cell r="S144">
            <v>0</v>
          </cell>
          <cell r="U144">
            <v>0</v>
          </cell>
          <cell r="Y144">
            <v>3695.88</v>
          </cell>
          <cell r="AE144" t="str">
            <v>20140101KUUM_461</v>
          </cell>
        </row>
        <row r="145">
          <cell r="B145" t="str">
            <v>Feb 2015</v>
          </cell>
          <cell r="C145" t="str">
            <v>LS</v>
          </cell>
          <cell r="D145" t="str">
            <v>KUUM_462</v>
          </cell>
          <cell r="E145">
            <v>8582</v>
          </cell>
          <cell r="F145">
            <v>0</v>
          </cell>
          <cell r="G145">
            <v>0</v>
          </cell>
          <cell r="H145">
            <v>0</v>
          </cell>
          <cell r="L145">
            <v>0</v>
          </cell>
          <cell r="N145">
            <v>74320.12</v>
          </cell>
          <cell r="O145">
            <v>0</v>
          </cell>
          <cell r="Q145">
            <v>0</v>
          </cell>
          <cell r="S145">
            <v>0</v>
          </cell>
          <cell r="U145">
            <v>0</v>
          </cell>
          <cell r="Y145">
            <v>6865.6</v>
          </cell>
          <cell r="AE145" t="str">
            <v>20140101KUUM_462</v>
          </cell>
        </row>
        <row r="146">
          <cell r="B146" t="str">
            <v>Feb 2015</v>
          </cell>
          <cell r="C146" t="str">
            <v>LS</v>
          </cell>
          <cell r="D146" t="str">
            <v>KUUM_463</v>
          </cell>
          <cell r="E146">
            <v>19530</v>
          </cell>
          <cell r="F146">
            <v>0</v>
          </cell>
          <cell r="G146">
            <v>0</v>
          </cell>
          <cell r="H146">
            <v>0</v>
          </cell>
          <cell r="L146">
            <v>0</v>
          </cell>
          <cell r="N146">
            <v>178504.2</v>
          </cell>
          <cell r="O146">
            <v>0</v>
          </cell>
          <cell r="Q146">
            <v>0</v>
          </cell>
          <cell r="S146">
            <v>0</v>
          </cell>
          <cell r="U146">
            <v>0</v>
          </cell>
          <cell r="Y146">
            <v>22068.9</v>
          </cell>
          <cell r="AE146" t="str">
            <v>20140101KUUM_463</v>
          </cell>
        </row>
        <row r="147">
          <cell r="B147" t="str">
            <v>Feb 2015</v>
          </cell>
          <cell r="C147" t="str">
            <v>LS</v>
          </cell>
          <cell r="D147" t="str">
            <v>KUUM_464</v>
          </cell>
          <cell r="E147">
            <v>7340</v>
          </cell>
          <cell r="F147">
            <v>0</v>
          </cell>
          <cell r="G147">
            <v>0</v>
          </cell>
          <cell r="H147">
            <v>0</v>
          </cell>
          <cell r="L147">
            <v>0</v>
          </cell>
          <cell r="N147">
            <v>104595</v>
          </cell>
          <cell r="O147">
            <v>0</v>
          </cell>
          <cell r="Q147">
            <v>0</v>
          </cell>
          <cell r="S147">
            <v>0</v>
          </cell>
          <cell r="U147">
            <v>0</v>
          </cell>
          <cell r="Y147">
            <v>17102.2</v>
          </cell>
          <cell r="AE147" t="str">
            <v>20140101KUUM_464</v>
          </cell>
        </row>
        <row r="148">
          <cell r="B148" t="str">
            <v>Feb 2015</v>
          </cell>
          <cell r="C148" t="str">
            <v>LS</v>
          </cell>
          <cell r="D148" t="str">
            <v>KUUM_465</v>
          </cell>
          <cell r="E148">
            <v>2710</v>
          </cell>
          <cell r="F148">
            <v>0</v>
          </cell>
          <cell r="G148">
            <v>0</v>
          </cell>
          <cell r="H148">
            <v>0</v>
          </cell>
          <cell r="L148">
            <v>0</v>
          </cell>
          <cell r="N148">
            <v>61896.4</v>
          </cell>
          <cell r="O148">
            <v>0</v>
          </cell>
          <cell r="Q148">
            <v>0</v>
          </cell>
          <cell r="S148">
            <v>0</v>
          </cell>
          <cell r="U148">
            <v>0</v>
          </cell>
          <cell r="Y148">
            <v>12276.3</v>
          </cell>
          <cell r="AE148" t="str">
            <v>20140101KUUM_465</v>
          </cell>
        </row>
        <row r="149">
          <cell r="B149" t="str">
            <v>Feb 2015</v>
          </cell>
          <cell r="C149" t="str">
            <v>RLS</v>
          </cell>
          <cell r="D149" t="str">
            <v>KUUM_466</v>
          </cell>
          <cell r="E149">
            <v>712</v>
          </cell>
          <cell r="F149">
            <v>0</v>
          </cell>
          <cell r="G149">
            <v>0</v>
          </cell>
          <cell r="H149">
            <v>0</v>
          </cell>
          <cell r="L149">
            <v>0</v>
          </cell>
          <cell r="N149">
            <v>6849.44</v>
          </cell>
          <cell r="O149">
            <v>0</v>
          </cell>
          <cell r="Q149">
            <v>0</v>
          </cell>
          <cell r="S149">
            <v>0</v>
          </cell>
          <cell r="U149">
            <v>0</v>
          </cell>
          <cell r="Y149">
            <v>405.84</v>
          </cell>
          <cell r="AE149" t="str">
            <v>20140101KUUM_466</v>
          </cell>
        </row>
        <row r="150">
          <cell r="B150" t="str">
            <v>Feb 2015</v>
          </cell>
          <cell r="C150" t="str">
            <v>LS</v>
          </cell>
          <cell r="D150" t="str">
            <v>KUUM_467</v>
          </cell>
          <cell r="E150">
            <v>1232</v>
          </cell>
          <cell r="F150">
            <v>0</v>
          </cell>
          <cell r="G150">
            <v>0</v>
          </cell>
          <cell r="H150">
            <v>0</v>
          </cell>
          <cell r="L150">
            <v>0</v>
          </cell>
          <cell r="N150">
            <v>13268.64</v>
          </cell>
          <cell r="O150">
            <v>0</v>
          </cell>
          <cell r="Q150">
            <v>0</v>
          </cell>
          <cell r="S150">
            <v>0</v>
          </cell>
          <cell r="U150">
            <v>0</v>
          </cell>
          <cell r="Y150">
            <v>985.6</v>
          </cell>
          <cell r="AE150" t="str">
            <v>20140101KUUM_467</v>
          </cell>
        </row>
        <row r="151">
          <cell r="B151" t="str">
            <v>Feb 2015</v>
          </cell>
          <cell r="C151" t="str">
            <v>LS</v>
          </cell>
          <cell r="D151" t="str">
            <v>KUUM_468</v>
          </cell>
          <cell r="E151">
            <v>3948</v>
          </cell>
          <cell r="F151">
            <v>0</v>
          </cell>
          <cell r="G151">
            <v>0</v>
          </cell>
          <cell r="H151">
            <v>0</v>
          </cell>
          <cell r="L151">
            <v>0</v>
          </cell>
          <cell r="N151">
            <v>44059.68</v>
          </cell>
          <cell r="O151">
            <v>0</v>
          </cell>
          <cell r="Q151">
            <v>0</v>
          </cell>
          <cell r="S151">
            <v>0</v>
          </cell>
          <cell r="U151">
            <v>0</v>
          </cell>
          <cell r="Y151">
            <v>4461.24</v>
          </cell>
          <cell r="AE151" t="str">
            <v>20140101KUUM_468</v>
          </cell>
        </row>
        <row r="152">
          <cell r="B152" t="str">
            <v>Feb 2015</v>
          </cell>
          <cell r="C152" t="str">
            <v>RLS</v>
          </cell>
          <cell r="D152" t="str">
            <v>KUUM_469</v>
          </cell>
          <cell r="E152">
            <v>277</v>
          </cell>
          <cell r="F152">
            <v>0</v>
          </cell>
          <cell r="G152">
            <v>0</v>
          </cell>
          <cell r="H152">
            <v>0</v>
          </cell>
          <cell r="L152">
            <v>0</v>
          </cell>
          <cell r="N152">
            <v>9168.7000000000007</v>
          </cell>
          <cell r="O152">
            <v>0</v>
          </cell>
          <cell r="Q152">
            <v>0</v>
          </cell>
          <cell r="S152">
            <v>0</v>
          </cell>
          <cell r="U152">
            <v>0</v>
          </cell>
          <cell r="Y152">
            <v>1188.33</v>
          </cell>
          <cell r="AE152" t="str">
            <v>20140101KUUM_469</v>
          </cell>
        </row>
        <row r="153">
          <cell r="B153" t="str">
            <v>Feb 2015</v>
          </cell>
          <cell r="C153" t="str">
            <v>RLS</v>
          </cell>
          <cell r="D153" t="str">
            <v>KUUM_470</v>
          </cell>
          <cell r="E153">
            <v>53</v>
          </cell>
          <cell r="F153">
            <v>0</v>
          </cell>
          <cell r="G153">
            <v>0</v>
          </cell>
          <cell r="H153">
            <v>0</v>
          </cell>
          <cell r="L153">
            <v>0</v>
          </cell>
          <cell r="N153">
            <v>2928.25</v>
          </cell>
          <cell r="O153">
            <v>0</v>
          </cell>
          <cell r="Q153">
            <v>0</v>
          </cell>
          <cell r="S153">
            <v>0</v>
          </cell>
          <cell r="U153">
            <v>0</v>
          </cell>
          <cell r="Y153">
            <v>551.73</v>
          </cell>
          <cell r="AE153" t="str">
            <v>20140101KUUM_470</v>
          </cell>
        </row>
        <row r="154">
          <cell r="B154" t="str">
            <v>Feb 2015</v>
          </cell>
          <cell r="C154" t="str">
            <v>RLS</v>
          </cell>
          <cell r="D154" t="str">
            <v>KUUM_471</v>
          </cell>
          <cell r="E154">
            <v>3656</v>
          </cell>
          <cell r="F154">
            <v>0</v>
          </cell>
          <cell r="G154">
            <v>0</v>
          </cell>
          <cell r="H154">
            <v>0</v>
          </cell>
          <cell r="L154">
            <v>0</v>
          </cell>
          <cell r="N154">
            <v>38351.440000000002</v>
          </cell>
          <cell r="O154">
            <v>0</v>
          </cell>
          <cell r="Q154">
            <v>0</v>
          </cell>
          <cell r="S154">
            <v>0</v>
          </cell>
          <cell r="U154">
            <v>0</v>
          </cell>
          <cell r="Y154">
            <v>2083.92</v>
          </cell>
          <cell r="AE154" t="str">
            <v>20140101KUUM_471</v>
          </cell>
        </row>
        <row r="155">
          <cell r="B155" t="str">
            <v>Feb 2015</v>
          </cell>
          <cell r="C155" t="str">
            <v>LS</v>
          </cell>
          <cell r="D155" t="str">
            <v>KUUM_472</v>
          </cell>
          <cell r="E155">
            <v>8687</v>
          </cell>
          <cell r="F155">
            <v>0</v>
          </cell>
          <cell r="G155">
            <v>0</v>
          </cell>
          <cell r="H155">
            <v>0</v>
          </cell>
          <cell r="L155">
            <v>0</v>
          </cell>
          <cell r="N155">
            <v>100769.2</v>
          </cell>
          <cell r="O155">
            <v>0</v>
          </cell>
          <cell r="Q155">
            <v>0</v>
          </cell>
          <cell r="S155">
            <v>0</v>
          </cell>
          <cell r="U155">
            <v>0</v>
          </cell>
          <cell r="Y155">
            <v>6949.6</v>
          </cell>
          <cell r="AE155" t="str">
            <v>20140101KUUM_472</v>
          </cell>
        </row>
        <row r="156">
          <cell r="B156" t="str">
            <v>Feb 2015</v>
          </cell>
          <cell r="C156" t="str">
            <v>LS</v>
          </cell>
          <cell r="D156" t="str">
            <v>KUUM_473</v>
          </cell>
          <cell r="E156">
            <v>3353</v>
          </cell>
          <cell r="F156">
            <v>0</v>
          </cell>
          <cell r="G156">
            <v>0</v>
          </cell>
          <cell r="H156">
            <v>0</v>
          </cell>
          <cell r="L156">
            <v>0</v>
          </cell>
          <cell r="N156">
            <v>41241.9</v>
          </cell>
          <cell r="O156">
            <v>0</v>
          </cell>
          <cell r="Q156">
            <v>0</v>
          </cell>
          <cell r="S156">
            <v>0</v>
          </cell>
          <cell r="U156">
            <v>0</v>
          </cell>
          <cell r="Y156">
            <v>3788.89</v>
          </cell>
          <cell r="AE156" t="str">
            <v>20140101KUUM_473</v>
          </cell>
        </row>
        <row r="157">
          <cell r="B157" t="str">
            <v>Feb 2015</v>
          </cell>
          <cell r="C157" t="str">
            <v>LS</v>
          </cell>
          <cell r="D157" t="str">
            <v>KUUM_474</v>
          </cell>
          <cell r="E157">
            <v>5081</v>
          </cell>
          <cell r="F157">
            <v>0</v>
          </cell>
          <cell r="G157">
            <v>0</v>
          </cell>
          <cell r="H157">
            <v>0</v>
          </cell>
          <cell r="L157">
            <v>0</v>
          </cell>
          <cell r="N157">
            <v>88460.21</v>
          </cell>
          <cell r="O157">
            <v>0</v>
          </cell>
          <cell r="Q157">
            <v>0</v>
          </cell>
          <cell r="S157">
            <v>0</v>
          </cell>
          <cell r="U157">
            <v>0</v>
          </cell>
          <cell r="Y157">
            <v>11838.73</v>
          </cell>
          <cell r="AE157" t="str">
            <v>20140101KUUM_474</v>
          </cell>
        </row>
        <row r="158">
          <cell r="B158" t="str">
            <v>Feb 2015</v>
          </cell>
          <cell r="C158" t="str">
            <v>LS</v>
          </cell>
          <cell r="D158" t="str">
            <v>KUUM_475</v>
          </cell>
          <cell r="E158">
            <v>511</v>
          </cell>
          <cell r="F158">
            <v>0</v>
          </cell>
          <cell r="G158">
            <v>0</v>
          </cell>
          <cell r="H158">
            <v>0</v>
          </cell>
          <cell r="L158">
            <v>0</v>
          </cell>
          <cell r="N158">
            <v>12499.06</v>
          </cell>
          <cell r="O158">
            <v>0</v>
          </cell>
          <cell r="Q158">
            <v>0</v>
          </cell>
          <cell r="S158">
            <v>0</v>
          </cell>
          <cell r="U158">
            <v>0</v>
          </cell>
          <cell r="Y158">
            <v>2314.83</v>
          </cell>
          <cell r="AE158" t="str">
            <v>20140101KUUM_475</v>
          </cell>
        </row>
        <row r="159">
          <cell r="B159" t="str">
            <v>Feb 2015</v>
          </cell>
          <cell r="C159" t="str">
            <v>LS</v>
          </cell>
          <cell r="D159" t="str">
            <v>KUUM_476</v>
          </cell>
          <cell r="E159">
            <v>4548</v>
          </cell>
          <cell r="F159">
            <v>0</v>
          </cell>
          <cell r="G159">
            <v>0</v>
          </cell>
          <cell r="H159">
            <v>0</v>
          </cell>
          <cell r="L159">
            <v>0</v>
          </cell>
          <cell r="N159">
            <v>76360.92</v>
          </cell>
          <cell r="O159">
            <v>0</v>
          </cell>
          <cell r="Q159">
            <v>0</v>
          </cell>
          <cell r="S159">
            <v>0</v>
          </cell>
          <cell r="U159">
            <v>0</v>
          </cell>
          <cell r="Y159">
            <v>3638.4</v>
          </cell>
          <cell r="AE159" t="str">
            <v>20140101KUUM_476</v>
          </cell>
        </row>
        <row r="160">
          <cell r="B160" t="str">
            <v>Feb 2015</v>
          </cell>
          <cell r="C160" t="str">
            <v>LS</v>
          </cell>
          <cell r="D160" t="str">
            <v>KUUM_477</v>
          </cell>
          <cell r="E160">
            <v>1057</v>
          </cell>
          <cell r="F160">
            <v>0</v>
          </cell>
          <cell r="G160">
            <v>0</v>
          </cell>
          <cell r="H160">
            <v>0</v>
          </cell>
          <cell r="L160">
            <v>0</v>
          </cell>
          <cell r="N160">
            <v>22165.29</v>
          </cell>
          <cell r="O160">
            <v>0</v>
          </cell>
          <cell r="Q160">
            <v>0</v>
          </cell>
          <cell r="S160">
            <v>0</v>
          </cell>
          <cell r="U160">
            <v>0</v>
          </cell>
          <cell r="Y160">
            <v>1194.4100000000001</v>
          </cell>
          <cell r="AE160" t="str">
            <v>20140101KUUM_477</v>
          </cell>
        </row>
        <row r="161">
          <cell r="B161" t="str">
            <v>Feb 2015</v>
          </cell>
          <cell r="C161" t="str">
            <v>LS</v>
          </cell>
          <cell r="D161" t="str">
            <v>KUUM_478</v>
          </cell>
          <cell r="E161">
            <v>1389</v>
          </cell>
          <cell r="F161">
            <v>0</v>
          </cell>
          <cell r="G161">
            <v>0</v>
          </cell>
          <cell r="H161">
            <v>0</v>
          </cell>
          <cell r="L161">
            <v>0</v>
          </cell>
          <cell r="N161">
            <v>37308.54</v>
          </cell>
          <cell r="O161">
            <v>0</v>
          </cell>
          <cell r="Q161">
            <v>0</v>
          </cell>
          <cell r="S161">
            <v>0</v>
          </cell>
          <cell r="U161">
            <v>0</v>
          </cell>
          <cell r="Y161">
            <v>3236.37</v>
          </cell>
          <cell r="AE161" t="str">
            <v>20140101KUUM_478</v>
          </cell>
        </row>
        <row r="162">
          <cell r="B162" t="str">
            <v>Feb 2015</v>
          </cell>
          <cell r="C162" t="str">
            <v>LS</v>
          </cell>
          <cell r="D162" t="str">
            <v>KUUM_479</v>
          </cell>
          <cell r="E162">
            <v>954</v>
          </cell>
          <cell r="F162">
            <v>0</v>
          </cell>
          <cell r="G162">
            <v>0</v>
          </cell>
          <cell r="H162">
            <v>0</v>
          </cell>
          <cell r="L162">
            <v>0</v>
          </cell>
          <cell r="N162">
            <v>31596.48</v>
          </cell>
          <cell r="O162">
            <v>0</v>
          </cell>
          <cell r="Q162">
            <v>0</v>
          </cell>
          <cell r="S162">
            <v>0</v>
          </cell>
          <cell r="U162">
            <v>0</v>
          </cell>
          <cell r="Y162">
            <v>4321.62</v>
          </cell>
          <cell r="AE162" t="str">
            <v>20140101KUUM_479</v>
          </cell>
        </row>
        <row r="163">
          <cell r="B163" t="str">
            <v>Feb 2015</v>
          </cell>
          <cell r="C163" t="str">
            <v>LS</v>
          </cell>
          <cell r="D163" t="str">
            <v>KUUM_486</v>
          </cell>
          <cell r="E163">
            <v>0</v>
          </cell>
          <cell r="F163">
            <v>0</v>
          </cell>
          <cell r="G163">
            <v>0</v>
          </cell>
          <cell r="H163">
            <v>0</v>
          </cell>
          <cell r="L163">
            <v>0</v>
          </cell>
          <cell r="N163">
            <v>0</v>
          </cell>
          <cell r="O163">
            <v>0</v>
          </cell>
          <cell r="Q163">
            <v>0</v>
          </cell>
          <cell r="S163">
            <v>0</v>
          </cell>
          <cell r="U163">
            <v>0</v>
          </cell>
          <cell r="Y163">
            <v>0</v>
          </cell>
          <cell r="AE163" t="str">
            <v>20140101KUUM_486</v>
          </cell>
        </row>
        <row r="164">
          <cell r="B164" t="str">
            <v>Feb 2015</v>
          </cell>
          <cell r="C164" t="str">
            <v>LS</v>
          </cell>
          <cell r="D164" t="str">
            <v>KUUM_487</v>
          </cell>
          <cell r="E164">
            <v>11147</v>
          </cell>
          <cell r="F164">
            <v>0</v>
          </cell>
          <cell r="G164">
            <v>0</v>
          </cell>
          <cell r="H164">
            <v>0</v>
          </cell>
          <cell r="L164">
            <v>0</v>
          </cell>
          <cell r="N164">
            <v>100323</v>
          </cell>
          <cell r="O164">
            <v>0</v>
          </cell>
          <cell r="Q164">
            <v>0</v>
          </cell>
          <cell r="S164">
            <v>0</v>
          </cell>
          <cell r="U164">
            <v>0</v>
          </cell>
          <cell r="Y164">
            <v>12596.11</v>
          </cell>
          <cell r="AE164" t="str">
            <v>20140101KUUM_487</v>
          </cell>
        </row>
        <row r="165">
          <cell r="B165" t="str">
            <v>Feb 2015</v>
          </cell>
          <cell r="C165" t="str">
            <v>LS</v>
          </cell>
          <cell r="D165" t="str">
            <v>KUUM_488</v>
          </cell>
          <cell r="E165">
            <v>6551</v>
          </cell>
          <cell r="F165">
            <v>0</v>
          </cell>
          <cell r="G165">
            <v>0</v>
          </cell>
          <cell r="H165">
            <v>0</v>
          </cell>
          <cell r="L165">
            <v>0</v>
          </cell>
          <cell r="N165">
            <v>89355.64</v>
          </cell>
          <cell r="O165">
            <v>0</v>
          </cell>
          <cell r="Q165">
            <v>0</v>
          </cell>
          <cell r="S165">
            <v>0</v>
          </cell>
          <cell r="U165">
            <v>0</v>
          </cell>
          <cell r="Y165">
            <v>15263.83</v>
          </cell>
          <cell r="AE165" t="str">
            <v>20140101KUUM_488</v>
          </cell>
        </row>
        <row r="166">
          <cell r="B166" t="str">
            <v>Feb 2015</v>
          </cell>
          <cell r="C166" t="str">
            <v>LS</v>
          </cell>
          <cell r="D166" t="str">
            <v>KUUM_489</v>
          </cell>
          <cell r="E166">
            <v>8278</v>
          </cell>
          <cell r="F166">
            <v>0</v>
          </cell>
          <cell r="G166">
            <v>0</v>
          </cell>
          <cell r="H166">
            <v>0</v>
          </cell>
          <cell r="L166">
            <v>0</v>
          </cell>
          <cell r="N166">
            <v>161089.88</v>
          </cell>
          <cell r="O166">
            <v>0</v>
          </cell>
          <cell r="Q166">
            <v>0</v>
          </cell>
          <cell r="S166">
            <v>0</v>
          </cell>
          <cell r="U166">
            <v>0</v>
          </cell>
          <cell r="Y166">
            <v>37499.339999999997</v>
          </cell>
          <cell r="AE166" t="str">
            <v>20140101KUUM_489</v>
          </cell>
        </row>
        <row r="167">
          <cell r="B167" t="str">
            <v>Feb 2015</v>
          </cell>
          <cell r="C167" t="str">
            <v>LS</v>
          </cell>
          <cell r="D167" t="str">
            <v>KUUM_490</v>
          </cell>
          <cell r="E167">
            <v>60</v>
          </cell>
          <cell r="F167">
            <v>0</v>
          </cell>
          <cell r="G167">
            <v>0</v>
          </cell>
          <cell r="H167">
            <v>0</v>
          </cell>
          <cell r="L167">
            <v>0</v>
          </cell>
          <cell r="N167">
            <v>928.2</v>
          </cell>
          <cell r="O167">
            <v>0</v>
          </cell>
          <cell r="Q167">
            <v>0</v>
          </cell>
          <cell r="S167">
            <v>0</v>
          </cell>
          <cell r="U167">
            <v>0</v>
          </cell>
          <cell r="Y167">
            <v>118.2</v>
          </cell>
          <cell r="AE167" t="str">
            <v>20140101KUUM_490</v>
          </cell>
        </row>
        <row r="168">
          <cell r="B168" t="str">
            <v>Feb 2015</v>
          </cell>
          <cell r="C168" t="str">
            <v>LS</v>
          </cell>
          <cell r="D168" t="str">
            <v>KUUM_491</v>
          </cell>
          <cell r="E168">
            <v>302</v>
          </cell>
          <cell r="F168">
            <v>0</v>
          </cell>
          <cell r="G168">
            <v>0</v>
          </cell>
          <cell r="H168">
            <v>0</v>
          </cell>
          <cell r="L168">
            <v>0</v>
          </cell>
          <cell r="N168">
            <v>6622.86</v>
          </cell>
          <cell r="O168">
            <v>0</v>
          </cell>
          <cell r="Q168">
            <v>0</v>
          </cell>
          <cell r="S168">
            <v>0</v>
          </cell>
          <cell r="U168">
            <v>0</v>
          </cell>
          <cell r="Y168">
            <v>1295.58</v>
          </cell>
          <cell r="AE168" t="str">
            <v>20140101KUUM_491</v>
          </cell>
        </row>
        <row r="169">
          <cell r="B169" t="str">
            <v>Feb 2015</v>
          </cell>
          <cell r="C169" t="str">
            <v>LS</v>
          </cell>
          <cell r="D169" t="str">
            <v>KUUM_492</v>
          </cell>
          <cell r="E169">
            <v>2</v>
          </cell>
          <cell r="F169">
            <v>0</v>
          </cell>
          <cell r="G169">
            <v>0</v>
          </cell>
          <cell r="H169">
            <v>0</v>
          </cell>
          <cell r="L169">
            <v>0</v>
          </cell>
          <cell r="N169">
            <v>30.74</v>
          </cell>
          <cell r="O169">
            <v>0</v>
          </cell>
          <cell r="Q169">
            <v>0</v>
          </cell>
          <cell r="S169">
            <v>0</v>
          </cell>
          <cell r="U169">
            <v>0</v>
          </cell>
          <cell r="Y169">
            <v>1.6</v>
          </cell>
          <cell r="AE169" t="str">
            <v>20140101KUUM_492</v>
          </cell>
        </row>
        <row r="170">
          <cell r="B170" t="str">
            <v>Feb 2015</v>
          </cell>
          <cell r="C170" t="str">
            <v>LS</v>
          </cell>
          <cell r="D170" t="str">
            <v>KUUM_493</v>
          </cell>
          <cell r="E170">
            <v>43</v>
          </cell>
          <cell r="F170">
            <v>0</v>
          </cell>
          <cell r="G170">
            <v>0</v>
          </cell>
          <cell r="H170">
            <v>0</v>
          </cell>
          <cell r="L170">
            <v>0</v>
          </cell>
          <cell r="N170">
            <v>1965.1</v>
          </cell>
          <cell r="O170">
            <v>0</v>
          </cell>
          <cell r="Q170">
            <v>0</v>
          </cell>
          <cell r="S170">
            <v>0</v>
          </cell>
          <cell r="U170">
            <v>0</v>
          </cell>
          <cell r="Y170">
            <v>447.63</v>
          </cell>
          <cell r="AE170" t="str">
            <v>20140101KUUM_493</v>
          </cell>
        </row>
        <row r="171">
          <cell r="B171" t="str">
            <v>Feb 2015</v>
          </cell>
          <cell r="C171" t="str">
            <v>LS</v>
          </cell>
          <cell r="D171" t="str">
            <v>KUUM_494</v>
          </cell>
          <cell r="E171">
            <v>179</v>
          </cell>
          <cell r="F171">
            <v>0</v>
          </cell>
          <cell r="G171">
            <v>0</v>
          </cell>
          <cell r="H171">
            <v>0</v>
          </cell>
          <cell r="L171">
            <v>0</v>
          </cell>
          <cell r="N171">
            <v>5078.2299999999996</v>
          </cell>
          <cell r="O171">
            <v>0</v>
          </cell>
          <cell r="Q171">
            <v>0</v>
          </cell>
          <cell r="S171">
            <v>0</v>
          </cell>
          <cell r="U171">
            <v>0</v>
          </cell>
          <cell r="Y171">
            <v>352.63</v>
          </cell>
          <cell r="AE171" t="str">
            <v>20140101KUUM_494</v>
          </cell>
        </row>
        <row r="172">
          <cell r="B172" t="str">
            <v>Feb 2015</v>
          </cell>
          <cell r="C172" t="str">
            <v>LS</v>
          </cell>
          <cell r="D172" t="str">
            <v>KUUM_495</v>
          </cell>
          <cell r="E172">
            <v>624</v>
          </cell>
          <cell r="F172">
            <v>0</v>
          </cell>
          <cell r="G172">
            <v>0</v>
          </cell>
          <cell r="H172">
            <v>0</v>
          </cell>
          <cell r="L172">
            <v>0</v>
          </cell>
          <cell r="N172">
            <v>21733.919999999998</v>
          </cell>
          <cell r="O172">
            <v>0</v>
          </cell>
          <cell r="Q172">
            <v>0</v>
          </cell>
          <cell r="S172">
            <v>0</v>
          </cell>
          <cell r="U172">
            <v>0</v>
          </cell>
          <cell r="Y172">
            <v>2676.96</v>
          </cell>
          <cell r="AE172" t="str">
            <v>20140101KUUM_495</v>
          </cell>
        </row>
        <row r="173">
          <cell r="B173" t="str">
            <v>Feb 2015</v>
          </cell>
          <cell r="C173" t="str">
            <v>LS</v>
          </cell>
          <cell r="D173" t="str">
            <v>KUUM_496</v>
          </cell>
          <cell r="E173">
            <v>156</v>
          </cell>
          <cell r="F173">
            <v>0</v>
          </cell>
          <cell r="G173">
            <v>0</v>
          </cell>
          <cell r="H173">
            <v>0</v>
          </cell>
          <cell r="L173">
            <v>0</v>
          </cell>
          <cell r="N173">
            <v>9140.0400000000009</v>
          </cell>
          <cell r="O173">
            <v>0</v>
          </cell>
          <cell r="Q173">
            <v>0</v>
          </cell>
          <cell r="S173">
            <v>0</v>
          </cell>
          <cell r="U173">
            <v>0</v>
          </cell>
          <cell r="Y173">
            <v>1623.96</v>
          </cell>
          <cell r="AE173" t="str">
            <v>20140101KUUM_496</v>
          </cell>
        </row>
        <row r="174">
          <cell r="B174" t="str">
            <v>Feb 2015</v>
          </cell>
          <cell r="C174" t="str">
            <v>LS</v>
          </cell>
          <cell r="D174" t="str">
            <v>KUUM_497</v>
          </cell>
          <cell r="E174">
            <v>8</v>
          </cell>
          <cell r="F174">
            <v>0</v>
          </cell>
          <cell r="G174">
            <v>0</v>
          </cell>
          <cell r="H174">
            <v>0</v>
          </cell>
          <cell r="L174">
            <v>0</v>
          </cell>
          <cell r="N174">
            <v>122.8</v>
          </cell>
          <cell r="O174">
            <v>0</v>
          </cell>
          <cell r="Q174">
            <v>0</v>
          </cell>
          <cell r="S174">
            <v>0</v>
          </cell>
          <cell r="U174">
            <v>0</v>
          </cell>
          <cell r="Y174">
            <v>9.0399999999999991</v>
          </cell>
          <cell r="AE174" t="str">
            <v>20140101KUUM_497</v>
          </cell>
        </row>
        <row r="175">
          <cell r="B175" t="str">
            <v>Feb 2015</v>
          </cell>
          <cell r="C175" t="str">
            <v>LS</v>
          </cell>
          <cell r="D175" t="str">
            <v>KUUM_498</v>
          </cell>
          <cell r="E175">
            <v>30</v>
          </cell>
          <cell r="F175">
            <v>0</v>
          </cell>
          <cell r="G175">
            <v>0</v>
          </cell>
          <cell r="H175">
            <v>0</v>
          </cell>
          <cell r="L175">
            <v>0</v>
          </cell>
          <cell r="N175">
            <v>531.6</v>
          </cell>
          <cell r="O175">
            <v>0</v>
          </cell>
          <cell r="Q175">
            <v>0</v>
          </cell>
          <cell r="S175">
            <v>0</v>
          </cell>
          <cell r="U175">
            <v>0</v>
          </cell>
          <cell r="Y175">
            <v>69.900000000000006</v>
          </cell>
          <cell r="AE175" t="str">
            <v>20140101KUUM_498</v>
          </cell>
        </row>
        <row r="176">
          <cell r="B176" t="str">
            <v>Feb 2015</v>
          </cell>
          <cell r="C176" t="str">
            <v>LS</v>
          </cell>
          <cell r="D176" t="str">
            <v>KUUM_499</v>
          </cell>
          <cell r="E176">
            <v>24</v>
          </cell>
          <cell r="F176">
            <v>0</v>
          </cell>
          <cell r="G176">
            <v>0</v>
          </cell>
          <cell r="H176">
            <v>0</v>
          </cell>
          <cell r="L176">
            <v>0</v>
          </cell>
          <cell r="N176">
            <v>515.76</v>
          </cell>
          <cell r="O176">
            <v>0</v>
          </cell>
          <cell r="Q176">
            <v>0</v>
          </cell>
          <cell r="S176">
            <v>0</v>
          </cell>
          <cell r="U176">
            <v>0</v>
          </cell>
          <cell r="Y176">
            <v>108.72</v>
          </cell>
          <cell r="AE176" t="str">
            <v>20140101KUUM_499</v>
          </cell>
        </row>
        <row r="177">
          <cell r="B177" t="str">
            <v>Feb 2015</v>
          </cell>
          <cell r="C177" t="str">
            <v>ODL</v>
          </cell>
          <cell r="D177" t="str">
            <v>ODL</v>
          </cell>
          <cell r="E177">
            <v>0</v>
          </cell>
          <cell r="F177">
            <v>0</v>
          </cell>
          <cell r="G177">
            <v>9690520</v>
          </cell>
          <cell r="L177">
            <v>0</v>
          </cell>
          <cell r="N177">
            <v>0</v>
          </cell>
          <cell r="O177">
            <v>2094693.25</v>
          </cell>
          <cell r="Q177">
            <v>18014</v>
          </cell>
          <cell r="S177">
            <v>34728</v>
          </cell>
          <cell r="U177">
            <v>2147435.25</v>
          </cell>
          <cell r="Y177">
            <v>0</v>
          </cell>
          <cell r="AE177" t="str">
            <v>20140101ODL</v>
          </cell>
        </row>
        <row r="178">
          <cell r="B178" t="str">
            <v>Mar 2014</v>
          </cell>
          <cell r="C178" t="str">
            <v>LS</v>
          </cell>
          <cell r="D178" t="str">
            <v>KUUM_300</v>
          </cell>
          <cell r="E178">
            <v>0</v>
          </cell>
          <cell r="F178">
            <v>0</v>
          </cell>
          <cell r="G178">
            <v>0</v>
          </cell>
          <cell r="H178">
            <v>0</v>
          </cell>
          <cell r="L178">
            <v>0</v>
          </cell>
          <cell r="N178">
            <v>0</v>
          </cell>
          <cell r="O178">
            <v>0</v>
          </cell>
          <cell r="Q178">
            <v>0</v>
          </cell>
          <cell r="S178">
            <v>0</v>
          </cell>
          <cell r="U178">
            <v>0</v>
          </cell>
          <cell r="Y178">
            <v>0</v>
          </cell>
          <cell r="AE178" t="str">
            <v>20140101KUUM_300</v>
          </cell>
        </row>
        <row r="179">
          <cell r="B179" t="str">
            <v>Mar 2014</v>
          </cell>
          <cell r="C179" t="str">
            <v>LS</v>
          </cell>
          <cell r="D179" t="str">
            <v>KUUM_301</v>
          </cell>
          <cell r="E179">
            <v>0</v>
          </cell>
          <cell r="F179">
            <v>0</v>
          </cell>
          <cell r="G179">
            <v>0</v>
          </cell>
          <cell r="H179">
            <v>0</v>
          </cell>
          <cell r="L179">
            <v>0</v>
          </cell>
          <cell r="N179">
            <v>0</v>
          </cell>
          <cell r="O179">
            <v>0</v>
          </cell>
          <cell r="Q179">
            <v>0</v>
          </cell>
          <cell r="S179">
            <v>0</v>
          </cell>
          <cell r="U179">
            <v>0</v>
          </cell>
          <cell r="Y179">
            <v>0</v>
          </cell>
          <cell r="AE179" t="str">
            <v>20140101KUUM_301</v>
          </cell>
        </row>
        <row r="180">
          <cell r="B180" t="str">
            <v>Mar 2014</v>
          </cell>
          <cell r="C180" t="str">
            <v>LS</v>
          </cell>
          <cell r="D180" t="str">
            <v>KUUM_360</v>
          </cell>
          <cell r="E180">
            <v>178</v>
          </cell>
          <cell r="F180">
            <v>0</v>
          </cell>
          <cell r="G180">
            <v>11853</v>
          </cell>
          <cell r="H180">
            <v>0</v>
          </cell>
          <cell r="L180">
            <v>0</v>
          </cell>
          <cell r="N180">
            <v>9848.74</v>
          </cell>
          <cell r="O180">
            <v>9848.74</v>
          </cell>
          <cell r="Q180">
            <v>-16.059999999999999</v>
          </cell>
          <cell r="S180">
            <v>547.5</v>
          </cell>
          <cell r="U180">
            <v>10380.18</v>
          </cell>
          <cell r="Y180">
            <v>311.5</v>
          </cell>
          <cell r="AE180" t="str">
            <v>20140101KUUM_360</v>
          </cell>
        </row>
        <row r="181">
          <cell r="B181" t="str">
            <v>Mar 2014</v>
          </cell>
          <cell r="C181" t="str">
            <v>LS</v>
          </cell>
          <cell r="D181" t="str">
            <v>KUUM_361</v>
          </cell>
          <cell r="E181">
            <v>25</v>
          </cell>
          <cell r="F181">
            <v>0</v>
          </cell>
          <cell r="G181">
            <v>1650</v>
          </cell>
          <cell r="H181">
            <v>0</v>
          </cell>
          <cell r="L181">
            <v>0</v>
          </cell>
          <cell r="N181">
            <v>2079</v>
          </cell>
          <cell r="O181">
            <v>2079</v>
          </cell>
          <cell r="Q181">
            <v>-2.41</v>
          </cell>
          <cell r="S181">
            <v>117.54</v>
          </cell>
          <cell r="U181">
            <v>2194.13</v>
          </cell>
          <cell r="Y181">
            <v>43.75</v>
          </cell>
          <cell r="AE181" t="str">
            <v>20140101KUUM_361</v>
          </cell>
        </row>
        <row r="182">
          <cell r="B182" t="str">
            <v>Mar 2014</v>
          </cell>
          <cell r="C182" t="str">
            <v>LS</v>
          </cell>
          <cell r="D182" t="str">
            <v>KUUM_362</v>
          </cell>
          <cell r="E182">
            <v>43</v>
          </cell>
          <cell r="F182">
            <v>0</v>
          </cell>
          <cell r="G182">
            <v>2317</v>
          </cell>
          <cell r="H182">
            <v>0</v>
          </cell>
          <cell r="L182">
            <v>0</v>
          </cell>
          <cell r="N182">
            <v>2570.54</v>
          </cell>
          <cell r="O182">
            <v>2570.54</v>
          </cell>
          <cell r="Q182">
            <v>-3.38</v>
          </cell>
          <cell r="S182">
            <v>145.30000000000001</v>
          </cell>
          <cell r="U182">
            <v>2712.46</v>
          </cell>
          <cell r="Y182">
            <v>75.25</v>
          </cell>
          <cell r="AE182" t="str">
            <v>20140101KUUM_362</v>
          </cell>
        </row>
        <row r="183">
          <cell r="B183" t="str">
            <v>Mar 2014</v>
          </cell>
          <cell r="C183" t="str">
            <v>LS</v>
          </cell>
          <cell r="D183" t="str">
            <v>KUUM_363</v>
          </cell>
          <cell r="E183">
            <v>5</v>
          </cell>
          <cell r="F183">
            <v>0</v>
          </cell>
          <cell r="G183">
            <v>325</v>
          </cell>
          <cell r="H183">
            <v>0</v>
          </cell>
          <cell r="L183">
            <v>0</v>
          </cell>
          <cell r="N183">
            <v>308.75</v>
          </cell>
          <cell r="O183">
            <v>308.75</v>
          </cell>
          <cell r="Q183">
            <v>-0.47</v>
          </cell>
          <cell r="S183">
            <v>17.45</v>
          </cell>
          <cell r="U183">
            <v>325.73</v>
          </cell>
          <cell r="Y183">
            <v>8.75</v>
          </cell>
          <cell r="AE183" t="str">
            <v>20140101KUUM_363</v>
          </cell>
        </row>
        <row r="184">
          <cell r="B184" t="str">
            <v>Mar 2014</v>
          </cell>
          <cell r="C184" t="str">
            <v>LS</v>
          </cell>
          <cell r="D184" t="str">
            <v>KUUM_364</v>
          </cell>
          <cell r="E184">
            <v>1</v>
          </cell>
          <cell r="F184">
            <v>0</v>
          </cell>
          <cell r="G184">
            <v>65</v>
          </cell>
          <cell r="H184">
            <v>0</v>
          </cell>
          <cell r="L184">
            <v>0</v>
          </cell>
          <cell r="N184">
            <v>63.11</v>
          </cell>
          <cell r="O184">
            <v>63.110000000000007</v>
          </cell>
          <cell r="Q184">
            <v>-0.09</v>
          </cell>
          <cell r="S184">
            <v>3.57</v>
          </cell>
          <cell r="U184">
            <v>66.59</v>
          </cell>
          <cell r="Y184">
            <v>1.75</v>
          </cell>
          <cell r="AE184" t="str">
            <v>20140101KUUM_364</v>
          </cell>
        </row>
        <row r="185">
          <cell r="B185" t="str">
            <v>Mar 2014</v>
          </cell>
          <cell r="C185" t="str">
            <v>LS</v>
          </cell>
          <cell r="D185" t="str">
            <v>KUUM_365</v>
          </cell>
          <cell r="E185">
            <v>5</v>
          </cell>
          <cell r="F185">
            <v>0</v>
          </cell>
          <cell r="G185">
            <v>327</v>
          </cell>
          <cell r="H185">
            <v>0</v>
          </cell>
          <cell r="L185">
            <v>0</v>
          </cell>
          <cell r="N185">
            <v>404.7</v>
          </cell>
          <cell r="O185">
            <v>404.70000000000005</v>
          </cell>
          <cell r="Q185">
            <v>-0.48</v>
          </cell>
          <cell r="S185">
            <v>22.88</v>
          </cell>
          <cell r="U185">
            <v>427.1</v>
          </cell>
          <cell r="Y185">
            <v>8.75</v>
          </cell>
          <cell r="AE185" t="str">
            <v>20140101KUUM_365</v>
          </cell>
        </row>
        <row r="186">
          <cell r="B186" t="str">
            <v>Mar 2014</v>
          </cell>
          <cell r="C186" t="str">
            <v>LS</v>
          </cell>
          <cell r="D186" t="str">
            <v>KUUM_366</v>
          </cell>
          <cell r="E186">
            <v>9</v>
          </cell>
          <cell r="F186">
            <v>0</v>
          </cell>
          <cell r="G186">
            <v>587</v>
          </cell>
          <cell r="H186">
            <v>0</v>
          </cell>
          <cell r="L186">
            <v>0</v>
          </cell>
          <cell r="N186">
            <v>710.73</v>
          </cell>
          <cell r="O186">
            <v>710.73</v>
          </cell>
          <cell r="Q186">
            <v>-0.86</v>
          </cell>
          <cell r="S186">
            <v>40.17</v>
          </cell>
          <cell r="U186">
            <v>750.04</v>
          </cell>
          <cell r="Y186">
            <v>15.75</v>
          </cell>
          <cell r="AE186" t="str">
            <v>20140101KUUM_366</v>
          </cell>
        </row>
        <row r="187">
          <cell r="B187" t="str">
            <v>Mar 2014</v>
          </cell>
          <cell r="C187" t="str">
            <v>LS</v>
          </cell>
          <cell r="D187" t="str">
            <v>KUUM_367</v>
          </cell>
          <cell r="E187">
            <v>25</v>
          </cell>
          <cell r="F187">
            <v>0</v>
          </cell>
          <cell r="G187">
            <v>1672</v>
          </cell>
          <cell r="H187">
            <v>0</v>
          </cell>
          <cell r="L187">
            <v>0</v>
          </cell>
          <cell r="N187">
            <v>1530.75</v>
          </cell>
          <cell r="O187">
            <v>1530.75</v>
          </cell>
          <cell r="Q187">
            <v>-2.44</v>
          </cell>
          <cell r="S187">
            <v>86.5</v>
          </cell>
          <cell r="U187">
            <v>1614.81</v>
          </cell>
          <cell r="Y187">
            <v>43.75</v>
          </cell>
          <cell r="AE187" t="str">
            <v>20140101KUUM_367</v>
          </cell>
        </row>
        <row r="188">
          <cell r="B188" t="str">
            <v>Mar 2014</v>
          </cell>
          <cell r="C188" t="str">
            <v>LS</v>
          </cell>
          <cell r="D188" t="str">
            <v>KUUM_368</v>
          </cell>
          <cell r="E188">
            <v>1</v>
          </cell>
          <cell r="F188">
            <v>0</v>
          </cell>
          <cell r="G188">
            <v>65</v>
          </cell>
          <cell r="H188">
            <v>0</v>
          </cell>
          <cell r="L188">
            <v>0</v>
          </cell>
          <cell r="N188">
            <v>56.69</v>
          </cell>
          <cell r="O188">
            <v>56.69</v>
          </cell>
          <cell r="Q188">
            <v>-0.09</v>
          </cell>
          <cell r="S188">
            <v>3.2</v>
          </cell>
          <cell r="U188">
            <v>59.8</v>
          </cell>
          <cell r="Y188">
            <v>1.75</v>
          </cell>
          <cell r="AE188" t="str">
            <v>20140101KUUM_368</v>
          </cell>
        </row>
        <row r="189">
          <cell r="B189" t="str">
            <v>Mar 2014</v>
          </cell>
          <cell r="C189" t="str">
            <v>LS</v>
          </cell>
          <cell r="D189" t="str">
            <v>KUUM_370</v>
          </cell>
          <cell r="E189">
            <v>15</v>
          </cell>
          <cell r="F189">
            <v>0</v>
          </cell>
          <cell r="G189">
            <v>985</v>
          </cell>
          <cell r="H189">
            <v>0</v>
          </cell>
          <cell r="L189">
            <v>0</v>
          </cell>
          <cell r="N189">
            <v>1117.8</v>
          </cell>
          <cell r="O189">
            <v>1117.8000000000002</v>
          </cell>
          <cell r="Q189">
            <v>-0.82</v>
          </cell>
          <cell r="S189">
            <v>57.15</v>
          </cell>
          <cell r="U189">
            <v>1174.1300000000001</v>
          </cell>
          <cell r="Y189">
            <v>26.25</v>
          </cell>
          <cell r="AE189" t="str">
            <v>20140101KUUM_370</v>
          </cell>
        </row>
        <row r="190">
          <cell r="B190" t="str">
            <v>Mar 2014</v>
          </cell>
          <cell r="C190" t="str">
            <v>LS</v>
          </cell>
          <cell r="D190" t="str">
            <v>KUUM_372</v>
          </cell>
          <cell r="E190">
            <v>1</v>
          </cell>
          <cell r="F190">
            <v>0</v>
          </cell>
          <cell r="G190">
            <v>65</v>
          </cell>
          <cell r="H190">
            <v>0</v>
          </cell>
          <cell r="L190">
            <v>0</v>
          </cell>
          <cell r="N190">
            <v>82.3</v>
          </cell>
          <cell r="O190">
            <v>82.3</v>
          </cell>
          <cell r="Q190">
            <v>-0.09</v>
          </cell>
          <cell r="S190">
            <v>4.6500000000000004</v>
          </cell>
          <cell r="U190">
            <v>86.86</v>
          </cell>
          <cell r="Y190">
            <v>1.75</v>
          </cell>
          <cell r="AE190" t="str">
            <v>20140101KUUM_372</v>
          </cell>
        </row>
        <row r="191">
          <cell r="B191" t="str">
            <v>Mar 2014</v>
          </cell>
          <cell r="C191" t="str">
            <v>LS</v>
          </cell>
          <cell r="D191" t="str">
            <v>KUUM_373</v>
          </cell>
          <cell r="E191">
            <v>20</v>
          </cell>
          <cell r="F191">
            <v>0</v>
          </cell>
          <cell r="G191">
            <v>1339</v>
          </cell>
          <cell r="H191">
            <v>0</v>
          </cell>
          <cell r="L191">
            <v>0</v>
          </cell>
          <cell r="N191">
            <v>1490.4</v>
          </cell>
          <cell r="O191">
            <v>1490.4</v>
          </cell>
          <cell r="Q191">
            <v>-1.96</v>
          </cell>
          <cell r="S191">
            <v>84.24</v>
          </cell>
          <cell r="U191">
            <v>1572.68</v>
          </cell>
          <cell r="Y191">
            <v>35</v>
          </cell>
          <cell r="AE191" t="str">
            <v>20140101KUUM_373</v>
          </cell>
        </row>
        <row r="192">
          <cell r="B192" t="str">
            <v>Mar 2014</v>
          </cell>
          <cell r="C192" t="str">
            <v>LS</v>
          </cell>
          <cell r="D192" t="str">
            <v>KUUM_374</v>
          </cell>
          <cell r="E192">
            <v>4</v>
          </cell>
          <cell r="F192">
            <v>0</v>
          </cell>
          <cell r="G192">
            <v>264</v>
          </cell>
          <cell r="H192">
            <v>0</v>
          </cell>
          <cell r="L192">
            <v>0</v>
          </cell>
          <cell r="N192">
            <v>303.52</v>
          </cell>
          <cell r="O192">
            <v>303.52000000000004</v>
          </cell>
          <cell r="Q192">
            <v>-0.39</v>
          </cell>
          <cell r="S192">
            <v>17.16</v>
          </cell>
          <cell r="U192">
            <v>320.29000000000002</v>
          </cell>
          <cell r="Y192">
            <v>7</v>
          </cell>
          <cell r="AE192" t="str">
            <v>20140101KUUM_374</v>
          </cell>
        </row>
        <row r="193">
          <cell r="B193" t="str">
            <v>Mar 2014</v>
          </cell>
          <cell r="C193" t="str">
            <v>LS</v>
          </cell>
          <cell r="D193" t="str">
            <v>KUUM_375</v>
          </cell>
          <cell r="E193">
            <v>3</v>
          </cell>
          <cell r="F193">
            <v>0</v>
          </cell>
          <cell r="G193">
            <v>201</v>
          </cell>
          <cell r="H193">
            <v>0</v>
          </cell>
          <cell r="L193">
            <v>0</v>
          </cell>
          <cell r="N193">
            <v>236.91</v>
          </cell>
          <cell r="O193">
            <v>236.91</v>
          </cell>
          <cell r="Q193">
            <v>-0.3</v>
          </cell>
          <cell r="S193">
            <v>13.39</v>
          </cell>
          <cell r="U193">
            <v>250</v>
          </cell>
          <cell r="Y193">
            <v>5.25</v>
          </cell>
          <cell r="AE193" t="str">
            <v>20140101KUUM_375</v>
          </cell>
        </row>
        <row r="194">
          <cell r="B194" t="str">
            <v>Mar 2014</v>
          </cell>
          <cell r="C194" t="str">
            <v>LS</v>
          </cell>
          <cell r="D194" t="str">
            <v>KUUM_376</v>
          </cell>
          <cell r="E194">
            <v>2</v>
          </cell>
          <cell r="F194">
            <v>0</v>
          </cell>
          <cell r="G194">
            <v>134</v>
          </cell>
          <cell r="H194">
            <v>0</v>
          </cell>
          <cell r="L194">
            <v>0</v>
          </cell>
          <cell r="N194">
            <v>154.52000000000001</v>
          </cell>
          <cell r="O194">
            <v>154.52000000000001</v>
          </cell>
          <cell r="Q194">
            <v>-0.2</v>
          </cell>
          <cell r="S194">
            <v>8.73</v>
          </cell>
          <cell r="U194">
            <v>163.05000000000001</v>
          </cell>
          <cell r="Y194">
            <v>3.5</v>
          </cell>
          <cell r="AE194" t="str">
            <v>20140101KUUM_376</v>
          </cell>
        </row>
        <row r="195">
          <cell r="B195" t="str">
            <v>Mar 2014</v>
          </cell>
          <cell r="C195" t="str">
            <v>LS</v>
          </cell>
          <cell r="D195" t="str">
            <v>KUUM_377</v>
          </cell>
          <cell r="E195">
            <v>51</v>
          </cell>
          <cell r="F195">
            <v>0</v>
          </cell>
          <cell r="G195">
            <v>3393</v>
          </cell>
          <cell r="H195">
            <v>0</v>
          </cell>
          <cell r="L195">
            <v>0</v>
          </cell>
          <cell r="N195">
            <v>3273.69</v>
          </cell>
          <cell r="O195">
            <v>3273.69</v>
          </cell>
          <cell r="Q195">
            <v>-4.95</v>
          </cell>
          <cell r="S195">
            <v>185.01</v>
          </cell>
          <cell r="U195">
            <v>3453.75</v>
          </cell>
          <cell r="Y195">
            <v>89.25</v>
          </cell>
          <cell r="AE195" t="str">
            <v>20140101KUUM_377</v>
          </cell>
        </row>
        <row r="196">
          <cell r="B196" t="str">
            <v>Mar 2014</v>
          </cell>
          <cell r="C196" t="str">
            <v>LS</v>
          </cell>
          <cell r="D196" t="str">
            <v>KUUM_378</v>
          </cell>
          <cell r="E196">
            <v>2</v>
          </cell>
          <cell r="F196">
            <v>0</v>
          </cell>
          <cell r="G196">
            <v>140</v>
          </cell>
          <cell r="H196">
            <v>0</v>
          </cell>
          <cell r="L196">
            <v>0</v>
          </cell>
          <cell r="N196">
            <v>151.80000000000001</v>
          </cell>
          <cell r="O196">
            <v>151.80000000000001</v>
          </cell>
          <cell r="Q196">
            <v>-0.2</v>
          </cell>
          <cell r="S196">
            <v>8.58</v>
          </cell>
          <cell r="U196">
            <v>160.18</v>
          </cell>
          <cell r="Y196">
            <v>3.5</v>
          </cell>
          <cell r="AE196" t="str">
            <v>20140101KUUM_378</v>
          </cell>
        </row>
        <row r="197">
          <cell r="B197" t="str">
            <v>Mar 2014</v>
          </cell>
          <cell r="C197" t="str">
            <v>LS</v>
          </cell>
          <cell r="D197" t="str">
            <v>KUUM_401</v>
          </cell>
          <cell r="E197">
            <v>52</v>
          </cell>
          <cell r="F197">
            <v>0</v>
          </cell>
          <cell r="G197">
            <v>1565</v>
          </cell>
          <cell r="H197">
            <v>0</v>
          </cell>
          <cell r="L197">
            <v>0</v>
          </cell>
          <cell r="N197">
            <v>772.72</v>
          </cell>
          <cell r="O197">
            <v>772.72</v>
          </cell>
          <cell r="Q197">
            <v>3.24</v>
          </cell>
          <cell r="S197">
            <v>19.63</v>
          </cell>
          <cell r="U197">
            <v>795.59</v>
          </cell>
          <cell r="Y197">
            <v>41.6</v>
          </cell>
          <cell r="AE197" t="str">
            <v>20140101KUUM_401</v>
          </cell>
        </row>
        <row r="198">
          <cell r="B198" t="str">
            <v>Mar 2014</v>
          </cell>
          <cell r="C198" t="str">
            <v>RLS</v>
          </cell>
          <cell r="D198" t="str">
            <v>KUUM_404</v>
          </cell>
          <cell r="E198">
            <v>7282</v>
          </cell>
          <cell r="F198">
            <v>0</v>
          </cell>
          <cell r="G198">
            <v>530883</v>
          </cell>
          <cell r="H198">
            <v>0</v>
          </cell>
          <cell r="L198">
            <v>-793.29</v>
          </cell>
          <cell r="N198">
            <v>76177.450000000012</v>
          </cell>
          <cell r="O198">
            <v>76177.45</v>
          </cell>
          <cell r="Q198">
            <v>1598.85</v>
          </cell>
          <cell r="S198">
            <v>1299.18</v>
          </cell>
          <cell r="U198">
            <v>79075.48</v>
          </cell>
          <cell r="Y198">
            <v>14491.18</v>
          </cell>
          <cell r="AE198" t="str">
            <v>20140101KUUM_404</v>
          </cell>
        </row>
        <row r="199">
          <cell r="B199" t="str">
            <v>Mar 2014</v>
          </cell>
          <cell r="C199" t="str">
            <v>RLS</v>
          </cell>
          <cell r="D199" t="str">
            <v>KUUM_405</v>
          </cell>
          <cell r="E199">
            <v>0</v>
          </cell>
          <cell r="F199">
            <v>0</v>
          </cell>
          <cell r="G199">
            <v>0</v>
          </cell>
          <cell r="H199">
            <v>0</v>
          </cell>
          <cell r="L199">
            <v>0</v>
          </cell>
          <cell r="N199">
            <v>0</v>
          </cell>
          <cell r="O199">
            <v>0</v>
          </cell>
          <cell r="Q199">
            <v>0</v>
          </cell>
          <cell r="S199">
            <v>0</v>
          </cell>
          <cell r="U199">
            <v>0</v>
          </cell>
          <cell r="Y199">
            <v>0</v>
          </cell>
          <cell r="AE199" t="str">
            <v>20140101KUUM_405</v>
          </cell>
        </row>
        <row r="200">
          <cell r="B200" t="str">
            <v>Mar 2014</v>
          </cell>
          <cell r="C200" t="str">
            <v>LS</v>
          </cell>
          <cell r="D200" t="str">
            <v>KUUM_407</v>
          </cell>
          <cell r="E200">
            <v>0</v>
          </cell>
          <cell r="F200">
            <v>0</v>
          </cell>
          <cell r="G200">
            <v>0</v>
          </cell>
          <cell r="H200">
            <v>0</v>
          </cell>
          <cell r="L200">
            <v>0</v>
          </cell>
          <cell r="N200">
            <v>0</v>
          </cell>
          <cell r="O200">
            <v>0</v>
          </cell>
          <cell r="Q200">
            <v>0</v>
          </cell>
          <cell r="S200">
            <v>0</v>
          </cell>
          <cell r="U200">
            <v>0</v>
          </cell>
          <cell r="Y200">
            <v>0</v>
          </cell>
          <cell r="AE200" t="str">
            <v>20140101KUUM_407</v>
          </cell>
        </row>
        <row r="201">
          <cell r="B201" t="str">
            <v>Mar 2014</v>
          </cell>
          <cell r="C201" t="str">
            <v>RLS</v>
          </cell>
          <cell r="D201" t="str">
            <v>KUUM_409</v>
          </cell>
          <cell r="E201">
            <v>143</v>
          </cell>
          <cell r="F201">
            <v>0</v>
          </cell>
          <cell r="G201">
            <v>23606</v>
          </cell>
          <cell r="H201">
            <v>0</v>
          </cell>
          <cell r="L201">
            <v>0</v>
          </cell>
          <cell r="N201">
            <v>1674.53</v>
          </cell>
          <cell r="O201">
            <v>1674.53</v>
          </cell>
          <cell r="Q201">
            <v>54.68</v>
          </cell>
          <cell r="S201">
            <v>38.9</v>
          </cell>
          <cell r="U201">
            <v>1768.11</v>
          </cell>
          <cell r="Y201">
            <v>647.79</v>
          </cell>
          <cell r="AE201" t="str">
            <v>20140101KUUM_409</v>
          </cell>
        </row>
        <row r="202">
          <cell r="B202" t="str">
            <v>Mar 2014</v>
          </cell>
          <cell r="C202" t="str">
            <v>RLS</v>
          </cell>
          <cell r="D202" t="str">
            <v>KUUM_410</v>
          </cell>
          <cell r="E202">
            <v>240</v>
          </cell>
          <cell r="F202">
            <v>0</v>
          </cell>
          <cell r="G202">
            <v>5403</v>
          </cell>
          <cell r="H202">
            <v>0</v>
          </cell>
          <cell r="L202">
            <v>0.01</v>
          </cell>
          <cell r="N202">
            <v>4862.41</v>
          </cell>
          <cell r="O202">
            <v>4862.4100000000008</v>
          </cell>
          <cell r="Q202">
            <v>16.86</v>
          </cell>
          <cell r="S202">
            <v>78.08</v>
          </cell>
          <cell r="U202">
            <v>4957.3500000000004</v>
          </cell>
          <cell r="Y202">
            <v>136.80000000000001</v>
          </cell>
          <cell r="AE202" t="str">
            <v>20140101KUUM_410</v>
          </cell>
        </row>
        <row r="203">
          <cell r="B203" t="str">
            <v>Mar 2014</v>
          </cell>
          <cell r="C203" t="str">
            <v>LS</v>
          </cell>
          <cell r="D203" t="str">
            <v>KUUM_411</v>
          </cell>
          <cell r="E203">
            <v>145</v>
          </cell>
          <cell r="F203">
            <v>0</v>
          </cell>
          <cell r="G203">
            <v>4424</v>
          </cell>
          <cell r="H203">
            <v>0</v>
          </cell>
          <cell r="L203">
            <v>0</v>
          </cell>
          <cell r="N203">
            <v>3100.1</v>
          </cell>
          <cell r="O203">
            <v>3100.1</v>
          </cell>
          <cell r="Q203">
            <v>13.79</v>
          </cell>
          <cell r="S203">
            <v>49.81</v>
          </cell>
          <cell r="U203">
            <v>3163.7</v>
          </cell>
          <cell r="Y203">
            <v>116</v>
          </cell>
          <cell r="AE203" t="str">
            <v>20140101KUUM_411</v>
          </cell>
        </row>
        <row r="204">
          <cell r="B204" t="str">
            <v>Mar 2014</v>
          </cell>
          <cell r="C204" t="str">
            <v>RLS</v>
          </cell>
          <cell r="D204" t="str">
            <v>KUUM_412</v>
          </cell>
          <cell r="E204">
            <v>28</v>
          </cell>
          <cell r="F204">
            <v>0</v>
          </cell>
          <cell r="G204">
            <v>908</v>
          </cell>
          <cell r="H204">
            <v>0</v>
          </cell>
          <cell r="L204">
            <v>0</v>
          </cell>
          <cell r="N204">
            <v>863.52</v>
          </cell>
          <cell r="O204">
            <v>863.52</v>
          </cell>
          <cell r="Q204">
            <v>2.83</v>
          </cell>
          <cell r="S204">
            <v>13.86</v>
          </cell>
          <cell r="U204">
            <v>880.21</v>
          </cell>
          <cell r="Y204">
            <v>22.4</v>
          </cell>
          <cell r="AE204" t="str">
            <v>20140101KUUM_412</v>
          </cell>
        </row>
        <row r="205">
          <cell r="B205" t="str">
            <v>Mar 2014</v>
          </cell>
          <cell r="C205" t="str">
            <v>RLS</v>
          </cell>
          <cell r="D205" t="str">
            <v>KUUM_413</v>
          </cell>
          <cell r="E205">
            <v>96</v>
          </cell>
          <cell r="F205">
            <v>0</v>
          </cell>
          <cell r="G205">
            <v>4171</v>
          </cell>
          <cell r="H205">
            <v>0</v>
          </cell>
          <cell r="L205">
            <v>0</v>
          </cell>
          <cell r="N205">
            <v>2997.12</v>
          </cell>
          <cell r="O205">
            <v>2997.12</v>
          </cell>
          <cell r="Q205">
            <v>13</v>
          </cell>
          <cell r="S205">
            <v>48.17</v>
          </cell>
          <cell r="U205">
            <v>3058.29</v>
          </cell>
          <cell r="Y205">
            <v>108.48</v>
          </cell>
          <cell r="AE205" t="str">
            <v>20140101KUUM_413</v>
          </cell>
        </row>
        <row r="206">
          <cell r="B206" t="str">
            <v>Mar 2014</v>
          </cell>
          <cell r="C206" t="str">
            <v>LS</v>
          </cell>
          <cell r="D206" t="str">
            <v>KUUM_414</v>
          </cell>
          <cell r="E206">
            <v>21</v>
          </cell>
          <cell r="F206">
            <v>0</v>
          </cell>
          <cell r="G206">
            <v>624</v>
          </cell>
          <cell r="H206">
            <v>0</v>
          </cell>
          <cell r="L206">
            <v>0</v>
          </cell>
          <cell r="N206">
            <v>647.64</v>
          </cell>
          <cell r="O206">
            <v>647.64</v>
          </cell>
          <cell r="Q206">
            <v>-0.91</v>
          </cell>
          <cell r="S206">
            <v>36.6</v>
          </cell>
          <cell r="U206">
            <v>683.33</v>
          </cell>
          <cell r="Y206">
            <v>16.8</v>
          </cell>
          <cell r="AE206" t="str">
            <v>20140101KUUM_414</v>
          </cell>
        </row>
        <row r="207">
          <cell r="B207" t="str">
            <v>Mar 2014</v>
          </cell>
          <cell r="C207" t="str">
            <v>LS</v>
          </cell>
          <cell r="D207" t="str">
            <v>KUUM_415</v>
          </cell>
          <cell r="E207">
            <v>10</v>
          </cell>
          <cell r="F207">
            <v>0</v>
          </cell>
          <cell r="G207">
            <v>419</v>
          </cell>
          <cell r="H207">
            <v>0</v>
          </cell>
          <cell r="L207">
            <v>0</v>
          </cell>
          <cell r="N207">
            <v>312.2</v>
          </cell>
          <cell r="O207">
            <v>312.20000000000005</v>
          </cell>
          <cell r="Q207">
            <v>-0.61</v>
          </cell>
          <cell r="S207">
            <v>17.64</v>
          </cell>
          <cell r="U207">
            <v>329.23</v>
          </cell>
          <cell r="Y207">
            <v>11.3</v>
          </cell>
          <cell r="AE207" t="str">
            <v>20140101KUUM_415</v>
          </cell>
        </row>
        <row r="208">
          <cell r="B208" t="str">
            <v>Mar 2014</v>
          </cell>
          <cell r="C208" t="str">
            <v>LS</v>
          </cell>
          <cell r="D208" t="str">
            <v>KUUM_420</v>
          </cell>
          <cell r="E208">
            <v>466</v>
          </cell>
          <cell r="F208">
            <v>0</v>
          </cell>
          <cell r="G208">
            <v>19728</v>
          </cell>
          <cell r="H208">
            <v>0</v>
          </cell>
          <cell r="L208">
            <v>-24.58</v>
          </cell>
          <cell r="N208">
            <v>7133.18</v>
          </cell>
          <cell r="O208">
            <v>7133.1799999999994</v>
          </cell>
          <cell r="Q208">
            <v>37.770000000000003</v>
          </cell>
          <cell r="S208">
            <v>189.45</v>
          </cell>
          <cell r="U208">
            <v>7360.4</v>
          </cell>
          <cell r="Y208">
            <v>526.58000000000004</v>
          </cell>
          <cell r="AE208" t="str">
            <v>20140101KUUM_420</v>
          </cell>
        </row>
        <row r="209">
          <cell r="B209" t="str">
            <v>Mar 2014</v>
          </cell>
          <cell r="C209" t="str">
            <v>RLS</v>
          </cell>
          <cell r="D209" t="str">
            <v>KUUM_421</v>
          </cell>
          <cell r="E209">
            <v>5</v>
          </cell>
          <cell r="F209">
            <v>0</v>
          </cell>
          <cell r="G209">
            <v>187</v>
          </cell>
          <cell r="H209">
            <v>0</v>
          </cell>
          <cell r="L209">
            <v>0</v>
          </cell>
          <cell r="N209">
            <v>16.95</v>
          </cell>
          <cell r="O209">
            <v>16.95</v>
          </cell>
          <cell r="Q209">
            <v>7.0000000000000007E-2</v>
          </cell>
          <cell r="S209">
            <v>0.69</v>
          </cell>
          <cell r="U209">
            <v>17.71</v>
          </cell>
          <cell r="Y209">
            <v>4.95</v>
          </cell>
          <cell r="AE209" t="str">
            <v>20140101KUUM_421</v>
          </cell>
        </row>
        <row r="210">
          <cell r="B210" t="str">
            <v>Mar 2014</v>
          </cell>
          <cell r="C210" t="str">
            <v>RLS</v>
          </cell>
          <cell r="D210" t="str">
            <v>KUUM_422</v>
          </cell>
          <cell r="E210">
            <v>678</v>
          </cell>
          <cell r="F210">
            <v>0</v>
          </cell>
          <cell r="G210">
            <v>49573</v>
          </cell>
          <cell r="H210">
            <v>0</v>
          </cell>
          <cell r="L210">
            <v>-3.69</v>
          </cell>
          <cell r="N210">
            <v>3074.43</v>
          </cell>
          <cell r="O210">
            <v>3074.4300000000003</v>
          </cell>
          <cell r="Q210">
            <v>96.88</v>
          </cell>
          <cell r="S210">
            <v>81.34</v>
          </cell>
          <cell r="U210">
            <v>3252.65</v>
          </cell>
          <cell r="Y210">
            <v>1315.32</v>
          </cell>
          <cell r="AE210" t="str">
            <v>20140101KUUM_422</v>
          </cell>
        </row>
        <row r="211">
          <cell r="B211" t="str">
            <v>Mar 2014</v>
          </cell>
          <cell r="C211" t="str">
            <v>RLS</v>
          </cell>
          <cell r="D211" t="str">
            <v>KUUM_424</v>
          </cell>
          <cell r="E211">
            <v>70</v>
          </cell>
          <cell r="F211">
            <v>0</v>
          </cell>
          <cell r="G211">
            <v>8382</v>
          </cell>
          <cell r="H211">
            <v>0</v>
          </cell>
          <cell r="L211">
            <v>0.01</v>
          </cell>
          <cell r="N211">
            <v>474.61</v>
          </cell>
          <cell r="O211">
            <v>474.60999999999996</v>
          </cell>
          <cell r="Q211">
            <v>-1.24</v>
          </cell>
          <cell r="S211">
            <v>20.97</v>
          </cell>
          <cell r="U211">
            <v>494.34</v>
          </cell>
          <cell r="Y211">
            <v>49</v>
          </cell>
          <cell r="AE211" t="str">
            <v>20140101KUUM_424</v>
          </cell>
        </row>
        <row r="212">
          <cell r="B212" t="str">
            <v>Mar 2014</v>
          </cell>
          <cell r="C212" t="str">
            <v>RLS</v>
          </cell>
          <cell r="D212" t="str">
            <v>KUUM_425</v>
          </cell>
          <cell r="E212">
            <v>2</v>
          </cell>
          <cell r="F212">
            <v>0</v>
          </cell>
          <cell r="G212">
            <v>321</v>
          </cell>
          <cell r="H212">
            <v>0</v>
          </cell>
          <cell r="L212">
            <v>0</v>
          </cell>
          <cell r="N212">
            <v>18.12</v>
          </cell>
          <cell r="O212">
            <v>18.12</v>
          </cell>
          <cell r="Q212">
            <v>1</v>
          </cell>
          <cell r="S212">
            <v>0.3</v>
          </cell>
          <cell r="U212">
            <v>19.420000000000002</v>
          </cell>
          <cell r="Y212">
            <v>8.6</v>
          </cell>
          <cell r="AE212" t="str">
            <v>20140101KUUM_425</v>
          </cell>
        </row>
        <row r="213">
          <cell r="B213" t="str">
            <v>Mar 2014</v>
          </cell>
          <cell r="C213" t="str">
            <v>RLS</v>
          </cell>
          <cell r="D213" t="str">
            <v>KUUM_426</v>
          </cell>
          <cell r="E213">
            <v>170</v>
          </cell>
          <cell r="F213">
            <v>0</v>
          </cell>
          <cell r="G213">
            <v>4968</v>
          </cell>
          <cell r="H213">
            <v>0</v>
          </cell>
          <cell r="L213">
            <v>-6.2</v>
          </cell>
          <cell r="N213">
            <v>1258.5999999999999</v>
          </cell>
          <cell r="O213">
            <v>1258.6000000000001</v>
          </cell>
          <cell r="Q213">
            <v>15.25</v>
          </cell>
          <cell r="S213">
            <v>20.350000000000001</v>
          </cell>
          <cell r="U213">
            <v>1294.2</v>
          </cell>
          <cell r="Y213">
            <v>136</v>
          </cell>
          <cell r="AE213" t="str">
            <v>20140101KUUM_426</v>
          </cell>
        </row>
        <row r="214">
          <cell r="B214" t="str">
            <v>Mar 2014</v>
          </cell>
          <cell r="C214" t="str">
            <v>LS</v>
          </cell>
          <cell r="D214" t="str">
            <v>KUUM_428</v>
          </cell>
          <cell r="E214">
            <v>36742</v>
          </cell>
          <cell r="F214">
            <v>10</v>
          </cell>
          <cell r="G214">
            <v>1517873</v>
          </cell>
          <cell r="H214">
            <v>408</v>
          </cell>
          <cell r="L214">
            <v>-2242.5700000000002</v>
          </cell>
          <cell r="N214">
            <v>285893.11</v>
          </cell>
          <cell r="O214">
            <v>285893.11</v>
          </cell>
          <cell r="Q214">
            <v>4688.09</v>
          </cell>
          <cell r="S214">
            <v>4791.05</v>
          </cell>
          <cell r="U214">
            <v>295372.25</v>
          </cell>
          <cell r="Y214">
            <v>41518.46</v>
          </cell>
          <cell r="AE214" t="str">
            <v>20140101KUUM_428</v>
          </cell>
        </row>
        <row r="215">
          <cell r="B215" t="str">
            <v>Mar 2014</v>
          </cell>
          <cell r="C215" t="str">
            <v>LS</v>
          </cell>
          <cell r="D215" t="str">
            <v>KUUM_429</v>
          </cell>
          <cell r="E215">
            <v>0</v>
          </cell>
          <cell r="F215">
            <v>0</v>
          </cell>
          <cell r="G215">
            <v>0</v>
          </cell>
          <cell r="H215">
            <v>0</v>
          </cell>
          <cell r="L215">
            <v>0</v>
          </cell>
          <cell r="N215">
            <v>0</v>
          </cell>
          <cell r="O215">
            <v>0</v>
          </cell>
          <cell r="Q215">
            <v>0</v>
          </cell>
          <cell r="S215">
            <v>0</v>
          </cell>
          <cell r="U215">
            <v>0</v>
          </cell>
          <cell r="Y215">
            <v>0</v>
          </cell>
          <cell r="AE215" t="str">
            <v>20140101KUUM_429</v>
          </cell>
        </row>
        <row r="216">
          <cell r="B216" t="str">
            <v>Mar 2014</v>
          </cell>
          <cell r="C216" t="str">
            <v>LS</v>
          </cell>
          <cell r="D216" t="str">
            <v>KUUM_430</v>
          </cell>
          <cell r="E216">
            <v>1180</v>
          </cell>
          <cell r="F216">
            <v>0</v>
          </cell>
          <cell r="G216">
            <v>48915</v>
          </cell>
          <cell r="H216">
            <v>0</v>
          </cell>
          <cell r="L216">
            <v>-320.42</v>
          </cell>
          <cell r="N216">
            <v>25639.58</v>
          </cell>
          <cell r="O216">
            <v>25639.579999999998</v>
          </cell>
          <cell r="Q216">
            <v>111.77</v>
          </cell>
          <cell r="S216">
            <v>596.32000000000005</v>
          </cell>
          <cell r="U216">
            <v>26347.67</v>
          </cell>
          <cell r="Y216">
            <v>1333.4</v>
          </cell>
          <cell r="AE216" t="str">
            <v>20140101KUUM_430</v>
          </cell>
        </row>
        <row r="217">
          <cell r="B217" t="str">
            <v>Mar 2014</v>
          </cell>
          <cell r="C217" t="str">
            <v>RLS</v>
          </cell>
          <cell r="D217" t="str">
            <v>KUUM_434</v>
          </cell>
          <cell r="E217">
            <v>5</v>
          </cell>
          <cell r="F217">
            <v>0</v>
          </cell>
          <cell r="G217">
            <v>596</v>
          </cell>
          <cell r="H217">
            <v>0</v>
          </cell>
          <cell r="L217">
            <v>0</v>
          </cell>
          <cell r="N217">
            <v>38.700000000000003</v>
          </cell>
          <cell r="O217">
            <v>38.699999999999996</v>
          </cell>
          <cell r="Q217">
            <v>-0.87</v>
          </cell>
          <cell r="S217">
            <v>2.14</v>
          </cell>
          <cell r="U217">
            <v>39.97</v>
          </cell>
          <cell r="Y217">
            <v>3.5</v>
          </cell>
          <cell r="AE217" t="str">
            <v>20140101KUUM_434</v>
          </cell>
        </row>
        <row r="218">
          <cell r="B218" t="str">
            <v>Mar 2014</v>
          </cell>
          <cell r="C218" t="str">
            <v>RLS</v>
          </cell>
          <cell r="D218" t="str">
            <v>KUUM_440</v>
          </cell>
          <cell r="E218">
            <v>2</v>
          </cell>
          <cell r="F218">
            <v>0</v>
          </cell>
          <cell r="G218">
            <v>43</v>
          </cell>
          <cell r="H218">
            <v>0</v>
          </cell>
          <cell r="L218">
            <v>0</v>
          </cell>
          <cell r="N218">
            <v>27.22</v>
          </cell>
          <cell r="O218">
            <v>27.22</v>
          </cell>
          <cell r="Q218">
            <v>0.13</v>
          </cell>
          <cell r="S218">
            <v>0.44</v>
          </cell>
          <cell r="U218">
            <v>27.79</v>
          </cell>
          <cell r="Y218">
            <v>1.1399999999999999</v>
          </cell>
          <cell r="AE218" t="str">
            <v>20140101KUUM_440</v>
          </cell>
        </row>
        <row r="219">
          <cell r="B219" t="str">
            <v>Mar 2014</v>
          </cell>
          <cell r="C219" t="str">
            <v>RLS</v>
          </cell>
          <cell r="D219" t="str">
            <v>KUUM_446</v>
          </cell>
          <cell r="E219">
            <v>1087</v>
          </cell>
          <cell r="F219">
            <v>0</v>
          </cell>
          <cell r="G219">
            <v>81899</v>
          </cell>
          <cell r="H219">
            <v>0</v>
          </cell>
          <cell r="L219">
            <v>-33.520000000000003</v>
          </cell>
          <cell r="N219">
            <v>10358.199999999999</v>
          </cell>
          <cell r="O219">
            <v>10358.200000000001</v>
          </cell>
          <cell r="Q219">
            <v>186.19</v>
          </cell>
          <cell r="S219">
            <v>246.2</v>
          </cell>
          <cell r="U219">
            <v>10790.59</v>
          </cell>
          <cell r="Y219">
            <v>2163.13</v>
          </cell>
          <cell r="AE219" t="str">
            <v>20140101KUUM_446</v>
          </cell>
        </row>
        <row r="220">
          <cell r="B220" t="str">
            <v>Mar 2014</v>
          </cell>
          <cell r="C220" t="str">
            <v>RLS</v>
          </cell>
          <cell r="D220" t="str">
            <v>KUUM_447</v>
          </cell>
          <cell r="E220">
            <v>744</v>
          </cell>
          <cell r="F220">
            <v>0</v>
          </cell>
          <cell r="G220">
            <v>83963</v>
          </cell>
          <cell r="H220">
            <v>0</v>
          </cell>
          <cell r="L220">
            <v>-43.81</v>
          </cell>
          <cell r="N220">
            <v>8378.27</v>
          </cell>
          <cell r="O220">
            <v>8378.27</v>
          </cell>
          <cell r="Q220">
            <v>-107.03</v>
          </cell>
          <cell r="S220">
            <v>454.17</v>
          </cell>
          <cell r="U220">
            <v>8725.41</v>
          </cell>
          <cell r="Y220">
            <v>2112.96</v>
          </cell>
          <cell r="AE220" t="str">
            <v>20140101KUUM_447</v>
          </cell>
        </row>
        <row r="221">
          <cell r="B221" t="str">
            <v>Mar 2014</v>
          </cell>
          <cell r="C221" t="str">
            <v>RLS</v>
          </cell>
          <cell r="D221" t="str">
            <v>KUUM_448</v>
          </cell>
          <cell r="E221">
            <v>1487</v>
          </cell>
          <cell r="F221">
            <v>0</v>
          </cell>
          <cell r="G221">
            <v>245797</v>
          </cell>
          <cell r="H221">
            <v>0</v>
          </cell>
          <cell r="L221">
            <v>-67.75</v>
          </cell>
          <cell r="N221">
            <v>18980.72</v>
          </cell>
          <cell r="O221">
            <v>18980.72</v>
          </cell>
          <cell r="Q221">
            <v>299.07</v>
          </cell>
          <cell r="S221">
            <v>615.28</v>
          </cell>
          <cell r="U221">
            <v>19895.07</v>
          </cell>
          <cell r="Y221">
            <v>6498.19</v>
          </cell>
          <cell r="AE221" t="str">
            <v>20140101KUUM_448</v>
          </cell>
        </row>
        <row r="222">
          <cell r="B222" t="str">
            <v>Mar 2014</v>
          </cell>
          <cell r="C222" t="str">
            <v>LS</v>
          </cell>
          <cell r="D222" t="str">
            <v>KUUM_450</v>
          </cell>
          <cell r="E222">
            <v>664</v>
          </cell>
          <cell r="F222">
            <v>0</v>
          </cell>
          <cell r="G222">
            <v>35473</v>
          </cell>
          <cell r="H222">
            <v>0</v>
          </cell>
          <cell r="L222">
            <v>-22.79</v>
          </cell>
          <cell r="N222">
            <v>9439.2099999999991</v>
          </cell>
          <cell r="O222">
            <v>9439.2100000000009</v>
          </cell>
          <cell r="Q222">
            <v>105.4</v>
          </cell>
          <cell r="S222">
            <v>164.5</v>
          </cell>
          <cell r="U222">
            <v>9709.11</v>
          </cell>
          <cell r="Y222">
            <v>1308.08</v>
          </cell>
          <cell r="AE222" t="str">
            <v>20140101KUUM_450</v>
          </cell>
        </row>
        <row r="223">
          <cell r="B223" t="str">
            <v>Mar 2014</v>
          </cell>
          <cell r="C223" t="str">
            <v>LS</v>
          </cell>
          <cell r="D223" t="str">
            <v>KUUM_451</v>
          </cell>
          <cell r="E223">
            <v>5148</v>
          </cell>
          <cell r="F223">
            <v>0</v>
          </cell>
          <cell r="G223">
            <v>641218</v>
          </cell>
          <cell r="H223">
            <v>0</v>
          </cell>
          <cell r="L223">
            <v>-360.82</v>
          </cell>
          <cell r="N223">
            <v>103628.78</v>
          </cell>
          <cell r="O223">
            <v>103628.78</v>
          </cell>
          <cell r="Q223">
            <v>1877.44</v>
          </cell>
          <cell r="S223">
            <v>1850.58</v>
          </cell>
          <cell r="U223">
            <v>107356.8</v>
          </cell>
          <cell r="Y223">
            <v>22084.92</v>
          </cell>
          <cell r="AE223" t="str">
            <v>20140101KUUM_451</v>
          </cell>
        </row>
        <row r="224">
          <cell r="B224" t="str">
            <v>Mar 2014</v>
          </cell>
          <cell r="C224" t="str">
            <v>LS</v>
          </cell>
          <cell r="D224" t="str">
            <v>KUUM_452</v>
          </cell>
          <cell r="E224">
            <v>1044</v>
          </cell>
          <cell r="F224">
            <v>0</v>
          </cell>
          <cell r="G224">
            <v>399341</v>
          </cell>
          <cell r="H224">
            <v>0</v>
          </cell>
          <cell r="L224">
            <v>-321.47000000000003</v>
          </cell>
          <cell r="N224">
            <v>43891.93</v>
          </cell>
          <cell r="O224">
            <v>43891.93</v>
          </cell>
          <cell r="Q224">
            <v>1199.67</v>
          </cell>
          <cell r="S224">
            <v>765</v>
          </cell>
          <cell r="U224">
            <v>45856.6</v>
          </cell>
          <cell r="Y224">
            <v>10868.04</v>
          </cell>
          <cell r="AE224" t="str">
            <v>20140101KUUM_452</v>
          </cell>
        </row>
        <row r="225">
          <cell r="B225" t="str">
            <v>Mar 2014</v>
          </cell>
          <cell r="C225" t="str">
            <v>RLS</v>
          </cell>
          <cell r="D225" t="str">
            <v>KUUM_454</v>
          </cell>
          <cell r="E225">
            <v>151</v>
          </cell>
          <cell r="F225">
            <v>0</v>
          </cell>
          <cell r="G225">
            <v>8051</v>
          </cell>
          <cell r="H225">
            <v>0</v>
          </cell>
          <cell r="L225">
            <v>-19.440000000000001</v>
          </cell>
          <cell r="N225">
            <v>2796.71</v>
          </cell>
          <cell r="O225">
            <v>2796.71</v>
          </cell>
          <cell r="Q225">
            <v>22.78</v>
          </cell>
          <cell r="S225">
            <v>51.74</v>
          </cell>
          <cell r="U225">
            <v>2871.23</v>
          </cell>
          <cell r="Y225">
            <v>297.47000000000003</v>
          </cell>
          <cell r="AE225" t="str">
            <v>20140101KUUM_454</v>
          </cell>
        </row>
        <row r="226">
          <cell r="B226" t="str">
            <v>Mar 2014</v>
          </cell>
          <cell r="C226" t="str">
            <v>RLS</v>
          </cell>
          <cell r="D226" t="str">
            <v>KUUM_455</v>
          </cell>
          <cell r="E226">
            <v>1035</v>
          </cell>
          <cell r="F226">
            <v>0</v>
          </cell>
          <cell r="G226">
            <v>129998</v>
          </cell>
          <cell r="H226">
            <v>0</v>
          </cell>
          <cell r="L226">
            <v>-36.04</v>
          </cell>
          <cell r="N226">
            <v>25414.61</v>
          </cell>
          <cell r="O226">
            <v>25414.61</v>
          </cell>
          <cell r="Q226">
            <v>379.9</v>
          </cell>
          <cell r="S226">
            <v>454.73</v>
          </cell>
          <cell r="U226">
            <v>26249.24</v>
          </cell>
          <cell r="Y226">
            <v>4440.1499999999996</v>
          </cell>
          <cell r="AE226" t="str">
            <v>20140101KUUM_455</v>
          </cell>
        </row>
        <row r="227">
          <cell r="B227" t="str">
            <v>Mar 2014</v>
          </cell>
          <cell r="C227" t="str">
            <v>RLS</v>
          </cell>
          <cell r="D227" t="str">
            <v>KUUM_456</v>
          </cell>
          <cell r="E227">
            <v>140</v>
          </cell>
          <cell r="F227">
            <v>0</v>
          </cell>
          <cell r="G227">
            <v>10881</v>
          </cell>
          <cell r="H227">
            <v>0</v>
          </cell>
          <cell r="L227">
            <v>0</v>
          </cell>
          <cell r="N227">
            <v>1661.8</v>
          </cell>
          <cell r="O227">
            <v>1661.8</v>
          </cell>
          <cell r="Q227">
            <v>27.36</v>
          </cell>
          <cell r="S227">
            <v>36.1</v>
          </cell>
          <cell r="U227">
            <v>1725.26</v>
          </cell>
          <cell r="Y227">
            <v>278.60000000000002</v>
          </cell>
          <cell r="AE227" t="str">
            <v>20140101KUUM_456</v>
          </cell>
        </row>
        <row r="228">
          <cell r="B228" t="str">
            <v>Mar 2014</v>
          </cell>
          <cell r="C228" t="str">
            <v>RLS</v>
          </cell>
          <cell r="D228" t="str">
            <v>KUUM_457</v>
          </cell>
          <cell r="E228">
            <v>454</v>
          </cell>
          <cell r="F228">
            <v>0</v>
          </cell>
          <cell r="G228">
            <v>51367</v>
          </cell>
          <cell r="H228">
            <v>0</v>
          </cell>
          <cell r="L228">
            <v>-11.21</v>
          </cell>
          <cell r="N228">
            <v>6054.23</v>
          </cell>
          <cell r="O228">
            <v>6054.23</v>
          </cell>
          <cell r="Q228">
            <v>-74.510000000000005</v>
          </cell>
          <cell r="S228">
            <v>337.9</v>
          </cell>
          <cell r="U228">
            <v>6317.62</v>
          </cell>
          <cell r="Y228">
            <v>1289.3599999999999</v>
          </cell>
          <cell r="AE228" t="str">
            <v>20140101KUUM_457</v>
          </cell>
        </row>
        <row r="229">
          <cell r="B229" t="str">
            <v>Mar 2014</v>
          </cell>
          <cell r="C229" t="str">
            <v>RLS</v>
          </cell>
          <cell r="D229" t="str">
            <v>KUUM_458</v>
          </cell>
          <cell r="E229">
            <v>1480</v>
          </cell>
          <cell r="F229">
            <v>0</v>
          </cell>
          <cell r="G229">
            <v>248939</v>
          </cell>
          <cell r="H229">
            <v>0</v>
          </cell>
          <cell r="L229">
            <v>-126.48</v>
          </cell>
          <cell r="N229">
            <v>22191.920000000002</v>
          </cell>
          <cell r="O229">
            <v>22191.920000000002</v>
          </cell>
          <cell r="Q229">
            <v>-16.940000000000001</v>
          </cell>
          <cell r="S229">
            <v>958.36</v>
          </cell>
          <cell r="U229">
            <v>23133.34</v>
          </cell>
          <cell r="Y229">
            <v>6467.6</v>
          </cell>
          <cell r="AE229" t="str">
            <v>20140101KUUM_458</v>
          </cell>
        </row>
        <row r="230">
          <cell r="B230" t="str">
            <v>Mar 2014</v>
          </cell>
          <cell r="C230" t="str">
            <v>RLS</v>
          </cell>
          <cell r="D230" t="str">
            <v>KUUM_459</v>
          </cell>
          <cell r="E230">
            <v>228</v>
          </cell>
          <cell r="F230">
            <v>0</v>
          </cell>
          <cell r="G230">
            <v>84965</v>
          </cell>
          <cell r="H230">
            <v>0</v>
          </cell>
          <cell r="L230">
            <v>-253.83</v>
          </cell>
          <cell r="N230">
            <v>10402.89</v>
          </cell>
          <cell r="O230">
            <v>10402.89</v>
          </cell>
          <cell r="Q230">
            <v>257.16000000000003</v>
          </cell>
          <cell r="S230">
            <v>178.96</v>
          </cell>
          <cell r="U230">
            <v>10839.01</v>
          </cell>
          <cell r="Y230">
            <v>2373.48</v>
          </cell>
          <cell r="AE230" t="str">
            <v>20140101KUUM_459</v>
          </cell>
        </row>
        <row r="231">
          <cell r="B231" t="str">
            <v>Mar 2014</v>
          </cell>
          <cell r="C231" t="str">
            <v>RLS</v>
          </cell>
          <cell r="D231" t="str">
            <v>KUUM_460</v>
          </cell>
          <cell r="E231">
            <v>27</v>
          </cell>
          <cell r="F231">
            <v>0</v>
          </cell>
          <cell r="G231">
            <v>1425</v>
          </cell>
          <cell r="H231">
            <v>0</v>
          </cell>
          <cell r="L231">
            <v>-21.72</v>
          </cell>
          <cell r="N231">
            <v>711.32999999999993</v>
          </cell>
          <cell r="O231">
            <v>711.32999999999993</v>
          </cell>
          <cell r="Q231">
            <v>1.46</v>
          </cell>
          <cell r="S231">
            <v>23.49</v>
          </cell>
          <cell r="U231">
            <v>736.28</v>
          </cell>
          <cell r="Y231">
            <v>53.19</v>
          </cell>
          <cell r="AE231" t="str">
            <v>20140101KUUM_460</v>
          </cell>
        </row>
        <row r="232">
          <cell r="B232" t="str">
            <v>Mar 2014</v>
          </cell>
          <cell r="C232" t="str">
            <v>RLS</v>
          </cell>
          <cell r="D232" t="str">
            <v>KUUM_461</v>
          </cell>
          <cell r="E232">
            <v>6930</v>
          </cell>
          <cell r="F232">
            <v>0</v>
          </cell>
          <cell r="G232">
            <v>151272</v>
          </cell>
          <cell r="H232">
            <v>0</v>
          </cell>
          <cell r="L232">
            <v>-9.36</v>
          </cell>
          <cell r="N232">
            <v>52242.84</v>
          </cell>
          <cell r="O232">
            <v>52242.84</v>
          </cell>
          <cell r="Q232">
            <v>274.32</v>
          </cell>
          <cell r="S232">
            <v>1430.08</v>
          </cell>
          <cell r="U232">
            <v>53947.24</v>
          </cell>
          <cell r="Y232">
            <v>3950.1</v>
          </cell>
          <cell r="AE232" t="str">
            <v>20140101KUUM_461</v>
          </cell>
        </row>
        <row r="233">
          <cell r="B233" t="str">
            <v>Mar 2014</v>
          </cell>
          <cell r="C233" t="str">
            <v>LS</v>
          </cell>
          <cell r="D233" t="str">
            <v>KUUM_462</v>
          </cell>
          <cell r="E233">
            <v>8850</v>
          </cell>
          <cell r="F233">
            <v>0</v>
          </cell>
          <cell r="G233">
            <v>272657</v>
          </cell>
          <cell r="H233">
            <v>0</v>
          </cell>
          <cell r="L233">
            <v>0.01</v>
          </cell>
          <cell r="N233">
            <v>76641.009999999995</v>
          </cell>
          <cell r="O233">
            <v>76641.009999999995</v>
          </cell>
          <cell r="Q233">
            <v>285.99</v>
          </cell>
          <cell r="S233">
            <v>2621.12</v>
          </cell>
          <cell r="U233">
            <v>79548.12</v>
          </cell>
          <cell r="Y233">
            <v>7080</v>
          </cell>
          <cell r="AE233" t="str">
            <v>20140101KUUM_462</v>
          </cell>
        </row>
        <row r="234">
          <cell r="B234" t="str">
            <v>Mar 2014</v>
          </cell>
          <cell r="C234" t="str">
            <v>LS</v>
          </cell>
          <cell r="D234" t="str">
            <v>KUUM_463</v>
          </cell>
          <cell r="E234">
            <v>20622</v>
          </cell>
          <cell r="F234">
            <v>0</v>
          </cell>
          <cell r="G234">
            <v>876292</v>
          </cell>
          <cell r="H234">
            <v>0</v>
          </cell>
          <cell r="L234">
            <v>206.88</v>
          </cell>
          <cell r="N234">
            <v>188691.96</v>
          </cell>
          <cell r="O234">
            <v>188691.96</v>
          </cell>
          <cell r="Q234">
            <v>1894.74</v>
          </cell>
          <cell r="S234">
            <v>4599.93</v>
          </cell>
          <cell r="U234">
            <v>195186.63</v>
          </cell>
          <cell r="Y234">
            <v>23302.86</v>
          </cell>
          <cell r="AE234" t="str">
            <v>20140101KUUM_463</v>
          </cell>
        </row>
        <row r="235">
          <cell r="B235" t="str">
            <v>Mar 2014</v>
          </cell>
          <cell r="C235" t="str">
            <v>LS</v>
          </cell>
          <cell r="D235" t="str">
            <v>KUUM_464</v>
          </cell>
          <cell r="E235">
            <v>7602</v>
          </cell>
          <cell r="F235">
            <v>0</v>
          </cell>
          <cell r="G235">
            <v>671063</v>
          </cell>
          <cell r="H235">
            <v>0</v>
          </cell>
          <cell r="L235">
            <v>-143.88</v>
          </cell>
          <cell r="N235">
            <v>108184.62</v>
          </cell>
          <cell r="O235">
            <v>108184.62</v>
          </cell>
          <cell r="Q235">
            <v>1446.36</v>
          </cell>
          <cell r="S235">
            <v>2657.02</v>
          </cell>
          <cell r="U235">
            <v>112288</v>
          </cell>
          <cell r="Y235">
            <v>17712.66</v>
          </cell>
          <cell r="AE235" t="str">
            <v>20140101KUUM_464</v>
          </cell>
        </row>
        <row r="236">
          <cell r="B236" t="str">
            <v>Mar 2014</v>
          </cell>
          <cell r="C236" t="str">
            <v>LS</v>
          </cell>
          <cell r="D236" t="str">
            <v>KUUM_465</v>
          </cell>
          <cell r="E236">
            <v>2814</v>
          </cell>
          <cell r="F236">
            <v>0</v>
          </cell>
          <cell r="G236">
            <v>476796</v>
          </cell>
          <cell r="H236">
            <v>0</v>
          </cell>
          <cell r="L236">
            <v>-301.3</v>
          </cell>
          <cell r="N236">
            <v>63970.46</v>
          </cell>
          <cell r="O236">
            <v>63970.46</v>
          </cell>
          <cell r="Q236">
            <v>1233.17</v>
          </cell>
          <cell r="S236">
            <v>1329.57</v>
          </cell>
          <cell r="U236">
            <v>66533.2</v>
          </cell>
          <cell r="Y236">
            <v>12747.42</v>
          </cell>
          <cell r="AE236" t="str">
            <v>20140101KUUM_465</v>
          </cell>
        </row>
        <row r="237">
          <cell r="B237" t="str">
            <v>Mar 2014</v>
          </cell>
          <cell r="C237" t="str">
            <v>RLS</v>
          </cell>
          <cell r="D237" t="str">
            <v>KUUM_466</v>
          </cell>
          <cell r="E237">
            <v>858</v>
          </cell>
          <cell r="F237">
            <v>0</v>
          </cell>
          <cell r="G237">
            <v>19192</v>
          </cell>
          <cell r="H237">
            <v>0</v>
          </cell>
          <cell r="L237">
            <v>0.01</v>
          </cell>
          <cell r="N237">
            <v>8253.9699999999993</v>
          </cell>
          <cell r="O237">
            <v>8253.9699999999993</v>
          </cell>
          <cell r="Q237">
            <v>39.81</v>
          </cell>
          <cell r="S237">
            <v>211.37</v>
          </cell>
          <cell r="U237">
            <v>8505.15</v>
          </cell>
          <cell r="Y237">
            <v>489.06</v>
          </cell>
          <cell r="AE237" t="str">
            <v>20140101KUUM_466</v>
          </cell>
        </row>
        <row r="238">
          <cell r="B238" t="str">
            <v>Mar 2014</v>
          </cell>
          <cell r="C238" t="str">
            <v>LS</v>
          </cell>
          <cell r="D238" t="str">
            <v>KUUM_467</v>
          </cell>
          <cell r="E238">
            <v>1355</v>
          </cell>
          <cell r="F238">
            <v>0</v>
          </cell>
          <cell r="G238">
            <v>40950</v>
          </cell>
          <cell r="H238">
            <v>0</v>
          </cell>
          <cell r="L238">
            <v>0</v>
          </cell>
          <cell r="N238">
            <v>14593.35</v>
          </cell>
          <cell r="O238">
            <v>14593.349999999999</v>
          </cell>
          <cell r="Q238">
            <v>82.74</v>
          </cell>
          <cell r="S238">
            <v>376.71</v>
          </cell>
          <cell r="U238">
            <v>15052.8</v>
          </cell>
          <cell r="Y238">
            <v>1084</v>
          </cell>
          <cell r="AE238" t="str">
            <v>20140101KUUM_467</v>
          </cell>
        </row>
        <row r="239">
          <cell r="B239" t="str">
            <v>Mar 2014</v>
          </cell>
          <cell r="C239" t="str">
            <v>LS</v>
          </cell>
          <cell r="D239" t="str">
            <v>KUUM_468</v>
          </cell>
          <cell r="E239">
            <v>3990</v>
          </cell>
          <cell r="F239">
            <v>0</v>
          </cell>
          <cell r="G239">
            <v>170039</v>
          </cell>
          <cell r="H239">
            <v>0</v>
          </cell>
          <cell r="L239">
            <v>329.67</v>
          </cell>
          <cell r="N239">
            <v>44858.07</v>
          </cell>
          <cell r="O239">
            <v>44858.07</v>
          </cell>
          <cell r="Q239">
            <v>489.43</v>
          </cell>
          <cell r="S239">
            <v>821.7</v>
          </cell>
          <cell r="U239">
            <v>46169.2</v>
          </cell>
          <cell r="Y239">
            <v>4508.7</v>
          </cell>
          <cell r="AE239" t="str">
            <v>20140101KUUM_468</v>
          </cell>
        </row>
        <row r="240">
          <cell r="B240" t="str">
            <v>Mar 2014</v>
          </cell>
          <cell r="C240" t="str">
            <v>RLS</v>
          </cell>
          <cell r="D240" t="str">
            <v>KUUM_469</v>
          </cell>
          <cell r="E240">
            <v>292</v>
          </cell>
          <cell r="F240">
            <v>0</v>
          </cell>
          <cell r="G240">
            <v>36114</v>
          </cell>
          <cell r="H240">
            <v>0</v>
          </cell>
          <cell r="L240">
            <v>-116.73</v>
          </cell>
          <cell r="N240">
            <v>9548.4700000000012</v>
          </cell>
          <cell r="O240">
            <v>9548.4699999999993</v>
          </cell>
          <cell r="Q240">
            <v>107.51</v>
          </cell>
          <cell r="S240">
            <v>166.34</v>
          </cell>
          <cell r="U240">
            <v>9822.32</v>
          </cell>
          <cell r="Y240">
            <v>1252.68</v>
          </cell>
          <cell r="AE240" t="str">
            <v>20140101KUUM_469</v>
          </cell>
        </row>
        <row r="241">
          <cell r="B241" t="str">
            <v>Mar 2014</v>
          </cell>
          <cell r="C241" t="str">
            <v>RLS</v>
          </cell>
          <cell r="D241" t="str">
            <v>KUUM_470</v>
          </cell>
          <cell r="E241">
            <v>61</v>
          </cell>
          <cell r="F241">
            <v>0</v>
          </cell>
          <cell r="G241">
            <v>23031</v>
          </cell>
          <cell r="H241">
            <v>0</v>
          </cell>
          <cell r="L241">
            <v>0</v>
          </cell>
          <cell r="N241">
            <v>3370.25</v>
          </cell>
          <cell r="O241">
            <v>3370.25</v>
          </cell>
          <cell r="Q241">
            <v>71.87</v>
          </cell>
          <cell r="S241">
            <v>55.08</v>
          </cell>
          <cell r="U241">
            <v>3497.2</v>
          </cell>
          <cell r="Y241">
            <v>635.01</v>
          </cell>
          <cell r="AE241" t="str">
            <v>20140101KUUM_470</v>
          </cell>
        </row>
        <row r="242">
          <cell r="B242" t="str">
            <v>Mar 2014</v>
          </cell>
          <cell r="C242" t="str">
            <v>RLS</v>
          </cell>
          <cell r="D242" t="str">
            <v>KUUM_471</v>
          </cell>
          <cell r="E242">
            <v>3673</v>
          </cell>
          <cell r="F242">
            <v>0</v>
          </cell>
          <cell r="G242">
            <v>85064</v>
          </cell>
          <cell r="H242">
            <v>0</v>
          </cell>
          <cell r="L242">
            <v>-61.59</v>
          </cell>
          <cell r="N242">
            <v>38468.18</v>
          </cell>
          <cell r="O242">
            <v>38468.18</v>
          </cell>
          <cell r="Q242">
            <v>-123.66</v>
          </cell>
          <cell r="S242">
            <v>2168.15</v>
          </cell>
          <cell r="U242">
            <v>40512.67</v>
          </cell>
          <cell r="Y242">
            <v>2093.61</v>
          </cell>
          <cell r="AE242" t="str">
            <v>20140101KUUM_471</v>
          </cell>
        </row>
        <row r="243">
          <cell r="B243" t="str">
            <v>Mar 2014</v>
          </cell>
          <cell r="C243" t="str">
            <v>LS</v>
          </cell>
          <cell r="D243" t="str">
            <v>KUUM_472</v>
          </cell>
          <cell r="E243">
            <v>8736</v>
          </cell>
          <cell r="F243">
            <v>0</v>
          </cell>
          <cell r="G243">
            <v>280404</v>
          </cell>
          <cell r="H243">
            <v>0</v>
          </cell>
          <cell r="L243">
            <v>68.11</v>
          </cell>
          <cell r="N243">
            <v>101405.71</v>
          </cell>
          <cell r="O243">
            <v>101405.71</v>
          </cell>
          <cell r="Q243">
            <v>-396.97</v>
          </cell>
          <cell r="S243">
            <v>5674.36</v>
          </cell>
          <cell r="U243">
            <v>106683.1</v>
          </cell>
          <cell r="Y243">
            <v>6988.8</v>
          </cell>
          <cell r="AE243" t="str">
            <v>20140101KUUM_472</v>
          </cell>
        </row>
        <row r="244">
          <cell r="B244" t="str">
            <v>Mar 2014</v>
          </cell>
          <cell r="C244" t="str">
            <v>LS</v>
          </cell>
          <cell r="D244" t="str">
            <v>KUUM_473</v>
          </cell>
          <cell r="E244">
            <v>3398</v>
          </cell>
          <cell r="F244">
            <v>0</v>
          </cell>
          <cell r="G244">
            <v>148044</v>
          </cell>
          <cell r="H244">
            <v>0</v>
          </cell>
          <cell r="L244">
            <v>-2.77</v>
          </cell>
          <cell r="N244">
            <v>41792.630000000005</v>
          </cell>
          <cell r="O244">
            <v>41792.629999999997</v>
          </cell>
          <cell r="Q244">
            <v>31.92</v>
          </cell>
          <cell r="S244">
            <v>1704.72</v>
          </cell>
          <cell r="U244">
            <v>43529.27</v>
          </cell>
          <cell r="Y244">
            <v>3839.74</v>
          </cell>
          <cell r="AE244" t="str">
            <v>20140101KUUM_473</v>
          </cell>
        </row>
        <row r="245">
          <cell r="B245" t="str">
            <v>Mar 2014</v>
          </cell>
          <cell r="C245" t="str">
            <v>LS</v>
          </cell>
          <cell r="D245" t="str">
            <v>KUUM_474</v>
          </cell>
          <cell r="E245">
            <v>5158</v>
          </cell>
          <cell r="F245">
            <v>0</v>
          </cell>
          <cell r="G245">
            <v>470273</v>
          </cell>
          <cell r="H245">
            <v>0</v>
          </cell>
          <cell r="L245">
            <v>91.53</v>
          </cell>
          <cell r="N245">
            <v>89892.31</v>
          </cell>
          <cell r="O245">
            <v>89892.31</v>
          </cell>
          <cell r="Q245">
            <v>122.95</v>
          </cell>
          <cell r="S245">
            <v>3646.77</v>
          </cell>
          <cell r="U245">
            <v>93662.03</v>
          </cell>
          <cell r="Y245">
            <v>12018.14</v>
          </cell>
          <cell r="AE245" t="str">
            <v>20140101KUUM_474</v>
          </cell>
        </row>
        <row r="246">
          <cell r="B246" t="str">
            <v>Mar 2014</v>
          </cell>
          <cell r="C246" t="str">
            <v>LS</v>
          </cell>
          <cell r="D246" t="str">
            <v>KUUM_475</v>
          </cell>
          <cell r="E246">
            <v>514</v>
          </cell>
          <cell r="F246">
            <v>0</v>
          </cell>
          <cell r="G246">
            <v>91504</v>
          </cell>
          <cell r="H246">
            <v>0</v>
          </cell>
          <cell r="L246">
            <v>20.51</v>
          </cell>
          <cell r="N246">
            <v>12592.95</v>
          </cell>
          <cell r="O246">
            <v>12592.95</v>
          </cell>
          <cell r="Q246">
            <v>27.08</v>
          </cell>
          <cell r="S246">
            <v>512.24</v>
          </cell>
          <cell r="U246">
            <v>13132.27</v>
          </cell>
          <cell r="Y246">
            <v>2328.42</v>
          </cell>
          <cell r="AE246" t="str">
            <v>20140101KUUM_475</v>
          </cell>
        </row>
        <row r="247">
          <cell r="B247" t="str">
            <v>Mar 2014</v>
          </cell>
          <cell r="C247" t="str">
            <v>LS</v>
          </cell>
          <cell r="D247" t="str">
            <v>KUUM_476</v>
          </cell>
          <cell r="E247">
            <v>4569</v>
          </cell>
          <cell r="F247">
            <v>0</v>
          </cell>
          <cell r="G247">
            <v>146577</v>
          </cell>
          <cell r="H247">
            <v>0</v>
          </cell>
          <cell r="L247">
            <v>0</v>
          </cell>
          <cell r="N247">
            <v>76713.509999999995</v>
          </cell>
          <cell r="O247">
            <v>76713.510000000009</v>
          </cell>
          <cell r="Q247">
            <v>-211.17</v>
          </cell>
          <cell r="S247">
            <v>4316.32</v>
          </cell>
          <cell r="U247">
            <v>80818.66</v>
          </cell>
          <cell r="Y247">
            <v>3655.2</v>
          </cell>
          <cell r="AE247" t="str">
            <v>20140101KUUM_476</v>
          </cell>
        </row>
        <row r="248">
          <cell r="B248" t="str">
            <v>Mar 2014</v>
          </cell>
          <cell r="C248" t="str">
            <v>LS</v>
          </cell>
          <cell r="D248" t="str">
            <v>KUUM_477</v>
          </cell>
          <cell r="E248">
            <v>1063</v>
          </cell>
          <cell r="F248">
            <v>0</v>
          </cell>
          <cell r="G248">
            <v>46505</v>
          </cell>
          <cell r="H248">
            <v>0</v>
          </cell>
          <cell r="L248">
            <v>0</v>
          </cell>
          <cell r="N248">
            <v>22291.11</v>
          </cell>
          <cell r="O248">
            <v>22291.109999999997</v>
          </cell>
          <cell r="Q248">
            <v>31.31</v>
          </cell>
          <cell r="S248">
            <v>826.5</v>
          </cell>
          <cell r="U248">
            <v>23148.92</v>
          </cell>
          <cell r="Y248">
            <v>1201.19</v>
          </cell>
          <cell r="AE248" t="str">
            <v>20140101KUUM_477</v>
          </cell>
        </row>
        <row r="249">
          <cell r="B249" t="str">
            <v>Mar 2014</v>
          </cell>
          <cell r="C249" t="str">
            <v>LS</v>
          </cell>
          <cell r="D249" t="str">
            <v>KUUM_478</v>
          </cell>
          <cell r="E249">
            <v>1419</v>
          </cell>
          <cell r="F249">
            <v>0</v>
          </cell>
          <cell r="G249">
            <v>127334</v>
          </cell>
          <cell r="H249">
            <v>0</v>
          </cell>
          <cell r="L249">
            <v>0.01</v>
          </cell>
          <cell r="N249">
            <v>38114.35</v>
          </cell>
          <cell r="O249">
            <v>38114.350000000006</v>
          </cell>
          <cell r="Q249">
            <v>141.29</v>
          </cell>
          <cell r="S249">
            <v>1262.98</v>
          </cell>
          <cell r="U249">
            <v>39518.620000000003</v>
          </cell>
          <cell r="Y249">
            <v>3306.27</v>
          </cell>
          <cell r="AE249" t="str">
            <v>20140101KUUM_478</v>
          </cell>
        </row>
        <row r="250">
          <cell r="B250" t="str">
            <v>Mar 2014</v>
          </cell>
          <cell r="C250" t="str">
            <v>LS</v>
          </cell>
          <cell r="D250" t="str">
            <v>KUUM_479</v>
          </cell>
          <cell r="E250">
            <v>961</v>
          </cell>
          <cell r="F250">
            <v>0</v>
          </cell>
          <cell r="G250">
            <v>162580</v>
          </cell>
          <cell r="H250">
            <v>0</v>
          </cell>
          <cell r="L250">
            <v>-119.33</v>
          </cell>
          <cell r="N250">
            <v>31708.989999999998</v>
          </cell>
          <cell r="O250">
            <v>31708.989999999998</v>
          </cell>
          <cell r="Q250">
            <v>406.73</v>
          </cell>
          <cell r="S250">
            <v>674.2</v>
          </cell>
          <cell r="U250">
            <v>32789.919999999998</v>
          </cell>
          <cell r="Y250">
            <v>4353.33</v>
          </cell>
          <cell r="AE250" t="str">
            <v>20140101KUUM_479</v>
          </cell>
        </row>
        <row r="251">
          <cell r="B251" t="str">
            <v>Mar 2014</v>
          </cell>
          <cell r="C251" t="str">
            <v>LS</v>
          </cell>
          <cell r="D251" t="str">
            <v>KUUM_486</v>
          </cell>
          <cell r="E251">
            <v>0</v>
          </cell>
          <cell r="F251">
            <v>0</v>
          </cell>
          <cell r="G251">
            <v>0</v>
          </cell>
          <cell r="H251">
            <v>0</v>
          </cell>
          <cell r="L251">
            <v>0</v>
          </cell>
          <cell r="N251">
            <v>0</v>
          </cell>
          <cell r="O251">
            <v>0</v>
          </cell>
          <cell r="Q251">
            <v>0</v>
          </cell>
          <cell r="S251">
            <v>0</v>
          </cell>
          <cell r="U251">
            <v>0</v>
          </cell>
          <cell r="Y251">
            <v>0</v>
          </cell>
          <cell r="AE251" t="str">
            <v>20140101KUUM_486</v>
          </cell>
        </row>
        <row r="252">
          <cell r="B252" t="str">
            <v>Mar 2014</v>
          </cell>
          <cell r="C252" t="str">
            <v>LS</v>
          </cell>
          <cell r="D252" t="str">
            <v>KUUM_487</v>
          </cell>
          <cell r="E252">
            <v>11143</v>
          </cell>
          <cell r="F252">
            <v>22</v>
          </cell>
          <cell r="G252">
            <v>459228</v>
          </cell>
          <cell r="H252">
            <v>816</v>
          </cell>
          <cell r="L252">
            <v>-924.17</v>
          </cell>
          <cell r="N252">
            <v>99560.83</v>
          </cell>
          <cell r="O252">
            <v>99560.83</v>
          </cell>
          <cell r="Q252">
            <v>1413.96</v>
          </cell>
          <cell r="S252">
            <v>1682.28</v>
          </cell>
          <cell r="U252">
            <v>102657.07</v>
          </cell>
          <cell r="Y252">
            <v>12591.59</v>
          </cell>
          <cell r="AE252" t="str">
            <v>20140101KUUM_487</v>
          </cell>
        </row>
        <row r="253">
          <cell r="B253" t="str">
            <v>Mar 2014</v>
          </cell>
          <cell r="C253" t="str">
            <v>LS</v>
          </cell>
          <cell r="D253" t="str">
            <v>KUUM_488</v>
          </cell>
          <cell r="E253">
            <v>6431</v>
          </cell>
          <cell r="F253">
            <v>167</v>
          </cell>
          <cell r="G253">
            <v>584387</v>
          </cell>
          <cell r="H253">
            <v>-12265</v>
          </cell>
          <cell r="L253">
            <v>2217.23</v>
          </cell>
          <cell r="N253">
            <v>92213.95</v>
          </cell>
          <cell r="O253">
            <v>92213.95</v>
          </cell>
          <cell r="Q253">
            <v>1686.49</v>
          </cell>
          <cell r="S253">
            <v>1691.91</v>
          </cell>
          <cell r="U253">
            <v>95592.4</v>
          </cell>
          <cell r="Y253">
            <v>14984.23</v>
          </cell>
          <cell r="AE253" t="str">
            <v>20140101KUUM_488</v>
          </cell>
        </row>
        <row r="254">
          <cell r="B254" t="str">
            <v>Mar 2014</v>
          </cell>
          <cell r="C254" t="str">
            <v>LS</v>
          </cell>
          <cell r="D254" t="str">
            <v>KUUM_489</v>
          </cell>
          <cell r="E254">
            <v>8182</v>
          </cell>
          <cell r="F254">
            <v>153</v>
          </cell>
          <cell r="G254">
            <v>1375653</v>
          </cell>
          <cell r="H254">
            <v>24093</v>
          </cell>
          <cell r="L254">
            <v>-3123.02</v>
          </cell>
          <cell r="N254">
            <v>159076.08000000002</v>
          </cell>
          <cell r="O254">
            <v>159076.08000000002</v>
          </cell>
          <cell r="Q254">
            <v>3990.88</v>
          </cell>
          <cell r="S254">
            <v>2886.29</v>
          </cell>
          <cell r="U254">
            <v>165953.16</v>
          </cell>
          <cell r="Y254">
            <v>37064.46</v>
          </cell>
          <cell r="AE254" t="str">
            <v>20140101KUUM_489</v>
          </cell>
        </row>
        <row r="255">
          <cell r="B255" t="str">
            <v>Mar 2014</v>
          </cell>
          <cell r="C255" t="str">
            <v>LS</v>
          </cell>
          <cell r="D255" t="str">
            <v>KUUM_490</v>
          </cell>
          <cell r="E255">
            <v>58</v>
          </cell>
          <cell r="F255">
            <v>0</v>
          </cell>
          <cell r="G255">
            <v>3059</v>
          </cell>
          <cell r="H255">
            <v>0</v>
          </cell>
          <cell r="L255">
            <v>0</v>
          </cell>
          <cell r="N255">
            <v>897.26</v>
          </cell>
          <cell r="O255">
            <v>897.26</v>
          </cell>
          <cell r="Q255">
            <v>9.3000000000000007</v>
          </cell>
          <cell r="S255">
            <v>15.12</v>
          </cell>
          <cell r="U255">
            <v>921.68</v>
          </cell>
          <cell r="Y255">
            <v>114.26</v>
          </cell>
          <cell r="AE255" t="str">
            <v>20140101KUUM_490</v>
          </cell>
        </row>
        <row r="256">
          <cell r="B256" t="str">
            <v>Mar 2014</v>
          </cell>
          <cell r="C256" t="str">
            <v>LS</v>
          </cell>
          <cell r="D256" t="str">
            <v>KUUM_491</v>
          </cell>
          <cell r="E256">
            <v>314</v>
          </cell>
          <cell r="F256">
            <v>0</v>
          </cell>
          <cell r="G256">
            <v>37676</v>
          </cell>
          <cell r="H256">
            <v>0</v>
          </cell>
          <cell r="L256">
            <v>-233.92</v>
          </cell>
          <cell r="N256">
            <v>6652.1</v>
          </cell>
          <cell r="O256">
            <v>6652.0999999999995</v>
          </cell>
          <cell r="Q256">
            <v>114.59</v>
          </cell>
          <cell r="S256">
            <v>112.68</v>
          </cell>
          <cell r="U256">
            <v>6879.37</v>
          </cell>
          <cell r="Y256">
            <v>1347.06</v>
          </cell>
          <cell r="AE256" t="str">
            <v>20140101KUUM_491</v>
          </cell>
        </row>
        <row r="257">
          <cell r="B257" t="str">
            <v>Mar 2014</v>
          </cell>
          <cell r="C257" t="str">
            <v>LS</v>
          </cell>
          <cell r="D257" t="str">
            <v>KUUM_492</v>
          </cell>
          <cell r="E257">
            <v>2</v>
          </cell>
          <cell r="F257">
            <v>0</v>
          </cell>
          <cell r="G257">
            <v>59</v>
          </cell>
          <cell r="H257">
            <v>0</v>
          </cell>
          <cell r="L257">
            <v>0</v>
          </cell>
          <cell r="N257">
            <v>30.74</v>
          </cell>
          <cell r="O257">
            <v>30.740000000000002</v>
          </cell>
          <cell r="Q257">
            <v>0.18</v>
          </cell>
          <cell r="S257">
            <v>0.49</v>
          </cell>
          <cell r="U257">
            <v>31.41</v>
          </cell>
          <cell r="Y257">
            <v>1.6</v>
          </cell>
          <cell r="AE257" t="str">
            <v>20140101KUUM_492</v>
          </cell>
        </row>
        <row r="258">
          <cell r="B258" t="str">
            <v>Mar 2014</v>
          </cell>
          <cell r="C258" t="str">
            <v>LS</v>
          </cell>
          <cell r="D258" t="str">
            <v>KUUM_493</v>
          </cell>
          <cell r="E258">
            <v>43</v>
          </cell>
          <cell r="F258">
            <v>0</v>
          </cell>
          <cell r="G258">
            <v>16697</v>
          </cell>
          <cell r="H258">
            <v>0</v>
          </cell>
          <cell r="L258">
            <v>0</v>
          </cell>
          <cell r="N258">
            <v>1965.1</v>
          </cell>
          <cell r="O258">
            <v>1965.1</v>
          </cell>
          <cell r="Q258">
            <v>52.11</v>
          </cell>
          <cell r="S258">
            <v>32.270000000000003</v>
          </cell>
          <cell r="U258">
            <v>2049.48</v>
          </cell>
          <cell r="Y258">
            <v>447.63</v>
          </cell>
          <cell r="AE258" t="str">
            <v>20140101KUUM_493</v>
          </cell>
        </row>
        <row r="259">
          <cell r="B259" t="str">
            <v>Mar 2014</v>
          </cell>
          <cell r="C259" t="str">
            <v>LS</v>
          </cell>
          <cell r="D259" t="str">
            <v>KUUM_494</v>
          </cell>
          <cell r="E259">
            <v>168</v>
          </cell>
          <cell r="F259">
            <v>0</v>
          </cell>
          <cell r="G259">
            <v>9130</v>
          </cell>
          <cell r="H259">
            <v>0</v>
          </cell>
          <cell r="L259">
            <v>0</v>
          </cell>
          <cell r="N259">
            <v>4766.16</v>
          </cell>
          <cell r="O259">
            <v>4766.16</v>
          </cell>
          <cell r="Q259">
            <v>20.51</v>
          </cell>
          <cell r="S259">
            <v>112.19</v>
          </cell>
          <cell r="U259">
            <v>4898.8599999999997</v>
          </cell>
          <cell r="Y259">
            <v>330.96</v>
          </cell>
          <cell r="AE259" t="str">
            <v>20140101KUUM_494</v>
          </cell>
        </row>
        <row r="260">
          <cell r="B260" t="str">
            <v>Mar 2014</v>
          </cell>
          <cell r="C260" t="str">
            <v>LS</v>
          </cell>
          <cell r="D260" t="str">
            <v>KUUM_495</v>
          </cell>
          <cell r="E260">
            <v>626</v>
          </cell>
          <cell r="F260">
            <v>0</v>
          </cell>
          <cell r="G260">
            <v>77106</v>
          </cell>
          <cell r="H260">
            <v>0</v>
          </cell>
          <cell r="L260">
            <v>-76.91</v>
          </cell>
          <cell r="N260">
            <v>21726.670000000002</v>
          </cell>
          <cell r="O260">
            <v>21726.67</v>
          </cell>
          <cell r="Q260">
            <v>236.96</v>
          </cell>
          <cell r="S260">
            <v>359.9</v>
          </cell>
          <cell r="U260">
            <v>22323.53</v>
          </cell>
          <cell r="Y260">
            <v>2685.54</v>
          </cell>
          <cell r="AE260" t="str">
            <v>20140101KUUM_495</v>
          </cell>
        </row>
        <row r="261">
          <cell r="B261" t="str">
            <v>Mar 2014</v>
          </cell>
          <cell r="C261" t="str">
            <v>LS</v>
          </cell>
          <cell r="D261" t="str">
            <v>KUUM_496</v>
          </cell>
          <cell r="E261">
            <v>157</v>
          </cell>
          <cell r="F261">
            <v>0</v>
          </cell>
          <cell r="G261">
            <v>60170</v>
          </cell>
          <cell r="H261">
            <v>0</v>
          </cell>
          <cell r="L261">
            <v>0</v>
          </cell>
          <cell r="N261">
            <v>9198.6299999999992</v>
          </cell>
          <cell r="O261">
            <v>9198.6299999999992</v>
          </cell>
          <cell r="Q261">
            <v>171.7</v>
          </cell>
          <cell r="S261">
            <v>171.14</v>
          </cell>
          <cell r="U261">
            <v>9541.4699999999993</v>
          </cell>
          <cell r="Y261">
            <v>1634.37</v>
          </cell>
          <cell r="AE261" t="str">
            <v>20140101KUUM_496</v>
          </cell>
        </row>
        <row r="262">
          <cell r="B262" t="str">
            <v>Mar 2014</v>
          </cell>
          <cell r="C262" t="str">
            <v>LS</v>
          </cell>
          <cell r="D262" t="str">
            <v>KUUM_497</v>
          </cell>
          <cell r="E262">
            <v>10</v>
          </cell>
          <cell r="F262">
            <v>0</v>
          </cell>
          <cell r="G262">
            <v>532</v>
          </cell>
          <cell r="H262">
            <v>0</v>
          </cell>
          <cell r="L262">
            <v>44</v>
          </cell>
          <cell r="N262">
            <v>197.5</v>
          </cell>
          <cell r="O262">
            <v>197.5</v>
          </cell>
          <cell r="Q262">
            <v>1.66</v>
          </cell>
          <cell r="S262">
            <v>3.2</v>
          </cell>
          <cell r="U262">
            <v>202.36</v>
          </cell>
          <cell r="Y262">
            <v>11.3</v>
          </cell>
          <cell r="AE262" t="str">
            <v>20140101KUUM_497</v>
          </cell>
        </row>
        <row r="263">
          <cell r="B263" t="str">
            <v>Mar 2014</v>
          </cell>
          <cell r="C263" t="str">
            <v>LS</v>
          </cell>
          <cell r="D263" t="str">
            <v>KUUM_498</v>
          </cell>
          <cell r="E263">
            <v>30</v>
          </cell>
          <cell r="F263">
            <v>0</v>
          </cell>
          <cell r="G263">
            <v>2673</v>
          </cell>
          <cell r="H263">
            <v>0</v>
          </cell>
          <cell r="L263">
            <v>0</v>
          </cell>
          <cell r="N263">
            <v>531.6</v>
          </cell>
          <cell r="O263">
            <v>531.6</v>
          </cell>
          <cell r="Q263">
            <v>8.33</v>
          </cell>
          <cell r="S263">
            <v>8.64</v>
          </cell>
          <cell r="U263">
            <v>548.57000000000005</v>
          </cell>
          <cell r="Y263">
            <v>69.900000000000006</v>
          </cell>
          <cell r="AE263" t="str">
            <v>20140101KUUM_498</v>
          </cell>
        </row>
        <row r="264">
          <cell r="B264" t="str">
            <v>Mar 2014</v>
          </cell>
          <cell r="C264" t="str">
            <v>LS</v>
          </cell>
          <cell r="D264" t="str">
            <v>KUUM_499</v>
          </cell>
          <cell r="E264">
            <v>24</v>
          </cell>
          <cell r="F264">
            <v>0</v>
          </cell>
          <cell r="G264">
            <v>4223</v>
          </cell>
          <cell r="H264">
            <v>0</v>
          </cell>
          <cell r="L264">
            <v>0</v>
          </cell>
          <cell r="N264">
            <v>515.76</v>
          </cell>
          <cell r="O264">
            <v>515.7600000000001</v>
          </cell>
          <cell r="Q264">
            <v>12.38</v>
          </cell>
          <cell r="S264">
            <v>9.3000000000000007</v>
          </cell>
          <cell r="U264">
            <v>537.44000000000005</v>
          </cell>
          <cell r="Y264">
            <v>108.72</v>
          </cell>
          <cell r="AE264" t="str">
            <v>20140101KUUM_499</v>
          </cell>
        </row>
        <row r="265">
          <cell r="B265" t="str">
            <v>Mar 2014</v>
          </cell>
          <cell r="C265" t="str">
            <v>ODL</v>
          </cell>
          <cell r="D265" t="str">
            <v>ODL</v>
          </cell>
          <cell r="E265">
            <v>0</v>
          </cell>
          <cell r="F265">
            <v>0</v>
          </cell>
          <cell r="G265">
            <v>0</v>
          </cell>
          <cell r="H265">
            <v>0</v>
          </cell>
          <cell r="L265">
            <v>0</v>
          </cell>
          <cell r="N265">
            <v>0</v>
          </cell>
          <cell r="O265">
            <v>0</v>
          </cell>
          <cell r="Q265">
            <v>0</v>
          </cell>
          <cell r="S265">
            <v>0</v>
          </cell>
          <cell r="U265">
            <v>0</v>
          </cell>
          <cell r="Y265">
            <v>0</v>
          </cell>
          <cell r="AE265" t="str">
            <v>20140101ODL</v>
          </cell>
        </row>
        <row r="266">
          <cell r="B266" t="str">
            <v>Apr 2014</v>
          </cell>
          <cell r="C266" t="str">
            <v>LS</v>
          </cell>
          <cell r="D266" t="str">
            <v>KUUM_300</v>
          </cell>
          <cell r="E266">
            <v>0</v>
          </cell>
          <cell r="F266">
            <v>0</v>
          </cell>
          <cell r="G266">
            <v>0</v>
          </cell>
          <cell r="H266">
            <v>0</v>
          </cell>
          <cell r="L266">
            <v>0</v>
          </cell>
          <cell r="N266">
            <v>0</v>
          </cell>
          <cell r="O266">
            <v>0</v>
          </cell>
          <cell r="Q266">
            <v>0</v>
          </cell>
          <cell r="S266">
            <v>0</v>
          </cell>
          <cell r="U266">
            <v>0</v>
          </cell>
          <cell r="Y266">
            <v>0</v>
          </cell>
          <cell r="AE266" t="str">
            <v>20140101KUUM_300</v>
          </cell>
        </row>
        <row r="267">
          <cell r="B267" t="str">
            <v>Apr 2014</v>
          </cell>
          <cell r="C267" t="str">
            <v>LS</v>
          </cell>
          <cell r="D267" t="str">
            <v>KUUM_301</v>
          </cell>
          <cell r="E267">
            <v>0</v>
          </cell>
          <cell r="F267">
            <v>0</v>
          </cell>
          <cell r="G267">
            <v>0</v>
          </cell>
          <cell r="H267">
            <v>0</v>
          </cell>
          <cell r="L267">
            <v>0</v>
          </cell>
          <cell r="N267">
            <v>0</v>
          </cell>
          <cell r="O267">
            <v>0</v>
          </cell>
          <cell r="Q267">
            <v>0</v>
          </cell>
          <cell r="S267">
            <v>0</v>
          </cell>
          <cell r="U267">
            <v>0</v>
          </cell>
          <cell r="Y267">
            <v>0</v>
          </cell>
          <cell r="AE267" t="str">
            <v>20140101KUUM_301</v>
          </cell>
        </row>
        <row r="268">
          <cell r="B268" t="str">
            <v>Apr 2014</v>
          </cell>
          <cell r="C268" t="str">
            <v>LS</v>
          </cell>
          <cell r="D268" t="str">
            <v>KUUM_360</v>
          </cell>
          <cell r="E268">
            <v>178</v>
          </cell>
          <cell r="F268">
            <v>0</v>
          </cell>
          <cell r="G268">
            <v>11766</v>
          </cell>
          <cell r="H268">
            <v>0</v>
          </cell>
          <cell r="L268">
            <v>0</v>
          </cell>
          <cell r="N268">
            <v>9848.74</v>
          </cell>
          <cell r="O268">
            <v>9848.74</v>
          </cell>
          <cell r="Q268">
            <v>36.49</v>
          </cell>
          <cell r="S268">
            <v>157.32</v>
          </cell>
          <cell r="U268">
            <v>10042.549999999999</v>
          </cell>
          <cell r="Y268">
            <v>311.5</v>
          </cell>
          <cell r="AE268" t="str">
            <v>20140101KUUM_360</v>
          </cell>
        </row>
        <row r="269">
          <cell r="B269" t="str">
            <v>Apr 2014</v>
          </cell>
          <cell r="C269" t="str">
            <v>LS</v>
          </cell>
          <cell r="D269" t="str">
            <v>KUUM_361</v>
          </cell>
          <cell r="E269">
            <v>25</v>
          </cell>
          <cell r="F269">
            <v>0</v>
          </cell>
          <cell r="G269">
            <v>1593</v>
          </cell>
          <cell r="H269">
            <v>0</v>
          </cell>
          <cell r="L269">
            <v>0</v>
          </cell>
          <cell r="N269">
            <v>2079</v>
          </cell>
          <cell r="O269">
            <v>2079</v>
          </cell>
          <cell r="Q269">
            <v>4.97</v>
          </cell>
          <cell r="S269">
            <v>33.36</v>
          </cell>
          <cell r="U269">
            <v>2117.33</v>
          </cell>
          <cell r="Y269">
            <v>43.75</v>
          </cell>
          <cell r="AE269" t="str">
            <v>20140101KUUM_361</v>
          </cell>
        </row>
        <row r="270">
          <cell r="B270" t="str">
            <v>Apr 2014</v>
          </cell>
          <cell r="C270" t="str">
            <v>LS</v>
          </cell>
          <cell r="D270" t="str">
            <v>KUUM_362</v>
          </cell>
          <cell r="E270">
            <v>43</v>
          </cell>
          <cell r="F270">
            <v>0</v>
          </cell>
          <cell r="G270">
            <v>2273</v>
          </cell>
          <cell r="H270">
            <v>0</v>
          </cell>
          <cell r="L270">
            <v>0</v>
          </cell>
          <cell r="N270">
            <v>2570.54</v>
          </cell>
          <cell r="O270">
            <v>2570.54</v>
          </cell>
          <cell r="Q270">
            <v>7.09</v>
          </cell>
          <cell r="S270">
            <v>41.24</v>
          </cell>
          <cell r="U270">
            <v>2618.87</v>
          </cell>
          <cell r="Y270">
            <v>75.25</v>
          </cell>
          <cell r="AE270" t="str">
            <v>20140101KUUM_362</v>
          </cell>
        </row>
        <row r="271">
          <cell r="B271" t="str">
            <v>Apr 2014</v>
          </cell>
          <cell r="C271" t="str">
            <v>LS</v>
          </cell>
          <cell r="D271" t="str">
            <v>KUUM_363</v>
          </cell>
          <cell r="E271">
            <v>5</v>
          </cell>
          <cell r="F271">
            <v>0</v>
          </cell>
          <cell r="G271">
            <v>296</v>
          </cell>
          <cell r="H271">
            <v>0</v>
          </cell>
          <cell r="L271">
            <v>0</v>
          </cell>
          <cell r="N271">
            <v>308.75</v>
          </cell>
          <cell r="O271">
            <v>308.75</v>
          </cell>
          <cell r="Q271">
            <v>0.92</v>
          </cell>
          <cell r="S271">
            <v>4.95</v>
          </cell>
          <cell r="U271">
            <v>314.62</v>
          </cell>
          <cell r="Y271">
            <v>8.75</v>
          </cell>
          <cell r="AE271" t="str">
            <v>20140101KUUM_363</v>
          </cell>
        </row>
        <row r="272">
          <cell r="B272" t="str">
            <v>Apr 2014</v>
          </cell>
          <cell r="C272" t="str">
            <v>LS</v>
          </cell>
          <cell r="D272" t="str">
            <v>KUUM_364</v>
          </cell>
          <cell r="E272">
            <v>1</v>
          </cell>
          <cell r="F272">
            <v>0</v>
          </cell>
          <cell r="G272">
            <v>59</v>
          </cell>
          <cell r="H272">
            <v>0</v>
          </cell>
          <cell r="L272">
            <v>0</v>
          </cell>
          <cell r="N272">
            <v>63.11</v>
          </cell>
          <cell r="O272">
            <v>63.11</v>
          </cell>
          <cell r="Q272">
            <v>0.18</v>
          </cell>
          <cell r="S272">
            <v>1.01</v>
          </cell>
          <cell r="U272">
            <v>64.3</v>
          </cell>
          <cell r="Y272">
            <v>1.75</v>
          </cell>
          <cell r="AE272" t="str">
            <v>20140101KUUM_364</v>
          </cell>
        </row>
        <row r="273">
          <cell r="B273" t="str">
            <v>Apr 2014</v>
          </cell>
          <cell r="C273" t="str">
            <v>LS</v>
          </cell>
          <cell r="D273" t="str">
            <v>KUUM_365</v>
          </cell>
          <cell r="E273">
            <v>5</v>
          </cell>
          <cell r="F273">
            <v>0</v>
          </cell>
          <cell r="G273">
            <v>305</v>
          </cell>
          <cell r="H273">
            <v>0</v>
          </cell>
          <cell r="L273">
            <v>0</v>
          </cell>
          <cell r="N273">
            <v>404.7</v>
          </cell>
          <cell r="O273">
            <v>404.7</v>
          </cell>
          <cell r="Q273">
            <v>0.95</v>
          </cell>
          <cell r="S273">
            <v>6.49</v>
          </cell>
          <cell r="U273">
            <v>412.14</v>
          </cell>
          <cell r="Y273">
            <v>8.75</v>
          </cell>
          <cell r="AE273" t="str">
            <v>20140101KUUM_365</v>
          </cell>
        </row>
        <row r="274">
          <cell r="B274" t="str">
            <v>Apr 2014</v>
          </cell>
          <cell r="C274" t="str">
            <v>LS</v>
          </cell>
          <cell r="D274" t="str">
            <v>KUUM_366</v>
          </cell>
          <cell r="E274">
            <v>9</v>
          </cell>
          <cell r="F274">
            <v>0</v>
          </cell>
          <cell r="G274">
            <v>541</v>
          </cell>
          <cell r="H274">
            <v>0</v>
          </cell>
          <cell r="L274">
            <v>0</v>
          </cell>
          <cell r="N274">
            <v>710.73</v>
          </cell>
          <cell r="O274">
            <v>710.73</v>
          </cell>
          <cell r="Q274">
            <v>1.69</v>
          </cell>
          <cell r="S274">
            <v>11.4</v>
          </cell>
          <cell r="U274">
            <v>723.82</v>
          </cell>
          <cell r="Y274">
            <v>15.75</v>
          </cell>
          <cell r="AE274" t="str">
            <v>20140101KUUM_366</v>
          </cell>
        </row>
        <row r="275">
          <cell r="B275" t="str">
            <v>Apr 2014</v>
          </cell>
          <cell r="C275" t="str">
            <v>LS</v>
          </cell>
          <cell r="D275" t="str">
            <v>KUUM_367</v>
          </cell>
          <cell r="E275">
            <v>25</v>
          </cell>
          <cell r="F275">
            <v>0</v>
          </cell>
          <cell r="G275">
            <v>1664</v>
          </cell>
          <cell r="H275">
            <v>0</v>
          </cell>
          <cell r="L275">
            <v>0</v>
          </cell>
          <cell r="N275">
            <v>1530.75</v>
          </cell>
          <cell r="O275">
            <v>1530.75</v>
          </cell>
          <cell r="Q275">
            <v>5.18</v>
          </cell>
          <cell r="S275">
            <v>24.57</v>
          </cell>
          <cell r="U275">
            <v>1560.5</v>
          </cell>
          <cell r="Y275">
            <v>43.75</v>
          </cell>
          <cell r="AE275" t="str">
            <v>20140101KUUM_367</v>
          </cell>
        </row>
        <row r="276">
          <cell r="B276" t="str">
            <v>Apr 2014</v>
          </cell>
          <cell r="C276" t="str">
            <v>LS</v>
          </cell>
          <cell r="D276" t="str">
            <v>KUUM_368</v>
          </cell>
          <cell r="E276">
            <v>1</v>
          </cell>
          <cell r="F276">
            <v>0</v>
          </cell>
          <cell r="G276">
            <v>59</v>
          </cell>
          <cell r="H276">
            <v>0</v>
          </cell>
          <cell r="L276">
            <v>0</v>
          </cell>
          <cell r="N276">
            <v>56.69</v>
          </cell>
          <cell r="O276">
            <v>56.69</v>
          </cell>
          <cell r="Q276">
            <v>0.18</v>
          </cell>
          <cell r="S276">
            <v>0.91</v>
          </cell>
          <cell r="U276">
            <v>57.78</v>
          </cell>
          <cell r="Y276">
            <v>1.75</v>
          </cell>
          <cell r="AE276" t="str">
            <v>20140101KUUM_368</v>
          </cell>
        </row>
        <row r="277">
          <cell r="B277" t="str">
            <v>Apr 2014</v>
          </cell>
          <cell r="C277" t="str">
            <v>LS</v>
          </cell>
          <cell r="D277" t="str">
            <v>KUUM_370</v>
          </cell>
          <cell r="E277">
            <v>15</v>
          </cell>
          <cell r="F277">
            <v>0</v>
          </cell>
          <cell r="G277">
            <v>906</v>
          </cell>
          <cell r="H277">
            <v>0</v>
          </cell>
          <cell r="L277">
            <v>0</v>
          </cell>
          <cell r="N277">
            <v>1117.8</v>
          </cell>
          <cell r="O277">
            <v>1117.8000000000002</v>
          </cell>
          <cell r="Q277">
            <v>2.72</v>
          </cell>
          <cell r="S277">
            <v>17.36</v>
          </cell>
          <cell r="U277">
            <v>1137.8800000000001</v>
          </cell>
          <cell r="Y277">
            <v>26.25</v>
          </cell>
          <cell r="AE277" t="str">
            <v>20140101KUUM_370</v>
          </cell>
        </row>
        <row r="278">
          <cell r="B278" t="str">
            <v>Apr 2014</v>
          </cell>
          <cell r="C278" t="str">
            <v>LS</v>
          </cell>
          <cell r="D278" t="str">
            <v>KUUM_372</v>
          </cell>
          <cell r="E278">
            <v>1</v>
          </cell>
          <cell r="F278">
            <v>0</v>
          </cell>
          <cell r="G278">
            <v>59</v>
          </cell>
          <cell r="H278">
            <v>0</v>
          </cell>
          <cell r="L278">
            <v>0</v>
          </cell>
          <cell r="N278">
            <v>82.3</v>
          </cell>
          <cell r="O278">
            <v>82.3</v>
          </cell>
          <cell r="Q278">
            <v>0.18</v>
          </cell>
          <cell r="S278">
            <v>1.32</v>
          </cell>
          <cell r="U278">
            <v>83.8</v>
          </cell>
          <cell r="Y278">
            <v>1.75</v>
          </cell>
          <cell r="AE278" t="str">
            <v>20140101KUUM_372</v>
          </cell>
        </row>
        <row r="279">
          <cell r="B279" t="str">
            <v>Apr 2014</v>
          </cell>
          <cell r="C279" t="str">
            <v>LS</v>
          </cell>
          <cell r="D279" t="str">
            <v>KUUM_373</v>
          </cell>
          <cell r="E279">
            <v>20</v>
          </cell>
          <cell r="F279">
            <v>0</v>
          </cell>
          <cell r="G279">
            <v>1356</v>
          </cell>
          <cell r="H279">
            <v>0</v>
          </cell>
          <cell r="L279">
            <v>0</v>
          </cell>
          <cell r="N279">
            <v>1490.4</v>
          </cell>
          <cell r="O279">
            <v>1490.3999999999999</v>
          </cell>
          <cell r="Q279">
            <v>4.2300000000000004</v>
          </cell>
          <cell r="S279">
            <v>23.91</v>
          </cell>
          <cell r="U279">
            <v>1518.54</v>
          </cell>
          <cell r="Y279">
            <v>35</v>
          </cell>
          <cell r="AE279" t="str">
            <v>20140101KUUM_373</v>
          </cell>
        </row>
        <row r="280">
          <cell r="B280" t="str">
            <v>Apr 2014</v>
          </cell>
          <cell r="C280" t="str">
            <v>LS</v>
          </cell>
          <cell r="D280" t="str">
            <v>KUUM_374</v>
          </cell>
          <cell r="E280">
            <v>4</v>
          </cell>
          <cell r="F280">
            <v>0</v>
          </cell>
          <cell r="G280">
            <v>254</v>
          </cell>
          <cell r="H280">
            <v>0</v>
          </cell>
          <cell r="L280">
            <v>0</v>
          </cell>
          <cell r="N280">
            <v>303.52</v>
          </cell>
          <cell r="O280">
            <v>303.52000000000004</v>
          </cell>
          <cell r="Q280">
            <v>0.79</v>
          </cell>
          <cell r="S280">
            <v>4.8600000000000003</v>
          </cell>
          <cell r="U280">
            <v>309.17</v>
          </cell>
          <cell r="Y280">
            <v>7</v>
          </cell>
          <cell r="AE280" t="str">
            <v>20140101KUUM_374</v>
          </cell>
        </row>
        <row r="281">
          <cell r="B281" t="str">
            <v>Apr 2014</v>
          </cell>
          <cell r="C281" t="str">
            <v>LS</v>
          </cell>
          <cell r="D281" t="str">
            <v>KUUM_375</v>
          </cell>
          <cell r="E281">
            <v>3</v>
          </cell>
          <cell r="F281">
            <v>0</v>
          </cell>
          <cell r="G281">
            <v>204</v>
          </cell>
          <cell r="H281">
            <v>0</v>
          </cell>
          <cell r="L281">
            <v>0</v>
          </cell>
          <cell r="N281">
            <v>236.91</v>
          </cell>
          <cell r="O281">
            <v>236.91</v>
          </cell>
          <cell r="Q281">
            <v>0.63</v>
          </cell>
          <cell r="S281">
            <v>3.8</v>
          </cell>
          <cell r="U281">
            <v>241.34</v>
          </cell>
          <cell r="Y281">
            <v>5.25</v>
          </cell>
          <cell r="AE281" t="str">
            <v>20140101KUUM_375</v>
          </cell>
        </row>
        <row r="282">
          <cell r="B282" t="str">
            <v>Apr 2014</v>
          </cell>
          <cell r="C282" t="str">
            <v>LS</v>
          </cell>
          <cell r="D282" t="str">
            <v>KUUM_376</v>
          </cell>
          <cell r="E282">
            <v>2</v>
          </cell>
          <cell r="F282">
            <v>0</v>
          </cell>
          <cell r="G282">
            <v>136</v>
          </cell>
          <cell r="H282">
            <v>0</v>
          </cell>
          <cell r="L282">
            <v>0</v>
          </cell>
          <cell r="N282">
            <v>154.52000000000001</v>
          </cell>
          <cell r="O282">
            <v>154.51999999999998</v>
          </cell>
          <cell r="Q282">
            <v>0.42</v>
          </cell>
          <cell r="S282">
            <v>2.48</v>
          </cell>
          <cell r="U282">
            <v>157.41999999999999</v>
          </cell>
          <cell r="Y282">
            <v>3.5</v>
          </cell>
          <cell r="AE282" t="str">
            <v>20140101KUUM_376</v>
          </cell>
        </row>
        <row r="283">
          <cell r="B283" t="str">
            <v>Apr 2014</v>
          </cell>
          <cell r="C283" t="str">
            <v>LS</v>
          </cell>
          <cell r="D283" t="str">
            <v>KUUM_377</v>
          </cell>
          <cell r="E283">
            <v>51</v>
          </cell>
          <cell r="F283">
            <v>0</v>
          </cell>
          <cell r="G283">
            <v>3370</v>
          </cell>
          <cell r="H283">
            <v>58</v>
          </cell>
          <cell r="L283">
            <v>0</v>
          </cell>
          <cell r="N283">
            <v>3273.69</v>
          </cell>
          <cell r="O283">
            <v>3273.69</v>
          </cell>
          <cell r="Q283">
            <v>10.52</v>
          </cell>
          <cell r="S283">
            <v>52.54</v>
          </cell>
          <cell r="U283">
            <v>3336.75</v>
          </cell>
          <cell r="Y283">
            <v>89.25</v>
          </cell>
          <cell r="AE283" t="str">
            <v>20140101KUUM_377</v>
          </cell>
        </row>
        <row r="284">
          <cell r="B284" t="str">
            <v>Apr 2014</v>
          </cell>
          <cell r="C284" t="str">
            <v>LS</v>
          </cell>
          <cell r="D284" t="str">
            <v>KUUM_378</v>
          </cell>
          <cell r="E284">
            <v>2</v>
          </cell>
          <cell r="F284">
            <v>0</v>
          </cell>
          <cell r="G284">
            <v>119</v>
          </cell>
          <cell r="H284">
            <v>0</v>
          </cell>
          <cell r="L284">
            <v>0</v>
          </cell>
          <cell r="N284">
            <v>151.80000000000001</v>
          </cell>
          <cell r="O284">
            <v>151.79999999999998</v>
          </cell>
          <cell r="Q284">
            <v>0.37</v>
          </cell>
          <cell r="S284">
            <v>2.4300000000000002</v>
          </cell>
          <cell r="U284">
            <v>154.6</v>
          </cell>
          <cell r="Y284">
            <v>3.5</v>
          </cell>
          <cell r="AE284" t="str">
            <v>20140101KUUM_378</v>
          </cell>
        </row>
        <row r="285">
          <cell r="B285" t="str">
            <v>Apr 2014</v>
          </cell>
          <cell r="C285" t="str">
            <v>LS</v>
          </cell>
          <cell r="D285" t="str">
            <v>KUUM_401</v>
          </cell>
          <cell r="E285">
            <v>52</v>
          </cell>
          <cell r="F285">
            <v>0</v>
          </cell>
          <cell r="G285">
            <v>1359</v>
          </cell>
          <cell r="H285">
            <v>0</v>
          </cell>
          <cell r="L285">
            <v>0</v>
          </cell>
          <cell r="N285">
            <v>772.72</v>
          </cell>
          <cell r="O285">
            <v>772.72</v>
          </cell>
          <cell r="Q285">
            <v>3.23</v>
          </cell>
          <cell r="S285">
            <v>10.15</v>
          </cell>
          <cell r="U285">
            <v>786.1</v>
          </cell>
          <cell r="Y285">
            <v>41.6</v>
          </cell>
          <cell r="AE285" t="str">
            <v>20140101KUUM_401</v>
          </cell>
        </row>
        <row r="286">
          <cell r="B286" t="str">
            <v>Apr 2014</v>
          </cell>
          <cell r="C286" t="str">
            <v>RLS</v>
          </cell>
          <cell r="D286" t="str">
            <v>KUUM_404</v>
          </cell>
          <cell r="E286">
            <v>7206</v>
          </cell>
          <cell r="F286">
            <v>1</v>
          </cell>
          <cell r="G286">
            <v>472181</v>
          </cell>
          <cell r="H286">
            <v>0</v>
          </cell>
          <cell r="L286">
            <v>-563.76</v>
          </cell>
          <cell r="N286">
            <v>75614.23000000001</v>
          </cell>
          <cell r="O286">
            <v>75614.23</v>
          </cell>
          <cell r="Q286">
            <v>1019.41</v>
          </cell>
          <cell r="S286">
            <v>935.23</v>
          </cell>
          <cell r="U286">
            <v>77568.87</v>
          </cell>
          <cell r="Y286">
            <v>14339.94</v>
          </cell>
          <cell r="AE286" t="str">
            <v>20140101KUUM_404</v>
          </cell>
        </row>
        <row r="287">
          <cell r="B287" t="str">
            <v>Apr 2014</v>
          </cell>
          <cell r="C287" t="str">
            <v>RLS</v>
          </cell>
          <cell r="D287" t="str">
            <v>KUUM_405</v>
          </cell>
          <cell r="E287">
            <v>0</v>
          </cell>
          <cell r="F287">
            <v>0</v>
          </cell>
          <cell r="G287">
            <v>0</v>
          </cell>
          <cell r="H287">
            <v>0</v>
          </cell>
          <cell r="L287">
            <v>0</v>
          </cell>
          <cell r="N287">
            <v>0</v>
          </cell>
          <cell r="O287">
            <v>0</v>
          </cell>
          <cell r="Q287">
            <v>0</v>
          </cell>
          <cell r="S287">
            <v>0</v>
          </cell>
          <cell r="U287">
            <v>0</v>
          </cell>
          <cell r="Y287">
            <v>0</v>
          </cell>
          <cell r="AE287" t="str">
            <v>20140101KUUM_405</v>
          </cell>
        </row>
        <row r="288">
          <cell r="B288" t="str">
            <v>Apr 2014</v>
          </cell>
          <cell r="C288" t="str">
            <v>LS</v>
          </cell>
          <cell r="D288" t="str">
            <v>KUUM_407</v>
          </cell>
          <cell r="E288">
            <v>0</v>
          </cell>
          <cell r="F288">
            <v>0</v>
          </cell>
          <cell r="G288">
            <v>0</v>
          </cell>
          <cell r="H288">
            <v>0</v>
          </cell>
          <cell r="L288">
            <v>0</v>
          </cell>
          <cell r="N288">
            <v>0</v>
          </cell>
          <cell r="O288">
            <v>0</v>
          </cell>
          <cell r="Q288">
            <v>0</v>
          </cell>
          <cell r="S288">
            <v>0</v>
          </cell>
          <cell r="U288">
            <v>0</v>
          </cell>
          <cell r="Y288">
            <v>0</v>
          </cell>
          <cell r="AE288" t="str">
            <v>20140101KUUM_407</v>
          </cell>
        </row>
        <row r="289">
          <cell r="B289" t="str">
            <v>Apr 2014</v>
          </cell>
          <cell r="C289" t="str">
            <v>RLS</v>
          </cell>
          <cell r="D289" t="str">
            <v>KUUM_409</v>
          </cell>
          <cell r="E289">
            <v>141</v>
          </cell>
          <cell r="F289">
            <v>0</v>
          </cell>
          <cell r="G289">
            <v>21137</v>
          </cell>
          <cell r="H289">
            <v>0</v>
          </cell>
          <cell r="L289">
            <v>0</v>
          </cell>
          <cell r="N289">
            <v>1651.11</v>
          </cell>
          <cell r="O289">
            <v>1651.1100000000001</v>
          </cell>
          <cell r="Q289">
            <v>48.65</v>
          </cell>
          <cell r="S289">
            <v>21.9</v>
          </cell>
          <cell r="U289">
            <v>1721.66</v>
          </cell>
          <cell r="Y289">
            <v>638.73</v>
          </cell>
          <cell r="AE289" t="str">
            <v>20140101KUUM_409</v>
          </cell>
        </row>
        <row r="290">
          <cell r="B290" t="str">
            <v>Apr 2014</v>
          </cell>
          <cell r="C290" t="str">
            <v>RLS</v>
          </cell>
          <cell r="D290" t="str">
            <v>KUUM_410</v>
          </cell>
          <cell r="E290">
            <v>240</v>
          </cell>
          <cell r="F290">
            <v>0</v>
          </cell>
          <cell r="G290">
            <v>4596</v>
          </cell>
          <cell r="H290">
            <v>0</v>
          </cell>
          <cell r="L290">
            <v>0</v>
          </cell>
          <cell r="N290">
            <v>4862.3999999999996</v>
          </cell>
          <cell r="O290">
            <v>4862.4000000000005</v>
          </cell>
          <cell r="Q290">
            <v>9.73</v>
          </cell>
          <cell r="S290">
            <v>59.47</v>
          </cell>
          <cell r="U290">
            <v>4931.6000000000004</v>
          </cell>
          <cell r="Y290">
            <v>136.80000000000001</v>
          </cell>
          <cell r="AE290" t="str">
            <v>20140101KUUM_410</v>
          </cell>
        </row>
        <row r="291">
          <cell r="B291" t="str">
            <v>Apr 2014</v>
          </cell>
          <cell r="C291" t="str">
            <v>LS</v>
          </cell>
          <cell r="D291" t="str">
            <v>KUUM_411</v>
          </cell>
          <cell r="E291">
            <v>150</v>
          </cell>
          <cell r="F291">
            <v>0</v>
          </cell>
          <cell r="G291">
            <v>3889</v>
          </cell>
          <cell r="H291">
            <v>0</v>
          </cell>
          <cell r="L291">
            <v>-60.58</v>
          </cell>
          <cell r="N291">
            <v>3146.42</v>
          </cell>
          <cell r="O291">
            <v>3146.42</v>
          </cell>
          <cell r="Q291">
            <v>8.26</v>
          </cell>
          <cell r="S291">
            <v>38.49</v>
          </cell>
          <cell r="U291">
            <v>3193.17</v>
          </cell>
          <cell r="Y291">
            <v>120</v>
          </cell>
          <cell r="AE291" t="str">
            <v>20140101KUUM_411</v>
          </cell>
        </row>
        <row r="292">
          <cell r="B292" t="str">
            <v>Apr 2014</v>
          </cell>
          <cell r="C292" t="str">
            <v>RLS</v>
          </cell>
          <cell r="D292" t="str">
            <v>KUUM_412</v>
          </cell>
          <cell r="E292">
            <v>28</v>
          </cell>
          <cell r="F292">
            <v>0</v>
          </cell>
          <cell r="G292">
            <v>752</v>
          </cell>
          <cell r="H292">
            <v>0</v>
          </cell>
          <cell r="L292">
            <v>0</v>
          </cell>
          <cell r="N292">
            <v>863.52</v>
          </cell>
          <cell r="O292">
            <v>863.52</v>
          </cell>
          <cell r="Q292">
            <v>1.59</v>
          </cell>
          <cell r="S292">
            <v>10.55</v>
          </cell>
          <cell r="U292">
            <v>875.66</v>
          </cell>
          <cell r="Y292">
            <v>22.4</v>
          </cell>
          <cell r="AE292" t="str">
            <v>20140101KUUM_412</v>
          </cell>
        </row>
        <row r="293">
          <cell r="B293" t="str">
            <v>Apr 2014</v>
          </cell>
          <cell r="C293" t="str">
            <v>RLS</v>
          </cell>
          <cell r="D293" t="str">
            <v>KUUM_413</v>
          </cell>
          <cell r="E293">
            <v>96</v>
          </cell>
          <cell r="F293">
            <v>0</v>
          </cell>
          <cell r="G293">
            <v>3617</v>
          </cell>
          <cell r="H293">
            <v>0</v>
          </cell>
          <cell r="L293">
            <v>0</v>
          </cell>
          <cell r="N293">
            <v>2997.12</v>
          </cell>
          <cell r="O293">
            <v>2997.12</v>
          </cell>
          <cell r="Q293">
            <v>7.66</v>
          </cell>
          <cell r="S293">
            <v>36.659999999999997</v>
          </cell>
          <cell r="U293">
            <v>3041.44</v>
          </cell>
          <cell r="Y293">
            <v>108.48</v>
          </cell>
          <cell r="AE293" t="str">
            <v>20140101KUUM_413</v>
          </cell>
        </row>
        <row r="294">
          <cell r="B294" t="str">
            <v>Apr 2014</v>
          </cell>
          <cell r="C294" t="str">
            <v>LS</v>
          </cell>
          <cell r="D294" t="str">
            <v>KUUM_414</v>
          </cell>
          <cell r="E294">
            <v>21</v>
          </cell>
          <cell r="F294">
            <v>0</v>
          </cell>
          <cell r="G294">
            <v>568</v>
          </cell>
          <cell r="H294">
            <v>0</v>
          </cell>
          <cell r="L294">
            <v>0</v>
          </cell>
          <cell r="N294">
            <v>647.64</v>
          </cell>
          <cell r="O294">
            <v>647.64</v>
          </cell>
          <cell r="Q294">
            <v>1.78</v>
          </cell>
          <cell r="S294">
            <v>10.39</v>
          </cell>
          <cell r="U294">
            <v>659.81</v>
          </cell>
          <cell r="Y294">
            <v>16.8</v>
          </cell>
          <cell r="AE294" t="str">
            <v>20140101KUUM_414</v>
          </cell>
        </row>
        <row r="295">
          <cell r="B295" t="str">
            <v>Apr 2014</v>
          </cell>
          <cell r="C295" t="str">
            <v>LS</v>
          </cell>
          <cell r="D295" t="str">
            <v>KUUM_415</v>
          </cell>
          <cell r="E295">
            <v>10</v>
          </cell>
          <cell r="F295">
            <v>0</v>
          </cell>
          <cell r="G295">
            <v>381</v>
          </cell>
          <cell r="H295">
            <v>0</v>
          </cell>
          <cell r="L295">
            <v>0</v>
          </cell>
          <cell r="N295">
            <v>312.2</v>
          </cell>
          <cell r="O295">
            <v>312.2</v>
          </cell>
          <cell r="Q295">
            <v>1.19</v>
          </cell>
          <cell r="S295">
            <v>5.01</v>
          </cell>
          <cell r="U295">
            <v>318.39999999999998</v>
          </cell>
          <cell r="Y295">
            <v>11.3</v>
          </cell>
          <cell r="AE295" t="str">
            <v>20140101KUUM_415</v>
          </cell>
        </row>
        <row r="296">
          <cell r="B296" t="str">
            <v>Apr 2014</v>
          </cell>
          <cell r="C296" t="str">
            <v>LS</v>
          </cell>
          <cell r="D296" t="str">
            <v>KUUM_420</v>
          </cell>
          <cell r="E296">
            <v>465</v>
          </cell>
          <cell r="F296">
            <v>0</v>
          </cell>
          <cell r="G296">
            <v>17721</v>
          </cell>
          <cell r="H296">
            <v>0</v>
          </cell>
          <cell r="L296">
            <v>0</v>
          </cell>
          <cell r="N296">
            <v>7142.4</v>
          </cell>
          <cell r="O296">
            <v>7142.4</v>
          </cell>
          <cell r="Q296">
            <v>42.31</v>
          </cell>
          <cell r="S296">
            <v>94.79</v>
          </cell>
          <cell r="U296">
            <v>7279.5</v>
          </cell>
          <cell r="Y296">
            <v>525.45000000000005</v>
          </cell>
          <cell r="AE296" t="str">
            <v>20140101KUUM_420</v>
          </cell>
        </row>
        <row r="297">
          <cell r="B297" t="str">
            <v>Apr 2014</v>
          </cell>
          <cell r="C297" t="str">
            <v>RLS</v>
          </cell>
          <cell r="D297" t="str">
            <v>KUUM_421</v>
          </cell>
          <cell r="E297">
            <v>5</v>
          </cell>
          <cell r="F297">
            <v>0</v>
          </cell>
          <cell r="G297">
            <v>182</v>
          </cell>
          <cell r="H297">
            <v>0</v>
          </cell>
          <cell r="L297">
            <v>0</v>
          </cell>
          <cell r="N297">
            <v>16.95</v>
          </cell>
          <cell r="O297">
            <v>16.95</v>
          </cell>
          <cell r="Q297">
            <v>0.5</v>
          </cell>
          <cell r="S297">
            <v>0.25</v>
          </cell>
          <cell r="U297">
            <v>17.7</v>
          </cell>
          <cell r="Y297">
            <v>4.95</v>
          </cell>
          <cell r="AE297" t="str">
            <v>20140101KUUM_421</v>
          </cell>
        </row>
        <row r="298">
          <cell r="B298" t="str">
            <v>Apr 2014</v>
          </cell>
          <cell r="C298" t="str">
            <v>RLS</v>
          </cell>
          <cell r="D298" t="str">
            <v>KUUM_422</v>
          </cell>
          <cell r="E298">
            <v>676</v>
          </cell>
          <cell r="F298">
            <v>0</v>
          </cell>
          <cell r="G298">
            <v>44244</v>
          </cell>
          <cell r="H298">
            <v>0</v>
          </cell>
          <cell r="L298">
            <v>-3.92</v>
          </cell>
          <cell r="N298">
            <v>3065.12</v>
          </cell>
          <cell r="O298">
            <v>3065.12</v>
          </cell>
          <cell r="Q298">
            <v>105.31</v>
          </cell>
          <cell r="S298">
            <v>41.74</v>
          </cell>
          <cell r="U298">
            <v>3212.17</v>
          </cell>
          <cell r="Y298">
            <v>1311.44</v>
          </cell>
          <cell r="AE298" t="str">
            <v>20140101KUUM_422</v>
          </cell>
        </row>
        <row r="299">
          <cell r="B299" t="str">
            <v>Apr 2014</v>
          </cell>
          <cell r="C299" t="str">
            <v>RLS</v>
          </cell>
          <cell r="D299" t="str">
            <v>KUUM_424</v>
          </cell>
          <cell r="E299">
            <v>65</v>
          </cell>
          <cell r="F299">
            <v>0</v>
          </cell>
          <cell r="G299">
            <v>7032</v>
          </cell>
          <cell r="H299">
            <v>123</v>
          </cell>
          <cell r="L299">
            <v>0</v>
          </cell>
          <cell r="N299">
            <v>440.7</v>
          </cell>
          <cell r="O299">
            <v>440.7</v>
          </cell>
          <cell r="Q299">
            <v>19.89</v>
          </cell>
          <cell r="S299">
            <v>6.85</v>
          </cell>
          <cell r="U299">
            <v>467.44</v>
          </cell>
          <cell r="Y299">
            <v>45.5</v>
          </cell>
          <cell r="AE299" t="str">
            <v>20140101KUUM_424</v>
          </cell>
        </row>
        <row r="300">
          <cell r="B300" t="str">
            <v>Apr 2014</v>
          </cell>
          <cell r="C300" t="str">
            <v>RLS</v>
          </cell>
          <cell r="D300" t="str">
            <v>KUUM_425</v>
          </cell>
          <cell r="E300">
            <v>2</v>
          </cell>
          <cell r="F300">
            <v>0</v>
          </cell>
          <cell r="G300">
            <v>283</v>
          </cell>
          <cell r="H300">
            <v>0</v>
          </cell>
          <cell r="L300">
            <v>0</v>
          </cell>
          <cell r="N300">
            <v>18.12</v>
          </cell>
          <cell r="O300">
            <v>18.12</v>
          </cell>
          <cell r="Q300">
            <v>0.6</v>
          </cell>
          <cell r="S300">
            <v>0.22</v>
          </cell>
          <cell r="U300">
            <v>18.940000000000001</v>
          </cell>
          <cell r="Y300">
            <v>8.6</v>
          </cell>
          <cell r="AE300" t="str">
            <v>20140101KUUM_425</v>
          </cell>
        </row>
        <row r="301">
          <cell r="B301" t="str">
            <v>Apr 2014</v>
          </cell>
          <cell r="C301" t="str">
            <v>RLS</v>
          </cell>
          <cell r="D301" t="str">
            <v>KUUM_426</v>
          </cell>
          <cell r="E301">
            <v>172</v>
          </cell>
          <cell r="F301">
            <v>0</v>
          </cell>
          <cell r="G301">
            <v>4517</v>
          </cell>
          <cell r="H301">
            <v>0</v>
          </cell>
          <cell r="L301">
            <v>-6.94</v>
          </cell>
          <cell r="N301">
            <v>1272.74</v>
          </cell>
          <cell r="O301">
            <v>1272.74</v>
          </cell>
          <cell r="Q301">
            <v>9.92</v>
          </cell>
          <cell r="S301">
            <v>15.4</v>
          </cell>
          <cell r="U301">
            <v>1298.06</v>
          </cell>
          <cell r="Y301">
            <v>137.6</v>
          </cell>
          <cell r="AE301" t="str">
            <v>20140101KUUM_426</v>
          </cell>
        </row>
        <row r="302">
          <cell r="B302" t="str">
            <v>Apr 2014</v>
          </cell>
          <cell r="C302" t="str">
            <v>LS</v>
          </cell>
          <cell r="D302" t="str">
            <v>KUUM_428</v>
          </cell>
          <cell r="E302">
            <v>36644</v>
          </cell>
          <cell r="F302">
            <v>1</v>
          </cell>
          <cell r="G302">
            <v>1360504</v>
          </cell>
          <cell r="H302">
            <v>0</v>
          </cell>
          <cell r="L302">
            <v>-1723.65</v>
          </cell>
          <cell r="N302">
            <v>285573.14999999997</v>
          </cell>
          <cell r="O302">
            <v>285573.15000000002</v>
          </cell>
          <cell r="Q302">
            <v>2917.74</v>
          </cell>
          <cell r="S302">
            <v>3618.61</v>
          </cell>
          <cell r="U302">
            <v>292109.5</v>
          </cell>
          <cell r="Y302">
            <v>41407.72</v>
          </cell>
          <cell r="AE302" t="str">
            <v>20140101KUUM_428</v>
          </cell>
        </row>
        <row r="303">
          <cell r="B303" t="str">
            <v>Apr 2014</v>
          </cell>
          <cell r="C303" t="str">
            <v>LS</v>
          </cell>
          <cell r="D303" t="str">
            <v>KUUM_429</v>
          </cell>
          <cell r="E303">
            <v>0</v>
          </cell>
          <cell r="F303">
            <v>0</v>
          </cell>
          <cell r="G303">
            <v>0</v>
          </cell>
          <cell r="H303">
            <v>0</v>
          </cell>
          <cell r="L303">
            <v>0</v>
          </cell>
          <cell r="N303">
            <v>0</v>
          </cell>
          <cell r="O303">
            <v>0</v>
          </cell>
          <cell r="Q303">
            <v>0</v>
          </cell>
          <cell r="S303">
            <v>0</v>
          </cell>
          <cell r="U303">
            <v>0</v>
          </cell>
          <cell r="Y303">
            <v>0</v>
          </cell>
          <cell r="AE303" t="str">
            <v>20140101KUUM_429</v>
          </cell>
        </row>
        <row r="304">
          <cell r="B304" t="str">
            <v>Apr 2014</v>
          </cell>
          <cell r="C304" t="str">
            <v>LS</v>
          </cell>
          <cell r="D304" t="str">
            <v>KUUM_430</v>
          </cell>
          <cell r="E304">
            <v>1180</v>
          </cell>
          <cell r="F304">
            <v>0</v>
          </cell>
          <cell r="G304">
            <v>44594</v>
          </cell>
          <cell r="H304">
            <v>0</v>
          </cell>
          <cell r="L304">
            <v>0</v>
          </cell>
          <cell r="N304">
            <v>25960</v>
          </cell>
          <cell r="O304">
            <v>25960</v>
          </cell>
          <cell r="Q304">
            <v>103.02</v>
          </cell>
          <cell r="S304">
            <v>335.45</v>
          </cell>
          <cell r="U304">
            <v>26398.47</v>
          </cell>
          <cell r="Y304">
            <v>1333.4</v>
          </cell>
          <cell r="AE304" t="str">
            <v>20140101KUUM_430</v>
          </cell>
        </row>
        <row r="305">
          <cell r="B305" t="str">
            <v>Apr 2014</v>
          </cell>
          <cell r="C305" t="str">
            <v>RLS</v>
          </cell>
          <cell r="D305" t="str">
            <v>KUUM_434</v>
          </cell>
          <cell r="E305">
            <v>5</v>
          </cell>
          <cell r="F305">
            <v>0</v>
          </cell>
          <cell r="G305">
            <v>547</v>
          </cell>
          <cell r="H305">
            <v>0</v>
          </cell>
          <cell r="L305">
            <v>0</v>
          </cell>
          <cell r="N305">
            <v>38.700000000000003</v>
          </cell>
          <cell r="O305">
            <v>38.699999999999996</v>
          </cell>
          <cell r="Q305">
            <v>1.7</v>
          </cell>
          <cell r="S305">
            <v>0.65</v>
          </cell>
          <cell r="U305">
            <v>41.05</v>
          </cell>
          <cell r="Y305">
            <v>3.5</v>
          </cell>
          <cell r="AE305" t="str">
            <v>20140101KUUM_434</v>
          </cell>
        </row>
        <row r="306">
          <cell r="B306" t="str">
            <v>Apr 2014</v>
          </cell>
          <cell r="C306" t="str">
            <v>RLS</v>
          </cell>
          <cell r="D306" t="str">
            <v>KUUM_440</v>
          </cell>
          <cell r="E306">
            <v>2</v>
          </cell>
          <cell r="F306">
            <v>0</v>
          </cell>
          <cell r="G306">
            <v>39</v>
          </cell>
          <cell r="H306">
            <v>0</v>
          </cell>
          <cell r="L306">
            <v>0</v>
          </cell>
          <cell r="N306">
            <v>27.22</v>
          </cell>
          <cell r="O306">
            <v>27.22</v>
          </cell>
          <cell r="Q306">
            <v>0.08</v>
          </cell>
          <cell r="S306">
            <v>0.34</v>
          </cell>
          <cell r="U306">
            <v>27.64</v>
          </cell>
          <cell r="Y306">
            <v>1.1399999999999999</v>
          </cell>
          <cell r="AE306" t="str">
            <v>20140101KUUM_440</v>
          </cell>
        </row>
        <row r="307">
          <cell r="B307" t="str">
            <v>Apr 2014</v>
          </cell>
          <cell r="C307" t="str">
            <v>RLS</v>
          </cell>
          <cell r="D307" t="str">
            <v>KUUM_446</v>
          </cell>
          <cell r="E307">
            <v>1081</v>
          </cell>
          <cell r="F307">
            <v>0</v>
          </cell>
          <cell r="G307">
            <v>71543</v>
          </cell>
          <cell r="H307">
            <v>0</v>
          </cell>
          <cell r="L307">
            <v>-7.25</v>
          </cell>
          <cell r="N307">
            <v>10327.11</v>
          </cell>
          <cell r="O307">
            <v>10327.11</v>
          </cell>
          <cell r="Q307">
            <v>165.41</v>
          </cell>
          <cell r="S307">
            <v>135.49</v>
          </cell>
          <cell r="U307">
            <v>10628.01</v>
          </cell>
          <cell r="Y307">
            <v>2151.19</v>
          </cell>
          <cell r="AE307" t="str">
            <v>20140101KUUM_446</v>
          </cell>
        </row>
        <row r="308">
          <cell r="B308" t="str">
            <v>Apr 2014</v>
          </cell>
          <cell r="C308" t="str">
            <v>RLS</v>
          </cell>
          <cell r="D308" t="str">
            <v>KUUM_447</v>
          </cell>
          <cell r="E308">
            <v>742</v>
          </cell>
          <cell r="F308">
            <v>0</v>
          </cell>
          <cell r="G308">
            <v>71643</v>
          </cell>
          <cell r="H308">
            <v>0</v>
          </cell>
          <cell r="L308">
            <v>0</v>
          </cell>
          <cell r="N308">
            <v>8399.44</v>
          </cell>
          <cell r="O308">
            <v>8399.44</v>
          </cell>
          <cell r="Q308">
            <v>220.74</v>
          </cell>
          <cell r="S308">
            <v>136.61000000000001</v>
          </cell>
          <cell r="U308">
            <v>8756.7900000000009</v>
          </cell>
          <cell r="Y308">
            <v>2107.2800000000002</v>
          </cell>
          <cell r="AE308" t="str">
            <v>20140101KUUM_447</v>
          </cell>
        </row>
        <row r="309">
          <cell r="B309" t="str">
            <v>Apr 2014</v>
          </cell>
          <cell r="C309" t="str">
            <v>RLS</v>
          </cell>
          <cell r="D309" t="str">
            <v>KUUM_448</v>
          </cell>
          <cell r="E309">
            <v>1480</v>
          </cell>
          <cell r="F309">
            <v>0</v>
          </cell>
          <cell r="G309">
            <v>213646</v>
          </cell>
          <cell r="H309">
            <v>0</v>
          </cell>
          <cell r="L309">
            <v>-25.62</v>
          </cell>
          <cell r="N309">
            <v>18933.18</v>
          </cell>
          <cell r="O309">
            <v>18933.18</v>
          </cell>
          <cell r="Q309">
            <v>542.19000000000005</v>
          </cell>
          <cell r="S309">
            <v>267.81</v>
          </cell>
          <cell r="U309">
            <v>19743.18</v>
          </cell>
          <cell r="Y309">
            <v>6467.6</v>
          </cell>
          <cell r="AE309" t="str">
            <v>20140101KUUM_448</v>
          </cell>
        </row>
        <row r="310">
          <cell r="B310" t="str">
            <v>Apr 2014</v>
          </cell>
          <cell r="C310" t="str">
            <v>LS</v>
          </cell>
          <cell r="D310" t="str">
            <v>KUUM_450</v>
          </cell>
          <cell r="E310">
            <v>660</v>
          </cell>
          <cell r="F310">
            <v>0</v>
          </cell>
          <cell r="G310">
            <v>31479</v>
          </cell>
          <cell r="H310">
            <v>0</v>
          </cell>
          <cell r="L310">
            <v>-22.32</v>
          </cell>
          <cell r="N310">
            <v>9382.68</v>
          </cell>
          <cell r="O310">
            <v>9382.6799999999985</v>
          </cell>
          <cell r="Q310">
            <v>68.2</v>
          </cell>
          <cell r="S310">
            <v>118</v>
          </cell>
          <cell r="U310">
            <v>9568.8799999999992</v>
          </cell>
          <cell r="Y310">
            <v>1300.2</v>
          </cell>
          <cell r="AE310" t="str">
            <v>20140101KUUM_450</v>
          </cell>
        </row>
        <row r="311">
          <cell r="B311" t="str">
            <v>Apr 2014</v>
          </cell>
          <cell r="C311" t="str">
            <v>LS</v>
          </cell>
          <cell r="D311" t="str">
            <v>KUUM_451</v>
          </cell>
          <cell r="E311">
            <v>5128</v>
          </cell>
          <cell r="F311">
            <v>0</v>
          </cell>
          <cell r="G311">
            <v>574590</v>
          </cell>
          <cell r="H311">
            <v>0</v>
          </cell>
          <cell r="L311">
            <v>36.06</v>
          </cell>
          <cell r="N311">
            <v>103621.66</v>
          </cell>
          <cell r="O311">
            <v>103621.66</v>
          </cell>
          <cell r="Q311">
            <v>1240.08</v>
          </cell>
          <cell r="S311">
            <v>1297.3699999999999</v>
          </cell>
          <cell r="U311">
            <v>106159.11</v>
          </cell>
          <cell r="Y311">
            <v>21999.119999999999</v>
          </cell>
          <cell r="AE311" t="str">
            <v>20140101KUUM_451</v>
          </cell>
        </row>
        <row r="312">
          <cell r="B312" t="str">
            <v>Apr 2014</v>
          </cell>
          <cell r="C312" t="str">
            <v>LS</v>
          </cell>
          <cell r="D312" t="str">
            <v>KUUM_452</v>
          </cell>
          <cell r="E312">
            <v>1045</v>
          </cell>
          <cell r="F312">
            <v>0</v>
          </cell>
          <cell r="G312">
            <v>357912</v>
          </cell>
          <cell r="H312">
            <v>0</v>
          </cell>
          <cell r="L312">
            <v>-183.5</v>
          </cell>
          <cell r="N312">
            <v>44072.25</v>
          </cell>
          <cell r="O312">
            <v>44072.25</v>
          </cell>
          <cell r="Q312">
            <v>767.93</v>
          </cell>
          <cell r="S312">
            <v>552.5</v>
          </cell>
          <cell r="U312">
            <v>45392.68</v>
          </cell>
          <cell r="Y312">
            <v>10878.45</v>
          </cell>
          <cell r="AE312" t="str">
            <v>20140101KUUM_452</v>
          </cell>
        </row>
        <row r="313">
          <cell r="B313" t="str">
            <v>Apr 2014</v>
          </cell>
          <cell r="C313" t="str">
            <v>RLS</v>
          </cell>
          <cell r="D313" t="str">
            <v>KUUM_454</v>
          </cell>
          <cell r="E313">
            <v>150</v>
          </cell>
          <cell r="F313">
            <v>0</v>
          </cell>
          <cell r="G313">
            <v>7191</v>
          </cell>
          <cell r="H313">
            <v>0</v>
          </cell>
          <cell r="L313">
            <v>0</v>
          </cell>
          <cell r="N313">
            <v>2797.5</v>
          </cell>
          <cell r="O313">
            <v>2797.5</v>
          </cell>
          <cell r="Q313">
            <v>15.75</v>
          </cell>
          <cell r="S313">
            <v>35.11</v>
          </cell>
          <cell r="U313">
            <v>2848.36</v>
          </cell>
          <cell r="Y313">
            <v>295.5</v>
          </cell>
          <cell r="AE313" t="str">
            <v>20140101KUUM_454</v>
          </cell>
        </row>
        <row r="314">
          <cell r="B314" t="str">
            <v>Apr 2014</v>
          </cell>
          <cell r="C314" t="str">
            <v>RLS</v>
          </cell>
          <cell r="D314" t="str">
            <v>KUUM_455</v>
          </cell>
          <cell r="E314">
            <v>1022</v>
          </cell>
          <cell r="F314">
            <v>0</v>
          </cell>
          <cell r="G314">
            <v>113937</v>
          </cell>
          <cell r="H314">
            <v>0</v>
          </cell>
          <cell r="L314">
            <v>-55.74</v>
          </cell>
          <cell r="N314">
            <v>25075.239999999998</v>
          </cell>
          <cell r="O314">
            <v>25075.24</v>
          </cell>
          <cell r="Q314">
            <v>246.75</v>
          </cell>
          <cell r="S314">
            <v>312.33999999999997</v>
          </cell>
          <cell r="U314">
            <v>25634.33</v>
          </cell>
          <cell r="Y314">
            <v>4384.38</v>
          </cell>
          <cell r="AE314" t="str">
            <v>20140101KUUM_455</v>
          </cell>
        </row>
        <row r="315">
          <cell r="B315" t="str">
            <v>Apr 2014</v>
          </cell>
          <cell r="C315" t="str">
            <v>RLS</v>
          </cell>
          <cell r="D315" t="str">
            <v>KUUM_456</v>
          </cell>
          <cell r="E315">
            <v>140</v>
          </cell>
          <cell r="F315">
            <v>0</v>
          </cell>
          <cell r="G315">
            <v>9167</v>
          </cell>
          <cell r="H315">
            <v>0</v>
          </cell>
          <cell r="L315">
            <v>0</v>
          </cell>
          <cell r="N315">
            <v>1661.8</v>
          </cell>
          <cell r="O315">
            <v>1661.8</v>
          </cell>
          <cell r="Q315">
            <v>20.76</v>
          </cell>
          <cell r="S315">
            <v>21.4</v>
          </cell>
          <cell r="U315">
            <v>1703.96</v>
          </cell>
          <cell r="Y315">
            <v>278.60000000000002</v>
          </cell>
          <cell r="AE315" t="str">
            <v>20140101KUUM_456</v>
          </cell>
        </row>
        <row r="316">
          <cell r="B316" t="str">
            <v>Apr 2014</v>
          </cell>
          <cell r="C316" t="str">
            <v>RLS</v>
          </cell>
          <cell r="D316" t="str">
            <v>KUUM_457</v>
          </cell>
          <cell r="E316">
            <v>453</v>
          </cell>
          <cell r="F316">
            <v>0</v>
          </cell>
          <cell r="G316">
            <v>43841</v>
          </cell>
          <cell r="H316">
            <v>0</v>
          </cell>
          <cell r="L316">
            <v>0</v>
          </cell>
          <cell r="N316">
            <v>6052.08</v>
          </cell>
          <cell r="O316">
            <v>6052.08</v>
          </cell>
          <cell r="Q316">
            <v>136.69</v>
          </cell>
          <cell r="S316">
            <v>98.98</v>
          </cell>
          <cell r="U316">
            <v>6287.75</v>
          </cell>
          <cell r="Y316">
            <v>1286.52</v>
          </cell>
          <cell r="AE316" t="str">
            <v>20140101KUUM_457</v>
          </cell>
        </row>
        <row r="317">
          <cell r="B317" t="str">
            <v>Apr 2014</v>
          </cell>
          <cell r="C317" t="str">
            <v>RLS</v>
          </cell>
          <cell r="D317" t="str">
            <v>KUUM_458</v>
          </cell>
          <cell r="E317">
            <v>1479</v>
          </cell>
          <cell r="F317">
            <v>0</v>
          </cell>
          <cell r="G317">
            <v>217321</v>
          </cell>
          <cell r="H317">
            <v>0</v>
          </cell>
          <cell r="L317">
            <v>-54.15</v>
          </cell>
          <cell r="N317">
            <v>22249.17</v>
          </cell>
          <cell r="O317">
            <v>22249.170000000002</v>
          </cell>
          <cell r="Q317">
            <v>610.52</v>
          </cell>
          <cell r="S317">
            <v>338.69</v>
          </cell>
          <cell r="U317">
            <v>23198.38</v>
          </cell>
          <cell r="Y317">
            <v>6463.23</v>
          </cell>
          <cell r="AE317" t="str">
            <v>20140101KUUM_458</v>
          </cell>
        </row>
        <row r="318">
          <cell r="B318" t="str">
            <v>Apr 2014</v>
          </cell>
          <cell r="C318" t="str">
            <v>RLS</v>
          </cell>
          <cell r="D318" t="str">
            <v>KUUM_459</v>
          </cell>
          <cell r="E318">
            <v>224</v>
          </cell>
          <cell r="F318">
            <v>0</v>
          </cell>
          <cell r="G318">
            <v>76873</v>
          </cell>
          <cell r="H318">
            <v>0</v>
          </cell>
          <cell r="L318">
            <v>0</v>
          </cell>
          <cell r="N318">
            <v>10469.76</v>
          </cell>
          <cell r="O318">
            <v>10469.76</v>
          </cell>
          <cell r="Q318">
            <v>164.45</v>
          </cell>
          <cell r="S318">
            <v>130.65</v>
          </cell>
          <cell r="U318">
            <v>10764.86</v>
          </cell>
          <cell r="Y318">
            <v>2331.84</v>
          </cell>
          <cell r="AE318" t="str">
            <v>20140101KUUM_459</v>
          </cell>
        </row>
        <row r="319">
          <cell r="B319" t="str">
            <v>Apr 2014</v>
          </cell>
          <cell r="C319" t="str">
            <v>RLS</v>
          </cell>
          <cell r="D319" t="str">
            <v>KUUM_460</v>
          </cell>
          <cell r="E319">
            <v>26</v>
          </cell>
          <cell r="F319">
            <v>0</v>
          </cell>
          <cell r="G319">
            <v>1296</v>
          </cell>
          <cell r="H319">
            <v>1869</v>
          </cell>
          <cell r="L319">
            <v>0</v>
          </cell>
          <cell r="N319">
            <v>705.9</v>
          </cell>
          <cell r="O319">
            <v>705.9</v>
          </cell>
          <cell r="Q319">
            <v>3.34</v>
          </cell>
          <cell r="S319">
            <v>9.7899999999999991</v>
          </cell>
          <cell r="U319">
            <v>719.03</v>
          </cell>
          <cell r="Y319">
            <v>51.22</v>
          </cell>
          <cell r="AE319" t="str">
            <v>20140101KUUM_460</v>
          </cell>
        </row>
        <row r="320">
          <cell r="B320" t="str">
            <v>Apr 2014</v>
          </cell>
          <cell r="C320" t="str">
            <v>RLS</v>
          </cell>
          <cell r="D320" t="str">
            <v>KUUM_461</v>
          </cell>
          <cell r="E320">
            <v>6930</v>
          </cell>
          <cell r="F320">
            <v>0</v>
          </cell>
          <cell r="G320">
            <v>133527</v>
          </cell>
          <cell r="H320">
            <v>0</v>
          </cell>
          <cell r="L320">
            <v>0</v>
          </cell>
          <cell r="N320">
            <v>52252.2</v>
          </cell>
          <cell r="O320">
            <v>52252.200000000004</v>
          </cell>
          <cell r="Q320">
            <v>322.37</v>
          </cell>
          <cell r="S320">
            <v>697.3</v>
          </cell>
          <cell r="U320">
            <v>53271.87</v>
          </cell>
          <cell r="Y320">
            <v>3950.1</v>
          </cell>
          <cell r="AE320" t="str">
            <v>20140101KUUM_461</v>
          </cell>
        </row>
        <row r="321">
          <cell r="B321" t="str">
            <v>Apr 2014</v>
          </cell>
          <cell r="C321" t="str">
            <v>LS</v>
          </cell>
          <cell r="D321" t="str">
            <v>KUUM_462</v>
          </cell>
          <cell r="E321">
            <v>8850</v>
          </cell>
          <cell r="F321">
            <v>0</v>
          </cell>
          <cell r="G321">
            <v>238864</v>
          </cell>
          <cell r="H321">
            <v>0</v>
          </cell>
          <cell r="L321">
            <v>5.69</v>
          </cell>
          <cell r="N321">
            <v>76646.69</v>
          </cell>
          <cell r="O321">
            <v>76646.689999999988</v>
          </cell>
          <cell r="Q321">
            <v>615.82000000000005</v>
          </cell>
          <cell r="S321">
            <v>1074.78</v>
          </cell>
          <cell r="U321">
            <v>78337.289999999994</v>
          </cell>
          <cell r="Y321">
            <v>7080</v>
          </cell>
          <cell r="AE321" t="str">
            <v>20140101KUUM_462</v>
          </cell>
        </row>
        <row r="322">
          <cell r="B322" t="str">
            <v>Apr 2014</v>
          </cell>
          <cell r="C322" t="str">
            <v>LS</v>
          </cell>
          <cell r="D322" t="str">
            <v>KUUM_463</v>
          </cell>
          <cell r="E322">
            <v>19941</v>
          </cell>
          <cell r="F322">
            <v>48</v>
          </cell>
          <cell r="G322">
            <v>768695</v>
          </cell>
          <cell r="H322">
            <v>0</v>
          </cell>
          <cell r="L322">
            <v>3557.38</v>
          </cell>
          <cell r="N322">
            <v>186256.84</v>
          </cell>
          <cell r="O322">
            <v>186256.84000000003</v>
          </cell>
          <cell r="Q322">
            <v>1801.76</v>
          </cell>
          <cell r="S322">
            <v>2428.29</v>
          </cell>
          <cell r="U322">
            <v>190486.89</v>
          </cell>
          <cell r="Y322">
            <v>22533.33</v>
          </cell>
          <cell r="AE322" t="str">
            <v>20140101KUUM_463</v>
          </cell>
        </row>
        <row r="323">
          <cell r="B323" t="str">
            <v>Apr 2014</v>
          </cell>
          <cell r="C323" t="str">
            <v>LS</v>
          </cell>
          <cell r="D323" t="str">
            <v>KUUM_464</v>
          </cell>
          <cell r="E323">
            <v>7556</v>
          </cell>
          <cell r="F323">
            <v>0</v>
          </cell>
          <cell r="G323">
            <v>591568</v>
          </cell>
          <cell r="H323">
            <v>0</v>
          </cell>
          <cell r="L323">
            <v>24.51</v>
          </cell>
          <cell r="N323">
            <v>107697.51</v>
          </cell>
          <cell r="O323">
            <v>107697.51</v>
          </cell>
          <cell r="Q323">
            <v>1386.33</v>
          </cell>
          <cell r="S323">
            <v>1422.19</v>
          </cell>
          <cell r="U323">
            <v>110506.03</v>
          </cell>
          <cell r="Y323">
            <v>17605.48</v>
          </cell>
          <cell r="AE323" t="str">
            <v>20140101KUUM_464</v>
          </cell>
        </row>
        <row r="324">
          <cell r="B324" t="str">
            <v>Apr 2014</v>
          </cell>
          <cell r="C324" t="str">
            <v>LS</v>
          </cell>
          <cell r="D324" t="str">
            <v>KUUM_465</v>
          </cell>
          <cell r="E324">
            <v>2806</v>
          </cell>
          <cell r="F324">
            <v>0</v>
          </cell>
          <cell r="G324">
            <v>422257</v>
          </cell>
          <cell r="H324">
            <v>0</v>
          </cell>
          <cell r="L324">
            <v>-75.67</v>
          </cell>
          <cell r="N324">
            <v>64013.37</v>
          </cell>
          <cell r="O324">
            <v>64013.37</v>
          </cell>
          <cell r="Q324">
            <v>945.57</v>
          </cell>
          <cell r="S324">
            <v>819.42</v>
          </cell>
          <cell r="U324">
            <v>65778.36</v>
          </cell>
          <cell r="Y324">
            <v>12711.18</v>
          </cell>
          <cell r="AE324" t="str">
            <v>20140101KUUM_465</v>
          </cell>
        </row>
        <row r="325">
          <cell r="B325" t="str">
            <v>Apr 2014</v>
          </cell>
          <cell r="C325" t="str">
            <v>RLS</v>
          </cell>
          <cell r="D325" t="str">
            <v>KUUM_466</v>
          </cell>
          <cell r="E325">
            <v>854</v>
          </cell>
          <cell r="F325">
            <v>0</v>
          </cell>
          <cell r="G325">
            <v>16723</v>
          </cell>
          <cell r="H325">
            <v>0</v>
          </cell>
          <cell r="L325">
            <v>0</v>
          </cell>
          <cell r="N325">
            <v>8215.48</v>
          </cell>
          <cell r="O325">
            <v>8215.48</v>
          </cell>
          <cell r="Q325">
            <v>39.549999999999997</v>
          </cell>
          <cell r="S325">
            <v>108.14</v>
          </cell>
          <cell r="U325">
            <v>8363.17</v>
          </cell>
          <cell r="Y325">
            <v>486.78</v>
          </cell>
          <cell r="AE325" t="str">
            <v>20140101KUUM_466</v>
          </cell>
        </row>
        <row r="326">
          <cell r="B326" t="str">
            <v>Apr 2014</v>
          </cell>
          <cell r="C326" t="str">
            <v>LS</v>
          </cell>
          <cell r="D326" t="str">
            <v>KUUM_467</v>
          </cell>
          <cell r="E326">
            <v>1355</v>
          </cell>
          <cell r="F326">
            <v>0</v>
          </cell>
          <cell r="G326">
            <v>36448</v>
          </cell>
          <cell r="H326">
            <v>0</v>
          </cell>
          <cell r="L326">
            <v>35.9</v>
          </cell>
          <cell r="N326">
            <v>14629.25</v>
          </cell>
          <cell r="O326">
            <v>14629.25</v>
          </cell>
          <cell r="Q326">
            <v>86.5</v>
          </cell>
          <cell r="S326">
            <v>193.05</v>
          </cell>
          <cell r="U326">
            <v>14908.8</v>
          </cell>
          <cell r="Y326">
            <v>1084</v>
          </cell>
          <cell r="AE326" t="str">
            <v>20140101KUUM_467</v>
          </cell>
        </row>
        <row r="327">
          <cell r="B327" t="str">
            <v>Apr 2014</v>
          </cell>
          <cell r="C327" t="str">
            <v>LS</v>
          </cell>
          <cell r="D327" t="str">
            <v>KUUM_468</v>
          </cell>
          <cell r="E327">
            <v>4025</v>
          </cell>
          <cell r="F327">
            <v>0</v>
          </cell>
          <cell r="G327">
            <v>152011</v>
          </cell>
          <cell r="H327">
            <v>0</v>
          </cell>
          <cell r="L327">
            <v>-57.28</v>
          </cell>
          <cell r="N327">
            <v>44861.72</v>
          </cell>
          <cell r="O327">
            <v>44861.719999999994</v>
          </cell>
          <cell r="Q327">
            <v>331.89</v>
          </cell>
          <cell r="S327">
            <v>562.09</v>
          </cell>
          <cell r="U327">
            <v>45755.7</v>
          </cell>
          <cell r="Y327">
            <v>4548.25</v>
          </cell>
          <cell r="AE327" t="str">
            <v>20140101KUUM_468</v>
          </cell>
        </row>
        <row r="328">
          <cell r="B328" t="str">
            <v>Apr 2014</v>
          </cell>
          <cell r="C328" t="str">
            <v>RLS</v>
          </cell>
          <cell r="D328" t="str">
            <v>KUUM_469</v>
          </cell>
          <cell r="E328">
            <v>294</v>
          </cell>
          <cell r="F328">
            <v>0</v>
          </cell>
          <cell r="G328">
            <v>33107</v>
          </cell>
          <cell r="H328">
            <v>0</v>
          </cell>
          <cell r="L328">
            <v>0.01</v>
          </cell>
          <cell r="N328">
            <v>9731.41</v>
          </cell>
          <cell r="O328">
            <v>9731.41</v>
          </cell>
          <cell r="Q328">
            <v>71.739999999999995</v>
          </cell>
          <cell r="S328">
            <v>121.3</v>
          </cell>
          <cell r="U328">
            <v>9924.4500000000007</v>
          </cell>
          <cell r="Y328">
            <v>1261.26</v>
          </cell>
          <cell r="AE328" t="str">
            <v>20140101KUUM_469</v>
          </cell>
        </row>
        <row r="329">
          <cell r="B329" t="str">
            <v>Apr 2014</v>
          </cell>
          <cell r="C329" t="str">
            <v>RLS</v>
          </cell>
          <cell r="D329" t="str">
            <v>KUUM_470</v>
          </cell>
          <cell r="E329">
            <v>61</v>
          </cell>
          <cell r="F329">
            <v>0</v>
          </cell>
          <cell r="G329">
            <v>21414</v>
          </cell>
          <cell r="H329">
            <v>0</v>
          </cell>
          <cell r="L329">
            <v>0.01</v>
          </cell>
          <cell r="N329">
            <v>3370.26</v>
          </cell>
          <cell r="O329">
            <v>3370.2599999999998</v>
          </cell>
          <cell r="Q329">
            <v>45.39</v>
          </cell>
          <cell r="S329">
            <v>41.66</v>
          </cell>
          <cell r="U329">
            <v>3457.31</v>
          </cell>
          <cell r="Y329">
            <v>635.01</v>
          </cell>
          <cell r="AE329" t="str">
            <v>20140101KUUM_470</v>
          </cell>
        </row>
        <row r="330">
          <cell r="B330" t="str">
            <v>Apr 2014</v>
          </cell>
          <cell r="C330" t="str">
            <v>RLS</v>
          </cell>
          <cell r="D330" t="str">
            <v>KUUM_471</v>
          </cell>
          <cell r="E330">
            <v>3666</v>
          </cell>
          <cell r="F330">
            <v>0</v>
          </cell>
          <cell r="G330">
            <v>72368</v>
          </cell>
          <cell r="H330">
            <v>0</v>
          </cell>
          <cell r="L330">
            <v>0</v>
          </cell>
          <cell r="N330">
            <v>38456.339999999997</v>
          </cell>
          <cell r="O330">
            <v>38456.339999999997</v>
          </cell>
          <cell r="Q330">
            <v>225.69</v>
          </cell>
          <cell r="S330">
            <v>618.71</v>
          </cell>
          <cell r="U330">
            <v>39300.74</v>
          </cell>
          <cell r="Y330">
            <v>2089.62</v>
          </cell>
          <cell r="AE330" t="str">
            <v>20140101KUUM_471</v>
          </cell>
        </row>
        <row r="331">
          <cell r="B331" t="str">
            <v>Apr 2014</v>
          </cell>
          <cell r="C331" t="str">
            <v>LS</v>
          </cell>
          <cell r="D331" t="str">
            <v>KUUM_472</v>
          </cell>
          <cell r="E331">
            <v>8743</v>
          </cell>
          <cell r="F331">
            <v>0</v>
          </cell>
          <cell r="G331">
            <v>238682</v>
          </cell>
          <cell r="H331">
            <v>0</v>
          </cell>
          <cell r="L331">
            <v>-4.8</v>
          </cell>
          <cell r="N331">
            <v>101414</v>
          </cell>
          <cell r="O331">
            <v>101414</v>
          </cell>
          <cell r="Q331">
            <v>742.27</v>
          </cell>
          <cell r="S331">
            <v>1630.51</v>
          </cell>
          <cell r="U331">
            <v>103786.78</v>
          </cell>
          <cell r="Y331">
            <v>6994.4</v>
          </cell>
          <cell r="AE331" t="str">
            <v>20140101KUUM_472</v>
          </cell>
        </row>
        <row r="332">
          <cell r="B332" t="str">
            <v>Apr 2014</v>
          </cell>
          <cell r="C332" t="str">
            <v>LS</v>
          </cell>
          <cell r="D332" t="str">
            <v>KUUM_473</v>
          </cell>
          <cell r="E332">
            <v>3396</v>
          </cell>
          <cell r="F332">
            <v>0</v>
          </cell>
          <cell r="G332">
            <v>129425</v>
          </cell>
          <cell r="H332">
            <v>0</v>
          </cell>
          <cell r="L332">
            <v>-53.44</v>
          </cell>
          <cell r="N332">
            <v>41717.360000000001</v>
          </cell>
          <cell r="O332">
            <v>41717.360000000001</v>
          </cell>
          <cell r="Q332">
            <v>354.88</v>
          </cell>
          <cell r="S332">
            <v>611.34</v>
          </cell>
          <cell r="U332">
            <v>42683.58</v>
          </cell>
          <cell r="Y332">
            <v>3837.48</v>
          </cell>
          <cell r="AE332" t="str">
            <v>20140101KUUM_473</v>
          </cell>
        </row>
        <row r="333">
          <cell r="B333" t="str">
            <v>Apr 2014</v>
          </cell>
          <cell r="C333" t="str">
            <v>LS</v>
          </cell>
          <cell r="D333" t="str">
            <v>KUUM_474</v>
          </cell>
          <cell r="E333">
            <v>5167</v>
          </cell>
          <cell r="F333">
            <v>0</v>
          </cell>
          <cell r="G333">
            <v>407328</v>
          </cell>
          <cell r="H333">
            <v>0</v>
          </cell>
          <cell r="L333">
            <v>0</v>
          </cell>
          <cell r="N333">
            <v>89957.47</v>
          </cell>
          <cell r="O333">
            <v>89957.47</v>
          </cell>
          <cell r="Q333">
            <v>1114.51</v>
          </cell>
          <cell r="S333">
            <v>1322.3</v>
          </cell>
          <cell r="U333">
            <v>92394.28</v>
          </cell>
          <cell r="Y333">
            <v>12039.11</v>
          </cell>
          <cell r="AE333" t="str">
            <v>20140101KUUM_474</v>
          </cell>
        </row>
        <row r="334">
          <cell r="B334" t="str">
            <v>Apr 2014</v>
          </cell>
          <cell r="C334" t="str">
            <v>LS</v>
          </cell>
          <cell r="D334" t="str">
            <v>KUUM_475</v>
          </cell>
          <cell r="E334">
            <v>515</v>
          </cell>
          <cell r="F334">
            <v>0</v>
          </cell>
          <cell r="G334">
            <v>78787</v>
          </cell>
          <cell r="H334">
            <v>0</v>
          </cell>
          <cell r="L334">
            <v>0</v>
          </cell>
          <cell r="N334">
            <v>12596.9</v>
          </cell>
          <cell r="O334">
            <v>12596.9</v>
          </cell>
          <cell r="Q334">
            <v>216.23</v>
          </cell>
          <cell r="S334">
            <v>186.26</v>
          </cell>
          <cell r="U334">
            <v>12999.39</v>
          </cell>
          <cell r="Y334">
            <v>2332.9499999999998</v>
          </cell>
          <cell r="AE334" t="str">
            <v>20140101KUUM_475</v>
          </cell>
        </row>
        <row r="335">
          <cell r="B335" t="str">
            <v>Apr 2014</v>
          </cell>
          <cell r="C335" t="str">
            <v>LS</v>
          </cell>
          <cell r="D335" t="str">
            <v>KUUM_476</v>
          </cell>
          <cell r="E335">
            <v>4569</v>
          </cell>
          <cell r="F335">
            <v>0</v>
          </cell>
          <cell r="G335">
            <v>124839</v>
          </cell>
          <cell r="H335">
            <v>0</v>
          </cell>
          <cell r="L335">
            <v>-16.8</v>
          </cell>
          <cell r="N335">
            <v>76696.709999999992</v>
          </cell>
          <cell r="O335">
            <v>76696.709999999992</v>
          </cell>
          <cell r="Q335">
            <v>388.97</v>
          </cell>
          <cell r="S335">
            <v>1232.0999999999999</v>
          </cell>
          <cell r="U335">
            <v>78317.78</v>
          </cell>
          <cell r="Y335">
            <v>3655.2</v>
          </cell>
          <cell r="AE335" t="str">
            <v>20140101KUUM_476</v>
          </cell>
        </row>
        <row r="336">
          <cell r="B336" t="str">
            <v>Apr 2014</v>
          </cell>
          <cell r="C336" t="str">
            <v>LS</v>
          </cell>
          <cell r="D336" t="str">
            <v>KUUM_477</v>
          </cell>
          <cell r="E336">
            <v>1063</v>
          </cell>
          <cell r="F336">
            <v>0</v>
          </cell>
          <cell r="G336">
            <v>40276</v>
          </cell>
          <cell r="H336">
            <v>0</v>
          </cell>
          <cell r="L336">
            <v>-86.5</v>
          </cell>
          <cell r="N336">
            <v>22204.61</v>
          </cell>
          <cell r="O336">
            <v>22204.61</v>
          </cell>
          <cell r="Q336">
            <v>106.74</v>
          </cell>
          <cell r="S336">
            <v>316.17</v>
          </cell>
          <cell r="U336">
            <v>22627.52</v>
          </cell>
          <cell r="Y336">
            <v>1201.19</v>
          </cell>
          <cell r="AE336" t="str">
            <v>20140101KUUM_477</v>
          </cell>
        </row>
        <row r="337">
          <cell r="B337" t="str">
            <v>Apr 2014</v>
          </cell>
          <cell r="C337" t="str">
            <v>LS</v>
          </cell>
          <cell r="D337" t="str">
            <v>KUUM_478</v>
          </cell>
          <cell r="E337">
            <v>1411</v>
          </cell>
          <cell r="F337">
            <v>0</v>
          </cell>
          <cell r="G337">
            <v>111040</v>
          </cell>
          <cell r="H337">
            <v>24</v>
          </cell>
          <cell r="L337">
            <v>150.22</v>
          </cell>
          <cell r="N337">
            <v>38049.68</v>
          </cell>
          <cell r="O337">
            <v>38049.68</v>
          </cell>
          <cell r="Q337">
            <v>284.08999999999997</v>
          </cell>
          <cell r="S337">
            <v>530.62</v>
          </cell>
          <cell r="U337">
            <v>38864.39</v>
          </cell>
          <cell r="Y337">
            <v>3287.63</v>
          </cell>
          <cell r="AE337" t="str">
            <v>20140101KUUM_478</v>
          </cell>
        </row>
        <row r="338">
          <cell r="B338" t="str">
            <v>Apr 2014</v>
          </cell>
          <cell r="C338" t="str">
            <v>LS</v>
          </cell>
          <cell r="D338" t="str">
            <v>KUUM_479</v>
          </cell>
          <cell r="E338">
            <v>951</v>
          </cell>
          <cell r="F338">
            <v>0</v>
          </cell>
          <cell r="G338">
            <v>142763</v>
          </cell>
          <cell r="H338">
            <v>-1313</v>
          </cell>
          <cell r="L338">
            <v>-30.91</v>
          </cell>
          <cell r="N338">
            <v>31466.21</v>
          </cell>
          <cell r="O338">
            <v>31466.210000000003</v>
          </cell>
          <cell r="Q338">
            <v>321.07</v>
          </cell>
          <cell r="S338">
            <v>402.69</v>
          </cell>
          <cell r="U338">
            <v>32189.97</v>
          </cell>
          <cell r="Y338">
            <v>4308.03</v>
          </cell>
          <cell r="AE338" t="str">
            <v>20140101KUUM_479</v>
          </cell>
        </row>
        <row r="339">
          <cell r="B339" t="str">
            <v>Apr 2014</v>
          </cell>
          <cell r="C339" t="str">
            <v>LS</v>
          </cell>
          <cell r="D339" t="str">
            <v>KUUM_486</v>
          </cell>
          <cell r="E339">
            <v>0</v>
          </cell>
          <cell r="F339">
            <v>0</v>
          </cell>
          <cell r="G339">
            <v>0</v>
          </cell>
          <cell r="H339">
            <v>2841</v>
          </cell>
          <cell r="L339">
            <v>0</v>
          </cell>
          <cell r="N339">
            <v>0</v>
          </cell>
          <cell r="O339">
            <v>0</v>
          </cell>
          <cell r="Q339">
            <v>0</v>
          </cell>
          <cell r="S339">
            <v>0</v>
          </cell>
          <cell r="U339">
            <v>0</v>
          </cell>
          <cell r="Y339">
            <v>0</v>
          </cell>
          <cell r="AE339" t="str">
            <v>20140101KUUM_486</v>
          </cell>
        </row>
        <row r="340">
          <cell r="B340" t="str">
            <v>Apr 2014</v>
          </cell>
          <cell r="C340" t="str">
            <v>LS</v>
          </cell>
          <cell r="D340" t="str">
            <v>KUUM_487</v>
          </cell>
          <cell r="E340">
            <v>11147</v>
          </cell>
          <cell r="F340">
            <v>0</v>
          </cell>
          <cell r="G340">
            <v>413239</v>
          </cell>
          <cell r="H340">
            <v>0</v>
          </cell>
          <cell r="L340">
            <v>-708.2</v>
          </cell>
          <cell r="N340">
            <v>99614.8</v>
          </cell>
          <cell r="O340">
            <v>99614.8</v>
          </cell>
          <cell r="Q340">
            <v>886.89</v>
          </cell>
          <cell r="S340">
            <v>1219.54</v>
          </cell>
          <cell r="U340">
            <v>101721.23</v>
          </cell>
          <cell r="Y340">
            <v>12596.11</v>
          </cell>
          <cell r="AE340" t="str">
            <v>20140101KUUM_487</v>
          </cell>
        </row>
        <row r="341">
          <cell r="B341" t="str">
            <v>Apr 2014</v>
          </cell>
          <cell r="C341" t="str">
            <v>LS</v>
          </cell>
          <cell r="D341" t="str">
            <v>KUUM_488</v>
          </cell>
          <cell r="E341">
            <v>6632</v>
          </cell>
          <cell r="F341">
            <v>-16</v>
          </cell>
          <cell r="G341">
            <v>512569</v>
          </cell>
          <cell r="H341">
            <v>0</v>
          </cell>
          <cell r="L341">
            <v>232.84</v>
          </cell>
          <cell r="N341">
            <v>90475.08</v>
          </cell>
          <cell r="O341">
            <v>90475.08</v>
          </cell>
          <cell r="Q341">
            <v>1103.8499999999999</v>
          </cell>
          <cell r="S341">
            <v>1145.54</v>
          </cell>
          <cell r="U341">
            <v>92724.47</v>
          </cell>
          <cell r="Y341">
            <v>15452.56</v>
          </cell>
          <cell r="AE341" t="str">
            <v>20140101KUUM_488</v>
          </cell>
        </row>
        <row r="342">
          <cell r="B342" t="str">
            <v>Apr 2014</v>
          </cell>
          <cell r="C342" t="str">
            <v>LS</v>
          </cell>
          <cell r="D342" t="str">
            <v>KUUM_489</v>
          </cell>
          <cell r="E342">
            <v>8347</v>
          </cell>
          <cell r="F342">
            <v>18</v>
          </cell>
          <cell r="G342">
            <v>1248214</v>
          </cell>
          <cell r="H342">
            <v>0</v>
          </cell>
          <cell r="L342">
            <v>-1371.68</v>
          </cell>
          <cell r="N342">
            <v>161411.22</v>
          </cell>
          <cell r="O342">
            <v>161411.22</v>
          </cell>
          <cell r="Q342">
            <v>2735.78</v>
          </cell>
          <cell r="S342">
            <v>2023.45</v>
          </cell>
          <cell r="U342">
            <v>166170.45000000001</v>
          </cell>
          <cell r="Y342">
            <v>37811.910000000003</v>
          </cell>
          <cell r="AE342" t="str">
            <v>20140101KUUM_489</v>
          </cell>
        </row>
        <row r="343">
          <cell r="B343" t="str">
            <v>Apr 2014</v>
          </cell>
          <cell r="C343" t="str">
            <v>LS</v>
          </cell>
          <cell r="D343" t="str">
            <v>KUUM_490</v>
          </cell>
          <cell r="E343">
            <v>58</v>
          </cell>
          <cell r="F343">
            <v>0</v>
          </cell>
          <cell r="G343">
            <v>2776</v>
          </cell>
          <cell r="H343">
            <v>0</v>
          </cell>
          <cell r="L343">
            <v>0</v>
          </cell>
          <cell r="N343">
            <v>897.26</v>
          </cell>
          <cell r="O343">
            <v>897.26</v>
          </cell>
          <cell r="Q343">
            <v>5.95</v>
          </cell>
          <cell r="S343">
            <v>11.08</v>
          </cell>
          <cell r="U343">
            <v>914.29</v>
          </cell>
          <cell r="Y343">
            <v>114.26</v>
          </cell>
          <cell r="AE343" t="str">
            <v>20140101KUUM_490</v>
          </cell>
        </row>
        <row r="344">
          <cell r="B344" t="str">
            <v>Apr 2014</v>
          </cell>
          <cell r="C344" t="str">
            <v>LS</v>
          </cell>
          <cell r="D344" t="str">
            <v>KUUM_491</v>
          </cell>
          <cell r="E344">
            <v>301</v>
          </cell>
          <cell r="F344">
            <v>0</v>
          </cell>
          <cell r="G344">
            <v>33049</v>
          </cell>
          <cell r="H344">
            <v>0</v>
          </cell>
          <cell r="L344">
            <v>-70.180000000000007</v>
          </cell>
          <cell r="N344">
            <v>6530.75</v>
          </cell>
          <cell r="O344">
            <v>6530.75</v>
          </cell>
          <cell r="Q344">
            <v>71.12</v>
          </cell>
          <cell r="S344">
            <v>81.209999999999994</v>
          </cell>
          <cell r="U344">
            <v>6683.08</v>
          </cell>
          <cell r="Y344">
            <v>1291.29</v>
          </cell>
          <cell r="AE344" t="str">
            <v>20140101KUUM_491</v>
          </cell>
        </row>
        <row r="345">
          <cell r="B345" t="str">
            <v>Apr 2014</v>
          </cell>
          <cell r="C345" t="str">
            <v>LS</v>
          </cell>
          <cell r="D345" t="str">
            <v>KUUM_492</v>
          </cell>
          <cell r="E345">
            <v>2</v>
          </cell>
          <cell r="F345">
            <v>0</v>
          </cell>
          <cell r="G345">
            <v>51</v>
          </cell>
          <cell r="H345">
            <v>0</v>
          </cell>
          <cell r="L345">
            <v>0</v>
          </cell>
          <cell r="N345">
            <v>30.74</v>
          </cell>
          <cell r="O345">
            <v>30.740000000000002</v>
          </cell>
          <cell r="Q345">
            <v>0.11</v>
          </cell>
          <cell r="S345">
            <v>0.38</v>
          </cell>
          <cell r="U345">
            <v>31.23</v>
          </cell>
          <cell r="Y345">
            <v>1.6</v>
          </cell>
          <cell r="AE345" t="str">
            <v>20140101KUUM_492</v>
          </cell>
        </row>
        <row r="346">
          <cell r="B346" t="str">
            <v>Apr 2014</v>
          </cell>
          <cell r="C346" t="str">
            <v>LS</v>
          </cell>
          <cell r="D346" t="str">
            <v>KUUM_493</v>
          </cell>
          <cell r="E346">
            <v>43</v>
          </cell>
          <cell r="F346">
            <v>0</v>
          </cell>
          <cell r="G346">
            <v>14638</v>
          </cell>
          <cell r="H346">
            <v>0</v>
          </cell>
          <cell r="L346">
            <v>0</v>
          </cell>
          <cell r="N346">
            <v>1965.1</v>
          </cell>
          <cell r="O346">
            <v>1965.1</v>
          </cell>
          <cell r="Q346">
            <v>31.03</v>
          </cell>
          <cell r="S346">
            <v>24.38</v>
          </cell>
          <cell r="U346">
            <v>2020.51</v>
          </cell>
          <cell r="Y346">
            <v>447.63</v>
          </cell>
          <cell r="AE346" t="str">
            <v>20140101KUUM_493</v>
          </cell>
        </row>
        <row r="347">
          <cell r="B347" t="str">
            <v>Apr 2014</v>
          </cell>
          <cell r="C347" t="str">
            <v>LS</v>
          </cell>
          <cell r="D347" t="str">
            <v>KUUM_494</v>
          </cell>
          <cell r="E347">
            <v>168</v>
          </cell>
          <cell r="F347">
            <v>0</v>
          </cell>
          <cell r="G347">
            <v>8108</v>
          </cell>
          <cell r="H347">
            <v>0</v>
          </cell>
          <cell r="L347">
            <v>0</v>
          </cell>
          <cell r="N347">
            <v>4766.16</v>
          </cell>
          <cell r="O347">
            <v>4766.16</v>
          </cell>
          <cell r="Q347">
            <v>18.809999999999999</v>
          </cell>
          <cell r="S347">
            <v>61.73</v>
          </cell>
          <cell r="U347">
            <v>4846.7</v>
          </cell>
          <cell r="Y347">
            <v>330.96</v>
          </cell>
          <cell r="AE347" t="str">
            <v>20140101KUUM_494</v>
          </cell>
        </row>
        <row r="348">
          <cell r="B348" t="str">
            <v>Apr 2014</v>
          </cell>
          <cell r="C348" t="str">
            <v>LS</v>
          </cell>
          <cell r="D348" t="str">
            <v>KUUM_495</v>
          </cell>
          <cell r="E348">
            <v>620</v>
          </cell>
          <cell r="F348">
            <v>0</v>
          </cell>
          <cell r="G348">
            <v>68106</v>
          </cell>
          <cell r="H348">
            <v>0</v>
          </cell>
          <cell r="L348">
            <v>-185.76</v>
          </cell>
          <cell r="N348">
            <v>21408.84</v>
          </cell>
          <cell r="O348">
            <v>21408.84</v>
          </cell>
          <cell r="Q348">
            <v>145.09</v>
          </cell>
          <cell r="S348">
            <v>263.81</v>
          </cell>
          <cell r="U348">
            <v>21817.74</v>
          </cell>
          <cell r="Y348">
            <v>2659.8</v>
          </cell>
          <cell r="AE348" t="str">
            <v>20140101KUUM_495</v>
          </cell>
        </row>
        <row r="349">
          <cell r="B349" t="str">
            <v>Apr 2014</v>
          </cell>
          <cell r="C349" t="str">
            <v>LS</v>
          </cell>
          <cell r="D349" t="str">
            <v>KUUM_496</v>
          </cell>
          <cell r="E349">
            <v>157</v>
          </cell>
          <cell r="F349">
            <v>0</v>
          </cell>
          <cell r="G349">
            <v>52698</v>
          </cell>
          <cell r="H349">
            <v>0</v>
          </cell>
          <cell r="L349">
            <v>-121.09</v>
          </cell>
          <cell r="N349">
            <v>9077.5399999999991</v>
          </cell>
          <cell r="O349">
            <v>9077.5400000000009</v>
          </cell>
          <cell r="Q349">
            <v>115.14</v>
          </cell>
          <cell r="S349">
            <v>114.35</v>
          </cell>
          <cell r="U349">
            <v>9307.0300000000007</v>
          </cell>
          <cell r="Y349">
            <v>1634.37</v>
          </cell>
          <cell r="AE349" t="str">
            <v>20140101KUUM_496</v>
          </cell>
        </row>
        <row r="350">
          <cell r="B350" t="str">
            <v>Apr 2014</v>
          </cell>
          <cell r="C350" t="str">
            <v>LS</v>
          </cell>
          <cell r="D350" t="str">
            <v>KUUM_497</v>
          </cell>
          <cell r="E350">
            <v>10</v>
          </cell>
          <cell r="F350">
            <v>0</v>
          </cell>
          <cell r="G350">
            <v>369</v>
          </cell>
          <cell r="H350">
            <v>0</v>
          </cell>
          <cell r="L350">
            <v>0</v>
          </cell>
          <cell r="N350">
            <v>153.5</v>
          </cell>
          <cell r="O350">
            <v>153.5</v>
          </cell>
          <cell r="Q350">
            <v>0.78</v>
          </cell>
          <cell r="S350">
            <v>1.89</v>
          </cell>
          <cell r="U350">
            <v>156.16999999999999</v>
          </cell>
          <cell r="Y350">
            <v>11.3</v>
          </cell>
          <cell r="AE350" t="str">
            <v>20140101KUUM_497</v>
          </cell>
        </row>
        <row r="351">
          <cell r="B351" t="str">
            <v>Apr 2014</v>
          </cell>
          <cell r="C351" t="str">
            <v>LS</v>
          </cell>
          <cell r="D351" t="str">
            <v>KUUM_498</v>
          </cell>
          <cell r="E351">
            <v>12</v>
          </cell>
          <cell r="F351">
            <v>0</v>
          </cell>
          <cell r="G351">
            <v>573</v>
          </cell>
          <cell r="H351">
            <v>0</v>
          </cell>
          <cell r="L351">
            <v>0</v>
          </cell>
          <cell r="N351">
            <v>212.64</v>
          </cell>
          <cell r="O351">
            <v>212.64000000000001</v>
          </cell>
          <cell r="Q351">
            <v>3.38</v>
          </cell>
          <cell r="S351">
            <v>-2.46</v>
          </cell>
          <cell r="U351">
            <v>213.56</v>
          </cell>
          <cell r="Y351">
            <v>27.96</v>
          </cell>
          <cell r="AE351" t="str">
            <v>20140101KUUM_498</v>
          </cell>
        </row>
        <row r="352">
          <cell r="B352" t="str">
            <v>Apr 2014</v>
          </cell>
          <cell r="C352" t="str">
            <v>LS</v>
          </cell>
          <cell r="D352" t="str">
            <v>KUUM_499</v>
          </cell>
          <cell r="E352">
            <v>24</v>
          </cell>
          <cell r="F352">
            <v>0</v>
          </cell>
          <cell r="G352">
            <v>3606</v>
          </cell>
          <cell r="H352">
            <v>0</v>
          </cell>
          <cell r="L352">
            <v>0</v>
          </cell>
          <cell r="N352">
            <v>515.76</v>
          </cell>
          <cell r="O352">
            <v>515.76</v>
          </cell>
          <cell r="Q352">
            <v>7.82</v>
          </cell>
          <cell r="S352">
            <v>6.48</v>
          </cell>
          <cell r="U352">
            <v>530.05999999999995</v>
          </cell>
          <cell r="Y352">
            <v>108.72</v>
          </cell>
          <cell r="AE352" t="str">
            <v>20140101KUUM_499</v>
          </cell>
        </row>
        <row r="353">
          <cell r="B353" t="str">
            <v>Apr 2014</v>
          </cell>
          <cell r="C353" t="str">
            <v>ODL</v>
          </cell>
          <cell r="D353" t="str">
            <v>ODL</v>
          </cell>
          <cell r="E353">
            <v>0</v>
          </cell>
          <cell r="F353">
            <v>0</v>
          </cell>
          <cell r="G353">
            <v>0</v>
          </cell>
          <cell r="H353">
            <v>0</v>
          </cell>
          <cell r="L353">
            <v>0</v>
          </cell>
          <cell r="N353">
            <v>0</v>
          </cell>
          <cell r="O353">
            <v>0</v>
          </cell>
          <cell r="Q353">
            <v>0</v>
          </cell>
          <cell r="S353">
            <v>0</v>
          </cell>
          <cell r="U353">
            <v>0</v>
          </cell>
          <cell r="Y353">
            <v>0</v>
          </cell>
          <cell r="AE353" t="str">
            <v>20140101ODL</v>
          </cell>
        </row>
        <row r="354">
          <cell r="B354" t="str">
            <v>May 2014</v>
          </cell>
          <cell r="C354" t="str">
            <v>LS</v>
          </cell>
          <cell r="D354" t="str">
            <v>KUUM_300</v>
          </cell>
          <cell r="E354">
            <v>0</v>
          </cell>
          <cell r="F354">
            <v>0</v>
          </cell>
          <cell r="G354">
            <v>0</v>
          </cell>
          <cell r="L354">
            <v>0</v>
          </cell>
          <cell r="N354">
            <v>0</v>
          </cell>
          <cell r="O354">
            <v>0</v>
          </cell>
          <cell r="Q354">
            <v>0</v>
          </cell>
          <cell r="S354">
            <v>0</v>
          </cell>
          <cell r="U354">
            <v>0</v>
          </cell>
          <cell r="Y354">
            <v>0</v>
          </cell>
          <cell r="AE354" t="str">
            <v>20140101KUUM_300</v>
          </cell>
        </row>
        <row r="355">
          <cell r="B355" t="str">
            <v>May 2014</v>
          </cell>
          <cell r="C355" t="str">
            <v>LS</v>
          </cell>
          <cell r="D355" t="str">
            <v>KUUM_301</v>
          </cell>
          <cell r="E355">
            <v>0</v>
          </cell>
          <cell r="F355">
            <v>0</v>
          </cell>
          <cell r="G355">
            <v>0</v>
          </cell>
          <cell r="L355">
            <v>0</v>
          </cell>
          <cell r="N355">
            <v>0</v>
          </cell>
          <cell r="O355">
            <v>0</v>
          </cell>
          <cell r="Q355">
            <v>0</v>
          </cell>
          <cell r="S355">
            <v>0</v>
          </cell>
          <cell r="U355">
            <v>0</v>
          </cell>
          <cell r="Y355">
            <v>0</v>
          </cell>
          <cell r="AE355" t="str">
            <v>20140101KUUM_301</v>
          </cell>
        </row>
        <row r="356">
          <cell r="B356" t="str">
            <v>May 2014</v>
          </cell>
          <cell r="C356" t="str">
            <v>LS</v>
          </cell>
          <cell r="D356" t="str">
            <v>KUUM_360</v>
          </cell>
          <cell r="E356">
            <v>178</v>
          </cell>
          <cell r="F356">
            <v>0</v>
          </cell>
          <cell r="G356">
            <v>9961</v>
          </cell>
          <cell r="H356">
            <v>0</v>
          </cell>
          <cell r="L356">
            <v>0</v>
          </cell>
          <cell r="N356">
            <v>9848.74</v>
          </cell>
          <cell r="O356">
            <v>9848.74</v>
          </cell>
          <cell r="Q356">
            <v>21.42</v>
          </cell>
          <cell r="S356">
            <v>122.57</v>
          </cell>
          <cell r="U356">
            <v>9992.73</v>
          </cell>
          <cell r="Y356">
            <v>311.5</v>
          </cell>
          <cell r="AE356" t="str">
            <v>20140101KUUM_360</v>
          </cell>
        </row>
        <row r="357">
          <cell r="B357" t="str">
            <v>May 2014</v>
          </cell>
          <cell r="C357" t="str">
            <v>LS</v>
          </cell>
          <cell r="D357" t="str">
            <v>KUUM_361</v>
          </cell>
          <cell r="E357">
            <v>25</v>
          </cell>
          <cell r="F357">
            <v>0</v>
          </cell>
          <cell r="G357">
            <v>1427</v>
          </cell>
          <cell r="H357">
            <v>0</v>
          </cell>
          <cell r="L357">
            <v>0</v>
          </cell>
          <cell r="N357">
            <v>2079</v>
          </cell>
          <cell r="O357">
            <v>2079</v>
          </cell>
          <cell r="Q357">
            <v>3.04</v>
          </cell>
          <cell r="S357">
            <v>25.38</v>
          </cell>
          <cell r="U357">
            <v>2107.42</v>
          </cell>
          <cell r="Y357">
            <v>43.75</v>
          </cell>
          <cell r="AE357" t="str">
            <v>20140101KUUM_361</v>
          </cell>
        </row>
        <row r="358">
          <cell r="B358" t="str">
            <v>May 2014</v>
          </cell>
          <cell r="C358" t="str">
            <v>LS</v>
          </cell>
          <cell r="D358" t="str">
            <v>KUUM_362</v>
          </cell>
          <cell r="E358">
            <v>43</v>
          </cell>
          <cell r="F358">
            <v>0</v>
          </cell>
          <cell r="G358">
            <v>1982</v>
          </cell>
          <cell r="H358">
            <v>0</v>
          </cell>
          <cell r="L358">
            <v>0</v>
          </cell>
          <cell r="N358">
            <v>2570.54</v>
          </cell>
          <cell r="O358">
            <v>2570.54</v>
          </cell>
          <cell r="Q358">
            <v>4.2</v>
          </cell>
          <cell r="S358">
            <v>31.41</v>
          </cell>
          <cell r="U358">
            <v>2606.15</v>
          </cell>
          <cell r="Y358">
            <v>75.25</v>
          </cell>
          <cell r="AE358" t="str">
            <v>20140101KUUM_362</v>
          </cell>
        </row>
        <row r="359">
          <cell r="B359" t="str">
            <v>May 2014</v>
          </cell>
          <cell r="C359" t="str">
            <v>LS</v>
          </cell>
          <cell r="D359" t="str">
            <v>KUUM_363</v>
          </cell>
          <cell r="E359">
            <v>5</v>
          </cell>
          <cell r="F359">
            <v>0</v>
          </cell>
          <cell r="G359">
            <v>295</v>
          </cell>
          <cell r="H359">
            <v>0</v>
          </cell>
          <cell r="L359">
            <v>0</v>
          </cell>
          <cell r="N359">
            <v>308.75</v>
          </cell>
          <cell r="O359">
            <v>308.75</v>
          </cell>
          <cell r="Q359">
            <v>0.63</v>
          </cell>
          <cell r="S359">
            <v>3.77</v>
          </cell>
          <cell r="U359">
            <v>313.14999999999998</v>
          </cell>
          <cell r="Y359">
            <v>8.75</v>
          </cell>
          <cell r="AE359" t="str">
            <v>20140101KUUM_363</v>
          </cell>
        </row>
        <row r="360">
          <cell r="B360" t="str">
            <v>May 2014</v>
          </cell>
          <cell r="C360" t="str">
            <v>LS</v>
          </cell>
          <cell r="D360" t="str">
            <v>KUUM_364</v>
          </cell>
          <cell r="E360">
            <v>1</v>
          </cell>
          <cell r="F360">
            <v>0</v>
          </cell>
          <cell r="G360">
            <v>59</v>
          </cell>
          <cell r="H360">
            <v>0</v>
          </cell>
          <cell r="L360">
            <v>0</v>
          </cell>
          <cell r="N360">
            <v>63.11</v>
          </cell>
          <cell r="O360">
            <v>63.110000000000007</v>
          </cell>
          <cell r="Q360">
            <v>0.13</v>
          </cell>
          <cell r="S360">
            <v>0.77</v>
          </cell>
          <cell r="U360">
            <v>64.010000000000005</v>
          </cell>
          <cell r="Y360">
            <v>1.75</v>
          </cell>
          <cell r="AE360" t="str">
            <v>20140101KUUM_364</v>
          </cell>
        </row>
        <row r="361">
          <cell r="B361" t="str">
            <v>May 2014</v>
          </cell>
          <cell r="C361" t="str">
            <v>LS</v>
          </cell>
          <cell r="D361" t="str">
            <v>KUUM_365</v>
          </cell>
          <cell r="E361">
            <v>5</v>
          </cell>
          <cell r="F361">
            <v>0</v>
          </cell>
          <cell r="G361">
            <v>292</v>
          </cell>
          <cell r="H361">
            <v>0</v>
          </cell>
          <cell r="L361">
            <v>0</v>
          </cell>
          <cell r="N361">
            <v>404.7</v>
          </cell>
          <cell r="O361">
            <v>404.7</v>
          </cell>
          <cell r="Q361">
            <v>0.62</v>
          </cell>
          <cell r="S361">
            <v>4.95</v>
          </cell>
          <cell r="U361">
            <v>410.27</v>
          </cell>
          <cell r="Y361">
            <v>8.75</v>
          </cell>
          <cell r="AE361" t="str">
            <v>20140101KUUM_365</v>
          </cell>
        </row>
        <row r="362">
          <cell r="B362" t="str">
            <v>May 2014</v>
          </cell>
          <cell r="C362" t="str">
            <v>LS</v>
          </cell>
          <cell r="D362" t="str">
            <v>KUUM_366</v>
          </cell>
          <cell r="E362">
            <v>9</v>
          </cell>
          <cell r="F362">
            <v>0</v>
          </cell>
          <cell r="G362">
            <v>528</v>
          </cell>
          <cell r="H362">
            <v>0</v>
          </cell>
          <cell r="L362">
            <v>0</v>
          </cell>
          <cell r="N362">
            <v>710.73</v>
          </cell>
          <cell r="O362">
            <v>710.73</v>
          </cell>
          <cell r="Q362">
            <v>1.1200000000000001</v>
          </cell>
          <cell r="S362">
            <v>8.68</v>
          </cell>
          <cell r="U362">
            <v>720.53</v>
          </cell>
          <cell r="Y362">
            <v>15.75</v>
          </cell>
          <cell r="AE362" t="str">
            <v>20140101KUUM_366</v>
          </cell>
        </row>
        <row r="363">
          <cell r="B363" t="str">
            <v>May 2014</v>
          </cell>
          <cell r="C363" t="str">
            <v>LS</v>
          </cell>
          <cell r="D363" t="str">
            <v>KUUM_367</v>
          </cell>
          <cell r="E363">
            <v>25</v>
          </cell>
          <cell r="F363">
            <v>0</v>
          </cell>
          <cell r="G363">
            <v>1420</v>
          </cell>
          <cell r="H363">
            <v>0</v>
          </cell>
          <cell r="L363">
            <v>0</v>
          </cell>
          <cell r="N363">
            <v>1530.75</v>
          </cell>
          <cell r="O363">
            <v>1530.75</v>
          </cell>
          <cell r="Q363">
            <v>3.02</v>
          </cell>
          <cell r="S363">
            <v>18.71</v>
          </cell>
          <cell r="U363">
            <v>1552.48</v>
          </cell>
          <cell r="Y363">
            <v>43.75</v>
          </cell>
          <cell r="AE363" t="str">
            <v>20140101KUUM_367</v>
          </cell>
        </row>
        <row r="364">
          <cell r="B364" t="str">
            <v>May 2014</v>
          </cell>
          <cell r="C364" t="str">
            <v>LS</v>
          </cell>
          <cell r="D364" t="str">
            <v>KUUM_368</v>
          </cell>
          <cell r="E364">
            <v>1</v>
          </cell>
          <cell r="F364">
            <v>0</v>
          </cell>
          <cell r="G364">
            <v>59</v>
          </cell>
          <cell r="H364">
            <v>0</v>
          </cell>
          <cell r="L364">
            <v>0</v>
          </cell>
          <cell r="N364">
            <v>56.69</v>
          </cell>
          <cell r="O364">
            <v>56.69</v>
          </cell>
          <cell r="Q364">
            <v>0.13</v>
          </cell>
          <cell r="S364">
            <v>0.69</v>
          </cell>
          <cell r="U364">
            <v>57.51</v>
          </cell>
          <cell r="Y364">
            <v>1.75</v>
          </cell>
          <cell r="AE364" t="str">
            <v>20140101KUUM_368</v>
          </cell>
        </row>
        <row r="365">
          <cell r="B365" t="str">
            <v>May 2014</v>
          </cell>
          <cell r="C365" t="str">
            <v>LS</v>
          </cell>
          <cell r="D365" t="str">
            <v>KUUM_370</v>
          </cell>
          <cell r="E365">
            <v>15</v>
          </cell>
          <cell r="F365">
            <v>0</v>
          </cell>
          <cell r="G365">
            <v>860</v>
          </cell>
          <cell r="H365">
            <v>0</v>
          </cell>
          <cell r="L365">
            <v>0</v>
          </cell>
          <cell r="N365">
            <v>1117.8</v>
          </cell>
          <cell r="O365">
            <v>1117.8000000000002</v>
          </cell>
          <cell r="Q365">
            <v>1.97</v>
          </cell>
          <cell r="S365">
            <v>15.11</v>
          </cell>
          <cell r="U365">
            <v>1134.8800000000001</v>
          </cell>
          <cell r="Y365">
            <v>26.25</v>
          </cell>
          <cell r="AE365" t="str">
            <v>20140101KUUM_370</v>
          </cell>
        </row>
        <row r="366">
          <cell r="B366" t="str">
            <v>May 2014</v>
          </cell>
          <cell r="C366" t="str">
            <v>LS</v>
          </cell>
          <cell r="D366" t="str">
            <v>KUUM_372</v>
          </cell>
          <cell r="E366">
            <v>1</v>
          </cell>
          <cell r="F366">
            <v>0</v>
          </cell>
          <cell r="G366">
            <v>59</v>
          </cell>
          <cell r="H366">
            <v>0</v>
          </cell>
          <cell r="L366">
            <v>0</v>
          </cell>
          <cell r="N366">
            <v>82.3</v>
          </cell>
          <cell r="O366">
            <v>82.3</v>
          </cell>
          <cell r="Q366">
            <v>0.13</v>
          </cell>
          <cell r="S366">
            <v>1.01</v>
          </cell>
          <cell r="U366">
            <v>83.44</v>
          </cell>
          <cell r="Y366">
            <v>1.75</v>
          </cell>
          <cell r="AE366" t="str">
            <v>20140101KUUM_372</v>
          </cell>
        </row>
        <row r="367">
          <cell r="B367" t="str">
            <v>May 2014</v>
          </cell>
          <cell r="C367" t="str">
            <v>LS</v>
          </cell>
          <cell r="D367" t="str">
            <v>KUUM_373</v>
          </cell>
          <cell r="E367">
            <v>20</v>
          </cell>
          <cell r="F367">
            <v>0</v>
          </cell>
          <cell r="G367">
            <v>1112</v>
          </cell>
          <cell r="H367">
            <v>0</v>
          </cell>
          <cell r="L367">
            <v>0</v>
          </cell>
          <cell r="N367">
            <v>1490.4</v>
          </cell>
          <cell r="O367">
            <v>1490.4</v>
          </cell>
          <cell r="Q367">
            <v>2.36</v>
          </cell>
          <cell r="S367">
            <v>18.21</v>
          </cell>
          <cell r="U367">
            <v>1510.97</v>
          </cell>
          <cell r="Y367">
            <v>35</v>
          </cell>
          <cell r="AE367" t="str">
            <v>20140101KUUM_373</v>
          </cell>
        </row>
        <row r="368">
          <cell r="B368" t="str">
            <v>May 2014</v>
          </cell>
          <cell r="C368" t="str">
            <v>LS</v>
          </cell>
          <cell r="D368" t="str">
            <v>KUUM_374</v>
          </cell>
          <cell r="E368">
            <v>4</v>
          </cell>
          <cell r="F368">
            <v>0</v>
          </cell>
          <cell r="G368">
            <v>229</v>
          </cell>
          <cell r="H368">
            <v>0</v>
          </cell>
          <cell r="L368">
            <v>0</v>
          </cell>
          <cell r="N368">
            <v>303.52</v>
          </cell>
          <cell r="O368">
            <v>303.52</v>
          </cell>
          <cell r="Q368">
            <v>0.49</v>
          </cell>
          <cell r="S368">
            <v>3.7</v>
          </cell>
          <cell r="U368">
            <v>307.70999999999998</v>
          </cell>
          <cell r="Y368">
            <v>7</v>
          </cell>
          <cell r="AE368" t="str">
            <v>20140101KUUM_374</v>
          </cell>
        </row>
        <row r="369">
          <cell r="B369" t="str">
            <v>May 2014</v>
          </cell>
          <cell r="C369" t="str">
            <v>LS</v>
          </cell>
          <cell r="D369" t="str">
            <v>KUUM_375</v>
          </cell>
          <cell r="E369">
            <v>3</v>
          </cell>
          <cell r="F369">
            <v>0</v>
          </cell>
          <cell r="G369">
            <v>167</v>
          </cell>
          <cell r="H369">
            <v>0</v>
          </cell>
          <cell r="L369">
            <v>0</v>
          </cell>
          <cell r="N369">
            <v>236.91</v>
          </cell>
          <cell r="O369">
            <v>236.91</v>
          </cell>
          <cell r="Q369">
            <v>0.36</v>
          </cell>
          <cell r="S369">
            <v>2.89</v>
          </cell>
          <cell r="U369">
            <v>240.16</v>
          </cell>
          <cell r="Y369">
            <v>5.25</v>
          </cell>
          <cell r="AE369" t="str">
            <v>20140101KUUM_375</v>
          </cell>
        </row>
        <row r="370">
          <cell r="B370" t="str">
            <v>May 2014</v>
          </cell>
          <cell r="C370" t="str">
            <v>LS</v>
          </cell>
          <cell r="D370" t="str">
            <v>KUUM_376</v>
          </cell>
          <cell r="E370">
            <v>2</v>
          </cell>
          <cell r="F370">
            <v>0</v>
          </cell>
          <cell r="G370">
            <v>111</v>
          </cell>
          <cell r="H370">
            <v>3355</v>
          </cell>
          <cell r="L370">
            <v>0</v>
          </cell>
          <cell r="N370">
            <v>154.52000000000001</v>
          </cell>
          <cell r="O370">
            <v>154.52000000000001</v>
          </cell>
          <cell r="Q370">
            <v>0.24</v>
          </cell>
          <cell r="S370">
            <v>1.89</v>
          </cell>
          <cell r="U370">
            <v>156.65</v>
          </cell>
          <cell r="Y370">
            <v>3.5</v>
          </cell>
          <cell r="AE370" t="str">
            <v>20140101KUUM_376</v>
          </cell>
        </row>
        <row r="371">
          <cell r="B371" t="str">
            <v>May 2014</v>
          </cell>
          <cell r="C371" t="str">
            <v>LS</v>
          </cell>
          <cell r="D371" t="str">
            <v>KUUM_377</v>
          </cell>
          <cell r="E371">
            <v>51</v>
          </cell>
          <cell r="F371">
            <v>0</v>
          </cell>
          <cell r="G371">
            <v>2869</v>
          </cell>
          <cell r="H371">
            <v>0</v>
          </cell>
          <cell r="L371">
            <v>0</v>
          </cell>
          <cell r="N371">
            <v>3273.69</v>
          </cell>
          <cell r="O371">
            <v>3273.69</v>
          </cell>
          <cell r="Q371">
            <v>6.09</v>
          </cell>
          <cell r="S371">
            <v>40.020000000000003</v>
          </cell>
          <cell r="U371">
            <v>3319.8</v>
          </cell>
          <cell r="Y371">
            <v>89.25</v>
          </cell>
          <cell r="AE371" t="str">
            <v>20140101KUUM_377</v>
          </cell>
        </row>
        <row r="372">
          <cell r="B372" t="str">
            <v>May 2014</v>
          </cell>
          <cell r="C372" t="str">
            <v>LS</v>
          </cell>
          <cell r="D372" t="str">
            <v>KUUM_378</v>
          </cell>
          <cell r="E372">
            <v>2</v>
          </cell>
          <cell r="F372">
            <v>0</v>
          </cell>
          <cell r="G372">
            <v>111</v>
          </cell>
          <cell r="H372">
            <v>0</v>
          </cell>
          <cell r="L372">
            <v>0</v>
          </cell>
          <cell r="N372">
            <v>151.80000000000001</v>
          </cell>
          <cell r="O372">
            <v>151.79999999999998</v>
          </cell>
          <cell r="Q372">
            <v>0.24</v>
          </cell>
          <cell r="S372">
            <v>1.85</v>
          </cell>
          <cell r="U372">
            <v>153.88999999999999</v>
          </cell>
          <cell r="Y372">
            <v>3.5</v>
          </cell>
          <cell r="AE372" t="str">
            <v>20140101KUUM_378</v>
          </cell>
        </row>
        <row r="373">
          <cell r="B373" t="str">
            <v>May 2014</v>
          </cell>
          <cell r="C373" t="str">
            <v>LS</v>
          </cell>
          <cell r="D373" t="str">
            <v>KUUM_401</v>
          </cell>
          <cell r="E373">
            <v>52</v>
          </cell>
          <cell r="F373">
            <v>0</v>
          </cell>
          <cell r="G373">
            <v>1267</v>
          </cell>
          <cell r="H373">
            <v>0</v>
          </cell>
          <cell r="L373">
            <v>0</v>
          </cell>
          <cell r="N373">
            <v>772.72</v>
          </cell>
          <cell r="O373">
            <v>772.71999999999991</v>
          </cell>
          <cell r="Q373">
            <v>4.05</v>
          </cell>
          <cell r="S373">
            <v>15.27</v>
          </cell>
          <cell r="U373">
            <v>792.04</v>
          </cell>
          <cell r="Y373">
            <v>41.6</v>
          </cell>
          <cell r="AE373" t="str">
            <v>20140101KUUM_401</v>
          </cell>
        </row>
        <row r="374">
          <cell r="B374" t="str">
            <v>May 2014</v>
          </cell>
          <cell r="C374" t="str">
            <v>RLS</v>
          </cell>
          <cell r="D374" t="str">
            <v>KUUM_404</v>
          </cell>
          <cell r="E374">
            <v>7101</v>
          </cell>
          <cell r="F374">
            <v>49</v>
          </cell>
          <cell r="G374">
            <v>424496</v>
          </cell>
          <cell r="H374">
            <v>0</v>
          </cell>
          <cell r="L374">
            <v>-982.56</v>
          </cell>
          <cell r="N374">
            <v>74592.94</v>
          </cell>
          <cell r="O374">
            <v>74592.94</v>
          </cell>
          <cell r="Q374">
            <v>1510.18</v>
          </cell>
          <cell r="S374">
            <v>1658.45</v>
          </cell>
          <cell r="U374">
            <v>77761.570000000007</v>
          </cell>
          <cell r="Y374">
            <v>14130.99</v>
          </cell>
          <cell r="AE374" t="str">
            <v>20140101KUUM_404</v>
          </cell>
        </row>
        <row r="375">
          <cell r="B375" t="str">
            <v>May 2014</v>
          </cell>
          <cell r="C375" t="str">
            <v>RLS</v>
          </cell>
          <cell r="D375" t="str">
            <v>KUUM_405</v>
          </cell>
          <cell r="E375">
            <v>0</v>
          </cell>
          <cell r="F375">
            <v>0</v>
          </cell>
          <cell r="G375">
            <v>0</v>
          </cell>
          <cell r="H375">
            <v>0</v>
          </cell>
          <cell r="L375">
            <v>0</v>
          </cell>
          <cell r="N375">
            <v>0</v>
          </cell>
          <cell r="O375">
            <v>0</v>
          </cell>
          <cell r="Q375">
            <v>0</v>
          </cell>
          <cell r="S375">
            <v>0</v>
          </cell>
          <cell r="U375">
            <v>0</v>
          </cell>
          <cell r="Y375">
            <v>0</v>
          </cell>
          <cell r="AE375" t="str">
            <v>20140101KUUM_405</v>
          </cell>
        </row>
        <row r="376">
          <cell r="B376" t="str">
            <v>May 2014</v>
          </cell>
          <cell r="C376" t="str">
            <v>LS</v>
          </cell>
          <cell r="D376" t="str">
            <v>KUUM_407</v>
          </cell>
          <cell r="E376">
            <v>0</v>
          </cell>
          <cell r="F376">
            <v>0</v>
          </cell>
          <cell r="G376">
            <v>0</v>
          </cell>
          <cell r="H376">
            <v>0</v>
          </cell>
          <cell r="L376">
            <v>0</v>
          </cell>
          <cell r="N376">
            <v>0</v>
          </cell>
          <cell r="O376">
            <v>0</v>
          </cell>
          <cell r="Q376">
            <v>0</v>
          </cell>
          <cell r="S376">
            <v>0</v>
          </cell>
          <cell r="U376">
            <v>0</v>
          </cell>
          <cell r="Y376">
            <v>0</v>
          </cell>
          <cell r="AE376" t="str">
            <v>20140101KUUM_407</v>
          </cell>
        </row>
        <row r="377">
          <cell r="B377" t="str">
            <v>May 2014</v>
          </cell>
          <cell r="C377" t="str">
            <v>RLS</v>
          </cell>
          <cell r="D377" t="str">
            <v>KUUM_409</v>
          </cell>
          <cell r="E377">
            <v>141</v>
          </cell>
          <cell r="F377">
            <v>0</v>
          </cell>
          <cell r="G377">
            <v>19685</v>
          </cell>
          <cell r="H377">
            <v>0</v>
          </cell>
          <cell r="L377">
            <v>0</v>
          </cell>
          <cell r="N377">
            <v>1651.11</v>
          </cell>
          <cell r="O377">
            <v>1651.1100000000001</v>
          </cell>
          <cell r="Q377">
            <v>65</v>
          </cell>
          <cell r="S377">
            <v>34.840000000000003</v>
          </cell>
          <cell r="U377">
            <v>1750.95</v>
          </cell>
          <cell r="Y377">
            <v>638.73</v>
          </cell>
          <cell r="AE377" t="str">
            <v>20140101KUUM_409</v>
          </cell>
        </row>
        <row r="378">
          <cell r="B378" t="str">
            <v>May 2014</v>
          </cell>
          <cell r="C378" t="str">
            <v>RLS</v>
          </cell>
          <cell r="D378" t="str">
            <v>KUUM_410</v>
          </cell>
          <cell r="E378">
            <v>240</v>
          </cell>
          <cell r="F378">
            <v>0</v>
          </cell>
          <cell r="G378">
            <v>4220</v>
          </cell>
          <cell r="H378">
            <v>0</v>
          </cell>
          <cell r="L378">
            <v>0</v>
          </cell>
          <cell r="N378">
            <v>4862.3999999999996</v>
          </cell>
          <cell r="O378">
            <v>4862.4000000000005</v>
          </cell>
          <cell r="Q378">
            <v>15.05</v>
          </cell>
          <cell r="S378">
            <v>106.81</v>
          </cell>
          <cell r="U378">
            <v>4984.26</v>
          </cell>
          <cell r="Y378">
            <v>136.80000000000001</v>
          </cell>
          <cell r="AE378" t="str">
            <v>20140101KUUM_410</v>
          </cell>
        </row>
        <row r="379">
          <cell r="B379" t="str">
            <v>May 2014</v>
          </cell>
          <cell r="C379" t="str">
            <v>LS</v>
          </cell>
          <cell r="D379" t="str">
            <v>KUUM_411</v>
          </cell>
          <cell r="E379">
            <v>150</v>
          </cell>
          <cell r="F379">
            <v>0</v>
          </cell>
          <cell r="G379">
            <v>3617</v>
          </cell>
          <cell r="H379">
            <v>0</v>
          </cell>
          <cell r="L379">
            <v>0</v>
          </cell>
          <cell r="N379">
            <v>3207</v>
          </cell>
          <cell r="O379">
            <v>3207</v>
          </cell>
          <cell r="Q379">
            <v>12.92</v>
          </cell>
          <cell r="S379">
            <v>70.510000000000005</v>
          </cell>
          <cell r="U379">
            <v>3290.43</v>
          </cell>
          <cell r="Y379">
            <v>120</v>
          </cell>
          <cell r="AE379" t="str">
            <v>20140101KUUM_411</v>
          </cell>
        </row>
        <row r="380">
          <cell r="B380" t="str">
            <v>May 2014</v>
          </cell>
          <cell r="C380" t="str">
            <v>RLS</v>
          </cell>
          <cell r="D380" t="str">
            <v>KUUM_412</v>
          </cell>
          <cell r="E380">
            <v>28</v>
          </cell>
          <cell r="F380">
            <v>0</v>
          </cell>
          <cell r="G380">
            <v>697</v>
          </cell>
          <cell r="H380">
            <v>0</v>
          </cell>
          <cell r="L380">
            <v>0</v>
          </cell>
          <cell r="N380">
            <v>863.52</v>
          </cell>
          <cell r="O380">
            <v>863.52</v>
          </cell>
          <cell r="Q380">
            <v>2.4900000000000002</v>
          </cell>
          <cell r="S380">
            <v>18.97</v>
          </cell>
          <cell r="U380">
            <v>884.98</v>
          </cell>
          <cell r="Y380">
            <v>22.4</v>
          </cell>
          <cell r="AE380" t="str">
            <v>20140101KUUM_412</v>
          </cell>
        </row>
        <row r="381">
          <cell r="B381" t="str">
            <v>May 2014</v>
          </cell>
          <cell r="C381" t="str">
            <v>RLS</v>
          </cell>
          <cell r="D381" t="str">
            <v>KUUM_413</v>
          </cell>
          <cell r="E381">
            <v>96</v>
          </cell>
          <cell r="F381">
            <v>0</v>
          </cell>
          <cell r="G381">
            <v>3357</v>
          </cell>
          <cell r="H381">
            <v>0</v>
          </cell>
          <cell r="L381">
            <v>0</v>
          </cell>
          <cell r="N381">
            <v>2997.12</v>
          </cell>
          <cell r="O381">
            <v>2997.12</v>
          </cell>
          <cell r="Q381">
            <v>11.99</v>
          </cell>
          <cell r="S381">
            <v>65.89</v>
          </cell>
          <cell r="U381">
            <v>3075</v>
          </cell>
          <cell r="Y381">
            <v>108.48</v>
          </cell>
          <cell r="AE381" t="str">
            <v>20140101KUUM_413</v>
          </cell>
        </row>
        <row r="382">
          <cell r="B382" t="str">
            <v>May 2014</v>
          </cell>
          <cell r="C382" t="str">
            <v>LS</v>
          </cell>
          <cell r="D382" t="str">
            <v>KUUM_414</v>
          </cell>
          <cell r="E382">
            <v>21</v>
          </cell>
          <cell r="F382">
            <v>0</v>
          </cell>
          <cell r="G382">
            <v>566</v>
          </cell>
          <cell r="H382">
            <v>0</v>
          </cell>
          <cell r="L382">
            <v>0</v>
          </cell>
          <cell r="N382">
            <v>647.64</v>
          </cell>
          <cell r="O382">
            <v>647.64</v>
          </cell>
          <cell r="Q382">
            <v>1.2</v>
          </cell>
          <cell r="S382">
            <v>7.92</v>
          </cell>
          <cell r="U382">
            <v>656.76</v>
          </cell>
          <cell r="Y382">
            <v>16.8</v>
          </cell>
          <cell r="AE382" t="str">
            <v>20140101KUUM_414</v>
          </cell>
        </row>
        <row r="383">
          <cell r="B383" t="str">
            <v>May 2014</v>
          </cell>
          <cell r="C383" t="str">
            <v>LS</v>
          </cell>
          <cell r="D383" t="str">
            <v>KUUM_415</v>
          </cell>
          <cell r="E383">
            <v>10</v>
          </cell>
          <cell r="F383">
            <v>0</v>
          </cell>
          <cell r="G383">
            <v>380</v>
          </cell>
          <cell r="H383">
            <v>0</v>
          </cell>
          <cell r="L383">
            <v>0</v>
          </cell>
          <cell r="N383">
            <v>312.2</v>
          </cell>
          <cell r="O383">
            <v>312.2</v>
          </cell>
          <cell r="Q383">
            <v>0.81</v>
          </cell>
          <cell r="S383">
            <v>3.82</v>
          </cell>
          <cell r="U383">
            <v>316.83</v>
          </cell>
          <cell r="Y383">
            <v>11.3</v>
          </cell>
          <cell r="AE383" t="str">
            <v>20140101KUUM_415</v>
          </cell>
        </row>
        <row r="384">
          <cell r="B384" t="str">
            <v>May 2014</v>
          </cell>
          <cell r="C384" t="str">
            <v>LS</v>
          </cell>
          <cell r="D384" t="str">
            <v>KUUM_420</v>
          </cell>
          <cell r="E384">
            <v>466</v>
          </cell>
          <cell r="F384">
            <v>0</v>
          </cell>
          <cell r="G384">
            <v>16149</v>
          </cell>
          <cell r="H384">
            <v>0</v>
          </cell>
          <cell r="L384">
            <v>-38.909999999999997</v>
          </cell>
          <cell r="N384">
            <v>7118.85</v>
          </cell>
          <cell r="O384">
            <v>7118.85</v>
          </cell>
          <cell r="Q384">
            <v>51.08</v>
          </cell>
          <cell r="S384">
            <v>139.12</v>
          </cell>
          <cell r="U384">
            <v>7309.05</v>
          </cell>
          <cell r="Y384">
            <v>526.58000000000004</v>
          </cell>
          <cell r="AE384" t="str">
            <v>20140101KUUM_420</v>
          </cell>
        </row>
        <row r="385">
          <cell r="B385" t="str">
            <v>May 2014</v>
          </cell>
          <cell r="C385" t="str">
            <v>RLS</v>
          </cell>
          <cell r="D385" t="str">
            <v>KUUM_421</v>
          </cell>
          <cell r="E385">
            <v>5</v>
          </cell>
          <cell r="F385">
            <v>0</v>
          </cell>
          <cell r="G385">
            <v>152</v>
          </cell>
          <cell r="H385">
            <v>0</v>
          </cell>
          <cell r="L385">
            <v>0</v>
          </cell>
          <cell r="N385">
            <v>16.95</v>
          </cell>
          <cell r="O385">
            <v>16.95</v>
          </cell>
          <cell r="Q385">
            <v>0.41</v>
          </cell>
          <cell r="S385">
            <v>0.28999999999999998</v>
          </cell>
          <cell r="U385">
            <v>17.649999999999999</v>
          </cell>
          <cell r="Y385">
            <v>4.95</v>
          </cell>
          <cell r="AE385" t="str">
            <v>20140101KUUM_421</v>
          </cell>
        </row>
        <row r="386">
          <cell r="B386" t="str">
            <v>May 2014</v>
          </cell>
          <cell r="C386" t="str">
            <v>RLS</v>
          </cell>
          <cell r="D386" t="str">
            <v>KUUM_422</v>
          </cell>
          <cell r="E386">
            <v>674</v>
          </cell>
          <cell r="F386">
            <v>0</v>
          </cell>
          <cell r="G386">
            <v>39662</v>
          </cell>
          <cell r="H386">
            <v>1275</v>
          </cell>
          <cell r="L386">
            <v>-5.15</v>
          </cell>
          <cell r="N386">
            <v>3054.81</v>
          </cell>
          <cell r="O386">
            <v>3054.81</v>
          </cell>
          <cell r="Q386">
            <v>126.38</v>
          </cell>
          <cell r="S386">
            <v>62.06</v>
          </cell>
          <cell r="U386">
            <v>3243.25</v>
          </cell>
          <cell r="Y386">
            <v>1307.56</v>
          </cell>
          <cell r="AE386" t="str">
            <v>20140101KUUM_422</v>
          </cell>
        </row>
        <row r="387">
          <cell r="B387" t="str">
            <v>May 2014</v>
          </cell>
          <cell r="C387" t="str">
            <v>RLS</v>
          </cell>
          <cell r="D387" t="str">
            <v>KUUM_424</v>
          </cell>
          <cell r="E387">
            <v>47</v>
          </cell>
          <cell r="F387">
            <v>0</v>
          </cell>
          <cell r="G387">
            <v>4825</v>
          </cell>
          <cell r="H387">
            <v>0</v>
          </cell>
          <cell r="L387">
            <v>0</v>
          </cell>
          <cell r="N387">
            <v>318.66000000000003</v>
          </cell>
          <cell r="O387">
            <v>318.65999999999997</v>
          </cell>
          <cell r="Q387">
            <v>13.04</v>
          </cell>
          <cell r="S387">
            <v>5.45</v>
          </cell>
          <cell r="U387">
            <v>337.15</v>
          </cell>
          <cell r="Y387">
            <v>32.9</v>
          </cell>
          <cell r="AE387" t="str">
            <v>20140101KUUM_424</v>
          </cell>
        </row>
        <row r="388">
          <cell r="B388" t="str">
            <v>May 2014</v>
          </cell>
          <cell r="C388" t="str">
            <v>RLS</v>
          </cell>
          <cell r="D388" t="str">
            <v>KUUM_425</v>
          </cell>
          <cell r="E388">
            <v>2</v>
          </cell>
          <cell r="F388">
            <v>0</v>
          </cell>
          <cell r="G388">
            <v>279</v>
          </cell>
          <cell r="H388">
            <v>0</v>
          </cell>
          <cell r="L388">
            <v>0</v>
          </cell>
          <cell r="N388">
            <v>18.12</v>
          </cell>
          <cell r="O388">
            <v>18.12</v>
          </cell>
          <cell r="Q388">
            <v>0.99</v>
          </cell>
          <cell r="S388">
            <v>0.42</v>
          </cell>
          <cell r="U388">
            <v>19.53</v>
          </cell>
          <cell r="Y388">
            <v>8.6</v>
          </cell>
          <cell r="AE388" t="str">
            <v>20140101KUUM_425</v>
          </cell>
        </row>
        <row r="389">
          <cell r="B389" t="str">
            <v>May 2014</v>
          </cell>
          <cell r="C389" t="str">
            <v>RLS</v>
          </cell>
          <cell r="D389" t="str">
            <v>KUUM_426</v>
          </cell>
          <cell r="E389">
            <v>170</v>
          </cell>
          <cell r="F389">
            <v>0</v>
          </cell>
          <cell r="G389">
            <v>4106</v>
          </cell>
          <cell r="H389">
            <v>0</v>
          </cell>
          <cell r="L389">
            <v>-8.27</v>
          </cell>
          <cell r="N389">
            <v>1256.53</v>
          </cell>
          <cell r="O389">
            <v>1256.53</v>
          </cell>
          <cell r="Q389">
            <v>14.75</v>
          </cell>
          <cell r="S389">
            <v>27.08</v>
          </cell>
          <cell r="U389">
            <v>1298.3599999999999</v>
          </cell>
          <cell r="Y389">
            <v>136</v>
          </cell>
          <cell r="AE389" t="str">
            <v>20140101KUUM_426</v>
          </cell>
        </row>
        <row r="390">
          <cell r="B390" t="str">
            <v>May 2014</v>
          </cell>
          <cell r="C390" t="str">
            <v>LS</v>
          </cell>
          <cell r="D390" t="str">
            <v>KUUM_428</v>
          </cell>
          <cell r="E390">
            <v>36658</v>
          </cell>
          <cell r="F390">
            <v>33</v>
          </cell>
          <cell r="G390">
            <v>1236726</v>
          </cell>
          <cell r="H390">
            <v>0</v>
          </cell>
          <cell r="L390">
            <v>-2435.33</v>
          </cell>
          <cell r="N390">
            <v>285222.11</v>
          </cell>
          <cell r="O390">
            <v>285222.11000000004</v>
          </cell>
          <cell r="Q390">
            <v>4341.84</v>
          </cell>
          <cell r="S390">
            <v>6192.89</v>
          </cell>
          <cell r="U390">
            <v>295756.84000000003</v>
          </cell>
          <cell r="Y390">
            <v>41423.54</v>
          </cell>
          <cell r="AE390" t="str">
            <v>20140101KUUM_428</v>
          </cell>
        </row>
        <row r="391">
          <cell r="B391" t="str">
            <v>May 2014</v>
          </cell>
          <cell r="C391" t="str">
            <v>LS</v>
          </cell>
          <cell r="D391" t="str">
            <v>KUUM_429</v>
          </cell>
          <cell r="E391">
            <v>0</v>
          </cell>
          <cell r="F391">
            <v>0</v>
          </cell>
          <cell r="G391">
            <v>0</v>
          </cell>
          <cell r="H391">
            <v>0</v>
          </cell>
          <cell r="L391">
            <v>0</v>
          </cell>
          <cell r="N391">
            <v>0</v>
          </cell>
          <cell r="O391">
            <v>0</v>
          </cell>
          <cell r="Q391">
            <v>0</v>
          </cell>
          <cell r="S391">
            <v>0</v>
          </cell>
          <cell r="U391">
            <v>0</v>
          </cell>
          <cell r="Y391">
            <v>0</v>
          </cell>
          <cell r="AE391" t="str">
            <v>20140101KUUM_429</v>
          </cell>
        </row>
        <row r="392">
          <cell r="B392" t="str">
            <v>May 2014</v>
          </cell>
          <cell r="C392" t="str">
            <v>LS</v>
          </cell>
          <cell r="D392" t="str">
            <v>KUUM_430</v>
          </cell>
          <cell r="E392">
            <v>1185</v>
          </cell>
          <cell r="F392">
            <v>0</v>
          </cell>
          <cell r="G392">
            <v>40922</v>
          </cell>
          <cell r="H392">
            <v>0</v>
          </cell>
          <cell r="L392">
            <v>-66</v>
          </cell>
          <cell r="N392">
            <v>26004</v>
          </cell>
          <cell r="O392">
            <v>26004</v>
          </cell>
          <cell r="Q392">
            <v>134.83000000000001</v>
          </cell>
          <cell r="S392">
            <v>528.04</v>
          </cell>
          <cell r="U392">
            <v>26666.87</v>
          </cell>
          <cell r="Y392">
            <v>1339.05</v>
          </cell>
          <cell r="AE392" t="str">
            <v>20140101KUUM_430</v>
          </cell>
        </row>
        <row r="393">
          <cell r="B393" t="str">
            <v>May 2014</v>
          </cell>
          <cell r="C393" t="str">
            <v>RLS</v>
          </cell>
          <cell r="D393" t="str">
            <v>KUUM_434</v>
          </cell>
          <cell r="E393">
            <v>3</v>
          </cell>
          <cell r="F393">
            <v>0</v>
          </cell>
          <cell r="G393">
            <v>327</v>
          </cell>
          <cell r="H393">
            <v>0</v>
          </cell>
          <cell r="L393">
            <v>0</v>
          </cell>
          <cell r="N393">
            <v>23.22</v>
          </cell>
          <cell r="O393">
            <v>23.22</v>
          </cell>
          <cell r="Q393">
            <v>0.69</v>
          </cell>
          <cell r="S393">
            <v>0.28999999999999998</v>
          </cell>
          <cell r="U393">
            <v>24.2</v>
          </cell>
          <cell r="Y393">
            <v>2.1</v>
          </cell>
          <cell r="AE393" t="str">
            <v>20140101KUUM_434</v>
          </cell>
        </row>
        <row r="394">
          <cell r="B394" t="str">
            <v>May 2014</v>
          </cell>
          <cell r="C394" t="str">
            <v>RLS</v>
          </cell>
          <cell r="D394" t="str">
            <v>KUUM_440</v>
          </cell>
          <cell r="E394">
            <v>2</v>
          </cell>
          <cell r="F394">
            <v>0</v>
          </cell>
          <cell r="G394">
            <v>34</v>
          </cell>
          <cell r="H394">
            <v>0</v>
          </cell>
          <cell r="L394">
            <v>0</v>
          </cell>
          <cell r="N394">
            <v>27.22</v>
          </cell>
          <cell r="O394">
            <v>27.220000000000002</v>
          </cell>
          <cell r="Q394">
            <v>0.12</v>
          </cell>
          <cell r="S394">
            <v>0.6</v>
          </cell>
          <cell r="U394">
            <v>27.94</v>
          </cell>
          <cell r="Y394">
            <v>1.1399999999999999</v>
          </cell>
          <cell r="AE394" t="str">
            <v>20140101KUUM_440</v>
          </cell>
        </row>
        <row r="395">
          <cell r="B395" t="str">
            <v>May 2014</v>
          </cell>
          <cell r="C395" t="str">
            <v>RLS</v>
          </cell>
          <cell r="D395" t="str">
            <v>KUUM_446</v>
          </cell>
          <cell r="E395">
            <v>1080</v>
          </cell>
          <cell r="F395">
            <v>0</v>
          </cell>
          <cell r="G395">
            <v>66536</v>
          </cell>
          <cell r="H395">
            <v>0</v>
          </cell>
          <cell r="L395">
            <v>0</v>
          </cell>
          <cell r="N395">
            <v>10324.799999999999</v>
          </cell>
          <cell r="O395">
            <v>10324.799999999999</v>
          </cell>
          <cell r="Q395">
            <v>217.84</v>
          </cell>
          <cell r="S395">
            <v>212.01</v>
          </cell>
          <cell r="U395">
            <v>10754.65</v>
          </cell>
          <cell r="Y395">
            <v>2149.1999999999998</v>
          </cell>
          <cell r="AE395" t="str">
            <v>20140101KUUM_446</v>
          </cell>
        </row>
        <row r="396">
          <cell r="B396" t="str">
            <v>May 2014</v>
          </cell>
          <cell r="C396" t="str">
            <v>RLS</v>
          </cell>
          <cell r="D396" t="str">
            <v>KUUM_447</v>
          </cell>
          <cell r="E396">
            <v>742</v>
          </cell>
          <cell r="F396">
            <v>0</v>
          </cell>
          <cell r="G396">
            <v>66765</v>
          </cell>
          <cell r="H396">
            <v>0</v>
          </cell>
          <cell r="L396">
            <v>-35.1</v>
          </cell>
          <cell r="N396">
            <v>8364.34</v>
          </cell>
          <cell r="O396">
            <v>8364.34</v>
          </cell>
          <cell r="Q396">
            <v>145.25</v>
          </cell>
          <cell r="S396">
            <v>107.2</v>
          </cell>
          <cell r="U396">
            <v>8616.7900000000009</v>
          </cell>
          <cell r="Y396">
            <v>2107.2800000000002</v>
          </cell>
          <cell r="AE396" t="str">
            <v>20140101KUUM_447</v>
          </cell>
        </row>
        <row r="397">
          <cell r="B397" t="str">
            <v>May 2014</v>
          </cell>
          <cell r="C397" t="str">
            <v>RLS</v>
          </cell>
          <cell r="D397" t="str">
            <v>KUUM_448</v>
          </cell>
          <cell r="E397">
            <v>1477</v>
          </cell>
          <cell r="F397">
            <v>0</v>
          </cell>
          <cell r="G397">
            <v>202882</v>
          </cell>
          <cell r="H397">
            <v>0</v>
          </cell>
          <cell r="L397">
            <v>-46.2</v>
          </cell>
          <cell r="N397">
            <v>18874.169999999998</v>
          </cell>
          <cell r="O397">
            <v>18874.170000000002</v>
          </cell>
          <cell r="Q397">
            <v>601.08000000000004</v>
          </cell>
          <cell r="S397">
            <v>350.88</v>
          </cell>
          <cell r="U397">
            <v>19826.13</v>
          </cell>
          <cell r="Y397">
            <v>6454.49</v>
          </cell>
          <cell r="AE397" t="str">
            <v>20140101KUUM_448</v>
          </cell>
        </row>
        <row r="398">
          <cell r="B398" t="str">
            <v>May 2014</v>
          </cell>
          <cell r="C398" t="str">
            <v>LS</v>
          </cell>
          <cell r="D398" t="str">
            <v>KUUM_450</v>
          </cell>
          <cell r="E398">
            <v>669</v>
          </cell>
          <cell r="F398">
            <v>0</v>
          </cell>
          <cell r="G398">
            <v>29418</v>
          </cell>
          <cell r="H398">
            <v>0</v>
          </cell>
          <cell r="L398">
            <v>6.64</v>
          </cell>
          <cell r="N398">
            <v>9539.89</v>
          </cell>
          <cell r="O398">
            <v>9539.89</v>
          </cell>
          <cell r="Q398">
            <v>103.44</v>
          </cell>
          <cell r="S398">
            <v>209.22</v>
          </cell>
          <cell r="U398">
            <v>9852.5499999999993</v>
          </cell>
          <cell r="Y398">
            <v>1317.93</v>
          </cell>
          <cell r="AE398" t="str">
            <v>20140101KUUM_450</v>
          </cell>
        </row>
        <row r="399">
          <cell r="B399" t="str">
            <v>May 2014</v>
          </cell>
          <cell r="C399" t="str">
            <v>LS</v>
          </cell>
          <cell r="D399" t="str">
            <v>KUUM_451</v>
          </cell>
          <cell r="E399">
            <v>5180</v>
          </cell>
          <cell r="F399">
            <v>0</v>
          </cell>
          <cell r="G399">
            <v>532466</v>
          </cell>
          <cell r="H399">
            <v>0</v>
          </cell>
          <cell r="L399">
            <v>302.45</v>
          </cell>
          <cell r="N399">
            <v>104938.45</v>
          </cell>
          <cell r="O399">
            <v>104938.45</v>
          </cell>
          <cell r="Q399">
            <v>1869.12</v>
          </cell>
          <cell r="S399">
            <v>2296.8000000000002</v>
          </cell>
          <cell r="U399">
            <v>109104.37</v>
          </cell>
          <cell r="Y399">
            <v>22222.2</v>
          </cell>
          <cell r="AE399" t="str">
            <v>20140101KUUM_451</v>
          </cell>
        </row>
        <row r="400">
          <cell r="B400" t="str">
            <v>May 2014</v>
          </cell>
          <cell r="C400" t="str">
            <v>LS</v>
          </cell>
          <cell r="D400" t="str">
            <v>KUUM_452</v>
          </cell>
          <cell r="E400">
            <v>1038</v>
          </cell>
          <cell r="F400">
            <v>0</v>
          </cell>
          <cell r="G400">
            <v>325327</v>
          </cell>
          <cell r="H400">
            <v>0</v>
          </cell>
          <cell r="L400">
            <v>-113.42</v>
          </cell>
          <cell r="N400">
            <v>43845.880000000005</v>
          </cell>
          <cell r="O400">
            <v>43845.88</v>
          </cell>
          <cell r="Q400">
            <v>1149</v>
          </cell>
          <cell r="S400">
            <v>974.48</v>
          </cell>
          <cell r="U400">
            <v>45969.36</v>
          </cell>
          <cell r="Y400">
            <v>10805.58</v>
          </cell>
          <cell r="AE400" t="str">
            <v>20140101KUUM_452</v>
          </cell>
        </row>
        <row r="401">
          <cell r="B401" t="str">
            <v>May 2014</v>
          </cell>
          <cell r="C401" t="str">
            <v>RLS</v>
          </cell>
          <cell r="D401" t="str">
            <v>KUUM_454</v>
          </cell>
          <cell r="E401">
            <v>151</v>
          </cell>
          <cell r="F401">
            <v>0</v>
          </cell>
          <cell r="G401">
            <v>6671</v>
          </cell>
          <cell r="H401">
            <v>0</v>
          </cell>
          <cell r="L401">
            <v>-11.81</v>
          </cell>
          <cell r="N401">
            <v>2804.34</v>
          </cell>
          <cell r="O401">
            <v>2804.3399999999997</v>
          </cell>
          <cell r="Q401">
            <v>23.2</v>
          </cell>
          <cell r="S401">
            <v>60.12</v>
          </cell>
          <cell r="U401">
            <v>2887.66</v>
          </cell>
          <cell r="Y401">
            <v>297.47000000000003</v>
          </cell>
          <cell r="AE401" t="str">
            <v>20140101KUUM_454</v>
          </cell>
        </row>
        <row r="402">
          <cell r="B402" t="str">
            <v>May 2014</v>
          </cell>
          <cell r="C402" t="str">
            <v>RLS</v>
          </cell>
          <cell r="D402" t="str">
            <v>KUUM_455</v>
          </cell>
          <cell r="E402">
            <v>1051</v>
          </cell>
          <cell r="F402">
            <v>0</v>
          </cell>
          <cell r="G402">
            <v>108538</v>
          </cell>
          <cell r="H402">
            <v>0</v>
          </cell>
          <cell r="L402">
            <v>115.57</v>
          </cell>
          <cell r="N402">
            <v>25959.66</v>
          </cell>
          <cell r="O402">
            <v>25959.66</v>
          </cell>
          <cell r="Q402">
            <v>379.79</v>
          </cell>
          <cell r="S402">
            <v>565.58000000000004</v>
          </cell>
          <cell r="U402">
            <v>26905.03</v>
          </cell>
          <cell r="Y402">
            <v>4508.79</v>
          </cell>
          <cell r="AE402" t="str">
            <v>20140101KUUM_455</v>
          </cell>
        </row>
        <row r="403">
          <cell r="B403" t="str">
            <v>May 2014</v>
          </cell>
          <cell r="C403" t="str">
            <v>RLS</v>
          </cell>
          <cell r="D403" t="str">
            <v>KUUM_456</v>
          </cell>
          <cell r="E403">
            <v>140</v>
          </cell>
          <cell r="F403">
            <v>0</v>
          </cell>
          <cell r="G403">
            <v>8667</v>
          </cell>
          <cell r="H403">
            <v>0</v>
          </cell>
          <cell r="L403">
            <v>0</v>
          </cell>
          <cell r="N403">
            <v>1661.8</v>
          </cell>
          <cell r="O403">
            <v>1661.8000000000002</v>
          </cell>
          <cell r="Q403">
            <v>29.04</v>
          </cell>
          <cell r="S403">
            <v>34.81</v>
          </cell>
          <cell r="U403">
            <v>1725.65</v>
          </cell>
          <cell r="Y403">
            <v>278.60000000000002</v>
          </cell>
          <cell r="AE403" t="str">
            <v>20140101KUUM_456</v>
          </cell>
        </row>
        <row r="404">
          <cell r="B404" t="str">
            <v>May 2014</v>
          </cell>
          <cell r="C404" t="str">
            <v>RLS</v>
          </cell>
          <cell r="D404" t="str">
            <v>KUUM_457</v>
          </cell>
          <cell r="E404">
            <v>453</v>
          </cell>
          <cell r="F404">
            <v>0</v>
          </cell>
          <cell r="G404">
            <v>41184</v>
          </cell>
          <cell r="H404">
            <v>0</v>
          </cell>
          <cell r="L404">
            <v>0</v>
          </cell>
          <cell r="N404">
            <v>6052.08</v>
          </cell>
          <cell r="O404">
            <v>6052.08</v>
          </cell>
          <cell r="Q404">
            <v>87.44</v>
          </cell>
          <cell r="S404">
            <v>75.040000000000006</v>
          </cell>
          <cell r="U404">
            <v>6214.56</v>
          </cell>
          <cell r="Y404">
            <v>1286.52</v>
          </cell>
          <cell r="AE404" t="str">
            <v>20140101KUUM_457</v>
          </cell>
        </row>
        <row r="405">
          <cell r="B405" t="str">
            <v>May 2014</v>
          </cell>
          <cell r="C405" t="str">
            <v>RLS</v>
          </cell>
          <cell r="D405" t="str">
            <v>KUUM_458</v>
          </cell>
          <cell r="E405">
            <v>1473</v>
          </cell>
          <cell r="F405">
            <v>0</v>
          </cell>
          <cell r="G405">
            <v>203596</v>
          </cell>
          <cell r="H405">
            <v>0</v>
          </cell>
          <cell r="L405">
            <v>-27.62</v>
          </cell>
          <cell r="N405">
            <v>22185.22</v>
          </cell>
          <cell r="O405">
            <v>22185.22</v>
          </cell>
          <cell r="Q405">
            <v>521.57000000000005</v>
          </cell>
          <cell r="S405">
            <v>347.61</v>
          </cell>
          <cell r="U405">
            <v>23054.400000000001</v>
          </cell>
          <cell r="Y405">
            <v>6437.01</v>
          </cell>
          <cell r="AE405" t="str">
            <v>20140101KUUM_458</v>
          </cell>
        </row>
        <row r="406">
          <cell r="B406" t="str">
            <v>May 2014</v>
          </cell>
          <cell r="C406" t="str">
            <v>RLS</v>
          </cell>
          <cell r="D406" t="str">
            <v>KUUM_459</v>
          </cell>
          <cell r="E406">
            <v>223</v>
          </cell>
          <cell r="F406">
            <v>0</v>
          </cell>
          <cell r="G406">
            <v>69200</v>
          </cell>
          <cell r="H406">
            <v>0</v>
          </cell>
          <cell r="L406">
            <v>-15.58</v>
          </cell>
          <cell r="N406">
            <v>10407.44</v>
          </cell>
          <cell r="O406">
            <v>10407.439999999999</v>
          </cell>
          <cell r="Q406">
            <v>245.12</v>
          </cell>
          <cell r="S406">
            <v>231.67</v>
          </cell>
          <cell r="U406">
            <v>10884.23</v>
          </cell>
          <cell r="Y406">
            <v>2321.4299999999998</v>
          </cell>
          <cell r="AE406" t="str">
            <v>20140101KUUM_459</v>
          </cell>
        </row>
        <row r="407">
          <cell r="B407" t="str">
            <v>May 2014</v>
          </cell>
          <cell r="C407" t="str">
            <v>RLS</v>
          </cell>
          <cell r="D407" t="str">
            <v>KUUM_460</v>
          </cell>
          <cell r="E407">
            <v>26</v>
          </cell>
          <cell r="F407">
            <v>0</v>
          </cell>
          <cell r="G407">
            <v>1151</v>
          </cell>
          <cell r="H407">
            <v>0</v>
          </cell>
          <cell r="L407">
            <v>0</v>
          </cell>
          <cell r="N407">
            <v>705.9</v>
          </cell>
          <cell r="O407">
            <v>705.9</v>
          </cell>
          <cell r="Q407">
            <v>3.38</v>
          </cell>
          <cell r="S407">
            <v>12.62</v>
          </cell>
          <cell r="U407">
            <v>721.9</v>
          </cell>
          <cell r="Y407">
            <v>51.22</v>
          </cell>
          <cell r="AE407" t="str">
            <v>20140101KUUM_460</v>
          </cell>
        </row>
        <row r="408">
          <cell r="B408" t="str">
            <v>May 2014</v>
          </cell>
          <cell r="C408" t="str">
            <v>RLS</v>
          </cell>
          <cell r="D408" t="str">
            <v>KUUM_461</v>
          </cell>
          <cell r="E408">
            <v>4370</v>
          </cell>
          <cell r="F408">
            <v>0</v>
          </cell>
          <cell r="G408">
            <v>124739</v>
          </cell>
          <cell r="H408">
            <v>0</v>
          </cell>
          <cell r="L408">
            <v>19271.14</v>
          </cell>
          <cell r="N408">
            <v>52220.94</v>
          </cell>
          <cell r="O408">
            <v>52220.94</v>
          </cell>
          <cell r="Q408">
            <v>392.27</v>
          </cell>
          <cell r="S408">
            <v>1009.33</v>
          </cell>
          <cell r="U408">
            <v>53622.54</v>
          </cell>
          <cell r="Y408">
            <v>2490.9</v>
          </cell>
          <cell r="AE408" t="str">
            <v>20140101KUUM_461</v>
          </cell>
        </row>
        <row r="409">
          <cell r="B409" t="str">
            <v>May 2014</v>
          </cell>
          <cell r="C409" t="str">
            <v>LS</v>
          </cell>
          <cell r="D409" t="str">
            <v>KUUM_462</v>
          </cell>
          <cell r="E409">
            <v>8851</v>
          </cell>
          <cell r="F409">
            <v>0</v>
          </cell>
          <cell r="G409">
            <v>223648</v>
          </cell>
          <cell r="H409">
            <v>0</v>
          </cell>
          <cell r="L409">
            <v>2.31</v>
          </cell>
          <cell r="N409">
            <v>76651.97</v>
          </cell>
          <cell r="O409">
            <v>76651.97</v>
          </cell>
          <cell r="Q409">
            <v>647.91999999999996</v>
          </cell>
          <cell r="S409">
            <v>1356.7</v>
          </cell>
          <cell r="U409">
            <v>78656.59</v>
          </cell>
          <cell r="Y409">
            <v>7080.8</v>
          </cell>
          <cell r="AE409" t="str">
            <v>20140101KUUM_462</v>
          </cell>
        </row>
        <row r="410">
          <cell r="B410" t="str">
            <v>May 2014</v>
          </cell>
          <cell r="C410" t="str">
            <v>LS</v>
          </cell>
          <cell r="D410" t="str">
            <v>KUUM_463</v>
          </cell>
          <cell r="E410">
            <v>20240</v>
          </cell>
          <cell r="F410">
            <v>0</v>
          </cell>
          <cell r="G410">
            <v>693781</v>
          </cell>
          <cell r="H410">
            <v>0</v>
          </cell>
          <cell r="L410">
            <v>-2513.3200000000002</v>
          </cell>
          <cell r="N410">
            <v>182480.28</v>
          </cell>
          <cell r="O410">
            <v>182480.28</v>
          </cell>
          <cell r="Q410">
            <v>2274.92</v>
          </cell>
          <cell r="S410">
            <v>3712.41</v>
          </cell>
          <cell r="U410">
            <v>188467.61</v>
          </cell>
          <cell r="Y410">
            <v>22871.200000000001</v>
          </cell>
          <cell r="AE410" t="str">
            <v>20140101KUUM_463</v>
          </cell>
        </row>
        <row r="411">
          <cell r="B411" t="str">
            <v>May 2014</v>
          </cell>
          <cell r="C411" t="str">
            <v>LS</v>
          </cell>
          <cell r="D411" t="str">
            <v>KUUM_464</v>
          </cell>
          <cell r="E411">
            <v>7395</v>
          </cell>
          <cell r="F411">
            <v>0</v>
          </cell>
          <cell r="G411">
            <v>549134</v>
          </cell>
          <cell r="H411">
            <v>0</v>
          </cell>
          <cell r="L411">
            <v>3211.25</v>
          </cell>
          <cell r="N411">
            <v>108590</v>
          </cell>
          <cell r="O411">
            <v>108590</v>
          </cell>
          <cell r="Q411">
            <v>1776.95</v>
          </cell>
          <cell r="S411">
            <v>2185.8200000000002</v>
          </cell>
          <cell r="U411">
            <v>112552.77</v>
          </cell>
          <cell r="Y411">
            <v>17230.349999999999</v>
          </cell>
          <cell r="AE411" t="str">
            <v>20140101KUUM_464</v>
          </cell>
        </row>
        <row r="412">
          <cell r="B412" t="str">
            <v>May 2014</v>
          </cell>
          <cell r="C412" t="str">
            <v>LS</v>
          </cell>
          <cell r="D412" t="str">
            <v>KUUM_465</v>
          </cell>
          <cell r="E412">
            <v>2813</v>
          </cell>
          <cell r="F412">
            <v>0</v>
          </cell>
          <cell r="G412">
            <v>390816</v>
          </cell>
          <cell r="H412">
            <v>0</v>
          </cell>
          <cell r="L412">
            <v>-76.14</v>
          </cell>
          <cell r="N412">
            <v>64172.78</v>
          </cell>
          <cell r="O412">
            <v>64172.78</v>
          </cell>
          <cell r="Q412">
            <v>1322.78</v>
          </cell>
          <cell r="S412">
            <v>1357.91</v>
          </cell>
          <cell r="U412">
            <v>66853.47</v>
          </cell>
          <cell r="Y412">
            <v>12742.89</v>
          </cell>
          <cell r="AE412" t="str">
            <v>20140101KUUM_465</v>
          </cell>
        </row>
        <row r="413">
          <cell r="B413" t="str">
            <v>May 2014</v>
          </cell>
          <cell r="C413" t="str">
            <v>RLS</v>
          </cell>
          <cell r="D413" t="str">
            <v>KUUM_466</v>
          </cell>
          <cell r="E413">
            <v>858</v>
          </cell>
          <cell r="F413">
            <v>0</v>
          </cell>
          <cell r="G413">
            <v>15497</v>
          </cell>
          <cell r="H413">
            <v>0</v>
          </cell>
          <cell r="L413">
            <v>-18.600000000000001</v>
          </cell>
          <cell r="N413">
            <v>8235.3599999999988</v>
          </cell>
          <cell r="O413">
            <v>8235.36</v>
          </cell>
          <cell r="Q413">
            <v>49.67</v>
          </cell>
          <cell r="S413">
            <v>162.46</v>
          </cell>
          <cell r="U413">
            <v>8447.49</v>
          </cell>
          <cell r="Y413">
            <v>489.06</v>
          </cell>
          <cell r="AE413" t="str">
            <v>20140101KUUM_466</v>
          </cell>
        </row>
        <row r="414">
          <cell r="B414" t="str">
            <v>May 2014</v>
          </cell>
          <cell r="C414" t="str">
            <v>LS</v>
          </cell>
          <cell r="D414" t="str">
            <v>KUUM_467</v>
          </cell>
          <cell r="E414">
            <v>1359</v>
          </cell>
          <cell r="F414">
            <v>0</v>
          </cell>
          <cell r="G414">
            <v>33707</v>
          </cell>
          <cell r="H414">
            <v>0</v>
          </cell>
          <cell r="L414">
            <v>33.03</v>
          </cell>
          <cell r="N414">
            <v>14669.460000000001</v>
          </cell>
          <cell r="O414">
            <v>14669.460000000001</v>
          </cell>
          <cell r="Q414">
            <v>107.57</v>
          </cell>
          <cell r="S414">
            <v>288.99</v>
          </cell>
          <cell r="U414">
            <v>15066.02</v>
          </cell>
          <cell r="Y414">
            <v>1087.2</v>
          </cell>
          <cell r="AE414" t="str">
            <v>20140101KUUM_467</v>
          </cell>
        </row>
        <row r="415">
          <cell r="B415" t="str">
            <v>May 2014</v>
          </cell>
          <cell r="C415" t="str">
            <v>LS</v>
          </cell>
          <cell r="D415" t="str">
            <v>KUUM_468</v>
          </cell>
          <cell r="E415">
            <v>4029</v>
          </cell>
          <cell r="F415">
            <v>0</v>
          </cell>
          <cell r="G415">
            <v>139149</v>
          </cell>
          <cell r="H415">
            <v>0</v>
          </cell>
          <cell r="L415">
            <v>-45.75</v>
          </cell>
          <cell r="N415">
            <v>44917.89</v>
          </cell>
          <cell r="O415">
            <v>44917.89</v>
          </cell>
          <cell r="Q415">
            <v>483.04</v>
          </cell>
          <cell r="S415">
            <v>967.93</v>
          </cell>
          <cell r="U415">
            <v>46368.86</v>
          </cell>
          <cell r="Y415">
            <v>4552.7700000000004</v>
          </cell>
          <cell r="AE415" t="str">
            <v>20140101KUUM_468</v>
          </cell>
        </row>
        <row r="416">
          <cell r="B416" t="str">
            <v>May 2014</v>
          </cell>
          <cell r="C416" t="str">
            <v>RLS</v>
          </cell>
          <cell r="D416" t="str">
            <v>KUUM_469</v>
          </cell>
          <cell r="E416">
            <v>294</v>
          </cell>
          <cell r="F416">
            <v>0</v>
          </cell>
          <cell r="G416">
            <v>30191</v>
          </cell>
          <cell r="H416">
            <v>0</v>
          </cell>
          <cell r="L416">
            <v>0</v>
          </cell>
          <cell r="N416">
            <v>9731.4</v>
          </cell>
          <cell r="O416">
            <v>9731.4</v>
          </cell>
          <cell r="Q416">
            <v>105.74</v>
          </cell>
          <cell r="S416">
            <v>211.18</v>
          </cell>
          <cell r="U416">
            <v>10048.32</v>
          </cell>
          <cell r="Y416">
            <v>1261.26</v>
          </cell>
          <cell r="AE416" t="str">
            <v>20140101KUUM_469</v>
          </cell>
        </row>
        <row r="417">
          <cell r="B417" t="str">
            <v>May 2014</v>
          </cell>
          <cell r="C417" t="str">
            <v>RLS</v>
          </cell>
          <cell r="D417" t="str">
            <v>KUUM_470</v>
          </cell>
          <cell r="E417">
            <v>61</v>
          </cell>
          <cell r="F417">
            <v>0</v>
          </cell>
          <cell r="G417">
            <v>18805</v>
          </cell>
          <cell r="H417">
            <v>0</v>
          </cell>
          <cell r="L417">
            <v>0</v>
          </cell>
          <cell r="N417">
            <v>3370.25</v>
          </cell>
          <cell r="O417">
            <v>3370.25</v>
          </cell>
          <cell r="Q417">
            <v>67.14</v>
          </cell>
          <cell r="S417">
            <v>75.27</v>
          </cell>
          <cell r="U417">
            <v>3512.66</v>
          </cell>
          <cell r="Y417">
            <v>635.01</v>
          </cell>
          <cell r="AE417" t="str">
            <v>20140101KUUM_470</v>
          </cell>
        </row>
        <row r="418">
          <cell r="B418" t="str">
            <v>May 2014</v>
          </cell>
          <cell r="C418" t="str">
            <v>RLS</v>
          </cell>
          <cell r="D418" t="str">
            <v>KUUM_471</v>
          </cell>
          <cell r="E418">
            <v>3666</v>
          </cell>
          <cell r="F418">
            <v>0</v>
          </cell>
          <cell r="G418">
            <v>67777</v>
          </cell>
          <cell r="H418">
            <v>0</v>
          </cell>
          <cell r="L418">
            <v>0</v>
          </cell>
          <cell r="N418">
            <v>38456.339999999997</v>
          </cell>
          <cell r="O418">
            <v>38456.339999999997</v>
          </cell>
          <cell r="Q418">
            <v>143.81</v>
          </cell>
          <cell r="S418">
            <v>471.44</v>
          </cell>
          <cell r="U418">
            <v>39071.589999999997</v>
          </cell>
          <cell r="Y418">
            <v>2089.62</v>
          </cell>
          <cell r="AE418" t="str">
            <v>20140101KUUM_471</v>
          </cell>
        </row>
        <row r="419">
          <cell r="B419" t="str">
            <v>May 2014</v>
          </cell>
          <cell r="C419" t="str">
            <v>LS</v>
          </cell>
          <cell r="D419" t="str">
            <v>KUUM_472</v>
          </cell>
          <cell r="E419">
            <v>8741</v>
          </cell>
          <cell r="F419">
            <v>0</v>
          </cell>
          <cell r="G419">
            <v>223370</v>
          </cell>
          <cell r="H419">
            <v>0</v>
          </cell>
          <cell r="L419">
            <v>0</v>
          </cell>
          <cell r="N419">
            <v>101395.6</v>
          </cell>
          <cell r="O419">
            <v>101395.59999999999</v>
          </cell>
          <cell r="Q419">
            <v>476.78</v>
          </cell>
          <cell r="S419">
            <v>1253.05</v>
          </cell>
          <cell r="U419">
            <v>103125.43</v>
          </cell>
          <cell r="Y419">
            <v>6992.8</v>
          </cell>
          <cell r="AE419" t="str">
            <v>20140101KUUM_472</v>
          </cell>
        </row>
        <row r="420">
          <cell r="B420" t="str">
            <v>May 2014</v>
          </cell>
          <cell r="C420" t="str">
            <v>LS</v>
          </cell>
          <cell r="D420" t="str">
            <v>KUUM_473</v>
          </cell>
          <cell r="E420">
            <v>3391</v>
          </cell>
          <cell r="F420">
            <v>0</v>
          </cell>
          <cell r="G420">
            <v>118945</v>
          </cell>
          <cell r="H420">
            <v>0</v>
          </cell>
          <cell r="L420">
            <v>-186.96</v>
          </cell>
          <cell r="N420">
            <v>41522.340000000004</v>
          </cell>
          <cell r="O420">
            <v>41522.339999999997</v>
          </cell>
          <cell r="Q420">
            <v>316.35000000000002</v>
          </cell>
          <cell r="S420">
            <v>668.55</v>
          </cell>
          <cell r="U420">
            <v>42507.24</v>
          </cell>
          <cell r="Y420">
            <v>3831.83</v>
          </cell>
          <cell r="AE420" t="str">
            <v>20140101KUUM_473</v>
          </cell>
        </row>
        <row r="421">
          <cell r="B421" t="str">
            <v>May 2014</v>
          </cell>
          <cell r="C421" t="str">
            <v>LS</v>
          </cell>
          <cell r="D421" t="str">
            <v>KUUM_474</v>
          </cell>
          <cell r="E421">
            <v>5167</v>
          </cell>
          <cell r="F421">
            <v>0</v>
          </cell>
          <cell r="G421">
            <v>378907</v>
          </cell>
          <cell r="H421">
            <v>0</v>
          </cell>
          <cell r="L421">
            <v>98.65</v>
          </cell>
          <cell r="N421">
            <v>90056.12</v>
          </cell>
          <cell r="O421">
            <v>90056.12000000001</v>
          </cell>
          <cell r="Q421">
            <v>1011.61</v>
          </cell>
          <cell r="S421">
            <v>1458.23</v>
          </cell>
          <cell r="U421">
            <v>92525.96</v>
          </cell>
          <cell r="Y421">
            <v>12039.11</v>
          </cell>
          <cell r="AE421" t="str">
            <v>20140101KUUM_474</v>
          </cell>
        </row>
        <row r="422">
          <cell r="B422" t="str">
            <v>May 2014</v>
          </cell>
          <cell r="C422" t="str">
            <v>LS</v>
          </cell>
          <cell r="D422" t="str">
            <v>KUUM_475</v>
          </cell>
          <cell r="E422">
            <v>515</v>
          </cell>
          <cell r="F422">
            <v>0</v>
          </cell>
          <cell r="G422">
            <v>74515</v>
          </cell>
          <cell r="H422">
            <v>0</v>
          </cell>
          <cell r="L422">
            <v>0</v>
          </cell>
          <cell r="N422">
            <v>12596.9</v>
          </cell>
          <cell r="O422">
            <v>12596.9</v>
          </cell>
          <cell r="Q422">
            <v>198.01</v>
          </cell>
          <cell r="S422">
            <v>204.3</v>
          </cell>
          <cell r="U422">
            <v>12999.21</v>
          </cell>
          <cell r="Y422">
            <v>2332.9499999999998</v>
          </cell>
          <cell r="AE422" t="str">
            <v>20140101KUUM_475</v>
          </cell>
        </row>
        <row r="423">
          <cell r="B423" t="str">
            <v>May 2014</v>
          </cell>
          <cell r="C423" t="str">
            <v>LS</v>
          </cell>
          <cell r="D423" t="str">
            <v>KUUM_476</v>
          </cell>
          <cell r="E423">
            <v>4565</v>
          </cell>
          <cell r="F423">
            <v>0</v>
          </cell>
          <cell r="G423">
            <v>116639</v>
          </cell>
          <cell r="H423">
            <v>0</v>
          </cell>
          <cell r="L423">
            <v>-25.74</v>
          </cell>
          <cell r="N423">
            <v>76620.61</v>
          </cell>
          <cell r="O423">
            <v>76620.61</v>
          </cell>
          <cell r="Q423">
            <v>247.97</v>
          </cell>
          <cell r="S423">
            <v>941.08</v>
          </cell>
          <cell r="U423">
            <v>77809.66</v>
          </cell>
          <cell r="Y423">
            <v>3652</v>
          </cell>
          <cell r="AE423" t="str">
            <v>20140101KUUM_476</v>
          </cell>
        </row>
        <row r="424">
          <cell r="B424" t="str">
            <v>May 2014</v>
          </cell>
          <cell r="C424" t="str">
            <v>LS</v>
          </cell>
          <cell r="D424" t="str">
            <v>KUUM_477</v>
          </cell>
          <cell r="E424">
            <v>1052</v>
          </cell>
          <cell r="F424">
            <v>0</v>
          </cell>
          <cell r="G424">
            <v>37197</v>
          </cell>
          <cell r="H424">
            <v>-50</v>
          </cell>
          <cell r="L424">
            <v>0</v>
          </cell>
          <cell r="N424">
            <v>22060.44</v>
          </cell>
          <cell r="O424">
            <v>22060.44</v>
          </cell>
          <cell r="Q424">
            <v>104.36</v>
          </cell>
          <cell r="S424">
            <v>374.77</v>
          </cell>
          <cell r="U424">
            <v>22539.57</v>
          </cell>
          <cell r="Y424">
            <v>1188.76</v>
          </cell>
          <cell r="AE424" t="str">
            <v>20140101KUUM_477</v>
          </cell>
        </row>
        <row r="425">
          <cell r="B425" t="str">
            <v>May 2014</v>
          </cell>
          <cell r="C425" t="str">
            <v>LS</v>
          </cell>
          <cell r="D425" t="str">
            <v>KUUM_478</v>
          </cell>
          <cell r="E425">
            <v>1412</v>
          </cell>
          <cell r="F425">
            <v>0</v>
          </cell>
          <cell r="G425">
            <v>102574</v>
          </cell>
          <cell r="H425">
            <v>0</v>
          </cell>
          <cell r="L425">
            <v>-72.52</v>
          </cell>
          <cell r="N425">
            <v>37853.800000000003</v>
          </cell>
          <cell r="O425">
            <v>37853.800000000003</v>
          </cell>
          <cell r="Q425">
            <v>301.06</v>
          </cell>
          <cell r="S425">
            <v>678.3</v>
          </cell>
          <cell r="U425">
            <v>38833.160000000003</v>
          </cell>
          <cell r="Y425">
            <v>3289.96</v>
          </cell>
          <cell r="AE425" t="str">
            <v>20140101KUUM_478</v>
          </cell>
        </row>
        <row r="426">
          <cell r="B426" t="str">
            <v>May 2014</v>
          </cell>
          <cell r="C426" t="str">
            <v>LS</v>
          </cell>
          <cell r="D426" t="str">
            <v>KUUM_479</v>
          </cell>
          <cell r="E426">
            <v>949</v>
          </cell>
          <cell r="F426">
            <v>0</v>
          </cell>
          <cell r="G426">
            <v>131393</v>
          </cell>
          <cell r="H426">
            <v>0</v>
          </cell>
          <cell r="L426">
            <v>-52.99</v>
          </cell>
          <cell r="N426">
            <v>31377.89</v>
          </cell>
          <cell r="O426">
            <v>31377.89</v>
          </cell>
          <cell r="Q426">
            <v>443.36</v>
          </cell>
          <cell r="S426">
            <v>657.72</v>
          </cell>
          <cell r="U426">
            <v>32478.97</v>
          </cell>
          <cell r="Y426">
            <v>4298.97</v>
          </cell>
          <cell r="AE426" t="str">
            <v>20140101KUUM_479</v>
          </cell>
        </row>
        <row r="427">
          <cell r="B427" t="str">
            <v>May 2014</v>
          </cell>
          <cell r="C427" t="str">
            <v>LS</v>
          </cell>
          <cell r="D427" t="str">
            <v>KUUM_486</v>
          </cell>
          <cell r="E427">
            <v>0</v>
          </cell>
          <cell r="F427">
            <v>0</v>
          </cell>
          <cell r="G427">
            <v>0</v>
          </cell>
          <cell r="H427">
            <v>0</v>
          </cell>
          <cell r="L427">
            <v>0</v>
          </cell>
          <cell r="N427">
            <v>0</v>
          </cell>
          <cell r="O427">
            <v>0</v>
          </cell>
          <cell r="Q427">
            <v>0</v>
          </cell>
          <cell r="S427">
            <v>0</v>
          </cell>
          <cell r="U427">
            <v>0</v>
          </cell>
          <cell r="Y427">
            <v>0</v>
          </cell>
          <cell r="AE427" t="str">
            <v>20140101KUUM_486</v>
          </cell>
        </row>
        <row r="428">
          <cell r="B428" t="str">
            <v>May 2014</v>
          </cell>
          <cell r="C428" t="str">
            <v>LS</v>
          </cell>
          <cell r="D428" t="str">
            <v>KUUM_487</v>
          </cell>
          <cell r="E428">
            <v>11163</v>
          </cell>
          <cell r="F428">
            <v>-1</v>
          </cell>
          <cell r="G428">
            <v>377034</v>
          </cell>
          <cell r="H428">
            <v>0</v>
          </cell>
          <cell r="L428">
            <v>-672.11</v>
          </cell>
          <cell r="N428">
            <v>99785.89</v>
          </cell>
          <cell r="O428">
            <v>99785.89</v>
          </cell>
          <cell r="Q428">
            <v>1320.7</v>
          </cell>
          <cell r="S428">
            <v>2205.5500000000002</v>
          </cell>
          <cell r="U428">
            <v>103312.14</v>
          </cell>
          <cell r="Y428">
            <v>12614.19</v>
          </cell>
          <cell r="AE428" t="str">
            <v>20140101KUUM_487</v>
          </cell>
        </row>
        <row r="429">
          <cell r="B429" t="str">
            <v>May 2014</v>
          </cell>
          <cell r="C429" t="str">
            <v>LS</v>
          </cell>
          <cell r="D429" t="str">
            <v>KUUM_488</v>
          </cell>
          <cell r="E429">
            <v>6636</v>
          </cell>
          <cell r="F429">
            <v>0</v>
          </cell>
          <cell r="G429">
            <v>467243</v>
          </cell>
          <cell r="H429">
            <v>0</v>
          </cell>
          <cell r="L429">
            <v>-393.46</v>
          </cell>
          <cell r="N429">
            <v>90121.579999999987</v>
          </cell>
          <cell r="O429">
            <v>90121.58</v>
          </cell>
          <cell r="Q429">
            <v>1643.81</v>
          </cell>
          <cell r="S429">
            <v>1964.71</v>
          </cell>
          <cell r="U429">
            <v>93730.1</v>
          </cell>
          <cell r="Y429">
            <v>15461.88</v>
          </cell>
          <cell r="AE429" t="str">
            <v>20140101KUUM_488</v>
          </cell>
        </row>
        <row r="430">
          <cell r="B430" t="str">
            <v>May 2014</v>
          </cell>
          <cell r="C430" t="str">
            <v>LS</v>
          </cell>
          <cell r="D430" t="str">
            <v>KUUM_489</v>
          </cell>
          <cell r="E430">
            <v>8310</v>
          </cell>
          <cell r="F430">
            <v>32</v>
          </cell>
          <cell r="G430">
            <v>1154025</v>
          </cell>
          <cell r="H430">
            <v>0</v>
          </cell>
          <cell r="L430">
            <v>98.72</v>
          </cell>
          <cell r="N430">
            <v>162434.04</v>
          </cell>
          <cell r="O430">
            <v>162434.04</v>
          </cell>
          <cell r="Q430">
            <v>4008.48</v>
          </cell>
          <cell r="S430">
            <v>3552.23</v>
          </cell>
          <cell r="U430">
            <v>169994.75</v>
          </cell>
          <cell r="Y430">
            <v>37644.300000000003</v>
          </cell>
          <cell r="AE430" t="str">
            <v>20140101KUUM_489</v>
          </cell>
        </row>
        <row r="431">
          <cell r="B431" t="str">
            <v>May 2014</v>
          </cell>
          <cell r="C431" t="str">
            <v>LS</v>
          </cell>
          <cell r="D431" t="str">
            <v>KUUM_490</v>
          </cell>
          <cell r="E431">
            <v>58</v>
          </cell>
          <cell r="F431">
            <v>0</v>
          </cell>
          <cell r="G431">
            <v>2608</v>
          </cell>
          <cell r="H431">
            <v>0</v>
          </cell>
          <cell r="L431">
            <v>0</v>
          </cell>
          <cell r="N431">
            <v>897.26</v>
          </cell>
          <cell r="O431">
            <v>897.26</v>
          </cell>
          <cell r="Q431">
            <v>9.24</v>
          </cell>
          <cell r="S431">
            <v>19.68</v>
          </cell>
          <cell r="U431">
            <v>926.18</v>
          </cell>
          <cell r="Y431">
            <v>114.26</v>
          </cell>
          <cell r="AE431" t="str">
            <v>20140101KUUM_490</v>
          </cell>
        </row>
        <row r="432">
          <cell r="B432" t="str">
            <v>May 2014</v>
          </cell>
          <cell r="C432" t="str">
            <v>LS</v>
          </cell>
          <cell r="D432" t="str">
            <v>KUUM_491</v>
          </cell>
          <cell r="E432">
            <v>295</v>
          </cell>
          <cell r="F432">
            <v>0</v>
          </cell>
          <cell r="G432">
            <v>30423</v>
          </cell>
          <cell r="H432">
            <v>0</v>
          </cell>
          <cell r="L432">
            <v>0</v>
          </cell>
          <cell r="N432">
            <v>6469.35</v>
          </cell>
          <cell r="O432">
            <v>6469.3499999999995</v>
          </cell>
          <cell r="Q432">
            <v>107.23</v>
          </cell>
          <cell r="S432">
            <v>142.16</v>
          </cell>
          <cell r="U432">
            <v>6718.74</v>
          </cell>
          <cell r="Y432">
            <v>1265.55</v>
          </cell>
          <cell r="AE432" t="str">
            <v>20140101KUUM_491</v>
          </cell>
        </row>
        <row r="433">
          <cell r="B433" t="str">
            <v>May 2014</v>
          </cell>
          <cell r="C433" t="str">
            <v>LS</v>
          </cell>
          <cell r="D433" t="str">
            <v>KUUM_492</v>
          </cell>
          <cell r="E433">
            <v>2</v>
          </cell>
          <cell r="F433">
            <v>0</v>
          </cell>
          <cell r="G433">
            <v>45</v>
          </cell>
          <cell r="H433">
            <v>0</v>
          </cell>
          <cell r="L433">
            <v>0</v>
          </cell>
          <cell r="N433">
            <v>30.74</v>
          </cell>
          <cell r="O433">
            <v>30.74</v>
          </cell>
          <cell r="Q433">
            <v>0.16</v>
          </cell>
          <cell r="S433">
            <v>0.68</v>
          </cell>
          <cell r="U433">
            <v>31.58</v>
          </cell>
          <cell r="Y433">
            <v>1.6</v>
          </cell>
          <cell r="AE433" t="str">
            <v>20140101KUUM_492</v>
          </cell>
        </row>
        <row r="434">
          <cell r="B434" t="str">
            <v>May 2014</v>
          </cell>
          <cell r="C434" t="str">
            <v>LS</v>
          </cell>
          <cell r="D434" t="str">
            <v>KUUM_493</v>
          </cell>
          <cell r="E434">
            <v>43</v>
          </cell>
          <cell r="F434">
            <v>0</v>
          </cell>
          <cell r="G434">
            <v>13934</v>
          </cell>
          <cell r="H434">
            <v>0</v>
          </cell>
          <cell r="L434">
            <v>0</v>
          </cell>
          <cell r="N434">
            <v>1965.1</v>
          </cell>
          <cell r="O434">
            <v>1965.1</v>
          </cell>
          <cell r="Q434">
            <v>49.73</v>
          </cell>
          <cell r="S434">
            <v>44.12</v>
          </cell>
          <cell r="U434">
            <v>2058.9499999999998</v>
          </cell>
          <cell r="Y434">
            <v>447.63</v>
          </cell>
          <cell r="AE434" t="str">
            <v>20140101KUUM_493</v>
          </cell>
        </row>
        <row r="435">
          <cell r="B435" t="str">
            <v>May 2014</v>
          </cell>
          <cell r="C435" t="str">
            <v>LS</v>
          </cell>
          <cell r="D435" t="str">
            <v>KUUM_494</v>
          </cell>
          <cell r="E435">
            <v>168</v>
          </cell>
          <cell r="F435">
            <v>0</v>
          </cell>
          <cell r="G435">
            <v>7629</v>
          </cell>
          <cell r="H435">
            <v>0</v>
          </cell>
          <cell r="L435">
            <v>0</v>
          </cell>
          <cell r="N435">
            <v>4766.16</v>
          </cell>
          <cell r="O435">
            <v>4766.1600000000008</v>
          </cell>
          <cell r="Q435">
            <v>25.07</v>
          </cell>
          <cell r="S435">
            <v>96.37</v>
          </cell>
          <cell r="U435">
            <v>4887.6000000000004</v>
          </cell>
          <cell r="Y435">
            <v>330.96</v>
          </cell>
          <cell r="AE435" t="str">
            <v>20140101KUUM_494</v>
          </cell>
        </row>
        <row r="436">
          <cell r="B436" t="str">
            <v>May 2014</v>
          </cell>
          <cell r="C436" t="str">
            <v>LS</v>
          </cell>
          <cell r="D436" t="str">
            <v>KUUM_495</v>
          </cell>
          <cell r="E436">
            <v>621</v>
          </cell>
          <cell r="F436">
            <v>0</v>
          </cell>
          <cell r="G436">
            <v>63234</v>
          </cell>
          <cell r="H436">
            <v>0</v>
          </cell>
          <cell r="L436">
            <v>-116.39</v>
          </cell>
          <cell r="N436">
            <v>21513.040000000001</v>
          </cell>
          <cell r="O436">
            <v>21513.040000000001</v>
          </cell>
          <cell r="Q436">
            <v>224.81</v>
          </cell>
          <cell r="S436">
            <v>473.95</v>
          </cell>
          <cell r="U436">
            <v>22211.8</v>
          </cell>
          <cell r="Y436">
            <v>2664.09</v>
          </cell>
          <cell r="AE436" t="str">
            <v>20140101KUUM_495</v>
          </cell>
        </row>
        <row r="437">
          <cell r="B437" t="str">
            <v>May 2014</v>
          </cell>
          <cell r="C437" t="str">
            <v>LS</v>
          </cell>
          <cell r="D437" t="str">
            <v>KUUM_496</v>
          </cell>
          <cell r="E437">
            <v>154</v>
          </cell>
          <cell r="F437">
            <v>0</v>
          </cell>
          <cell r="G437">
            <v>48358</v>
          </cell>
          <cell r="H437">
            <v>0</v>
          </cell>
          <cell r="L437">
            <v>0</v>
          </cell>
          <cell r="N437">
            <v>9022.86</v>
          </cell>
          <cell r="O437">
            <v>9022.86</v>
          </cell>
          <cell r="Q437">
            <v>168.27</v>
          </cell>
          <cell r="S437">
            <v>196.14</v>
          </cell>
          <cell r="U437">
            <v>9387.27</v>
          </cell>
          <cell r="Y437">
            <v>1603.14</v>
          </cell>
          <cell r="AE437" t="str">
            <v>20140101KUUM_496</v>
          </cell>
        </row>
        <row r="438">
          <cell r="B438" t="str">
            <v>May 2014</v>
          </cell>
          <cell r="C438" t="str">
            <v>LS</v>
          </cell>
          <cell r="D438" t="str">
            <v>KUUM_497</v>
          </cell>
          <cell r="E438">
            <v>10</v>
          </cell>
          <cell r="F438">
            <v>0</v>
          </cell>
          <cell r="G438">
            <v>325</v>
          </cell>
          <cell r="H438">
            <v>0</v>
          </cell>
          <cell r="L438">
            <v>0</v>
          </cell>
          <cell r="N438">
            <v>153.5</v>
          </cell>
          <cell r="O438">
            <v>153.5</v>
          </cell>
          <cell r="Q438">
            <v>1.1499999999999999</v>
          </cell>
          <cell r="S438">
            <v>3.39</v>
          </cell>
          <cell r="U438">
            <v>158.04</v>
          </cell>
          <cell r="Y438">
            <v>11.3</v>
          </cell>
          <cell r="AE438" t="str">
            <v>20140101KUUM_497</v>
          </cell>
        </row>
        <row r="439">
          <cell r="B439" t="str">
            <v>May 2014</v>
          </cell>
          <cell r="C439" t="str">
            <v>LS</v>
          </cell>
          <cell r="D439" t="str">
            <v>KUUM_498</v>
          </cell>
          <cell r="E439">
            <v>24</v>
          </cell>
          <cell r="F439">
            <v>0</v>
          </cell>
          <cell r="G439">
            <v>1763</v>
          </cell>
          <cell r="H439">
            <v>0</v>
          </cell>
          <cell r="L439">
            <v>0</v>
          </cell>
          <cell r="N439">
            <v>425.28</v>
          </cell>
          <cell r="O439">
            <v>425.28000000000003</v>
          </cell>
          <cell r="Q439">
            <v>6.31</v>
          </cell>
          <cell r="S439">
            <v>9.4499999999999993</v>
          </cell>
          <cell r="U439">
            <v>441.04</v>
          </cell>
          <cell r="Y439">
            <v>55.92</v>
          </cell>
          <cell r="AE439" t="str">
            <v>20140101KUUM_498</v>
          </cell>
        </row>
        <row r="440">
          <cell r="B440" t="str">
            <v>May 2014</v>
          </cell>
          <cell r="C440" t="str">
            <v>LS</v>
          </cell>
          <cell r="D440" t="str">
            <v>KUUM_499</v>
          </cell>
          <cell r="E440">
            <v>24</v>
          </cell>
          <cell r="F440">
            <v>0</v>
          </cell>
          <cell r="G440">
            <v>3265</v>
          </cell>
          <cell r="H440">
            <v>0</v>
          </cell>
          <cell r="L440">
            <v>0</v>
          </cell>
          <cell r="N440">
            <v>515.76</v>
          </cell>
          <cell r="O440">
            <v>515.76</v>
          </cell>
          <cell r="Q440">
            <v>11.44</v>
          </cell>
          <cell r="S440">
            <v>11.34</v>
          </cell>
          <cell r="U440">
            <v>538.54</v>
          </cell>
          <cell r="Y440">
            <v>108.72</v>
          </cell>
          <cell r="AE440" t="str">
            <v>20140101KUUM_499</v>
          </cell>
        </row>
        <row r="441">
          <cell r="B441" t="str">
            <v>May 2014</v>
          </cell>
          <cell r="C441" t="str">
            <v>ODL</v>
          </cell>
          <cell r="D441" t="str">
            <v>ODL</v>
          </cell>
          <cell r="E441">
            <v>0</v>
          </cell>
          <cell r="F441">
            <v>0</v>
          </cell>
          <cell r="G441">
            <v>0</v>
          </cell>
          <cell r="H441">
            <v>0</v>
          </cell>
          <cell r="L441">
            <v>0</v>
          </cell>
          <cell r="N441">
            <v>0</v>
          </cell>
          <cell r="O441">
            <v>0</v>
          </cell>
          <cell r="Q441">
            <v>0</v>
          </cell>
          <cell r="S441">
            <v>0</v>
          </cell>
          <cell r="U441">
            <v>0</v>
          </cell>
          <cell r="Y441">
            <v>0</v>
          </cell>
          <cell r="AE441" t="str">
            <v>20140101ODL</v>
          </cell>
        </row>
        <row r="442">
          <cell r="B442" t="str">
            <v>Jun 2014</v>
          </cell>
          <cell r="C442" t="str">
            <v>LS</v>
          </cell>
          <cell r="D442" t="str">
            <v>KUUM_300</v>
          </cell>
          <cell r="E442">
            <v>0</v>
          </cell>
          <cell r="F442">
            <v>0</v>
          </cell>
          <cell r="G442">
            <v>0</v>
          </cell>
          <cell r="L442">
            <v>0</v>
          </cell>
          <cell r="N442">
            <v>0</v>
          </cell>
          <cell r="O442">
            <v>0</v>
          </cell>
          <cell r="Q442">
            <v>0</v>
          </cell>
          <cell r="S442">
            <v>0</v>
          </cell>
          <cell r="U442">
            <v>0</v>
          </cell>
          <cell r="Y442">
            <v>0</v>
          </cell>
          <cell r="AE442" t="str">
            <v>20140101KUUM_300</v>
          </cell>
        </row>
        <row r="443">
          <cell r="B443" t="str">
            <v>Jun 2014</v>
          </cell>
          <cell r="C443" t="str">
            <v>LS</v>
          </cell>
          <cell r="D443" t="str">
            <v>KUUM_301</v>
          </cell>
          <cell r="E443">
            <v>0</v>
          </cell>
          <cell r="F443">
            <v>0</v>
          </cell>
          <cell r="G443">
            <v>0</v>
          </cell>
          <cell r="L443">
            <v>0</v>
          </cell>
          <cell r="N443">
            <v>0</v>
          </cell>
          <cell r="O443">
            <v>0</v>
          </cell>
          <cell r="Q443">
            <v>0</v>
          </cell>
          <cell r="S443">
            <v>0</v>
          </cell>
          <cell r="U443">
            <v>0</v>
          </cell>
          <cell r="Y443">
            <v>0</v>
          </cell>
          <cell r="AE443" t="str">
            <v>20140101KUUM_301</v>
          </cell>
        </row>
        <row r="444">
          <cell r="B444" t="str">
            <v>Jun 2014</v>
          </cell>
          <cell r="C444" t="str">
            <v>LS</v>
          </cell>
          <cell r="D444" t="str">
            <v>KUUM_360</v>
          </cell>
          <cell r="E444">
            <v>178</v>
          </cell>
          <cell r="F444">
            <v>0</v>
          </cell>
          <cell r="G444">
            <v>9125</v>
          </cell>
          <cell r="L444">
            <v>0</v>
          </cell>
          <cell r="N444">
            <v>9848.74</v>
          </cell>
          <cell r="O444">
            <v>9848.74</v>
          </cell>
          <cell r="Q444">
            <v>32.85</v>
          </cell>
          <cell r="S444">
            <v>218.18</v>
          </cell>
          <cell r="U444">
            <v>10099.77</v>
          </cell>
          <cell r="Y444">
            <v>311.5</v>
          </cell>
          <cell r="AE444" t="str">
            <v>20140101KUUM_360</v>
          </cell>
        </row>
        <row r="445">
          <cell r="B445" t="str">
            <v>Jun 2014</v>
          </cell>
          <cell r="C445" t="str">
            <v>LS</v>
          </cell>
          <cell r="D445" t="str">
            <v>KUUM_361</v>
          </cell>
          <cell r="E445">
            <v>25</v>
          </cell>
          <cell r="F445">
            <v>0</v>
          </cell>
          <cell r="G445">
            <v>1265</v>
          </cell>
          <cell r="L445">
            <v>0</v>
          </cell>
          <cell r="N445">
            <v>2079</v>
          </cell>
          <cell r="O445">
            <v>2079</v>
          </cell>
          <cell r="Q445">
            <v>4.5199999999999996</v>
          </cell>
          <cell r="S445">
            <v>45.63</v>
          </cell>
          <cell r="U445">
            <v>2129.15</v>
          </cell>
          <cell r="Y445">
            <v>43.75</v>
          </cell>
          <cell r="AE445" t="str">
            <v>20140101KUUM_361</v>
          </cell>
        </row>
        <row r="446">
          <cell r="B446" t="str">
            <v>Jun 2014</v>
          </cell>
          <cell r="C446" t="str">
            <v>LS</v>
          </cell>
          <cell r="D446" t="str">
            <v>KUUM_362</v>
          </cell>
          <cell r="E446">
            <v>43</v>
          </cell>
          <cell r="G446">
            <v>1780</v>
          </cell>
          <cell r="L446">
            <v>0</v>
          </cell>
          <cell r="N446">
            <v>2570.54</v>
          </cell>
          <cell r="O446">
            <v>2570.54</v>
          </cell>
          <cell r="Q446">
            <v>6.35</v>
          </cell>
          <cell r="S446">
            <v>56.44</v>
          </cell>
          <cell r="U446">
            <v>2633.33</v>
          </cell>
          <cell r="Y446">
            <v>75.25</v>
          </cell>
          <cell r="AE446" t="str">
            <v>20140101KUUM_362</v>
          </cell>
        </row>
        <row r="447">
          <cell r="B447" t="str">
            <v>Jun 2014</v>
          </cell>
          <cell r="C447" t="str">
            <v>LS</v>
          </cell>
          <cell r="D447" t="str">
            <v>KUUM_363</v>
          </cell>
          <cell r="E447">
            <v>5</v>
          </cell>
          <cell r="G447">
            <v>248</v>
          </cell>
          <cell r="L447">
            <v>0</v>
          </cell>
          <cell r="N447">
            <v>308.75</v>
          </cell>
          <cell r="O447">
            <v>308.75</v>
          </cell>
          <cell r="Q447">
            <v>0.89</v>
          </cell>
          <cell r="S447">
            <v>6.78</v>
          </cell>
          <cell r="U447">
            <v>316.42</v>
          </cell>
          <cell r="Y447">
            <v>8.75</v>
          </cell>
          <cell r="AE447" t="str">
            <v>20140101KUUM_363</v>
          </cell>
        </row>
        <row r="448">
          <cell r="B448" t="str">
            <v>Jun 2014</v>
          </cell>
          <cell r="C448" t="str">
            <v>LS</v>
          </cell>
          <cell r="D448" t="str">
            <v>KUUM_364</v>
          </cell>
          <cell r="E448">
            <v>1</v>
          </cell>
          <cell r="G448">
            <v>50</v>
          </cell>
          <cell r="L448">
            <v>0</v>
          </cell>
          <cell r="N448">
            <v>63.11</v>
          </cell>
          <cell r="O448">
            <v>63.110000000000007</v>
          </cell>
          <cell r="Q448">
            <v>0.18</v>
          </cell>
          <cell r="S448">
            <v>1.39</v>
          </cell>
          <cell r="U448">
            <v>64.680000000000007</v>
          </cell>
          <cell r="Y448">
            <v>1.75</v>
          </cell>
          <cell r="AE448" t="str">
            <v>20140101KUUM_364</v>
          </cell>
        </row>
        <row r="449">
          <cell r="B449" t="str">
            <v>Jun 2014</v>
          </cell>
          <cell r="C449" t="str">
            <v>LS</v>
          </cell>
          <cell r="D449" t="str">
            <v>KUUM_365</v>
          </cell>
          <cell r="E449">
            <v>5</v>
          </cell>
          <cell r="G449">
            <v>250</v>
          </cell>
          <cell r="L449">
            <v>0</v>
          </cell>
          <cell r="N449">
            <v>404.7</v>
          </cell>
          <cell r="O449">
            <v>404.7</v>
          </cell>
          <cell r="Q449">
            <v>0.9</v>
          </cell>
          <cell r="S449">
            <v>8.89</v>
          </cell>
          <cell r="U449">
            <v>414.49</v>
          </cell>
          <cell r="Y449">
            <v>8.75</v>
          </cell>
          <cell r="AE449" t="str">
            <v>20140101KUUM_365</v>
          </cell>
        </row>
        <row r="450">
          <cell r="B450" t="str">
            <v>Jun 2014</v>
          </cell>
          <cell r="C450" t="str">
            <v>LS</v>
          </cell>
          <cell r="D450" t="str">
            <v>KUUM_366</v>
          </cell>
          <cell r="E450">
            <v>9</v>
          </cell>
          <cell r="G450">
            <v>449</v>
          </cell>
          <cell r="L450">
            <v>0</v>
          </cell>
          <cell r="N450">
            <v>710.73</v>
          </cell>
          <cell r="O450">
            <v>710.73</v>
          </cell>
          <cell r="Q450">
            <v>1.61</v>
          </cell>
          <cell r="S450">
            <v>15.6</v>
          </cell>
          <cell r="U450">
            <v>727.94</v>
          </cell>
          <cell r="Y450">
            <v>15.75</v>
          </cell>
          <cell r="AE450" t="str">
            <v>20140101KUUM_366</v>
          </cell>
        </row>
        <row r="451">
          <cell r="B451" t="str">
            <v>Jun 2014</v>
          </cell>
          <cell r="C451" t="str">
            <v>LS</v>
          </cell>
          <cell r="D451" t="str">
            <v>KUUM_367</v>
          </cell>
          <cell r="E451">
            <v>25</v>
          </cell>
          <cell r="G451">
            <v>1296</v>
          </cell>
          <cell r="L451">
            <v>0</v>
          </cell>
          <cell r="N451">
            <v>1530.75</v>
          </cell>
          <cell r="O451">
            <v>1530.75</v>
          </cell>
          <cell r="Q451">
            <v>4.63</v>
          </cell>
          <cell r="S451">
            <v>33.619999999999997</v>
          </cell>
          <cell r="U451">
            <v>1569</v>
          </cell>
          <cell r="Y451">
            <v>43.75</v>
          </cell>
          <cell r="AE451" t="str">
            <v>20140101KUUM_367</v>
          </cell>
        </row>
        <row r="452">
          <cell r="B452" t="str">
            <v>Jun 2014</v>
          </cell>
          <cell r="C452" t="str">
            <v>LS</v>
          </cell>
          <cell r="D452" t="str">
            <v>KUUM_368</v>
          </cell>
          <cell r="E452">
            <v>1</v>
          </cell>
          <cell r="G452">
            <v>50</v>
          </cell>
          <cell r="L452">
            <v>0</v>
          </cell>
          <cell r="N452">
            <v>56.69</v>
          </cell>
          <cell r="O452">
            <v>56.69</v>
          </cell>
          <cell r="Q452">
            <v>0.18</v>
          </cell>
          <cell r="S452">
            <v>1.25</v>
          </cell>
          <cell r="U452">
            <v>58.12</v>
          </cell>
          <cell r="Y452">
            <v>1.75</v>
          </cell>
          <cell r="AE452" t="str">
            <v>20140101KUUM_368</v>
          </cell>
        </row>
        <row r="453">
          <cell r="B453" t="str">
            <v>Jun 2014</v>
          </cell>
          <cell r="C453" t="str">
            <v>LS</v>
          </cell>
          <cell r="D453" t="str">
            <v>KUUM_370</v>
          </cell>
          <cell r="E453">
            <v>15</v>
          </cell>
          <cell r="G453">
            <v>753</v>
          </cell>
          <cell r="L453">
            <v>0</v>
          </cell>
          <cell r="N453">
            <v>1117.8</v>
          </cell>
          <cell r="O453">
            <v>1117.8</v>
          </cell>
          <cell r="Q453">
            <v>2.83</v>
          </cell>
          <cell r="S453">
            <v>25.74</v>
          </cell>
          <cell r="U453">
            <v>1146.3699999999999</v>
          </cell>
          <cell r="Y453">
            <v>26.25</v>
          </cell>
          <cell r="AE453" t="str">
            <v>20140101KUUM_370</v>
          </cell>
        </row>
        <row r="454">
          <cell r="B454" t="str">
            <v>Jun 2014</v>
          </cell>
          <cell r="C454" t="str">
            <v>LS</v>
          </cell>
          <cell r="D454" t="str">
            <v>KUUM_372</v>
          </cell>
          <cell r="E454">
            <v>1</v>
          </cell>
          <cell r="G454">
            <v>50</v>
          </cell>
          <cell r="L454">
            <v>0</v>
          </cell>
          <cell r="N454">
            <v>82.3</v>
          </cell>
          <cell r="O454">
            <v>82.300000000000011</v>
          </cell>
          <cell r="Q454">
            <v>0.18</v>
          </cell>
          <cell r="S454">
            <v>1.81</v>
          </cell>
          <cell r="U454">
            <v>84.29</v>
          </cell>
          <cell r="Y454">
            <v>1.75</v>
          </cell>
          <cell r="AE454" t="str">
            <v>20140101KUUM_372</v>
          </cell>
        </row>
        <row r="455">
          <cell r="B455" t="str">
            <v>Jun 2014</v>
          </cell>
          <cell r="C455" t="str">
            <v>LS</v>
          </cell>
          <cell r="D455" t="str">
            <v>KUUM_373</v>
          </cell>
          <cell r="E455">
            <v>20</v>
          </cell>
          <cell r="G455">
            <v>1037</v>
          </cell>
          <cell r="L455">
            <v>0</v>
          </cell>
          <cell r="N455">
            <v>1490.4</v>
          </cell>
          <cell r="O455">
            <v>1490.3999999999999</v>
          </cell>
          <cell r="Q455">
            <v>3.7</v>
          </cell>
          <cell r="S455">
            <v>32.72</v>
          </cell>
          <cell r="U455">
            <v>1526.82</v>
          </cell>
          <cell r="Y455">
            <v>35</v>
          </cell>
          <cell r="AE455" t="str">
            <v>20140101KUUM_373</v>
          </cell>
        </row>
        <row r="456">
          <cell r="B456" t="str">
            <v>Jun 2014</v>
          </cell>
          <cell r="C456" t="str">
            <v>LS</v>
          </cell>
          <cell r="D456" t="str">
            <v>KUUM_374</v>
          </cell>
          <cell r="E456">
            <v>4</v>
          </cell>
          <cell r="G456">
            <v>203</v>
          </cell>
          <cell r="L456">
            <v>0</v>
          </cell>
          <cell r="N456">
            <v>303.52</v>
          </cell>
          <cell r="O456">
            <v>303.52</v>
          </cell>
          <cell r="Q456">
            <v>0.72</v>
          </cell>
          <cell r="S456">
            <v>6.66</v>
          </cell>
          <cell r="U456">
            <v>310.89999999999998</v>
          </cell>
          <cell r="Y456">
            <v>7</v>
          </cell>
          <cell r="AE456" t="str">
            <v>20140101KUUM_374</v>
          </cell>
        </row>
        <row r="457">
          <cell r="B457" t="str">
            <v>Jun 2014</v>
          </cell>
          <cell r="C457" t="str">
            <v>LS</v>
          </cell>
          <cell r="D457" t="str">
            <v>KUUM_375</v>
          </cell>
          <cell r="E457">
            <v>3</v>
          </cell>
          <cell r="G457">
            <v>156</v>
          </cell>
          <cell r="L457">
            <v>0</v>
          </cell>
          <cell r="N457">
            <v>236.91</v>
          </cell>
          <cell r="O457">
            <v>236.91</v>
          </cell>
          <cell r="Q457">
            <v>0.56000000000000005</v>
          </cell>
          <cell r="S457">
            <v>5.2</v>
          </cell>
          <cell r="U457">
            <v>242.67</v>
          </cell>
          <cell r="Y457">
            <v>5.25</v>
          </cell>
          <cell r="AE457" t="str">
            <v>20140101KUUM_375</v>
          </cell>
        </row>
        <row r="458">
          <cell r="B458" t="str">
            <v>Jun 2014</v>
          </cell>
          <cell r="C458" t="str">
            <v>LS</v>
          </cell>
          <cell r="D458" t="str">
            <v>KUUM_376</v>
          </cell>
          <cell r="E458">
            <v>2</v>
          </cell>
          <cell r="G458">
            <v>104</v>
          </cell>
          <cell r="L458">
            <v>0</v>
          </cell>
          <cell r="N458">
            <v>154.52000000000001</v>
          </cell>
          <cell r="O458">
            <v>154.52000000000001</v>
          </cell>
          <cell r="Q458">
            <v>0.37</v>
          </cell>
          <cell r="S458">
            <v>3.39</v>
          </cell>
          <cell r="U458">
            <v>158.28</v>
          </cell>
          <cell r="Y458">
            <v>3.5</v>
          </cell>
          <cell r="AE458" t="str">
            <v>20140101KUUM_376</v>
          </cell>
        </row>
        <row r="459">
          <cell r="B459" t="str">
            <v>Jun 2014</v>
          </cell>
          <cell r="C459" t="str">
            <v>LS</v>
          </cell>
          <cell r="D459" t="str">
            <v>KUUM_377</v>
          </cell>
          <cell r="E459">
            <v>51</v>
          </cell>
          <cell r="G459">
            <v>2622</v>
          </cell>
          <cell r="L459">
            <v>0</v>
          </cell>
          <cell r="N459">
            <v>3273.69</v>
          </cell>
          <cell r="O459">
            <v>3273.69</v>
          </cell>
          <cell r="Q459">
            <v>9.36</v>
          </cell>
          <cell r="S459">
            <v>71.91</v>
          </cell>
          <cell r="U459">
            <v>3354.96</v>
          </cell>
          <cell r="Y459">
            <v>89.25</v>
          </cell>
          <cell r="AE459" t="str">
            <v>20140101KUUM_377</v>
          </cell>
        </row>
        <row r="460">
          <cell r="B460" t="str">
            <v>Jun 2014</v>
          </cell>
          <cell r="C460" t="str">
            <v>LS</v>
          </cell>
          <cell r="D460" t="str">
            <v>KUUM_378</v>
          </cell>
          <cell r="E460">
            <v>2</v>
          </cell>
          <cell r="G460">
            <v>97</v>
          </cell>
          <cell r="L460">
            <v>0</v>
          </cell>
          <cell r="N460">
            <v>151.80000000000001</v>
          </cell>
          <cell r="O460">
            <v>151.79999999999998</v>
          </cell>
          <cell r="Q460">
            <v>0.35</v>
          </cell>
          <cell r="S460">
            <v>3.33</v>
          </cell>
          <cell r="U460">
            <v>155.47999999999999</v>
          </cell>
          <cell r="Y460">
            <v>3.5</v>
          </cell>
          <cell r="AE460" t="str">
            <v>20140101KUUM_378</v>
          </cell>
        </row>
        <row r="461">
          <cell r="B461" t="str">
            <v>Jun 2014</v>
          </cell>
          <cell r="C461" t="str">
            <v>LS</v>
          </cell>
          <cell r="D461" t="str">
            <v>KUUM_401</v>
          </cell>
          <cell r="E461">
            <v>52</v>
          </cell>
          <cell r="G461">
            <v>1185</v>
          </cell>
          <cell r="L461">
            <v>0</v>
          </cell>
          <cell r="N461">
            <v>772.72</v>
          </cell>
          <cell r="O461">
            <v>772.72</v>
          </cell>
          <cell r="Q461">
            <v>5.52</v>
          </cell>
          <cell r="S461">
            <v>21.84</v>
          </cell>
          <cell r="U461">
            <v>800.08</v>
          </cell>
          <cell r="Y461">
            <v>41.6</v>
          </cell>
          <cell r="AE461" t="str">
            <v>20140101KUUM_401</v>
          </cell>
        </row>
        <row r="462">
          <cell r="B462" t="str">
            <v>Jun 2014</v>
          </cell>
          <cell r="C462" t="str">
            <v>RLS</v>
          </cell>
          <cell r="D462" t="str">
            <v>KUUM_404</v>
          </cell>
          <cell r="E462">
            <v>7133</v>
          </cell>
          <cell r="G462">
            <v>397531</v>
          </cell>
          <cell r="L462">
            <v>-496.9</v>
          </cell>
          <cell r="N462">
            <v>74898.91</v>
          </cell>
          <cell r="O462">
            <v>74898.91</v>
          </cell>
          <cell r="Q462">
            <v>1966.27</v>
          </cell>
          <cell r="S462">
            <v>2267.2800000000002</v>
          </cell>
          <cell r="U462">
            <v>79132.460000000006</v>
          </cell>
          <cell r="Y462">
            <v>14194.67</v>
          </cell>
          <cell r="AE462" t="str">
            <v>20140101KUUM_404</v>
          </cell>
        </row>
        <row r="463">
          <cell r="B463" t="str">
            <v>Jun 2014</v>
          </cell>
          <cell r="C463" t="str">
            <v>RLS</v>
          </cell>
          <cell r="D463" t="str">
            <v>KUUM_405</v>
          </cell>
          <cell r="E463">
            <v>0</v>
          </cell>
          <cell r="G463">
            <v>0</v>
          </cell>
          <cell r="L463">
            <v>0</v>
          </cell>
          <cell r="N463">
            <v>0</v>
          </cell>
          <cell r="O463">
            <v>0</v>
          </cell>
          <cell r="Q463">
            <v>0</v>
          </cell>
          <cell r="S463">
            <v>0</v>
          </cell>
          <cell r="U463">
            <v>0</v>
          </cell>
          <cell r="Y463">
            <v>0</v>
          </cell>
          <cell r="AE463" t="str">
            <v>20140101KUUM_405</v>
          </cell>
        </row>
        <row r="464">
          <cell r="B464" t="str">
            <v>Jun 2014</v>
          </cell>
          <cell r="C464" t="str">
            <v>LS</v>
          </cell>
          <cell r="D464" t="str">
            <v>KUUM_407</v>
          </cell>
          <cell r="E464">
            <v>0</v>
          </cell>
          <cell r="G464">
            <v>0</v>
          </cell>
          <cell r="L464">
            <v>0</v>
          </cell>
          <cell r="N464">
            <v>0</v>
          </cell>
          <cell r="O464">
            <v>0</v>
          </cell>
          <cell r="Q464">
            <v>0</v>
          </cell>
          <cell r="S464">
            <v>0</v>
          </cell>
          <cell r="U464">
            <v>0</v>
          </cell>
          <cell r="Y464">
            <v>0</v>
          </cell>
          <cell r="AE464" t="str">
            <v>20140101KUUM_407</v>
          </cell>
        </row>
        <row r="465">
          <cell r="B465" t="str">
            <v>Jun 2014</v>
          </cell>
          <cell r="C465" t="str">
            <v>RLS</v>
          </cell>
          <cell r="D465" t="str">
            <v>KUUM_409</v>
          </cell>
          <cell r="E465">
            <v>141</v>
          </cell>
          <cell r="G465">
            <v>18054</v>
          </cell>
          <cell r="L465">
            <v>-1.51</v>
          </cell>
          <cell r="N465">
            <v>1649.6</v>
          </cell>
          <cell r="O465">
            <v>1649.6</v>
          </cell>
          <cell r="Q465">
            <v>85.34</v>
          </cell>
          <cell r="S465">
            <v>49.57</v>
          </cell>
          <cell r="U465">
            <v>1784.51</v>
          </cell>
          <cell r="Y465">
            <v>638.73</v>
          </cell>
          <cell r="AE465" t="str">
            <v>20140101KUUM_409</v>
          </cell>
        </row>
        <row r="466">
          <cell r="B466" t="str">
            <v>Jun 2014</v>
          </cell>
          <cell r="C466" t="str">
            <v>RLS</v>
          </cell>
          <cell r="D466" t="str">
            <v>KUUM_410</v>
          </cell>
          <cell r="E466">
            <v>240</v>
          </cell>
          <cell r="G466">
            <v>4041</v>
          </cell>
          <cell r="L466">
            <v>0</v>
          </cell>
          <cell r="N466">
            <v>4862.3999999999996</v>
          </cell>
          <cell r="O466">
            <v>4862.4000000000005</v>
          </cell>
          <cell r="Q466">
            <v>20.079999999999998</v>
          </cell>
          <cell r="S466">
            <v>145.99</v>
          </cell>
          <cell r="U466">
            <v>5028.47</v>
          </cell>
          <cell r="Y466">
            <v>136.80000000000001</v>
          </cell>
          <cell r="AE466" t="str">
            <v>20140101KUUM_410</v>
          </cell>
        </row>
        <row r="467">
          <cell r="B467" t="str">
            <v>Jun 2014</v>
          </cell>
          <cell r="C467" t="str">
            <v>LS</v>
          </cell>
          <cell r="D467" t="str">
            <v>KUUM_411</v>
          </cell>
          <cell r="E467">
            <v>150</v>
          </cell>
          <cell r="G467">
            <v>3441</v>
          </cell>
          <cell r="L467">
            <v>0</v>
          </cell>
          <cell r="N467">
            <v>3207</v>
          </cell>
          <cell r="O467">
            <v>3207</v>
          </cell>
          <cell r="Q467">
            <v>17.100000000000001</v>
          </cell>
          <cell r="S467">
            <v>96.39</v>
          </cell>
          <cell r="U467">
            <v>3320.49</v>
          </cell>
          <cell r="Y467">
            <v>120</v>
          </cell>
          <cell r="AE467" t="str">
            <v>20140101KUUM_411</v>
          </cell>
        </row>
        <row r="468">
          <cell r="B468" t="str">
            <v>Jun 2014</v>
          </cell>
          <cell r="C468" t="str">
            <v>RLS</v>
          </cell>
          <cell r="D468" t="str">
            <v>KUUM_412</v>
          </cell>
          <cell r="E468">
            <v>28</v>
          </cell>
          <cell r="G468">
            <v>672</v>
          </cell>
          <cell r="L468">
            <v>0</v>
          </cell>
          <cell r="N468">
            <v>863.52</v>
          </cell>
          <cell r="O468">
            <v>863.52</v>
          </cell>
          <cell r="Q468">
            <v>3.34</v>
          </cell>
          <cell r="S468">
            <v>25.92</v>
          </cell>
          <cell r="U468">
            <v>892.78</v>
          </cell>
          <cell r="Y468">
            <v>22.4</v>
          </cell>
          <cell r="AE468" t="str">
            <v>20140101KUUM_412</v>
          </cell>
        </row>
        <row r="469">
          <cell r="B469" t="str">
            <v>Jun 2014</v>
          </cell>
          <cell r="C469" t="str">
            <v>RLS</v>
          </cell>
          <cell r="D469" t="str">
            <v>KUUM_413</v>
          </cell>
          <cell r="E469">
            <v>96</v>
          </cell>
          <cell r="G469">
            <v>3113</v>
          </cell>
          <cell r="L469">
            <v>0</v>
          </cell>
          <cell r="N469">
            <v>2997.12</v>
          </cell>
          <cell r="O469">
            <v>2997.12</v>
          </cell>
          <cell r="Q469">
            <v>15.48</v>
          </cell>
          <cell r="S469">
            <v>90.07</v>
          </cell>
          <cell r="U469">
            <v>3102.67</v>
          </cell>
          <cell r="Y469">
            <v>108.48</v>
          </cell>
          <cell r="AE469" t="str">
            <v>20140101KUUM_413</v>
          </cell>
        </row>
        <row r="470">
          <cell r="B470" t="str">
            <v>Jun 2014</v>
          </cell>
          <cell r="C470" t="str">
            <v>LS</v>
          </cell>
          <cell r="D470" t="str">
            <v>KUUM_414</v>
          </cell>
          <cell r="E470">
            <v>21</v>
          </cell>
          <cell r="G470">
            <v>476</v>
          </cell>
          <cell r="L470">
            <v>0</v>
          </cell>
          <cell r="N470">
            <v>647.64</v>
          </cell>
          <cell r="O470">
            <v>647.64</v>
          </cell>
          <cell r="Q470">
            <v>1.7</v>
          </cell>
          <cell r="S470">
            <v>14.22</v>
          </cell>
          <cell r="U470">
            <v>663.56</v>
          </cell>
          <cell r="Y470">
            <v>16.8</v>
          </cell>
          <cell r="AE470" t="str">
            <v>20140101KUUM_414</v>
          </cell>
        </row>
        <row r="471">
          <cell r="B471" t="str">
            <v>Jun 2014</v>
          </cell>
          <cell r="C471" t="str">
            <v>LS</v>
          </cell>
          <cell r="D471" t="str">
            <v>KUUM_415</v>
          </cell>
          <cell r="E471">
            <v>10</v>
          </cell>
          <cell r="G471">
            <v>319</v>
          </cell>
          <cell r="L471">
            <v>0</v>
          </cell>
          <cell r="N471">
            <v>312.2</v>
          </cell>
          <cell r="O471">
            <v>312.2</v>
          </cell>
          <cell r="Q471">
            <v>1.1399999999999999</v>
          </cell>
          <cell r="S471">
            <v>6.86</v>
          </cell>
          <cell r="U471">
            <v>320.2</v>
          </cell>
          <cell r="Y471">
            <v>11.3</v>
          </cell>
          <cell r="AE471" t="str">
            <v>20140101KUUM_415</v>
          </cell>
        </row>
        <row r="472">
          <cell r="B472" t="str">
            <v>Jun 2014</v>
          </cell>
          <cell r="C472" t="str">
            <v>LS</v>
          </cell>
          <cell r="D472" t="str">
            <v>KUUM_420</v>
          </cell>
          <cell r="E472">
            <v>477</v>
          </cell>
          <cell r="G472">
            <v>20804</v>
          </cell>
          <cell r="L472">
            <v>2196.48</v>
          </cell>
          <cell r="N472">
            <v>9523.2000000000007</v>
          </cell>
          <cell r="O472">
            <v>9523.2000000000007</v>
          </cell>
          <cell r="Q472">
            <v>97.87</v>
          </cell>
          <cell r="S472">
            <v>272.70999999999998</v>
          </cell>
          <cell r="U472">
            <v>9893.7800000000007</v>
          </cell>
          <cell r="Y472">
            <v>539.01</v>
          </cell>
          <cell r="AE472" t="str">
            <v>20140101KUUM_420</v>
          </cell>
        </row>
        <row r="473">
          <cell r="B473" t="str">
            <v>Jun 2014</v>
          </cell>
          <cell r="C473" t="str">
            <v>RLS</v>
          </cell>
          <cell r="D473" t="str">
            <v>KUUM_421</v>
          </cell>
          <cell r="E473">
            <v>5</v>
          </cell>
          <cell r="G473">
            <v>144</v>
          </cell>
          <cell r="L473">
            <v>0</v>
          </cell>
          <cell r="N473">
            <v>16.95</v>
          </cell>
          <cell r="O473">
            <v>16.95</v>
          </cell>
          <cell r="Q473">
            <v>0.57999999999999996</v>
          </cell>
          <cell r="S473">
            <v>0.45</v>
          </cell>
          <cell r="U473">
            <v>17.98</v>
          </cell>
          <cell r="Y473">
            <v>4.95</v>
          </cell>
          <cell r="AE473" t="str">
            <v>20140101KUUM_421</v>
          </cell>
        </row>
        <row r="474">
          <cell r="B474" t="str">
            <v>Jun 2014</v>
          </cell>
          <cell r="C474" t="str">
            <v>RLS</v>
          </cell>
          <cell r="D474" t="str">
            <v>KUUM_422</v>
          </cell>
          <cell r="E474">
            <v>672</v>
          </cell>
          <cell r="G474">
            <v>37585</v>
          </cell>
          <cell r="L474">
            <v>-9.6199999999999992</v>
          </cell>
          <cell r="N474">
            <v>3041.26</v>
          </cell>
          <cell r="O474">
            <v>3041.26</v>
          </cell>
          <cell r="Q474">
            <v>173.02</v>
          </cell>
          <cell r="S474">
            <v>89.72</v>
          </cell>
          <cell r="U474">
            <v>3304</v>
          </cell>
          <cell r="Y474">
            <v>1303.68</v>
          </cell>
          <cell r="AE474" t="str">
            <v>20140101KUUM_422</v>
          </cell>
        </row>
        <row r="475">
          <cell r="B475" t="str">
            <v>Jun 2014</v>
          </cell>
          <cell r="C475" t="str">
            <v>RLS</v>
          </cell>
          <cell r="D475" t="str">
            <v>KUUM_424</v>
          </cell>
          <cell r="E475">
            <v>47</v>
          </cell>
          <cell r="G475">
            <v>4264</v>
          </cell>
          <cell r="L475">
            <v>-0.47</v>
          </cell>
          <cell r="N475">
            <v>318.19</v>
          </cell>
          <cell r="O475">
            <v>318.19</v>
          </cell>
          <cell r="Q475">
            <v>17.760000000000002</v>
          </cell>
          <cell r="S475">
            <v>8.5299999999999994</v>
          </cell>
          <cell r="U475">
            <v>344.48</v>
          </cell>
          <cell r="Y475">
            <v>32.9</v>
          </cell>
          <cell r="AE475" t="str">
            <v>20140101KUUM_424</v>
          </cell>
        </row>
        <row r="476">
          <cell r="B476" t="str">
            <v>Jun 2014</v>
          </cell>
          <cell r="C476" t="str">
            <v>RLS</v>
          </cell>
          <cell r="D476" t="str">
            <v>KUUM_425</v>
          </cell>
          <cell r="E476">
            <v>2</v>
          </cell>
          <cell r="G476">
            <v>239</v>
          </cell>
          <cell r="L476">
            <v>0</v>
          </cell>
          <cell r="N476">
            <v>18.12</v>
          </cell>
          <cell r="O476">
            <v>18.12</v>
          </cell>
          <cell r="Q476">
            <v>1.19</v>
          </cell>
          <cell r="S476">
            <v>0.57999999999999996</v>
          </cell>
          <cell r="U476">
            <v>19.89</v>
          </cell>
          <cell r="Y476">
            <v>8.6</v>
          </cell>
          <cell r="AE476" t="str">
            <v>20140101KUUM_425</v>
          </cell>
        </row>
        <row r="477">
          <cell r="B477" t="str">
            <v>Jun 2014</v>
          </cell>
          <cell r="C477" t="str">
            <v>RLS</v>
          </cell>
          <cell r="D477" t="str">
            <v>KUUM_426</v>
          </cell>
          <cell r="E477">
            <v>173</v>
          </cell>
          <cell r="G477">
            <v>3824</v>
          </cell>
          <cell r="L477">
            <v>-13.64</v>
          </cell>
          <cell r="N477">
            <v>1273.4799999999998</v>
          </cell>
          <cell r="O477">
            <v>1273.48</v>
          </cell>
          <cell r="Q477">
            <v>18.809999999999999</v>
          </cell>
          <cell r="S477">
            <v>39.299999999999997</v>
          </cell>
          <cell r="U477">
            <v>1331.59</v>
          </cell>
          <cell r="Y477">
            <v>138.4</v>
          </cell>
          <cell r="AE477" t="str">
            <v>20140101KUUM_426</v>
          </cell>
        </row>
        <row r="478">
          <cell r="B478" t="str">
            <v>Jun 2014</v>
          </cell>
          <cell r="C478" t="str">
            <v>LS</v>
          </cell>
          <cell r="D478" t="str">
            <v>KUUM_428</v>
          </cell>
          <cell r="E478">
            <v>36660</v>
          </cell>
          <cell r="G478">
            <v>1151916</v>
          </cell>
          <cell r="L478">
            <v>-2168.69</v>
          </cell>
          <cell r="N478">
            <v>285245.71000000002</v>
          </cell>
          <cell r="O478">
            <v>285245.70999999996</v>
          </cell>
          <cell r="Q478">
            <v>5617.02</v>
          </cell>
          <cell r="S478">
            <v>8713.24</v>
          </cell>
          <cell r="U478">
            <v>299575.96999999997</v>
          </cell>
          <cell r="Y478">
            <v>41425.800000000003</v>
          </cell>
          <cell r="AE478" t="str">
            <v>20140101KUUM_428</v>
          </cell>
        </row>
        <row r="479">
          <cell r="B479" t="str">
            <v>Jun 2014</v>
          </cell>
          <cell r="C479" t="str">
            <v>LS</v>
          </cell>
          <cell r="D479" t="str">
            <v>KUUM_429</v>
          </cell>
          <cell r="E479">
            <v>0</v>
          </cell>
          <cell r="G479">
            <v>0</v>
          </cell>
          <cell r="L479">
            <v>0</v>
          </cell>
          <cell r="N479">
            <v>0</v>
          </cell>
          <cell r="O479">
            <v>0</v>
          </cell>
          <cell r="Q479">
            <v>0</v>
          </cell>
          <cell r="S479">
            <v>0</v>
          </cell>
          <cell r="U479">
            <v>0</v>
          </cell>
          <cell r="Y479">
            <v>0</v>
          </cell>
          <cell r="AE479" t="str">
            <v>20140101KUUM_429</v>
          </cell>
        </row>
        <row r="480">
          <cell r="B480" t="str">
            <v>Jun 2014</v>
          </cell>
          <cell r="C480" t="str">
            <v>LS</v>
          </cell>
          <cell r="D480" t="str">
            <v>KUUM_430</v>
          </cell>
          <cell r="E480">
            <v>1173</v>
          </cell>
          <cell r="G480">
            <v>37577</v>
          </cell>
          <cell r="L480">
            <v>0</v>
          </cell>
          <cell r="N480">
            <v>25806</v>
          </cell>
          <cell r="O480">
            <v>25806</v>
          </cell>
          <cell r="Q480">
            <v>177.34</v>
          </cell>
          <cell r="S480">
            <v>741.26</v>
          </cell>
          <cell r="U480">
            <v>26724.6</v>
          </cell>
          <cell r="Y480">
            <v>1325.49</v>
          </cell>
          <cell r="AE480" t="str">
            <v>20140101KUUM_430</v>
          </cell>
        </row>
        <row r="481">
          <cell r="B481" t="str">
            <v>Jun 2014</v>
          </cell>
          <cell r="C481" t="str">
            <v>RLS</v>
          </cell>
          <cell r="D481" t="str">
            <v>KUUM_434</v>
          </cell>
          <cell r="E481">
            <v>3</v>
          </cell>
          <cell r="G481">
            <v>258</v>
          </cell>
          <cell r="L481">
            <v>-0.8</v>
          </cell>
          <cell r="N481">
            <v>22.419999999999998</v>
          </cell>
          <cell r="O481">
            <v>22.42</v>
          </cell>
          <cell r="Q481">
            <v>0.92</v>
          </cell>
          <cell r="S481">
            <v>0.51</v>
          </cell>
          <cell r="U481">
            <v>23.85</v>
          </cell>
          <cell r="Y481">
            <v>2.1</v>
          </cell>
          <cell r="AE481" t="str">
            <v>20140101KUUM_434</v>
          </cell>
        </row>
        <row r="482">
          <cell r="B482" t="str">
            <v>Jun 2014</v>
          </cell>
          <cell r="C482" t="str">
            <v>RLS</v>
          </cell>
          <cell r="D482" t="str">
            <v>KUUM_440</v>
          </cell>
          <cell r="E482">
            <v>2</v>
          </cell>
          <cell r="G482">
            <v>33</v>
          </cell>
          <cell r="L482">
            <v>0</v>
          </cell>
          <cell r="N482">
            <v>27.22</v>
          </cell>
          <cell r="O482">
            <v>27.22</v>
          </cell>
          <cell r="Q482">
            <v>0.16</v>
          </cell>
          <cell r="S482">
            <v>0.82</v>
          </cell>
          <cell r="U482">
            <v>28.2</v>
          </cell>
          <cell r="Y482">
            <v>1.1399999999999999</v>
          </cell>
          <cell r="AE482" t="str">
            <v>20140101KUUM_440</v>
          </cell>
        </row>
        <row r="483">
          <cell r="B483" t="str">
            <v>Jun 2014</v>
          </cell>
          <cell r="C483" t="str">
            <v>RLS</v>
          </cell>
          <cell r="D483" t="str">
            <v>KUUM_446</v>
          </cell>
          <cell r="E483">
            <v>1083</v>
          </cell>
          <cell r="G483">
            <v>61894</v>
          </cell>
          <cell r="L483">
            <v>-0.33</v>
          </cell>
          <cell r="N483">
            <v>10353.15</v>
          </cell>
          <cell r="O483">
            <v>10353.15</v>
          </cell>
          <cell r="Q483">
            <v>291.85000000000002</v>
          </cell>
          <cell r="S483">
            <v>302.73</v>
          </cell>
          <cell r="U483">
            <v>10947.73</v>
          </cell>
          <cell r="Y483">
            <v>2155.17</v>
          </cell>
          <cell r="AE483" t="str">
            <v>20140101KUUM_446</v>
          </cell>
        </row>
        <row r="484">
          <cell r="B484" t="str">
            <v>Jun 2014</v>
          </cell>
          <cell r="C484" t="str">
            <v>RLS</v>
          </cell>
          <cell r="D484" t="str">
            <v>KUUM_447</v>
          </cell>
          <cell r="E484">
            <v>711</v>
          </cell>
          <cell r="G484">
            <v>56270</v>
          </cell>
          <cell r="L484">
            <v>0</v>
          </cell>
          <cell r="N484">
            <v>8048.52</v>
          </cell>
          <cell r="O484">
            <v>8048.5199999999995</v>
          </cell>
          <cell r="Q484">
            <v>204.35</v>
          </cell>
          <cell r="S484">
            <v>183.54</v>
          </cell>
          <cell r="U484">
            <v>8436.41</v>
          </cell>
          <cell r="Y484">
            <v>2019.24</v>
          </cell>
          <cell r="AE484" t="str">
            <v>20140101KUUM_447</v>
          </cell>
        </row>
        <row r="485">
          <cell r="B485" t="str">
            <v>Jun 2014</v>
          </cell>
          <cell r="C485" t="str">
            <v>RLS</v>
          </cell>
          <cell r="D485" t="str">
            <v>KUUM_448</v>
          </cell>
          <cell r="E485">
            <v>1480</v>
          </cell>
          <cell r="G485">
            <v>182292</v>
          </cell>
          <cell r="L485">
            <v>-8</v>
          </cell>
          <cell r="N485">
            <v>18950.8</v>
          </cell>
          <cell r="O485">
            <v>18950.8</v>
          </cell>
          <cell r="Q485">
            <v>804</v>
          </cell>
          <cell r="S485">
            <v>527.70000000000005</v>
          </cell>
          <cell r="U485">
            <v>20282.5</v>
          </cell>
          <cell r="Y485">
            <v>6467.6</v>
          </cell>
          <cell r="AE485" t="str">
            <v>20140101KUUM_448</v>
          </cell>
        </row>
        <row r="486">
          <cell r="B486" t="str">
            <v>Jun 2014</v>
          </cell>
          <cell r="C486" t="str">
            <v>LS</v>
          </cell>
          <cell r="D486" t="str">
            <v>KUUM_450</v>
          </cell>
          <cell r="E486">
            <v>668</v>
          </cell>
          <cell r="G486">
            <v>27252</v>
          </cell>
          <cell r="L486">
            <v>1.03</v>
          </cell>
          <cell r="N486">
            <v>9520.0300000000007</v>
          </cell>
          <cell r="O486">
            <v>9520.0300000000007</v>
          </cell>
          <cell r="Q486">
            <v>133.78</v>
          </cell>
          <cell r="S486">
            <v>285.27</v>
          </cell>
          <cell r="U486">
            <v>9939.08</v>
          </cell>
          <cell r="Y486">
            <v>1315.96</v>
          </cell>
          <cell r="AE486" t="str">
            <v>20140101KUUM_450</v>
          </cell>
        </row>
        <row r="487">
          <cell r="B487" t="str">
            <v>Jun 2014</v>
          </cell>
          <cell r="C487" t="str">
            <v>LS</v>
          </cell>
          <cell r="D487" t="str">
            <v>KUUM_451</v>
          </cell>
          <cell r="E487">
            <v>5202</v>
          </cell>
          <cell r="G487">
            <v>492479</v>
          </cell>
          <cell r="L487">
            <v>-430.79</v>
          </cell>
          <cell r="N487">
            <v>104649.61</v>
          </cell>
          <cell r="O487">
            <v>104649.61</v>
          </cell>
          <cell r="Q487">
            <v>2418.4499999999998</v>
          </cell>
          <cell r="S487">
            <v>3170.91</v>
          </cell>
          <cell r="U487">
            <v>110238.97</v>
          </cell>
          <cell r="Y487">
            <v>22316.58</v>
          </cell>
          <cell r="AE487" t="str">
            <v>20140101KUUM_451</v>
          </cell>
        </row>
        <row r="488">
          <cell r="B488" t="str">
            <v>Jun 2014</v>
          </cell>
          <cell r="C488" t="str">
            <v>LS</v>
          </cell>
          <cell r="D488" t="str">
            <v>KUUM_452</v>
          </cell>
          <cell r="E488">
            <v>1041</v>
          </cell>
          <cell r="G488">
            <v>304174</v>
          </cell>
          <cell r="L488">
            <v>-73.94</v>
          </cell>
          <cell r="N488">
            <v>44012.409999999996</v>
          </cell>
          <cell r="O488">
            <v>44012.409999999996</v>
          </cell>
          <cell r="Q488">
            <v>1501.37</v>
          </cell>
          <cell r="S488">
            <v>1352.21</v>
          </cell>
          <cell r="U488">
            <v>46865.99</v>
          </cell>
          <cell r="Y488">
            <v>10836.81</v>
          </cell>
          <cell r="AE488" t="str">
            <v>20140101KUUM_452</v>
          </cell>
        </row>
        <row r="489">
          <cell r="B489" t="str">
            <v>Jun 2014</v>
          </cell>
          <cell r="C489" t="str">
            <v>RLS</v>
          </cell>
          <cell r="D489" t="str">
            <v>KUUM_454</v>
          </cell>
          <cell r="E489">
            <v>150</v>
          </cell>
          <cell r="G489">
            <v>6119</v>
          </cell>
          <cell r="L489">
            <v>0</v>
          </cell>
          <cell r="N489">
            <v>2797.5</v>
          </cell>
          <cell r="O489">
            <v>2797.5</v>
          </cell>
          <cell r="Q489">
            <v>29.78</v>
          </cell>
          <cell r="S489">
            <v>82.88</v>
          </cell>
          <cell r="U489">
            <v>2910.16</v>
          </cell>
          <cell r="Y489">
            <v>295.5</v>
          </cell>
          <cell r="AE489" t="str">
            <v>20140101KUUM_454</v>
          </cell>
        </row>
        <row r="490">
          <cell r="B490" t="str">
            <v>Jun 2014</v>
          </cell>
          <cell r="C490" t="str">
            <v>RLS</v>
          </cell>
          <cell r="D490" t="str">
            <v>KUUM_455</v>
          </cell>
          <cell r="E490">
            <v>1026</v>
          </cell>
          <cell r="G490">
            <v>97919</v>
          </cell>
          <cell r="L490">
            <v>-49.18</v>
          </cell>
          <cell r="N490">
            <v>25180.16</v>
          </cell>
          <cell r="O490">
            <v>25180.16</v>
          </cell>
          <cell r="Q490">
            <v>481.99</v>
          </cell>
          <cell r="S490">
            <v>761.54</v>
          </cell>
          <cell r="U490">
            <v>26423.69</v>
          </cell>
          <cell r="Y490">
            <v>4401.54</v>
          </cell>
          <cell r="AE490" t="str">
            <v>20140101KUUM_455</v>
          </cell>
        </row>
        <row r="491">
          <cell r="B491" t="str">
            <v>Jun 2014</v>
          </cell>
          <cell r="C491" t="str">
            <v>RLS</v>
          </cell>
          <cell r="D491" t="str">
            <v>KUUM_456</v>
          </cell>
          <cell r="E491">
            <v>141</v>
          </cell>
          <cell r="G491">
            <v>9161</v>
          </cell>
          <cell r="L491">
            <v>169.74</v>
          </cell>
          <cell r="N491">
            <v>1843.41</v>
          </cell>
          <cell r="O491">
            <v>1843.4099999999999</v>
          </cell>
          <cell r="Q491">
            <v>44.04</v>
          </cell>
          <cell r="S491">
            <v>54.59</v>
          </cell>
          <cell r="U491">
            <v>1942.04</v>
          </cell>
          <cell r="Y491">
            <v>280.58999999999997</v>
          </cell>
          <cell r="AE491" t="str">
            <v>20140101KUUM_456</v>
          </cell>
        </row>
        <row r="492">
          <cell r="B492" t="str">
            <v>Jun 2014</v>
          </cell>
          <cell r="C492" t="str">
            <v>RLS</v>
          </cell>
          <cell r="D492" t="str">
            <v>KUUM_457</v>
          </cell>
          <cell r="E492">
            <v>453</v>
          </cell>
          <cell r="G492">
            <v>35797</v>
          </cell>
          <cell r="L492">
            <v>0</v>
          </cell>
          <cell r="N492">
            <v>6052.08</v>
          </cell>
          <cell r="O492">
            <v>6052.08</v>
          </cell>
          <cell r="Q492">
            <v>127.9</v>
          </cell>
          <cell r="S492">
            <v>135.44999999999999</v>
          </cell>
          <cell r="U492">
            <v>6315.43</v>
          </cell>
          <cell r="Y492">
            <v>1286.52</v>
          </cell>
          <cell r="AE492" t="str">
            <v>20140101KUUM_457</v>
          </cell>
        </row>
        <row r="493">
          <cell r="B493" t="str">
            <v>Jun 2014</v>
          </cell>
          <cell r="C493" t="str">
            <v>RLS</v>
          </cell>
          <cell r="D493" t="str">
            <v>KUUM_458</v>
          </cell>
          <cell r="E493">
            <v>1460</v>
          </cell>
          <cell r="G493">
            <v>178050</v>
          </cell>
          <cell r="L493">
            <v>-52.78</v>
          </cell>
          <cell r="N493">
            <v>21964.02</v>
          </cell>
          <cell r="O493">
            <v>21964.02</v>
          </cell>
          <cell r="Q493">
            <v>713.65</v>
          </cell>
          <cell r="S493">
            <v>553.97</v>
          </cell>
          <cell r="U493">
            <v>23231.64</v>
          </cell>
          <cell r="Y493">
            <v>6380.2</v>
          </cell>
          <cell r="AE493" t="str">
            <v>20140101KUUM_458</v>
          </cell>
        </row>
        <row r="494">
          <cell r="B494" t="str">
            <v>Jun 2014</v>
          </cell>
          <cell r="C494" t="str">
            <v>RLS</v>
          </cell>
          <cell r="D494" t="str">
            <v>KUUM_459</v>
          </cell>
          <cell r="E494">
            <v>226</v>
          </cell>
          <cell r="G494">
            <v>66115</v>
          </cell>
          <cell r="L494">
            <v>-31.16</v>
          </cell>
          <cell r="N494">
            <v>10532.08</v>
          </cell>
          <cell r="O494">
            <v>10532.08</v>
          </cell>
          <cell r="Q494">
            <v>326.17</v>
          </cell>
          <cell r="S494">
            <v>322.33999999999997</v>
          </cell>
          <cell r="U494">
            <v>11180.59</v>
          </cell>
          <cell r="Y494">
            <v>2352.66</v>
          </cell>
          <cell r="AE494" t="str">
            <v>20140101KUUM_459</v>
          </cell>
        </row>
        <row r="495">
          <cell r="B495" t="str">
            <v>Jun 2014</v>
          </cell>
          <cell r="C495" t="str">
            <v>RLS</v>
          </cell>
          <cell r="D495" t="str">
            <v>KUUM_460</v>
          </cell>
          <cell r="E495">
            <v>26</v>
          </cell>
          <cell r="G495">
            <v>1118</v>
          </cell>
          <cell r="L495">
            <v>0</v>
          </cell>
          <cell r="N495">
            <v>705.9</v>
          </cell>
          <cell r="O495">
            <v>705.9</v>
          </cell>
          <cell r="Q495">
            <v>4.8499999999999996</v>
          </cell>
          <cell r="S495">
            <v>18.850000000000001</v>
          </cell>
          <cell r="U495">
            <v>729.6</v>
          </cell>
          <cell r="Y495">
            <v>51.22</v>
          </cell>
          <cell r="AE495" t="str">
            <v>20140101KUUM_460</v>
          </cell>
        </row>
        <row r="496">
          <cell r="B496" t="str">
            <v>Jun 2014</v>
          </cell>
          <cell r="C496" t="str">
            <v>RLS</v>
          </cell>
          <cell r="D496" t="str">
            <v>KUUM_461</v>
          </cell>
          <cell r="E496">
            <v>6930</v>
          </cell>
          <cell r="G496">
            <v>113244</v>
          </cell>
          <cell r="L496">
            <v>0</v>
          </cell>
          <cell r="N496">
            <v>52252.2</v>
          </cell>
          <cell r="O496">
            <v>52252.2</v>
          </cell>
          <cell r="Q496">
            <v>518.41</v>
          </cell>
          <cell r="S496">
            <v>1460.24</v>
          </cell>
          <cell r="U496">
            <v>54230.85</v>
          </cell>
          <cell r="Y496">
            <v>3950.1</v>
          </cell>
          <cell r="AE496" t="str">
            <v>20140101KUUM_461</v>
          </cell>
        </row>
        <row r="497">
          <cell r="B497" t="str">
            <v>Jun 2014</v>
          </cell>
          <cell r="C497" t="str">
            <v>LS</v>
          </cell>
          <cell r="D497" t="str">
            <v>KUUM_462</v>
          </cell>
          <cell r="E497">
            <v>8748</v>
          </cell>
          <cell r="G497">
            <v>199542</v>
          </cell>
          <cell r="L497">
            <v>7.46</v>
          </cell>
          <cell r="N497">
            <v>75765.14</v>
          </cell>
          <cell r="O497">
            <v>75765.14</v>
          </cell>
          <cell r="Q497">
            <v>867.57</v>
          </cell>
          <cell r="S497">
            <v>2016.82</v>
          </cell>
          <cell r="U497">
            <v>78649.53</v>
          </cell>
          <cell r="Y497">
            <v>6998.4</v>
          </cell>
          <cell r="AE497" t="str">
            <v>20140101KUUM_462</v>
          </cell>
        </row>
        <row r="498">
          <cell r="B498" t="str">
            <v>Jun 2014</v>
          </cell>
          <cell r="C498" t="str">
            <v>LS</v>
          </cell>
          <cell r="D498" t="str">
            <v>KUUM_463</v>
          </cell>
          <cell r="E498">
            <v>20390</v>
          </cell>
          <cell r="G498">
            <v>675986</v>
          </cell>
          <cell r="L498">
            <v>6408.3</v>
          </cell>
          <cell r="N498">
            <v>192772.9</v>
          </cell>
          <cell r="O498">
            <v>192772.90000000002</v>
          </cell>
          <cell r="Q498">
            <v>3095.88</v>
          </cell>
          <cell r="S498">
            <v>5424.42</v>
          </cell>
          <cell r="U498">
            <v>201293.2</v>
          </cell>
          <cell r="Y498">
            <v>23040.7</v>
          </cell>
          <cell r="AE498" t="str">
            <v>20140101KUUM_463</v>
          </cell>
        </row>
        <row r="499">
          <cell r="B499" t="str">
            <v>Jun 2014</v>
          </cell>
          <cell r="C499" t="str">
            <v>LS</v>
          </cell>
          <cell r="D499" t="str">
            <v>KUUM_464</v>
          </cell>
          <cell r="E499">
            <v>7581</v>
          </cell>
          <cell r="G499">
            <v>502539</v>
          </cell>
          <cell r="L499">
            <v>-90.25</v>
          </cell>
          <cell r="N499">
            <v>107939</v>
          </cell>
          <cell r="O499">
            <v>107939</v>
          </cell>
          <cell r="Q499">
            <v>2343.5</v>
          </cell>
          <cell r="S499">
            <v>3109.04</v>
          </cell>
          <cell r="U499">
            <v>113391.54</v>
          </cell>
          <cell r="Y499">
            <v>17663.73</v>
          </cell>
          <cell r="AE499" t="str">
            <v>20140101KUUM_464</v>
          </cell>
        </row>
        <row r="500">
          <cell r="B500" t="str">
            <v>Jun 2014</v>
          </cell>
          <cell r="C500" t="str">
            <v>LS</v>
          </cell>
          <cell r="D500" t="str">
            <v>KUUM_465</v>
          </cell>
          <cell r="E500">
            <v>2810</v>
          </cell>
          <cell r="G500">
            <v>361038</v>
          </cell>
          <cell r="L500">
            <v>-181.96</v>
          </cell>
          <cell r="N500">
            <v>63998.44</v>
          </cell>
          <cell r="O500">
            <v>63998.44</v>
          </cell>
          <cell r="Q500">
            <v>1732.52</v>
          </cell>
          <cell r="S500">
            <v>1900.65</v>
          </cell>
          <cell r="U500">
            <v>67631.61</v>
          </cell>
          <cell r="Y500">
            <v>12729.3</v>
          </cell>
          <cell r="AE500" t="str">
            <v>20140101KUUM_465</v>
          </cell>
        </row>
        <row r="501">
          <cell r="B501" t="str">
            <v>Jun 2014</v>
          </cell>
          <cell r="C501" t="str">
            <v>RLS</v>
          </cell>
          <cell r="D501" t="str">
            <v>KUUM_466</v>
          </cell>
          <cell r="E501">
            <v>864</v>
          </cell>
          <cell r="G501">
            <v>14462</v>
          </cell>
          <cell r="L501">
            <v>-59</v>
          </cell>
          <cell r="N501">
            <v>8252.68</v>
          </cell>
          <cell r="O501">
            <v>8252.68</v>
          </cell>
          <cell r="Q501">
            <v>67.180000000000007</v>
          </cell>
          <cell r="S501">
            <v>233.12</v>
          </cell>
          <cell r="U501">
            <v>8552.98</v>
          </cell>
          <cell r="Y501">
            <v>492.48</v>
          </cell>
          <cell r="AE501" t="str">
            <v>20140101KUUM_466</v>
          </cell>
        </row>
        <row r="502">
          <cell r="B502" t="str">
            <v>Jun 2014</v>
          </cell>
          <cell r="C502" t="str">
            <v>LS</v>
          </cell>
          <cell r="D502" t="str">
            <v>KUUM_467</v>
          </cell>
          <cell r="E502">
            <v>1364</v>
          </cell>
          <cell r="G502">
            <v>31452</v>
          </cell>
          <cell r="L502">
            <v>-10.77</v>
          </cell>
          <cell r="N502">
            <v>14679.51</v>
          </cell>
          <cell r="O502">
            <v>14679.51</v>
          </cell>
          <cell r="Q502">
            <v>145.41</v>
          </cell>
          <cell r="S502">
            <v>414.68</v>
          </cell>
          <cell r="U502">
            <v>15239.6</v>
          </cell>
          <cell r="Y502">
            <v>1091.2</v>
          </cell>
          <cell r="AE502" t="str">
            <v>20140101KUUM_467</v>
          </cell>
        </row>
        <row r="503">
          <cell r="B503" t="str">
            <v>Jun 2014</v>
          </cell>
          <cell r="C503" t="str">
            <v>LS</v>
          </cell>
          <cell r="D503" t="str">
            <v>KUUM_468</v>
          </cell>
          <cell r="E503">
            <v>4032</v>
          </cell>
          <cell r="G503">
            <v>128481</v>
          </cell>
          <cell r="L503">
            <v>-37.19</v>
          </cell>
          <cell r="N503">
            <v>44959.93</v>
          </cell>
          <cell r="O503">
            <v>44959.93</v>
          </cell>
          <cell r="Q503">
            <v>627.15</v>
          </cell>
          <cell r="S503">
            <v>1341.29</v>
          </cell>
          <cell r="U503">
            <v>46928.37</v>
          </cell>
          <cell r="Y503">
            <v>4556.16</v>
          </cell>
          <cell r="AE503" t="str">
            <v>20140101KUUM_468</v>
          </cell>
        </row>
        <row r="504">
          <cell r="B504" t="str">
            <v>Jun 2014</v>
          </cell>
          <cell r="C504" t="str">
            <v>RLS</v>
          </cell>
          <cell r="D504" t="str">
            <v>KUUM_469</v>
          </cell>
          <cell r="E504">
            <v>295</v>
          </cell>
          <cell r="G504">
            <v>28022</v>
          </cell>
          <cell r="L504">
            <v>-27.58</v>
          </cell>
          <cell r="N504">
            <v>9736.92</v>
          </cell>
          <cell r="O504">
            <v>9736.92</v>
          </cell>
          <cell r="Q504">
            <v>137.38999999999999</v>
          </cell>
          <cell r="S504">
            <v>291.7</v>
          </cell>
          <cell r="U504">
            <v>10166.01</v>
          </cell>
          <cell r="Y504">
            <v>1265.55</v>
          </cell>
          <cell r="AE504" t="str">
            <v>20140101KUUM_469</v>
          </cell>
        </row>
        <row r="505">
          <cell r="B505" t="str">
            <v>Jun 2014</v>
          </cell>
          <cell r="C505" t="str">
            <v>RLS</v>
          </cell>
          <cell r="D505" t="str">
            <v>KUUM_470</v>
          </cell>
          <cell r="E505">
            <v>61</v>
          </cell>
          <cell r="G505">
            <v>17537</v>
          </cell>
          <cell r="L505">
            <v>0</v>
          </cell>
          <cell r="N505">
            <v>3370.25</v>
          </cell>
          <cell r="O505">
            <v>3370.25</v>
          </cell>
          <cell r="Q505">
            <v>87.17</v>
          </cell>
          <cell r="S505">
            <v>103.39</v>
          </cell>
          <cell r="U505">
            <v>3560.81</v>
          </cell>
          <cell r="Y505">
            <v>635.01</v>
          </cell>
          <cell r="AE505" t="str">
            <v>20140101KUUM_470</v>
          </cell>
        </row>
        <row r="506">
          <cell r="B506" t="str">
            <v>Jun 2014</v>
          </cell>
          <cell r="C506" t="str">
            <v>RLS</v>
          </cell>
          <cell r="D506" t="str">
            <v>KUUM_471</v>
          </cell>
          <cell r="E506">
            <v>3666</v>
          </cell>
          <cell r="G506">
            <v>59109</v>
          </cell>
          <cell r="L506">
            <v>0</v>
          </cell>
          <cell r="N506">
            <v>38456.339999999997</v>
          </cell>
          <cell r="O506">
            <v>38456.339999999997</v>
          </cell>
          <cell r="Q506">
            <v>211.13</v>
          </cell>
          <cell r="S506">
            <v>847.24</v>
          </cell>
          <cell r="U506">
            <v>39514.71</v>
          </cell>
          <cell r="Y506">
            <v>2089.62</v>
          </cell>
          <cell r="AE506" t="str">
            <v>20140101KUUM_471</v>
          </cell>
        </row>
        <row r="507">
          <cell r="B507" t="str">
            <v>Jun 2014</v>
          </cell>
          <cell r="C507" t="str">
            <v>LS</v>
          </cell>
          <cell r="D507" t="str">
            <v>KUUM_472</v>
          </cell>
          <cell r="E507">
            <v>8766</v>
          </cell>
          <cell r="G507">
            <v>195755</v>
          </cell>
          <cell r="L507">
            <v>126</v>
          </cell>
          <cell r="N507">
            <v>101811.6</v>
          </cell>
          <cell r="O507">
            <v>101811.6</v>
          </cell>
          <cell r="Q507">
            <v>701.34</v>
          </cell>
          <cell r="S507">
            <v>2252.5300000000002</v>
          </cell>
          <cell r="U507">
            <v>104765.47</v>
          </cell>
          <cell r="Y507">
            <v>7012.8</v>
          </cell>
          <cell r="AE507" t="str">
            <v>20140101KUUM_472</v>
          </cell>
        </row>
        <row r="508">
          <cell r="B508" t="str">
            <v>Jun 2014</v>
          </cell>
          <cell r="C508" t="str">
            <v>LS</v>
          </cell>
          <cell r="D508" t="str">
            <v>KUUM_473</v>
          </cell>
          <cell r="E508">
            <v>3372</v>
          </cell>
          <cell r="G508">
            <v>106302</v>
          </cell>
          <cell r="L508">
            <v>1.28</v>
          </cell>
          <cell r="N508">
            <v>41476.879999999997</v>
          </cell>
          <cell r="O508">
            <v>41476.879999999997</v>
          </cell>
          <cell r="Q508">
            <v>437.26</v>
          </cell>
          <cell r="S508">
            <v>1048.74</v>
          </cell>
          <cell r="U508">
            <v>42962.879999999997</v>
          </cell>
          <cell r="Y508">
            <v>3810.36</v>
          </cell>
          <cell r="AE508" t="str">
            <v>20140101KUUM_473</v>
          </cell>
        </row>
        <row r="509">
          <cell r="B509" t="str">
            <v>Jun 2014</v>
          </cell>
          <cell r="C509" t="str">
            <v>LS</v>
          </cell>
          <cell r="D509" t="str">
            <v>KUUM_474</v>
          </cell>
          <cell r="E509">
            <v>5195</v>
          </cell>
          <cell r="G509">
            <v>340071</v>
          </cell>
          <cell r="L509">
            <v>-17.54</v>
          </cell>
          <cell r="N509">
            <v>90427.41</v>
          </cell>
          <cell r="O509">
            <v>90427.41</v>
          </cell>
          <cell r="Q509">
            <v>1403.04</v>
          </cell>
          <cell r="S509">
            <v>2301.6799999999998</v>
          </cell>
          <cell r="U509">
            <v>94132.13</v>
          </cell>
          <cell r="Y509">
            <v>12104.35</v>
          </cell>
          <cell r="AE509" t="str">
            <v>20140101KUUM_474</v>
          </cell>
        </row>
        <row r="510">
          <cell r="B510" t="str">
            <v>Jun 2014</v>
          </cell>
          <cell r="C510" t="str">
            <v>LS</v>
          </cell>
          <cell r="D510" t="str">
            <v>KUUM_475</v>
          </cell>
          <cell r="E510">
            <v>508</v>
          </cell>
          <cell r="G510">
            <v>65574</v>
          </cell>
          <cell r="L510">
            <v>-10.119999999999999</v>
          </cell>
          <cell r="N510">
            <v>12415.56</v>
          </cell>
          <cell r="O510">
            <v>12415.56</v>
          </cell>
          <cell r="Q510">
            <v>269.58</v>
          </cell>
          <cell r="S510">
            <v>316.36</v>
          </cell>
          <cell r="U510">
            <v>13001.5</v>
          </cell>
          <cell r="Y510">
            <v>2301.2399999999998</v>
          </cell>
          <cell r="AE510" t="str">
            <v>20140101KUUM_475</v>
          </cell>
        </row>
        <row r="511">
          <cell r="B511" t="str">
            <v>Jun 2014</v>
          </cell>
          <cell r="C511" t="str">
            <v>LS</v>
          </cell>
          <cell r="D511" t="str">
            <v>KUUM_476</v>
          </cell>
          <cell r="E511">
            <v>4563</v>
          </cell>
          <cell r="G511">
            <v>101832</v>
          </cell>
          <cell r="L511">
            <v>0</v>
          </cell>
          <cell r="N511">
            <v>76612.77</v>
          </cell>
          <cell r="O511">
            <v>76612.77</v>
          </cell>
          <cell r="Q511">
            <v>364.18</v>
          </cell>
          <cell r="S511">
            <v>1688.51</v>
          </cell>
          <cell r="U511">
            <v>78665.460000000006</v>
          </cell>
          <cell r="Y511">
            <v>3650.4</v>
          </cell>
          <cell r="AE511" t="str">
            <v>20140101KUUM_476</v>
          </cell>
        </row>
        <row r="512">
          <cell r="B512" t="str">
            <v>Jun 2014</v>
          </cell>
          <cell r="C512" t="str">
            <v>LS</v>
          </cell>
          <cell r="D512" t="str">
            <v>KUUM_477</v>
          </cell>
          <cell r="E512">
            <v>1052</v>
          </cell>
          <cell r="G512">
            <v>33657</v>
          </cell>
          <cell r="L512">
            <v>0</v>
          </cell>
          <cell r="N512">
            <v>22060.44</v>
          </cell>
          <cell r="O512">
            <v>22060.440000000002</v>
          </cell>
          <cell r="Q512">
            <v>143.13</v>
          </cell>
          <cell r="S512">
            <v>572.49</v>
          </cell>
          <cell r="U512">
            <v>22776.06</v>
          </cell>
          <cell r="Y512">
            <v>1188.76</v>
          </cell>
          <cell r="AE512" t="str">
            <v>20140101KUUM_477</v>
          </cell>
        </row>
        <row r="513">
          <cell r="B513" t="str">
            <v>Jun 2014</v>
          </cell>
          <cell r="C513" t="str">
            <v>LS</v>
          </cell>
          <cell r="D513" t="str">
            <v>KUUM_478</v>
          </cell>
          <cell r="E513">
            <v>1407</v>
          </cell>
          <cell r="G513">
            <v>92710</v>
          </cell>
          <cell r="L513">
            <v>0</v>
          </cell>
          <cell r="N513">
            <v>37792.019999999997</v>
          </cell>
          <cell r="O513">
            <v>37792.020000000004</v>
          </cell>
          <cell r="Q513">
            <v>405.99</v>
          </cell>
          <cell r="S513">
            <v>1012.47</v>
          </cell>
          <cell r="U513">
            <v>39210.480000000003</v>
          </cell>
          <cell r="Y513">
            <v>3278.31</v>
          </cell>
          <cell r="AE513" t="str">
            <v>20140101KUUM_478</v>
          </cell>
        </row>
        <row r="514">
          <cell r="B514" t="str">
            <v>Jun 2014</v>
          </cell>
          <cell r="C514" t="str">
            <v>LS</v>
          </cell>
          <cell r="D514" t="str">
            <v>KUUM_479</v>
          </cell>
          <cell r="E514">
            <v>941</v>
          </cell>
          <cell r="G514">
            <v>120887</v>
          </cell>
          <cell r="L514">
            <v>15.46</v>
          </cell>
          <cell r="N514">
            <v>31181.379999999997</v>
          </cell>
          <cell r="O514">
            <v>31181.38</v>
          </cell>
          <cell r="Q514">
            <v>579.66</v>
          </cell>
          <cell r="S514">
            <v>918.43</v>
          </cell>
          <cell r="U514">
            <v>32679.47</v>
          </cell>
          <cell r="Y514">
            <v>4262.7299999999996</v>
          </cell>
          <cell r="AE514" t="str">
            <v>20140101KUUM_479</v>
          </cell>
        </row>
        <row r="515">
          <cell r="B515" t="str">
            <v>Jun 2014</v>
          </cell>
          <cell r="C515" t="str">
            <v>LS</v>
          </cell>
          <cell r="D515" t="str">
            <v>KUUM_486</v>
          </cell>
          <cell r="E515">
            <v>0</v>
          </cell>
          <cell r="G515">
            <v>0</v>
          </cell>
          <cell r="L515">
            <v>0</v>
          </cell>
          <cell r="N515">
            <v>0</v>
          </cell>
          <cell r="O515">
            <v>0</v>
          </cell>
          <cell r="Q515">
            <v>0</v>
          </cell>
          <cell r="S515">
            <v>0</v>
          </cell>
          <cell r="U515">
            <v>0</v>
          </cell>
          <cell r="Y515">
            <v>0</v>
          </cell>
          <cell r="AE515" t="str">
            <v>20140101KUUM_486</v>
          </cell>
        </row>
        <row r="516">
          <cell r="B516" t="str">
            <v>Jun 2014</v>
          </cell>
          <cell r="C516" t="str">
            <v>LS</v>
          </cell>
          <cell r="D516" t="str">
            <v>KUUM_487</v>
          </cell>
          <cell r="E516">
            <v>11165</v>
          </cell>
          <cell r="G516">
            <v>350850</v>
          </cell>
          <cell r="L516">
            <v>-671.28</v>
          </cell>
          <cell r="N516">
            <v>99813.72</v>
          </cell>
          <cell r="O516">
            <v>99813.72</v>
          </cell>
          <cell r="Q516">
            <v>1709.32</v>
          </cell>
          <cell r="S516">
            <v>2996.25</v>
          </cell>
          <cell r="U516">
            <v>104519.29</v>
          </cell>
          <cell r="Y516">
            <v>12616.45</v>
          </cell>
          <cell r="AE516" t="str">
            <v>20140101KUUM_487</v>
          </cell>
        </row>
        <row r="517">
          <cell r="B517" t="str">
            <v>Jun 2014</v>
          </cell>
          <cell r="C517" t="str">
            <v>LS</v>
          </cell>
          <cell r="D517" t="str">
            <v>KUUM_488</v>
          </cell>
          <cell r="E517">
            <v>6630</v>
          </cell>
          <cell r="G517">
            <v>433016</v>
          </cell>
          <cell r="L517">
            <v>-377.83</v>
          </cell>
          <cell r="N517">
            <v>90055.37</v>
          </cell>
          <cell r="O517">
            <v>90055.37</v>
          </cell>
          <cell r="Q517">
            <v>2127.34</v>
          </cell>
          <cell r="S517">
            <v>2736.51</v>
          </cell>
          <cell r="U517">
            <v>94919.22</v>
          </cell>
          <cell r="Y517">
            <v>15447.9</v>
          </cell>
          <cell r="AE517" t="str">
            <v>20140101KUUM_488</v>
          </cell>
        </row>
        <row r="518">
          <cell r="B518" t="str">
            <v>Jun 2014</v>
          </cell>
          <cell r="C518" t="str">
            <v>LS</v>
          </cell>
          <cell r="D518" t="str">
            <v>KUUM_489</v>
          </cell>
          <cell r="E518">
            <v>8378</v>
          </cell>
          <cell r="G518">
            <v>1073293</v>
          </cell>
          <cell r="L518">
            <v>-175.22</v>
          </cell>
          <cell r="N518">
            <v>162860.66</v>
          </cell>
          <cell r="O518">
            <v>162860.65999999997</v>
          </cell>
          <cell r="Q518">
            <v>5234.46</v>
          </cell>
          <cell r="S518">
            <v>4942.6499999999996</v>
          </cell>
          <cell r="U518">
            <v>173037.77</v>
          </cell>
          <cell r="Y518">
            <v>37952.339999999997</v>
          </cell>
          <cell r="AE518" t="str">
            <v>20140101KUUM_489</v>
          </cell>
        </row>
        <row r="519">
          <cell r="B519" t="str">
            <v>Jun 2014</v>
          </cell>
          <cell r="C519" t="str">
            <v>LS</v>
          </cell>
          <cell r="D519" t="str">
            <v>KUUM_490</v>
          </cell>
          <cell r="E519">
            <v>58</v>
          </cell>
          <cell r="G519">
            <v>2307</v>
          </cell>
          <cell r="L519">
            <v>0</v>
          </cell>
          <cell r="N519">
            <v>897.26</v>
          </cell>
          <cell r="O519">
            <v>897.26</v>
          </cell>
          <cell r="Q519">
            <v>11.41</v>
          </cell>
          <cell r="S519">
            <v>27.05</v>
          </cell>
          <cell r="U519">
            <v>935.72</v>
          </cell>
          <cell r="Y519">
            <v>114.26</v>
          </cell>
          <cell r="AE519" t="str">
            <v>20140101KUUM_490</v>
          </cell>
        </row>
        <row r="520">
          <cell r="B520" t="str">
            <v>Jun 2014</v>
          </cell>
          <cell r="C520" t="str">
            <v>LS</v>
          </cell>
          <cell r="D520" t="str">
            <v>KUUM_491</v>
          </cell>
          <cell r="E520">
            <v>312</v>
          </cell>
          <cell r="G520">
            <v>32617</v>
          </cell>
          <cell r="L520">
            <v>515.36</v>
          </cell>
          <cell r="N520">
            <v>7357.5199999999995</v>
          </cell>
          <cell r="O520">
            <v>7357.5199999999995</v>
          </cell>
          <cell r="Q520">
            <v>160.04</v>
          </cell>
          <cell r="S520">
            <v>222.14</v>
          </cell>
          <cell r="U520">
            <v>7739.7</v>
          </cell>
          <cell r="Y520">
            <v>1338.48</v>
          </cell>
          <cell r="AE520" t="str">
            <v>20140101KUUM_491</v>
          </cell>
        </row>
        <row r="521">
          <cell r="B521" t="str">
            <v>Jun 2014</v>
          </cell>
          <cell r="C521" t="str">
            <v>LS</v>
          </cell>
          <cell r="D521" t="str">
            <v>KUUM_492</v>
          </cell>
          <cell r="E521">
            <v>2</v>
          </cell>
          <cell r="G521">
            <v>46</v>
          </cell>
          <cell r="L521">
            <v>0</v>
          </cell>
          <cell r="N521">
            <v>30.74</v>
          </cell>
          <cell r="O521">
            <v>30.74</v>
          </cell>
          <cell r="Q521">
            <v>0.23</v>
          </cell>
          <cell r="S521">
            <v>0.93</v>
          </cell>
          <cell r="U521">
            <v>31.9</v>
          </cell>
          <cell r="Y521">
            <v>1.6</v>
          </cell>
          <cell r="AE521" t="str">
            <v>20140101KUUM_492</v>
          </cell>
        </row>
        <row r="522">
          <cell r="B522" t="str">
            <v>Jun 2014</v>
          </cell>
          <cell r="C522" t="str">
            <v>LS</v>
          </cell>
          <cell r="D522" t="str">
            <v>KUUM_493</v>
          </cell>
          <cell r="E522">
            <v>43</v>
          </cell>
          <cell r="G522">
            <v>12619</v>
          </cell>
          <cell r="L522">
            <v>0</v>
          </cell>
          <cell r="N522">
            <v>1965.1</v>
          </cell>
          <cell r="O522">
            <v>1965.1</v>
          </cell>
          <cell r="Q522">
            <v>62.71</v>
          </cell>
          <cell r="S522">
            <v>60.64</v>
          </cell>
          <cell r="U522">
            <v>2088.4499999999998</v>
          </cell>
          <cell r="Y522">
            <v>447.63</v>
          </cell>
          <cell r="AE522" t="str">
            <v>20140101KUUM_493</v>
          </cell>
        </row>
        <row r="523">
          <cell r="B523" t="str">
            <v>Jun 2014</v>
          </cell>
          <cell r="C523" t="str">
            <v>LS</v>
          </cell>
          <cell r="D523" t="str">
            <v>KUUM_494</v>
          </cell>
          <cell r="E523">
            <v>168</v>
          </cell>
          <cell r="G523">
            <v>6887</v>
          </cell>
          <cell r="L523">
            <v>0</v>
          </cell>
          <cell r="N523">
            <v>4766.16</v>
          </cell>
          <cell r="O523">
            <v>4766.16</v>
          </cell>
          <cell r="Q523">
            <v>32.39</v>
          </cell>
          <cell r="S523">
            <v>136.38</v>
          </cell>
          <cell r="U523">
            <v>4934.93</v>
          </cell>
          <cell r="Y523">
            <v>330.96</v>
          </cell>
          <cell r="AE523" t="str">
            <v>20140101KUUM_494</v>
          </cell>
        </row>
        <row r="524">
          <cell r="B524" t="str">
            <v>Jun 2014</v>
          </cell>
          <cell r="C524" t="str">
            <v>LS</v>
          </cell>
          <cell r="D524" t="str">
            <v>KUUM_495</v>
          </cell>
          <cell r="E524">
            <v>632</v>
          </cell>
          <cell r="G524">
            <v>61681</v>
          </cell>
          <cell r="L524">
            <v>409.84</v>
          </cell>
          <cell r="N524">
            <v>22422.400000000001</v>
          </cell>
          <cell r="O524">
            <v>22422.399999999998</v>
          </cell>
          <cell r="Q524">
            <v>304.88</v>
          </cell>
          <cell r="S524">
            <v>676.16</v>
          </cell>
          <cell r="U524">
            <v>23403.439999999999</v>
          </cell>
          <cell r="Y524">
            <v>2711.28</v>
          </cell>
          <cell r="AE524" t="str">
            <v>20140101KUUM_495</v>
          </cell>
        </row>
        <row r="525">
          <cell r="B525" t="str">
            <v>Jun 2014</v>
          </cell>
          <cell r="C525" t="str">
            <v>LS</v>
          </cell>
          <cell r="D525" t="str">
            <v>KUUM_496</v>
          </cell>
          <cell r="E525">
            <v>154</v>
          </cell>
          <cell r="G525">
            <v>45473</v>
          </cell>
          <cell r="L525">
            <v>0</v>
          </cell>
          <cell r="N525">
            <v>9022.86</v>
          </cell>
          <cell r="O525">
            <v>9022.86</v>
          </cell>
          <cell r="Q525">
            <v>222.07</v>
          </cell>
          <cell r="S525">
            <v>272.11</v>
          </cell>
          <cell r="U525">
            <v>9517.0400000000009</v>
          </cell>
          <cell r="Y525">
            <v>1603.14</v>
          </cell>
          <cell r="AE525" t="str">
            <v>20140101KUUM_496</v>
          </cell>
        </row>
        <row r="526">
          <cell r="B526" t="str">
            <v>Jun 2014</v>
          </cell>
          <cell r="C526" t="str">
            <v>LS</v>
          </cell>
          <cell r="D526" t="str">
            <v>KUUM_497</v>
          </cell>
          <cell r="E526">
            <v>10</v>
          </cell>
          <cell r="F526">
            <v>0</v>
          </cell>
          <cell r="G526">
            <v>323</v>
          </cell>
          <cell r="H526">
            <v>0</v>
          </cell>
          <cell r="L526">
            <v>0</v>
          </cell>
          <cell r="N526">
            <v>153.5</v>
          </cell>
          <cell r="O526">
            <v>153.5</v>
          </cell>
          <cell r="Q526">
            <v>1.6</v>
          </cell>
          <cell r="S526">
            <v>4.6399999999999997</v>
          </cell>
          <cell r="U526">
            <v>159.74</v>
          </cell>
          <cell r="Y526">
            <v>11.3</v>
          </cell>
          <cell r="AE526" t="str">
            <v>20140101KUUM_497</v>
          </cell>
        </row>
        <row r="527">
          <cell r="B527" t="str">
            <v>Jun 2014</v>
          </cell>
          <cell r="C527" t="str">
            <v>LS</v>
          </cell>
          <cell r="D527" t="str">
            <v>KUUM_498</v>
          </cell>
          <cell r="E527">
            <v>26</v>
          </cell>
          <cell r="F527">
            <v>0</v>
          </cell>
          <cell r="G527">
            <v>3994</v>
          </cell>
          <cell r="H527">
            <v>0</v>
          </cell>
          <cell r="L527">
            <v>506.79</v>
          </cell>
          <cell r="N527">
            <v>967.51</v>
          </cell>
          <cell r="O527">
            <v>967.51</v>
          </cell>
          <cell r="Q527">
            <v>19.86</v>
          </cell>
          <cell r="S527">
            <v>29.53</v>
          </cell>
          <cell r="U527">
            <v>1016.9</v>
          </cell>
          <cell r="Y527">
            <v>60.58</v>
          </cell>
          <cell r="AE527" t="str">
            <v>20140101KUUM_498</v>
          </cell>
        </row>
        <row r="528">
          <cell r="B528" t="str">
            <v>Jun 2014</v>
          </cell>
          <cell r="C528" t="str">
            <v>LS</v>
          </cell>
          <cell r="D528" t="str">
            <v>KUUM_499</v>
          </cell>
          <cell r="E528">
            <v>24</v>
          </cell>
          <cell r="F528">
            <v>0</v>
          </cell>
          <cell r="G528">
            <v>3193</v>
          </cell>
          <cell r="H528">
            <v>0</v>
          </cell>
          <cell r="L528">
            <v>0</v>
          </cell>
          <cell r="N528">
            <v>515.76</v>
          </cell>
          <cell r="O528">
            <v>515.76</v>
          </cell>
          <cell r="Q528">
            <v>15.68</v>
          </cell>
          <cell r="S528">
            <v>15.71</v>
          </cell>
          <cell r="U528">
            <v>547.15</v>
          </cell>
          <cell r="Y528">
            <v>108.72</v>
          </cell>
          <cell r="AE528" t="str">
            <v>20140101KUUM_499</v>
          </cell>
        </row>
        <row r="529">
          <cell r="B529" t="str">
            <v>Jun 2014</v>
          </cell>
          <cell r="C529" t="str">
            <v>ODL</v>
          </cell>
          <cell r="D529" t="str">
            <v>ODL</v>
          </cell>
          <cell r="E529">
            <v>0</v>
          </cell>
          <cell r="F529">
            <v>0</v>
          </cell>
          <cell r="G529">
            <v>0</v>
          </cell>
          <cell r="H529">
            <v>0</v>
          </cell>
          <cell r="L529">
            <v>0</v>
          </cell>
          <cell r="N529">
            <v>0</v>
          </cell>
          <cell r="O529">
            <v>0</v>
          </cell>
          <cell r="Q529">
            <v>0</v>
          </cell>
          <cell r="S529">
            <v>0</v>
          </cell>
          <cell r="U529">
            <v>0</v>
          </cell>
          <cell r="Y529">
            <v>0</v>
          </cell>
          <cell r="AE529" t="str">
            <v>20140101ODL</v>
          </cell>
        </row>
        <row r="530">
          <cell r="B530" t="str">
            <v>Jul 2014</v>
          </cell>
          <cell r="C530" t="str">
            <v>LS</v>
          </cell>
          <cell r="D530" t="str">
            <v>KUUM_300</v>
          </cell>
          <cell r="E530">
            <v>0</v>
          </cell>
          <cell r="F530">
            <v>0</v>
          </cell>
          <cell r="G530">
            <v>0</v>
          </cell>
          <cell r="H530">
            <v>0</v>
          </cell>
          <cell r="L530">
            <v>0</v>
          </cell>
          <cell r="N530">
            <v>0</v>
          </cell>
          <cell r="O530">
            <v>0</v>
          </cell>
          <cell r="Q530">
            <v>0</v>
          </cell>
          <cell r="S530">
            <v>0</v>
          </cell>
          <cell r="U530">
            <v>0</v>
          </cell>
          <cell r="Y530">
            <v>0</v>
          </cell>
          <cell r="AE530" t="str">
            <v>20140101KUUM_300</v>
          </cell>
        </row>
        <row r="531">
          <cell r="B531" t="str">
            <v>Jul 2014</v>
          </cell>
          <cell r="C531" t="str">
            <v>LS</v>
          </cell>
          <cell r="D531" t="str">
            <v>KUUM_301</v>
          </cell>
          <cell r="E531">
            <v>0</v>
          </cell>
          <cell r="F531">
            <v>0</v>
          </cell>
          <cell r="G531">
            <v>0</v>
          </cell>
          <cell r="H531">
            <v>0</v>
          </cell>
          <cell r="L531">
            <v>0</v>
          </cell>
          <cell r="N531">
            <v>0</v>
          </cell>
          <cell r="O531">
            <v>0</v>
          </cell>
          <cell r="Q531">
            <v>0</v>
          </cell>
          <cell r="S531">
            <v>0</v>
          </cell>
          <cell r="U531">
            <v>0</v>
          </cell>
          <cell r="Y531">
            <v>0</v>
          </cell>
          <cell r="AE531" t="str">
            <v>20140101KUUM_301</v>
          </cell>
        </row>
        <row r="532">
          <cell r="B532" t="str">
            <v>Jul 2014</v>
          </cell>
          <cell r="C532" t="str">
            <v>LS</v>
          </cell>
          <cell r="D532" t="str">
            <v>KUUM_360</v>
          </cell>
          <cell r="E532">
            <v>178</v>
          </cell>
          <cell r="F532">
            <v>0</v>
          </cell>
          <cell r="G532">
            <v>8936</v>
          </cell>
          <cell r="H532">
            <v>0</v>
          </cell>
          <cell r="L532">
            <v>0</v>
          </cell>
          <cell r="N532">
            <v>9848.74</v>
          </cell>
          <cell r="O532">
            <v>9848.74</v>
          </cell>
          <cell r="Q532">
            <v>43.96</v>
          </cell>
          <cell r="S532">
            <v>296.55</v>
          </cell>
          <cell r="U532">
            <v>10189.25</v>
          </cell>
          <cell r="Y532">
            <v>311.5</v>
          </cell>
          <cell r="AE532" t="str">
            <v>20140101KUUM_360</v>
          </cell>
        </row>
        <row r="533">
          <cell r="B533" t="str">
            <v>Jul 2014</v>
          </cell>
          <cell r="C533" t="str">
            <v>LS</v>
          </cell>
          <cell r="D533" t="str">
            <v>KUUM_361</v>
          </cell>
          <cell r="E533">
            <v>25</v>
          </cell>
          <cell r="F533">
            <v>0</v>
          </cell>
          <cell r="G533">
            <v>1211</v>
          </cell>
          <cell r="H533">
            <v>0</v>
          </cell>
          <cell r="L533">
            <v>0</v>
          </cell>
          <cell r="N533">
            <v>2079</v>
          </cell>
          <cell r="O533">
            <v>2079</v>
          </cell>
          <cell r="Q533">
            <v>6.01</v>
          </cell>
          <cell r="S533">
            <v>62.36</v>
          </cell>
          <cell r="U533">
            <v>2147.37</v>
          </cell>
          <cell r="Y533">
            <v>43.75</v>
          </cell>
          <cell r="AE533" t="str">
            <v>20140101KUUM_361</v>
          </cell>
        </row>
        <row r="534">
          <cell r="B534" t="str">
            <v>Jul 2014</v>
          </cell>
          <cell r="C534" t="str">
            <v>LS</v>
          </cell>
          <cell r="D534" t="str">
            <v>KUUM_362</v>
          </cell>
          <cell r="E534">
            <v>43</v>
          </cell>
          <cell r="F534">
            <v>0</v>
          </cell>
          <cell r="G534">
            <v>1727</v>
          </cell>
          <cell r="H534">
            <v>0</v>
          </cell>
          <cell r="L534">
            <v>0</v>
          </cell>
          <cell r="N534">
            <v>2570.54</v>
          </cell>
          <cell r="O534">
            <v>2570.54</v>
          </cell>
          <cell r="Q534">
            <v>8.58</v>
          </cell>
          <cell r="S534">
            <v>77.12</v>
          </cell>
          <cell r="U534">
            <v>2656.24</v>
          </cell>
          <cell r="Y534">
            <v>75.25</v>
          </cell>
          <cell r="AE534" t="str">
            <v>20140101KUUM_362</v>
          </cell>
        </row>
        <row r="535">
          <cell r="B535" t="str">
            <v>Jul 2014</v>
          </cell>
          <cell r="C535" t="str">
            <v>LS</v>
          </cell>
          <cell r="D535" t="str">
            <v>KUUM_363</v>
          </cell>
          <cell r="E535">
            <v>5</v>
          </cell>
          <cell r="F535">
            <v>0</v>
          </cell>
          <cell r="G535">
            <v>226</v>
          </cell>
          <cell r="H535">
            <v>0</v>
          </cell>
          <cell r="L535">
            <v>0</v>
          </cell>
          <cell r="N535">
            <v>308.75</v>
          </cell>
          <cell r="O535">
            <v>308.75</v>
          </cell>
          <cell r="Q535">
            <v>1.1200000000000001</v>
          </cell>
          <cell r="S535">
            <v>9.26</v>
          </cell>
          <cell r="U535">
            <v>319.13</v>
          </cell>
          <cell r="Y535">
            <v>8.75</v>
          </cell>
          <cell r="AE535" t="str">
            <v>20140101KUUM_363</v>
          </cell>
        </row>
        <row r="536">
          <cell r="B536" t="str">
            <v>Jul 2014</v>
          </cell>
          <cell r="C536" t="str">
            <v>LS</v>
          </cell>
          <cell r="D536" t="str">
            <v>KUUM_364</v>
          </cell>
          <cell r="E536">
            <v>1</v>
          </cell>
          <cell r="F536">
            <v>0</v>
          </cell>
          <cell r="G536">
            <v>45</v>
          </cell>
          <cell r="H536">
            <v>0</v>
          </cell>
          <cell r="L536">
            <v>0</v>
          </cell>
          <cell r="N536">
            <v>63.11</v>
          </cell>
          <cell r="O536">
            <v>63.11</v>
          </cell>
          <cell r="Q536">
            <v>0.22</v>
          </cell>
          <cell r="S536">
            <v>1.89</v>
          </cell>
          <cell r="U536">
            <v>65.22</v>
          </cell>
          <cell r="Y536">
            <v>1.75</v>
          </cell>
          <cell r="AE536" t="str">
            <v>20140101KUUM_364</v>
          </cell>
        </row>
        <row r="537">
          <cell r="B537" t="str">
            <v>Jul 2014</v>
          </cell>
          <cell r="C537" t="str">
            <v>LS</v>
          </cell>
          <cell r="D537" t="str">
            <v>KUUM_365</v>
          </cell>
          <cell r="E537">
            <v>5</v>
          </cell>
          <cell r="F537">
            <v>0</v>
          </cell>
          <cell r="G537">
            <v>232</v>
          </cell>
          <cell r="H537">
            <v>0</v>
          </cell>
          <cell r="L537">
            <v>0</v>
          </cell>
          <cell r="N537">
            <v>404.7</v>
          </cell>
          <cell r="O537">
            <v>404.7</v>
          </cell>
          <cell r="Q537">
            <v>1.1499999999999999</v>
          </cell>
          <cell r="S537">
            <v>12.14</v>
          </cell>
          <cell r="U537">
            <v>417.99</v>
          </cell>
          <cell r="Y537">
            <v>8.75</v>
          </cell>
          <cell r="AE537" t="str">
            <v>20140101KUUM_365</v>
          </cell>
        </row>
        <row r="538">
          <cell r="B538" t="str">
            <v>Jul 2014</v>
          </cell>
          <cell r="C538" t="str">
            <v>LS</v>
          </cell>
          <cell r="D538" t="str">
            <v>KUUM_366</v>
          </cell>
          <cell r="E538">
            <v>9</v>
          </cell>
          <cell r="F538">
            <v>0</v>
          </cell>
          <cell r="G538">
            <v>413</v>
          </cell>
          <cell r="H538">
            <v>0</v>
          </cell>
          <cell r="L538">
            <v>0</v>
          </cell>
          <cell r="N538">
            <v>710.73</v>
          </cell>
          <cell r="O538">
            <v>710.73</v>
          </cell>
          <cell r="Q538">
            <v>2.0499999999999998</v>
          </cell>
          <cell r="S538">
            <v>21.31</v>
          </cell>
          <cell r="U538">
            <v>734.09</v>
          </cell>
          <cell r="Y538">
            <v>15.75</v>
          </cell>
          <cell r="AE538" t="str">
            <v>20140101KUUM_366</v>
          </cell>
        </row>
        <row r="539">
          <cell r="B539" t="str">
            <v>Jul 2014</v>
          </cell>
          <cell r="C539" t="str">
            <v>LS</v>
          </cell>
          <cell r="D539" t="str">
            <v>KUUM_367</v>
          </cell>
          <cell r="E539">
            <v>25</v>
          </cell>
          <cell r="F539">
            <v>0</v>
          </cell>
          <cell r="G539">
            <v>1253</v>
          </cell>
          <cell r="H539">
            <v>0</v>
          </cell>
          <cell r="L539">
            <v>0</v>
          </cell>
          <cell r="N539">
            <v>1530.75</v>
          </cell>
          <cell r="O539">
            <v>1530.75</v>
          </cell>
          <cell r="Q539">
            <v>6.22</v>
          </cell>
          <cell r="S539">
            <v>45.96</v>
          </cell>
          <cell r="U539">
            <v>1582.93</v>
          </cell>
          <cell r="Y539">
            <v>43.75</v>
          </cell>
          <cell r="AE539" t="str">
            <v>20140101KUUM_367</v>
          </cell>
        </row>
        <row r="540">
          <cell r="B540" t="str">
            <v>Jul 2014</v>
          </cell>
          <cell r="C540" t="str">
            <v>LS</v>
          </cell>
          <cell r="D540" t="str">
            <v>KUUM_368</v>
          </cell>
          <cell r="E540">
            <v>1</v>
          </cell>
          <cell r="F540">
            <v>0</v>
          </cell>
          <cell r="G540">
            <v>45</v>
          </cell>
          <cell r="H540">
            <v>0</v>
          </cell>
          <cell r="L540">
            <v>0</v>
          </cell>
          <cell r="N540">
            <v>56.69</v>
          </cell>
          <cell r="O540">
            <v>56.69</v>
          </cell>
          <cell r="Q540">
            <v>0.22</v>
          </cell>
          <cell r="S540">
            <v>1.7</v>
          </cell>
          <cell r="U540">
            <v>58.61</v>
          </cell>
          <cell r="Y540">
            <v>1.75</v>
          </cell>
          <cell r="AE540" t="str">
            <v>20140101KUUM_368</v>
          </cell>
        </row>
        <row r="541">
          <cell r="B541" t="str">
            <v>Jul 2014</v>
          </cell>
          <cell r="C541" t="str">
            <v>LS</v>
          </cell>
          <cell r="D541" t="str">
            <v>KUUM_370</v>
          </cell>
          <cell r="E541">
            <v>15</v>
          </cell>
          <cell r="F541">
            <v>0</v>
          </cell>
          <cell r="G541">
            <v>699</v>
          </cell>
          <cell r="H541">
            <v>0</v>
          </cell>
          <cell r="L541">
            <v>0</v>
          </cell>
          <cell r="N541">
            <v>1117.8</v>
          </cell>
          <cell r="O541">
            <v>1117.8</v>
          </cell>
          <cell r="Q541">
            <v>3.25</v>
          </cell>
          <cell r="S541">
            <v>34.03</v>
          </cell>
          <cell r="U541">
            <v>1155.08</v>
          </cell>
          <cell r="Y541">
            <v>26.25</v>
          </cell>
          <cell r="AE541" t="str">
            <v>20140101KUUM_370</v>
          </cell>
        </row>
        <row r="542">
          <cell r="B542" t="str">
            <v>Jul 2014</v>
          </cell>
          <cell r="C542" t="str">
            <v>LS</v>
          </cell>
          <cell r="D542" t="str">
            <v>KUUM_372</v>
          </cell>
          <cell r="E542">
            <v>1</v>
          </cell>
          <cell r="F542">
            <v>0</v>
          </cell>
          <cell r="G542">
            <v>45</v>
          </cell>
          <cell r="H542">
            <v>0</v>
          </cell>
          <cell r="L542">
            <v>0</v>
          </cell>
          <cell r="N542">
            <v>82.3</v>
          </cell>
          <cell r="O542">
            <v>82.3</v>
          </cell>
          <cell r="Q542">
            <v>0.22</v>
          </cell>
          <cell r="S542">
            <v>2.4700000000000002</v>
          </cell>
          <cell r="U542">
            <v>84.99</v>
          </cell>
          <cell r="Y542">
            <v>1.75</v>
          </cell>
          <cell r="AE542" t="str">
            <v>20140101KUUM_372</v>
          </cell>
        </row>
        <row r="543">
          <cell r="B543" t="str">
            <v>Jul 2014</v>
          </cell>
          <cell r="C543" t="str">
            <v>LS</v>
          </cell>
          <cell r="D543" t="str">
            <v>KUUM_373</v>
          </cell>
          <cell r="E543">
            <v>20</v>
          </cell>
          <cell r="F543">
            <v>0</v>
          </cell>
          <cell r="G543">
            <v>1021</v>
          </cell>
          <cell r="H543">
            <v>0</v>
          </cell>
          <cell r="L543">
            <v>0</v>
          </cell>
          <cell r="N543">
            <v>1490.4</v>
          </cell>
          <cell r="O543">
            <v>1490.4</v>
          </cell>
          <cell r="Q543">
            <v>5.07</v>
          </cell>
          <cell r="S543">
            <v>44.71</v>
          </cell>
          <cell r="U543">
            <v>1540.18</v>
          </cell>
          <cell r="Y543">
            <v>35</v>
          </cell>
          <cell r="AE543" t="str">
            <v>20140101KUUM_373</v>
          </cell>
        </row>
        <row r="544">
          <cell r="B544" t="str">
            <v>Jul 2014</v>
          </cell>
          <cell r="C544" t="str">
            <v>LS</v>
          </cell>
          <cell r="D544" t="str">
            <v>KUUM_374</v>
          </cell>
          <cell r="E544">
            <v>4</v>
          </cell>
          <cell r="F544">
            <v>0</v>
          </cell>
          <cell r="G544">
            <v>193</v>
          </cell>
          <cell r="H544">
            <v>2034</v>
          </cell>
          <cell r="L544">
            <v>0</v>
          </cell>
          <cell r="N544">
            <v>303.52</v>
          </cell>
          <cell r="O544">
            <v>303.52</v>
          </cell>
          <cell r="Q544">
            <v>0.96</v>
          </cell>
          <cell r="S544">
            <v>9.1</v>
          </cell>
          <cell r="U544">
            <v>313.58</v>
          </cell>
          <cell r="Y544">
            <v>7</v>
          </cell>
          <cell r="AE544" t="str">
            <v>20140101KUUM_374</v>
          </cell>
        </row>
        <row r="545">
          <cell r="B545" t="str">
            <v>Jul 2014</v>
          </cell>
          <cell r="C545" t="str">
            <v>LS</v>
          </cell>
          <cell r="D545" t="str">
            <v>KUUM_375</v>
          </cell>
          <cell r="E545">
            <v>3</v>
          </cell>
          <cell r="F545">
            <v>0</v>
          </cell>
          <cell r="G545">
            <v>153</v>
          </cell>
          <cell r="H545">
            <v>0</v>
          </cell>
          <cell r="L545">
            <v>0</v>
          </cell>
          <cell r="N545">
            <v>236.91</v>
          </cell>
          <cell r="O545">
            <v>236.91</v>
          </cell>
          <cell r="Q545">
            <v>0.76</v>
          </cell>
          <cell r="S545">
            <v>7.11</v>
          </cell>
          <cell r="U545">
            <v>244.78</v>
          </cell>
          <cell r="Y545">
            <v>5.25</v>
          </cell>
          <cell r="AE545" t="str">
            <v>20140101KUUM_375</v>
          </cell>
        </row>
        <row r="546">
          <cell r="B546" t="str">
            <v>Jul 2014</v>
          </cell>
          <cell r="C546" t="str">
            <v>LS</v>
          </cell>
          <cell r="D546" t="str">
            <v>KUUM_376</v>
          </cell>
          <cell r="E546">
            <v>2</v>
          </cell>
          <cell r="F546">
            <v>0</v>
          </cell>
          <cell r="G546">
            <v>102</v>
          </cell>
          <cell r="H546">
            <v>0</v>
          </cell>
          <cell r="L546">
            <v>0</v>
          </cell>
          <cell r="N546">
            <v>154.52000000000001</v>
          </cell>
          <cell r="O546">
            <v>154.51999999999998</v>
          </cell>
          <cell r="Q546">
            <v>0.51</v>
          </cell>
          <cell r="S546">
            <v>4.6399999999999997</v>
          </cell>
          <cell r="U546">
            <v>159.66999999999999</v>
          </cell>
          <cell r="Y546">
            <v>3.5</v>
          </cell>
          <cell r="AE546" t="str">
            <v>20140101KUUM_376</v>
          </cell>
        </row>
        <row r="547">
          <cell r="B547" t="str">
            <v>Jul 2014</v>
          </cell>
          <cell r="C547" t="str">
            <v>LS</v>
          </cell>
          <cell r="D547" t="str">
            <v>KUUM_377</v>
          </cell>
          <cell r="E547">
            <v>51</v>
          </cell>
          <cell r="F547">
            <v>0</v>
          </cell>
          <cell r="G547">
            <v>2546</v>
          </cell>
          <cell r="H547">
            <v>0</v>
          </cell>
          <cell r="L547">
            <v>0</v>
          </cell>
          <cell r="N547">
            <v>3273.69</v>
          </cell>
          <cell r="O547">
            <v>3273.69</v>
          </cell>
          <cell r="Q547">
            <v>12.64</v>
          </cell>
          <cell r="S547">
            <v>98.26</v>
          </cell>
          <cell r="U547">
            <v>3384.59</v>
          </cell>
          <cell r="Y547">
            <v>89.25</v>
          </cell>
          <cell r="AE547" t="str">
            <v>20140101KUUM_377</v>
          </cell>
        </row>
        <row r="548">
          <cell r="B548" t="str">
            <v>Jul 2014</v>
          </cell>
          <cell r="C548" t="str">
            <v>LS</v>
          </cell>
          <cell r="D548" t="str">
            <v>KUUM_378</v>
          </cell>
          <cell r="E548">
            <v>2</v>
          </cell>
          <cell r="F548">
            <v>0</v>
          </cell>
          <cell r="G548">
            <v>101</v>
          </cell>
          <cell r="H548">
            <v>0</v>
          </cell>
          <cell r="L548">
            <v>0</v>
          </cell>
          <cell r="N548">
            <v>151.80000000000001</v>
          </cell>
          <cell r="O548">
            <v>151.79999999999998</v>
          </cell>
          <cell r="Q548">
            <v>0.5</v>
          </cell>
          <cell r="S548">
            <v>4.55</v>
          </cell>
          <cell r="U548">
            <v>156.85</v>
          </cell>
          <cell r="Y548">
            <v>3.5</v>
          </cell>
          <cell r="AE548" t="str">
            <v>20140101KUUM_378</v>
          </cell>
        </row>
        <row r="549">
          <cell r="B549" t="str">
            <v>Jul 2014</v>
          </cell>
          <cell r="C549" t="str">
            <v>LS</v>
          </cell>
          <cell r="D549" t="str">
            <v>KUUM_401</v>
          </cell>
          <cell r="E549">
            <v>52</v>
          </cell>
          <cell r="F549">
            <v>0</v>
          </cell>
          <cell r="G549">
            <v>1130</v>
          </cell>
          <cell r="H549">
            <v>0</v>
          </cell>
          <cell r="L549">
            <v>0</v>
          </cell>
          <cell r="N549">
            <v>772.72</v>
          </cell>
          <cell r="O549">
            <v>772.72</v>
          </cell>
          <cell r="Q549">
            <v>3.5</v>
          </cell>
          <cell r="S549">
            <v>25.22</v>
          </cell>
          <cell r="U549">
            <v>801.44</v>
          </cell>
          <cell r="Y549">
            <v>41.6</v>
          </cell>
          <cell r="AE549" t="str">
            <v>20140101KUUM_401</v>
          </cell>
        </row>
        <row r="550">
          <cell r="B550" t="str">
            <v>Jul 2014</v>
          </cell>
          <cell r="C550" t="str">
            <v>RLS</v>
          </cell>
          <cell r="D550" t="str">
            <v>KUUM_404</v>
          </cell>
          <cell r="E550">
            <v>7087</v>
          </cell>
          <cell r="F550">
            <v>29</v>
          </cell>
          <cell r="G550">
            <v>386380</v>
          </cell>
          <cell r="H550">
            <v>0</v>
          </cell>
          <cell r="L550">
            <v>-868.47</v>
          </cell>
          <cell r="N550">
            <v>74347.649999999994</v>
          </cell>
          <cell r="O550">
            <v>74347.649999999994</v>
          </cell>
          <cell r="Q550">
            <v>1021.22</v>
          </cell>
          <cell r="S550">
            <v>2521.35</v>
          </cell>
          <cell r="U550">
            <v>77890.22</v>
          </cell>
          <cell r="Y550">
            <v>14103.13</v>
          </cell>
          <cell r="AE550" t="str">
            <v>20140101KUUM_404</v>
          </cell>
        </row>
        <row r="551">
          <cell r="B551" t="str">
            <v>Jul 2014</v>
          </cell>
          <cell r="C551" t="str">
            <v>RLS</v>
          </cell>
          <cell r="D551" t="str">
            <v>KUUM_405</v>
          </cell>
          <cell r="E551">
            <v>0</v>
          </cell>
          <cell r="F551">
            <v>0</v>
          </cell>
          <cell r="G551">
            <v>0</v>
          </cell>
          <cell r="H551">
            <v>0</v>
          </cell>
          <cell r="L551">
            <v>0</v>
          </cell>
          <cell r="N551">
            <v>0</v>
          </cell>
          <cell r="O551">
            <v>0</v>
          </cell>
          <cell r="Q551">
            <v>0</v>
          </cell>
          <cell r="S551">
            <v>0</v>
          </cell>
          <cell r="U551">
            <v>0</v>
          </cell>
          <cell r="Y551">
            <v>0</v>
          </cell>
          <cell r="AE551" t="str">
            <v>20140101KUUM_405</v>
          </cell>
        </row>
        <row r="552">
          <cell r="B552" t="str">
            <v>Jul 2014</v>
          </cell>
          <cell r="C552" t="str">
            <v>LS</v>
          </cell>
          <cell r="D552" t="str">
            <v>KUUM_407</v>
          </cell>
          <cell r="E552">
            <v>0</v>
          </cell>
          <cell r="F552">
            <v>0</v>
          </cell>
          <cell r="G552">
            <v>0</v>
          </cell>
          <cell r="H552">
            <v>0</v>
          </cell>
          <cell r="L552">
            <v>0</v>
          </cell>
          <cell r="N552">
            <v>0</v>
          </cell>
          <cell r="O552">
            <v>0</v>
          </cell>
          <cell r="Q552">
            <v>0</v>
          </cell>
          <cell r="S552">
            <v>0</v>
          </cell>
          <cell r="U552">
            <v>0</v>
          </cell>
          <cell r="Y552">
            <v>0</v>
          </cell>
          <cell r="AE552" t="str">
            <v>20140101KUUM_407</v>
          </cell>
        </row>
        <row r="553">
          <cell r="B553" t="str">
            <v>Jul 2014</v>
          </cell>
          <cell r="C553" t="str">
            <v>RLS</v>
          </cell>
          <cell r="D553" t="str">
            <v>KUUM_409</v>
          </cell>
          <cell r="E553">
            <v>137</v>
          </cell>
          <cell r="F553">
            <v>0</v>
          </cell>
          <cell r="G553">
            <v>16975</v>
          </cell>
          <cell r="H553">
            <v>0</v>
          </cell>
          <cell r="L553">
            <v>0</v>
          </cell>
          <cell r="N553">
            <v>1604.27</v>
          </cell>
          <cell r="O553">
            <v>1604.27</v>
          </cell>
          <cell r="Q553">
            <v>49.28</v>
          </cell>
          <cell r="S553">
            <v>54.19</v>
          </cell>
          <cell r="U553">
            <v>1707.74</v>
          </cell>
          <cell r="Y553">
            <v>620.61</v>
          </cell>
          <cell r="AE553" t="str">
            <v>20140101KUUM_409</v>
          </cell>
        </row>
        <row r="554">
          <cell r="B554" t="str">
            <v>Jul 2014</v>
          </cell>
          <cell r="C554" t="str">
            <v>RLS</v>
          </cell>
          <cell r="D554" t="str">
            <v>KUUM_410</v>
          </cell>
          <cell r="E554">
            <v>240</v>
          </cell>
          <cell r="F554">
            <v>0</v>
          </cell>
          <cell r="G554">
            <v>3695</v>
          </cell>
          <cell r="H554">
            <v>0</v>
          </cell>
          <cell r="L554">
            <v>0</v>
          </cell>
          <cell r="N554">
            <v>4862.3999999999996</v>
          </cell>
          <cell r="O554">
            <v>4862.4000000000005</v>
          </cell>
          <cell r="Q554">
            <v>9.4600000000000009</v>
          </cell>
          <cell r="S554">
            <v>162.22999999999999</v>
          </cell>
          <cell r="U554">
            <v>5034.09</v>
          </cell>
          <cell r="Y554">
            <v>136.80000000000001</v>
          </cell>
          <cell r="AE554" t="str">
            <v>20140101KUUM_410</v>
          </cell>
        </row>
        <row r="555">
          <cell r="B555" t="str">
            <v>Jul 2014</v>
          </cell>
          <cell r="C555" t="str">
            <v>LS</v>
          </cell>
          <cell r="D555" t="str">
            <v>KUUM_411</v>
          </cell>
          <cell r="E555">
            <v>150</v>
          </cell>
          <cell r="F555">
            <v>0</v>
          </cell>
          <cell r="G555">
            <v>3286</v>
          </cell>
          <cell r="H555">
            <v>0</v>
          </cell>
          <cell r="L555">
            <v>0</v>
          </cell>
          <cell r="N555">
            <v>3207</v>
          </cell>
          <cell r="O555">
            <v>3207</v>
          </cell>
          <cell r="Q555">
            <v>8.4</v>
          </cell>
          <cell r="S555">
            <v>107.06</v>
          </cell>
          <cell r="U555">
            <v>3322.46</v>
          </cell>
          <cell r="Y555">
            <v>120</v>
          </cell>
          <cell r="AE555" t="str">
            <v>20140101KUUM_411</v>
          </cell>
        </row>
        <row r="556">
          <cell r="B556" t="str">
            <v>Jul 2014</v>
          </cell>
          <cell r="C556" t="str">
            <v>RLS</v>
          </cell>
          <cell r="D556" t="str">
            <v>KUUM_412</v>
          </cell>
          <cell r="E556">
            <v>28</v>
          </cell>
          <cell r="F556">
            <v>0</v>
          </cell>
          <cell r="G556">
            <v>578</v>
          </cell>
          <cell r="H556">
            <v>0</v>
          </cell>
          <cell r="L556">
            <v>0</v>
          </cell>
          <cell r="N556">
            <v>863.52</v>
          </cell>
          <cell r="O556">
            <v>863.52</v>
          </cell>
          <cell r="Q556">
            <v>1.48</v>
          </cell>
          <cell r="S556">
            <v>28.8</v>
          </cell>
          <cell r="U556">
            <v>893.8</v>
          </cell>
          <cell r="Y556">
            <v>22.4</v>
          </cell>
          <cell r="AE556" t="str">
            <v>20140101KUUM_412</v>
          </cell>
        </row>
        <row r="557">
          <cell r="B557" t="str">
            <v>Jul 2014</v>
          </cell>
          <cell r="C557" t="str">
            <v>RLS</v>
          </cell>
          <cell r="D557" t="str">
            <v>KUUM_413</v>
          </cell>
          <cell r="E557">
            <v>96</v>
          </cell>
          <cell r="F557">
            <v>0</v>
          </cell>
          <cell r="G557">
            <v>2948</v>
          </cell>
          <cell r="H557">
            <v>0</v>
          </cell>
          <cell r="L557">
            <v>0</v>
          </cell>
          <cell r="N557">
            <v>2997.12</v>
          </cell>
          <cell r="O557">
            <v>2997.12</v>
          </cell>
          <cell r="Q557">
            <v>7.55</v>
          </cell>
          <cell r="S557">
            <v>100.06</v>
          </cell>
          <cell r="U557">
            <v>3104.73</v>
          </cell>
          <cell r="Y557">
            <v>108.48</v>
          </cell>
          <cell r="AE557" t="str">
            <v>20140101KUUM_413</v>
          </cell>
        </row>
        <row r="558">
          <cell r="B558" t="str">
            <v>Jul 2014</v>
          </cell>
          <cell r="C558" t="str">
            <v>LS</v>
          </cell>
          <cell r="D558" t="str">
            <v>KUUM_414</v>
          </cell>
          <cell r="E558">
            <v>21</v>
          </cell>
          <cell r="F558">
            <v>0</v>
          </cell>
          <cell r="G558">
            <v>435</v>
          </cell>
          <cell r="H558">
            <v>0</v>
          </cell>
          <cell r="L558">
            <v>0</v>
          </cell>
          <cell r="N558">
            <v>647.64</v>
          </cell>
          <cell r="O558">
            <v>647.64</v>
          </cell>
          <cell r="Q558">
            <v>2.16</v>
          </cell>
          <cell r="S558">
            <v>19.43</v>
          </cell>
          <cell r="U558">
            <v>669.23</v>
          </cell>
          <cell r="Y558">
            <v>16.8</v>
          </cell>
          <cell r="AE558" t="str">
            <v>20140101KUUM_414</v>
          </cell>
        </row>
        <row r="559">
          <cell r="B559" t="str">
            <v>Jul 2014</v>
          </cell>
          <cell r="C559" t="str">
            <v>LS</v>
          </cell>
          <cell r="D559" t="str">
            <v>KUUM_415</v>
          </cell>
          <cell r="E559">
            <v>10</v>
          </cell>
          <cell r="F559">
            <v>0</v>
          </cell>
          <cell r="G559">
            <v>292</v>
          </cell>
          <cell r="H559">
            <v>0</v>
          </cell>
          <cell r="L559">
            <v>0</v>
          </cell>
          <cell r="N559">
            <v>312.2</v>
          </cell>
          <cell r="O559">
            <v>312.2</v>
          </cell>
          <cell r="Q559">
            <v>1.45</v>
          </cell>
          <cell r="S559">
            <v>9.3800000000000008</v>
          </cell>
          <cell r="U559">
            <v>323.02999999999997</v>
          </cell>
          <cell r="Y559">
            <v>11.3</v>
          </cell>
          <cell r="AE559" t="str">
            <v>20140101KUUM_415</v>
          </cell>
        </row>
        <row r="560">
          <cell r="B560" t="str">
            <v>Jul 2014</v>
          </cell>
          <cell r="C560" t="str">
            <v>LS</v>
          </cell>
          <cell r="D560" t="str">
            <v>KUUM_420</v>
          </cell>
          <cell r="E560">
            <v>477</v>
          </cell>
          <cell r="F560">
            <v>0</v>
          </cell>
          <cell r="G560">
            <v>15008</v>
          </cell>
          <cell r="H560">
            <v>1593</v>
          </cell>
          <cell r="L560">
            <v>0</v>
          </cell>
          <cell r="N560">
            <v>7326.72</v>
          </cell>
          <cell r="O560">
            <v>7326.7199999999993</v>
          </cell>
          <cell r="Q560">
            <v>47.53</v>
          </cell>
          <cell r="S560">
            <v>239.07</v>
          </cell>
          <cell r="U560">
            <v>7613.32</v>
          </cell>
          <cell r="Y560">
            <v>539.01</v>
          </cell>
          <cell r="AE560" t="str">
            <v>20140101KUUM_420</v>
          </cell>
        </row>
        <row r="561">
          <cell r="B561" t="str">
            <v>Jul 2014</v>
          </cell>
          <cell r="C561" t="str">
            <v>RLS</v>
          </cell>
          <cell r="D561" t="str">
            <v>KUUM_421</v>
          </cell>
          <cell r="E561">
            <v>5</v>
          </cell>
          <cell r="F561">
            <v>0</v>
          </cell>
          <cell r="G561">
            <v>139</v>
          </cell>
          <cell r="H561">
            <v>0</v>
          </cell>
          <cell r="L561">
            <v>0</v>
          </cell>
          <cell r="N561">
            <v>16.95</v>
          </cell>
          <cell r="O561">
            <v>16.95</v>
          </cell>
          <cell r="Q561">
            <v>0.56000000000000005</v>
          </cell>
          <cell r="S561">
            <v>0.55000000000000004</v>
          </cell>
          <cell r="U561">
            <v>18.059999999999999</v>
          </cell>
          <cell r="Y561">
            <v>4.95</v>
          </cell>
          <cell r="AE561" t="str">
            <v>20140101KUUM_421</v>
          </cell>
        </row>
        <row r="562">
          <cell r="B562" t="str">
            <v>Jul 2014</v>
          </cell>
          <cell r="C562" t="str">
            <v>RLS</v>
          </cell>
          <cell r="D562" t="str">
            <v>KUUM_422</v>
          </cell>
          <cell r="E562">
            <v>667</v>
          </cell>
          <cell r="F562">
            <v>0</v>
          </cell>
          <cell r="G562">
            <v>35602</v>
          </cell>
          <cell r="H562">
            <v>0</v>
          </cell>
          <cell r="L562">
            <v>0.01</v>
          </cell>
          <cell r="N562">
            <v>3028.19</v>
          </cell>
          <cell r="O562">
            <v>3028.19</v>
          </cell>
          <cell r="Q562">
            <v>112.08</v>
          </cell>
          <cell r="S562">
            <v>101.87</v>
          </cell>
          <cell r="U562">
            <v>3242.14</v>
          </cell>
          <cell r="Y562">
            <v>1293.98</v>
          </cell>
          <cell r="AE562" t="str">
            <v>20140101KUUM_422</v>
          </cell>
        </row>
        <row r="563">
          <cell r="B563" t="str">
            <v>Jul 2014</v>
          </cell>
          <cell r="C563" t="str">
            <v>RLS</v>
          </cell>
          <cell r="D563" t="str">
            <v>KUUM_424</v>
          </cell>
          <cell r="E563">
            <v>49</v>
          </cell>
          <cell r="F563">
            <v>0</v>
          </cell>
          <cell r="G563">
            <v>4235</v>
          </cell>
          <cell r="H563">
            <v>0</v>
          </cell>
          <cell r="L563">
            <v>0</v>
          </cell>
          <cell r="N563">
            <v>332.22</v>
          </cell>
          <cell r="O563">
            <v>332.21999999999997</v>
          </cell>
          <cell r="Q563">
            <v>16.07</v>
          </cell>
          <cell r="S563">
            <v>10.97</v>
          </cell>
          <cell r="U563">
            <v>359.26</v>
          </cell>
          <cell r="Y563">
            <v>34.299999999999997</v>
          </cell>
          <cell r="AE563" t="str">
            <v>20140101KUUM_424</v>
          </cell>
        </row>
        <row r="564">
          <cell r="B564" t="str">
            <v>Jul 2014</v>
          </cell>
          <cell r="C564" t="str">
            <v>RLS</v>
          </cell>
          <cell r="D564" t="str">
            <v>KUUM_425</v>
          </cell>
          <cell r="E564">
            <v>2</v>
          </cell>
          <cell r="F564">
            <v>0</v>
          </cell>
          <cell r="G564">
            <v>239</v>
          </cell>
          <cell r="H564">
            <v>0</v>
          </cell>
          <cell r="L564">
            <v>0</v>
          </cell>
          <cell r="N564">
            <v>18.12</v>
          </cell>
          <cell r="O564">
            <v>18.12</v>
          </cell>
          <cell r="Q564">
            <v>0.61</v>
          </cell>
          <cell r="S564">
            <v>0.62</v>
          </cell>
          <cell r="U564">
            <v>19.350000000000001</v>
          </cell>
          <cell r="Y564">
            <v>8.6</v>
          </cell>
          <cell r="AE564" t="str">
            <v>20140101KUUM_425</v>
          </cell>
        </row>
        <row r="565">
          <cell r="B565" t="str">
            <v>Jul 2014</v>
          </cell>
          <cell r="C565" t="str">
            <v>RLS</v>
          </cell>
          <cell r="D565" t="str">
            <v>KUUM_426</v>
          </cell>
          <cell r="E565">
            <v>176</v>
          </cell>
          <cell r="F565">
            <v>0</v>
          </cell>
          <cell r="G565">
            <v>3783</v>
          </cell>
          <cell r="H565">
            <v>0</v>
          </cell>
          <cell r="L565">
            <v>-35.96</v>
          </cell>
          <cell r="N565">
            <v>1273.48</v>
          </cell>
          <cell r="O565">
            <v>1273.48</v>
          </cell>
          <cell r="Q565">
            <v>9.76</v>
          </cell>
          <cell r="S565">
            <v>42.79</v>
          </cell>
          <cell r="U565">
            <v>1326.03</v>
          </cell>
          <cell r="Y565">
            <v>140.80000000000001</v>
          </cell>
          <cell r="AE565" t="str">
            <v>20140101KUUM_426</v>
          </cell>
        </row>
        <row r="566">
          <cell r="B566" t="str">
            <v>Jul 2014</v>
          </cell>
          <cell r="C566" t="str">
            <v>LS</v>
          </cell>
          <cell r="D566" t="str">
            <v>KUUM_428</v>
          </cell>
          <cell r="E566">
            <v>36675</v>
          </cell>
          <cell r="F566">
            <v>36</v>
          </cell>
          <cell r="G566">
            <v>1132128</v>
          </cell>
          <cell r="H566">
            <v>0</v>
          </cell>
          <cell r="L566">
            <v>-2127.08</v>
          </cell>
          <cell r="N566">
            <v>285687.15999999997</v>
          </cell>
          <cell r="O566">
            <v>285687.15999999997</v>
          </cell>
          <cell r="Q566">
            <v>2886.05</v>
          </cell>
          <cell r="S566">
            <v>9499.2000000000007</v>
          </cell>
          <cell r="U566">
            <v>298072.40999999997</v>
          </cell>
          <cell r="Y566">
            <v>41442.75</v>
          </cell>
          <cell r="AE566" t="str">
            <v>20140101KUUM_428</v>
          </cell>
        </row>
        <row r="567">
          <cell r="B567" t="str">
            <v>Jul 2014</v>
          </cell>
          <cell r="C567" t="str">
            <v>LS</v>
          </cell>
          <cell r="D567" t="str">
            <v>KUUM_429</v>
          </cell>
          <cell r="E567">
            <v>0</v>
          </cell>
          <cell r="F567">
            <v>0</v>
          </cell>
          <cell r="G567">
            <v>0</v>
          </cell>
          <cell r="H567">
            <v>0</v>
          </cell>
          <cell r="L567">
            <v>0</v>
          </cell>
          <cell r="N567">
            <v>0</v>
          </cell>
          <cell r="O567">
            <v>0</v>
          </cell>
          <cell r="Q567">
            <v>0</v>
          </cell>
          <cell r="S567">
            <v>0</v>
          </cell>
          <cell r="U567">
            <v>0</v>
          </cell>
          <cell r="Y567">
            <v>0</v>
          </cell>
          <cell r="AE567" t="str">
            <v>20140101KUUM_429</v>
          </cell>
        </row>
        <row r="568">
          <cell r="B568" t="str">
            <v>Jul 2014</v>
          </cell>
          <cell r="C568" t="str">
            <v>LS</v>
          </cell>
          <cell r="D568" t="str">
            <v>KUUM_430</v>
          </cell>
          <cell r="E568">
            <v>1181</v>
          </cell>
          <cell r="F568">
            <v>0</v>
          </cell>
          <cell r="G568">
            <v>36690</v>
          </cell>
          <cell r="H568">
            <v>0</v>
          </cell>
          <cell r="L568">
            <v>0</v>
          </cell>
          <cell r="N568">
            <v>25982</v>
          </cell>
          <cell r="O568">
            <v>25982</v>
          </cell>
          <cell r="Q568">
            <v>109.5</v>
          </cell>
          <cell r="S568">
            <v>853.36</v>
          </cell>
          <cell r="U568">
            <v>26944.86</v>
          </cell>
          <cell r="Y568">
            <v>1334.53</v>
          </cell>
          <cell r="AE568" t="str">
            <v>20140101KUUM_430</v>
          </cell>
        </row>
        <row r="569">
          <cell r="B569" t="str">
            <v>Jul 2014</v>
          </cell>
          <cell r="C569" t="str">
            <v>RLS</v>
          </cell>
          <cell r="D569" t="str">
            <v>KUUM_434</v>
          </cell>
          <cell r="E569">
            <v>0</v>
          </cell>
          <cell r="F569">
            <v>0</v>
          </cell>
          <cell r="G569">
            <v>0</v>
          </cell>
          <cell r="H569">
            <v>0</v>
          </cell>
          <cell r="L569">
            <v>0</v>
          </cell>
          <cell r="N569">
            <v>0</v>
          </cell>
          <cell r="O569">
            <v>0</v>
          </cell>
          <cell r="Q569">
            <v>0</v>
          </cell>
          <cell r="S569">
            <v>0</v>
          </cell>
          <cell r="U569">
            <v>0</v>
          </cell>
          <cell r="Y569">
            <v>0</v>
          </cell>
          <cell r="AE569" t="str">
            <v>20140101KUUM_434</v>
          </cell>
        </row>
        <row r="570">
          <cell r="B570" t="str">
            <v>Jul 2014</v>
          </cell>
          <cell r="C570" t="str">
            <v>RLS</v>
          </cell>
          <cell r="D570" t="str">
            <v>KUUM_440</v>
          </cell>
          <cell r="E570">
            <v>2</v>
          </cell>
          <cell r="F570">
            <v>0</v>
          </cell>
          <cell r="G570">
            <v>33</v>
          </cell>
          <cell r="H570">
            <v>0</v>
          </cell>
          <cell r="L570">
            <v>0</v>
          </cell>
          <cell r="N570">
            <v>27.22</v>
          </cell>
          <cell r="O570">
            <v>27.22</v>
          </cell>
          <cell r="Q570">
            <v>0.08</v>
          </cell>
          <cell r="S570">
            <v>0.9</v>
          </cell>
          <cell r="U570">
            <v>28.2</v>
          </cell>
          <cell r="Y570">
            <v>1.1399999999999999</v>
          </cell>
          <cell r="AE570" t="str">
            <v>20140101KUUM_440</v>
          </cell>
        </row>
        <row r="571">
          <cell r="B571" t="str">
            <v>Jul 2014</v>
          </cell>
          <cell r="C571" t="str">
            <v>RLS</v>
          </cell>
          <cell r="D571" t="str">
            <v>KUUM_446</v>
          </cell>
          <cell r="E571">
            <v>1079</v>
          </cell>
          <cell r="F571">
            <v>0</v>
          </cell>
          <cell r="G571">
            <v>58497</v>
          </cell>
          <cell r="H571">
            <v>0</v>
          </cell>
          <cell r="L571">
            <v>-7.25</v>
          </cell>
          <cell r="N571">
            <v>10307.99</v>
          </cell>
          <cell r="O571">
            <v>10307.99</v>
          </cell>
          <cell r="Q571">
            <v>175.1</v>
          </cell>
          <cell r="S571">
            <v>342.71</v>
          </cell>
          <cell r="U571">
            <v>10825.8</v>
          </cell>
          <cell r="Y571">
            <v>2147.21</v>
          </cell>
          <cell r="AE571" t="str">
            <v>20140101KUUM_446</v>
          </cell>
        </row>
        <row r="572">
          <cell r="B572" t="str">
            <v>Jul 2014</v>
          </cell>
          <cell r="C572" t="str">
            <v>RLS</v>
          </cell>
          <cell r="D572" t="str">
            <v>KUUM_447</v>
          </cell>
          <cell r="E572">
            <v>711</v>
          </cell>
          <cell r="F572">
            <v>0</v>
          </cell>
          <cell r="G572">
            <v>57967</v>
          </cell>
          <cell r="H572">
            <v>0</v>
          </cell>
          <cell r="L572">
            <v>0</v>
          </cell>
          <cell r="N572">
            <v>8048.52</v>
          </cell>
          <cell r="O572">
            <v>8048.5199999999995</v>
          </cell>
          <cell r="Q572">
            <v>282.51</v>
          </cell>
          <cell r="S572">
            <v>250.28</v>
          </cell>
          <cell r="U572">
            <v>8581.31</v>
          </cell>
          <cell r="Y572">
            <v>2019.24</v>
          </cell>
          <cell r="AE572" t="str">
            <v>20140101KUUM_447</v>
          </cell>
        </row>
        <row r="573">
          <cell r="B573" t="str">
            <v>Jul 2014</v>
          </cell>
          <cell r="C573" t="str">
            <v>RLS</v>
          </cell>
          <cell r="D573" t="str">
            <v>KUUM_448</v>
          </cell>
          <cell r="E573">
            <v>1484</v>
          </cell>
          <cell r="F573">
            <v>0</v>
          </cell>
          <cell r="G573">
            <v>178431</v>
          </cell>
          <cell r="H573">
            <v>0</v>
          </cell>
          <cell r="L573">
            <v>-25.72</v>
          </cell>
          <cell r="N573">
            <v>18984.32</v>
          </cell>
          <cell r="O573">
            <v>18984.32</v>
          </cell>
          <cell r="Q573">
            <v>629.33000000000004</v>
          </cell>
          <cell r="S573">
            <v>626.25</v>
          </cell>
          <cell r="U573">
            <v>20239.900000000001</v>
          </cell>
          <cell r="Y573">
            <v>6485.08</v>
          </cell>
          <cell r="AE573" t="str">
            <v>20140101KUUM_448</v>
          </cell>
        </row>
        <row r="574">
          <cell r="B574" t="str">
            <v>Jul 2014</v>
          </cell>
          <cell r="C574" t="str">
            <v>LS</v>
          </cell>
          <cell r="D574" t="str">
            <v>KUUM_450</v>
          </cell>
          <cell r="E574">
            <v>673</v>
          </cell>
          <cell r="F574">
            <v>0</v>
          </cell>
          <cell r="G574">
            <v>26775</v>
          </cell>
          <cell r="H574">
            <v>0</v>
          </cell>
          <cell r="L574">
            <v>0.02</v>
          </cell>
          <cell r="N574">
            <v>9590.27</v>
          </cell>
          <cell r="O574">
            <v>9590.27</v>
          </cell>
          <cell r="Q574">
            <v>70.709999999999994</v>
          </cell>
          <cell r="S574">
            <v>321.27</v>
          </cell>
          <cell r="U574">
            <v>9982.25</v>
          </cell>
          <cell r="Y574">
            <v>1325.81</v>
          </cell>
          <cell r="AE574" t="str">
            <v>20140101KUUM_450</v>
          </cell>
        </row>
        <row r="575">
          <cell r="B575" t="str">
            <v>Jul 2014</v>
          </cell>
          <cell r="C575" t="str">
            <v>LS</v>
          </cell>
          <cell r="D575" t="str">
            <v>KUUM_451</v>
          </cell>
          <cell r="E575">
            <v>5257</v>
          </cell>
          <cell r="F575">
            <v>0</v>
          </cell>
          <cell r="G575">
            <v>488822</v>
          </cell>
          <cell r="H575">
            <v>0</v>
          </cell>
          <cell r="L575">
            <v>-109.85</v>
          </cell>
          <cell r="N575">
            <v>106081.54999999999</v>
          </cell>
          <cell r="O575">
            <v>106081.54999999999</v>
          </cell>
          <cell r="Q575">
            <v>1298.6500000000001</v>
          </cell>
          <cell r="S575">
            <v>3558.92</v>
          </cell>
          <cell r="U575">
            <v>110939.12</v>
          </cell>
          <cell r="Y575">
            <v>22552.53</v>
          </cell>
          <cell r="AE575" t="str">
            <v>20140101KUUM_451</v>
          </cell>
        </row>
        <row r="576">
          <cell r="B576" t="str">
            <v>Jul 2014</v>
          </cell>
          <cell r="C576" t="str">
            <v>LS</v>
          </cell>
          <cell r="D576" t="str">
            <v>KUUM_452</v>
          </cell>
          <cell r="E576">
            <v>1049</v>
          </cell>
          <cell r="F576">
            <v>0</v>
          </cell>
          <cell r="G576">
            <v>297944</v>
          </cell>
          <cell r="H576">
            <v>0</v>
          </cell>
          <cell r="L576">
            <v>-239.97</v>
          </cell>
          <cell r="N576">
            <v>44185.18</v>
          </cell>
          <cell r="O576">
            <v>44185.18</v>
          </cell>
          <cell r="Q576">
            <v>782.28</v>
          </cell>
          <cell r="S576">
            <v>1493.01</v>
          </cell>
          <cell r="U576">
            <v>46460.47</v>
          </cell>
          <cell r="Y576">
            <v>10920.09</v>
          </cell>
          <cell r="AE576" t="str">
            <v>20140101KUUM_452</v>
          </cell>
        </row>
        <row r="577">
          <cell r="B577" t="str">
            <v>Jul 2014</v>
          </cell>
          <cell r="C577" t="str">
            <v>RLS</v>
          </cell>
          <cell r="D577" t="str">
            <v>KUUM_454</v>
          </cell>
          <cell r="E577">
            <v>152</v>
          </cell>
          <cell r="F577">
            <v>0</v>
          </cell>
          <cell r="G577">
            <v>6013</v>
          </cell>
          <cell r="H577">
            <v>0</v>
          </cell>
          <cell r="L577">
            <v>-10.57</v>
          </cell>
          <cell r="N577">
            <v>2824.23</v>
          </cell>
          <cell r="O577">
            <v>2824.23</v>
          </cell>
          <cell r="Q577">
            <v>16.12</v>
          </cell>
          <cell r="S577">
            <v>93.65</v>
          </cell>
          <cell r="U577">
            <v>2934</v>
          </cell>
          <cell r="Y577">
            <v>299.44</v>
          </cell>
          <cell r="AE577" t="str">
            <v>20140101KUUM_454</v>
          </cell>
        </row>
        <row r="578">
          <cell r="B578" t="str">
            <v>Jul 2014</v>
          </cell>
          <cell r="C578" t="str">
            <v>RLS</v>
          </cell>
          <cell r="D578" t="str">
            <v>KUUM_455</v>
          </cell>
          <cell r="E578">
            <v>1032</v>
          </cell>
          <cell r="F578">
            <v>0</v>
          </cell>
          <cell r="G578">
            <v>95717</v>
          </cell>
          <cell r="H578">
            <v>0</v>
          </cell>
          <cell r="L578">
            <v>-14.42</v>
          </cell>
          <cell r="N578">
            <v>25362.460000000003</v>
          </cell>
          <cell r="O578">
            <v>25362.46</v>
          </cell>
          <cell r="Q578">
            <v>252.68</v>
          </cell>
          <cell r="S578">
            <v>850.81</v>
          </cell>
          <cell r="U578">
            <v>26465.95</v>
          </cell>
          <cell r="Y578">
            <v>4427.28</v>
          </cell>
          <cell r="AE578" t="str">
            <v>20140101KUUM_455</v>
          </cell>
        </row>
        <row r="579">
          <cell r="B579" t="str">
            <v>Jul 2014</v>
          </cell>
          <cell r="C579" t="str">
            <v>RLS</v>
          </cell>
          <cell r="D579" t="str">
            <v>KUUM_456</v>
          </cell>
          <cell r="E579">
            <v>141</v>
          </cell>
          <cell r="F579">
            <v>0</v>
          </cell>
          <cell r="G579">
            <v>7634</v>
          </cell>
          <cell r="H579">
            <v>0</v>
          </cell>
          <cell r="L579">
            <v>0</v>
          </cell>
          <cell r="N579">
            <v>1673.67</v>
          </cell>
          <cell r="O579">
            <v>1673.67</v>
          </cell>
          <cell r="Q579">
            <v>22.03</v>
          </cell>
          <cell r="S579">
            <v>55.69</v>
          </cell>
          <cell r="U579">
            <v>1751.39</v>
          </cell>
          <cell r="Y579">
            <v>280.58999999999997</v>
          </cell>
          <cell r="AE579" t="str">
            <v>20140101KUUM_456</v>
          </cell>
        </row>
        <row r="580">
          <cell r="B580" t="str">
            <v>Jul 2014</v>
          </cell>
          <cell r="C580" t="str">
            <v>RLS</v>
          </cell>
          <cell r="D580" t="str">
            <v>KUUM_457</v>
          </cell>
          <cell r="E580">
            <v>453</v>
          </cell>
          <cell r="F580">
            <v>0</v>
          </cell>
          <cell r="G580">
            <v>36923</v>
          </cell>
          <cell r="H580">
            <v>0</v>
          </cell>
          <cell r="L580">
            <v>0</v>
          </cell>
          <cell r="N580">
            <v>6052.08</v>
          </cell>
          <cell r="O580">
            <v>6052.08</v>
          </cell>
          <cell r="Q580">
            <v>183.34</v>
          </cell>
          <cell r="S580">
            <v>186.49</v>
          </cell>
          <cell r="U580">
            <v>6421.91</v>
          </cell>
          <cell r="Y580">
            <v>1286.52</v>
          </cell>
          <cell r="AE580" t="str">
            <v>20140101KUUM_457</v>
          </cell>
        </row>
        <row r="581">
          <cell r="B581" t="str">
            <v>Jul 2014</v>
          </cell>
          <cell r="C581" t="str">
            <v>RLS</v>
          </cell>
          <cell r="D581" t="str">
            <v>KUUM_458</v>
          </cell>
          <cell r="E581">
            <v>1460</v>
          </cell>
          <cell r="F581">
            <v>0</v>
          </cell>
          <cell r="G581">
            <v>179254</v>
          </cell>
          <cell r="H581">
            <v>0</v>
          </cell>
          <cell r="L581">
            <v>4.12</v>
          </cell>
          <cell r="N581">
            <v>22020.92</v>
          </cell>
          <cell r="O581">
            <v>22020.92</v>
          </cell>
          <cell r="Q581">
            <v>757.8</v>
          </cell>
          <cell r="S581">
            <v>704.72</v>
          </cell>
          <cell r="U581">
            <v>23483.439999999999</v>
          </cell>
          <cell r="Y581">
            <v>6380.2</v>
          </cell>
          <cell r="AE581" t="str">
            <v>20140101KUUM_458</v>
          </cell>
        </row>
        <row r="582">
          <cell r="B582" t="str">
            <v>Jul 2014</v>
          </cell>
          <cell r="C582" t="str">
            <v>RLS</v>
          </cell>
          <cell r="D582" t="str">
            <v>KUUM_459</v>
          </cell>
          <cell r="E582">
            <v>222</v>
          </cell>
          <cell r="F582">
            <v>0</v>
          </cell>
          <cell r="G582">
            <v>63734</v>
          </cell>
          <cell r="H582">
            <v>0</v>
          </cell>
          <cell r="L582">
            <v>0</v>
          </cell>
          <cell r="N582">
            <v>10376.280000000001</v>
          </cell>
          <cell r="O582">
            <v>10376.280000000001</v>
          </cell>
          <cell r="Q582">
            <v>165.82</v>
          </cell>
          <cell r="S582">
            <v>350.24</v>
          </cell>
          <cell r="U582">
            <v>10892.34</v>
          </cell>
          <cell r="Y582">
            <v>2311.02</v>
          </cell>
          <cell r="AE582" t="str">
            <v>20140101KUUM_459</v>
          </cell>
        </row>
        <row r="583">
          <cell r="B583" t="str">
            <v>Jul 2014</v>
          </cell>
          <cell r="C583" t="str">
            <v>RLS</v>
          </cell>
          <cell r="D583" t="str">
            <v>KUUM_460</v>
          </cell>
          <cell r="E583">
            <v>26</v>
          </cell>
          <cell r="F583">
            <v>0</v>
          </cell>
          <cell r="G583">
            <v>1043</v>
          </cell>
          <cell r="H583">
            <v>0</v>
          </cell>
          <cell r="L583">
            <v>0</v>
          </cell>
          <cell r="N583">
            <v>705.9</v>
          </cell>
          <cell r="O583">
            <v>705.9</v>
          </cell>
          <cell r="Q583">
            <v>3.75</v>
          </cell>
          <cell r="S583">
            <v>22.62</v>
          </cell>
          <cell r="U583">
            <v>732.27</v>
          </cell>
          <cell r="Y583">
            <v>51.22</v>
          </cell>
          <cell r="AE583" t="str">
            <v>20140101KUUM_460</v>
          </cell>
        </row>
        <row r="584">
          <cell r="B584" t="str">
            <v>Jul 2014</v>
          </cell>
          <cell r="C584" t="str">
            <v>RLS</v>
          </cell>
          <cell r="D584" t="str">
            <v>KUUM_461</v>
          </cell>
          <cell r="E584">
            <v>6996</v>
          </cell>
          <cell r="F584">
            <v>0</v>
          </cell>
          <cell r="G584">
            <v>110015</v>
          </cell>
          <cell r="H584">
            <v>0</v>
          </cell>
          <cell r="L584">
            <v>0</v>
          </cell>
          <cell r="N584">
            <v>52749.84</v>
          </cell>
          <cell r="O584">
            <v>52749.840000000004</v>
          </cell>
          <cell r="Q584">
            <v>357.07</v>
          </cell>
          <cell r="S584">
            <v>1718.31</v>
          </cell>
          <cell r="U584">
            <v>54825.22</v>
          </cell>
          <cell r="Y584">
            <v>3987.72</v>
          </cell>
          <cell r="AE584" t="str">
            <v>20140101KUUM_461</v>
          </cell>
        </row>
        <row r="585">
          <cell r="B585" t="str">
            <v>Jul 2014</v>
          </cell>
          <cell r="C585" t="str">
            <v>LS</v>
          </cell>
          <cell r="D585" t="str">
            <v>KUUM_462</v>
          </cell>
          <cell r="E585">
            <v>8969</v>
          </cell>
          <cell r="F585">
            <v>0</v>
          </cell>
          <cell r="G585">
            <v>197574</v>
          </cell>
          <cell r="H585">
            <v>0</v>
          </cell>
          <cell r="L585">
            <v>0</v>
          </cell>
          <cell r="N585">
            <v>77671.539999999994</v>
          </cell>
          <cell r="O585">
            <v>77671.540000000008</v>
          </cell>
          <cell r="Q585">
            <v>718.24</v>
          </cell>
          <cell r="S585">
            <v>2491.7399999999998</v>
          </cell>
          <cell r="U585">
            <v>80881.52</v>
          </cell>
          <cell r="Y585">
            <v>7175.2</v>
          </cell>
          <cell r="AE585" t="str">
            <v>20140101KUUM_462</v>
          </cell>
        </row>
        <row r="586">
          <cell r="B586" t="str">
            <v>Jul 2014</v>
          </cell>
          <cell r="C586" t="str">
            <v>LS</v>
          </cell>
          <cell r="D586" t="str">
            <v>KUUM_463</v>
          </cell>
          <cell r="E586">
            <v>21037</v>
          </cell>
          <cell r="F586">
            <v>0</v>
          </cell>
          <cell r="G586">
            <v>653234</v>
          </cell>
          <cell r="H586">
            <v>0</v>
          </cell>
          <cell r="L586">
            <v>-70.98</v>
          </cell>
          <cell r="N586">
            <v>192207.19999999998</v>
          </cell>
          <cell r="O586">
            <v>192207.2</v>
          </cell>
          <cell r="Q586">
            <v>2010.6</v>
          </cell>
          <cell r="S586">
            <v>6330.83</v>
          </cell>
          <cell r="U586">
            <v>200548.63</v>
          </cell>
          <cell r="Y586">
            <v>23771.81</v>
          </cell>
          <cell r="AE586" t="str">
            <v>20140101KUUM_463</v>
          </cell>
        </row>
        <row r="587">
          <cell r="B587" t="str">
            <v>Jul 2014</v>
          </cell>
          <cell r="C587" t="str">
            <v>LS</v>
          </cell>
          <cell r="D587" t="str">
            <v>KUUM_464</v>
          </cell>
          <cell r="E587">
            <v>7766</v>
          </cell>
          <cell r="F587">
            <v>0</v>
          </cell>
          <cell r="G587">
            <v>499239</v>
          </cell>
          <cell r="H587">
            <v>0</v>
          </cell>
          <cell r="L587">
            <v>-76.94</v>
          </cell>
          <cell r="N587">
            <v>110588.56</v>
          </cell>
          <cell r="O587">
            <v>110588.56</v>
          </cell>
          <cell r="Q587">
            <v>1542.75</v>
          </cell>
          <cell r="S587">
            <v>3650.24</v>
          </cell>
          <cell r="U587">
            <v>115781.55</v>
          </cell>
          <cell r="Y587">
            <v>18094.78</v>
          </cell>
          <cell r="AE587" t="str">
            <v>20140101KUUM_464</v>
          </cell>
        </row>
        <row r="588">
          <cell r="B588" t="str">
            <v>Jul 2014</v>
          </cell>
          <cell r="C588" t="str">
            <v>LS</v>
          </cell>
          <cell r="D588" t="str">
            <v>KUUM_465</v>
          </cell>
          <cell r="E588">
            <v>2800</v>
          </cell>
          <cell r="F588">
            <v>0</v>
          </cell>
          <cell r="G588">
            <v>350205</v>
          </cell>
          <cell r="H588">
            <v>0</v>
          </cell>
          <cell r="L588">
            <v>-11.38</v>
          </cell>
          <cell r="N588">
            <v>63940.62</v>
          </cell>
          <cell r="O588">
            <v>63940.62</v>
          </cell>
          <cell r="Q588">
            <v>998.08</v>
          </cell>
          <cell r="S588">
            <v>2134.3200000000002</v>
          </cell>
          <cell r="U588">
            <v>67073.02</v>
          </cell>
          <cell r="Y588">
            <v>12684</v>
          </cell>
          <cell r="AE588" t="str">
            <v>20140101KUUM_465</v>
          </cell>
        </row>
        <row r="589">
          <cell r="B589" t="str">
            <v>Jul 2014</v>
          </cell>
          <cell r="C589" t="str">
            <v>RLS</v>
          </cell>
          <cell r="D589" t="str">
            <v>KUUM_466</v>
          </cell>
          <cell r="E589">
            <v>997</v>
          </cell>
          <cell r="F589">
            <v>0</v>
          </cell>
          <cell r="G589">
            <v>15452</v>
          </cell>
          <cell r="H589">
            <v>0</v>
          </cell>
          <cell r="L589">
            <v>0</v>
          </cell>
          <cell r="N589">
            <v>9591.14</v>
          </cell>
          <cell r="O589">
            <v>9591.14</v>
          </cell>
          <cell r="Q589">
            <v>47.06</v>
          </cell>
          <cell r="S589">
            <v>314.27</v>
          </cell>
          <cell r="U589">
            <v>9952.4699999999993</v>
          </cell>
          <cell r="Y589">
            <v>568.29</v>
          </cell>
          <cell r="AE589" t="str">
            <v>20140101KUUM_466</v>
          </cell>
        </row>
        <row r="590">
          <cell r="B590" t="str">
            <v>Jul 2014</v>
          </cell>
          <cell r="C590" t="str">
            <v>LS</v>
          </cell>
          <cell r="D590" t="str">
            <v>KUUM_467</v>
          </cell>
          <cell r="E590">
            <v>1478</v>
          </cell>
          <cell r="F590">
            <v>0</v>
          </cell>
          <cell r="G590">
            <v>32365</v>
          </cell>
          <cell r="H590">
            <v>0</v>
          </cell>
          <cell r="L590">
            <v>0</v>
          </cell>
          <cell r="N590">
            <v>15918.06</v>
          </cell>
          <cell r="O590">
            <v>15918.06</v>
          </cell>
          <cell r="Q590">
            <v>99.71</v>
          </cell>
          <cell r="S590">
            <v>521.16</v>
          </cell>
          <cell r="U590">
            <v>16538.93</v>
          </cell>
          <cell r="Y590">
            <v>1182.4000000000001</v>
          </cell>
          <cell r="AE590" t="str">
            <v>20140101KUUM_467</v>
          </cell>
        </row>
        <row r="591">
          <cell r="B591" t="str">
            <v>Jul 2014</v>
          </cell>
          <cell r="C591" t="str">
            <v>LS</v>
          </cell>
          <cell r="D591" t="str">
            <v>KUUM_468</v>
          </cell>
          <cell r="E591">
            <v>4074</v>
          </cell>
          <cell r="F591">
            <v>0</v>
          </cell>
          <cell r="G591">
            <v>127928</v>
          </cell>
          <cell r="H591">
            <v>0</v>
          </cell>
          <cell r="L591">
            <v>274.85000000000002</v>
          </cell>
          <cell r="N591">
            <v>45740.689999999995</v>
          </cell>
          <cell r="O591">
            <v>45740.689999999995</v>
          </cell>
          <cell r="Q591">
            <v>345.26</v>
          </cell>
          <cell r="S591">
            <v>1524.75</v>
          </cell>
          <cell r="U591">
            <v>47610.7</v>
          </cell>
          <cell r="Y591">
            <v>4603.62</v>
          </cell>
          <cell r="AE591" t="str">
            <v>20140101KUUM_468</v>
          </cell>
        </row>
        <row r="592">
          <cell r="B592" t="str">
            <v>Jul 2014</v>
          </cell>
          <cell r="C592" t="str">
            <v>RLS</v>
          </cell>
          <cell r="D592" t="str">
            <v>KUUM_469</v>
          </cell>
          <cell r="E592">
            <v>294</v>
          </cell>
          <cell r="F592">
            <v>0</v>
          </cell>
          <cell r="G592">
            <v>27128</v>
          </cell>
          <cell r="H592">
            <v>0</v>
          </cell>
          <cell r="L592">
            <v>-46.34</v>
          </cell>
          <cell r="N592">
            <v>9685.06</v>
          </cell>
          <cell r="O592">
            <v>9685.06</v>
          </cell>
          <cell r="Q592">
            <v>72.38</v>
          </cell>
          <cell r="S592">
            <v>323.41000000000003</v>
          </cell>
          <cell r="U592">
            <v>10080.85</v>
          </cell>
          <cell r="Y592">
            <v>1261.26</v>
          </cell>
          <cell r="AE592" t="str">
            <v>20140101KUUM_469</v>
          </cell>
        </row>
        <row r="593">
          <cell r="B593" t="str">
            <v>Jul 2014</v>
          </cell>
          <cell r="C593" t="str">
            <v>RLS</v>
          </cell>
          <cell r="D593" t="str">
            <v>KUUM_470</v>
          </cell>
          <cell r="E593">
            <v>61</v>
          </cell>
          <cell r="F593">
            <v>0</v>
          </cell>
          <cell r="G593">
            <v>17949</v>
          </cell>
          <cell r="H593">
            <v>0</v>
          </cell>
          <cell r="L593">
            <v>0</v>
          </cell>
          <cell r="N593">
            <v>3370.25</v>
          </cell>
          <cell r="O593">
            <v>3370.25</v>
          </cell>
          <cell r="Q593">
            <v>45.98</v>
          </cell>
          <cell r="S593">
            <v>113.76</v>
          </cell>
          <cell r="U593">
            <v>3529.99</v>
          </cell>
          <cell r="Y593">
            <v>635.01</v>
          </cell>
          <cell r="AE593" t="str">
            <v>20140101KUUM_470</v>
          </cell>
        </row>
        <row r="594">
          <cell r="B594" t="str">
            <v>Jul 2014</v>
          </cell>
          <cell r="C594" t="str">
            <v>RLS</v>
          </cell>
          <cell r="D594" t="str">
            <v>KUUM_471</v>
          </cell>
          <cell r="E594">
            <v>3666</v>
          </cell>
          <cell r="F594">
            <v>0</v>
          </cell>
          <cell r="G594">
            <v>61139</v>
          </cell>
          <cell r="H594">
            <v>0</v>
          </cell>
          <cell r="L594">
            <v>0</v>
          </cell>
          <cell r="N594">
            <v>38456.339999999997</v>
          </cell>
          <cell r="O594">
            <v>38456.340000000004</v>
          </cell>
          <cell r="Q594">
            <v>303.68</v>
          </cell>
          <cell r="S594">
            <v>1159.0899999999999</v>
          </cell>
          <cell r="U594">
            <v>39919.11</v>
          </cell>
          <cell r="Y594">
            <v>2089.62</v>
          </cell>
          <cell r="AE594" t="str">
            <v>20140101KUUM_471</v>
          </cell>
        </row>
        <row r="595">
          <cell r="B595" t="str">
            <v>Jul 2014</v>
          </cell>
          <cell r="C595" t="str">
            <v>LS</v>
          </cell>
          <cell r="D595" t="str">
            <v>KUUM_472</v>
          </cell>
          <cell r="E595">
            <v>8803</v>
          </cell>
          <cell r="F595">
            <v>0</v>
          </cell>
          <cell r="G595">
            <v>203179</v>
          </cell>
          <cell r="H595">
            <v>0</v>
          </cell>
          <cell r="L595">
            <v>25.74</v>
          </cell>
          <cell r="N595">
            <v>102140.54000000001</v>
          </cell>
          <cell r="O595">
            <v>102140.54000000001</v>
          </cell>
          <cell r="Q595">
            <v>1005</v>
          </cell>
          <cell r="S595">
            <v>3087.54</v>
          </cell>
          <cell r="U595">
            <v>106233.08</v>
          </cell>
          <cell r="Y595">
            <v>7042.4</v>
          </cell>
          <cell r="AE595" t="str">
            <v>20140101KUUM_472</v>
          </cell>
        </row>
        <row r="596">
          <cell r="B596" t="str">
            <v>Jul 2014</v>
          </cell>
          <cell r="C596" t="str">
            <v>LS</v>
          </cell>
          <cell r="D596" t="str">
            <v>KUUM_473</v>
          </cell>
          <cell r="E596">
            <v>3398</v>
          </cell>
          <cell r="F596">
            <v>0</v>
          </cell>
          <cell r="G596">
            <v>108566</v>
          </cell>
          <cell r="H596">
            <v>0</v>
          </cell>
          <cell r="L596">
            <v>0</v>
          </cell>
          <cell r="N596">
            <v>41795.4</v>
          </cell>
          <cell r="O596">
            <v>41795.4</v>
          </cell>
          <cell r="Q596">
            <v>439.06</v>
          </cell>
          <cell r="S596">
            <v>1319.02</v>
          </cell>
          <cell r="U596">
            <v>43553.48</v>
          </cell>
          <cell r="Y596">
            <v>3839.74</v>
          </cell>
          <cell r="AE596" t="str">
            <v>20140101KUUM_473</v>
          </cell>
        </row>
        <row r="597">
          <cell r="B597" t="str">
            <v>Jul 2014</v>
          </cell>
          <cell r="C597" t="str">
            <v>LS</v>
          </cell>
          <cell r="D597" t="str">
            <v>KUUM_474</v>
          </cell>
          <cell r="E597">
            <v>5221</v>
          </cell>
          <cell r="F597">
            <v>0</v>
          </cell>
          <cell r="G597">
            <v>344450</v>
          </cell>
          <cell r="H597">
            <v>0</v>
          </cell>
          <cell r="L597">
            <v>-3.81</v>
          </cell>
          <cell r="N597">
            <v>90893.8</v>
          </cell>
          <cell r="O597">
            <v>90893.8</v>
          </cell>
          <cell r="Q597">
            <v>1389.31</v>
          </cell>
          <cell r="S597">
            <v>2883.45</v>
          </cell>
          <cell r="U597">
            <v>95166.56</v>
          </cell>
          <cell r="Y597">
            <v>12164.93</v>
          </cell>
          <cell r="AE597" t="str">
            <v>20140101KUUM_474</v>
          </cell>
        </row>
        <row r="598">
          <cell r="B598" t="str">
            <v>Jul 2014</v>
          </cell>
          <cell r="C598" t="str">
            <v>LS</v>
          </cell>
          <cell r="D598" t="str">
            <v>KUUM_475</v>
          </cell>
          <cell r="E598">
            <v>509</v>
          </cell>
          <cell r="F598">
            <v>0</v>
          </cell>
          <cell r="G598">
            <v>64424</v>
          </cell>
          <cell r="H598">
            <v>0</v>
          </cell>
          <cell r="L598">
            <v>39.799999999999997</v>
          </cell>
          <cell r="N598">
            <v>12489.939999999999</v>
          </cell>
          <cell r="O598">
            <v>12489.939999999999</v>
          </cell>
          <cell r="Q598">
            <v>262.04000000000002</v>
          </cell>
          <cell r="S598">
            <v>397.75</v>
          </cell>
          <cell r="U598">
            <v>13149.73</v>
          </cell>
          <cell r="Y598">
            <v>2305.77</v>
          </cell>
          <cell r="AE598" t="str">
            <v>20140101KUUM_475</v>
          </cell>
        </row>
        <row r="599">
          <cell r="B599" t="str">
            <v>Jul 2014</v>
          </cell>
          <cell r="C599" t="str">
            <v>LS</v>
          </cell>
          <cell r="D599" t="str">
            <v>KUUM_476</v>
          </cell>
          <cell r="E599">
            <v>4563</v>
          </cell>
          <cell r="F599">
            <v>0</v>
          </cell>
          <cell r="G599">
            <v>105339</v>
          </cell>
          <cell r="H599">
            <v>0</v>
          </cell>
          <cell r="L599">
            <v>37.78</v>
          </cell>
          <cell r="N599">
            <v>76650.55</v>
          </cell>
          <cell r="O599">
            <v>76650.549999999988</v>
          </cell>
          <cell r="Q599">
            <v>522.52</v>
          </cell>
          <cell r="S599">
            <v>2308.61</v>
          </cell>
          <cell r="U599">
            <v>79481.679999999993</v>
          </cell>
          <cell r="Y599">
            <v>3650.4</v>
          </cell>
          <cell r="AE599" t="str">
            <v>20140101KUUM_476</v>
          </cell>
        </row>
        <row r="600">
          <cell r="B600" t="str">
            <v>Jul 2014</v>
          </cell>
          <cell r="C600" t="str">
            <v>LS</v>
          </cell>
          <cell r="D600" t="str">
            <v>KUUM_477</v>
          </cell>
          <cell r="E600">
            <v>1052</v>
          </cell>
          <cell r="F600">
            <v>0</v>
          </cell>
          <cell r="G600">
            <v>33103</v>
          </cell>
          <cell r="H600">
            <v>0</v>
          </cell>
          <cell r="L600">
            <v>34.08</v>
          </cell>
          <cell r="N600">
            <v>22094.52</v>
          </cell>
          <cell r="O600">
            <v>22094.52</v>
          </cell>
          <cell r="Q600">
            <v>127.04</v>
          </cell>
          <cell r="S600">
            <v>700.89</v>
          </cell>
          <cell r="U600">
            <v>22922.45</v>
          </cell>
          <cell r="Y600">
            <v>1188.76</v>
          </cell>
          <cell r="AE600" t="str">
            <v>20140101KUUM_477</v>
          </cell>
        </row>
        <row r="601">
          <cell r="B601" t="str">
            <v>Jul 2014</v>
          </cell>
          <cell r="C601" t="str">
            <v>LS</v>
          </cell>
          <cell r="D601" t="str">
            <v>KUUM_478</v>
          </cell>
          <cell r="E601">
            <v>1409</v>
          </cell>
          <cell r="F601">
            <v>0</v>
          </cell>
          <cell r="G601">
            <v>91701</v>
          </cell>
          <cell r="H601">
            <v>0</v>
          </cell>
          <cell r="L601">
            <v>0.02</v>
          </cell>
          <cell r="N601">
            <v>37845.759999999995</v>
          </cell>
          <cell r="O601">
            <v>37845.760000000002</v>
          </cell>
          <cell r="Q601">
            <v>331.3</v>
          </cell>
          <cell r="S601">
            <v>1216.08</v>
          </cell>
          <cell r="U601">
            <v>39393.14</v>
          </cell>
          <cell r="Y601">
            <v>3282.97</v>
          </cell>
          <cell r="AE601" t="str">
            <v>20140101KUUM_478</v>
          </cell>
        </row>
        <row r="602">
          <cell r="B602" t="str">
            <v>Jul 2014</v>
          </cell>
          <cell r="C602" t="str">
            <v>LS</v>
          </cell>
          <cell r="D602" t="str">
            <v>KUUM_479</v>
          </cell>
          <cell r="E602">
            <v>948</v>
          </cell>
          <cell r="F602">
            <v>0</v>
          </cell>
          <cell r="G602">
            <v>118105</v>
          </cell>
          <cell r="H602">
            <v>0</v>
          </cell>
          <cell r="L602">
            <v>-121.44</v>
          </cell>
          <cell r="N602">
            <v>31276.32</v>
          </cell>
          <cell r="O602">
            <v>31276.32</v>
          </cell>
          <cell r="Q602">
            <v>338.44</v>
          </cell>
          <cell r="S602">
            <v>1039.3800000000001</v>
          </cell>
          <cell r="U602">
            <v>32654.14</v>
          </cell>
          <cell r="Y602">
            <v>4294.4399999999996</v>
          </cell>
          <cell r="AE602" t="str">
            <v>20140101KUUM_479</v>
          </cell>
        </row>
        <row r="603">
          <cell r="B603" t="str">
            <v>Jul 2014</v>
          </cell>
          <cell r="C603" t="str">
            <v>LS</v>
          </cell>
          <cell r="D603" t="str">
            <v>KUUM_486</v>
          </cell>
          <cell r="E603">
            <v>0</v>
          </cell>
          <cell r="F603">
            <v>0</v>
          </cell>
          <cell r="G603">
            <v>0</v>
          </cell>
          <cell r="H603">
            <v>0</v>
          </cell>
          <cell r="L603">
            <v>0</v>
          </cell>
          <cell r="N603">
            <v>0</v>
          </cell>
          <cell r="O603">
            <v>0</v>
          </cell>
          <cell r="Q603">
            <v>0</v>
          </cell>
          <cell r="S603">
            <v>0</v>
          </cell>
          <cell r="U603">
            <v>0</v>
          </cell>
          <cell r="Y603">
            <v>0</v>
          </cell>
          <cell r="AE603" t="str">
            <v>20140101KUUM_486</v>
          </cell>
        </row>
        <row r="604">
          <cell r="B604" t="str">
            <v>Jul 2014</v>
          </cell>
          <cell r="C604" t="str">
            <v>LS</v>
          </cell>
          <cell r="D604" t="str">
            <v>KUUM_487</v>
          </cell>
          <cell r="E604">
            <v>11165</v>
          </cell>
          <cell r="F604">
            <v>0</v>
          </cell>
          <cell r="G604">
            <v>345044</v>
          </cell>
          <cell r="H604">
            <v>0</v>
          </cell>
          <cell r="L604">
            <v>-664.71</v>
          </cell>
          <cell r="N604">
            <v>99820.29</v>
          </cell>
          <cell r="O604">
            <v>99820.29</v>
          </cell>
          <cell r="Q604">
            <v>882.86</v>
          </cell>
          <cell r="S604">
            <v>3329.53</v>
          </cell>
          <cell r="U604">
            <v>104032.68</v>
          </cell>
          <cell r="Y604">
            <v>12616.45</v>
          </cell>
          <cell r="AE604" t="str">
            <v>20140101KUUM_487</v>
          </cell>
        </row>
        <row r="605">
          <cell r="B605" t="str">
            <v>Jul 2014</v>
          </cell>
          <cell r="C605" t="str">
            <v>LS</v>
          </cell>
          <cell r="D605" t="str">
            <v>KUUM_488</v>
          </cell>
          <cell r="E605">
            <v>6669</v>
          </cell>
          <cell r="F605">
            <v>0</v>
          </cell>
          <cell r="G605">
            <v>425848</v>
          </cell>
          <cell r="H605">
            <v>0</v>
          </cell>
          <cell r="L605">
            <v>-567.99</v>
          </cell>
          <cell r="N605">
            <v>90397.17</v>
          </cell>
          <cell r="O605">
            <v>90397.17</v>
          </cell>
          <cell r="Q605">
            <v>1119.54</v>
          </cell>
          <cell r="S605">
            <v>3038.21</v>
          </cell>
          <cell r="U605">
            <v>94554.92</v>
          </cell>
          <cell r="Y605">
            <v>15538.77</v>
          </cell>
          <cell r="AE605" t="str">
            <v>20140101KUUM_488</v>
          </cell>
        </row>
        <row r="606">
          <cell r="B606" t="str">
            <v>Jul 2014</v>
          </cell>
          <cell r="C606" t="str">
            <v>LS</v>
          </cell>
          <cell r="D606" t="str">
            <v>KUUM_489</v>
          </cell>
          <cell r="E606">
            <v>8390</v>
          </cell>
          <cell r="F606">
            <v>0</v>
          </cell>
          <cell r="G606">
            <v>1046275</v>
          </cell>
          <cell r="H606">
            <v>0</v>
          </cell>
          <cell r="L606">
            <v>-339.16</v>
          </cell>
          <cell r="N606">
            <v>162930.23999999999</v>
          </cell>
          <cell r="O606">
            <v>162930.23999999999</v>
          </cell>
          <cell r="Q606">
            <v>2822.67</v>
          </cell>
          <cell r="S606">
            <v>5492.37</v>
          </cell>
          <cell r="U606">
            <v>171245.28</v>
          </cell>
          <cell r="Y606">
            <v>38006.699999999997</v>
          </cell>
          <cell r="AE606" t="str">
            <v>20140101KUUM_489</v>
          </cell>
        </row>
        <row r="607">
          <cell r="B607" t="str">
            <v>Jul 2014</v>
          </cell>
          <cell r="C607" t="str">
            <v>LS</v>
          </cell>
          <cell r="D607" t="str">
            <v>KUUM_490</v>
          </cell>
          <cell r="E607">
            <v>60</v>
          </cell>
          <cell r="F607">
            <v>0</v>
          </cell>
          <cell r="G607">
            <v>2298</v>
          </cell>
          <cell r="H607">
            <v>0</v>
          </cell>
          <cell r="L607">
            <v>-17.53</v>
          </cell>
          <cell r="N607">
            <v>910.67000000000007</v>
          </cell>
          <cell r="O607">
            <v>910.67</v>
          </cell>
          <cell r="Q607">
            <v>5.98</v>
          </cell>
          <cell r="S607">
            <v>30.48</v>
          </cell>
          <cell r="U607">
            <v>947.13</v>
          </cell>
          <cell r="Y607">
            <v>118.2</v>
          </cell>
          <cell r="AE607" t="str">
            <v>20140101KUUM_490</v>
          </cell>
        </row>
        <row r="608">
          <cell r="B608" t="str">
            <v>Jul 2014</v>
          </cell>
          <cell r="C608" t="str">
            <v>LS</v>
          </cell>
          <cell r="D608" t="str">
            <v>KUUM_491</v>
          </cell>
          <cell r="E608">
            <v>304</v>
          </cell>
          <cell r="F608">
            <v>0</v>
          </cell>
          <cell r="G608">
            <v>26015</v>
          </cell>
          <cell r="H608">
            <v>0</v>
          </cell>
          <cell r="L608">
            <v>-392.55</v>
          </cell>
          <cell r="N608">
            <v>6274.17</v>
          </cell>
          <cell r="O608">
            <v>6274.1699999999992</v>
          </cell>
          <cell r="Q608">
            <v>60.53</v>
          </cell>
          <cell r="S608">
            <v>212.53</v>
          </cell>
          <cell r="U608">
            <v>6547.23</v>
          </cell>
          <cell r="Y608">
            <v>1304.1600000000001</v>
          </cell>
          <cell r="AE608" t="str">
            <v>20140101KUUM_491</v>
          </cell>
        </row>
        <row r="609">
          <cell r="B609" t="str">
            <v>Jul 2014</v>
          </cell>
          <cell r="C609" t="str">
            <v>LS</v>
          </cell>
          <cell r="D609" t="str">
            <v>KUUM_492</v>
          </cell>
          <cell r="E609">
            <v>2</v>
          </cell>
          <cell r="F609">
            <v>0</v>
          </cell>
          <cell r="G609">
            <v>44</v>
          </cell>
          <cell r="H609">
            <v>0</v>
          </cell>
          <cell r="L609">
            <v>0</v>
          </cell>
          <cell r="N609">
            <v>30.74</v>
          </cell>
          <cell r="O609">
            <v>30.74</v>
          </cell>
          <cell r="Q609">
            <v>0.11</v>
          </cell>
          <cell r="S609">
            <v>1.03</v>
          </cell>
          <cell r="U609">
            <v>31.88</v>
          </cell>
          <cell r="Y609">
            <v>1.6</v>
          </cell>
          <cell r="AE609" t="str">
            <v>20140101KUUM_492</v>
          </cell>
        </row>
        <row r="610">
          <cell r="B610" t="str">
            <v>Jul 2014</v>
          </cell>
          <cell r="C610" t="str">
            <v>LS</v>
          </cell>
          <cell r="D610" t="str">
            <v>KUUM_493</v>
          </cell>
          <cell r="E610">
            <v>43</v>
          </cell>
          <cell r="F610">
            <v>0</v>
          </cell>
          <cell r="G610">
            <v>12411</v>
          </cell>
          <cell r="H610">
            <v>-125</v>
          </cell>
          <cell r="L610">
            <v>0</v>
          </cell>
          <cell r="N610">
            <v>1965.1</v>
          </cell>
          <cell r="O610">
            <v>1965.1</v>
          </cell>
          <cell r="Q610">
            <v>31.76</v>
          </cell>
          <cell r="S610">
            <v>66.510000000000005</v>
          </cell>
          <cell r="U610">
            <v>2063.37</v>
          </cell>
          <cell r="Y610">
            <v>447.63</v>
          </cell>
          <cell r="AE610" t="str">
            <v>20140101KUUM_493</v>
          </cell>
        </row>
        <row r="611">
          <cell r="B611" t="str">
            <v>Jul 2014</v>
          </cell>
          <cell r="C611" t="str">
            <v>LS</v>
          </cell>
          <cell r="D611" t="str">
            <v>KUUM_494</v>
          </cell>
          <cell r="E611">
            <v>182</v>
          </cell>
          <cell r="F611">
            <v>0</v>
          </cell>
          <cell r="G611">
            <v>6776</v>
          </cell>
          <cell r="H611">
            <v>0</v>
          </cell>
          <cell r="L611">
            <v>-225.07</v>
          </cell>
          <cell r="N611">
            <v>4938.2700000000004</v>
          </cell>
          <cell r="O611">
            <v>4938.2700000000004</v>
          </cell>
          <cell r="Q611">
            <v>20.32</v>
          </cell>
          <cell r="S611">
            <v>162.09</v>
          </cell>
          <cell r="U611">
            <v>5120.68</v>
          </cell>
          <cell r="Y611">
            <v>358.54</v>
          </cell>
          <cell r="AE611" t="str">
            <v>20140101KUUM_494</v>
          </cell>
        </row>
        <row r="612">
          <cell r="B612" t="str">
            <v>Jul 2014</v>
          </cell>
          <cell r="C612" t="str">
            <v>LS</v>
          </cell>
          <cell r="D612" t="str">
            <v>KUUM_495</v>
          </cell>
          <cell r="E612">
            <v>649</v>
          </cell>
          <cell r="F612">
            <v>0</v>
          </cell>
          <cell r="G612">
            <v>59891</v>
          </cell>
          <cell r="H612">
            <v>0</v>
          </cell>
          <cell r="L612">
            <v>-163.69999999999999</v>
          </cell>
          <cell r="N612">
            <v>22440.969999999998</v>
          </cell>
          <cell r="O612">
            <v>22440.97</v>
          </cell>
          <cell r="Q612">
            <v>156.36000000000001</v>
          </cell>
          <cell r="S612">
            <v>750.73</v>
          </cell>
          <cell r="U612">
            <v>23348.06</v>
          </cell>
          <cell r="Y612">
            <v>2784.21</v>
          </cell>
          <cell r="AE612" t="str">
            <v>20140101KUUM_495</v>
          </cell>
        </row>
        <row r="613">
          <cell r="B613" t="str">
            <v>Jul 2014</v>
          </cell>
          <cell r="C613" t="str">
            <v>LS</v>
          </cell>
          <cell r="D613" t="str">
            <v>KUUM_496</v>
          </cell>
          <cell r="E613">
            <v>154</v>
          </cell>
          <cell r="F613">
            <v>0</v>
          </cell>
          <cell r="G613">
            <v>43809</v>
          </cell>
          <cell r="H613">
            <v>0</v>
          </cell>
          <cell r="L613">
            <v>-82.02</v>
          </cell>
          <cell r="N613">
            <v>8940.84</v>
          </cell>
          <cell r="O613">
            <v>8940.84</v>
          </cell>
          <cell r="Q613">
            <v>117.99</v>
          </cell>
          <cell r="S613">
            <v>299.81</v>
          </cell>
          <cell r="U613">
            <v>9358.64</v>
          </cell>
          <cell r="Y613">
            <v>1603.14</v>
          </cell>
          <cell r="AE613" t="str">
            <v>20140101KUUM_496</v>
          </cell>
        </row>
        <row r="614">
          <cell r="B614" t="str">
            <v>Jul 2014</v>
          </cell>
          <cell r="C614" t="str">
            <v>LS</v>
          </cell>
          <cell r="D614" t="str">
            <v>KUUM_497</v>
          </cell>
          <cell r="E614">
            <v>10</v>
          </cell>
          <cell r="F614">
            <v>0</v>
          </cell>
          <cell r="G614">
            <v>309</v>
          </cell>
          <cell r="H614">
            <v>0</v>
          </cell>
          <cell r="L614">
            <v>0</v>
          </cell>
          <cell r="N614">
            <v>153.5</v>
          </cell>
          <cell r="O614">
            <v>153.5</v>
          </cell>
          <cell r="Q614">
            <v>0.79</v>
          </cell>
          <cell r="S614">
            <v>5.14</v>
          </cell>
          <cell r="U614">
            <v>159.43</v>
          </cell>
          <cell r="Y614">
            <v>11.3</v>
          </cell>
          <cell r="AE614" t="str">
            <v>20140101KUUM_497</v>
          </cell>
        </row>
        <row r="615">
          <cell r="B615" t="str">
            <v>Jul 2014</v>
          </cell>
          <cell r="C615" t="str">
            <v>LS</v>
          </cell>
          <cell r="D615" t="str">
            <v>KUUM_498</v>
          </cell>
          <cell r="E615">
            <v>26</v>
          </cell>
          <cell r="F615">
            <v>0</v>
          </cell>
          <cell r="G615">
            <v>1626</v>
          </cell>
          <cell r="H615">
            <v>0</v>
          </cell>
          <cell r="L615">
            <v>0</v>
          </cell>
          <cell r="N615">
            <v>460.72</v>
          </cell>
          <cell r="O615">
            <v>460.72</v>
          </cell>
          <cell r="Q615">
            <v>4.16</v>
          </cell>
          <cell r="S615">
            <v>15.48</v>
          </cell>
          <cell r="U615">
            <v>480.36</v>
          </cell>
          <cell r="Y615">
            <v>60.58</v>
          </cell>
          <cell r="AE615" t="str">
            <v>20140101KUUM_498</v>
          </cell>
        </row>
        <row r="616">
          <cell r="B616" t="str">
            <v>Jul 2014</v>
          </cell>
          <cell r="C616" t="str">
            <v>LS</v>
          </cell>
          <cell r="D616" t="str">
            <v>KUUM_499</v>
          </cell>
          <cell r="E616">
            <v>30</v>
          </cell>
          <cell r="F616">
            <v>0</v>
          </cell>
          <cell r="G616">
            <v>3205</v>
          </cell>
          <cell r="H616">
            <v>0</v>
          </cell>
          <cell r="L616">
            <v>-78.8</v>
          </cell>
          <cell r="N616">
            <v>565.90000000000009</v>
          </cell>
          <cell r="O616">
            <v>565.9</v>
          </cell>
          <cell r="Q616">
            <v>8.52</v>
          </cell>
          <cell r="S616">
            <v>19.059999999999999</v>
          </cell>
          <cell r="U616">
            <v>593.48</v>
          </cell>
          <cell r="Y616">
            <v>135.9</v>
          </cell>
          <cell r="AE616" t="str">
            <v>20140101KUUM_499</v>
          </cell>
        </row>
        <row r="617">
          <cell r="B617" t="str">
            <v>Jul 2014</v>
          </cell>
          <cell r="C617" t="str">
            <v>ODL</v>
          </cell>
          <cell r="D617" t="str">
            <v>ODL</v>
          </cell>
          <cell r="E617">
            <v>0</v>
          </cell>
          <cell r="F617">
            <v>0</v>
          </cell>
          <cell r="G617">
            <v>0</v>
          </cell>
          <cell r="H617">
            <v>0</v>
          </cell>
          <cell r="L617">
            <v>0</v>
          </cell>
          <cell r="N617">
            <v>0</v>
          </cell>
          <cell r="O617">
            <v>0</v>
          </cell>
          <cell r="Q617">
            <v>0</v>
          </cell>
          <cell r="S617">
            <v>0</v>
          </cell>
          <cell r="U617">
            <v>0</v>
          </cell>
          <cell r="Y617">
            <v>0</v>
          </cell>
          <cell r="AE617" t="str">
            <v>20140101ODL</v>
          </cell>
        </row>
        <row r="618">
          <cell r="B618" t="str">
            <v>Aug 2014</v>
          </cell>
          <cell r="C618" t="str">
            <v>LS</v>
          </cell>
          <cell r="D618" t="str">
            <v>KUUM_300</v>
          </cell>
          <cell r="E618">
            <v>0</v>
          </cell>
          <cell r="F618">
            <v>0</v>
          </cell>
          <cell r="G618">
            <v>0</v>
          </cell>
          <cell r="H618">
            <v>0</v>
          </cell>
          <cell r="L618">
            <v>0</v>
          </cell>
          <cell r="N618">
            <v>0</v>
          </cell>
          <cell r="O618">
            <v>0</v>
          </cell>
          <cell r="Q618">
            <v>0</v>
          </cell>
          <cell r="S618">
            <v>0</v>
          </cell>
          <cell r="U618">
            <v>0</v>
          </cell>
          <cell r="Y618">
            <v>0</v>
          </cell>
          <cell r="AE618" t="str">
            <v>20140101KUUM_300</v>
          </cell>
        </row>
        <row r="619">
          <cell r="B619" t="str">
            <v>Aug 2014</v>
          </cell>
          <cell r="C619" t="str">
            <v>LS</v>
          </cell>
          <cell r="D619" t="str">
            <v>KUUM_301</v>
          </cell>
          <cell r="E619">
            <v>0</v>
          </cell>
          <cell r="F619">
            <v>0</v>
          </cell>
          <cell r="G619">
            <v>0</v>
          </cell>
          <cell r="H619">
            <v>0</v>
          </cell>
          <cell r="L619">
            <v>0</v>
          </cell>
          <cell r="N619">
            <v>0</v>
          </cell>
          <cell r="O619">
            <v>0</v>
          </cell>
          <cell r="Q619">
            <v>0</v>
          </cell>
          <cell r="S619">
            <v>0</v>
          </cell>
          <cell r="U619">
            <v>0</v>
          </cell>
          <cell r="Y619">
            <v>0</v>
          </cell>
          <cell r="AE619" t="str">
            <v>20140101KUUM_301</v>
          </cell>
        </row>
        <row r="620">
          <cell r="B620" t="str">
            <v>Aug 2014</v>
          </cell>
          <cell r="C620" t="str">
            <v>LS</v>
          </cell>
          <cell r="D620" t="str">
            <v>KUUM_360</v>
          </cell>
          <cell r="E620">
            <v>178</v>
          </cell>
          <cell r="F620">
            <v>0</v>
          </cell>
          <cell r="G620">
            <v>8494</v>
          </cell>
          <cell r="H620">
            <v>0</v>
          </cell>
          <cell r="L620">
            <v>0</v>
          </cell>
          <cell r="N620">
            <v>9848.74</v>
          </cell>
          <cell r="O620">
            <v>9848.74</v>
          </cell>
          <cell r="Q620">
            <v>21.1</v>
          </cell>
          <cell r="S620">
            <v>328.4</v>
          </cell>
          <cell r="U620">
            <v>10198.24</v>
          </cell>
          <cell r="Y620">
            <v>311.5</v>
          </cell>
          <cell r="AE620" t="str">
            <v>20140101KUUM_360</v>
          </cell>
        </row>
        <row r="621">
          <cell r="B621" t="str">
            <v>Aug 2014</v>
          </cell>
          <cell r="C621" t="str">
            <v>LS</v>
          </cell>
          <cell r="D621" t="str">
            <v>KUUM_361</v>
          </cell>
          <cell r="E621">
            <v>25</v>
          </cell>
          <cell r="F621">
            <v>0</v>
          </cell>
          <cell r="G621">
            <v>1220</v>
          </cell>
          <cell r="H621">
            <v>0</v>
          </cell>
          <cell r="L621">
            <v>0</v>
          </cell>
          <cell r="N621">
            <v>2079</v>
          </cell>
          <cell r="O621">
            <v>2079</v>
          </cell>
          <cell r="Q621">
            <v>3.11</v>
          </cell>
          <cell r="S621">
            <v>69.34</v>
          </cell>
          <cell r="U621">
            <v>2151.4499999999998</v>
          </cell>
          <cell r="Y621">
            <v>43.75</v>
          </cell>
          <cell r="AE621" t="str">
            <v>20140101KUUM_361</v>
          </cell>
        </row>
        <row r="622">
          <cell r="B622" t="str">
            <v>Aug 2014</v>
          </cell>
          <cell r="C622" t="str">
            <v>LS</v>
          </cell>
          <cell r="D622" t="str">
            <v>KUUM_362</v>
          </cell>
          <cell r="E622">
            <v>43</v>
          </cell>
          <cell r="F622">
            <v>0</v>
          </cell>
          <cell r="G622">
            <v>1689</v>
          </cell>
          <cell r="H622">
            <v>0</v>
          </cell>
          <cell r="L622">
            <v>0</v>
          </cell>
          <cell r="N622">
            <v>2570.54</v>
          </cell>
          <cell r="O622">
            <v>2570.54</v>
          </cell>
          <cell r="Q622">
            <v>4.33</v>
          </cell>
          <cell r="S622">
            <v>85.75</v>
          </cell>
          <cell r="U622">
            <v>2660.62</v>
          </cell>
          <cell r="Y622">
            <v>75.25</v>
          </cell>
          <cell r="AE622" t="str">
            <v>20140101KUUM_362</v>
          </cell>
        </row>
        <row r="623">
          <cell r="B623" t="str">
            <v>Aug 2014</v>
          </cell>
          <cell r="C623" t="str">
            <v>LS</v>
          </cell>
          <cell r="D623" t="str">
            <v>KUUM_363</v>
          </cell>
          <cell r="E623">
            <v>5</v>
          </cell>
          <cell r="F623">
            <v>0</v>
          </cell>
          <cell r="G623">
            <v>254</v>
          </cell>
          <cell r="H623">
            <v>0</v>
          </cell>
          <cell r="L623">
            <v>0</v>
          </cell>
          <cell r="N623">
            <v>308.75</v>
          </cell>
          <cell r="O623">
            <v>308.75</v>
          </cell>
          <cell r="Q623">
            <v>0.65</v>
          </cell>
          <cell r="S623">
            <v>10.3</v>
          </cell>
          <cell r="U623">
            <v>319.7</v>
          </cell>
          <cell r="Y623">
            <v>8.75</v>
          </cell>
          <cell r="AE623" t="str">
            <v>20140101KUUM_363</v>
          </cell>
        </row>
        <row r="624">
          <cell r="B624" t="str">
            <v>Aug 2014</v>
          </cell>
          <cell r="C624" t="str">
            <v>LS</v>
          </cell>
          <cell r="D624" t="str">
            <v>KUUM_364</v>
          </cell>
          <cell r="E624">
            <v>1</v>
          </cell>
          <cell r="F624">
            <v>0</v>
          </cell>
          <cell r="G624">
            <v>51</v>
          </cell>
          <cell r="H624">
            <v>0</v>
          </cell>
          <cell r="L624">
            <v>0</v>
          </cell>
          <cell r="N624">
            <v>63.11</v>
          </cell>
          <cell r="O624">
            <v>63.109999999999992</v>
          </cell>
          <cell r="Q624">
            <v>0.13</v>
          </cell>
          <cell r="S624">
            <v>2.11</v>
          </cell>
          <cell r="U624">
            <v>65.349999999999994</v>
          </cell>
          <cell r="Y624">
            <v>1.75</v>
          </cell>
          <cell r="AE624" t="str">
            <v>20140101KUUM_364</v>
          </cell>
        </row>
        <row r="625">
          <cell r="B625" t="str">
            <v>Aug 2014</v>
          </cell>
          <cell r="C625" t="str">
            <v>LS</v>
          </cell>
          <cell r="D625" t="str">
            <v>KUUM_365</v>
          </cell>
          <cell r="E625">
            <v>5</v>
          </cell>
          <cell r="F625">
            <v>0</v>
          </cell>
          <cell r="G625">
            <v>250</v>
          </cell>
          <cell r="H625">
            <v>0</v>
          </cell>
          <cell r="L625">
            <v>0</v>
          </cell>
          <cell r="N625">
            <v>404.7</v>
          </cell>
          <cell r="O625">
            <v>404.7</v>
          </cell>
          <cell r="Q625">
            <v>0.64</v>
          </cell>
          <cell r="S625">
            <v>13.5</v>
          </cell>
          <cell r="U625">
            <v>418.84</v>
          </cell>
          <cell r="Y625">
            <v>8.75</v>
          </cell>
          <cell r="AE625" t="str">
            <v>20140101KUUM_365</v>
          </cell>
        </row>
        <row r="626">
          <cell r="B626" t="str">
            <v>Aug 2014</v>
          </cell>
          <cell r="C626" t="str">
            <v>LS</v>
          </cell>
          <cell r="D626" t="str">
            <v>KUUM_366</v>
          </cell>
          <cell r="E626">
            <v>9</v>
          </cell>
          <cell r="F626">
            <v>0</v>
          </cell>
          <cell r="G626">
            <v>454</v>
          </cell>
          <cell r="H626">
            <v>0</v>
          </cell>
          <cell r="L626">
            <v>0</v>
          </cell>
          <cell r="N626">
            <v>710.73</v>
          </cell>
          <cell r="O626">
            <v>710.73</v>
          </cell>
          <cell r="Q626">
            <v>1.1599999999999999</v>
          </cell>
          <cell r="S626">
            <v>23.7</v>
          </cell>
          <cell r="U626">
            <v>735.59</v>
          </cell>
          <cell r="Y626">
            <v>15.75</v>
          </cell>
          <cell r="AE626" t="str">
            <v>20140101KUUM_366</v>
          </cell>
        </row>
        <row r="627">
          <cell r="B627" t="str">
            <v>Aug 2014</v>
          </cell>
          <cell r="C627" t="str">
            <v>LS</v>
          </cell>
          <cell r="D627" t="str">
            <v>KUUM_367</v>
          </cell>
          <cell r="E627">
            <v>25</v>
          </cell>
          <cell r="F627">
            <v>0</v>
          </cell>
          <cell r="G627">
            <v>1196</v>
          </cell>
          <cell r="H627">
            <v>0</v>
          </cell>
          <cell r="L627">
            <v>0</v>
          </cell>
          <cell r="N627">
            <v>1530.75</v>
          </cell>
          <cell r="O627">
            <v>1530.75</v>
          </cell>
          <cell r="Q627">
            <v>3.06</v>
          </cell>
          <cell r="S627">
            <v>51.07</v>
          </cell>
          <cell r="U627">
            <v>1584.88</v>
          </cell>
          <cell r="Y627">
            <v>43.75</v>
          </cell>
          <cell r="AE627" t="str">
            <v>20140101KUUM_367</v>
          </cell>
        </row>
        <row r="628">
          <cell r="B628" t="str">
            <v>Aug 2014</v>
          </cell>
          <cell r="C628" t="str">
            <v>LS</v>
          </cell>
          <cell r="D628" t="str">
            <v>KUUM_368</v>
          </cell>
          <cell r="E628">
            <v>1</v>
          </cell>
          <cell r="F628">
            <v>0</v>
          </cell>
          <cell r="G628">
            <v>51</v>
          </cell>
          <cell r="H628">
            <v>0</v>
          </cell>
          <cell r="L628">
            <v>0</v>
          </cell>
          <cell r="N628">
            <v>56.69</v>
          </cell>
          <cell r="O628">
            <v>56.69</v>
          </cell>
          <cell r="Q628">
            <v>0.13</v>
          </cell>
          <cell r="S628">
            <v>1.89</v>
          </cell>
          <cell r="U628">
            <v>58.71</v>
          </cell>
          <cell r="Y628">
            <v>1.75</v>
          </cell>
          <cell r="AE628" t="str">
            <v>20140101KUUM_368</v>
          </cell>
        </row>
        <row r="629">
          <cell r="B629" t="str">
            <v>Aug 2014</v>
          </cell>
          <cell r="C629" t="str">
            <v>LS</v>
          </cell>
          <cell r="D629" t="str">
            <v>KUUM_370</v>
          </cell>
          <cell r="E629">
            <v>15</v>
          </cell>
          <cell r="F629">
            <v>0</v>
          </cell>
          <cell r="G629">
            <v>747</v>
          </cell>
          <cell r="H629">
            <v>0</v>
          </cell>
          <cell r="L629">
            <v>0</v>
          </cell>
          <cell r="N629">
            <v>1117.8</v>
          </cell>
          <cell r="O629">
            <v>1117.8</v>
          </cell>
          <cell r="Q629">
            <v>1.59</v>
          </cell>
          <cell r="S629">
            <v>37.1</v>
          </cell>
          <cell r="U629">
            <v>1156.49</v>
          </cell>
          <cell r="Y629">
            <v>26.25</v>
          </cell>
          <cell r="AE629" t="str">
            <v>20140101KUUM_370</v>
          </cell>
        </row>
        <row r="630">
          <cell r="B630" t="str">
            <v>Aug 2014</v>
          </cell>
          <cell r="C630" t="str">
            <v>LS</v>
          </cell>
          <cell r="D630" t="str">
            <v>KUUM_372</v>
          </cell>
          <cell r="E630">
            <v>1</v>
          </cell>
          <cell r="F630">
            <v>0</v>
          </cell>
          <cell r="G630">
            <v>51</v>
          </cell>
          <cell r="H630">
            <v>0</v>
          </cell>
          <cell r="L630">
            <v>0</v>
          </cell>
          <cell r="N630">
            <v>82.3</v>
          </cell>
          <cell r="O630">
            <v>82.3</v>
          </cell>
          <cell r="Q630">
            <v>0.13</v>
          </cell>
          <cell r="S630">
            <v>2.74</v>
          </cell>
          <cell r="U630">
            <v>85.17</v>
          </cell>
          <cell r="Y630">
            <v>1.75</v>
          </cell>
          <cell r="AE630" t="str">
            <v>20140101KUUM_372</v>
          </cell>
        </row>
        <row r="631">
          <cell r="B631" t="str">
            <v>Aug 2014</v>
          </cell>
          <cell r="C631" t="str">
            <v>LS</v>
          </cell>
          <cell r="D631" t="str">
            <v>KUUM_373</v>
          </cell>
          <cell r="E631">
            <v>20</v>
          </cell>
          <cell r="F631">
            <v>0</v>
          </cell>
          <cell r="G631">
            <v>944</v>
          </cell>
          <cell r="H631">
            <v>0</v>
          </cell>
          <cell r="L631">
            <v>0</v>
          </cell>
          <cell r="N631">
            <v>1490.4</v>
          </cell>
          <cell r="O631">
            <v>1490.4</v>
          </cell>
          <cell r="Q631">
            <v>2.41</v>
          </cell>
          <cell r="S631">
            <v>49.71</v>
          </cell>
          <cell r="U631">
            <v>1542.52</v>
          </cell>
          <cell r="Y631">
            <v>35</v>
          </cell>
          <cell r="AE631" t="str">
            <v>20140101KUUM_373</v>
          </cell>
        </row>
        <row r="632">
          <cell r="B632" t="str">
            <v>Aug 2014</v>
          </cell>
          <cell r="C632" t="str">
            <v>LS</v>
          </cell>
          <cell r="D632" t="str">
            <v>KUUM_374</v>
          </cell>
          <cell r="E632">
            <v>4</v>
          </cell>
          <cell r="F632">
            <v>0</v>
          </cell>
          <cell r="G632">
            <v>196</v>
          </cell>
          <cell r="H632">
            <v>0</v>
          </cell>
          <cell r="L632">
            <v>0</v>
          </cell>
          <cell r="N632">
            <v>303.52</v>
          </cell>
          <cell r="O632">
            <v>303.52</v>
          </cell>
          <cell r="Q632">
            <v>0.5</v>
          </cell>
          <cell r="S632">
            <v>10.119999999999999</v>
          </cell>
          <cell r="U632">
            <v>314.14</v>
          </cell>
          <cell r="Y632">
            <v>7</v>
          </cell>
          <cell r="AE632" t="str">
            <v>20140101KUUM_374</v>
          </cell>
        </row>
        <row r="633">
          <cell r="B633" t="str">
            <v>Aug 2014</v>
          </cell>
          <cell r="C633" t="str">
            <v>LS</v>
          </cell>
          <cell r="D633" t="str">
            <v>KUUM_375</v>
          </cell>
          <cell r="E633">
            <v>3</v>
          </cell>
          <cell r="F633">
            <v>0</v>
          </cell>
          <cell r="G633">
            <v>141</v>
          </cell>
          <cell r="H633">
            <v>0</v>
          </cell>
          <cell r="L633">
            <v>0</v>
          </cell>
          <cell r="N633">
            <v>236.91</v>
          </cell>
          <cell r="O633">
            <v>236.91</v>
          </cell>
          <cell r="Q633">
            <v>0.36</v>
          </cell>
          <cell r="S633">
            <v>7.9</v>
          </cell>
          <cell r="U633">
            <v>245.17</v>
          </cell>
          <cell r="Y633">
            <v>5.25</v>
          </cell>
          <cell r="AE633" t="str">
            <v>20140101KUUM_375</v>
          </cell>
        </row>
        <row r="634">
          <cell r="B634" t="str">
            <v>Aug 2014</v>
          </cell>
          <cell r="C634" t="str">
            <v>LS</v>
          </cell>
          <cell r="D634" t="str">
            <v>KUUM_376</v>
          </cell>
          <cell r="E634">
            <v>2</v>
          </cell>
          <cell r="F634">
            <v>0</v>
          </cell>
          <cell r="G634">
            <v>94</v>
          </cell>
          <cell r="H634">
            <v>0</v>
          </cell>
          <cell r="L634">
            <v>0</v>
          </cell>
          <cell r="N634">
            <v>154.52000000000001</v>
          </cell>
          <cell r="O634">
            <v>154.51999999999998</v>
          </cell>
          <cell r="Q634">
            <v>0.24</v>
          </cell>
          <cell r="S634">
            <v>5.15</v>
          </cell>
          <cell r="U634">
            <v>159.91</v>
          </cell>
          <cell r="Y634">
            <v>3.5</v>
          </cell>
          <cell r="AE634" t="str">
            <v>20140101KUUM_376</v>
          </cell>
        </row>
        <row r="635">
          <cell r="B635" t="str">
            <v>Aug 2014</v>
          </cell>
          <cell r="C635" t="str">
            <v>LS</v>
          </cell>
          <cell r="D635" t="str">
            <v>KUUM_377</v>
          </cell>
          <cell r="E635">
            <v>51</v>
          </cell>
          <cell r="F635">
            <v>0</v>
          </cell>
          <cell r="G635">
            <v>2445</v>
          </cell>
          <cell r="H635">
            <v>0</v>
          </cell>
          <cell r="L635">
            <v>0</v>
          </cell>
          <cell r="N635">
            <v>3273.69</v>
          </cell>
          <cell r="O635">
            <v>3273.6899999999996</v>
          </cell>
          <cell r="Q635">
            <v>6.26</v>
          </cell>
          <cell r="S635">
            <v>109.23</v>
          </cell>
          <cell r="U635">
            <v>3389.18</v>
          </cell>
          <cell r="Y635">
            <v>89.25</v>
          </cell>
          <cell r="AE635" t="str">
            <v>20140101KUUM_377</v>
          </cell>
        </row>
        <row r="636">
          <cell r="B636" t="str">
            <v>Aug 2014</v>
          </cell>
          <cell r="C636" t="str">
            <v>LS</v>
          </cell>
          <cell r="D636" t="str">
            <v>KUUM_378</v>
          </cell>
          <cell r="E636">
            <v>2</v>
          </cell>
          <cell r="F636">
            <v>0</v>
          </cell>
          <cell r="G636">
            <v>95</v>
          </cell>
          <cell r="H636">
            <v>0</v>
          </cell>
          <cell r="L636">
            <v>0</v>
          </cell>
          <cell r="N636">
            <v>151.80000000000001</v>
          </cell>
          <cell r="O636">
            <v>151.79999999999998</v>
          </cell>
          <cell r="Q636">
            <v>0.24</v>
          </cell>
          <cell r="S636">
            <v>5.0599999999999996</v>
          </cell>
          <cell r="U636">
            <v>157.1</v>
          </cell>
          <cell r="Y636">
            <v>3.5</v>
          </cell>
          <cell r="AE636" t="str">
            <v>20140101KUUM_378</v>
          </cell>
        </row>
        <row r="637">
          <cell r="B637" t="str">
            <v>Aug 2014</v>
          </cell>
          <cell r="C637" t="str">
            <v>LS</v>
          </cell>
          <cell r="D637" t="str">
            <v>KUUM_401</v>
          </cell>
          <cell r="E637">
            <v>52</v>
          </cell>
          <cell r="F637">
            <v>0</v>
          </cell>
          <cell r="G637">
            <v>1174</v>
          </cell>
          <cell r="H637">
            <v>0</v>
          </cell>
          <cell r="L637">
            <v>0</v>
          </cell>
          <cell r="N637">
            <v>772.72</v>
          </cell>
          <cell r="O637">
            <v>772.72</v>
          </cell>
          <cell r="Q637">
            <v>0.03</v>
          </cell>
          <cell r="S637">
            <v>25.02</v>
          </cell>
          <cell r="U637">
            <v>797.77</v>
          </cell>
          <cell r="Y637">
            <v>41.6</v>
          </cell>
          <cell r="AE637" t="str">
            <v>20140101KUUM_401</v>
          </cell>
        </row>
        <row r="638">
          <cell r="B638" t="str">
            <v>Aug 2014</v>
          </cell>
          <cell r="C638" t="str">
            <v>RLS</v>
          </cell>
          <cell r="D638" t="str">
            <v>KUUM_404</v>
          </cell>
          <cell r="E638">
            <v>7037</v>
          </cell>
          <cell r="F638">
            <v>0</v>
          </cell>
          <cell r="G638">
            <v>392051</v>
          </cell>
          <cell r="H638">
            <v>0</v>
          </cell>
          <cell r="L638">
            <v>-512.52</v>
          </cell>
          <cell r="N638">
            <v>73868.569999999992</v>
          </cell>
          <cell r="O638">
            <v>73868.569999999992</v>
          </cell>
          <cell r="Q638">
            <v>-270.58</v>
          </cell>
          <cell r="S638">
            <v>2375.8200000000002</v>
          </cell>
          <cell r="U638">
            <v>75973.81</v>
          </cell>
          <cell r="Y638">
            <v>14003.63</v>
          </cell>
          <cell r="AE638" t="str">
            <v>20140101KUUM_404</v>
          </cell>
        </row>
        <row r="639">
          <cell r="B639" t="str">
            <v>Aug 2014</v>
          </cell>
          <cell r="C639" t="str">
            <v>RLS</v>
          </cell>
          <cell r="D639" t="str">
            <v>KUUM_405</v>
          </cell>
          <cell r="E639">
            <v>0</v>
          </cell>
          <cell r="F639">
            <v>0</v>
          </cell>
          <cell r="G639">
            <v>0</v>
          </cell>
          <cell r="H639">
            <v>0</v>
          </cell>
          <cell r="L639">
            <v>0</v>
          </cell>
          <cell r="N639">
            <v>0</v>
          </cell>
          <cell r="O639">
            <v>0</v>
          </cell>
          <cell r="Q639">
            <v>0</v>
          </cell>
          <cell r="S639">
            <v>0</v>
          </cell>
          <cell r="U639">
            <v>0</v>
          </cell>
          <cell r="Y639">
            <v>0</v>
          </cell>
          <cell r="AE639" t="str">
            <v>20140101KUUM_405</v>
          </cell>
        </row>
        <row r="640">
          <cell r="B640" t="str">
            <v>Aug 2014</v>
          </cell>
          <cell r="C640" t="str">
            <v>LS</v>
          </cell>
          <cell r="D640" t="str">
            <v>KUUM_407</v>
          </cell>
          <cell r="E640">
            <v>0</v>
          </cell>
          <cell r="F640">
            <v>0</v>
          </cell>
          <cell r="G640">
            <v>0</v>
          </cell>
          <cell r="H640">
            <v>0</v>
          </cell>
          <cell r="L640">
            <v>0</v>
          </cell>
          <cell r="N640">
            <v>0</v>
          </cell>
          <cell r="O640">
            <v>0</v>
          </cell>
          <cell r="Q640">
            <v>0</v>
          </cell>
          <cell r="S640">
            <v>0</v>
          </cell>
          <cell r="U640">
            <v>0</v>
          </cell>
          <cell r="Y640">
            <v>0</v>
          </cell>
          <cell r="AE640" t="str">
            <v>20140101KUUM_407</v>
          </cell>
        </row>
        <row r="641">
          <cell r="B641" t="str">
            <v>Aug 2014</v>
          </cell>
          <cell r="C641" t="str">
            <v>RLS</v>
          </cell>
          <cell r="D641" t="str">
            <v>KUUM_409</v>
          </cell>
          <cell r="E641">
            <v>137</v>
          </cell>
          <cell r="F641">
            <v>0</v>
          </cell>
          <cell r="G641">
            <v>17675</v>
          </cell>
          <cell r="H641">
            <v>0</v>
          </cell>
          <cell r="L641">
            <v>-6.64</v>
          </cell>
          <cell r="N641">
            <v>1597.6299999999999</v>
          </cell>
          <cell r="O641">
            <v>1597.6299999999999</v>
          </cell>
          <cell r="Q641">
            <v>-4.92</v>
          </cell>
          <cell r="S641">
            <v>51.4</v>
          </cell>
          <cell r="U641">
            <v>1644.11</v>
          </cell>
          <cell r="Y641">
            <v>620.61</v>
          </cell>
          <cell r="AE641" t="str">
            <v>20140101KUUM_409</v>
          </cell>
        </row>
        <row r="642">
          <cell r="B642" t="str">
            <v>Aug 2014</v>
          </cell>
          <cell r="C642" t="str">
            <v>RLS</v>
          </cell>
          <cell r="D642" t="str">
            <v>KUUM_410</v>
          </cell>
          <cell r="E642">
            <v>240</v>
          </cell>
          <cell r="F642">
            <v>0</v>
          </cell>
          <cell r="G642">
            <v>3860</v>
          </cell>
          <cell r="H642">
            <v>0</v>
          </cell>
          <cell r="L642">
            <v>0</v>
          </cell>
          <cell r="N642">
            <v>4862.3999999999996</v>
          </cell>
          <cell r="O642">
            <v>4862.3999999999996</v>
          </cell>
          <cell r="Q642">
            <v>-2.97</v>
          </cell>
          <cell r="S642">
            <v>155.99</v>
          </cell>
          <cell r="U642">
            <v>5015.42</v>
          </cell>
          <cell r="Y642">
            <v>136.80000000000001</v>
          </cell>
          <cell r="AE642" t="str">
            <v>20140101KUUM_410</v>
          </cell>
        </row>
        <row r="643">
          <cell r="B643" t="str">
            <v>Aug 2014</v>
          </cell>
          <cell r="C643" t="str">
            <v>LS</v>
          </cell>
          <cell r="D643" t="str">
            <v>KUUM_411</v>
          </cell>
          <cell r="E643">
            <v>150</v>
          </cell>
          <cell r="F643">
            <v>0</v>
          </cell>
          <cell r="G643">
            <v>3320</v>
          </cell>
          <cell r="H643">
            <v>0</v>
          </cell>
          <cell r="L643">
            <v>0</v>
          </cell>
          <cell r="N643">
            <v>3207</v>
          </cell>
          <cell r="O643">
            <v>3207</v>
          </cell>
          <cell r="Q643">
            <v>-2.56</v>
          </cell>
          <cell r="S643">
            <v>102.87</v>
          </cell>
          <cell r="U643">
            <v>3307.31</v>
          </cell>
          <cell r="Y643">
            <v>120</v>
          </cell>
          <cell r="AE643" t="str">
            <v>20140101KUUM_411</v>
          </cell>
        </row>
        <row r="644">
          <cell r="B644" t="str">
            <v>Aug 2014</v>
          </cell>
          <cell r="C644" t="str">
            <v>RLS</v>
          </cell>
          <cell r="D644" t="str">
            <v>KUUM_412</v>
          </cell>
          <cell r="E644">
            <v>28</v>
          </cell>
          <cell r="F644">
            <v>0</v>
          </cell>
          <cell r="G644">
            <v>614</v>
          </cell>
          <cell r="H644">
            <v>0</v>
          </cell>
          <cell r="L644">
            <v>0</v>
          </cell>
          <cell r="N644">
            <v>863.52</v>
          </cell>
          <cell r="O644">
            <v>863.52</v>
          </cell>
          <cell r="Q644">
            <v>-0.47</v>
          </cell>
          <cell r="S644">
            <v>27.7</v>
          </cell>
          <cell r="U644">
            <v>890.75</v>
          </cell>
          <cell r="Y644">
            <v>22.4</v>
          </cell>
          <cell r="AE644" t="str">
            <v>20140101KUUM_412</v>
          </cell>
        </row>
        <row r="645">
          <cell r="B645" t="str">
            <v>Aug 2014</v>
          </cell>
          <cell r="C645" t="str">
            <v>RLS</v>
          </cell>
          <cell r="D645" t="str">
            <v>KUUM_413</v>
          </cell>
          <cell r="E645">
            <v>96</v>
          </cell>
          <cell r="F645">
            <v>0</v>
          </cell>
          <cell r="G645">
            <v>2982</v>
          </cell>
          <cell r="H645">
            <v>0</v>
          </cell>
          <cell r="L645">
            <v>0</v>
          </cell>
          <cell r="N645">
            <v>2997.12</v>
          </cell>
          <cell r="O645">
            <v>2997.12</v>
          </cell>
          <cell r="Q645">
            <v>-2.2999999999999998</v>
          </cell>
          <cell r="S645">
            <v>96.14</v>
          </cell>
          <cell r="U645">
            <v>3090.96</v>
          </cell>
          <cell r="Y645">
            <v>108.48</v>
          </cell>
          <cell r="AE645" t="str">
            <v>20140101KUUM_413</v>
          </cell>
        </row>
        <row r="646">
          <cell r="B646" t="str">
            <v>Aug 2014</v>
          </cell>
          <cell r="C646" t="str">
            <v>LS</v>
          </cell>
          <cell r="D646" t="str">
            <v>KUUM_414</v>
          </cell>
          <cell r="E646">
            <v>21</v>
          </cell>
          <cell r="F646">
            <v>0</v>
          </cell>
          <cell r="G646">
            <v>490</v>
          </cell>
          <cell r="H646">
            <v>0</v>
          </cell>
          <cell r="L646">
            <v>0</v>
          </cell>
          <cell r="N646">
            <v>647.64</v>
          </cell>
          <cell r="O646">
            <v>647.64</v>
          </cell>
          <cell r="Q646">
            <v>1.25</v>
          </cell>
          <cell r="S646">
            <v>21.61</v>
          </cell>
          <cell r="U646">
            <v>670.5</v>
          </cell>
          <cell r="Y646">
            <v>16.8</v>
          </cell>
          <cell r="AE646" t="str">
            <v>20140101KUUM_414</v>
          </cell>
        </row>
        <row r="647">
          <cell r="B647" t="str">
            <v>Aug 2014</v>
          </cell>
          <cell r="C647" t="str">
            <v>LS</v>
          </cell>
          <cell r="D647" t="str">
            <v>KUUM_415</v>
          </cell>
          <cell r="E647">
            <v>10</v>
          </cell>
          <cell r="F647">
            <v>0</v>
          </cell>
          <cell r="G647">
            <v>329</v>
          </cell>
          <cell r="H647">
            <v>2493</v>
          </cell>
          <cell r="L647">
            <v>0</v>
          </cell>
          <cell r="N647">
            <v>312.2</v>
          </cell>
          <cell r="O647">
            <v>312.2</v>
          </cell>
          <cell r="Q647">
            <v>0.84</v>
          </cell>
          <cell r="S647">
            <v>10.42</v>
          </cell>
          <cell r="U647">
            <v>323.45999999999998</v>
          </cell>
          <cell r="Y647">
            <v>11.3</v>
          </cell>
          <cell r="AE647" t="str">
            <v>20140101KUUM_415</v>
          </cell>
        </row>
        <row r="648">
          <cell r="B648" t="str">
            <v>Aug 2014</v>
          </cell>
          <cell r="C648" t="str">
            <v>LS</v>
          </cell>
          <cell r="D648" t="str">
            <v>KUUM_420</v>
          </cell>
          <cell r="E648">
            <v>510</v>
          </cell>
          <cell r="F648">
            <v>0</v>
          </cell>
          <cell r="G648">
            <v>16515</v>
          </cell>
          <cell r="H648">
            <v>0</v>
          </cell>
          <cell r="L648">
            <v>253.44</v>
          </cell>
          <cell r="N648">
            <v>8087.04</v>
          </cell>
          <cell r="O648">
            <v>8087.04</v>
          </cell>
          <cell r="Q648">
            <v>-0.05</v>
          </cell>
          <cell r="S648">
            <v>261.69</v>
          </cell>
          <cell r="U648">
            <v>8348.68</v>
          </cell>
          <cell r="Y648">
            <v>576.29999999999995</v>
          </cell>
          <cell r="AE648" t="str">
            <v>20140101KUUM_420</v>
          </cell>
        </row>
        <row r="649">
          <cell r="B649" t="str">
            <v>Aug 2014</v>
          </cell>
          <cell r="C649" t="str">
            <v>RLS</v>
          </cell>
          <cell r="D649" t="str">
            <v>KUUM_421</v>
          </cell>
          <cell r="E649">
            <v>5</v>
          </cell>
          <cell r="F649">
            <v>0</v>
          </cell>
          <cell r="G649">
            <v>135</v>
          </cell>
          <cell r="H649">
            <v>0</v>
          </cell>
          <cell r="L649">
            <v>0</v>
          </cell>
          <cell r="N649">
            <v>16.95</v>
          </cell>
          <cell r="O649">
            <v>16.95</v>
          </cell>
          <cell r="Q649">
            <v>0.16</v>
          </cell>
          <cell r="S649">
            <v>0.56999999999999995</v>
          </cell>
          <cell r="U649">
            <v>17.68</v>
          </cell>
          <cell r="Y649">
            <v>4.95</v>
          </cell>
          <cell r="AE649" t="str">
            <v>20140101KUUM_421</v>
          </cell>
        </row>
        <row r="650">
          <cell r="B650" t="str">
            <v>Aug 2014</v>
          </cell>
          <cell r="C650" t="str">
            <v>RLS</v>
          </cell>
          <cell r="D650" t="str">
            <v>KUUM_422</v>
          </cell>
          <cell r="E650">
            <v>667</v>
          </cell>
          <cell r="F650">
            <v>0</v>
          </cell>
          <cell r="G650">
            <v>35590</v>
          </cell>
          <cell r="H650">
            <v>0</v>
          </cell>
          <cell r="L650">
            <v>0</v>
          </cell>
          <cell r="N650">
            <v>3028.18</v>
          </cell>
          <cell r="O650">
            <v>3028.1800000000003</v>
          </cell>
          <cell r="Q650">
            <v>1.91</v>
          </cell>
          <cell r="S650">
            <v>98.19</v>
          </cell>
          <cell r="U650">
            <v>3128.28</v>
          </cell>
          <cell r="Y650">
            <v>1293.98</v>
          </cell>
          <cell r="AE650" t="str">
            <v>20140101KUUM_422</v>
          </cell>
        </row>
        <row r="651">
          <cell r="B651" t="str">
            <v>Aug 2014</v>
          </cell>
          <cell r="C651" t="str">
            <v>RLS</v>
          </cell>
          <cell r="D651" t="str">
            <v>KUUM_424</v>
          </cell>
          <cell r="E651">
            <v>45</v>
          </cell>
          <cell r="F651">
            <v>0</v>
          </cell>
          <cell r="G651">
            <v>4022</v>
          </cell>
          <cell r="H651">
            <v>0</v>
          </cell>
          <cell r="L651">
            <v>0</v>
          </cell>
          <cell r="N651">
            <v>305.10000000000002</v>
          </cell>
          <cell r="O651">
            <v>305.09999999999997</v>
          </cell>
          <cell r="Q651">
            <v>3.22</v>
          </cell>
          <cell r="S651">
            <v>10.08</v>
          </cell>
          <cell r="U651">
            <v>318.39999999999998</v>
          </cell>
          <cell r="Y651">
            <v>31.5</v>
          </cell>
          <cell r="AE651" t="str">
            <v>20140101KUUM_424</v>
          </cell>
        </row>
        <row r="652">
          <cell r="B652" t="str">
            <v>Aug 2014</v>
          </cell>
          <cell r="C652" t="str">
            <v>RLS</v>
          </cell>
          <cell r="D652" t="str">
            <v>KUUM_425</v>
          </cell>
          <cell r="E652">
            <v>2</v>
          </cell>
          <cell r="F652">
            <v>0</v>
          </cell>
          <cell r="G652">
            <v>242</v>
          </cell>
          <cell r="H652">
            <v>0</v>
          </cell>
          <cell r="L652">
            <v>0</v>
          </cell>
          <cell r="N652">
            <v>18.12</v>
          </cell>
          <cell r="O652">
            <v>18.12</v>
          </cell>
          <cell r="Q652">
            <v>-0.19</v>
          </cell>
          <cell r="S652">
            <v>0.57999999999999996</v>
          </cell>
          <cell r="U652">
            <v>18.510000000000002</v>
          </cell>
          <cell r="Y652">
            <v>8.6</v>
          </cell>
          <cell r="AE652" t="str">
            <v>20140101KUUM_425</v>
          </cell>
        </row>
        <row r="653">
          <cell r="B653" t="str">
            <v>Aug 2014</v>
          </cell>
          <cell r="C653" t="str">
            <v>RLS</v>
          </cell>
          <cell r="D653" t="str">
            <v>KUUM_426</v>
          </cell>
          <cell r="E653">
            <v>171</v>
          </cell>
          <cell r="F653">
            <v>0</v>
          </cell>
          <cell r="G653">
            <v>3823</v>
          </cell>
          <cell r="H653">
            <v>0</v>
          </cell>
          <cell r="L653">
            <v>-8.93</v>
          </cell>
          <cell r="N653">
            <v>1263.31</v>
          </cell>
          <cell r="O653">
            <v>1263.31</v>
          </cell>
          <cell r="Q653">
            <v>-3.31</v>
          </cell>
          <cell r="S653">
            <v>40.729999999999997</v>
          </cell>
          <cell r="U653">
            <v>1300.73</v>
          </cell>
          <cell r="Y653">
            <v>136.80000000000001</v>
          </cell>
          <cell r="AE653" t="str">
            <v>20140101KUUM_426</v>
          </cell>
        </row>
        <row r="654">
          <cell r="B654" t="str">
            <v>Aug 2014</v>
          </cell>
          <cell r="C654" t="str">
            <v>LS</v>
          </cell>
          <cell r="D654" t="str">
            <v>KUUM_428</v>
          </cell>
          <cell r="E654">
            <v>36630</v>
          </cell>
          <cell r="F654">
            <v>63</v>
          </cell>
          <cell r="G654">
            <v>1152212</v>
          </cell>
          <cell r="H654">
            <v>0</v>
          </cell>
          <cell r="L654">
            <v>-2611.33</v>
          </cell>
          <cell r="N654">
            <v>285061.78999999998</v>
          </cell>
          <cell r="O654">
            <v>285061.78999999998</v>
          </cell>
          <cell r="Q654">
            <v>-814.57</v>
          </cell>
          <cell r="S654">
            <v>9095.89</v>
          </cell>
          <cell r="U654">
            <v>293343.11</v>
          </cell>
          <cell r="Y654">
            <v>41391.9</v>
          </cell>
          <cell r="AE654" t="str">
            <v>20140101KUUM_428</v>
          </cell>
        </row>
        <row r="655">
          <cell r="B655" t="str">
            <v>Aug 2014</v>
          </cell>
          <cell r="C655" t="str">
            <v>LS</v>
          </cell>
          <cell r="D655" t="str">
            <v>KUUM_429</v>
          </cell>
          <cell r="E655">
            <v>0</v>
          </cell>
          <cell r="F655">
            <v>0</v>
          </cell>
          <cell r="G655">
            <v>0</v>
          </cell>
          <cell r="H655">
            <v>0</v>
          </cell>
          <cell r="L655">
            <v>0</v>
          </cell>
          <cell r="N655">
            <v>0</v>
          </cell>
          <cell r="O655">
            <v>0</v>
          </cell>
          <cell r="Q655">
            <v>0</v>
          </cell>
          <cell r="S655">
            <v>0</v>
          </cell>
          <cell r="U655">
            <v>0</v>
          </cell>
          <cell r="Y655">
            <v>0</v>
          </cell>
          <cell r="AE655" t="str">
            <v>20140101KUUM_429</v>
          </cell>
        </row>
        <row r="656">
          <cell r="B656" t="str">
            <v>Aug 2014</v>
          </cell>
          <cell r="C656" t="str">
            <v>LS</v>
          </cell>
          <cell r="D656" t="str">
            <v>KUUM_430</v>
          </cell>
          <cell r="E656">
            <v>1182</v>
          </cell>
          <cell r="F656">
            <v>0</v>
          </cell>
          <cell r="G656">
            <v>37148</v>
          </cell>
          <cell r="H656">
            <v>0</v>
          </cell>
          <cell r="L656">
            <v>-19.07</v>
          </cell>
          <cell r="N656">
            <v>25984.93</v>
          </cell>
          <cell r="O656">
            <v>25984.93</v>
          </cell>
          <cell r="Q656">
            <v>-7.03</v>
          </cell>
          <cell r="S656">
            <v>839.46</v>
          </cell>
          <cell r="U656">
            <v>26817.360000000001</v>
          </cell>
          <cell r="Y656">
            <v>1335.66</v>
          </cell>
          <cell r="AE656" t="str">
            <v>20140101KUUM_430</v>
          </cell>
        </row>
        <row r="657">
          <cell r="B657" t="str">
            <v>Aug 2014</v>
          </cell>
          <cell r="C657" t="str">
            <v>RLS</v>
          </cell>
          <cell r="D657" t="str">
            <v>KUUM_434</v>
          </cell>
          <cell r="E657">
            <v>0</v>
          </cell>
          <cell r="F657">
            <v>0</v>
          </cell>
          <cell r="G657">
            <v>0</v>
          </cell>
          <cell r="H657">
            <v>0</v>
          </cell>
          <cell r="L657">
            <v>0</v>
          </cell>
          <cell r="N657">
            <v>0</v>
          </cell>
          <cell r="O657">
            <v>0</v>
          </cell>
          <cell r="Q657">
            <v>0</v>
          </cell>
          <cell r="S657">
            <v>0</v>
          </cell>
          <cell r="U657">
            <v>0</v>
          </cell>
          <cell r="Y657">
            <v>0</v>
          </cell>
          <cell r="AE657" t="str">
            <v>20140101KUUM_434</v>
          </cell>
        </row>
        <row r="658">
          <cell r="B658" t="str">
            <v>Aug 2014</v>
          </cell>
          <cell r="C658" t="str">
            <v>RLS</v>
          </cell>
          <cell r="D658" t="str">
            <v>KUUM_440</v>
          </cell>
          <cell r="E658">
            <v>2</v>
          </cell>
          <cell r="F658">
            <v>0</v>
          </cell>
          <cell r="G658">
            <v>32</v>
          </cell>
          <cell r="H658">
            <v>0</v>
          </cell>
          <cell r="L658">
            <v>0</v>
          </cell>
          <cell r="N658">
            <v>27.22</v>
          </cell>
          <cell r="O658">
            <v>27.22</v>
          </cell>
          <cell r="Q658">
            <v>-0.02</v>
          </cell>
          <cell r="S658">
            <v>0.88</v>
          </cell>
          <cell r="U658">
            <v>28.08</v>
          </cell>
          <cell r="Y658">
            <v>1.1399999999999999</v>
          </cell>
          <cell r="AE658" t="str">
            <v>20140101KUUM_440</v>
          </cell>
        </row>
        <row r="659">
          <cell r="B659" t="str">
            <v>Aug 2014</v>
          </cell>
          <cell r="C659" t="str">
            <v>RLS</v>
          </cell>
          <cell r="D659" t="str">
            <v>KUUM_446</v>
          </cell>
          <cell r="E659">
            <v>1081</v>
          </cell>
          <cell r="F659">
            <v>0</v>
          </cell>
          <cell r="G659">
            <v>60417</v>
          </cell>
          <cell r="H659">
            <v>0</v>
          </cell>
          <cell r="L659">
            <v>0</v>
          </cell>
          <cell r="N659">
            <v>10334.36</v>
          </cell>
          <cell r="O659">
            <v>10334.36</v>
          </cell>
          <cell r="Q659">
            <v>-8.26</v>
          </cell>
          <cell r="S659">
            <v>333.83</v>
          </cell>
          <cell r="U659">
            <v>10659.93</v>
          </cell>
          <cell r="Y659">
            <v>2151.19</v>
          </cell>
          <cell r="AE659" t="str">
            <v>20140101KUUM_446</v>
          </cell>
        </row>
        <row r="660">
          <cell r="B660" t="str">
            <v>Aug 2014</v>
          </cell>
          <cell r="C660" t="str">
            <v>RLS</v>
          </cell>
          <cell r="D660" t="str">
            <v>KUUM_447</v>
          </cell>
          <cell r="E660">
            <v>711</v>
          </cell>
          <cell r="F660">
            <v>0</v>
          </cell>
          <cell r="G660">
            <v>54961</v>
          </cell>
          <cell r="H660">
            <v>0</v>
          </cell>
          <cell r="L660">
            <v>0</v>
          </cell>
          <cell r="N660">
            <v>8048.52</v>
          </cell>
          <cell r="O660">
            <v>8048.5199999999995</v>
          </cell>
          <cell r="Q660">
            <v>132.93</v>
          </cell>
          <cell r="S660">
            <v>272.04000000000002</v>
          </cell>
          <cell r="U660">
            <v>8453.49</v>
          </cell>
          <cell r="Y660">
            <v>2019.24</v>
          </cell>
          <cell r="AE660" t="str">
            <v>20140101KUUM_447</v>
          </cell>
        </row>
        <row r="661">
          <cell r="B661" t="str">
            <v>Aug 2014</v>
          </cell>
          <cell r="C661" t="str">
            <v>RLS</v>
          </cell>
          <cell r="D661" t="str">
            <v>KUUM_448</v>
          </cell>
          <cell r="E661">
            <v>1475</v>
          </cell>
          <cell r="F661">
            <v>0</v>
          </cell>
          <cell r="G661">
            <v>180852</v>
          </cell>
          <cell r="H661">
            <v>0</v>
          </cell>
          <cell r="L661">
            <v>0</v>
          </cell>
          <cell r="N661">
            <v>18894.75</v>
          </cell>
          <cell r="O661">
            <v>18894.75</v>
          </cell>
          <cell r="Q661">
            <v>99.32</v>
          </cell>
          <cell r="S661">
            <v>619.05999999999995</v>
          </cell>
          <cell r="U661">
            <v>19613.13</v>
          </cell>
          <cell r="Y661">
            <v>6445.75</v>
          </cell>
          <cell r="AE661" t="str">
            <v>20140101KUUM_448</v>
          </cell>
        </row>
        <row r="662">
          <cell r="B662" t="str">
            <v>Aug 2014</v>
          </cell>
          <cell r="C662" t="str">
            <v>LS</v>
          </cell>
          <cell r="D662" t="str">
            <v>KUUM_450</v>
          </cell>
          <cell r="E662">
            <v>679</v>
          </cell>
          <cell r="F662">
            <v>0</v>
          </cell>
          <cell r="G662">
            <v>27335</v>
          </cell>
          <cell r="H662">
            <v>0</v>
          </cell>
          <cell r="L662">
            <v>-62.56</v>
          </cell>
          <cell r="N662">
            <v>9613.19</v>
          </cell>
          <cell r="O662">
            <v>9613.19</v>
          </cell>
          <cell r="Q662">
            <v>-18.12</v>
          </cell>
          <cell r="S662">
            <v>309.2</v>
          </cell>
          <cell r="U662">
            <v>9904.27</v>
          </cell>
          <cell r="Y662">
            <v>1337.63</v>
          </cell>
          <cell r="AE662" t="str">
            <v>20140101KUUM_450</v>
          </cell>
        </row>
        <row r="663">
          <cell r="B663" t="str">
            <v>Aug 2014</v>
          </cell>
          <cell r="C663" t="str">
            <v>LS</v>
          </cell>
          <cell r="D663" t="str">
            <v>KUUM_451</v>
          </cell>
          <cell r="E663">
            <v>5186</v>
          </cell>
          <cell r="F663">
            <v>0</v>
          </cell>
          <cell r="G663">
            <v>490727</v>
          </cell>
          <cell r="H663">
            <v>0</v>
          </cell>
          <cell r="L663">
            <v>-124.63</v>
          </cell>
          <cell r="N663">
            <v>104632.56999999999</v>
          </cell>
          <cell r="O663">
            <v>104632.57</v>
          </cell>
          <cell r="Q663">
            <v>-326.17</v>
          </cell>
          <cell r="S663">
            <v>3354.56</v>
          </cell>
          <cell r="U663">
            <v>107660.96</v>
          </cell>
          <cell r="Y663">
            <v>22247.94</v>
          </cell>
          <cell r="AE663" t="str">
            <v>20140101KUUM_451</v>
          </cell>
        </row>
        <row r="664">
          <cell r="B664" t="str">
            <v>Aug 2014</v>
          </cell>
          <cell r="C664" t="str">
            <v>LS</v>
          </cell>
          <cell r="D664" t="str">
            <v>KUUM_452</v>
          </cell>
          <cell r="E664">
            <v>1063</v>
          </cell>
          <cell r="F664">
            <v>0</v>
          </cell>
          <cell r="G664">
            <v>304154</v>
          </cell>
          <cell r="H664">
            <v>0</v>
          </cell>
          <cell r="L664">
            <v>-756.64</v>
          </cell>
          <cell r="N664">
            <v>44261.41</v>
          </cell>
          <cell r="O664">
            <v>44261.409999999996</v>
          </cell>
          <cell r="Q664">
            <v>-212.52</v>
          </cell>
          <cell r="S664">
            <v>1414.42</v>
          </cell>
          <cell r="U664">
            <v>45463.31</v>
          </cell>
          <cell r="Y664">
            <v>11065.83</v>
          </cell>
          <cell r="AE664" t="str">
            <v>20140101KUUM_452</v>
          </cell>
        </row>
        <row r="665">
          <cell r="B665" t="str">
            <v>Aug 2014</v>
          </cell>
          <cell r="C665" t="str">
            <v>RLS</v>
          </cell>
          <cell r="D665" t="str">
            <v>KUUM_454</v>
          </cell>
          <cell r="E665">
            <v>150</v>
          </cell>
          <cell r="F665">
            <v>0</v>
          </cell>
          <cell r="G665">
            <v>6068</v>
          </cell>
          <cell r="H665">
            <v>0</v>
          </cell>
          <cell r="L665">
            <v>-16.16</v>
          </cell>
          <cell r="N665">
            <v>2781.34</v>
          </cell>
          <cell r="O665">
            <v>2781.34</v>
          </cell>
          <cell r="Q665">
            <v>-3.33</v>
          </cell>
          <cell r="S665">
            <v>89.54</v>
          </cell>
          <cell r="U665">
            <v>2867.55</v>
          </cell>
          <cell r="Y665">
            <v>295.5</v>
          </cell>
          <cell r="AE665" t="str">
            <v>20140101KUUM_454</v>
          </cell>
        </row>
        <row r="666">
          <cell r="B666" t="str">
            <v>Aug 2014</v>
          </cell>
          <cell r="C666" t="str">
            <v>RLS</v>
          </cell>
          <cell r="D666" t="str">
            <v>KUUM_455</v>
          </cell>
          <cell r="E666">
            <v>1026</v>
          </cell>
          <cell r="F666">
            <v>0</v>
          </cell>
          <cell r="G666">
            <v>96912</v>
          </cell>
          <cell r="H666">
            <v>0</v>
          </cell>
          <cell r="L666">
            <v>10.69</v>
          </cell>
          <cell r="N666">
            <v>25240.03</v>
          </cell>
          <cell r="O666">
            <v>25240.03</v>
          </cell>
          <cell r="Q666">
            <v>-64.08</v>
          </cell>
          <cell r="S666">
            <v>809.56</v>
          </cell>
          <cell r="U666">
            <v>25985.51</v>
          </cell>
          <cell r="Y666">
            <v>4401.54</v>
          </cell>
          <cell r="AE666" t="str">
            <v>20140101KUUM_455</v>
          </cell>
        </row>
        <row r="667">
          <cell r="B667" t="str">
            <v>Aug 2014</v>
          </cell>
          <cell r="C667" t="str">
            <v>RLS</v>
          </cell>
          <cell r="D667" t="str">
            <v>KUUM_456</v>
          </cell>
          <cell r="E667">
            <v>141</v>
          </cell>
          <cell r="F667">
            <v>0</v>
          </cell>
          <cell r="G667">
            <v>7748</v>
          </cell>
          <cell r="H667">
            <v>0</v>
          </cell>
          <cell r="L667">
            <v>0</v>
          </cell>
          <cell r="N667">
            <v>1673.67</v>
          </cell>
          <cell r="O667">
            <v>1673.6699999999998</v>
          </cell>
          <cell r="Q667">
            <v>-2.2999999999999998</v>
          </cell>
          <cell r="S667">
            <v>53.93</v>
          </cell>
          <cell r="U667">
            <v>1725.3</v>
          </cell>
          <cell r="Y667">
            <v>280.58999999999997</v>
          </cell>
          <cell r="AE667" t="str">
            <v>20140101KUUM_456</v>
          </cell>
        </row>
        <row r="668">
          <cell r="B668" t="str">
            <v>Aug 2014</v>
          </cell>
          <cell r="C668" t="str">
            <v>RLS</v>
          </cell>
          <cell r="D668" t="str">
            <v>KUUM_457</v>
          </cell>
          <cell r="E668">
            <v>453</v>
          </cell>
          <cell r="F668">
            <v>0</v>
          </cell>
          <cell r="G668">
            <v>35114</v>
          </cell>
          <cell r="H668">
            <v>70</v>
          </cell>
          <cell r="L668">
            <v>0</v>
          </cell>
          <cell r="N668">
            <v>6052.08</v>
          </cell>
          <cell r="O668">
            <v>6052.08</v>
          </cell>
          <cell r="Q668">
            <v>89.62</v>
          </cell>
          <cell r="S668">
            <v>204.5</v>
          </cell>
          <cell r="U668">
            <v>6346.2</v>
          </cell>
          <cell r="Y668">
            <v>1286.52</v>
          </cell>
          <cell r="AE668" t="str">
            <v>20140101KUUM_457</v>
          </cell>
        </row>
        <row r="669">
          <cell r="B669" t="str">
            <v>Aug 2014</v>
          </cell>
          <cell r="C669" t="str">
            <v>RLS</v>
          </cell>
          <cell r="D669" t="str">
            <v>KUUM_458</v>
          </cell>
          <cell r="E669">
            <v>1457</v>
          </cell>
          <cell r="F669">
            <v>0</v>
          </cell>
          <cell r="G669">
            <v>176567</v>
          </cell>
          <cell r="H669">
            <v>0</v>
          </cell>
          <cell r="L669">
            <v>-28.2</v>
          </cell>
          <cell r="N669">
            <v>21943.360000000001</v>
          </cell>
          <cell r="O669">
            <v>21943.360000000001</v>
          </cell>
          <cell r="Q669">
            <v>264.06</v>
          </cell>
          <cell r="S669">
            <v>731.01</v>
          </cell>
          <cell r="U669">
            <v>22938.43</v>
          </cell>
          <cell r="Y669">
            <v>6367.09</v>
          </cell>
          <cell r="AE669" t="str">
            <v>20140101KUUM_458</v>
          </cell>
        </row>
        <row r="670">
          <cell r="B670" t="str">
            <v>Aug 2014</v>
          </cell>
          <cell r="C670" t="str">
            <v>RLS</v>
          </cell>
          <cell r="D670" t="str">
            <v>KUUM_459</v>
          </cell>
          <cell r="E670">
            <v>226</v>
          </cell>
          <cell r="F670">
            <v>0</v>
          </cell>
          <cell r="G670">
            <v>64875</v>
          </cell>
          <cell r="H670">
            <v>0</v>
          </cell>
          <cell r="L670">
            <v>-228.85</v>
          </cell>
          <cell r="N670">
            <v>10334.39</v>
          </cell>
          <cell r="O670">
            <v>10334.39</v>
          </cell>
          <cell r="Q670">
            <v>-48.27</v>
          </cell>
          <cell r="S670">
            <v>330.84</v>
          </cell>
          <cell r="U670">
            <v>10616.96</v>
          </cell>
          <cell r="Y670">
            <v>2352.66</v>
          </cell>
          <cell r="AE670" t="str">
            <v>20140101KUUM_459</v>
          </cell>
        </row>
        <row r="671">
          <cell r="B671" t="str">
            <v>Aug 2014</v>
          </cell>
          <cell r="C671" t="str">
            <v>RLS</v>
          </cell>
          <cell r="D671" t="str">
            <v>KUUM_460</v>
          </cell>
          <cell r="E671">
            <v>26</v>
          </cell>
          <cell r="F671">
            <v>0</v>
          </cell>
          <cell r="G671">
            <v>952</v>
          </cell>
          <cell r="H671">
            <v>0</v>
          </cell>
          <cell r="L671">
            <v>-61.79</v>
          </cell>
          <cell r="N671">
            <v>644.11</v>
          </cell>
          <cell r="O671">
            <v>644.11</v>
          </cell>
          <cell r="Q671">
            <v>0.71</v>
          </cell>
          <cell r="S671">
            <v>21.06</v>
          </cell>
          <cell r="U671">
            <v>665.88</v>
          </cell>
          <cell r="Y671">
            <v>51.22</v>
          </cell>
          <cell r="AE671" t="str">
            <v>20140101KUUM_460</v>
          </cell>
        </row>
        <row r="672">
          <cell r="B672" t="str">
            <v>Aug 2014</v>
          </cell>
          <cell r="C672" t="str">
            <v>RLS</v>
          </cell>
          <cell r="D672" t="str">
            <v>KUUM_461</v>
          </cell>
          <cell r="E672">
            <v>6924</v>
          </cell>
          <cell r="F672">
            <v>0</v>
          </cell>
          <cell r="G672">
            <v>113920</v>
          </cell>
          <cell r="H672">
            <v>0</v>
          </cell>
          <cell r="L672">
            <v>-7.07</v>
          </cell>
          <cell r="N672">
            <v>52199.89</v>
          </cell>
          <cell r="O672">
            <v>52199.89</v>
          </cell>
          <cell r="Q672">
            <v>13.17</v>
          </cell>
          <cell r="S672">
            <v>1693.01</v>
          </cell>
          <cell r="U672">
            <v>53906.07</v>
          </cell>
          <cell r="Y672">
            <v>3946.68</v>
          </cell>
          <cell r="AE672" t="str">
            <v>20140101KUUM_461</v>
          </cell>
        </row>
        <row r="673">
          <cell r="B673" t="str">
            <v>Aug 2014</v>
          </cell>
          <cell r="C673" t="str">
            <v>LS</v>
          </cell>
          <cell r="D673" t="str">
            <v>KUUM_462</v>
          </cell>
          <cell r="E673">
            <v>8811</v>
          </cell>
          <cell r="F673">
            <v>0</v>
          </cell>
          <cell r="G673">
            <v>195970</v>
          </cell>
          <cell r="H673">
            <v>0</v>
          </cell>
          <cell r="L673">
            <v>0</v>
          </cell>
          <cell r="N673">
            <v>76303.259999999995</v>
          </cell>
          <cell r="O673">
            <v>76303.259999999995</v>
          </cell>
          <cell r="Q673">
            <v>133.13999999999999</v>
          </cell>
          <cell r="S673">
            <v>2493.4899999999998</v>
          </cell>
          <cell r="U673">
            <v>78929.89</v>
          </cell>
          <cell r="Y673">
            <v>7048.8</v>
          </cell>
          <cell r="AE673" t="str">
            <v>20140101KUUM_462</v>
          </cell>
        </row>
        <row r="674">
          <cell r="B674" t="str">
            <v>Aug 2014</v>
          </cell>
          <cell r="C674" t="str">
            <v>LS</v>
          </cell>
          <cell r="D674" t="str">
            <v>KUUM_463</v>
          </cell>
          <cell r="E674">
            <v>20541</v>
          </cell>
          <cell r="F674">
            <v>0</v>
          </cell>
          <cell r="G674">
            <v>658361</v>
          </cell>
          <cell r="H674">
            <v>0</v>
          </cell>
          <cell r="L674">
            <v>2154.98</v>
          </cell>
          <cell r="N674">
            <v>189899.72</v>
          </cell>
          <cell r="O674">
            <v>189899.72</v>
          </cell>
          <cell r="Q674">
            <v>-71.91</v>
          </cell>
          <cell r="S674">
            <v>6139.36</v>
          </cell>
          <cell r="U674">
            <v>195967.17</v>
          </cell>
          <cell r="Y674">
            <v>23211.33</v>
          </cell>
          <cell r="AE674" t="str">
            <v>20140101KUUM_463</v>
          </cell>
        </row>
        <row r="675">
          <cell r="B675" t="str">
            <v>Aug 2014</v>
          </cell>
          <cell r="C675" t="str">
            <v>LS</v>
          </cell>
          <cell r="D675" t="str">
            <v>KUUM_464</v>
          </cell>
          <cell r="E675">
            <v>7614</v>
          </cell>
          <cell r="F675">
            <v>1</v>
          </cell>
          <cell r="G675">
            <v>495786</v>
          </cell>
          <cell r="H675">
            <v>0</v>
          </cell>
          <cell r="L675">
            <v>229.42</v>
          </cell>
          <cell r="N675">
            <v>108743.17</v>
          </cell>
          <cell r="O675">
            <v>108743.17</v>
          </cell>
          <cell r="Q675">
            <v>-45.3</v>
          </cell>
          <cell r="S675">
            <v>3519.72</v>
          </cell>
          <cell r="U675">
            <v>112217.59</v>
          </cell>
          <cell r="Y675">
            <v>17740.62</v>
          </cell>
          <cell r="AE675" t="str">
            <v>20140101KUUM_464</v>
          </cell>
        </row>
        <row r="676">
          <cell r="B676" t="str">
            <v>Aug 2014</v>
          </cell>
          <cell r="C676" t="str">
            <v>LS</v>
          </cell>
          <cell r="D676" t="str">
            <v>KUUM_465</v>
          </cell>
          <cell r="E676">
            <v>2791</v>
          </cell>
          <cell r="F676">
            <v>0</v>
          </cell>
          <cell r="G676">
            <v>355398</v>
          </cell>
          <cell r="H676">
            <v>0</v>
          </cell>
          <cell r="L676">
            <v>120.3</v>
          </cell>
          <cell r="N676">
            <v>63866.740000000005</v>
          </cell>
          <cell r="O676">
            <v>63866.740000000005</v>
          </cell>
          <cell r="Q676">
            <v>-130.77000000000001</v>
          </cell>
          <cell r="S676">
            <v>2055.27</v>
          </cell>
          <cell r="U676">
            <v>65791.240000000005</v>
          </cell>
          <cell r="Y676">
            <v>12643.23</v>
          </cell>
          <cell r="AE676" t="str">
            <v>20140101KUUM_465</v>
          </cell>
        </row>
        <row r="677">
          <cell r="B677" t="str">
            <v>Aug 2014</v>
          </cell>
          <cell r="C677" t="str">
            <v>RLS</v>
          </cell>
          <cell r="D677" t="str">
            <v>KUUM_466</v>
          </cell>
          <cell r="E677">
            <v>856</v>
          </cell>
          <cell r="F677">
            <v>0</v>
          </cell>
          <cell r="G677">
            <v>13841</v>
          </cell>
          <cell r="H677">
            <v>0</v>
          </cell>
          <cell r="L677">
            <v>0</v>
          </cell>
          <cell r="N677">
            <v>8234.7199999999993</v>
          </cell>
          <cell r="O677">
            <v>8234.7200000000012</v>
          </cell>
          <cell r="Q677">
            <v>-7.43</v>
          </cell>
          <cell r="S677">
            <v>264.82</v>
          </cell>
          <cell r="U677">
            <v>8492.11</v>
          </cell>
          <cell r="Y677">
            <v>487.92</v>
          </cell>
          <cell r="AE677" t="str">
            <v>20140101KUUM_466</v>
          </cell>
        </row>
        <row r="678">
          <cell r="B678" t="str">
            <v>Aug 2014</v>
          </cell>
          <cell r="C678" t="str">
            <v>LS</v>
          </cell>
          <cell r="D678" t="str">
            <v>KUUM_467</v>
          </cell>
          <cell r="E678">
            <v>1363</v>
          </cell>
          <cell r="F678">
            <v>0</v>
          </cell>
          <cell r="G678">
            <v>30487</v>
          </cell>
          <cell r="H678">
            <v>0</v>
          </cell>
          <cell r="L678">
            <v>17.190000000000001</v>
          </cell>
          <cell r="N678">
            <v>14696.7</v>
          </cell>
          <cell r="O678">
            <v>14696.7</v>
          </cell>
          <cell r="Q678">
            <v>-6.67</v>
          </cell>
          <cell r="S678">
            <v>474.46</v>
          </cell>
          <cell r="U678">
            <v>15164.49</v>
          </cell>
          <cell r="Y678">
            <v>1090.4000000000001</v>
          </cell>
          <cell r="AE678" t="str">
            <v>20140101KUUM_467</v>
          </cell>
        </row>
        <row r="679">
          <cell r="B679" t="str">
            <v>Aug 2014</v>
          </cell>
          <cell r="C679" t="str">
            <v>LS</v>
          </cell>
          <cell r="D679" t="str">
            <v>KUUM_468</v>
          </cell>
          <cell r="E679">
            <v>4040</v>
          </cell>
          <cell r="F679">
            <v>0</v>
          </cell>
          <cell r="G679">
            <v>126666</v>
          </cell>
          <cell r="H679">
            <v>0</v>
          </cell>
          <cell r="L679">
            <v>-23.85</v>
          </cell>
          <cell r="N679">
            <v>45062.55</v>
          </cell>
          <cell r="O679">
            <v>45062.549999999996</v>
          </cell>
          <cell r="Q679">
            <v>-75.72</v>
          </cell>
          <cell r="S679">
            <v>1446.8</v>
          </cell>
          <cell r="U679">
            <v>46433.63</v>
          </cell>
          <cell r="Y679">
            <v>4565.2</v>
          </cell>
          <cell r="AE679" t="str">
            <v>20140101KUUM_468</v>
          </cell>
        </row>
        <row r="680">
          <cell r="B680" t="str">
            <v>Aug 2014</v>
          </cell>
          <cell r="C680" t="str">
            <v>RLS</v>
          </cell>
          <cell r="D680" t="str">
            <v>KUUM_469</v>
          </cell>
          <cell r="E680">
            <v>292</v>
          </cell>
          <cell r="F680">
            <v>0</v>
          </cell>
          <cell r="G680">
            <v>27556</v>
          </cell>
          <cell r="H680">
            <v>0</v>
          </cell>
          <cell r="L680">
            <v>0.01</v>
          </cell>
          <cell r="N680">
            <v>9665.2100000000009</v>
          </cell>
          <cell r="O680">
            <v>9665.2100000000009</v>
          </cell>
          <cell r="Q680">
            <v>-17.21</v>
          </cell>
          <cell r="S680">
            <v>310.19</v>
          </cell>
          <cell r="U680">
            <v>9958.19</v>
          </cell>
          <cell r="Y680">
            <v>1252.68</v>
          </cell>
          <cell r="AE680" t="str">
            <v>20140101KUUM_469</v>
          </cell>
        </row>
        <row r="681">
          <cell r="B681" t="str">
            <v>Aug 2014</v>
          </cell>
          <cell r="C681" t="str">
            <v>RLS</v>
          </cell>
          <cell r="D681" t="str">
            <v>KUUM_470</v>
          </cell>
          <cell r="E681">
            <v>61</v>
          </cell>
          <cell r="F681">
            <v>0</v>
          </cell>
          <cell r="G681">
            <v>17715</v>
          </cell>
          <cell r="H681">
            <v>0</v>
          </cell>
          <cell r="L681">
            <v>0</v>
          </cell>
          <cell r="N681">
            <v>3370.25</v>
          </cell>
          <cell r="O681">
            <v>3370.25</v>
          </cell>
          <cell r="Q681">
            <v>-13.62</v>
          </cell>
          <cell r="S681">
            <v>107.76</v>
          </cell>
          <cell r="U681">
            <v>3464.39</v>
          </cell>
          <cell r="Y681">
            <v>635.01</v>
          </cell>
          <cell r="AE681" t="str">
            <v>20140101KUUM_470</v>
          </cell>
        </row>
        <row r="682">
          <cell r="B682" t="str">
            <v>Aug 2014</v>
          </cell>
          <cell r="C682" t="str">
            <v>RLS</v>
          </cell>
          <cell r="D682" t="str">
            <v>KUUM_471</v>
          </cell>
          <cell r="E682">
            <v>3666</v>
          </cell>
          <cell r="F682">
            <v>0</v>
          </cell>
          <cell r="G682">
            <v>57824</v>
          </cell>
          <cell r="H682">
            <v>0</v>
          </cell>
          <cell r="L682">
            <v>0</v>
          </cell>
          <cell r="N682">
            <v>38456.339999999997</v>
          </cell>
          <cell r="O682">
            <v>38456.340000000004</v>
          </cell>
          <cell r="Q682">
            <v>147.76</v>
          </cell>
          <cell r="S682">
            <v>1285.45</v>
          </cell>
          <cell r="U682">
            <v>39889.550000000003</v>
          </cell>
          <cell r="Y682">
            <v>2089.62</v>
          </cell>
          <cell r="AE682" t="str">
            <v>20140101KUUM_471</v>
          </cell>
        </row>
        <row r="683">
          <cell r="B683" t="str">
            <v>Aug 2014</v>
          </cell>
          <cell r="C683" t="str">
            <v>LS</v>
          </cell>
          <cell r="D683" t="str">
            <v>KUUM_472</v>
          </cell>
          <cell r="E683">
            <v>8799</v>
          </cell>
          <cell r="F683">
            <v>0</v>
          </cell>
          <cell r="G683">
            <v>191984</v>
          </cell>
          <cell r="H683">
            <v>0</v>
          </cell>
          <cell r="L683">
            <v>29.77</v>
          </cell>
          <cell r="N683">
            <v>102098.17</v>
          </cell>
          <cell r="O683">
            <v>102098.17</v>
          </cell>
          <cell r="Q683">
            <v>485.02</v>
          </cell>
          <cell r="S683">
            <v>3414.8</v>
          </cell>
          <cell r="U683">
            <v>105997.99</v>
          </cell>
          <cell r="Y683">
            <v>7039.2</v>
          </cell>
          <cell r="AE683" t="str">
            <v>20140101KUUM_472</v>
          </cell>
        </row>
        <row r="684">
          <cell r="B684" t="str">
            <v>Aug 2014</v>
          </cell>
          <cell r="C684" t="str">
            <v>LS</v>
          </cell>
          <cell r="D684" t="str">
            <v>KUUM_473</v>
          </cell>
          <cell r="E684">
            <v>3375</v>
          </cell>
          <cell r="F684">
            <v>0</v>
          </cell>
          <cell r="G684">
            <v>105591</v>
          </cell>
          <cell r="H684">
            <v>0</v>
          </cell>
          <cell r="L684">
            <v>0</v>
          </cell>
          <cell r="N684">
            <v>41512.5</v>
          </cell>
          <cell r="O684">
            <v>41512.5</v>
          </cell>
          <cell r="Q684">
            <v>128.08000000000001</v>
          </cell>
          <cell r="S684">
            <v>1366.88</v>
          </cell>
          <cell r="U684">
            <v>43007.46</v>
          </cell>
          <cell r="Y684">
            <v>3813.75</v>
          </cell>
          <cell r="AE684" t="str">
            <v>20140101KUUM_473</v>
          </cell>
        </row>
        <row r="685">
          <cell r="B685" t="str">
            <v>Aug 2014</v>
          </cell>
          <cell r="C685" t="str">
            <v>LS</v>
          </cell>
          <cell r="D685" t="str">
            <v>KUUM_474</v>
          </cell>
          <cell r="E685">
            <v>5183</v>
          </cell>
          <cell r="F685">
            <v>0</v>
          </cell>
          <cell r="G685">
            <v>332928</v>
          </cell>
          <cell r="H685">
            <v>0</v>
          </cell>
          <cell r="L685">
            <v>-33.659999999999997</v>
          </cell>
          <cell r="N685">
            <v>90202.37</v>
          </cell>
          <cell r="O685">
            <v>90202.37</v>
          </cell>
          <cell r="Q685">
            <v>404.09</v>
          </cell>
          <cell r="S685">
            <v>2974.09</v>
          </cell>
          <cell r="U685">
            <v>93580.55</v>
          </cell>
          <cell r="Y685">
            <v>12076.39</v>
          </cell>
          <cell r="AE685" t="str">
            <v>20140101KUUM_474</v>
          </cell>
        </row>
        <row r="686">
          <cell r="B686" t="str">
            <v>Aug 2014</v>
          </cell>
          <cell r="C686" t="str">
            <v>LS</v>
          </cell>
          <cell r="D686" t="str">
            <v>KUUM_475</v>
          </cell>
          <cell r="E686">
            <v>509</v>
          </cell>
          <cell r="F686">
            <v>0</v>
          </cell>
          <cell r="G686">
            <v>63945</v>
          </cell>
          <cell r="H686">
            <v>0</v>
          </cell>
          <cell r="L686">
            <v>0</v>
          </cell>
          <cell r="N686">
            <v>12450.14</v>
          </cell>
          <cell r="O686">
            <v>12450.140000000001</v>
          </cell>
          <cell r="Q686">
            <v>82.62</v>
          </cell>
          <cell r="S686">
            <v>411.6</v>
          </cell>
          <cell r="U686">
            <v>12944.36</v>
          </cell>
          <cell r="Y686">
            <v>2305.77</v>
          </cell>
          <cell r="AE686" t="str">
            <v>20140101KUUM_475</v>
          </cell>
        </row>
        <row r="687">
          <cell r="B687" t="str">
            <v>Aug 2014</v>
          </cell>
          <cell r="C687" t="str">
            <v>LS</v>
          </cell>
          <cell r="D687" t="str">
            <v>KUUM_476</v>
          </cell>
          <cell r="E687">
            <v>4575</v>
          </cell>
          <cell r="F687">
            <v>0</v>
          </cell>
          <cell r="G687">
            <v>100028</v>
          </cell>
          <cell r="H687">
            <v>0</v>
          </cell>
          <cell r="L687">
            <v>178.53</v>
          </cell>
          <cell r="N687">
            <v>76992.78</v>
          </cell>
          <cell r="O687">
            <v>76992.78</v>
          </cell>
          <cell r="Q687">
            <v>254.58</v>
          </cell>
          <cell r="S687">
            <v>2571.9299999999998</v>
          </cell>
          <cell r="U687">
            <v>79819.289999999994</v>
          </cell>
          <cell r="Y687">
            <v>3660</v>
          </cell>
          <cell r="AE687" t="str">
            <v>20140101KUUM_476</v>
          </cell>
        </row>
        <row r="688">
          <cell r="B688" t="str">
            <v>Aug 2014</v>
          </cell>
          <cell r="C688" t="str">
            <v>LS</v>
          </cell>
          <cell r="D688" t="str">
            <v>KUUM_477</v>
          </cell>
          <cell r="E688">
            <v>1054</v>
          </cell>
          <cell r="F688">
            <v>0</v>
          </cell>
          <cell r="G688">
            <v>32965</v>
          </cell>
          <cell r="H688">
            <v>0</v>
          </cell>
          <cell r="L688">
            <v>4.9000000000000004</v>
          </cell>
          <cell r="N688">
            <v>22107.280000000002</v>
          </cell>
          <cell r="O688">
            <v>22107.280000000002</v>
          </cell>
          <cell r="Q688">
            <v>30.54</v>
          </cell>
          <cell r="S688">
            <v>724.33</v>
          </cell>
          <cell r="U688">
            <v>22862.15</v>
          </cell>
          <cell r="Y688">
            <v>1191.02</v>
          </cell>
          <cell r="AE688" t="str">
            <v>20140101KUUM_477</v>
          </cell>
        </row>
        <row r="689">
          <cell r="B689" t="str">
            <v>Aug 2014</v>
          </cell>
          <cell r="C689" t="str">
            <v>LS</v>
          </cell>
          <cell r="D689" t="str">
            <v>KUUM_478</v>
          </cell>
          <cell r="E689">
            <v>1407</v>
          </cell>
          <cell r="F689">
            <v>0</v>
          </cell>
          <cell r="G689">
            <v>91132</v>
          </cell>
          <cell r="H689">
            <v>0</v>
          </cell>
          <cell r="L689">
            <v>0.01</v>
          </cell>
          <cell r="N689">
            <v>37792.03</v>
          </cell>
          <cell r="O689">
            <v>37792.03</v>
          </cell>
          <cell r="Q689">
            <v>56.29</v>
          </cell>
          <cell r="S689">
            <v>1234.1400000000001</v>
          </cell>
          <cell r="U689">
            <v>39082.46</v>
          </cell>
          <cell r="Y689">
            <v>3278.31</v>
          </cell>
          <cell r="AE689" t="str">
            <v>20140101KUUM_478</v>
          </cell>
        </row>
        <row r="690">
          <cell r="B690" t="str">
            <v>Aug 2014</v>
          </cell>
          <cell r="C690" t="str">
            <v>LS</v>
          </cell>
          <cell r="D690" t="str">
            <v>KUUM_479</v>
          </cell>
          <cell r="E690">
            <v>941</v>
          </cell>
          <cell r="F690">
            <v>0</v>
          </cell>
          <cell r="G690">
            <v>120856</v>
          </cell>
          <cell r="H690">
            <v>0</v>
          </cell>
          <cell r="L690">
            <v>262.31</v>
          </cell>
          <cell r="N690">
            <v>31428.23</v>
          </cell>
          <cell r="O690">
            <v>31428.23</v>
          </cell>
          <cell r="Q690">
            <v>-45.72</v>
          </cell>
          <cell r="S690">
            <v>1011.95</v>
          </cell>
          <cell r="U690">
            <v>32394.46</v>
          </cell>
          <cell r="Y690">
            <v>4262.7299999999996</v>
          </cell>
          <cell r="AE690" t="str">
            <v>20140101KUUM_479</v>
          </cell>
        </row>
        <row r="691">
          <cell r="B691" t="str">
            <v>Aug 2014</v>
          </cell>
          <cell r="C691" t="str">
            <v>LS</v>
          </cell>
          <cell r="D691" t="str">
            <v>KUUM_486</v>
          </cell>
          <cell r="E691">
            <v>0</v>
          </cell>
          <cell r="F691">
            <v>0</v>
          </cell>
          <cell r="G691">
            <v>0</v>
          </cell>
          <cell r="H691">
            <v>0</v>
          </cell>
          <cell r="L691">
            <v>0</v>
          </cell>
          <cell r="N691">
            <v>0</v>
          </cell>
          <cell r="O691">
            <v>0</v>
          </cell>
          <cell r="Q691">
            <v>0</v>
          </cell>
          <cell r="S691">
            <v>0</v>
          </cell>
          <cell r="U691">
            <v>0</v>
          </cell>
          <cell r="Y691">
            <v>0</v>
          </cell>
          <cell r="AE691" t="str">
            <v>20140101KUUM_486</v>
          </cell>
        </row>
        <row r="692">
          <cell r="B692" t="str">
            <v>Aug 2014</v>
          </cell>
          <cell r="C692" t="str">
            <v>LS</v>
          </cell>
          <cell r="D692" t="str">
            <v>KUUM_487</v>
          </cell>
          <cell r="E692">
            <v>11148</v>
          </cell>
          <cell r="F692">
            <v>0</v>
          </cell>
          <cell r="G692">
            <v>350948</v>
          </cell>
          <cell r="H692">
            <v>0</v>
          </cell>
          <cell r="L692">
            <v>-720.74</v>
          </cell>
          <cell r="N692">
            <v>99611.26</v>
          </cell>
          <cell r="O692">
            <v>99611.26</v>
          </cell>
          <cell r="Q692">
            <v>-243.49</v>
          </cell>
          <cell r="S692">
            <v>3208.16</v>
          </cell>
          <cell r="U692">
            <v>102575.93</v>
          </cell>
          <cell r="Y692">
            <v>12597.24</v>
          </cell>
          <cell r="AE692" t="str">
            <v>20140101KUUM_487</v>
          </cell>
        </row>
        <row r="693">
          <cell r="B693" t="str">
            <v>Aug 2014</v>
          </cell>
          <cell r="C693" t="str">
            <v>LS</v>
          </cell>
          <cell r="D693" t="str">
            <v>KUUM_488</v>
          </cell>
          <cell r="E693">
            <v>6622</v>
          </cell>
          <cell r="F693">
            <v>0</v>
          </cell>
          <cell r="G693">
            <v>432341</v>
          </cell>
          <cell r="L693">
            <v>-487.79</v>
          </cell>
          <cell r="N693">
            <v>89836.290000000008</v>
          </cell>
          <cell r="O693">
            <v>89836.290000000008</v>
          </cell>
          <cell r="Q693">
            <v>-285.77999999999997</v>
          </cell>
          <cell r="S693">
            <v>2887.93</v>
          </cell>
          <cell r="U693">
            <v>92438.44</v>
          </cell>
          <cell r="Y693">
            <v>15429.26</v>
          </cell>
          <cell r="AE693" t="str">
            <v>20140101KUUM_488</v>
          </cell>
        </row>
        <row r="694">
          <cell r="B694" t="str">
            <v>Aug 2014</v>
          </cell>
          <cell r="C694" t="str">
            <v>LS</v>
          </cell>
          <cell r="D694" t="str">
            <v>KUUM_489</v>
          </cell>
          <cell r="E694">
            <v>8341</v>
          </cell>
          <cell r="F694">
            <v>0</v>
          </cell>
          <cell r="G694">
            <v>1062610</v>
          </cell>
          <cell r="L694">
            <v>-337.81</v>
          </cell>
          <cell r="N694">
            <v>161978.04999999999</v>
          </cell>
          <cell r="O694">
            <v>161978.04999999999</v>
          </cell>
          <cell r="Q694">
            <v>-632.91999999999996</v>
          </cell>
          <cell r="S694">
            <v>5184.24</v>
          </cell>
          <cell r="U694">
            <v>166529.37</v>
          </cell>
          <cell r="Y694">
            <v>37784.730000000003</v>
          </cell>
          <cell r="AE694" t="str">
            <v>20140101KUUM_489</v>
          </cell>
        </row>
        <row r="695">
          <cell r="B695" t="str">
            <v>Aug 2014</v>
          </cell>
          <cell r="C695" t="str">
            <v>LS</v>
          </cell>
          <cell r="D695" t="str">
            <v>KUUM_490</v>
          </cell>
          <cell r="E695">
            <v>61</v>
          </cell>
          <cell r="F695">
            <v>0</v>
          </cell>
          <cell r="G695">
            <v>2533</v>
          </cell>
          <cell r="L695">
            <v>-11.34</v>
          </cell>
          <cell r="N695">
            <v>932.32999999999993</v>
          </cell>
          <cell r="O695">
            <v>932.32999999999993</v>
          </cell>
          <cell r="Q695">
            <v>-1.8</v>
          </cell>
          <cell r="S695">
            <v>29.89</v>
          </cell>
          <cell r="U695">
            <v>960.42</v>
          </cell>
          <cell r="Y695">
            <v>120.17</v>
          </cell>
          <cell r="AE695" t="str">
            <v>20140101KUUM_490</v>
          </cell>
        </row>
        <row r="696">
          <cell r="B696" t="str">
            <v>Aug 2014</v>
          </cell>
          <cell r="C696" t="str">
            <v>LS</v>
          </cell>
          <cell r="D696" t="str">
            <v>KUUM_491</v>
          </cell>
          <cell r="E696">
            <v>319</v>
          </cell>
          <cell r="F696">
            <v>0</v>
          </cell>
          <cell r="G696">
            <v>30179</v>
          </cell>
          <cell r="L696">
            <v>-2.83</v>
          </cell>
          <cell r="N696">
            <v>6992.84</v>
          </cell>
          <cell r="O696">
            <v>6992.84</v>
          </cell>
          <cell r="Q696">
            <v>-22.3</v>
          </cell>
          <cell r="S696">
            <v>223.82</v>
          </cell>
          <cell r="U696">
            <v>7194.36</v>
          </cell>
          <cell r="Y696">
            <v>1368.51</v>
          </cell>
          <cell r="AE696" t="str">
            <v>20140101KUUM_491</v>
          </cell>
        </row>
        <row r="697">
          <cell r="B697" t="str">
            <v>Aug 2014</v>
          </cell>
          <cell r="C697" t="str">
            <v>LS</v>
          </cell>
          <cell r="D697" t="str">
            <v>KUUM_492</v>
          </cell>
          <cell r="E697">
            <v>2</v>
          </cell>
          <cell r="F697">
            <v>0</v>
          </cell>
          <cell r="G697">
            <v>45</v>
          </cell>
          <cell r="L697">
            <v>0</v>
          </cell>
          <cell r="N697">
            <v>30.74</v>
          </cell>
          <cell r="O697">
            <v>30.74</v>
          </cell>
          <cell r="Q697">
            <v>-0.03</v>
          </cell>
          <cell r="S697">
            <v>0.99</v>
          </cell>
          <cell r="U697">
            <v>31.7</v>
          </cell>
          <cell r="Y697">
            <v>1.6</v>
          </cell>
          <cell r="AE697" t="str">
            <v>20140101KUUM_492</v>
          </cell>
        </row>
        <row r="698">
          <cell r="B698" t="str">
            <v>Aug 2014</v>
          </cell>
          <cell r="C698" t="str">
            <v>LS</v>
          </cell>
          <cell r="D698" t="str">
            <v>KUUM_493</v>
          </cell>
          <cell r="E698">
            <v>43</v>
          </cell>
          <cell r="F698">
            <v>0</v>
          </cell>
          <cell r="G698">
            <v>12493</v>
          </cell>
          <cell r="H698">
            <v>0</v>
          </cell>
          <cell r="L698">
            <v>0.01</v>
          </cell>
          <cell r="N698">
            <v>1965.11</v>
          </cell>
          <cell r="O698">
            <v>1965.11</v>
          </cell>
          <cell r="Q698">
            <v>-9.6300000000000008</v>
          </cell>
          <cell r="S698">
            <v>62.78</v>
          </cell>
          <cell r="U698">
            <v>2018.26</v>
          </cell>
          <cell r="Y698">
            <v>447.63</v>
          </cell>
          <cell r="AE698" t="str">
            <v>20140101KUUM_493</v>
          </cell>
        </row>
        <row r="699">
          <cell r="B699" t="str">
            <v>Aug 2014</v>
          </cell>
          <cell r="C699" t="str">
            <v>LS</v>
          </cell>
          <cell r="D699" t="str">
            <v>KUUM_494</v>
          </cell>
          <cell r="E699">
            <v>182</v>
          </cell>
          <cell r="F699">
            <v>0</v>
          </cell>
          <cell r="G699">
            <v>7557</v>
          </cell>
          <cell r="H699">
            <v>0</v>
          </cell>
          <cell r="L699">
            <v>0</v>
          </cell>
          <cell r="N699">
            <v>5163.34</v>
          </cell>
          <cell r="O699">
            <v>5163.34</v>
          </cell>
          <cell r="Q699">
            <v>-1.61</v>
          </cell>
          <cell r="S699">
            <v>166.78</v>
          </cell>
          <cell r="U699">
            <v>5328.51</v>
          </cell>
          <cell r="Y699">
            <v>358.54</v>
          </cell>
          <cell r="AE699" t="str">
            <v>20140101KUUM_494</v>
          </cell>
        </row>
        <row r="700">
          <cell r="B700" t="str">
            <v>Aug 2014</v>
          </cell>
          <cell r="C700" t="str">
            <v>LS</v>
          </cell>
          <cell r="D700" t="str">
            <v>KUUM_495</v>
          </cell>
          <cell r="E700">
            <v>654</v>
          </cell>
          <cell r="F700">
            <v>0</v>
          </cell>
          <cell r="G700">
            <v>60888</v>
          </cell>
          <cell r="H700">
            <v>0</v>
          </cell>
          <cell r="L700">
            <v>-535.42999999999995</v>
          </cell>
          <cell r="N700">
            <v>22243.39</v>
          </cell>
          <cell r="O700">
            <v>22243.39</v>
          </cell>
          <cell r="Q700">
            <v>-46.28</v>
          </cell>
          <cell r="S700">
            <v>712.6</v>
          </cell>
          <cell r="U700">
            <v>22909.71</v>
          </cell>
          <cell r="Y700">
            <v>2805.66</v>
          </cell>
          <cell r="AE700" t="str">
            <v>20140101KUUM_495</v>
          </cell>
        </row>
        <row r="701">
          <cell r="B701" t="str">
            <v>Aug 2014</v>
          </cell>
          <cell r="C701" t="str">
            <v>LS</v>
          </cell>
          <cell r="D701" t="str">
            <v>KUUM_496</v>
          </cell>
          <cell r="E701">
            <v>154</v>
          </cell>
          <cell r="F701">
            <v>0</v>
          </cell>
          <cell r="G701">
            <v>44986</v>
          </cell>
          <cell r="H701">
            <v>0</v>
          </cell>
          <cell r="L701">
            <v>0</v>
          </cell>
          <cell r="N701">
            <v>9022.86</v>
          </cell>
          <cell r="O701">
            <v>9022.8599999999988</v>
          </cell>
          <cell r="Q701">
            <v>-26</v>
          </cell>
          <cell r="S701">
            <v>289.44</v>
          </cell>
          <cell r="U701">
            <v>9286.2999999999993</v>
          </cell>
          <cell r="Y701">
            <v>1603.14</v>
          </cell>
          <cell r="AE701" t="str">
            <v>20140101KUUM_496</v>
          </cell>
        </row>
        <row r="702">
          <cell r="B702" t="str">
            <v>Aug 2014</v>
          </cell>
          <cell r="C702" t="str">
            <v>LS</v>
          </cell>
          <cell r="D702" t="str">
            <v>KUUM_497</v>
          </cell>
          <cell r="E702">
            <v>15</v>
          </cell>
          <cell r="F702">
            <v>0</v>
          </cell>
          <cell r="G702">
            <v>478</v>
          </cell>
          <cell r="H702">
            <v>0</v>
          </cell>
          <cell r="L702">
            <v>0</v>
          </cell>
          <cell r="N702">
            <v>230.25</v>
          </cell>
          <cell r="O702">
            <v>230.25</v>
          </cell>
          <cell r="Q702">
            <v>-0.37</v>
          </cell>
          <cell r="S702">
            <v>7.38</v>
          </cell>
          <cell r="U702">
            <v>237.26</v>
          </cell>
          <cell r="Y702">
            <v>16.95</v>
          </cell>
          <cell r="AE702" t="str">
            <v>20140101KUUM_497</v>
          </cell>
        </row>
        <row r="703">
          <cell r="B703" t="str">
            <v>Aug 2014</v>
          </cell>
          <cell r="C703" t="str">
            <v>LS</v>
          </cell>
          <cell r="D703" t="str">
            <v>KUUM_498</v>
          </cell>
          <cell r="E703">
            <v>26</v>
          </cell>
          <cell r="F703">
            <v>0</v>
          </cell>
          <cell r="G703">
            <v>1698</v>
          </cell>
          <cell r="H703">
            <v>0</v>
          </cell>
          <cell r="L703">
            <v>0</v>
          </cell>
          <cell r="N703">
            <v>460.72</v>
          </cell>
          <cell r="O703">
            <v>460.72</v>
          </cell>
          <cell r="Q703">
            <v>-1.33</v>
          </cell>
          <cell r="S703">
            <v>14.73</v>
          </cell>
          <cell r="U703">
            <v>474.12</v>
          </cell>
          <cell r="Y703">
            <v>60.58</v>
          </cell>
          <cell r="AE703" t="str">
            <v>20140101KUUM_498</v>
          </cell>
        </row>
        <row r="704">
          <cell r="B704" t="str">
            <v>Aug 2014</v>
          </cell>
          <cell r="C704" t="str">
            <v>LS</v>
          </cell>
          <cell r="D704" t="str">
            <v>KUUM_499</v>
          </cell>
          <cell r="E704">
            <v>25</v>
          </cell>
          <cell r="F704">
            <v>0</v>
          </cell>
          <cell r="G704">
            <v>3854</v>
          </cell>
          <cell r="H704">
            <v>0</v>
          </cell>
          <cell r="L704">
            <v>151.28999999999996</v>
          </cell>
          <cell r="N704">
            <v>688.54</v>
          </cell>
          <cell r="O704">
            <v>688.54</v>
          </cell>
          <cell r="Q704">
            <v>-2.56</v>
          </cell>
          <cell r="S704">
            <v>22.05</v>
          </cell>
          <cell r="U704">
            <v>708.03</v>
          </cell>
          <cell r="Y704">
            <v>113.25</v>
          </cell>
          <cell r="AE704" t="str">
            <v>20140101KUUM_499</v>
          </cell>
        </row>
        <row r="705">
          <cell r="B705" t="str">
            <v>Aug 2014</v>
          </cell>
          <cell r="C705" t="str">
            <v>ODL</v>
          </cell>
          <cell r="D705" t="str">
            <v>ODL</v>
          </cell>
          <cell r="E705">
            <v>0</v>
          </cell>
          <cell r="F705">
            <v>0</v>
          </cell>
          <cell r="G705">
            <v>0</v>
          </cell>
          <cell r="H705">
            <v>0</v>
          </cell>
          <cell r="L705">
            <v>0</v>
          </cell>
          <cell r="N705">
            <v>0</v>
          </cell>
          <cell r="O705">
            <v>0</v>
          </cell>
          <cell r="Q705">
            <v>0</v>
          </cell>
          <cell r="S705">
            <v>0</v>
          </cell>
          <cell r="U705">
            <v>0</v>
          </cell>
          <cell r="Y705">
            <v>0</v>
          </cell>
          <cell r="AE705" t="str">
            <v>20140101ODL</v>
          </cell>
        </row>
        <row r="706">
          <cell r="B706" t="str">
            <v>Sep 2014</v>
          </cell>
          <cell r="C706" t="str">
            <v>LS</v>
          </cell>
          <cell r="D706" t="str">
            <v>KUUM_300</v>
          </cell>
          <cell r="E706">
            <v>0</v>
          </cell>
          <cell r="F706">
            <v>0</v>
          </cell>
          <cell r="G706">
            <v>0</v>
          </cell>
          <cell r="H706">
            <v>0</v>
          </cell>
          <cell r="L706">
            <v>0</v>
          </cell>
          <cell r="N706">
            <v>0</v>
          </cell>
          <cell r="O706">
            <v>0</v>
          </cell>
          <cell r="Q706">
            <v>0</v>
          </cell>
          <cell r="S706">
            <v>0</v>
          </cell>
          <cell r="U706">
            <v>0</v>
          </cell>
          <cell r="Y706">
            <v>0</v>
          </cell>
          <cell r="AE706" t="str">
            <v>20140101KUUM_300</v>
          </cell>
        </row>
        <row r="707">
          <cell r="B707" t="str">
            <v>Sep 2014</v>
          </cell>
          <cell r="C707" t="str">
            <v>LS</v>
          </cell>
          <cell r="D707" t="str">
            <v>KUUM_301</v>
          </cell>
          <cell r="E707">
            <v>0</v>
          </cell>
          <cell r="F707">
            <v>0</v>
          </cell>
          <cell r="G707">
            <v>0</v>
          </cell>
          <cell r="H707">
            <v>0</v>
          </cell>
          <cell r="L707">
            <v>0</v>
          </cell>
          <cell r="N707">
            <v>0</v>
          </cell>
          <cell r="O707">
            <v>0</v>
          </cell>
          <cell r="Q707">
            <v>0</v>
          </cell>
          <cell r="S707">
            <v>0</v>
          </cell>
          <cell r="U707">
            <v>0</v>
          </cell>
          <cell r="Y707">
            <v>0</v>
          </cell>
          <cell r="AE707" t="str">
            <v>20140101KUUM_301</v>
          </cell>
        </row>
        <row r="708">
          <cell r="B708" t="str">
            <v>Sep 2014</v>
          </cell>
          <cell r="C708" t="str">
            <v>LS</v>
          </cell>
          <cell r="D708" t="str">
            <v>KUUM_360</v>
          </cell>
          <cell r="E708">
            <v>172</v>
          </cell>
          <cell r="F708">
            <v>0</v>
          </cell>
          <cell r="G708">
            <v>0</v>
          </cell>
          <cell r="H708">
            <v>0</v>
          </cell>
          <cell r="L708">
            <v>0</v>
          </cell>
          <cell r="N708">
            <v>9516.76</v>
          </cell>
          <cell r="O708">
            <v>0</v>
          </cell>
          <cell r="Q708">
            <v>0</v>
          </cell>
          <cell r="S708">
            <v>0</v>
          </cell>
          <cell r="U708">
            <v>0</v>
          </cell>
          <cell r="Y708">
            <v>301</v>
          </cell>
          <cell r="AE708" t="str">
            <v>20140101KUUM_360</v>
          </cell>
        </row>
        <row r="709">
          <cell r="B709" t="str">
            <v>Sep 2014</v>
          </cell>
          <cell r="C709" t="str">
            <v>LS</v>
          </cell>
          <cell r="D709" t="str">
            <v>KUUM_361</v>
          </cell>
          <cell r="E709">
            <v>26</v>
          </cell>
          <cell r="F709">
            <v>0</v>
          </cell>
          <cell r="G709">
            <v>0</v>
          </cell>
          <cell r="H709">
            <v>0</v>
          </cell>
          <cell r="L709">
            <v>0</v>
          </cell>
          <cell r="N709">
            <v>2162.16</v>
          </cell>
          <cell r="O709">
            <v>0</v>
          </cell>
          <cell r="Q709">
            <v>0</v>
          </cell>
          <cell r="S709">
            <v>0</v>
          </cell>
          <cell r="U709">
            <v>0</v>
          </cell>
          <cell r="Y709">
            <v>45.5</v>
          </cell>
          <cell r="AE709" t="str">
            <v>20140101KUUM_361</v>
          </cell>
        </row>
        <row r="710">
          <cell r="B710" t="str">
            <v>Sep 2014</v>
          </cell>
          <cell r="C710" t="str">
            <v>LS</v>
          </cell>
          <cell r="D710" t="str">
            <v>KUUM_362</v>
          </cell>
          <cell r="E710">
            <v>40</v>
          </cell>
          <cell r="F710">
            <v>0</v>
          </cell>
          <cell r="G710">
            <v>0</v>
          </cell>
          <cell r="H710">
            <v>0</v>
          </cell>
          <cell r="L710">
            <v>0</v>
          </cell>
          <cell r="N710">
            <v>2391.1999999999998</v>
          </cell>
          <cell r="O710">
            <v>0</v>
          </cell>
          <cell r="Q710">
            <v>0</v>
          </cell>
          <cell r="S710">
            <v>0</v>
          </cell>
          <cell r="U710">
            <v>0</v>
          </cell>
          <cell r="Y710">
            <v>70</v>
          </cell>
          <cell r="AE710" t="str">
            <v>20140101KUUM_362</v>
          </cell>
        </row>
        <row r="711">
          <cell r="B711" t="str">
            <v>Sep 2014</v>
          </cell>
          <cell r="C711" t="str">
            <v>LS</v>
          </cell>
          <cell r="D711" t="str">
            <v>KUUM_363</v>
          </cell>
          <cell r="E711">
            <v>5</v>
          </cell>
          <cell r="F711">
            <v>0</v>
          </cell>
          <cell r="G711">
            <v>0</v>
          </cell>
          <cell r="H711">
            <v>0</v>
          </cell>
          <cell r="L711">
            <v>0</v>
          </cell>
          <cell r="N711">
            <v>308.75</v>
          </cell>
          <cell r="O711">
            <v>0</v>
          </cell>
          <cell r="Q711">
            <v>0</v>
          </cell>
          <cell r="S711">
            <v>0</v>
          </cell>
          <cell r="U711">
            <v>0</v>
          </cell>
          <cell r="Y711">
            <v>8.75</v>
          </cell>
          <cell r="AE711" t="str">
            <v>20140101KUUM_363</v>
          </cell>
        </row>
        <row r="712">
          <cell r="B712" t="str">
            <v>Sep 2014</v>
          </cell>
          <cell r="C712" t="str">
            <v>LS</v>
          </cell>
          <cell r="D712" t="str">
            <v>KUUM_364</v>
          </cell>
          <cell r="E712">
            <v>1</v>
          </cell>
          <cell r="F712">
            <v>0</v>
          </cell>
          <cell r="G712">
            <v>0</v>
          </cell>
          <cell r="H712">
            <v>0</v>
          </cell>
          <cell r="L712">
            <v>0</v>
          </cell>
          <cell r="N712">
            <v>63.11</v>
          </cell>
          <cell r="O712">
            <v>0</v>
          </cell>
          <cell r="Q712">
            <v>0</v>
          </cell>
          <cell r="S712">
            <v>0</v>
          </cell>
          <cell r="U712">
            <v>0</v>
          </cell>
          <cell r="Y712">
            <v>1.75</v>
          </cell>
          <cell r="AE712" t="str">
            <v>20140101KUUM_364</v>
          </cell>
        </row>
        <row r="713">
          <cell r="B713" t="str">
            <v>Sep 2014</v>
          </cell>
          <cell r="C713" t="str">
            <v>LS</v>
          </cell>
          <cell r="D713" t="str">
            <v>KUUM_365</v>
          </cell>
          <cell r="E713">
            <v>5</v>
          </cell>
          <cell r="F713">
            <v>0</v>
          </cell>
          <cell r="G713">
            <v>0</v>
          </cell>
          <cell r="H713">
            <v>0</v>
          </cell>
          <cell r="L713">
            <v>0</v>
          </cell>
          <cell r="N713">
            <v>404.7</v>
          </cell>
          <cell r="O713">
            <v>0</v>
          </cell>
          <cell r="Q713">
            <v>0</v>
          </cell>
          <cell r="S713">
            <v>0</v>
          </cell>
          <cell r="U713">
            <v>0</v>
          </cell>
          <cell r="Y713">
            <v>8.75</v>
          </cell>
          <cell r="AE713" t="str">
            <v>20140101KUUM_365</v>
          </cell>
        </row>
        <row r="714">
          <cell r="B714" t="str">
            <v>Sep 2014</v>
          </cell>
          <cell r="C714" t="str">
            <v>LS</v>
          </cell>
          <cell r="D714" t="str">
            <v>KUUM_366</v>
          </cell>
          <cell r="E714">
            <v>10</v>
          </cell>
          <cell r="F714">
            <v>0</v>
          </cell>
          <cell r="G714">
            <v>0</v>
          </cell>
          <cell r="H714">
            <v>0</v>
          </cell>
          <cell r="L714">
            <v>0</v>
          </cell>
          <cell r="N714">
            <v>789.7</v>
          </cell>
          <cell r="O714">
            <v>0</v>
          </cell>
          <cell r="Q714">
            <v>0</v>
          </cell>
          <cell r="S714">
            <v>0</v>
          </cell>
          <cell r="U714">
            <v>0</v>
          </cell>
          <cell r="Y714">
            <v>17.5</v>
          </cell>
          <cell r="AE714" t="str">
            <v>20140101KUUM_366</v>
          </cell>
        </row>
        <row r="715">
          <cell r="B715" t="str">
            <v>Sep 2014</v>
          </cell>
          <cell r="C715" t="str">
            <v>LS</v>
          </cell>
          <cell r="D715" t="str">
            <v>KUUM_367</v>
          </cell>
          <cell r="E715">
            <v>24</v>
          </cell>
          <cell r="F715">
            <v>0</v>
          </cell>
          <cell r="G715">
            <v>0</v>
          </cell>
          <cell r="H715">
            <v>0</v>
          </cell>
          <cell r="L715">
            <v>0</v>
          </cell>
          <cell r="N715">
            <v>1469.52</v>
          </cell>
          <cell r="O715">
            <v>0</v>
          </cell>
          <cell r="Q715">
            <v>0</v>
          </cell>
          <cell r="S715">
            <v>0</v>
          </cell>
          <cell r="U715">
            <v>0</v>
          </cell>
          <cell r="Y715">
            <v>42</v>
          </cell>
          <cell r="AE715" t="str">
            <v>20140101KUUM_367</v>
          </cell>
        </row>
        <row r="716">
          <cell r="B716" t="str">
            <v>Sep 2014</v>
          </cell>
          <cell r="C716" t="str">
            <v>LS</v>
          </cell>
          <cell r="D716" t="str">
            <v>KUUM_368</v>
          </cell>
          <cell r="E716">
            <v>1</v>
          </cell>
          <cell r="F716">
            <v>0</v>
          </cell>
          <cell r="G716">
            <v>0</v>
          </cell>
          <cell r="H716">
            <v>0</v>
          </cell>
          <cell r="L716">
            <v>0</v>
          </cell>
          <cell r="N716">
            <v>56.69</v>
          </cell>
          <cell r="O716">
            <v>0</v>
          </cell>
          <cell r="Q716">
            <v>0</v>
          </cell>
          <cell r="S716">
            <v>0</v>
          </cell>
          <cell r="U716">
            <v>0</v>
          </cell>
          <cell r="Y716">
            <v>1.75</v>
          </cell>
          <cell r="AE716" t="str">
            <v>20140101KUUM_368</v>
          </cell>
        </row>
        <row r="717">
          <cell r="B717" t="str">
            <v>Sep 2014</v>
          </cell>
          <cell r="C717" t="str">
            <v>LS</v>
          </cell>
          <cell r="D717" t="str">
            <v>KUUM_370</v>
          </cell>
          <cell r="E717">
            <v>16</v>
          </cell>
          <cell r="F717">
            <v>0</v>
          </cell>
          <cell r="G717">
            <v>0</v>
          </cell>
          <cell r="H717">
            <v>0</v>
          </cell>
          <cell r="L717">
            <v>0</v>
          </cell>
          <cell r="N717">
            <v>1192.32</v>
          </cell>
          <cell r="O717">
            <v>0</v>
          </cell>
          <cell r="Q717">
            <v>0</v>
          </cell>
          <cell r="S717">
            <v>0</v>
          </cell>
          <cell r="U717">
            <v>0</v>
          </cell>
          <cell r="Y717">
            <v>28</v>
          </cell>
          <cell r="AE717" t="str">
            <v>20140101KUUM_370</v>
          </cell>
        </row>
        <row r="718">
          <cell r="B718" t="str">
            <v>Sep 2014</v>
          </cell>
          <cell r="C718" t="str">
            <v>LS</v>
          </cell>
          <cell r="D718" t="str">
            <v>KUUM_372</v>
          </cell>
          <cell r="E718">
            <v>1</v>
          </cell>
          <cell r="F718">
            <v>0</v>
          </cell>
          <cell r="G718">
            <v>0</v>
          </cell>
          <cell r="H718">
            <v>0</v>
          </cell>
          <cell r="L718">
            <v>0</v>
          </cell>
          <cell r="N718">
            <v>82.3</v>
          </cell>
          <cell r="O718">
            <v>0</v>
          </cell>
          <cell r="Q718">
            <v>0</v>
          </cell>
          <cell r="S718">
            <v>0</v>
          </cell>
          <cell r="U718">
            <v>0</v>
          </cell>
          <cell r="Y718">
            <v>1.75</v>
          </cell>
          <cell r="AE718" t="str">
            <v>20140101KUUM_372</v>
          </cell>
        </row>
        <row r="719">
          <cell r="B719" t="str">
            <v>Sep 2014</v>
          </cell>
          <cell r="C719" t="str">
            <v>LS</v>
          </cell>
          <cell r="D719" t="str">
            <v>KUUM_373</v>
          </cell>
          <cell r="E719">
            <v>19</v>
          </cell>
          <cell r="F719">
            <v>0</v>
          </cell>
          <cell r="G719">
            <v>0</v>
          </cell>
          <cell r="H719">
            <v>0</v>
          </cell>
          <cell r="L719">
            <v>0</v>
          </cell>
          <cell r="N719">
            <v>1415.88</v>
          </cell>
          <cell r="O719">
            <v>0</v>
          </cell>
          <cell r="Q719">
            <v>0</v>
          </cell>
          <cell r="S719">
            <v>0</v>
          </cell>
          <cell r="U719">
            <v>0</v>
          </cell>
          <cell r="Y719">
            <v>33.25</v>
          </cell>
          <cell r="AE719" t="str">
            <v>20140101KUUM_373</v>
          </cell>
        </row>
        <row r="720">
          <cell r="B720" t="str">
            <v>Sep 2014</v>
          </cell>
          <cell r="C720" t="str">
            <v>LS</v>
          </cell>
          <cell r="D720" t="str">
            <v>KUUM_374</v>
          </cell>
          <cell r="E720">
            <v>4</v>
          </cell>
          <cell r="F720">
            <v>0</v>
          </cell>
          <cell r="G720">
            <v>0</v>
          </cell>
          <cell r="H720">
            <v>0</v>
          </cell>
          <cell r="L720">
            <v>0</v>
          </cell>
          <cell r="N720">
            <v>303.52</v>
          </cell>
          <cell r="O720">
            <v>0</v>
          </cell>
          <cell r="Q720">
            <v>0</v>
          </cell>
          <cell r="S720">
            <v>0</v>
          </cell>
          <cell r="U720">
            <v>0</v>
          </cell>
          <cell r="Y720">
            <v>7</v>
          </cell>
          <cell r="AE720" t="str">
            <v>20140101KUUM_374</v>
          </cell>
        </row>
        <row r="721">
          <cell r="B721" t="str">
            <v>Sep 2014</v>
          </cell>
          <cell r="C721" t="str">
            <v>LS</v>
          </cell>
          <cell r="D721" t="str">
            <v>KUUM_375</v>
          </cell>
          <cell r="E721">
            <v>3</v>
          </cell>
          <cell r="F721">
            <v>0</v>
          </cell>
          <cell r="G721">
            <v>0</v>
          </cell>
          <cell r="H721">
            <v>0</v>
          </cell>
          <cell r="L721">
            <v>0</v>
          </cell>
          <cell r="N721">
            <v>236.91</v>
          </cell>
          <cell r="O721">
            <v>0</v>
          </cell>
          <cell r="Q721">
            <v>0</v>
          </cell>
          <cell r="S721">
            <v>0</v>
          </cell>
          <cell r="U721">
            <v>0</v>
          </cell>
          <cell r="Y721">
            <v>5.25</v>
          </cell>
          <cell r="AE721" t="str">
            <v>20140101KUUM_375</v>
          </cell>
        </row>
        <row r="722">
          <cell r="B722" t="str">
            <v>Sep 2014</v>
          </cell>
          <cell r="C722" t="str">
            <v>LS</v>
          </cell>
          <cell r="D722" t="str">
            <v>KUUM_376</v>
          </cell>
          <cell r="E722">
            <v>2</v>
          </cell>
          <cell r="F722">
            <v>0</v>
          </cell>
          <cell r="G722">
            <v>0</v>
          </cell>
          <cell r="H722">
            <v>0</v>
          </cell>
          <cell r="L722">
            <v>0</v>
          </cell>
          <cell r="N722">
            <v>154.52000000000001</v>
          </cell>
          <cell r="O722">
            <v>0</v>
          </cell>
          <cell r="Q722">
            <v>0</v>
          </cell>
          <cell r="S722">
            <v>0</v>
          </cell>
          <cell r="U722">
            <v>0</v>
          </cell>
          <cell r="Y722">
            <v>3.5</v>
          </cell>
          <cell r="AE722" t="str">
            <v>20140101KUUM_376</v>
          </cell>
        </row>
        <row r="723">
          <cell r="B723" t="str">
            <v>Sep 2014</v>
          </cell>
          <cell r="C723" t="str">
            <v>LS</v>
          </cell>
          <cell r="D723" t="str">
            <v>KUUM_377</v>
          </cell>
          <cell r="E723">
            <v>49</v>
          </cell>
          <cell r="F723">
            <v>0</v>
          </cell>
          <cell r="G723">
            <v>0</v>
          </cell>
          <cell r="H723">
            <v>0</v>
          </cell>
          <cell r="L723">
            <v>0</v>
          </cell>
          <cell r="N723">
            <v>3145.31</v>
          </cell>
          <cell r="O723">
            <v>0</v>
          </cell>
          <cell r="Q723">
            <v>0</v>
          </cell>
          <cell r="S723">
            <v>0</v>
          </cell>
          <cell r="U723">
            <v>0</v>
          </cell>
          <cell r="Y723">
            <v>85.75</v>
          </cell>
          <cell r="AE723" t="str">
            <v>20140101KUUM_377</v>
          </cell>
        </row>
        <row r="724">
          <cell r="B724" t="str">
            <v>Sep 2014</v>
          </cell>
          <cell r="C724" t="str">
            <v>LS</v>
          </cell>
          <cell r="D724" t="str">
            <v>KUUM_378</v>
          </cell>
          <cell r="E724">
            <v>2</v>
          </cell>
          <cell r="F724">
            <v>0</v>
          </cell>
          <cell r="G724">
            <v>0</v>
          </cell>
          <cell r="H724">
            <v>0</v>
          </cell>
          <cell r="L724">
            <v>0</v>
          </cell>
          <cell r="N724">
            <v>151.80000000000001</v>
          </cell>
          <cell r="O724">
            <v>0</v>
          </cell>
          <cell r="Q724">
            <v>0</v>
          </cell>
          <cell r="S724">
            <v>0</v>
          </cell>
          <cell r="U724">
            <v>0</v>
          </cell>
          <cell r="Y724">
            <v>3.5</v>
          </cell>
          <cell r="AE724" t="str">
            <v>20140101KUUM_378</v>
          </cell>
        </row>
        <row r="725">
          <cell r="B725" t="str">
            <v>Sep 2014</v>
          </cell>
          <cell r="C725" t="str">
            <v>LS</v>
          </cell>
          <cell r="D725" t="str">
            <v>KUUM_401</v>
          </cell>
          <cell r="E725">
            <v>50</v>
          </cell>
          <cell r="F725">
            <v>0</v>
          </cell>
          <cell r="G725">
            <v>0</v>
          </cell>
          <cell r="H725">
            <v>0</v>
          </cell>
          <cell r="L725">
            <v>0</v>
          </cell>
          <cell r="N725">
            <v>743</v>
          </cell>
          <cell r="O725">
            <v>0</v>
          </cell>
          <cell r="Q725">
            <v>0</v>
          </cell>
          <cell r="S725">
            <v>0</v>
          </cell>
          <cell r="U725">
            <v>0</v>
          </cell>
          <cell r="Y725">
            <v>40</v>
          </cell>
          <cell r="AE725" t="str">
            <v>20140101KUUM_401</v>
          </cell>
        </row>
        <row r="726">
          <cell r="B726" t="str">
            <v>Sep 2014</v>
          </cell>
          <cell r="C726" t="str">
            <v>RLS</v>
          </cell>
          <cell r="D726" t="str">
            <v>KUUM_404</v>
          </cell>
          <cell r="E726">
            <v>7165</v>
          </cell>
          <cell r="F726">
            <v>0</v>
          </cell>
          <cell r="G726">
            <v>0</v>
          </cell>
          <cell r="H726">
            <v>0</v>
          </cell>
          <cell r="L726">
            <v>0</v>
          </cell>
          <cell r="N726">
            <v>75734.05</v>
          </cell>
          <cell r="O726">
            <v>0</v>
          </cell>
          <cell r="Q726">
            <v>0</v>
          </cell>
          <cell r="S726">
            <v>0</v>
          </cell>
          <cell r="U726">
            <v>0</v>
          </cell>
          <cell r="Y726">
            <v>14258.35</v>
          </cell>
          <cell r="AE726" t="str">
            <v>20140101KUUM_404</v>
          </cell>
        </row>
        <row r="727">
          <cell r="B727" t="str">
            <v>Sep 2014</v>
          </cell>
          <cell r="C727" t="str">
            <v>RLS</v>
          </cell>
          <cell r="D727" t="str">
            <v>KUUM_405</v>
          </cell>
          <cell r="E727">
            <v>0</v>
          </cell>
          <cell r="F727">
            <v>0</v>
          </cell>
          <cell r="G727">
            <v>0</v>
          </cell>
          <cell r="H727">
            <v>0</v>
          </cell>
          <cell r="L727">
            <v>0</v>
          </cell>
          <cell r="N727">
            <v>0</v>
          </cell>
          <cell r="O727">
            <v>0</v>
          </cell>
          <cell r="Q727">
            <v>0</v>
          </cell>
          <cell r="S727">
            <v>0</v>
          </cell>
          <cell r="U727">
            <v>0</v>
          </cell>
          <cell r="Y727">
            <v>0</v>
          </cell>
          <cell r="AE727" t="str">
            <v>20140101KUUM_405</v>
          </cell>
        </row>
        <row r="728">
          <cell r="B728" t="str">
            <v>Sep 2014</v>
          </cell>
          <cell r="C728" t="str">
            <v>LS</v>
          </cell>
          <cell r="D728" t="str">
            <v>KUUM_407</v>
          </cell>
          <cell r="E728">
            <v>0</v>
          </cell>
          <cell r="F728">
            <v>0</v>
          </cell>
          <cell r="G728">
            <v>0</v>
          </cell>
          <cell r="H728">
            <v>0</v>
          </cell>
          <cell r="L728">
            <v>0</v>
          </cell>
          <cell r="N728">
            <v>0</v>
          </cell>
          <cell r="O728">
            <v>0</v>
          </cell>
          <cell r="Q728">
            <v>0</v>
          </cell>
          <cell r="S728">
            <v>0</v>
          </cell>
          <cell r="U728">
            <v>0</v>
          </cell>
          <cell r="Y728">
            <v>0</v>
          </cell>
          <cell r="AE728" t="str">
            <v>20140101KUUM_407</v>
          </cell>
        </row>
        <row r="729">
          <cell r="B729" t="str">
            <v>Sep 2014</v>
          </cell>
          <cell r="C729" t="str">
            <v>RLS</v>
          </cell>
          <cell r="D729" t="str">
            <v>KUUM_409</v>
          </cell>
          <cell r="E729">
            <v>134</v>
          </cell>
          <cell r="F729">
            <v>0</v>
          </cell>
          <cell r="G729">
            <v>0</v>
          </cell>
          <cell r="H729">
            <v>0</v>
          </cell>
          <cell r="L729">
            <v>0</v>
          </cell>
          <cell r="N729">
            <v>1569.14</v>
          </cell>
          <cell r="O729">
            <v>0</v>
          </cell>
          <cell r="Q729">
            <v>0</v>
          </cell>
          <cell r="S729">
            <v>0</v>
          </cell>
          <cell r="U729">
            <v>0</v>
          </cell>
          <cell r="Y729">
            <v>607.02</v>
          </cell>
          <cell r="AE729" t="str">
            <v>20140101KUUM_409</v>
          </cell>
        </row>
        <row r="730">
          <cell r="B730" t="str">
            <v>Sep 2014</v>
          </cell>
          <cell r="C730" t="str">
            <v>RLS</v>
          </cell>
          <cell r="D730" t="str">
            <v>KUUM_410</v>
          </cell>
          <cell r="E730">
            <v>236</v>
          </cell>
          <cell r="F730">
            <v>0</v>
          </cell>
          <cell r="G730">
            <v>0</v>
          </cell>
          <cell r="H730">
            <v>0</v>
          </cell>
          <cell r="L730">
            <v>0</v>
          </cell>
          <cell r="N730">
            <v>4781.3599999999997</v>
          </cell>
          <cell r="O730">
            <v>0</v>
          </cell>
          <cell r="Q730">
            <v>0</v>
          </cell>
          <cell r="S730">
            <v>0</v>
          </cell>
          <cell r="U730">
            <v>0</v>
          </cell>
          <cell r="Y730">
            <v>134.52000000000001</v>
          </cell>
          <cell r="AE730" t="str">
            <v>20140101KUUM_410</v>
          </cell>
        </row>
        <row r="731">
          <cell r="B731" t="str">
            <v>Sep 2014</v>
          </cell>
          <cell r="C731" t="str">
            <v>LS</v>
          </cell>
          <cell r="D731" t="str">
            <v>KUUM_411</v>
          </cell>
          <cell r="E731">
            <v>142</v>
          </cell>
          <cell r="F731">
            <v>0</v>
          </cell>
          <cell r="G731">
            <v>0</v>
          </cell>
          <cell r="H731">
            <v>0</v>
          </cell>
          <cell r="L731">
            <v>0</v>
          </cell>
          <cell r="N731">
            <v>3035.96</v>
          </cell>
          <cell r="O731">
            <v>0</v>
          </cell>
          <cell r="Q731">
            <v>0</v>
          </cell>
          <cell r="S731">
            <v>0</v>
          </cell>
          <cell r="U731">
            <v>0</v>
          </cell>
          <cell r="Y731">
            <v>113.6</v>
          </cell>
          <cell r="AE731" t="str">
            <v>20140101KUUM_411</v>
          </cell>
        </row>
        <row r="732">
          <cell r="B732" t="str">
            <v>Sep 2014</v>
          </cell>
          <cell r="C732" t="str">
            <v>RLS</v>
          </cell>
          <cell r="D732" t="str">
            <v>KUUM_412</v>
          </cell>
          <cell r="E732">
            <v>28</v>
          </cell>
          <cell r="F732">
            <v>0</v>
          </cell>
          <cell r="G732">
            <v>0</v>
          </cell>
          <cell r="H732">
            <v>0</v>
          </cell>
          <cell r="L732">
            <v>0</v>
          </cell>
          <cell r="N732">
            <v>863.52</v>
          </cell>
          <cell r="O732">
            <v>0</v>
          </cell>
          <cell r="Q732">
            <v>0</v>
          </cell>
          <cell r="S732">
            <v>0</v>
          </cell>
          <cell r="U732">
            <v>0</v>
          </cell>
          <cell r="Y732">
            <v>22.4</v>
          </cell>
          <cell r="AE732" t="str">
            <v>20140101KUUM_412</v>
          </cell>
        </row>
        <row r="733">
          <cell r="B733" t="str">
            <v>Sep 2014</v>
          </cell>
          <cell r="C733" t="str">
            <v>RLS</v>
          </cell>
          <cell r="D733" t="str">
            <v>KUUM_413</v>
          </cell>
          <cell r="E733">
            <v>95</v>
          </cell>
          <cell r="F733">
            <v>0</v>
          </cell>
          <cell r="G733">
            <v>0</v>
          </cell>
          <cell r="H733">
            <v>0</v>
          </cell>
          <cell r="L733">
            <v>0</v>
          </cell>
          <cell r="N733">
            <v>2965.9</v>
          </cell>
          <cell r="O733">
            <v>0</v>
          </cell>
          <cell r="Q733">
            <v>0</v>
          </cell>
          <cell r="S733">
            <v>0</v>
          </cell>
          <cell r="U733">
            <v>0</v>
          </cell>
          <cell r="Y733">
            <v>107.35</v>
          </cell>
          <cell r="AE733" t="str">
            <v>20140101KUUM_413</v>
          </cell>
        </row>
        <row r="734">
          <cell r="B734" t="str">
            <v>Sep 2014</v>
          </cell>
          <cell r="C734" t="str">
            <v>LS</v>
          </cell>
          <cell r="D734" t="str">
            <v>KUUM_414</v>
          </cell>
          <cell r="E734">
            <v>21</v>
          </cell>
          <cell r="F734">
            <v>0</v>
          </cell>
          <cell r="G734">
            <v>0</v>
          </cell>
          <cell r="H734">
            <v>0</v>
          </cell>
          <cell r="L734">
            <v>0</v>
          </cell>
          <cell r="N734">
            <v>647.64</v>
          </cell>
          <cell r="O734">
            <v>0</v>
          </cell>
          <cell r="Q734">
            <v>0</v>
          </cell>
          <cell r="S734">
            <v>0</v>
          </cell>
          <cell r="U734">
            <v>0</v>
          </cell>
          <cell r="Y734">
            <v>16.8</v>
          </cell>
          <cell r="AE734" t="str">
            <v>20140101KUUM_414</v>
          </cell>
        </row>
        <row r="735">
          <cell r="B735" t="str">
            <v>Sep 2014</v>
          </cell>
          <cell r="C735" t="str">
            <v>LS</v>
          </cell>
          <cell r="D735" t="str">
            <v>KUUM_415</v>
          </cell>
          <cell r="E735">
            <v>10</v>
          </cell>
          <cell r="F735">
            <v>0</v>
          </cell>
          <cell r="G735">
            <v>0</v>
          </cell>
          <cell r="H735">
            <v>0</v>
          </cell>
          <cell r="L735">
            <v>0</v>
          </cell>
          <cell r="N735">
            <v>312.2</v>
          </cell>
          <cell r="O735">
            <v>0</v>
          </cell>
          <cell r="Q735">
            <v>0</v>
          </cell>
          <cell r="S735">
            <v>0</v>
          </cell>
          <cell r="U735">
            <v>0</v>
          </cell>
          <cell r="Y735">
            <v>11.3</v>
          </cell>
          <cell r="AE735" t="str">
            <v>20140101KUUM_415</v>
          </cell>
        </row>
        <row r="736">
          <cell r="B736" t="str">
            <v>Sep 2014</v>
          </cell>
          <cell r="C736" t="str">
            <v>LS</v>
          </cell>
          <cell r="D736" t="str">
            <v>KUUM_420</v>
          </cell>
          <cell r="E736">
            <v>448</v>
          </cell>
          <cell r="F736">
            <v>0</v>
          </cell>
          <cell r="G736">
            <v>0</v>
          </cell>
          <cell r="H736">
            <v>0</v>
          </cell>
          <cell r="L736">
            <v>0</v>
          </cell>
          <cell r="N736">
            <v>6881.28</v>
          </cell>
          <cell r="O736">
            <v>0</v>
          </cell>
          <cell r="Q736">
            <v>0</v>
          </cell>
          <cell r="S736">
            <v>0</v>
          </cell>
          <cell r="U736">
            <v>0</v>
          </cell>
          <cell r="Y736">
            <v>506.24</v>
          </cell>
          <cell r="AE736" t="str">
            <v>20140101KUUM_420</v>
          </cell>
        </row>
        <row r="737">
          <cell r="B737" t="str">
            <v>Sep 2014</v>
          </cell>
          <cell r="C737" t="str">
            <v>RLS</v>
          </cell>
          <cell r="D737" t="str">
            <v>KUUM_421</v>
          </cell>
          <cell r="E737">
            <v>5</v>
          </cell>
          <cell r="F737">
            <v>0</v>
          </cell>
          <cell r="G737">
            <v>0</v>
          </cell>
          <cell r="H737">
            <v>0</v>
          </cell>
          <cell r="L737">
            <v>0</v>
          </cell>
          <cell r="N737">
            <v>16.95</v>
          </cell>
          <cell r="O737">
            <v>0</v>
          </cell>
          <cell r="Q737">
            <v>0</v>
          </cell>
          <cell r="S737">
            <v>0</v>
          </cell>
          <cell r="U737">
            <v>0</v>
          </cell>
          <cell r="Y737">
            <v>4.95</v>
          </cell>
          <cell r="AE737" t="str">
            <v>20140101KUUM_421</v>
          </cell>
        </row>
        <row r="738">
          <cell r="B738" t="str">
            <v>Sep 2014</v>
          </cell>
          <cell r="C738" t="str">
            <v>RLS</v>
          </cell>
          <cell r="D738" t="str">
            <v>KUUM_422</v>
          </cell>
          <cell r="E738">
            <v>680</v>
          </cell>
          <cell r="F738">
            <v>0</v>
          </cell>
          <cell r="G738">
            <v>0</v>
          </cell>
          <cell r="H738">
            <v>0</v>
          </cell>
          <cell r="L738">
            <v>0</v>
          </cell>
          <cell r="N738">
            <v>3087.2</v>
          </cell>
          <cell r="O738">
            <v>0</v>
          </cell>
          <cell r="Q738">
            <v>0</v>
          </cell>
          <cell r="S738">
            <v>0</v>
          </cell>
          <cell r="U738">
            <v>0</v>
          </cell>
          <cell r="Y738">
            <v>1319.2</v>
          </cell>
          <cell r="AE738" t="str">
            <v>20140101KUUM_422</v>
          </cell>
        </row>
        <row r="739">
          <cell r="B739" t="str">
            <v>Sep 2014</v>
          </cell>
          <cell r="C739" t="str">
            <v>RLS</v>
          </cell>
          <cell r="D739" t="str">
            <v>KUUM_424</v>
          </cell>
          <cell r="E739">
            <v>134</v>
          </cell>
          <cell r="F739">
            <v>0</v>
          </cell>
          <cell r="G739">
            <v>0</v>
          </cell>
          <cell r="H739">
            <v>0</v>
          </cell>
          <cell r="L739">
            <v>0</v>
          </cell>
          <cell r="N739">
            <v>908.52</v>
          </cell>
          <cell r="O739">
            <v>0</v>
          </cell>
          <cell r="Q739">
            <v>0</v>
          </cell>
          <cell r="S739">
            <v>0</v>
          </cell>
          <cell r="U739">
            <v>0</v>
          </cell>
          <cell r="Y739">
            <v>93.8</v>
          </cell>
          <cell r="AE739" t="str">
            <v>20140101KUUM_424</v>
          </cell>
        </row>
        <row r="740">
          <cell r="B740" t="str">
            <v>Sep 2014</v>
          </cell>
          <cell r="C740" t="str">
            <v>RLS</v>
          </cell>
          <cell r="D740" t="str">
            <v>KUUM_425</v>
          </cell>
          <cell r="E740">
            <v>2</v>
          </cell>
          <cell r="F740">
            <v>0</v>
          </cell>
          <cell r="G740">
            <v>0</v>
          </cell>
          <cell r="H740">
            <v>0</v>
          </cell>
          <cell r="L740">
            <v>0</v>
          </cell>
          <cell r="N740">
            <v>18.12</v>
          </cell>
          <cell r="O740">
            <v>0</v>
          </cell>
          <cell r="Q740">
            <v>0</v>
          </cell>
          <cell r="S740">
            <v>0</v>
          </cell>
          <cell r="U740">
            <v>0</v>
          </cell>
          <cell r="Y740">
            <v>8.6</v>
          </cell>
          <cell r="AE740" t="str">
            <v>20140101KUUM_425</v>
          </cell>
        </row>
        <row r="741">
          <cell r="B741" t="str">
            <v>Sep 2014</v>
          </cell>
          <cell r="C741" t="str">
            <v>RLS</v>
          </cell>
          <cell r="D741" t="str">
            <v>KUUM_426</v>
          </cell>
          <cell r="E741">
            <v>161</v>
          </cell>
          <cell r="F741">
            <v>0</v>
          </cell>
          <cell r="G741">
            <v>0</v>
          </cell>
          <cell r="H741">
            <v>0</v>
          </cell>
          <cell r="L741">
            <v>0</v>
          </cell>
          <cell r="N741">
            <v>1197.8399999999999</v>
          </cell>
          <cell r="O741">
            <v>0</v>
          </cell>
          <cell r="Q741">
            <v>0</v>
          </cell>
          <cell r="S741">
            <v>0</v>
          </cell>
          <cell r="U741">
            <v>0</v>
          </cell>
          <cell r="Y741">
            <v>128.80000000000001</v>
          </cell>
          <cell r="AE741" t="str">
            <v>20140101KUUM_426</v>
          </cell>
        </row>
        <row r="742">
          <cell r="B742" t="str">
            <v>Sep 2014</v>
          </cell>
          <cell r="C742" t="str">
            <v>LS</v>
          </cell>
          <cell r="D742" t="str">
            <v>KUUM_428</v>
          </cell>
          <cell r="E742">
            <v>34809</v>
          </cell>
          <cell r="F742">
            <v>0</v>
          </cell>
          <cell r="G742">
            <v>0</v>
          </cell>
          <cell r="H742">
            <v>0</v>
          </cell>
          <cell r="L742">
            <v>0</v>
          </cell>
          <cell r="N742">
            <v>272902.56</v>
          </cell>
          <cell r="O742">
            <v>0</v>
          </cell>
          <cell r="Q742">
            <v>0</v>
          </cell>
          <cell r="S742">
            <v>0</v>
          </cell>
          <cell r="U742">
            <v>0</v>
          </cell>
          <cell r="Y742">
            <v>39334.17</v>
          </cell>
          <cell r="AE742" t="str">
            <v>20140101KUUM_428</v>
          </cell>
        </row>
        <row r="743">
          <cell r="B743" t="str">
            <v>Sep 2014</v>
          </cell>
          <cell r="C743" t="str">
            <v>LS</v>
          </cell>
          <cell r="D743" t="str">
            <v>KUUM_429</v>
          </cell>
          <cell r="E743">
            <v>0</v>
          </cell>
          <cell r="F743">
            <v>0</v>
          </cell>
          <cell r="G743">
            <v>0</v>
          </cell>
          <cell r="H743">
            <v>0</v>
          </cell>
          <cell r="L743">
            <v>0</v>
          </cell>
          <cell r="N743">
            <v>0</v>
          </cell>
          <cell r="O743">
            <v>0</v>
          </cell>
          <cell r="Q743">
            <v>0</v>
          </cell>
          <cell r="S743">
            <v>0</v>
          </cell>
          <cell r="U743">
            <v>0</v>
          </cell>
          <cell r="Y743">
            <v>0</v>
          </cell>
          <cell r="AE743" t="str">
            <v>20140101KUUM_429</v>
          </cell>
        </row>
        <row r="744">
          <cell r="B744" t="str">
            <v>Sep 2014</v>
          </cell>
          <cell r="C744" t="str">
            <v>LS</v>
          </cell>
          <cell r="D744" t="str">
            <v>KUUM_430</v>
          </cell>
          <cell r="E744">
            <v>1086</v>
          </cell>
          <cell r="F744">
            <v>0</v>
          </cell>
          <cell r="G744">
            <v>0</v>
          </cell>
          <cell r="H744">
            <v>0</v>
          </cell>
          <cell r="L744">
            <v>0</v>
          </cell>
          <cell r="N744">
            <v>23892</v>
          </cell>
          <cell r="O744">
            <v>0</v>
          </cell>
          <cell r="Q744">
            <v>0</v>
          </cell>
          <cell r="S744">
            <v>0</v>
          </cell>
          <cell r="U744">
            <v>0</v>
          </cell>
          <cell r="Y744">
            <v>1227.18</v>
          </cell>
          <cell r="AE744" t="str">
            <v>20140101KUUM_430</v>
          </cell>
        </row>
        <row r="745">
          <cell r="B745" t="str">
            <v>Sep 2014</v>
          </cell>
          <cell r="C745" t="str">
            <v>RLS</v>
          </cell>
          <cell r="D745" t="str">
            <v>KUUM_434</v>
          </cell>
          <cell r="E745">
            <v>8</v>
          </cell>
          <cell r="F745">
            <v>0</v>
          </cell>
          <cell r="G745">
            <v>0</v>
          </cell>
          <cell r="H745">
            <v>0</v>
          </cell>
          <cell r="L745">
            <v>0</v>
          </cell>
          <cell r="N745">
            <v>61.92</v>
          </cell>
          <cell r="O745">
            <v>0</v>
          </cell>
          <cell r="Q745">
            <v>0</v>
          </cell>
          <cell r="S745">
            <v>0</v>
          </cell>
          <cell r="U745">
            <v>0</v>
          </cell>
          <cell r="Y745">
            <v>5.6</v>
          </cell>
          <cell r="AE745" t="str">
            <v>20140101KUUM_434</v>
          </cell>
        </row>
        <row r="746">
          <cell r="B746" t="str">
            <v>Sep 2014</v>
          </cell>
          <cell r="C746" t="str">
            <v>RLS</v>
          </cell>
          <cell r="D746" t="str">
            <v>KUUM_440</v>
          </cell>
          <cell r="E746">
            <v>2</v>
          </cell>
          <cell r="F746">
            <v>0</v>
          </cell>
          <cell r="G746">
            <v>0</v>
          </cell>
          <cell r="H746">
            <v>0</v>
          </cell>
          <cell r="L746">
            <v>0</v>
          </cell>
          <cell r="N746">
            <v>27.22</v>
          </cell>
          <cell r="O746">
            <v>0</v>
          </cell>
          <cell r="Q746">
            <v>0</v>
          </cell>
          <cell r="S746">
            <v>0</v>
          </cell>
          <cell r="U746">
            <v>0</v>
          </cell>
          <cell r="Y746">
            <v>1.1399999999999999</v>
          </cell>
          <cell r="AE746" t="str">
            <v>20140101KUUM_440</v>
          </cell>
        </row>
        <row r="747">
          <cell r="B747" t="str">
            <v>Sep 2014</v>
          </cell>
          <cell r="C747" t="str">
            <v>RLS</v>
          </cell>
          <cell r="D747" t="str">
            <v>KUUM_446</v>
          </cell>
          <cell r="E747">
            <v>1037</v>
          </cell>
          <cell r="F747">
            <v>0</v>
          </cell>
          <cell r="G747">
            <v>0</v>
          </cell>
          <cell r="H747">
            <v>0</v>
          </cell>
          <cell r="L747">
            <v>0</v>
          </cell>
          <cell r="N747">
            <v>9913.7199999999993</v>
          </cell>
          <cell r="O747">
            <v>0</v>
          </cell>
          <cell r="Q747">
            <v>0</v>
          </cell>
          <cell r="S747">
            <v>0</v>
          </cell>
          <cell r="U747">
            <v>0</v>
          </cell>
          <cell r="Y747">
            <v>2063.63</v>
          </cell>
          <cell r="AE747" t="str">
            <v>20140101KUUM_446</v>
          </cell>
        </row>
        <row r="748">
          <cell r="B748" t="str">
            <v>Sep 2014</v>
          </cell>
          <cell r="C748" t="str">
            <v>RLS</v>
          </cell>
          <cell r="D748" t="str">
            <v>KUUM_447</v>
          </cell>
          <cell r="E748">
            <v>728</v>
          </cell>
          <cell r="F748">
            <v>0</v>
          </cell>
          <cell r="G748">
            <v>0</v>
          </cell>
          <cell r="H748">
            <v>0</v>
          </cell>
          <cell r="L748">
            <v>0</v>
          </cell>
          <cell r="N748">
            <v>8240.9599999999991</v>
          </cell>
          <cell r="O748">
            <v>0</v>
          </cell>
          <cell r="Q748">
            <v>0</v>
          </cell>
          <cell r="S748">
            <v>0</v>
          </cell>
          <cell r="U748">
            <v>0</v>
          </cell>
          <cell r="Y748">
            <v>2067.52</v>
          </cell>
          <cell r="AE748" t="str">
            <v>20140101KUUM_447</v>
          </cell>
        </row>
        <row r="749">
          <cell r="B749" t="str">
            <v>Sep 2014</v>
          </cell>
          <cell r="C749" t="str">
            <v>RLS</v>
          </cell>
          <cell r="D749" t="str">
            <v>KUUM_448</v>
          </cell>
          <cell r="E749">
            <v>1561</v>
          </cell>
          <cell r="F749">
            <v>0</v>
          </cell>
          <cell r="G749">
            <v>0</v>
          </cell>
          <cell r="H749">
            <v>0</v>
          </cell>
          <cell r="L749">
            <v>0</v>
          </cell>
          <cell r="N749">
            <v>19996.41</v>
          </cell>
          <cell r="O749">
            <v>0</v>
          </cell>
          <cell r="Q749">
            <v>0</v>
          </cell>
          <cell r="S749">
            <v>0</v>
          </cell>
          <cell r="U749">
            <v>0</v>
          </cell>
          <cell r="Y749">
            <v>6821.57</v>
          </cell>
          <cell r="AE749" t="str">
            <v>20140101KUUM_448</v>
          </cell>
        </row>
        <row r="750">
          <cell r="B750" t="str">
            <v>Sep 2014</v>
          </cell>
          <cell r="C750" t="str">
            <v>LS</v>
          </cell>
          <cell r="D750" t="str">
            <v>KUUM_450</v>
          </cell>
          <cell r="E750">
            <v>614</v>
          </cell>
          <cell r="F750">
            <v>0</v>
          </cell>
          <cell r="G750">
            <v>0</v>
          </cell>
          <cell r="H750">
            <v>0</v>
          </cell>
          <cell r="L750">
            <v>0</v>
          </cell>
          <cell r="N750">
            <v>8749.5</v>
          </cell>
          <cell r="O750">
            <v>0</v>
          </cell>
          <cell r="Q750">
            <v>0</v>
          </cell>
          <cell r="S750">
            <v>0</v>
          </cell>
          <cell r="U750">
            <v>0</v>
          </cell>
          <cell r="Y750">
            <v>1209.58</v>
          </cell>
          <cell r="AE750" t="str">
            <v>20140101KUUM_450</v>
          </cell>
        </row>
        <row r="751">
          <cell r="B751" t="str">
            <v>Sep 2014</v>
          </cell>
          <cell r="C751" t="str">
            <v>LS</v>
          </cell>
          <cell r="D751" t="str">
            <v>KUUM_451</v>
          </cell>
          <cell r="E751">
            <v>4843</v>
          </cell>
          <cell r="F751">
            <v>0</v>
          </cell>
          <cell r="G751">
            <v>0</v>
          </cell>
          <cell r="H751">
            <v>0</v>
          </cell>
          <cell r="L751">
            <v>0</v>
          </cell>
          <cell r="N751">
            <v>97828.6</v>
          </cell>
          <cell r="O751">
            <v>0</v>
          </cell>
          <cell r="Q751">
            <v>0</v>
          </cell>
          <cell r="S751">
            <v>0</v>
          </cell>
          <cell r="U751">
            <v>0</v>
          </cell>
          <cell r="Y751">
            <v>20776.47</v>
          </cell>
          <cell r="AE751" t="str">
            <v>20140101KUUM_451</v>
          </cell>
        </row>
        <row r="752">
          <cell r="B752" t="str">
            <v>Sep 2014</v>
          </cell>
          <cell r="C752" t="str">
            <v>LS</v>
          </cell>
          <cell r="D752" t="str">
            <v>KUUM_452</v>
          </cell>
          <cell r="E752">
            <v>993</v>
          </cell>
          <cell r="F752">
            <v>0</v>
          </cell>
          <cell r="G752">
            <v>0</v>
          </cell>
          <cell r="H752">
            <v>0</v>
          </cell>
          <cell r="L752">
            <v>0</v>
          </cell>
          <cell r="N752">
            <v>42053.55</v>
          </cell>
          <cell r="O752">
            <v>0</v>
          </cell>
          <cell r="Q752">
            <v>0</v>
          </cell>
          <cell r="S752">
            <v>0</v>
          </cell>
          <cell r="U752">
            <v>0</v>
          </cell>
          <cell r="Y752">
            <v>10337.129999999999</v>
          </cell>
          <cell r="AE752" t="str">
            <v>20140101KUUM_452</v>
          </cell>
        </row>
        <row r="753">
          <cell r="B753" t="str">
            <v>Sep 2014</v>
          </cell>
          <cell r="C753" t="str">
            <v>RLS</v>
          </cell>
          <cell r="D753" t="str">
            <v>KUUM_454</v>
          </cell>
          <cell r="E753">
            <v>142</v>
          </cell>
          <cell r="F753">
            <v>0</v>
          </cell>
          <cell r="G753">
            <v>0</v>
          </cell>
          <cell r="H753">
            <v>0</v>
          </cell>
          <cell r="L753">
            <v>0</v>
          </cell>
          <cell r="N753">
            <v>2648.3</v>
          </cell>
          <cell r="O753">
            <v>0</v>
          </cell>
          <cell r="Q753">
            <v>0</v>
          </cell>
          <cell r="S753">
            <v>0</v>
          </cell>
          <cell r="U753">
            <v>0</v>
          </cell>
          <cell r="Y753">
            <v>279.74</v>
          </cell>
          <cell r="AE753" t="str">
            <v>20140101KUUM_454</v>
          </cell>
        </row>
        <row r="754">
          <cell r="B754" t="str">
            <v>Sep 2014</v>
          </cell>
          <cell r="C754" t="str">
            <v>RLS</v>
          </cell>
          <cell r="D754" t="str">
            <v>KUUM_455</v>
          </cell>
          <cell r="E754">
            <v>991</v>
          </cell>
          <cell r="F754">
            <v>0</v>
          </cell>
          <cell r="G754">
            <v>0</v>
          </cell>
          <cell r="H754">
            <v>0</v>
          </cell>
          <cell r="L754">
            <v>0</v>
          </cell>
          <cell r="N754">
            <v>24368.69</v>
          </cell>
          <cell r="O754">
            <v>0</v>
          </cell>
          <cell r="Q754">
            <v>0</v>
          </cell>
          <cell r="S754">
            <v>0</v>
          </cell>
          <cell r="U754">
            <v>0</v>
          </cell>
          <cell r="Y754">
            <v>4251.3900000000003</v>
          </cell>
          <cell r="AE754" t="str">
            <v>20140101KUUM_455</v>
          </cell>
        </row>
        <row r="755">
          <cell r="B755" t="str">
            <v>Sep 2014</v>
          </cell>
          <cell r="C755" t="str">
            <v>RLS</v>
          </cell>
          <cell r="D755" t="str">
            <v>KUUM_456</v>
          </cell>
          <cell r="E755">
            <v>135</v>
          </cell>
          <cell r="F755">
            <v>0</v>
          </cell>
          <cell r="G755">
            <v>0</v>
          </cell>
          <cell r="H755">
            <v>0</v>
          </cell>
          <cell r="L755">
            <v>0</v>
          </cell>
          <cell r="N755">
            <v>1602.45</v>
          </cell>
          <cell r="O755">
            <v>0</v>
          </cell>
          <cell r="Q755">
            <v>0</v>
          </cell>
          <cell r="S755">
            <v>0</v>
          </cell>
          <cell r="U755">
            <v>0</v>
          </cell>
          <cell r="Y755">
            <v>268.64999999999998</v>
          </cell>
          <cell r="AE755" t="str">
            <v>20140101KUUM_456</v>
          </cell>
        </row>
        <row r="756">
          <cell r="B756" t="str">
            <v>Sep 2014</v>
          </cell>
          <cell r="C756" t="str">
            <v>RLS</v>
          </cell>
          <cell r="D756" t="str">
            <v>KUUM_457</v>
          </cell>
          <cell r="E756">
            <v>440</v>
          </cell>
          <cell r="F756">
            <v>0</v>
          </cell>
          <cell r="G756">
            <v>0</v>
          </cell>
          <cell r="H756">
            <v>0</v>
          </cell>
          <cell r="L756">
            <v>0</v>
          </cell>
          <cell r="N756">
            <v>5878.4</v>
          </cell>
          <cell r="O756">
            <v>0</v>
          </cell>
          <cell r="Q756">
            <v>0</v>
          </cell>
          <cell r="S756">
            <v>0</v>
          </cell>
          <cell r="U756">
            <v>0</v>
          </cell>
          <cell r="Y756">
            <v>1249.5999999999999</v>
          </cell>
          <cell r="AE756" t="str">
            <v>20140101KUUM_457</v>
          </cell>
        </row>
        <row r="757">
          <cell r="B757" t="str">
            <v>Sep 2014</v>
          </cell>
          <cell r="C757" t="str">
            <v>RLS</v>
          </cell>
          <cell r="D757" t="str">
            <v>KUUM_458</v>
          </cell>
          <cell r="E757">
            <v>1450</v>
          </cell>
          <cell r="F757">
            <v>0</v>
          </cell>
          <cell r="G757">
            <v>0</v>
          </cell>
          <cell r="H757">
            <v>0</v>
          </cell>
          <cell r="L757">
            <v>0</v>
          </cell>
          <cell r="N757">
            <v>21866</v>
          </cell>
          <cell r="O757">
            <v>0</v>
          </cell>
          <cell r="Q757">
            <v>0</v>
          </cell>
          <cell r="S757">
            <v>0</v>
          </cell>
          <cell r="U757">
            <v>0</v>
          </cell>
          <cell r="Y757">
            <v>6336.5</v>
          </cell>
          <cell r="AE757" t="str">
            <v>20140101KUUM_458</v>
          </cell>
        </row>
        <row r="758">
          <cell r="B758" t="str">
            <v>Sep 2014</v>
          </cell>
          <cell r="C758" t="str">
            <v>RLS</v>
          </cell>
          <cell r="D758" t="str">
            <v>KUUM_459</v>
          </cell>
          <cell r="E758">
            <v>216</v>
          </cell>
          <cell r="F758">
            <v>0</v>
          </cell>
          <cell r="G758">
            <v>0</v>
          </cell>
          <cell r="H758">
            <v>0</v>
          </cell>
          <cell r="L758">
            <v>0</v>
          </cell>
          <cell r="N758">
            <v>10095.84</v>
          </cell>
          <cell r="O758">
            <v>0</v>
          </cell>
          <cell r="Q758">
            <v>0</v>
          </cell>
          <cell r="S758">
            <v>0</v>
          </cell>
          <cell r="U758">
            <v>0</v>
          </cell>
          <cell r="Y758">
            <v>2248.56</v>
          </cell>
          <cell r="AE758" t="str">
            <v>20140101KUUM_459</v>
          </cell>
        </row>
        <row r="759">
          <cell r="B759" t="str">
            <v>Sep 2014</v>
          </cell>
          <cell r="C759" t="str">
            <v>RLS</v>
          </cell>
          <cell r="D759" t="str">
            <v>KUUM_460</v>
          </cell>
          <cell r="E759">
            <v>26</v>
          </cell>
          <cell r="F759">
            <v>0</v>
          </cell>
          <cell r="G759">
            <v>0</v>
          </cell>
          <cell r="H759">
            <v>0</v>
          </cell>
          <cell r="L759">
            <v>0</v>
          </cell>
          <cell r="N759">
            <v>705.9</v>
          </cell>
          <cell r="O759">
            <v>0</v>
          </cell>
          <cell r="Q759">
            <v>0</v>
          </cell>
          <cell r="S759">
            <v>0</v>
          </cell>
          <cell r="U759">
            <v>0</v>
          </cell>
          <cell r="Y759">
            <v>51.22</v>
          </cell>
          <cell r="AE759" t="str">
            <v>20140101KUUM_460</v>
          </cell>
        </row>
        <row r="760">
          <cell r="B760" t="str">
            <v>Sep 2014</v>
          </cell>
          <cell r="C760" t="str">
            <v>RLS</v>
          </cell>
          <cell r="D760" t="str">
            <v>KUUM_461</v>
          </cell>
          <cell r="E760">
            <v>6648</v>
          </cell>
          <cell r="F760">
            <v>0</v>
          </cell>
          <cell r="G760">
            <v>0</v>
          </cell>
          <cell r="H760">
            <v>0</v>
          </cell>
          <cell r="L760">
            <v>0</v>
          </cell>
          <cell r="N760">
            <v>50125.919999999998</v>
          </cell>
          <cell r="O760">
            <v>0</v>
          </cell>
          <cell r="Q760">
            <v>0</v>
          </cell>
          <cell r="S760">
            <v>0</v>
          </cell>
          <cell r="U760">
            <v>0</v>
          </cell>
          <cell r="Y760">
            <v>3789.36</v>
          </cell>
          <cell r="AE760" t="str">
            <v>20140101KUUM_461</v>
          </cell>
        </row>
        <row r="761">
          <cell r="B761" t="str">
            <v>Sep 2014</v>
          </cell>
          <cell r="C761" t="str">
            <v>LS</v>
          </cell>
          <cell r="D761" t="str">
            <v>KUUM_462</v>
          </cell>
          <cell r="E761">
            <v>7031</v>
          </cell>
          <cell r="F761">
            <v>0</v>
          </cell>
          <cell r="G761">
            <v>0</v>
          </cell>
          <cell r="H761">
            <v>0</v>
          </cell>
          <cell r="L761">
            <v>0</v>
          </cell>
          <cell r="N761">
            <v>60888.46</v>
          </cell>
          <cell r="O761">
            <v>0</v>
          </cell>
          <cell r="Q761">
            <v>0</v>
          </cell>
          <cell r="S761">
            <v>0</v>
          </cell>
          <cell r="U761">
            <v>0</v>
          </cell>
          <cell r="Y761">
            <v>5624.8</v>
          </cell>
          <cell r="AE761" t="str">
            <v>20140101KUUM_462</v>
          </cell>
        </row>
        <row r="762">
          <cell r="B762" t="str">
            <v>Sep 2014</v>
          </cell>
          <cell r="C762" t="str">
            <v>LS</v>
          </cell>
          <cell r="D762" t="str">
            <v>KUUM_463</v>
          </cell>
          <cell r="E762">
            <v>19635</v>
          </cell>
          <cell r="F762">
            <v>0</v>
          </cell>
          <cell r="G762">
            <v>0</v>
          </cell>
          <cell r="H762">
            <v>0</v>
          </cell>
          <cell r="L762">
            <v>0</v>
          </cell>
          <cell r="N762">
            <v>179463.9</v>
          </cell>
          <cell r="O762">
            <v>0</v>
          </cell>
          <cell r="Q762">
            <v>0</v>
          </cell>
          <cell r="S762">
            <v>0</v>
          </cell>
          <cell r="U762">
            <v>0</v>
          </cell>
          <cell r="Y762">
            <v>22187.55</v>
          </cell>
          <cell r="AE762" t="str">
            <v>20140101KUUM_463</v>
          </cell>
        </row>
        <row r="763">
          <cell r="B763" t="str">
            <v>Sep 2014</v>
          </cell>
          <cell r="C763" t="str">
            <v>LS</v>
          </cell>
          <cell r="D763" t="str">
            <v>KUUM_464</v>
          </cell>
          <cell r="E763">
            <v>7192</v>
          </cell>
          <cell r="F763">
            <v>0</v>
          </cell>
          <cell r="G763">
            <v>0</v>
          </cell>
          <cell r="H763">
            <v>0</v>
          </cell>
          <cell r="L763">
            <v>0</v>
          </cell>
          <cell r="N763">
            <v>102486</v>
          </cell>
          <cell r="O763">
            <v>0</v>
          </cell>
          <cell r="Q763">
            <v>0</v>
          </cell>
          <cell r="S763">
            <v>0</v>
          </cell>
          <cell r="U763">
            <v>0</v>
          </cell>
          <cell r="Y763">
            <v>16757.36</v>
          </cell>
          <cell r="AE763" t="str">
            <v>20140101KUUM_464</v>
          </cell>
        </row>
        <row r="764">
          <cell r="B764" t="str">
            <v>Sep 2014</v>
          </cell>
          <cell r="C764" t="str">
            <v>LS</v>
          </cell>
          <cell r="D764" t="str">
            <v>KUUM_465</v>
          </cell>
          <cell r="E764">
            <v>2703</v>
          </cell>
          <cell r="F764">
            <v>0</v>
          </cell>
          <cell r="G764">
            <v>0</v>
          </cell>
          <cell r="H764">
            <v>0</v>
          </cell>
          <cell r="L764">
            <v>0</v>
          </cell>
          <cell r="N764">
            <v>61736.52</v>
          </cell>
          <cell r="O764">
            <v>0</v>
          </cell>
          <cell r="Q764">
            <v>0</v>
          </cell>
          <cell r="S764">
            <v>0</v>
          </cell>
          <cell r="U764">
            <v>0</v>
          </cell>
          <cell r="Y764">
            <v>12244.59</v>
          </cell>
          <cell r="AE764" t="str">
            <v>20140101KUUM_465</v>
          </cell>
        </row>
        <row r="765">
          <cell r="B765" t="str">
            <v>Sep 2014</v>
          </cell>
          <cell r="C765" t="str">
            <v>RLS</v>
          </cell>
          <cell r="D765" t="str">
            <v>KUUM_466</v>
          </cell>
          <cell r="E765">
            <v>828</v>
          </cell>
          <cell r="F765">
            <v>0</v>
          </cell>
          <cell r="G765">
            <v>0</v>
          </cell>
          <cell r="H765">
            <v>0</v>
          </cell>
          <cell r="L765">
            <v>0</v>
          </cell>
          <cell r="N765">
            <v>7965.36</v>
          </cell>
          <cell r="O765">
            <v>0</v>
          </cell>
          <cell r="Q765">
            <v>0</v>
          </cell>
          <cell r="S765">
            <v>0</v>
          </cell>
          <cell r="U765">
            <v>0</v>
          </cell>
          <cell r="Y765">
            <v>471.96</v>
          </cell>
          <cell r="AE765" t="str">
            <v>20140101KUUM_466</v>
          </cell>
        </row>
        <row r="766">
          <cell r="B766" t="str">
            <v>Sep 2014</v>
          </cell>
          <cell r="C766" t="str">
            <v>LS</v>
          </cell>
          <cell r="D766" t="str">
            <v>KUUM_467</v>
          </cell>
          <cell r="E766">
            <v>1210</v>
          </cell>
          <cell r="F766">
            <v>0</v>
          </cell>
          <cell r="G766">
            <v>0</v>
          </cell>
          <cell r="H766">
            <v>0</v>
          </cell>
          <cell r="L766">
            <v>0</v>
          </cell>
          <cell r="N766">
            <v>13031.7</v>
          </cell>
          <cell r="O766">
            <v>0</v>
          </cell>
          <cell r="Q766">
            <v>0</v>
          </cell>
          <cell r="S766">
            <v>0</v>
          </cell>
          <cell r="U766">
            <v>0</v>
          </cell>
          <cell r="Y766">
            <v>968</v>
          </cell>
          <cell r="AE766" t="str">
            <v>20140101KUUM_467</v>
          </cell>
        </row>
        <row r="767">
          <cell r="B767" t="str">
            <v>Sep 2014</v>
          </cell>
          <cell r="C767" t="str">
            <v>LS</v>
          </cell>
          <cell r="D767" t="str">
            <v>KUUM_468</v>
          </cell>
          <cell r="E767">
            <v>3809</v>
          </cell>
          <cell r="F767">
            <v>0</v>
          </cell>
          <cell r="G767">
            <v>0</v>
          </cell>
          <cell r="H767">
            <v>0</v>
          </cell>
          <cell r="L767">
            <v>0</v>
          </cell>
          <cell r="N767">
            <v>42508.44</v>
          </cell>
          <cell r="O767">
            <v>0</v>
          </cell>
          <cell r="Q767">
            <v>0</v>
          </cell>
          <cell r="S767">
            <v>0</v>
          </cell>
          <cell r="U767">
            <v>0</v>
          </cell>
          <cell r="Y767">
            <v>4304.17</v>
          </cell>
          <cell r="AE767" t="str">
            <v>20140101KUUM_468</v>
          </cell>
        </row>
        <row r="768">
          <cell r="B768" t="str">
            <v>Sep 2014</v>
          </cell>
          <cell r="C768" t="str">
            <v>RLS</v>
          </cell>
          <cell r="D768" t="str">
            <v>KUUM_469</v>
          </cell>
          <cell r="E768">
            <v>283</v>
          </cell>
          <cell r="F768">
            <v>0</v>
          </cell>
          <cell r="G768">
            <v>0</v>
          </cell>
          <cell r="H768">
            <v>0</v>
          </cell>
          <cell r="L768">
            <v>0</v>
          </cell>
          <cell r="N768">
            <v>9367.2999999999993</v>
          </cell>
          <cell r="O768">
            <v>0</v>
          </cell>
          <cell r="Q768">
            <v>0</v>
          </cell>
          <cell r="S768">
            <v>0</v>
          </cell>
          <cell r="U768">
            <v>0</v>
          </cell>
          <cell r="Y768">
            <v>1214.07</v>
          </cell>
          <cell r="AE768" t="str">
            <v>20140101KUUM_469</v>
          </cell>
        </row>
        <row r="769">
          <cell r="B769" t="str">
            <v>Sep 2014</v>
          </cell>
          <cell r="C769" t="str">
            <v>RLS</v>
          </cell>
          <cell r="D769" t="str">
            <v>KUUM_470</v>
          </cell>
          <cell r="E769">
            <v>68</v>
          </cell>
          <cell r="F769">
            <v>0</v>
          </cell>
          <cell r="G769">
            <v>0</v>
          </cell>
          <cell r="H769">
            <v>0</v>
          </cell>
          <cell r="L769">
            <v>0</v>
          </cell>
          <cell r="N769">
            <v>3757</v>
          </cell>
          <cell r="O769">
            <v>0</v>
          </cell>
          <cell r="Q769">
            <v>0</v>
          </cell>
          <cell r="S769">
            <v>0</v>
          </cell>
          <cell r="U769">
            <v>0</v>
          </cell>
          <cell r="Y769">
            <v>707.88</v>
          </cell>
          <cell r="AE769" t="str">
            <v>20140101KUUM_470</v>
          </cell>
        </row>
        <row r="770">
          <cell r="B770" t="str">
            <v>Sep 2014</v>
          </cell>
          <cell r="C770" t="str">
            <v>RLS</v>
          </cell>
          <cell r="D770" t="str">
            <v>KUUM_471</v>
          </cell>
          <cell r="E770">
            <v>3584</v>
          </cell>
          <cell r="F770">
            <v>0</v>
          </cell>
          <cell r="G770">
            <v>0</v>
          </cell>
          <cell r="H770">
            <v>0</v>
          </cell>
          <cell r="L770">
            <v>0</v>
          </cell>
          <cell r="N770">
            <v>37596.160000000003</v>
          </cell>
          <cell r="O770">
            <v>0</v>
          </cell>
          <cell r="Q770">
            <v>0</v>
          </cell>
          <cell r="S770">
            <v>0</v>
          </cell>
          <cell r="U770">
            <v>0</v>
          </cell>
          <cell r="Y770">
            <v>2042.88</v>
          </cell>
          <cell r="AE770" t="str">
            <v>20140101KUUM_471</v>
          </cell>
        </row>
        <row r="771">
          <cell r="B771" t="str">
            <v>Sep 2014</v>
          </cell>
          <cell r="C771" t="str">
            <v>LS</v>
          </cell>
          <cell r="D771" t="str">
            <v>KUUM_472</v>
          </cell>
          <cell r="E771">
            <v>8387</v>
          </cell>
          <cell r="F771">
            <v>0</v>
          </cell>
          <cell r="G771">
            <v>0</v>
          </cell>
          <cell r="H771">
            <v>0</v>
          </cell>
          <cell r="L771">
            <v>0</v>
          </cell>
          <cell r="N771">
            <v>97289.2</v>
          </cell>
          <cell r="O771">
            <v>0</v>
          </cell>
          <cell r="Q771">
            <v>0</v>
          </cell>
          <cell r="S771">
            <v>0</v>
          </cell>
          <cell r="U771">
            <v>0</v>
          </cell>
          <cell r="Y771">
            <v>6709.6</v>
          </cell>
          <cell r="AE771" t="str">
            <v>20140101KUUM_472</v>
          </cell>
        </row>
        <row r="772">
          <cell r="B772" t="str">
            <v>Sep 2014</v>
          </cell>
          <cell r="C772" t="str">
            <v>LS</v>
          </cell>
          <cell r="D772" t="str">
            <v>KUUM_473</v>
          </cell>
          <cell r="E772">
            <v>3286</v>
          </cell>
          <cell r="F772">
            <v>0</v>
          </cell>
          <cell r="G772">
            <v>0</v>
          </cell>
          <cell r="H772">
            <v>0</v>
          </cell>
          <cell r="L772">
            <v>0</v>
          </cell>
          <cell r="N772">
            <v>40417.800000000003</v>
          </cell>
          <cell r="O772">
            <v>0</v>
          </cell>
          <cell r="Q772">
            <v>0</v>
          </cell>
          <cell r="S772">
            <v>0</v>
          </cell>
          <cell r="U772">
            <v>0</v>
          </cell>
          <cell r="Y772">
            <v>3713.18</v>
          </cell>
          <cell r="AE772" t="str">
            <v>20140101KUUM_473</v>
          </cell>
        </row>
        <row r="773">
          <cell r="B773" t="str">
            <v>Sep 2014</v>
          </cell>
          <cell r="C773" t="str">
            <v>LS</v>
          </cell>
          <cell r="D773" t="str">
            <v>KUUM_474</v>
          </cell>
          <cell r="E773">
            <v>4908</v>
          </cell>
          <cell r="F773">
            <v>0</v>
          </cell>
          <cell r="G773">
            <v>0</v>
          </cell>
          <cell r="H773">
            <v>0</v>
          </cell>
          <cell r="L773">
            <v>0</v>
          </cell>
          <cell r="N773">
            <v>85448.28</v>
          </cell>
          <cell r="O773">
            <v>0</v>
          </cell>
          <cell r="Q773">
            <v>0</v>
          </cell>
          <cell r="S773">
            <v>0</v>
          </cell>
          <cell r="U773">
            <v>0</v>
          </cell>
          <cell r="Y773">
            <v>11435.64</v>
          </cell>
          <cell r="AE773" t="str">
            <v>20140101KUUM_474</v>
          </cell>
        </row>
        <row r="774">
          <cell r="B774" t="str">
            <v>Sep 2014</v>
          </cell>
          <cell r="C774" t="str">
            <v>LS</v>
          </cell>
          <cell r="D774" t="str">
            <v>KUUM_475</v>
          </cell>
          <cell r="E774">
            <v>470</v>
          </cell>
          <cell r="F774">
            <v>0</v>
          </cell>
          <cell r="G774">
            <v>0</v>
          </cell>
          <cell r="H774">
            <v>0</v>
          </cell>
          <cell r="L774">
            <v>0</v>
          </cell>
          <cell r="N774">
            <v>11496.2</v>
          </cell>
          <cell r="O774">
            <v>0</v>
          </cell>
          <cell r="Q774">
            <v>0</v>
          </cell>
          <cell r="S774">
            <v>0</v>
          </cell>
          <cell r="U774">
            <v>0</v>
          </cell>
          <cell r="Y774">
            <v>2129.1</v>
          </cell>
          <cell r="AE774" t="str">
            <v>20140101KUUM_475</v>
          </cell>
        </row>
        <row r="775">
          <cell r="B775" t="str">
            <v>Sep 2014</v>
          </cell>
          <cell r="C775" t="str">
            <v>LS</v>
          </cell>
          <cell r="D775" t="str">
            <v>KUUM_476</v>
          </cell>
          <cell r="E775">
            <v>4453</v>
          </cell>
          <cell r="F775">
            <v>0</v>
          </cell>
          <cell r="G775">
            <v>0</v>
          </cell>
          <cell r="H775">
            <v>0</v>
          </cell>
          <cell r="L775">
            <v>0</v>
          </cell>
          <cell r="N775">
            <v>74765.87</v>
          </cell>
          <cell r="O775">
            <v>0</v>
          </cell>
          <cell r="Q775">
            <v>0</v>
          </cell>
          <cell r="S775">
            <v>0</v>
          </cell>
          <cell r="U775">
            <v>0</v>
          </cell>
          <cell r="Y775">
            <v>3562.4</v>
          </cell>
          <cell r="AE775" t="str">
            <v>20140101KUUM_476</v>
          </cell>
        </row>
        <row r="776">
          <cell r="B776" t="str">
            <v>Sep 2014</v>
          </cell>
          <cell r="C776" t="str">
            <v>LS</v>
          </cell>
          <cell r="D776" t="str">
            <v>KUUM_477</v>
          </cell>
          <cell r="E776">
            <v>1032</v>
          </cell>
          <cell r="F776">
            <v>0</v>
          </cell>
          <cell r="G776">
            <v>0</v>
          </cell>
          <cell r="H776">
            <v>0</v>
          </cell>
          <cell r="L776">
            <v>0</v>
          </cell>
          <cell r="N776">
            <v>21641.040000000001</v>
          </cell>
          <cell r="O776">
            <v>0</v>
          </cell>
          <cell r="Q776">
            <v>0</v>
          </cell>
          <cell r="S776">
            <v>0</v>
          </cell>
          <cell r="U776">
            <v>0</v>
          </cell>
          <cell r="Y776">
            <v>1166.1600000000001</v>
          </cell>
          <cell r="AE776" t="str">
            <v>20140101KUUM_477</v>
          </cell>
        </row>
        <row r="777">
          <cell r="B777" t="str">
            <v>Sep 2014</v>
          </cell>
          <cell r="C777" t="str">
            <v>LS</v>
          </cell>
          <cell r="D777" t="str">
            <v>KUUM_478</v>
          </cell>
          <cell r="E777">
            <v>1363</v>
          </cell>
          <cell r="F777">
            <v>0</v>
          </cell>
          <cell r="G777">
            <v>0</v>
          </cell>
          <cell r="H777">
            <v>0</v>
          </cell>
          <cell r="L777">
            <v>0</v>
          </cell>
          <cell r="N777">
            <v>36610.18</v>
          </cell>
          <cell r="O777">
            <v>0</v>
          </cell>
          <cell r="Q777">
            <v>0</v>
          </cell>
          <cell r="S777">
            <v>0</v>
          </cell>
          <cell r="U777">
            <v>0</v>
          </cell>
          <cell r="Y777">
            <v>3175.79</v>
          </cell>
          <cell r="AE777" t="str">
            <v>20140101KUUM_478</v>
          </cell>
        </row>
        <row r="778">
          <cell r="B778" t="str">
            <v>Sep 2014</v>
          </cell>
          <cell r="C778" t="str">
            <v>LS</v>
          </cell>
          <cell r="D778" t="str">
            <v>KUUM_479</v>
          </cell>
          <cell r="E778">
            <v>889</v>
          </cell>
          <cell r="F778">
            <v>0</v>
          </cell>
          <cell r="G778">
            <v>0</v>
          </cell>
          <cell r="H778">
            <v>0</v>
          </cell>
          <cell r="L778">
            <v>0</v>
          </cell>
          <cell r="N778">
            <v>29443.68</v>
          </cell>
          <cell r="O778">
            <v>0</v>
          </cell>
          <cell r="Q778">
            <v>0</v>
          </cell>
          <cell r="S778">
            <v>0</v>
          </cell>
          <cell r="U778">
            <v>0</v>
          </cell>
          <cell r="Y778">
            <v>4027.17</v>
          </cell>
          <cell r="AE778" t="str">
            <v>20140101KUUM_479</v>
          </cell>
        </row>
        <row r="779">
          <cell r="B779" t="str">
            <v>Sep 2014</v>
          </cell>
          <cell r="C779" t="str">
            <v>LS</v>
          </cell>
          <cell r="D779" t="str">
            <v>KUUM_486</v>
          </cell>
          <cell r="E779">
            <v>0</v>
          </cell>
          <cell r="F779">
            <v>0</v>
          </cell>
          <cell r="G779">
            <v>0</v>
          </cell>
          <cell r="H779">
            <v>0</v>
          </cell>
          <cell r="L779">
            <v>0</v>
          </cell>
          <cell r="N779">
            <v>0</v>
          </cell>
          <cell r="O779">
            <v>0</v>
          </cell>
          <cell r="Q779">
            <v>0</v>
          </cell>
          <cell r="S779">
            <v>0</v>
          </cell>
          <cell r="U779">
            <v>0</v>
          </cell>
          <cell r="Y779">
            <v>0</v>
          </cell>
          <cell r="AE779" t="str">
            <v>20140101KUUM_486</v>
          </cell>
        </row>
        <row r="780">
          <cell r="B780" t="str">
            <v>Sep 2014</v>
          </cell>
          <cell r="C780" t="str">
            <v>LS</v>
          </cell>
          <cell r="D780" t="str">
            <v>KUUM_487</v>
          </cell>
          <cell r="E780">
            <v>10610</v>
          </cell>
          <cell r="F780">
            <v>0</v>
          </cell>
          <cell r="G780">
            <v>0</v>
          </cell>
          <cell r="H780">
            <v>0</v>
          </cell>
          <cell r="L780">
            <v>0</v>
          </cell>
          <cell r="N780">
            <v>95490</v>
          </cell>
          <cell r="O780">
            <v>0</v>
          </cell>
          <cell r="Q780">
            <v>0</v>
          </cell>
          <cell r="S780">
            <v>0</v>
          </cell>
          <cell r="U780">
            <v>0</v>
          </cell>
          <cell r="Y780">
            <v>11989.3</v>
          </cell>
          <cell r="AE780" t="str">
            <v>20140101KUUM_487</v>
          </cell>
        </row>
        <row r="781">
          <cell r="B781" t="str">
            <v>Sep 2014</v>
          </cell>
          <cell r="C781" t="str">
            <v>LS</v>
          </cell>
          <cell r="D781" t="str">
            <v>KUUM_488</v>
          </cell>
          <cell r="E781">
            <v>6289</v>
          </cell>
          <cell r="F781">
            <v>0</v>
          </cell>
          <cell r="G781">
            <v>0</v>
          </cell>
          <cell r="H781">
            <v>0</v>
          </cell>
          <cell r="L781">
            <v>0</v>
          </cell>
          <cell r="N781">
            <v>85781.96</v>
          </cell>
          <cell r="O781">
            <v>0</v>
          </cell>
          <cell r="Q781">
            <v>0</v>
          </cell>
          <cell r="S781">
            <v>0</v>
          </cell>
          <cell r="U781">
            <v>0</v>
          </cell>
          <cell r="Y781">
            <v>14653.37</v>
          </cell>
          <cell r="AE781" t="str">
            <v>20140101KUUM_488</v>
          </cell>
        </row>
        <row r="782">
          <cell r="B782" t="str">
            <v>Sep 2014</v>
          </cell>
          <cell r="C782" t="str">
            <v>LS</v>
          </cell>
          <cell r="D782" t="str">
            <v>KUUM_489</v>
          </cell>
          <cell r="E782">
            <v>7972</v>
          </cell>
          <cell r="F782">
            <v>0</v>
          </cell>
          <cell r="G782">
            <v>0</v>
          </cell>
          <cell r="H782">
            <v>0</v>
          </cell>
          <cell r="L782">
            <v>0</v>
          </cell>
          <cell r="N782">
            <v>155135.12</v>
          </cell>
          <cell r="O782">
            <v>0</v>
          </cell>
          <cell r="Q782">
            <v>0</v>
          </cell>
          <cell r="S782">
            <v>0</v>
          </cell>
          <cell r="U782">
            <v>0</v>
          </cell>
          <cell r="Y782">
            <v>36113.160000000003</v>
          </cell>
          <cell r="AE782" t="str">
            <v>20140101KUUM_489</v>
          </cell>
        </row>
        <row r="783">
          <cell r="B783" t="str">
            <v>Sep 2014</v>
          </cell>
          <cell r="C783" t="str">
            <v>LS</v>
          </cell>
          <cell r="D783" t="str">
            <v>KUUM_490</v>
          </cell>
          <cell r="E783">
            <v>56</v>
          </cell>
          <cell r="F783">
            <v>0</v>
          </cell>
          <cell r="G783">
            <v>0</v>
          </cell>
          <cell r="H783">
            <v>0</v>
          </cell>
          <cell r="L783">
            <v>0</v>
          </cell>
          <cell r="N783">
            <v>866.32</v>
          </cell>
          <cell r="O783">
            <v>0</v>
          </cell>
          <cell r="Q783">
            <v>0</v>
          </cell>
          <cell r="S783">
            <v>0</v>
          </cell>
          <cell r="U783">
            <v>0</v>
          </cell>
          <cell r="Y783">
            <v>110.32</v>
          </cell>
          <cell r="AE783" t="str">
            <v>20140101KUUM_490</v>
          </cell>
        </row>
        <row r="784">
          <cell r="B784" t="str">
            <v>Sep 2014</v>
          </cell>
          <cell r="C784" t="str">
            <v>LS</v>
          </cell>
          <cell r="D784" t="str">
            <v>KUUM_491</v>
          </cell>
          <cell r="E784">
            <v>311</v>
          </cell>
          <cell r="F784">
            <v>0</v>
          </cell>
          <cell r="G784">
            <v>0</v>
          </cell>
          <cell r="H784">
            <v>0</v>
          </cell>
          <cell r="L784">
            <v>0</v>
          </cell>
          <cell r="N784">
            <v>6820.23</v>
          </cell>
          <cell r="O784">
            <v>0</v>
          </cell>
          <cell r="Q784">
            <v>0</v>
          </cell>
          <cell r="S784">
            <v>0</v>
          </cell>
          <cell r="U784">
            <v>0</v>
          </cell>
          <cell r="Y784">
            <v>1334.19</v>
          </cell>
          <cell r="AE784" t="str">
            <v>20140101KUUM_491</v>
          </cell>
        </row>
        <row r="785">
          <cell r="B785" t="str">
            <v>Sep 2014</v>
          </cell>
          <cell r="C785" t="str">
            <v>LS</v>
          </cell>
          <cell r="D785" t="str">
            <v>KUUM_492</v>
          </cell>
          <cell r="E785">
            <v>2</v>
          </cell>
          <cell r="F785">
            <v>0</v>
          </cell>
          <cell r="G785">
            <v>0</v>
          </cell>
          <cell r="H785">
            <v>0</v>
          </cell>
          <cell r="L785">
            <v>0</v>
          </cell>
          <cell r="N785">
            <v>30.74</v>
          </cell>
          <cell r="O785">
            <v>0</v>
          </cell>
          <cell r="Q785">
            <v>0</v>
          </cell>
          <cell r="S785">
            <v>0</v>
          </cell>
          <cell r="U785">
            <v>0</v>
          </cell>
          <cell r="Y785">
            <v>1.6</v>
          </cell>
          <cell r="AE785" t="str">
            <v>20140101KUUM_492</v>
          </cell>
        </row>
        <row r="786">
          <cell r="B786" t="str">
            <v>Sep 2014</v>
          </cell>
          <cell r="C786" t="str">
            <v>LS</v>
          </cell>
          <cell r="D786" t="str">
            <v>KUUM_493</v>
          </cell>
          <cell r="E786">
            <v>48</v>
          </cell>
          <cell r="F786">
            <v>0</v>
          </cell>
          <cell r="G786">
            <v>0</v>
          </cell>
          <cell r="H786">
            <v>0</v>
          </cell>
          <cell r="L786">
            <v>0</v>
          </cell>
          <cell r="N786">
            <v>2193.6</v>
          </cell>
          <cell r="O786">
            <v>0</v>
          </cell>
          <cell r="Q786">
            <v>0</v>
          </cell>
          <cell r="S786">
            <v>0</v>
          </cell>
          <cell r="U786">
            <v>0</v>
          </cell>
          <cell r="Y786">
            <v>499.68</v>
          </cell>
          <cell r="AE786" t="str">
            <v>20140101KUUM_493</v>
          </cell>
        </row>
        <row r="787">
          <cell r="B787" t="str">
            <v>Sep 2014</v>
          </cell>
          <cell r="C787" t="str">
            <v>LS</v>
          </cell>
          <cell r="D787" t="str">
            <v>KUUM_494</v>
          </cell>
          <cell r="E787">
            <v>191</v>
          </cell>
          <cell r="F787">
            <v>0</v>
          </cell>
          <cell r="G787">
            <v>0</v>
          </cell>
          <cell r="H787">
            <v>0</v>
          </cell>
          <cell r="L787">
            <v>0</v>
          </cell>
          <cell r="N787">
            <v>5418.67</v>
          </cell>
          <cell r="O787">
            <v>0</v>
          </cell>
          <cell r="Q787">
            <v>0</v>
          </cell>
          <cell r="S787">
            <v>0</v>
          </cell>
          <cell r="U787">
            <v>0</v>
          </cell>
          <cell r="Y787">
            <v>376.27</v>
          </cell>
          <cell r="AE787" t="str">
            <v>20140101KUUM_494</v>
          </cell>
        </row>
        <row r="788">
          <cell r="B788" t="str">
            <v>Sep 2014</v>
          </cell>
          <cell r="C788" t="str">
            <v>LS</v>
          </cell>
          <cell r="D788" t="str">
            <v>KUUM_495</v>
          </cell>
          <cell r="E788">
            <v>612</v>
          </cell>
          <cell r="F788">
            <v>0</v>
          </cell>
          <cell r="G788">
            <v>0</v>
          </cell>
          <cell r="H788">
            <v>0</v>
          </cell>
          <cell r="L788">
            <v>0</v>
          </cell>
          <cell r="N788">
            <v>21315.96</v>
          </cell>
          <cell r="O788">
            <v>0</v>
          </cell>
          <cell r="Q788">
            <v>0</v>
          </cell>
          <cell r="S788">
            <v>0</v>
          </cell>
          <cell r="U788">
            <v>0</v>
          </cell>
          <cell r="Y788">
            <v>2625.48</v>
          </cell>
          <cell r="AE788" t="str">
            <v>20140101KUUM_495</v>
          </cell>
        </row>
        <row r="789">
          <cell r="B789" t="str">
            <v>Sep 2014</v>
          </cell>
          <cell r="C789" t="str">
            <v>LS</v>
          </cell>
          <cell r="D789" t="str">
            <v>KUUM_496</v>
          </cell>
          <cell r="E789">
            <v>159</v>
          </cell>
          <cell r="F789">
            <v>0</v>
          </cell>
          <cell r="G789">
            <v>0</v>
          </cell>
          <cell r="H789">
            <v>0</v>
          </cell>
          <cell r="L789">
            <v>0</v>
          </cell>
          <cell r="N789">
            <v>9315.81</v>
          </cell>
          <cell r="O789">
            <v>0</v>
          </cell>
          <cell r="Q789">
            <v>0</v>
          </cell>
          <cell r="S789">
            <v>0</v>
          </cell>
          <cell r="U789">
            <v>0</v>
          </cell>
          <cell r="Y789">
            <v>1655.19</v>
          </cell>
          <cell r="AE789" t="str">
            <v>20140101KUUM_496</v>
          </cell>
        </row>
        <row r="790">
          <cell r="B790" t="str">
            <v>Sep 2014</v>
          </cell>
          <cell r="C790" t="str">
            <v>LS</v>
          </cell>
          <cell r="D790" t="str">
            <v>KUUM_497</v>
          </cell>
          <cell r="E790">
            <v>7</v>
          </cell>
          <cell r="F790">
            <v>0</v>
          </cell>
          <cell r="G790">
            <v>0</v>
          </cell>
          <cell r="H790">
            <v>0</v>
          </cell>
          <cell r="L790">
            <v>0</v>
          </cell>
          <cell r="N790">
            <v>107.45</v>
          </cell>
          <cell r="O790">
            <v>0</v>
          </cell>
          <cell r="Q790">
            <v>0</v>
          </cell>
          <cell r="S790">
            <v>0</v>
          </cell>
          <cell r="U790">
            <v>0</v>
          </cell>
          <cell r="Y790">
            <v>7.91</v>
          </cell>
          <cell r="AE790" t="str">
            <v>20140101KUUM_497</v>
          </cell>
        </row>
        <row r="791">
          <cell r="B791" t="str">
            <v>Sep 2014</v>
          </cell>
          <cell r="C791" t="str">
            <v>LS</v>
          </cell>
          <cell r="D791" t="str">
            <v>KUUM_498</v>
          </cell>
          <cell r="E791">
            <v>20</v>
          </cell>
          <cell r="F791">
            <v>0</v>
          </cell>
          <cell r="G791">
            <v>0</v>
          </cell>
          <cell r="H791">
            <v>0</v>
          </cell>
          <cell r="L791">
            <v>0</v>
          </cell>
          <cell r="N791">
            <v>354.4</v>
          </cell>
          <cell r="O791">
            <v>0</v>
          </cell>
          <cell r="Q791">
            <v>0</v>
          </cell>
          <cell r="S791">
            <v>0</v>
          </cell>
          <cell r="U791">
            <v>0</v>
          </cell>
          <cell r="Y791">
            <v>46.6</v>
          </cell>
          <cell r="AE791" t="str">
            <v>20140101KUUM_498</v>
          </cell>
        </row>
        <row r="792">
          <cell r="B792" t="str">
            <v>Sep 2014</v>
          </cell>
          <cell r="C792" t="str">
            <v>LS</v>
          </cell>
          <cell r="D792" t="str">
            <v>KUUM_499</v>
          </cell>
          <cell r="E792">
            <v>19</v>
          </cell>
          <cell r="F792">
            <v>0</v>
          </cell>
          <cell r="G792">
            <v>0</v>
          </cell>
          <cell r="H792">
            <v>0</v>
          </cell>
          <cell r="L792">
            <v>0</v>
          </cell>
          <cell r="N792">
            <v>408.31</v>
          </cell>
          <cell r="O792">
            <v>0</v>
          </cell>
          <cell r="Q792">
            <v>0</v>
          </cell>
          <cell r="S792">
            <v>0</v>
          </cell>
          <cell r="U792">
            <v>0</v>
          </cell>
          <cell r="Y792">
            <v>86.07</v>
          </cell>
          <cell r="AE792" t="str">
            <v>20140101KUUM_499</v>
          </cell>
        </row>
        <row r="793">
          <cell r="B793" t="str">
            <v>Sep 2014</v>
          </cell>
          <cell r="C793" t="str">
            <v>ODL</v>
          </cell>
          <cell r="D793" t="str">
            <v>ODL</v>
          </cell>
          <cell r="E793">
            <v>0</v>
          </cell>
          <cell r="F793">
            <v>0</v>
          </cell>
          <cell r="G793">
            <v>9717964</v>
          </cell>
          <cell r="H793">
            <v>0</v>
          </cell>
          <cell r="L793">
            <v>0</v>
          </cell>
          <cell r="N793">
            <v>0</v>
          </cell>
          <cell r="O793">
            <v>2026718.25</v>
          </cell>
          <cell r="Q793">
            <v>-23755</v>
          </cell>
          <cell r="S793">
            <v>26745</v>
          </cell>
          <cell r="U793">
            <v>2029708.25</v>
          </cell>
          <cell r="Y793">
            <v>0</v>
          </cell>
          <cell r="AE793" t="str">
            <v>20140101ODL</v>
          </cell>
        </row>
        <row r="794">
          <cell r="B794" t="str">
            <v>Oct 2014</v>
          </cell>
          <cell r="C794" t="str">
            <v>LS</v>
          </cell>
          <cell r="D794" t="str">
            <v>KUUM_300</v>
          </cell>
          <cell r="E794">
            <v>0</v>
          </cell>
          <cell r="F794">
            <v>0</v>
          </cell>
          <cell r="G794">
            <v>0</v>
          </cell>
          <cell r="H794">
            <v>0</v>
          </cell>
          <cell r="L794">
            <v>0</v>
          </cell>
          <cell r="N794">
            <v>0</v>
          </cell>
          <cell r="O794">
            <v>0</v>
          </cell>
          <cell r="Q794">
            <v>0</v>
          </cell>
          <cell r="S794">
            <v>0</v>
          </cell>
          <cell r="U794">
            <v>0</v>
          </cell>
          <cell r="Y794">
            <v>0</v>
          </cell>
          <cell r="AE794" t="str">
            <v>20140101KUUM_300</v>
          </cell>
        </row>
        <row r="795">
          <cell r="B795" t="str">
            <v>Oct 2014</v>
          </cell>
          <cell r="C795" t="str">
            <v>LS</v>
          </cell>
          <cell r="D795" t="str">
            <v>KUUM_301</v>
          </cell>
          <cell r="E795">
            <v>0</v>
          </cell>
          <cell r="F795">
            <v>0</v>
          </cell>
          <cell r="G795">
            <v>0</v>
          </cell>
          <cell r="H795">
            <v>0</v>
          </cell>
          <cell r="L795">
            <v>0</v>
          </cell>
          <cell r="N795">
            <v>0</v>
          </cell>
          <cell r="O795">
            <v>0</v>
          </cell>
          <cell r="Q795">
            <v>0</v>
          </cell>
          <cell r="S795">
            <v>0</v>
          </cell>
          <cell r="U795">
            <v>0</v>
          </cell>
          <cell r="Y795">
            <v>0</v>
          </cell>
          <cell r="AE795" t="str">
            <v>20140101KUUM_301</v>
          </cell>
        </row>
        <row r="796">
          <cell r="B796" t="str">
            <v>Oct 2014</v>
          </cell>
          <cell r="C796" t="str">
            <v>LS</v>
          </cell>
          <cell r="D796" t="str">
            <v>KUUM_360</v>
          </cell>
          <cell r="E796">
            <v>172</v>
          </cell>
          <cell r="F796">
            <v>0</v>
          </cell>
          <cell r="G796">
            <v>0</v>
          </cell>
          <cell r="H796">
            <v>0</v>
          </cell>
          <cell r="L796">
            <v>0</v>
          </cell>
          <cell r="N796">
            <v>9516.76</v>
          </cell>
          <cell r="O796">
            <v>0</v>
          </cell>
          <cell r="Q796">
            <v>0</v>
          </cell>
          <cell r="S796">
            <v>0</v>
          </cell>
          <cell r="U796">
            <v>0</v>
          </cell>
          <cell r="Y796">
            <v>301</v>
          </cell>
          <cell r="AE796" t="str">
            <v>20140101KUUM_360</v>
          </cell>
        </row>
        <row r="797">
          <cell r="B797" t="str">
            <v>Oct 2014</v>
          </cell>
          <cell r="C797" t="str">
            <v>LS</v>
          </cell>
          <cell r="D797" t="str">
            <v>KUUM_361</v>
          </cell>
          <cell r="E797">
            <v>26</v>
          </cell>
          <cell r="F797">
            <v>0</v>
          </cell>
          <cell r="G797">
            <v>0</v>
          </cell>
          <cell r="H797">
            <v>0</v>
          </cell>
          <cell r="L797">
            <v>0</v>
          </cell>
          <cell r="N797">
            <v>2162.16</v>
          </cell>
          <cell r="O797">
            <v>0</v>
          </cell>
          <cell r="Q797">
            <v>0</v>
          </cell>
          <cell r="S797">
            <v>0</v>
          </cell>
          <cell r="U797">
            <v>0</v>
          </cell>
          <cell r="Y797">
            <v>45.5</v>
          </cell>
          <cell r="AE797" t="str">
            <v>20140101KUUM_361</v>
          </cell>
        </row>
        <row r="798">
          <cell r="B798" t="str">
            <v>Oct 2014</v>
          </cell>
          <cell r="C798" t="str">
            <v>LS</v>
          </cell>
          <cell r="D798" t="str">
            <v>KUUM_362</v>
          </cell>
          <cell r="E798">
            <v>44</v>
          </cell>
          <cell r="F798">
            <v>0</v>
          </cell>
          <cell r="G798">
            <v>0</v>
          </cell>
          <cell r="H798">
            <v>0</v>
          </cell>
          <cell r="L798">
            <v>0</v>
          </cell>
          <cell r="N798">
            <v>2630.32</v>
          </cell>
          <cell r="O798">
            <v>0</v>
          </cell>
          <cell r="Q798">
            <v>0</v>
          </cell>
          <cell r="S798">
            <v>0</v>
          </cell>
          <cell r="U798">
            <v>0</v>
          </cell>
          <cell r="Y798">
            <v>77</v>
          </cell>
          <cell r="AE798" t="str">
            <v>20140101KUUM_362</v>
          </cell>
        </row>
        <row r="799">
          <cell r="B799" t="str">
            <v>Oct 2014</v>
          </cell>
          <cell r="C799" t="str">
            <v>LS</v>
          </cell>
          <cell r="D799" t="str">
            <v>KUUM_363</v>
          </cell>
          <cell r="E799">
            <v>5</v>
          </cell>
          <cell r="F799">
            <v>0</v>
          </cell>
          <cell r="G799">
            <v>0</v>
          </cell>
          <cell r="H799">
            <v>0</v>
          </cell>
          <cell r="L799">
            <v>0</v>
          </cell>
          <cell r="N799">
            <v>308.75</v>
          </cell>
          <cell r="O799">
            <v>0</v>
          </cell>
          <cell r="Q799">
            <v>0</v>
          </cell>
          <cell r="S799">
            <v>0</v>
          </cell>
          <cell r="U799">
            <v>0</v>
          </cell>
          <cell r="Y799">
            <v>8.75</v>
          </cell>
          <cell r="AE799" t="str">
            <v>20140101KUUM_363</v>
          </cell>
        </row>
        <row r="800">
          <cell r="B800" t="str">
            <v>Oct 2014</v>
          </cell>
          <cell r="C800" t="str">
            <v>LS</v>
          </cell>
          <cell r="D800" t="str">
            <v>KUUM_364</v>
          </cell>
          <cell r="E800">
            <v>1</v>
          </cell>
          <cell r="F800">
            <v>0</v>
          </cell>
          <cell r="G800">
            <v>0</v>
          </cell>
          <cell r="H800">
            <v>0</v>
          </cell>
          <cell r="L800">
            <v>0</v>
          </cell>
          <cell r="N800">
            <v>63.11</v>
          </cell>
          <cell r="O800">
            <v>0</v>
          </cell>
          <cell r="Q800">
            <v>0</v>
          </cell>
          <cell r="S800">
            <v>0</v>
          </cell>
          <cell r="U800">
            <v>0</v>
          </cell>
          <cell r="Y800">
            <v>1.75</v>
          </cell>
          <cell r="AE800" t="str">
            <v>20140101KUUM_364</v>
          </cell>
        </row>
        <row r="801">
          <cell r="B801" t="str">
            <v>Oct 2014</v>
          </cell>
          <cell r="C801" t="str">
            <v>LS</v>
          </cell>
          <cell r="D801" t="str">
            <v>KUUM_365</v>
          </cell>
          <cell r="E801">
            <v>5</v>
          </cell>
          <cell r="F801">
            <v>0</v>
          </cell>
          <cell r="G801">
            <v>0</v>
          </cell>
          <cell r="H801">
            <v>0</v>
          </cell>
          <cell r="L801">
            <v>0</v>
          </cell>
          <cell r="N801">
            <v>404.7</v>
          </cell>
          <cell r="O801">
            <v>0</v>
          </cell>
          <cell r="Q801">
            <v>0</v>
          </cell>
          <cell r="S801">
            <v>0</v>
          </cell>
          <cell r="U801">
            <v>0</v>
          </cell>
          <cell r="Y801">
            <v>8.75</v>
          </cell>
          <cell r="AE801" t="str">
            <v>20140101KUUM_365</v>
          </cell>
        </row>
        <row r="802">
          <cell r="B802" t="str">
            <v>Oct 2014</v>
          </cell>
          <cell r="C802" t="str">
            <v>LS</v>
          </cell>
          <cell r="D802" t="str">
            <v>KUUM_366</v>
          </cell>
          <cell r="E802">
            <v>10</v>
          </cell>
          <cell r="F802">
            <v>0</v>
          </cell>
          <cell r="G802">
            <v>0</v>
          </cell>
          <cell r="H802">
            <v>0</v>
          </cell>
          <cell r="L802">
            <v>0</v>
          </cell>
          <cell r="N802">
            <v>789.7</v>
          </cell>
          <cell r="O802">
            <v>0</v>
          </cell>
          <cell r="Q802">
            <v>0</v>
          </cell>
          <cell r="S802">
            <v>0</v>
          </cell>
          <cell r="U802">
            <v>0</v>
          </cell>
          <cell r="Y802">
            <v>17.5</v>
          </cell>
          <cell r="AE802" t="str">
            <v>20140101KUUM_366</v>
          </cell>
        </row>
        <row r="803">
          <cell r="B803" t="str">
            <v>Oct 2014</v>
          </cell>
          <cell r="C803" t="str">
            <v>LS</v>
          </cell>
          <cell r="D803" t="str">
            <v>KUUM_367</v>
          </cell>
          <cell r="E803">
            <v>24</v>
          </cell>
          <cell r="F803">
            <v>0</v>
          </cell>
          <cell r="G803">
            <v>0</v>
          </cell>
          <cell r="H803">
            <v>0</v>
          </cell>
          <cell r="L803">
            <v>0</v>
          </cell>
          <cell r="N803">
            <v>1469.52</v>
          </cell>
          <cell r="O803">
            <v>0</v>
          </cell>
          <cell r="Q803">
            <v>0</v>
          </cell>
          <cell r="S803">
            <v>0</v>
          </cell>
          <cell r="U803">
            <v>0</v>
          </cell>
          <cell r="Y803">
            <v>42</v>
          </cell>
          <cell r="AE803" t="str">
            <v>20140101KUUM_367</v>
          </cell>
        </row>
        <row r="804">
          <cell r="B804" t="str">
            <v>Oct 2014</v>
          </cell>
          <cell r="C804" t="str">
            <v>LS</v>
          </cell>
          <cell r="D804" t="str">
            <v>KUUM_368</v>
          </cell>
          <cell r="E804">
            <v>1</v>
          </cell>
          <cell r="F804">
            <v>0</v>
          </cell>
          <cell r="G804">
            <v>0</v>
          </cell>
          <cell r="H804">
            <v>0</v>
          </cell>
          <cell r="L804">
            <v>0</v>
          </cell>
          <cell r="N804">
            <v>56.69</v>
          </cell>
          <cell r="O804">
            <v>0</v>
          </cell>
          <cell r="Q804">
            <v>0</v>
          </cell>
          <cell r="S804">
            <v>0</v>
          </cell>
          <cell r="U804">
            <v>0</v>
          </cell>
          <cell r="Y804">
            <v>1.75</v>
          </cell>
          <cell r="AE804" t="str">
            <v>20140101KUUM_368</v>
          </cell>
        </row>
        <row r="805">
          <cell r="B805" t="str">
            <v>Oct 2014</v>
          </cell>
          <cell r="C805" t="str">
            <v>LS</v>
          </cell>
          <cell r="D805" t="str">
            <v>KUUM_370</v>
          </cell>
          <cell r="E805">
            <v>16</v>
          </cell>
          <cell r="F805">
            <v>0</v>
          </cell>
          <cell r="G805">
            <v>0</v>
          </cell>
          <cell r="H805">
            <v>0</v>
          </cell>
          <cell r="L805">
            <v>0</v>
          </cell>
          <cell r="N805">
            <v>1192.32</v>
          </cell>
          <cell r="O805">
            <v>0</v>
          </cell>
          <cell r="Q805">
            <v>0</v>
          </cell>
          <cell r="S805">
            <v>0</v>
          </cell>
          <cell r="U805">
            <v>0</v>
          </cell>
          <cell r="Y805">
            <v>28</v>
          </cell>
          <cell r="AE805" t="str">
            <v>20140101KUUM_370</v>
          </cell>
        </row>
        <row r="806">
          <cell r="B806" t="str">
            <v>Oct 2014</v>
          </cell>
          <cell r="C806" t="str">
            <v>LS</v>
          </cell>
          <cell r="D806" t="str">
            <v>KUUM_372</v>
          </cell>
          <cell r="E806">
            <v>1</v>
          </cell>
          <cell r="F806">
            <v>0</v>
          </cell>
          <cell r="G806">
            <v>0</v>
          </cell>
          <cell r="H806">
            <v>0</v>
          </cell>
          <cell r="L806">
            <v>0</v>
          </cell>
          <cell r="N806">
            <v>82.3</v>
          </cell>
          <cell r="O806">
            <v>0</v>
          </cell>
          <cell r="Q806">
            <v>0</v>
          </cell>
          <cell r="S806">
            <v>0</v>
          </cell>
          <cell r="U806">
            <v>0</v>
          </cell>
          <cell r="Y806">
            <v>1.75</v>
          </cell>
          <cell r="AE806" t="str">
            <v>20140101KUUM_372</v>
          </cell>
        </row>
        <row r="807">
          <cell r="B807" t="str">
            <v>Oct 2014</v>
          </cell>
          <cell r="C807" t="str">
            <v>LS</v>
          </cell>
          <cell r="D807" t="str">
            <v>KUUM_373</v>
          </cell>
          <cell r="E807">
            <v>19</v>
          </cell>
          <cell r="F807">
            <v>0</v>
          </cell>
          <cell r="G807">
            <v>0</v>
          </cell>
          <cell r="H807">
            <v>0</v>
          </cell>
          <cell r="L807">
            <v>0</v>
          </cell>
          <cell r="N807">
            <v>1415.88</v>
          </cell>
          <cell r="O807">
            <v>0</v>
          </cell>
          <cell r="Q807">
            <v>0</v>
          </cell>
          <cell r="S807">
            <v>0</v>
          </cell>
          <cell r="U807">
            <v>0</v>
          </cell>
          <cell r="Y807">
            <v>33.25</v>
          </cell>
          <cell r="AE807" t="str">
            <v>20140101KUUM_373</v>
          </cell>
        </row>
        <row r="808">
          <cell r="B808" t="str">
            <v>Oct 2014</v>
          </cell>
          <cell r="C808" t="str">
            <v>LS</v>
          </cell>
          <cell r="D808" t="str">
            <v>KUUM_374</v>
          </cell>
          <cell r="E808">
            <v>4</v>
          </cell>
          <cell r="F808">
            <v>0</v>
          </cell>
          <cell r="G808">
            <v>0</v>
          </cell>
          <cell r="H808">
            <v>0</v>
          </cell>
          <cell r="L808">
            <v>0</v>
          </cell>
          <cell r="N808">
            <v>303.52</v>
          </cell>
          <cell r="O808">
            <v>0</v>
          </cell>
          <cell r="Q808">
            <v>0</v>
          </cell>
          <cell r="S808">
            <v>0</v>
          </cell>
          <cell r="U808">
            <v>0</v>
          </cell>
          <cell r="Y808">
            <v>7</v>
          </cell>
          <cell r="AE808" t="str">
            <v>20140101KUUM_374</v>
          </cell>
        </row>
        <row r="809">
          <cell r="B809" t="str">
            <v>Oct 2014</v>
          </cell>
          <cell r="C809" t="str">
            <v>LS</v>
          </cell>
          <cell r="D809" t="str">
            <v>KUUM_375</v>
          </cell>
          <cell r="E809">
            <v>3</v>
          </cell>
          <cell r="F809">
            <v>0</v>
          </cell>
          <cell r="G809">
            <v>0</v>
          </cell>
          <cell r="H809">
            <v>0</v>
          </cell>
          <cell r="L809">
            <v>0</v>
          </cell>
          <cell r="N809">
            <v>236.91</v>
          </cell>
          <cell r="O809">
            <v>0</v>
          </cell>
          <cell r="Q809">
            <v>0</v>
          </cell>
          <cell r="S809">
            <v>0</v>
          </cell>
          <cell r="U809">
            <v>0</v>
          </cell>
          <cell r="Y809">
            <v>5.25</v>
          </cell>
          <cell r="AE809" t="str">
            <v>20140101KUUM_375</v>
          </cell>
        </row>
        <row r="810">
          <cell r="B810" t="str">
            <v>Oct 2014</v>
          </cell>
          <cell r="C810" t="str">
            <v>LS</v>
          </cell>
          <cell r="D810" t="str">
            <v>KUUM_376</v>
          </cell>
          <cell r="E810">
            <v>2</v>
          </cell>
          <cell r="F810">
            <v>0</v>
          </cell>
          <cell r="G810">
            <v>0</v>
          </cell>
          <cell r="H810">
            <v>0</v>
          </cell>
          <cell r="L810">
            <v>0</v>
          </cell>
          <cell r="N810">
            <v>154.52000000000001</v>
          </cell>
          <cell r="O810">
            <v>0</v>
          </cell>
          <cell r="Q810">
            <v>0</v>
          </cell>
          <cell r="S810">
            <v>0</v>
          </cell>
          <cell r="U810">
            <v>0</v>
          </cell>
          <cell r="Y810">
            <v>3.5</v>
          </cell>
          <cell r="AE810" t="str">
            <v>20140101KUUM_376</v>
          </cell>
        </row>
        <row r="811">
          <cell r="B811" t="str">
            <v>Oct 2014</v>
          </cell>
          <cell r="C811" t="str">
            <v>LS</v>
          </cell>
          <cell r="D811" t="str">
            <v>KUUM_377</v>
          </cell>
          <cell r="E811">
            <v>49</v>
          </cell>
          <cell r="F811">
            <v>0</v>
          </cell>
          <cell r="G811">
            <v>0</v>
          </cell>
          <cell r="H811">
            <v>0</v>
          </cell>
          <cell r="L811">
            <v>0</v>
          </cell>
          <cell r="N811">
            <v>3145.31</v>
          </cell>
          <cell r="O811">
            <v>0</v>
          </cell>
          <cell r="Q811">
            <v>0</v>
          </cell>
          <cell r="S811">
            <v>0</v>
          </cell>
          <cell r="U811">
            <v>0</v>
          </cell>
          <cell r="Y811">
            <v>85.75</v>
          </cell>
          <cell r="AE811" t="str">
            <v>20140101KUUM_377</v>
          </cell>
        </row>
        <row r="812">
          <cell r="B812" t="str">
            <v>Oct 2014</v>
          </cell>
          <cell r="C812" t="str">
            <v>LS</v>
          </cell>
          <cell r="D812" t="str">
            <v>KUUM_378</v>
          </cell>
          <cell r="E812">
            <v>2</v>
          </cell>
          <cell r="F812">
            <v>0</v>
          </cell>
          <cell r="G812">
            <v>0</v>
          </cell>
          <cell r="H812">
            <v>0</v>
          </cell>
          <cell r="L812">
            <v>0</v>
          </cell>
          <cell r="N812">
            <v>151.80000000000001</v>
          </cell>
          <cell r="O812">
            <v>0</v>
          </cell>
          <cell r="Q812">
            <v>0</v>
          </cell>
          <cell r="S812">
            <v>0</v>
          </cell>
          <cell r="U812">
            <v>0</v>
          </cell>
          <cell r="Y812">
            <v>3.5</v>
          </cell>
          <cell r="AE812" t="str">
            <v>20140101KUUM_378</v>
          </cell>
        </row>
        <row r="813">
          <cell r="B813" t="str">
            <v>Oct 2014</v>
          </cell>
          <cell r="C813" t="str">
            <v>LS</v>
          </cell>
          <cell r="D813" t="str">
            <v>KUUM_401</v>
          </cell>
          <cell r="E813">
            <v>56</v>
          </cell>
          <cell r="F813">
            <v>0</v>
          </cell>
          <cell r="G813">
            <v>0</v>
          </cell>
          <cell r="H813">
            <v>0</v>
          </cell>
          <cell r="L813">
            <v>0</v>
          </cell>
          <cell r="N813">
            <v>832.16</v>
          </cell>
          <cell r="O813">
            <v>0</v>
          </cell>
          <cell r="Q813">
            <v>0</v>
          </cell>
          <cell r="S813">
            <v>0</v>
          </cell>
          <cell r="U813">
            <v>0</v>
          </cell>
          <cell r="Y813">
            <v>44.8</v>
          </cell>
          <cell r="AE813" t="str">
            <v>20140101KUUM_401</v>
          </cell>
        </row>
        <row r="814">
          <cell r="B814" t="str">
            <v>Oct 2014</v>
          </cell>
          <cell r="C814" t="str">
            <v>RLS</v>
          </cell>
          <cell r="D814" t="str">
            <v>KUUM_404</v>
          </cell>
          <cell r="E814">
            <v>7155</v>
          </cell>
          <cell r="F814">
            <v>0</v>
          </cell>
          <cell r="G814">
            <v>0</v>
          </cell>
          <cell r="H814">
            <v>0</v>
          </cell>
          <cell r="L814">
            <v>0</v>
          </cell>
          <cell r="N814">
            <v>75628.350000000006</v>
          </cell>
          <cell r="O814">
            <v>0</v>
          </cell>
          <cell r="Q814">
            <v>0</v>
          </cell>
          <cell r="S814">
            <v>0</v>
          </cell>
          <cell r="U814">
            <v>0</v>
          </cell>
          <cell r="Y814">
            <v>14238.45</v>
          </cell>
          <cell r="AE814" t="str">
            <v>20140101KUUM_404</v>
          </cell>
        </row>
        <row r="815">
          <cell r="B815" t="str">
            <v>Oct 2014</v>
          </cell>
          <cell r="C815" t="str">
            <v>RLS</v>
          </cell>
          <cell r="D815" t="str">
            <v>KUUM_405</v>
          </cell>
          <cell r="E815">
            <v>0</v>
          </cell>
          <cell r="F815">
            <v>0</v>
          </cell>
          <cell r="G815">
            <v>0</v>
          </cell>
          <cell r="H815">
            <v>0</v>
          </cell>
          <cell r="L815">
            <v>0</v>
          </cell>
          <cell r="N815">
            <v>0</v>
          </cell>
          <cell r="O815">
            <v>0</v>
          </cell>
          <cell r="Q815">
            <v>0</v>
          </cell>
          <cell r="S815">
            <v>0</v>
          </cell>
          <cell r="U815">
            <v>0</v>
          </cell>
          <cell r="Y815">
            <v>0</v>
          </cell>
          <cell r="AE815" t="str">
            <v>20140101KUUM_405</v>
          </cell>
        </row>
        <row r="816">
          <cell r="B816" t="str">
            <v>Oct 2014</v>
          </cell>
          <cell r="C816" t="str">
            <v>LS</v>
          </cell>
          <cell r="D816" t="str">
            <v>KUUM_407</v>
          </cell>
          <cell r="E816">
            <v>0</v>
          </cell>
          <cell r="F816">
            <v>0</v>
          </cell>
          <cell r="G816">
            <v>0</v>
          </cell>
          <cell r="H816">
            <v>0</v>
          </cell>
          <cell r="L816">
            <v>0</v>
          </cell>
          <cell r="N816">
            <v>0</v>
          </cell>
          <cell r="O816">
            <v>0</v>
          </cell>
          <cell r="Q816">
            <v>0</v>
          </cell>
          <cell r="S816">
            <v>0</v>
          </cell>
          <cell r="U816">
            <v>0</v>
          </cell>
          <cell r="Y816">
            <v>0</v>
          </cell>
          <cell r="AE816" t="str">
            <v>20140101KUUM_407</v>
          </cell>
        </row>
        <row r="817">
          <cell r="B817" t="str">
            <v>Oct 2014</v>
          </cell>
          <cell r="C817" t="str">
            <v>RLS</v>
          </cell>
          <cell r="D817" t="str">
            <v>KUUM_409</v>
          </cell>
          <cell r="E817">
            <v>134</v>
          </cell>
          <cell r="F817">
            <v>0</v>
          </cell>
          <cell r="G817">
            <v>0</v>
          </cell>
          <cell r="H817">
            <v>0</v>
          </cell>
          <cell r="L817">
            <v>0</v>
          </cell>
          <cell r="N817">
            <v>1569.14</v>
          </cell>
          <cell r="O817">
            <v>0</v>
          </cell>
          <cell r="Q817">
            <v>0</v>
          </cell>
          <cell r="S817">
            <v>0</v>
          </cell>
          <cell r="U817">
            <v>0</v>
          </cell>
          <cell r="Y817">
            <v>607.02</v>
          </cell>
          <cell r="AE817" t="str">
            <v>20140101KUUM_409</v>
          </cell>
        </row>
        <row r="818">
          <cell r="B818" t="str">
            <v>Oct 2014</v>
          </cell>
          <cell r="C818" t="str">
            <v>RLS</v>
          </cell>
          <cell r="D818" t="str">
            <v>KUUM_410</v>
          </cell>
          <cell r="E818">
            <v>236</v>
          </cell>
          <cell r="F818">
            <v>0</v>
          </cell>
          <cell r="G818">
            <v>0</v>
          </cell>
          <cell r="H818">
            <v>0</v>
          </cell>
          <cell r="L818">
            <v>0</v>
          </cell>
          <cell r="N818">
            <v>4781.3599999999997</v>
          </cell>
          <cell r="O818">
            <v>0</v>
          </cell>
          <cell r="Q818">
            <v>0</v>
          </cell>
          <cell r="S818">
            <v>0</v>
          </cell>
          <cell r="U818">
            <v>0</v>
          </cell>
          <cell r="Y818">
            <v>134.52000000000001</v>
          </cell>
          <cell r="AE818" t="str">
            <v>20140101KUUM_410</v>
          </cell>
        </row>
        <row r="819">
          <cell r="B819" t="str">
            <v>Oct 2014</v>
          </cell>
          <cell r="C819" t="str">
            <v>LS</v>
          </cell>
          <cell r="D819" t="str">
            <v>KUUM_411</v>
          </cell>
          <cell r="E819">
            <v>142</v>
          </cell>
          <cell r="F819">
            <v>0</v>
          </cell>
          <cell r="G819">
            <v>0</v>
          </cell>
          <cell r="H819">
            <v>0</v>
          </cell>
          <cell r="L819">
            <v>0</v>
          </cell>
          <cell r="N819">
            <v>3035.96</v>
          </cell>
          <cell r="O819">
            <v>0</v>
          </cell>
          <cell r="Q819">
            <v>0</v>
          </cell>
          <cell r="S819">
            <v>0</v>
          </cell>
          <cell r="U819">
            <v>0</v>
          </cell>
          <cell r="Y819">
            <v>113.6</v>
          </cell>
          <cell r="AE819" t="str">
            <v>20140101KUUM_411</v>
          </cell>
        </row>
        <row r="820">
          <cell r="B820" t="str">
            <v>Oct 2014</v>
          </cell>
          <cell r="C820" t="str">
            <v>RLS</v>
          </cell>
          <cell r="D820" t="str">
            <v>KUUM_412</v>
          </cell>
          <cell r="E820">
            <v>28</v>
          </cell>
          <cell r="F820">
            <v>0</v>
          </cell>
          <cell r="G820">
            <v>0</v>
          </cell>
          <cell r="H820">
            <v>0</v>
          </cell>
          <cell r="L820">
            <v>0</v>
          </cell>
          <cell r="N820">
            <v>863.52</v>
          </cell>
          <cell r="O820">
            <v>0</v>
          </cell>
          <cell r="Q820">
            <v>0</v>
          </cell>
          <cell r="S820">
            <v>0</v>
          </cell>
          <cell r="U820">
            <v>0</v>
          </cell>
          <cell r="Y820">
            <v>22.4</v>
          </cell>
          <cell r="AE820" t="str">
            <v>20140101KUUM_412</v>
          </cell>
        </row>
        <row r="821">
          <cell r="B821" t="str">
            <v>Oct 2014</v>
          </cell>
          <cell r="C821" t="str">
            <v>RLS</v>
          </cell>
          <cell r="D821" t="str">
            <v>KUUM_413</v>
          </cell>
          <cell r="E821">
            <v>95</v>
          </cell>
          <cell r="F821">
            <v>0</v>
          </cell>
          <cell r="G821">
            <v>0</v>
          </cell>
          <cell r="H821">
            <v>0</v>
          </cell>
          <cell r="L821">
            <v>0</v>
          </cell>
          <cell r="N821">
            <v>2965.9</v>
          </cell>
          <cell r="O821">
            <v>0</v>
          </cell>
          <cell r="Q821">
            <v>0</v>
          </cell>
          <cell r="S821">
            <v>0</v>
          </cell>
          <cell r="U821">
            <v>0</v>
          </cell>
          <cell r="Y821">
            <v>107.35</v>
          </cell>
          <cell r="AE821" t="str">
            <v>20140101KUUM_413</v>
          </cell>
        </row>
        <row r="822">
          <cell r="B822" t="str">
            <v>Oct 2014</v>
          </cell>
          <cell r="C822" t="str">
            <v>LS</v>
          </cell>
          <cell r="D822" t="str">
            <v>KUUM_414</v>
          </cell>
          <cell r="E822">
            <v>21</v>
          </cell>
          <cell r="F822">
            <v>0</v>
          </cell>
          <cell r="G822">
            <v>0</v>
          </cell>
          <cell r="H822">
            <v>0</v>
          </cell>
          <cell r="L822">
            <v>0</v>
          </cell>
          <cell r="N822">
            <v>647.64</v>
          </cell>
          <cell r="O822">
            <v>0</v>
          </cell>
          <cell r="Q822">
            <v>0</v>
          </cell>
          <cell r="S822">
            <v>0</v>
          </cell>
          <cell r="U822">
            <v>0</v>
          </cell>
          <cell r="Y822">
            <v>16.8</v>
          </cell>
          <cell r="AE822" t="str">
            <v>20140101KUUM_414</v>
          </cell>
        </row>
        <row r="823">
          <cell r="B823" t="str">
            <v>Oct 2014</v>
          </cell>
          <cell r="C823" t="str">
            <v>LS</v>
          </cell>
          <cell r="D823" t="str">
            <v>KUUM_415</v>
          </cell>
          <cell r="E823">
            <v>10</v>
          </cell>
          <cell r="F823">
            <v>0</v>
          </cell>
          <cell r="G823">
            <v>0</v>
          </cell>
          <cell r="H823">
            <v>0</v>
          </cell>
          <cell r="L823">
            <v>0</v>
          </cell>
          <cell r="N823">
            <v>312.2</v>
          </cell>
          <cell r="O823">
            <v>0</v>
          </cell>
          <cell r="Q823">
            <v>0</v>
          </cell>
          <cell r="S823">
            <v>0</v>
          </cell>
          <cell r="U823">
            <v>0</v>
          </cell>
          <cell r="Y823">
            <v>11.3</v>
          </cell>
          <cell r="AE823" t="str">
            <v>20140101KUUM_415</v>
          </cell>
        </row>
        <row r="824">
          <cell r="B824" t="str">
            <v>Oct 2014</v>
          </cell>
          <cell r="C824" t="str">
            <v>LS</v>
          </cell>
          <cell r="D824" t="str">
            <v>KUUM_420</v>
          </cell>
          <cell r="E824">
            <v>468</v>
          </cell>
          <cell r="F824">
            <v>0</v>
          </cell>
          <cell r="G824">
            <v>0</v>
          </cell>
          <cell r="H824">
            <v>0</v>
          </cell>
          <cell r="L824">
            <v>0</v>
          </cell>
          <cell r="N824">
            <v>7188.48</v>
          </cell>
          <cell r="O824">
            <v>0</v>
          </cell>
          <cell r="Q824">
            <v>0</v>
          </cell>
          <cell r="S824">
            <v>0</v>
          </cell>
          <cell r="U824">
            <v>0</v>
          </cell>
          <cell r="Y824">
            <v>528.84</v>
          </cell>
          <cell r="AE824" t="str">
            <v>20140101KUUM_420</v>
          </cell>
        </row>
        <row r="825">
          <cell r="B825" t="str">
            <v>Oct 2014</v>
          </cell>
          <cell r="C825" t="str">
            <v>RLS</v>
          </cell>
          <cell r="D825" t="str">
            <v>KUUM_421</v>
          </cell>
          <cell r="E825">
            <v>5</v>
          </cell>
          <cell r="F825">
            <v>0</v>
          </cell>
          <cell r="G825">
            <v>0</v>
          </cell>
          <cell r="H825">
            <v>0</v>
          </cell>
          <cell r="L825">
            <v>0</v>
          </cell>
          <cell r="N825">
            <v>16.95</v>
          </cell>
          <cell r="O825">
            <v>0</v>
          </cell>
          <cell r="Q825">
            <v>0</v>
          </cell>
          <cell r="S825">
            <v>0</v>
          </cell>
          <cell r="U825">
            <v>0</v>
          </cell>
          <cell r="Y825">
            <v>4.95</v>
          </cell>
          <cell r="AE825" t="str">
            <v>20140101KUUM_421</v>
          </cell>
        </row>
        <row r="826">
          <cell r="B826" t="str">
            <v>Oct 2014</v>
          </cell>
          <cell r="C826" t="str">
            <v>RLS</v>
          </cell>
          <cell r="D826" t="str">
            <v>KUUM_422</v>
          </cell>
          <cell r="E826">
            <v>676</v>
          </cell>
          <cell r="F826">
            <v>0</v>
          </cell>
          <cell r="G826">
            <v>0</v>
          </cell>
          <cell r="H826">
            <v>0</v>
          </cell>
          <cell r="L826">
            <v>0</v>
          </cell>
          <cell r="N826">
            <v>3069.04</v>
          </cell>
          <cell r="O826">
            <v>0</v>
          </cell>
          <cell r="Q826">
            <v>0</v>
          </cell>
          <cell r="S826">
            <v>0</v>
          </cell>
          <cell r="U826">
            <v>0</v>
          </cell>
          <cell r="Y826">
            <v>1311.44</v>
          </cell>
          <cell r="AE826" t="str">
            <v>20140101KUUM_422</v>
          </cell>
        </row>
        <row r="827">
          <cell r="B827" t="str">
            <v>Oct 2014</v>
          </cell>
          <cell r="C827" t="str">
            <v>RLS</v>
          </cell>
          <cell r="D827" t="str">
            <v>KUUM_424</v>
          </cell>
          <cell r="E827">
            <v>120</v>
          </cell>
          <cell r="F827">
            <v>0</v>
          </cell>
          <cell r="G827">
            <v>0</v>
          </cell>
          <cell r="H827">
            <v>0</v>
          </cell>
          <cell r="L827">
            <v>0</v>
          </cell>
          <cell r="N827">
            <v>813.6</v>
          </cell>
          <cell r="O827">
            <v>0</v>
          </cell>
          <cell r="Q827">
            <v>0</v>
          </cell>
          <cell r="S827">
            <v>0</v>
          </cell>
          <cell r="U827">
            <v>0</v>
          </cell>
          <cell r="Y827">
            <v>84</v>
          </cell>
          <cell r="AE827" t="str">
            <v>20140101KUUM_424</v>
          </cell>
        </row>
        <row r="828">
          <cell r="B828" t="str">
            <v>Oct 2014</v>
          </cell>
          <cell r="C828" t="str">
            <v>RLS</v>
          </cell>
          <cell r="D828" t="str">
            <v>KUUM_425</v>
          </cell>
          <cell r="E828">
            <v>2</v>
          </cell>
          <cell r="F828">
            <v>0</v>
          </cell>
          <cell r="G828">
            <v>0</v>
          </cell>
          <cell r="H828">
            <v>0</v>
          </cell>
          <cell r="L828">
            <v>0</v>
          </cell>
          <cell r="N828">
            <v>18.12</v>
          </cell>
          <cell r="O828">
            <v>0</v>
          </cell>
          <cell r="Q828">
            <v>0</v>
          </cell>
          <cell r="S828">
            <v>0</v>
          </cell>
          <cell r="U828">
            <v>0</v>
          </cell>
          <cell r="Y828">
            <v>8.6</v>
          </cell>
          <cell r="AE828" t="str">
            <v>20140101KUUM_425</v>
          </cell>
        </row>
        <row r="829">
          <cell r="B829" t="str">
            <v>Oct 2014</v>
          </cell>
          <cell r="C829" t="str">
            <v>RLS</v>
          </cell>
          <cell r="D829" t="str">
            <v>KUUM_426</v>
          </cell>
          <cell r="E829">
            <v>162</v>
          </cell>
          <cell r="F829">
            <v>0</v>
          </cell>
          <cell r="G829">
            <v>0</v>
          </cell>
          <cell r="H829">
            <v>0</v>
          </cell>
          <cell r="L829">
            <v>0</v>
          </cell>
          <cell r="N829">
            <v>1205.28</v>
          </cell>
          <cell r="O829">
            <v>0</v>
          </cell>
          <cell r="Q829">
            <v>0</v>
          </cell>
          <cell r="S829">
            <v>0</v>
          </cell>
          <cell r="U829">
            <v>0</v>
          </cell>
          <cell r="Y829">
            <v>129.6</v>
          </cell>
          <cell r="AE829" t="str">
            <v>20140101KUUM_426</v>
          </cell>
        </row>
        <row r="830">
          <cell r="B830" t="str">
            <v>Oct 2014</v>
          </cell>
          <cell r="C830" t="str">
            <v>LS</v>
          </cell>
          <cell r="D830" t="str">
            <v>KUUM_428</v>
          </cell>
          <cell r="E830">
            <v>34920</v>
          </cell>
          <cell r="F830">
            <v>0</v>
          </cell>
          <cell r="G830">
            <v>0</v>
          </cell>
          <cell r="H830">
            <v>0</v>
          </cell>
          <cell r="L830">
            <v>0</v>
          </cell>
          <cell r="N830">
            <v>273772.79999999999</v>
          </cell>
          <cell r="O830">
            <v>0</v>
          </cell>
          <cell r="Q830">
            <v>0</v>
          </cell>
          <cell r="S830">
            <v>0</v>
          </cell>
          <cell r="U830">
            <v>0</v>
          </cell>
          <cell r="Y830">
            <v>39459.599999999999</v>
          </cell>
          <cell r="AE830" t="str">
            <v>20140101KUUM_428</v>
          </cell>
        </row>
        <row r="831">
          <cell r="B831" t="str">
            <v>Oct 2014</v>
          </cell>
          <cell r="C831" t="str">
            <v>LS</v>
          </cell>
          <cell r="D831" t="str">
            <v>KUUM_429</v>
          </cell>
          <cell r="E831">
            <v>0</v>
          </cell>
          <cell r="F831">
            <v>0</v>
          </cell>
          <cell r="G831">
            <v>0</v>
          </cell>
          <cell r="H831">
            <v>0</v>
          </cell>
          <cell r="L831">
            <v>0</v>
          </cell>
          <cell r="N831">
            <v>0</v>
          </cell>
          <cell r="O831">
            <v>0</v>
          </cell>
          <cell r="Q831">
            <v>0</v>
          </cell>
          <cell r="S831">
            <v>0</v>
          </cell>
          <cell r="U831">
            <v>0</v>
          </cell>
          <cell r="Y831">
            <v>0</v>
          </cell>
          <cell r="AE831" t="str">
            <v>20140101KUUM_429</v>
          </cell>
        </row>
        <row r="832">
          <cell r="B832" t="str">
            <v>Oct 2014</v>
          </cell>
          <cell r="C832" t="str">
            <v>LS</v>
          </cell>
          <cell r="D832" t="str">
            <v>KUUM_430</v>
          </cell>
          <cell r="E832">
            <v>1146</v>
          </cell>
          <cell r="F832">
            <v>0</v>
          </cell>
          <cell r="G832">
            <v>0</v>
          </cell>
          <cell r="H832">
            <v>0</v>
          </cell>
          <cell r="L832">
            <v>0</v>
          </cell>
          <cell r="N832">
            <v>25212</v>
          </cell>
          <cell r="O832">
            <v>0</v>
          </cell>
          <cell r="Q832">
            <v>0</v>
          </cell>
          <cell r="S832">
            <v>0</v>
          </cell>
          <cell r="U832">
            <v>0</v>
          </cell>
          <cell r="Y832">
            <v>1294.98</v>
          </cell>
          <cell r="AE832" t="str">
            <v>20140101KUUM_430</v>
          </cell>
        </row>
        <row r="833">
          <cell r="B833" t="str">
            <v>Oct 2014</v>
          </cell>
          <cell r="C833" t="str">
            <v>RLS</v>
          </cell>
          <cell r="D833" t="str">
            <v>KUUM_434</v>
          </cell>
          <cell r="E833">
            <v>0</v>
          </cell>
          <cell r="F833">
            <v>0</v>
          </cell>
          <cell r="G833">
            <v>0</v>
          </cell>
          <cell r="H833">
            <v>0</v>
          </cell>
          <cell r="L833">
            <v>0</v>
          </cell>
          <cell r="N833">
            <v>0</v>
          </cell>
          <cell r="O833">
            <v>0</v>
          </cell>
          <cell r="Q833">
            <v>0</v>
          </cell>
          <cell r="S833">
            <v>0</v>
          </cell>
          <cell r="U833">
            <v>0</v>
          </cell>
          <cell r="Y833">
            <v>0</v>
          </cell>
          <cell r="AE833" t="str">
            <v>20140101KUUM_434</v>
          </cell>
        </row>
        <row r="834">
          <cell r="B834" t="str">
            <v>Oct 2014</v>
          </cell>
          <cell r="C834" t="str">
            <v>RLS</v>
          </cell>
          <cell r="D834" t="str">
            <v>KUUM_440</v>
          </cell>
          <cell r="E834">
            <v>2</v>
          </cell>
          <cell r="F834">
            <v>0</v>
          </cell>
          <cell r="G834">
            <v>0</v>
          </cell>
          <cell r="H834">
            <v>0</v>
          </cell>
          <cell r="L834">
            <v>0</v>
          </cell>
          <cell r="N834">
            <v>27.22</v>
          </cell>
          <cell r="O834">
            <v>0</v>
          </cell>
          <cell r="Q834">
            <v>0</v>
          </cell>
          <cell r="S834">
            <v>0</v>
          </cell>
          <cell r="U834">
            <v>0</v>
          </cell>
          <cell r="Y834">
            <v>1.1399999999999999</v>
          </cell>
          <cell r="AE834" t="str">
            <v>20140101KUUM_440</v>
          </cell>
        </row>
        <row r="835">
          <cell r="B835" t="str">
            <v>Oct 2014</v>
          </cell>
          <cell r="C835" t="str">
            <v>RLS</v>
          </cell>
          <cell r="D835" t="str">
            <v>KUUM_446</v>
          </cell>
          <cell r="E835">
            <v>1070</v>
          </cell>
          <cell r="F835">
            <v>0</v>
          </cell>
          <cell r="G835">
            <v>0</v>
          </cell>
          <cell r="H835">
            <v>0</v>
          </cell>
          <cell r="L835">
            <v>0</v>
          </cell>
          <cell r="N835">
            <v>10229.200000000001</v>
          </cell>
          <cell r="O835">
            <v>0</v>
          </cell>
          <cell r="Q835">
            <v>0</v>
          </cell>
          <cell r="S835">
            <v>0</v>
          </cell>
          <cell r="U835">
            <v>0</v>
          </cell>
          <cell r="Y835">
            <v>2129.3000000000002</v>
          </cell>
          <cell r="AE835" t="str">
            <v>20140101KUUM_446</v>
          </cell>
        </row>
        <row r="836">
          <cell r="B836" t="str">
            <v>Oct 2014</v>
          </cell>
          <cell r="C836" t="str">
            <v>RLS</v>
          </cell>
          <cell r="D836" t="str">
            <v>KUUM_447</v>
          </cell>
          <cell r="E836">
            <v>734</v>
          </cell>
          <cell r="F836">
            <v>0</v>
          </cell>
          <cell r="G836">
            <v>0</v>
          </cell>
          <cell r="H836">
            <v>0</v>
          </cell>
          <cell r="L836">
            <v>0</v>
          </cell>
          <cell r="N836">
            <v>8308.8799999999992</v>
          </cell>
          <cell r="O836">
            <v>0</v>
          </cell>
          <cell r="Q836">
            <v>0</v>
          </cell>
          <cell r="S836">
            <v>0</v>
          </cell>
          <cell r="U836">
            <v>0</v>
          </cell>
          <cell r="Y836">
            <v>2084.56</v>
          </cell>
          <cell r="AE836" t="str">
            <v>20140101KUUM_447</v>
          </cell>
        </row>
        <row r="837">
          <cell r="B837" t="str">
            <v>Oct 2014</v>
          </cell>
          <cell r="C837" t="str">
            <v>RLS</v>
          </cell>
          <cell r="D837" t="str">
            <v>KUUM_448</v>
          </cell>
          <cell r="E837">
            <v>1606</v>
          </cell>
          <cell r="F837">
            <v>0</v>
          </cell>
          <cell r="G837">
            <v>0</v>
          </cell>
          <cell r="H837">
            <v>0</v>
          </cell>
          <cell r="L837">
            <v>0</v>
          </cell>
          <cell r="N837">
            <v>20572.86</v>
          </cell>
          <cell r="O837">
            <v>0</v>
          </cell>
          <cell r="Q837">
            <v>0</v>
          </cell>
          <cell r="S837">
            <v>0</v>
          </cell>
          <cell r="U837">
            <v>0</v>
          </cell>
          <cell r="Y837">
            <v>7018.22</v>
          </cell>
          <cell r="AE837" t="str">
            <v>20140101KUUM_448</v>
          </cell>
        </row>
        <row r="838">
          <cell r="B838" t="str">
            <v>Oct 2014</v>
          </cell>
          <cell r="C838" t="str">
            <v>LS</v>
          </cell>
          <cell r="D838" t="str">
            <v>KUUM_450</v>
          </cell>
          <cell r="E838">
            <v>614</v>
          </cell>
          <cell r="F838">
            <v>0</v>
          </cell>
          <cell r="G838">
            <v>0</v>
          </cell>
          <cell r="H838">
            <v>0</v>
          </cell>
          <cell r="L838">
            <v>0</v>
          </cell>
          <cell r="N838">
            <v>8749.5</v>
          </cell>
          <cell r="O838">
            <v>0</v>
          </cell>
          <cell r="Q838">
            <v>0</v>
          </cell>
          <cell r="S838">
            <v>0</v>
          </cell>
          <cell r="U838">
            <v>0</v>
          </cell>
          <cell r="Y838">
            <v>1209.58</v>
          </cell>
          <cell r="AE838" t="str">
            <v>20140101KUUM_450</v>
          </cell>
        </row>
        <row r="839">
          <cell r="B839" t="str">
            <v>Oct 2014</v>
          </cell>
          <cell r="C839" t="str">
            <v>LS</v>
          </cell>
          <cell r="D839" t="str">
            <v>KUUM_451</v>
          </cell>
          <cell r="E839">
            <v>5012</v>
          </cell>
          <cell r="F839">
            <v>0</v>
          </cell>
          <cell r="G839">
            <v>0</v>
          </cell>
          <cell r="H839">
            <v>0</v>
          </cell>
          <cell r="L839">
            <v>0</v>
          </cell>
          <cell r="N839">
            <v>101242.4</v>
          </cell>
          <cell r="O839">
            <v>0</v>
          </cell>
          <cell r="Q839">
            <v>0</v>
          </cell>
          <cell r="S839">
            <v>0</v>
          </cell>
          <cell r="U839">
            <v>0</v>
          </cell>
          <cell r="Y839">
            <v>21501.48</v>
          </cell>
          <cell r="AE839" t="str">
            <v>20140101KUUM_451</v>
          </cell>
        </row>
        <row r="840">
          <cell r="B840" t="str">
            <v>Oct 2014</v>
          </cell>
          <cell r="C840" t="str">
            <v>LS</v>
          </cell>
          <cell r="D840" t="str">
            <v>KUUM_452</v>
          </cell>
          <cell r="E840">
            <v>1038</v>
          </cell>
          <cell r="F840">
            <v>0</v>
          </cell>
          <cell r="G840">
            <v>0</v>
          </cell>
          <cell r="H840">
            <v>0</v>
          </cell>
          <cell r="L840">
            <v>0</v>
          </cell>
          <cell r="N840">
            <v>43959.3</v>
          </cell>
          <cell r="O840">
            <v>0</v>
          </cell>
          <cell r="Q840">
            <v>0</v>
          </cell>
          <cell r="S840">
            <v>0</v>
          </cell>
          <cell r="U840">
            <v>0</v>
          </cell>
          <cell r="Y840">
            <v>10805.58</v>
          </cell>
          <cell r="AE840" t="str">
            <v>20140101KUUM_452</v>
          </cell>
        </row>
        <row r="841">
          <cell r="B841" t="str">
            <v>Oct 2014</v>
          </cell>
          <cell r="C841" t="str">
            <v>RLS</v>
          </cell>
          <cell r="D841" t="str">
            <v>KUUM_454</v>
          </cell>
          <cell r="E841">
            <v>124</v>
          </cell>
          <cell r="F841">
            <v>0</v>
          </cell>
          <cell r="G841">
            <v>0</v>
          </cell>
          <cell r="H841">
            <v>0</v>
          </cell>
          <cell r="L841">
            <v>0</v>
          </cell>
          <cell r="N841">
            <v>2312.6</v>
          </cell>
          <cell r="O841">
            <v>0</v>
          </cell>
          <cell r="Q841">
            <v>0</v>
          </cell>
          <cell r="S841">
            <v>0</v>
          </cell>
          <cell r="U841">
            <v>0</v>
          </cell>
          <cell r="Y841">
            <v>244.28</v>
          </cell>
          <cell r="AE841" t="str">
            <v>20140101KUUM_454</v>
          </cell>
        </row>
        <row r="842">
          <cell r="B842" t="str">
            <v>Oct 2014</v>
          </cell>
          <cell r="C842" t="str">
            <v>RLS</v>
          </cell>
          <cell r="D842" t="str">
            <v>KUUM_455</v>
          </cell>
          <cell r="E842">
            <v>1027</v>
          </cell>
          <cell r="F842">
            <v>0</v>
          </cell>
          <cell r="G842">
            <v>0</v>
          </cell>
          <cell r="H842">
            <v>0</v>
          </cell>
          <cell r="L842">
            <v>0</v>
          </cell>
          <cell r="N842">
            <v>25253.93</v>
          </cell>
          <cell r="O842">
            <v>0</v>
          </cell>
          <cell r="Q842">
            <v>0</v>
          </cell>
          <cell r="S842">
            <v>0</v>
          </cell>
          <cell r="U842">
            <v>0</v>
          </cell>
          <cell r="Y842">
            <v>4405.83</v>
          </cell>
          <cell r="AE842" t="str">
            <v>20140101KUUM_455</v>
          </cell>
        </row>
        <row r="843">
          <cell r="B843" t="str">
            <v>Oct 2014</v>
          </cell>
          <cell r="C843" t="str">
            <v>RLS</v>
          </cell>
          <cell r="D843" t="str">
            <v>KUUM_456</v>
          </cell>
          <cell r="E843">
            <v>126</v>
          </cell>
          <cell r="F843">
            <v>0</v>
          </cell>
          <cell r="G843">
            <v>0</v>
          </cell>
          <cell r="H843">
            <v>0</v>
          </cell>
          <cell r="L843">
            <v>0</v>
          </cell>
          <cell r="N843">
            <v>1495.62</v>
          </cell>
          <cell r="O843">
            <v>0</v>
          </cell>
          <cell r="Q843">
            <v>0</v>
          </cell>
          <cell r="S843">
            <v>0</v>
          </cell>
          <cell r="U843">
            <v>0</v>
          </cell>
          <cell r="Y843">
            <v>250.74</v>
          </cell>
          <cell r="AE843" t="str">
            <v>20140101KUUM_456</v>
          </cell>
        </row>
        <row r="844">
          <cell r="B844" t="str">
            <v>Oct 2014</v>
          </cell>
          <cell r="C844" t="str">
            <v>RLS</v>
          </cell>
          <cell r="D844" t="str">
            <v>KUUM_457</v>
          </cell>
          <cell r="E844">
            <v>402</v>
          </cell>
          <cell r="F844">
            <v>0</v>
          </cell>
          <cell r="G844">
            <v>0</v>
          </cell>
          <cell r="H844">
            <v>0</v>
          </cell>
          <cell r="L844">
            <v>0</v>
          </cell>
          <cell r="N844">
            <v>5370.72</v>
          </cell>
          <cell r="O844">
            <v>0</v>
          </cell>
          <cell r="Q844">
            <v>0</v>
          </cell>
          <cell r="S844">
            <v>0</v>
          </cell>
          <cell r="U844">
            <v>0</v>
          </cell>
          <cell r="Y844">
            <v>1141.68</v>
          </cell>
          <cell r="AE844" t="str">
            <v>20140101KUUM_457</v>
          </cell>
        </row>
        <row r="845">
          <cell r="B845" t="str">
            <v>Oct 2014</v>
          </cell>
          <cell r="C845" t="str">
            <v>RLS</v>
          </cell>
          <cell r="D845" t="str">
            <v>KUUM_458</v>
          </cell>
          <cell r="E845">
            <v>1593</v>
          </cell>
          <cell r="F845">
            <v>0</v>
          </cell>
          <cell r="G845">
            <v>0</v>
          </cell>
          <cell r="H845">
            <v>0</v>
          </cell>
          <cell r="L845">
            <v>0</v>
          </cell>
          <cell r="N845">
            <v>24022.44</v>
          </cell>
          <cell r="O845">
            <v>0</v>
          </cell>
          <cell r="Q845">
            <v>0</v>
          </cell>
          <cell r="S845">
            <v>0</v>
          </cell>
          <cell r="U845">
            <v>0</v>
          </cell>
          <cell r="Y845">
            <v>6961.41</v>
          </cell>
          <cell r="AE845" t="str">
            <v>20140101KUUM_458</v>
          </cell>
        </row>
        <row r="846">
          <cell r="B846" t="str">
            <v>Oct 2014</v>
          </cell>
          <cell r="C846" t="str">
            <v>RLS</v>
          </cell>
          <cell r="D846" t="str">
            <v>KUUM_459</v>
          </cell>
          <cell r="E846">
            <v>246</v>
          </cell>
          <cell r="F846">
            <v>0</v>
          </cell>
          <cell r="G846">
            <v>0</v>
          </cell>
          <cell r="H846">
            <v>0</v>
          </cell>
          <cell r="L846">
            <v>0</v>
          </cell>
          <cell r="N846">
            <v>11498.04</v>
          </cell>
          <cell r="O846">
            <v>0</v>
          </cell>
          <cell r="Q846">
            <v>0</v>
          </cell>
          <cell r="S846">
            <v>0</v>
          </cell>
          <cell r="U846">
            <v>0</v>
          </cell>
          <cell r="Y846">
            <v>2560.86</v>
          </cell>
          <cell r="AE846" t="str">
            <v>20140101KUUM_459</v>
          </cell>
        </row>
        <row r="847">
          <cell r="B847" t="str">
            <v>Oct 2014</v>
          </cell>
          <cell r="C847" t="str">
            <v>RLS</v>
          </cell>
          <cell r="D847" t="str">
            <v>KUUM_460</v>
          </cell>
          <cell r="E847">
            <v>-249</v>
          </cell>
          <cell r="F847">
            <v>0</v>
          </cell>
          <cell r="G847">
            <v>0</v>
          </cell>
          <cell r="H847">
            <v>0</v>
          </cell>
          <cell r="L847">
            <v>0</v>
          </cell>
          <cell r="N847">
            <v>-6760.35</v>
          </cell>
          <cell r="O847">
            <v>0</v>
          </cell>
          <cell r="Q847">
            <v>0</v>
          </cell>
          <cell r="S847">
            <v>0</v>
          </cell>
          <cell r="U847">
            <v>0</v>
          </cell>
          <cell r="Y847">
            <v>-490.53</v>
          </cell>
          <cell r="AE847" t="str">
            <v>20140101KUUM_460</v>
          </cell>
        </row>
        <row r="848">
          <cell r="B848" t="str">
            <v>Oct 2014</v>
          </cell>
          <cell r="C848" t="str">
            <v>RLS</v>
          </cell>
          <cell r="D848" t="str">
            <v>KUUM_461</v>
          </cell>
          <cell r="E848">
            <v>6467</v>
          </cell>
          <cell r="F848">
            <v>0</v>
          </cell>
          <cell r="G848">
            <v>0</v>
          </cell>
          <cell r="H848">
            <v>0</v>
          </cell>
          <cell r="L848">
            <v>0</v>
          </cell>
          <cell r="N848">
            <v>48761.18</v>
          </cell>
          <cell r="O848">
            <v>0</v>
          </cell>
          <cell r="Q848">
            <v>0</v>
          </cell>
          <cell r="S848">
            <v>0</v>
          </cell>
          <cell r="U848">
            <v>0</v>
          </cell>
          <cell r="Y848">
            <v>3686.19</v>
          </cell>
          <cell r="AE848" t="str">
            <v>20140101KUUM_461</v>
          </cell>
        </row>
        <row r="849">
          <cell r="B849" t="str">
            <v>Oct 2014</v>
          </cell>
          <cell r="C849" t="str">
            <v>LS</v>
          </cell>
          <cell r="D849" t="str">
            <v>KUUM_462</v>
          </cell>
          <cell r="E849">
            <v>9866</v>
          </cell>
          <cell r="F849">
            <v>0</v>
          </cell>
          <cell r="G849">
            <v>0</v>
          </cell>
          <cell r="H849">
            <v>0</v>
          </cell>
          <cell r="L849">
            <v>0</v>
          </cell>
          <cell r="N849">
            <v>85439.56</v>
          </cell>
          <cell r="O849">
            <v>0</v>
          </cell>
          <cell r="Q849">
            <v>0</v>
          </cell>
          <cell r="S849">
            <v>0</v>
          </cell>
          <cell r="U849">
            <v>0</v>
          </cell>
          <cell r="Y849">
            <v>7892.8</v>
          </cell>
          <cell r="AE849" t="str">
            <v>20140101KUUM_462</v>
          </cell>
        </row>
        <row r="850">
          <cell r="B850" t="str">
            <v>Oct 2014</v>
          </cell>
          <cell r="C850" t="str">
            <v>LS</v>
          </cell>
          <cell r="D850" t="str">
            <v>KUUM_463</v>
          </cell>
          <cell r="E850">
            <v>20336</v>
          </cell>
          <cell r="F850">
            <v>0</v>
          </cell>
          <cell r="G850">
            <v>0</v>
          </cell>
          <cell r="H850">
            <v>0</v>
          </cell>
          <cell r="L850">
            <v>0</v>
          </cell>
          <cell r="N850">
            <v>185871.04</v>
          </cell>
          <cell r="O850">
            <v>0</v>
          </cell>
          <cell r="Q850">
            <v>0</v>
          </cell>
          <cell r="S850">
            <v>0</v>
          </cell>
          <cell r="U850">
            <v>0</v>
          </cell>
          <cell r="Y850">
            <v>22979.68</v>
          </cell>
          <cell r="AE850" t="str">
            <v>20140101KUUM_463</v>
          </cell>
        </row>
        <row r="851">
          <cell r="B851" t="str">
            <v>Oct 2014</v>
          </cell>
          <cell r="C851" t="str">
            <v>LS</v>
          </cell>
          <cell r="D851" t="str">
            <v>KUUM_464</v>
          </cell>
          <cell r="E851">
            <v>7722</v>
          </cell>
          <cell r="F851">
            <v>0</v>
          </cell>
          <cell r="G851">
            <v>0</v>
          </cell>
          <cell r="H851">
            <v>0</v>
          </cell>
          <cell r="L851">
            <v>0</v>
          </cell>
          <cell r="N851">
            <v>110038.5</v>
          </cell>
          <cell r="O851">
            <v>0</v>
          </cell>
          <cell r="Q851">
            <v>0</v>
          </cell>
          <cell r="S851">
            <v>0</v>
          </cell>
          <cell r="U851">
            <v>0</v>
          </cell>
          <cell r="Y851">
            <v>17992.259999999998</v>
          </cell>
          <cell r="AE851" t="str">
            <v>20140101KUUM_464</v>
          </cell>
        </row>
        <row r="852">
          <cell r="B852" t="str">
            <v>Oct 2014</v>
          </cell>
          <cell r="C852" t="str">
            <v>LS</v>
          </cell>
          <cell r="D852" t="str">
            <v>KUUM_465</v>
          </cell>
          <cell r="E852">
            <v>2855</v>
          </cell>
          <cell r="F852">
            <v>0</v>
          </cell>
          <cell r="G852">
            <v>0</v>
          </cell>
          <cell r="H852">
            <v>0</v>
          </cell>
          <cell r="L852">
            <v>0</v>
          </cell>
          <cell r="N852">
            <v>65208.2</v>
          </cell>
          <cell r="O852">
            <v>0</v>
          </cell>
          <cell r="Q852">
            <v>0</v>
          </cell>
          <cell r="S852">
            <v>0</v>
          </cell>
          <cell r="U852">
            <v>0</v>
          </cell>
          <cell r="Y852">
            <v>12933.15</v>
          </cell>
          <cell r="AE852" t="str">
            <v>20140101KUUM_465</v>
          </cell>
        </row>
        <row r="853">
          <cell r="B853" t="str">
            <v>Oct 2014</v>
          </cell>
          <cell r="C853" t="str">
            <v>RLS</v>
          </cell>
          <cell r="D853" t="str">
            <v>KUUM_466</v>
          </cell>
          <cell r="E853">
            <v>804</v>
          </cell>
          <cell r="F853">
            <v>0</v>
          </cell>
          <cell r="G853">
            <v>0</v>
          </cell>
          <cell r="H853">
            <v>0</v>
          </cell>
          <cell r="L853">
            <v>0</v>
          </cell>
          <cell r="N853">
            <v>7734.48</v>
          </cell>
          <cell r="O853">
            <v>0</v>
          </cell>
          <cell r="Q853">
            <v>0</v>
          </cell>
          <cell r="S853">
            <v>0</v>
          </cell>
          <cell r="U853">
            <v>0</v>
          </cell>
          <cell r="Y853">
            <v>458.28</v>
          </cell>
          <cell r="AE853" t="str">
            <v>20140101KUUM_466</v>
          </cell>
        </row>
        <row r="854">
          <cell r="B854" t="str">
            <v>Oct 2014</v>
          </cell>
          <cell r="C854" t="str">
            <v>LS</v>
          </cell>
          <cell r="D854" t="str">
            <v>KUUM_467</v>
          </cell>
          <cell r="E854">
            <v>1329</v>
          </cell>
          <cell r="F854">
            <v>0</v>
          </cell>
          <cell r="G854">
            <v>0</v>
          </cell>
          <cell r="H854">
            <v>0</v>
          </cell>
          <cell r="L854">
            <v>0</v>
          </cell>
          <cell r="N854">
            <v>14313.33</v>
          </cell>
          <cell r="O854">
            <v>0</v>
          </cell>
          <cell r="Q854">
            <v>0</v>
          </cell>
          <cell r="S854">
            <v>0</v>
          </cell>
          <cell r="U854">
            <v>0</v>
          </cell>
          <cell r="Y854">
            <v>1063.2</v>
          </cell>
          <cell r="AE854" t="str">
            <v>20140101KUUM_467</v>
          </cell>
        </row>
        <row r="855">
          <cell r="B855" t="str">
            <v>Oct 2014</v>
          </cell>
          <cell r="C855" t="str">
            <v>LS</v>
          </cell>
          <cell r="D855" t="str">
            <v>KUUM_468</v>
          </cell>
          <cell r="E855">
            <v>3982</v>
          </cell>
          <cell r="F855">
            <v>0</v>
          </cell>
          <cell r="G855">
            <v>0</v>
          </cell>
          <cell r="H855">
            <v>0</v>
          </cell>
          <cell r="L855">
            <v>0</v>
          </cell>
          <cell r="N855">
            <v>44439.12</v>
          </cell>
          <cell r="O855">
            <v>0</v>
          </cell>
          <cell r="Q855">
            <v>0</v>
          </cell>
          <cell r="S855">
            <v>0</v>
          </cell>
          <cell r="U855">
            <v>0</v>
          </cell>
          <cell r="Y855">
            <v>4499.66</v>
          </cell>
          <cell r="AE855" t="str">
            <v>20140101KUUM_468</v>
          </cell>
        </row>
        <row r="856">
          <cell r="B856" t="str">
            <v>Oct 2014</v>
          </cell>
          <cell r="C856" t="str">
            <v>RLS</v>
          </cell>
          <cell r="D856" t="str">
            <v>KUUM_469</v>
          </cell>
          <cell r="E856">
            <v>291</v>
          </cell>
          <cell r="F856">
            <v>0</v>
          </cell>
          <cell r="G856">
            <v>0</v>
          </cell>
          <cell r="H856">
            <v>0</v>
          </cell>
          <cell r="L856">
            <v>0</v>
          </cell>
          <cell r="N856">
            <v>9632.1</v>
          </cell>
          <cell r="O856">
            <v>0</v>
          </cell>
          <cell r="Q856">
            <v>0</v>
          </cell>
          <cell r="S856">
            <v>0</v>
          </cell>
          <cell r="U856">
            <v>0</v>
          </cell>
          <cell r="Y856">
            <v>1248.3900000000001</v>
          </cell>
          <cell r="AE856" t="str">
            <v>20140101KUUM_469</v>
          </cell>
        </row>
        <row r="857">
          <cell r="B857" t="str">
            <v>Oct 2014</v>
          </cell>
          <cell r="C857" t="str">
            <v>RLS</v>
          </cell>
          <cell r="D857" t="str">
            <v>KUUM_470</v>
          </cell>
          <cell r="E857">
            <v>-36</v>
          </cell>
          <cell r="F857">
            <v>0</v>
          </cell>
          <cell r="G857">
            <v>0</v>
          </cell>
          <cell r="H857">
            <v>0</v>
          </cell>
          <cell r="L857">
            <v>0</v>
          </cell>
          <cell r="N857">
            <v>-1989</v>
          </cell>
          <cell r="O857">
            <v>0</v>
          </cell>
          <cell r="Q857">
            <v>0</v>
          </cell>
          <cell r="S857">
            <v>0</v>
          </cell>
          <cell r="U857">
            <v>0</v>
          </cell>
          <cell r="Y857">
            <v>-374.76</v>
          </cell>
          <cell r="AE857" t="str">
            <v>20140101KUUM_470</v>
          </cell>
        </row>
        <row r="858">
          <cell r="B858" t="str">
            <v>Oct 2014</v>
          </cell>
          <cell r="C858" t="str">
            <v>RLS</v>
          </cell>
          <cell r="D858" t="str">
            <v>KUUM_471</v>
          </cell>
          <cell r="E858">
            <v>3400</v>
          </cell>
          <cell r="F858">
            <v>0</v>
          </cell>
          <cell r="G858">
            <v>0</v>
          </cell>
          <cell r="H858">
            <v>0</v>
          </cell>
          <cell r="L858">
            <v>0</v>
          </cell>
          <cell r="N858">
            <v>35666</v>
          </cell>
          <cell r="O858">
            <v>0</v>
          </cell>
          <cell r="Q858">
            <v>0</v>
          </cell>
          <cell r="S858">
            <v>0</v>
          </cell>
          <cell r="U858">
            <v>0</v>
          </cell>
          <cell r="Y858">
            <v>1938</v>
          </cell>
          <cell r="AE858" t="str">
            <v>20140101KUUM_471</v>
          </cell>
        </row>
        <row r="859">
          <cell r="B859" t="str">
            <v>Oct 2014</v>
          </cell>
          <cell r="C859" t="str">
            <v>LS</v>
          </cell>
          <cell r="D859" t="str">
            <v>KUUM_472</v>
          </cell>
          <cell r="E859">
            <v>8622</v>
          </cell>
          <cell r="F859">
            <v>0</v>
          </cell>
          <cell r="G859">
            <v>0</v>
          </cell>
          <cell r="H859">
            <v>0</v>
          </cell>
          <cell r="L859">
            <v>0</v>
          </cell>
          <cell r="N859">
            <v>100015.2</v>
          </cell>
          <cell r="O859">
            <v>0</v>
          </cell>
          <cell r="Q859">
            <v>0</v>
          </cell>
          <cell r="S859">
            <v>0</v>
          </cell>
          <cell r="U859">
            <v>0</v>
          </cell>
          <cell r="Y859">
            <v>6897.6</v>
          </cell>
          <cell r="AE859" t="str">
            <v>20140101KUUM_472</v>
          </cell>
        </row>
        <row r="860">
          <cell r="B860" t="str">
            <v>Oct 2014</v>
          </cell>
          <cell r="C860" t="str">
            <v>LS</v>
          </cell>
          <cell r="D860" t="str">
            <v>KUUM_473</v>
          </cell>
          <cell r="E860">
            <v>3232</v>
          </cell>
          <cell r="F860">
            <v>0</v>
          </cell>
          <cell r="G860">
            <v>0</v>
          </cell>
          <cell r="H860">
            <v>0</v>
          </cell>
          <cell r="L860">
            <v>0</v>
          </cell>
          <cell r="N860">
            <v>39753.599999999999</v>
          </cell>
          <cell r="O860">
            <v>0</v>
          </cell>
          <cell r="Q860">
            <v>0</v>
          </cell>
          <cell r="S860">
            <v>0</v>
          </cell>
          <cell r="U860">
            <v>0</v>
          </cell>
          <cell r="Y860">
            <v>3652.16</v>
          </cell>
          <cell r="AE860" t="str">
            <v>20140101KUUM_473</v>
          </cell>
        </row>
        <row r="861">
          <cell r="B861" t="str">
            <v>Oct 2014</v>
          </cell>
          <cell r="C861" t="str">
            <v>LS</v>
          </cell>
          <cell r="D861" t="str">
            <v>KUUM_474</v>
          </cell>
          <cell r="E861">
            <v>5196</v>
          </cell>
          <cell r="F861">
            <v>0</v>
          </cell>
          <cell r="G861">
            <v>0</v>
          </cell>
          <cell r="H861">
            <v>0</v>
          </cell>
          <cell r="L861">
            <v>0</v>
          </cell>
          <cell r="N861">
            <v>90462.36</v>
          </cell>
          <cell r="O861">
            <v>0</v>
          </cell>
          <cell r="Q861">
            <v>0</v>
          </cell>
          <cell r="S861">
            <v>0</v>
          </cell>
          <cell r="U861">
            <v>0</v>
          </cell>
          <cell r="Y861">
            <v>12106.68</v>
          </cell>
          <cell r="AE861" t="str">
            <v>20140101KUUM_474</v>
          </cell>
        </row>
        <row r="862">
          <cell r="B862" t="str">
            <v>Oct 2014</v>
          </cell>
          <cell r="C862" t="str">
            <v>LS</v>
          </cell>
          <cell r="D862" t="str">
            <v>KUUM_475</v>
          </cell>
          <cell r="E862">
            <v>453</v>
          </cell>
          <cell r="F862">
            <v>0</v>
          </cell>
          <cell r="G862">
            <v>0</v>
          </cell>
          <cell r="H862">
            <v>0</v>
          </cell>
          <cell r="L862">
            <v>0</v>
          </cell>
          <cell r="N862">
            <v>11080.38</v>
          </cell>
          <cell r="O862">
            <v>0</v>
          </cell>
          <cell r="Q862">
            <v>0</v>
          </cell>
          <cell r="S862">
            <v>0</v>
          </cell>
          <cell r="U862">
            <v>0</v>
          </cell>
          <cell r="Y862">
            <v>2052.09</v>
          </cell>
          <cell r="AE862" t="str">
            <v>20140101KUUM_475</v>
          </cell>
        </row>
        <row r="863">
          <cell r="B863" t="str">
            <v>Oct 2014</v>
          </cell>
          <cell r="C863" t="str">
            <v>LS</v>
          </cell>
          <cell r="D863" t="str">
            <v>KUUM_476</v>
          </cell>
          <cell r="E863">
            <v>4554</v>
          </cell>
          <cell r="F863">
            <v>0</v>
          </cell>
          <cell r="G863">
            <v>0</v>
          </cell>
          <cell r="H863">
            <v>0</v>
          </cell>
          <cell r="L863">
            <v>0</v>
          </cell>
          <cell r="N863">
            <v>76461.66</v>
          </cell>
          <cell r="O863">
            <v>0</v>
          </cell>
          <cell r="Q863">
            <v>0</v>
          </cell>
          <cell r="S863">
            <v>0</v>
          </cell>
          <cell r="U863">
            <v>0</v>
          </cell>
          <cell r="Y863">
            <v>3643.2</v>
          </cell>
          <cell r="AE863" t="str">
            <v>20140101KUUM_476</v>
          </cell>
        </row>
        <row r="864">
          <cell r="B864" t="str">
            <v>Oct 2014</v>
          </cell>
          <cell r="C864" t="str">
            <v>LS</v>
          </cell>
          <cell r="D864" t="str">
            <v>KUUM_477</v>
          </cell>
          <cell r="E864">
            <v>1021</v>
          </cell>
          <cell r="F864">
            <v>0</v>
          </cell>
          <cell r="G864">
            <v>0</v>
          </cell>
          <cell r="H864">
            <v>0</v>
          </cell>
          <cell r="L864">
            <v>0</v>
          </cell>
          <cell r="N864">
            <v>21410.37</v>
          </cell>
          <cell r="O864">
            <v>0</v>
          </cell>
          <cell r="Q864">
            <v>0</v>
          </cell>
          <cell r="S864">
            <v>0</v>
          </cell>
          <cell r="U864">
            <v>0</v>
          </cell>
          <cell r="Y864">
            <v>1153.73</v>
          </cell>
          <cell r="AE864" t="str">
            <v>20140101KUUM_477</v>
          </cell>
        </row>
        <row r="865">
          <cell r="B865" t="str">
            <v>Oct 2014</v>
          </cell>
          <cell r="C865" t="str">
            <v>LS</v>
          </cell>
          <cell r="D865" t="str">
            <v>KUUM_478</v>
          </cell>
          <cell r="E865">
            <v>1391</v>
          </cell>
          <cell r="F865">
            <v>0</v>
          </cell>
          <cell r="G865">
            <v>0</v>
          </cell>
          <cell r="H865">
            <v>0</v>
          </cell>
          <cell r="L865">
            <v>0</v>
          </cell>
          <cell r="N865">
            <v>37362.26</v>
          </cell>
          <cell r="O865">
            <v>0</v>
          </cell>
          <cell r="Q865">
            <v>0</v>
          </cell>
          <cell r="S865">
            <v>0</v>
          </cell>
          <cell r="U865">
            <v>0</v>
          </cell>
          <cell r="Y865">
            <v>3241.03</v>
          </cell>
          <cell r="AE865" t="str">
            <v>20140101KUUM_478</v>
          </cell>
        </row>
        <row r="866">
          <cell r="B866" t="str">
            <v>Oct 2014</v>
          </cell>
          <cell r="C866" t="str">
            <v>LS</v>
          </cell>
          <cell r="D866" t="str">
            <v>KUUM_479</v>
          </cell>
          <cell r="E866">
            <v>999</v>
          </cell>
          <cell r="F866">
            <v>0</v>
          </cell>
          <cell r="G866">
            <v>0</v>
          </cell>
          <cell r="H866">
            <v>0</v>
          </cell>
          <cell r="L866">
            <v>0</v>
          </cell>
          <cell r="N866">
            <v>33086.879999999997</v>
          </cell>
          <cell r="O866">
            <v>0</v>
          </cell>
          <cell r="Q866">
            <v>0</v>
          </cell>
          <cell r="S866">
            <v>0</v>
          </cell>
          <cell r="U866">
            <v>0</v>
          </cell>
          <cell r="Y866">
            <v>4525.47</v>
          </cell>
          <cell r="AE866" t="str">
            <v>20140101KUUM_479</v>
          </cell>
        </row>
        <row r="867">
          <cell r="B867" t="str">
            <v>Oct 2014</v>
          </cell>
          <cell r="C867" t="str">
            <v>LS</v>
          </cell>
          <cell r="D867" t="str">
            <v>KUUM_486</v>
          </cell>
          <cell r="E867">
            <v>0</v>
          </cell>
          <cell r="F867">
            <v>0</v>
          </cell>
          <cell r="G867">
            <v>0</v>
          </cell>
          <cell r="H867">
            <v>0</v>
          </cell>
          <cell r="L867">
            <v>0</v>
          </cell>
          <cell r="N867">
            <v>0</v>
          </cell>
          <cell r="O867">
            <v>0</v>
          </cell>
          <cell r="Q867">
            <v>0</v>
          </cell>
          <cell r="S867">
            <v>0</v>
          </cell>
          <cell r="U867">
            <v>0</v>
          </cell>
          <cell r="Y867">
            <v>0</v>
          </cell>
          <cell r="AE867" t="str">
            <v>20140101KUUM_486</v>
          </cell>
        </row>
        <row r="868">
          <cell r="B868" t="str">
            <v>Oct 2014</v>
          </cell>
          <cell r="C868" t="str">
            <v>LS</v>
          </cell>
          <cell r="D868" t="str">
            <v>KUUM_487</v>
          </cell>
          <cell r="E868">
            <v>10672</v>
          </cell>
          <cell r="F868">
            <v>0</v>
          </cell>
          <cell r="G868">
            <v>0</v>
          </cell>
          <cell r="H868">
            <v>0</v>
          </cell>
          <cell r="L868">
            <v>0</v>
          </cell>
          <cell r="N868">
            <v>96048</v>
          </cell>
          <cell r="O868">
            <v>0</v>
          </cell>
          <cell r="Q868">
            <v>0</v>
          </cell>
          <cell r="S868">
            <v>0</v>
          </cell>
          <cell r="U868">
            <v>0</v>
          </cell>
          <cell r="Y868">
            <v>12059.36</v>
          </cell>
          <cell r="AE868" t="str">
            <v>20140101KUUM_487</v>
          </cell>
        </row>
        <row r="869">
          <cell r="B869" t="str">
            <v>Oct 2014</v>
          </cell>
          <cell r="C869" t="str">
            <v>LS</v>
          </cell>
          <cell r="D869" t="str">
            <v>KUUM_488</v>
          </cell>
          <cell r="E869">
            <v>6331</v>
          </cell>
          <cell r="F869">
            <v>0</v>
          </cell>
          <cell r="G869">
            <v>0</v>
          </cell>
          <cell r="H869">
            <v>0</v>
          </cell>
          <cell r="L869">
            <v>0</v>
          </cell>
          <cell r="N869">
            <v>86354.84</v>
          </cell>
          <cell r="O869">
            <v>0</v>
          </cell>
          <cell r="Q869">
            <v>0</v>
          </cell>
          <cell r="S869">
            <v>0</v>
          </cell>
          <cell r="U869">
            <v>0</v>
          </cell>
          <cell r="Y869">
            <v>14751.23</v>
          </cell>
          <cell r="AE869" t="str">
            <v>20140101KUUM_488</v>
          </cell>
        </row>
        <row r="870">
          <cell r="B870" t="str">
            <v>Oct 2014</v>
          </cell>
          <cell r="C870" t="str">
            <v>LS</v>
          </cell>
          <cell r="D870" t="str">
            <v>KUUM_489</v>
          </cell>
          <cell r="E870">
            <v>8015</v>
          </cell>
          <cell r="F870">
            <v>0</v>
          </cell>
          <cell r="G870">
            <v>0</v>
          </cell>
          <cell r="H870">
            <v>0</v>
          </cell>
          <cell r="L870">
            <v>0</v>
          </cell>
          <cell r="N870">
            <v>155971.9</v>
          </cell>
          <cell r="O870">
            <v>0</v>
          </cell>
          <cell r="Q870">
            <v>0</v>
          </cell>
          <cell r="S870">
            <v>0</v>
          </cell>
          <cell r="U870">
            <v>0</v>
          </cell>
          <cell r="Y870">
            <v>36307.949999999997</v>
          </cell>
          <cell r="AE870" t="str">
            <v>20140101KUUM_489</v>
          </cell>
        </row>
        <row r="871">
          <cell r="B871" t="str">
            <v>Oct 2014</v>
          </cell>
          <cell r="C871" t="str">
            <v>LS</v>
          </cell>
          <cell r="D871" t="str">
            <v>KUUM_490</v>
          </cell>
          <cell r="E871">
            <v>56</v>
          </cell>
          <cell r="F871">
            <v>0</v>
          </cell>
          <cell r="G871">
            <v>0</v>
          </cell>
          <cell r="H871">
            <v>0</v>
          </cell>
          <cell r="L871">
            <v>0</v>
          </cell>
          <cell r="N871">
            <v>866.32</v>
          </cell>
          <cell r="O871">
            <v>0</v>
          </cell>
          <cell r="Q871">
            <v>0</v>
          </cell>
          <cell r="S871">
            <v>0</v>
          </cell>
          <cell r="U871">
            <v>0</v>
          </cell>
          <cell r="Y871">
            <v>110.32</v>
          </cell>
          <cell r="AE871" t="str">
            <v>20140101KUUM_490</v>
          </cell>
        </row>
        <row r="872">
          <cell r="B872" t="str">
            <v>Oct 2014</v>
          </cell>
          <cell r="C872" t="str">
            <v>LS</v>
          </cell>
          <cell r="D872" t="str">
            <v>KUUM_491</v>
          </cell>
          <cell r="E872">
            <v>317</v>
          </cell>
          <cell r="F872">
            <v>0</v>
          </cell>
          <cell r="G872">
            <v>0</v>
          </cell>
          <cell r="H872">
            <v>0</v>
          </cell>
          <cell r="L872">
            <v>0</v>
          </cell>
          <cell r="N872">
            <v>6951.81</v>
          </cell>
          <cell r="O872">
            <v>0</v>
          </cell>
          <cell r="Q872">
            <v>0</v>
          </cell>
          <cell r="S872">
            <v>0</v>
          </cell>
          <cell r="U872">
            <v>0</v>
          </cell>
          <cell r="Y872">
            <v>1359.93</v>
          </cell>
          <cell r="AE872" t="str">
            <v>20140101KUUM_491</v>
          </cell>
        </row>
        <row r="873">
          <cell r="B873" t="str">
            <v>Oct 2014</v>
          </cell>
          <cell r="C873" t="str">
            <v>LS</v>
          </cell>
          <cell r="D873" t="str">
            <v>KUUM_492</v>
          </cell>
          <cell r="E873">
            <v>2</v>
          </cell>
          <cell r="F873">
            <v>0</v>
          </cell>
          <cell r="G873">
            <v>0</v>
          </cell>
          <cell r="H873">
            <v>0</v>
          </cell>
          <cell r="L873">
            <v>0</v>
          </cell>
          <cell r="N873">
            <v>30.74</v>
          </cell>
          <cell r="O873">
            <v>0</v>
          </cell>
          <cell r="Q873">
            <v>0</v>
          </cell>
          <cell r="S873">
            <v>0</v>
          </cell>
          <cell r="U873">
            <v>0</v>
          </cell>
          <cell r="Y873">
            <v>1.6</v>
          </cell>
          <cell r="AE873" t="str">
            <v>20140101KUUM_492</v>
          </cell>
        </row>
        <row r="874">
          <cell r="B874" t="str">
            <v>Oct 2014</v>
          </cell>
          <cell r="C874" t="str">
            <v>LS</v>
          </cell>
          <cell r="D874" t="str">
            <v>KUUM_493</v>
          </cell>
          <cell r="E874">
            <v>47</v>
          </cell>
          <cell r="F874">
            <v>0</v>
          </cell>
          <cell r="G874">
            <v>0</v>
          </cell>
          <cell r="H874">
            <v>0</v>
          </cell>
          <cell r="L874">
            <v>0</v>
          </cell>
          <cell r="N874">
            <v>2147.9</v>
          </cell>
          <cell r="O874">
            <v>0</v>
          </cell>
          <cell r="Q874">
            <v>0</v>
          </cell>
          <cell r="S874">
            <v>0</v>
          </cell>
          <cell r="U874">
            <v>0</v>
          </cell>
          <cell r="Y874">
            <v>489.27</v>
          </cell>
          <cell r="AE874" t="str">
            <v>20140101KUUM_493</v>
          </cell>
        </row>
        <row r="875">
          <cell r="B875" t="str">
            <v>Oct 2014</v>
          </cell>
          <cell r="C875" t="str">
            <v>LS</v>
          </cell>
          <cell r="D875" t="str">
            <v>KUUM_494</v>
          </cell>
          <cell r="E875">
            <v>191</v>
          </cell>
          <cell r="F875">
            <v>0</v>
          </cell>
          <cell r="G875">
            <v>0</v>
          </cell>
          <cell r="H875">
            <v>0</v>
          </cell>
          <cell r="L875">
            <v>0</v>
          </cell>
          <cell r="N875">
            <v>5418.67</v>
          </cell>
          <cell r="O875">
            <v>0</v>
          </cell>
          <cell r="Q875">
            <v>0</v>
          </cell>
          <cell r="S875">
            <v>0</v>
          </cell>
          <cell r="U875">
            <v>0</v>
          </cell>
          <cell r="Y875">
            <v>376.27</v>
          </cell>
          <cell r="AE875" t="str">
            <v>20140101KUUM_494</v>
          </cell>
        </row>
        <row r="876">
          <cell r="B876" t="str">
            <v>Oct 2014</v>
          </cell>
          <cell r="C876" t="str">
            <v>LS</v>
          </cell>
          <cell r="D876" t="str">
            <v>KUUM_495</v>
          </cell>
          <cell r="E876">
            <v>624</v>
          </cell>
          <cell r="F876">
            <v>0</v>
          </cell>
          <cell r="G876">
            <v>0</v>
          </cell>
          <cell r="H876">
            <v>0</v>
          </cell>
          <cell r="L876">
            <v>0</v>
          </cell>
          <cell r="N876">
            <v>21733.919999999998</v>
          </cell>
          <cell r="O876">
            <v>0</v>
          </cell>
          <cell r="Q876">
            <v>0</v>
          </cell>
          <cell r="S876">
            <v>0</v>
          </cell>
          <cell r="U876">
            <v>0</v>
          </cell>
          <cell r="Y876">
            <v>2676.96</v>
          </cell>
          <cell r="AE876" t="str">
            <v>20140101KUUM_495</v>
          </cell>
        </row>
        <row r="877">
          <cell r="B877" t="str">
            <v>Oct 2014</v>
          </cell>
          <cell r="C877" t="str">
            <v>LS</v>
          </cell>
          <cell r="D877" t="str">
            <v>KUUM_496</v>
          </cell>
          <cell r="E877">
            <v>159</v>
          </cell>
          <cell r="F877">
            <v>0</v>
          </cell>
          <cell r="G877">
            <v>0</v>
          </cell>
          <cell r="H877">
            <v>0</v>
          </cell>
          <cell r="L877">
            <v>0</v>
          </cell>
          <cell r="N877">
            <v>9315.81</v>
          </cell>
          <cell r="O877">
            <v>0</v>
          </cell>
          <cell r="Q877">
            <v>0</v>
          </cell>
          <cell r="S877">
            <v>0</v>
          </cell>
          <cell r="U877">
            <v>0</v>
          </cell>
          <cell r="Y877">
            <v>1655.19</v>
          </cell>
          <cell r="AE877" t="str">
            <v>20140101KUUM_496</v>
          </cell>
        </row>
        <row r="878">
          <cell r="B878" t="str">
            <v>Oct 2014</v>
          </cell>
          <cell r="C878" t="str">
            <v>LS</v>
          </cell>
          <cell r="D878" t="str">
            <v>KUUM_497</v>
          </cell>
          <cell r="E878">
            <v>7</v>
          </cell>
          <cell r="F878">
            <v>0</v>
          </cell>
          <cell r="G878">
            <v>0</v>
          </cell>
          <cell r="H878">
            <v>0</v>
          </cell>
          <cell r="L878">
            <v>0</v>
          </cell>
          <cell r="N878">
            <v>107.45</v>
          </cell>
          <cell r="O878">
            <v>0</v>
          </cell>
          <cell r="Q878">
            <v>0</v>
          </cell>
          <cell r="S878">
            <v>0</v>
          </cell>
          <cell r="U878">
            <v>0</v>
          </cell>
          <cell r="Y878">
            <v>7.91</v>
          </cell>
          <cell r="AE878" t="str">
            <v>20140101KUUM_497</v>
          </cell>
        </row>
        <row r="879">
          <cell r="B879" t="str">
            <v>Oct 2014</v>
          </cell>
          <cell r="C879" t="str">
            <v>LS</v>
          </cell>
          <cell r="D879" t="str">
            <v>KUUM_498</v>
          </cell>
          <cell r="E879">
            <v>20</v>
          </cell>
          <cell r="F879">
            <v>0</v>
          </cell>
          <cell r="G879">
            <v>0</v>
          </cell>
          <cell r="H879">
            <v>0</v>
          </cell>
          <cell r="L879">
            <v>0</v>
          </cell>
          <cell r="N879">
            <v>354.4</v>
          </cell>
          <cell r="O879">
            <v>0</v>
          </cell>
          <cell r="Q879">
            <v>0</v>
          </cell>
          <cell r="S879">
            <v>0</v>
          </cell>
          <cell r="U879">
            <v>0</v>
          </cell>
          <cell r="Y879">
            <v>46.6</v>
          </cell>
          <cell r="AE879" t="str">
            <v>20140101KUUM_498</v>
          </cell>
        </row>
        <row r="880">
          <cell r="B880" t="str">
            <v>Oct 2014</v>
          </cell>
          <cell r="C880" t="str">
            <v>LS</v>
          </cell>
          <cell r="D880" t="str">
            <v>KUUM_499</v>
          </cell>
          <cell r="E880">
            <v>22</v>
          </cell>
          <cell r="F880">
            <v>0</v>
          </cell>
          <cell r="G880">
            <v>0</v>
          </cell>
          <cell r="H880">
            <v>0</v>
          </cell>
          <cell r="L880">
            <v>0</v>
          </cell>
          <cell r="N880">
            <v>472.78</v>
          </cell>
          <cell r="O880">
            <v>0</v>
          </cell>
          <cell r="Q880">
            <v>0</v>
          </cell>
          <cell r="S880">
            <v>0</v>
          </cell>
          <cell r="U880">
            <v>0</v>
          </cell>
          <cell r="Y880">
            <v>99.66</v>
          </cell>
          <cell r="AE880" t="str">
            <v>20140101KUUM_499</v>
          </cell>
        </row>
        <row r="881">
          <cell r="B881" t="str">
            <v>Oct 2014</v>
          </cell>
          <cell r="C881" t="str">
            <v>ODL</v>
          </cell>
          <cell r="D881" t="str">
            <v>ODL</v>
          </cell>
          <cell r="E881">
            <v>0</v>
          </cell>
          <cell r="F881">
            <v>0</v>
          </cell>
          <cell r="G881">
            <v>10491976</v>
          </cell>
          <cell r="H881">
            <v>0</v>
          </cell>
          <cell r="L881">
            <v>0</v>
          </cell>
          <cell r="N881">
            <v>0</v>
          </cell>
          <cell r="O881">
            <v>2082944.25</v>
          </cell>
          <cell r="Q881">
            <v>8074</v>
          </cell>
          <cell r="S881">
            <v>39285</v>
          </cell>
          <cell r="U881">
            <v>2130303.25</v>
          </cell>
          <cell r="Y881">
            <v>0</v>
          </cell>
          <cell r="AE881" t="str">
            <v>20140101ODL</v>
          </cell>
        </row>
        <row r="882">
          <cell r="B882" t="str">
            <v>Nov 2014</v>
          </cell>
          <cell r="C882" t="str">
            <v>LS</v>
          </cell>
          <cell r="D882" t="str">
            <v>KUUM_300</v>
          </cell>
          <cell r="E882">
            <v>0</v>
          </cell>
          <cell r="F882">
            <v>0</v>
          </cell>
          <cell r="G882">
            <v>0</v>
          </cell>
          <cell r="H882">
            <v>0</v>
          </cell>
          <cell r="L882">
            <v>0</v>
          </cell>
          <cell r="N882">
            <v>0</v>
          </cell>
          <cell r="O882">
            <v>0</v>
          </cell>
          <cell r="Q882">
            <v>0</v>
          </cell>
          <cell r="S882">
            <v>0</v>
          </cell>
          <cell r="U882">
            <v>0</v>
          </cell>
          <cell r="Y882">
            <v>0</v>
          </cell>
          <cell r="AE882" t="str">
            <v>20140101KUUM_300</v>
          </cell>
        </row>
        <row r="883">
          <cell r="B883" t="str">
            <v>Nov 2014</v>
          </cell>
          <cell r="C883" t="str">
            <v>LS</v>
          </cell>
          <cell r="D883" t="str">
            <v>KUUM_301</v>
          </cell>
          <cell r="E883">
            <v>0</v>
          </cell>
          <cell r="F883">
            <v>0</v>
          </cell>
          <cell r="G883">
            <v>0</v>
          </cell>
          <cell r="H883">
            <v>0</v>
          </cell>
          <cell r="L883">
            <v>0</v>
          </cell>
          <cell r="N883">
            <v>0</v>
          </cell>
          <cell r="O883">
            <v>0</v>
          </cell>
          <cell r="Q883">
            <v>0</v>
          </cell>
          <cell r="S883">
            <v>0</v>
          </cell>
          <cell r="U883">
            <v>0</v>
          </cell>
          <cell r="Y883">
            <v>0</v>
          </cell>
          <cell r="AE883" t="str">
            <v>20140101KUUM_301</v>
          </cell>
        </row>
        <row r="884">
          <cell r="B884" t="str">
            <v>Nov 2014</v>
          </cell>
          <cell r="C884" t="str">
            <v>LS</v>
          </cell>
          <cell r="D884" t="str">
            <v>KUUM_360</v>
          </cell>
          <cell r="E884">
            <v>172</v>
          </cell>
          <cell r="F884">
            <v>0</v>
          </cell>
          <cell r="G884">
            <v>0</v>
          </cell>
          <cell r="H884">
            <v>0</v>
          </cell>
          <cell r="L884">
            <v>0</v>
          </cell>
          <cell r="N884">
            <v>9516.76</v>
          </cell>
          <cell r="O884">
            <v>0</v>
          </cell>
          <cell r="Q884">
            <v>0</v>
          </cell>
          <cell r="S884">
            <v>0</v>
          </cell>
          <cell r="U884">
            <v>0</v>
          </cell>
          <cell r="Y884">
            <v>301</v>
          </cell>
          <cell r="AE884" t="str">
            <v>20140101KUUM_360</v>
          </cell>
        </row>
        <row r="885">
          <cell r="B885" t="str">
            <v>Nov 2014</v>
          </cell>
          <cell r="C885" t="str">
            <v>LS</v>
          </cell>
          <cell r="D885" t="str">
            <v>KUUM_361</v>
          </cell>
          <cell r="E885">
            <v>26</v>
          </cell>
          <cell r="F885">
            <v>0</v>
          </cell>
          <cell r="G885">
            <v>0</v>
          </cell>
          <cell r="H885">
            <v>0</v>
          </cell>
          <cell r="L885">
            <v>0</v>
          </cell>
          <cell r="N885">
            <v>2162.16</v>
          </cell>
          <cell r="O885">
            <v>0</v>
          </cell>
          <cell r="Q885">
            <v>0</v>
          </cell>
          <cell r="S885">
            <v>0</v>
          </cell>
          <cell r="U885">
            <v>0</v>
          </cell>
          <cell r="Y885">
            <v>45.5</v>
          </cell>
          <cell r="AE885" t="str">
            <v>20140101KUUM_361</v>
          </cell>
        </row>
        <row r="886">
          <cell r="B886" t="str">
            <v>Nov 2014</v>
          </cell>
          <cell r="C886" t="str">
            <v>LS</v>
          </cell>
          <cell r="D886" t="str">
            <v>KUUM_362</v>
          </cell>
          <cell r="E886">
            <v>44</v>
          </cell>
          <cell r="F886">
            <v>0</v>
          </cell>
          <cell r="G886">
            <v>0</v>
          </cell>
          <cell r="H886">
            <v>0</v>
          </cell>
          <cell r="L886">
            <v>0</v>
          </cell>
          <cell r="N886">
            <v>2630.32</v>
          </cell>
          <cell r="O886">
            <v>0</v>
          </cell>
          <cell r="Q886">
            <v>0</v>
          </cell>
          <cell r="S886">
            <v>0</v>
          </cell>
          <cell r="U886">
            <v>0</v>
          </cell>
          <cell r="Y886">
            <v>77</v>
          </cell>
          <cell r="AE886" t="str">
            <v>20140101KUUM_362</v>
          </cell>
        </row>
        <row r="887">
          <cell r="B887" t="str">
            <v>Nov 2014</v>
          </cell>
          <cell r="C887" t="str">
            <v>LS</v>
          </cell>
          <cell r="D887" t="str">
            <v>KUUM_363</v>
          </cell>
          <cell r="E887">
            <v>5</v>
          </cell>
          <cell r="F887">
            <v>0</v>
          </cell>
          <cell r="G887">
            <v>0</v>
          </cell>
          <cell r="H887">
            <v>0</v>
          </cell>
          <cell r="L887">
            <v>0</v>
          </cell>
          <cell r="N887">
            <v>308.75</v>
          </cell>
          <cell r="O887">
            <v>0</v>
          </cell>
          <cell r="Q887">
            <v>0</v>
          </cell>
          <cell r="S887">
            <v>0</v>
          </cell>
          <cell r="U887">
            <v>0</v>
          </cell>
          <cell r="Y887">
            <v>8.75</v>
          </cell>
          <cell r="AE887" t="str">
            <v>20140101KUUM_363</v>
          </cell>
        </row>
        <row r="888">
          <cell r="B888" t="str">
            <v>Nov 2014</v>
          </cell>
          <cell r="C888" t="str">
            <v>LS</v>
          </cell>
          <cell r="D888" t="str">
            <v>KUUM_364</v>
          </cell>
          <cell r="E888">
            <v>1</v>
          </cell>
          <cell r="F888">
            <v>0</v>
          </cell>
          <cell r="G888">
            <v>0</v>
          </cell>
          <cell r="H888">
            <v>0</v>
          </cell>
          <cell r="L888">
            <v>0</v>
          </cell>
          <cell r="N888">
            <v>63.11</v>
          </cell>
          <cell r="O888">
            <v>0</v>
          </cell>
          <cell r="Q888">
            <v>0</v>
          </cell>
          <cell r="S888">
            <v>0</v>
          </cell>
          <cell r="U888">
            <v>0</v>
          </cell>
          <cell r="Y888">
            <v>1.75</v>
          </cell>
          <cell r="AE888" t="str">
            <v>20140101KUUM_364</v>
          </cell>
        </row>
        <row r="889">
          <cell r="B889" t="str">
            <v>Nov 2014</v>
          </cell>
          <cell r="C889" t="str">
            <v>LS</v>
          </cell>
          <cell r="D889" t="str">
            <v>KUUM_365</v>
          </cell>
          <cell r="E889">
            <v>5</v>
          </cell>
          <cell r="F889">
            <v>0</v>
          </cell>
          <cell r="G889">
            <v>0</v>
          </cell>
          <cell r="H889">
            <v>0</v>
          </cell>
          <cell r="L889">
            <v>0</v>
          </cell>
          <cell r="N889">
            <v>404.7</v>
          </cell>
          <cell r="O889">
            <v>0</v>
          </cell>
          <cell r="Q889">
            <v>0</v>
          </cell>
          <cell r="S889">
            <v>0</v>
          </cell>
          <cell r="U889">
            <v>0</v>
          </cell>
          <cell r="Y889">
            <v>8.75</v>
          </cell>
          <cell r="AE889" t="str">
            <v>20140101KUUM_365</v>
          </cell>
        </row>
        <row r="890">
          <cell r="B890" t="str">
            <v>Nov 2014</v>
          </cell>
          <cell r="C890" t="str">
            <v>LS</v>
          </cell>
          <cell r="D890" t="str">
            <v>KUUM_366</v>
          </cell>
          <cell r="E890">
            <v>10</v>
          </cell>
          <cell r="F890">
            <v>0</v>
          </cell>
          <cell r="G890">
            <v>0</v>
          </cell>
          <cell r="H890">
            <v>0</v>
          </cell>
          <cell r="L890">
            <v>0</v>
          </cell>
          <cell r="N890">
            <v>789.7</v>
          </cell>
          <cell r="O890">
            <v>0</v>
          </cell>
          <cell r="Q890">
            <v>0</v>
          </cell>
          <cell r="S890">
            <v>0</v>
          </cell>
          <cell r="U890">
            <v>0</v>
          </cell>
          <cell r="Y890">
            <v>17.5</v>
          </cell>
          <cell r="AE890" t="str">
            <v>20140101KUUM_366</v>
          </cell>
        </row>
        <row r="891">
          <cell r="B891" t="str">
            <v>Nov 2014</v>
          </cell>
          <cell r="C891" t="str">
            <v>LS</v>
          </cell>
          <cell r="D891" t="str">
            <v>KUUM_367</v>
          </cell>
          <cell r="E891">
            <v>24</v>
          </cell>
          <cell r="F891">
            <v>0</v>
          </cell>
          <cell r="G891">
            <v>0</v>
          </cell>
          <cell r="H891">
            <v>0</v>
          </cell>
          <cell r="L891">
            <v>0</v>
          </cell>
          <cell r="N891">
            <v>1469.52</v>
          </cell>
          <cell r="O891">
            <v>0</v>
          </cell>
          <cell r="Q891">
            <v>0</v>
          </cell>
          <cell r="S891">
            <v>0</v>
          </cell>
          <cell r="U891">
            <v>0</v>
          </cell>
          <cell r="Y891">
            <v>42</v>
          </cell>
          <cell r="AE891" t="str">
            <v>20140101KUUM_367</v>
          </cell>
        </row>
        <row r="892">
          <cell r="B892" t="str">
            <v>Nov 2014</v>
          </cell>
          <cell r="C892" t="str">
            <v>LS</v>
          </cell>
          <cell r="D892" t="str">
            <v>KUUM_368</v>
          </cell>
          <cell r="E892">
            <v>1</v>
          </cell>
          <cell r="F892">
            <v>0</v>
          </cell>
          <cell r="G892">
            <v>0</v>
          </cell>
          <cell r="H892">
            <v>0</v>
          </cell>
          <cell r="L892">
            <v>0</v>
          </cell>
          <cell r="N892">
            <v>56.69</v>
          </cell>
          <cell r="O892">
            <v>0</v>
          </cell>
          <cell r="Q892">
            <v>0</v>
          </cell>
          <cell r="S892">
            <v>0</v>
          </cell>
          <cell r="U892">
            <v>0</v>
          </cell>
          <cell r="Y892">
            <v>1.75</v>
          </cell>
          <cell r="AE892" t="str">
            <v>20140101KUUM_368</v>
          </cell>
        </row>
        <row r="893">
          <cell r="B893" t="str">
            <v>Nov 2014</v>
          </cell>
          <cell r="C893" t="str">
            <v>LS</v>
          </cell>
          <cell r="D893" t="str">
            <v>KUUM_370</v>
          </cell>
          <cell r="E893">
            <v>16</v>
          </cell>
          <cell r="F893">
            <v>0</v>
          </cell>
          <cell r="G893">
            <v>0</v>
          </cell>
          <cell r="H893">
            <v>0</v>
          </cell>
          <cell r="L893">
            <v>0</v>
          </cell>
          <cell r="N893">
            <v>1192.32</v>
          </cell>
          <cell r="O893">
            <v>0</v>
          </cell>
          <cell r="Q893">
            <v>0</v>
          </cell>
          <cell r="S893">
            <v>0</v>
          </cell>
          <cell r="U893">
            <v>0</v>
          </cell>
          <cell r="Y893">
            <v>28</v>
          </cell>
          <cell r="AE893" t="str">
            <v>20140101KUUM_370</v>
          </cell>
        </row>
        <row r="894">
          <cell r="B894" t="str">
            <v>Nov 2014</v>
          </cell>
          <cell r="C894" t="str">
            <v>LS</v>
          </cell>
          <cell r="D894" t="str">
            <v>KUUM_372</v>
          </cell>
          <cell r="E894">
            <v>1</v>
          </cell>
          <cell r="F894">
            <v>0</v>
          </cell>
          <cell r="G894">
            <v>0</v>
          </cell>
          <cell r="H894">
            <v>0</v>
          </cell>
          <cell r="L894">
            <v>0</v>
          </cell>
          <cell r="N894">
            <v>82.3</v>
          </cell>
          <cell r="O894">
            <v>0</v>
          </cell>
          <cell r="Q894">
            <v>0</v>
          </cell>
          <cell r="S894">
            <v>0</v>
          </cell>
          <cell r="U894">
            <v>0</v>
          </cell>
          <cell r="Y894">
            <v>1.75</v>
          </cell>
          <cell r="AE894" t="str">
            <v>20140101KUUM_372</v>
          </cell>
        </row>
        <row r="895">
          <cell r="B895" t="str">
            <v>Nov 2014</v>
          </cell>
          <cell r="C895" t="str">
            <v>LS</v>
          </cell>
          <cell r="D895" t="str">
            <v>KUUM_373</v>
          </cell>
          <cell r="E895">
            <v>19</v>
          </cell>
          <cell r="F895">
            <v>0</v>
          </cell>
          <cell r="G895">
            <v>0</v>
          </cell>
          <cell r="H895">
            <v>0</v>
          </cell>
          <cell r="L895">
            <v>0</v>
          </cell>
          <cell r="N895">
            <v>1415.88</v>
          </cell>
          <cell r="O895">
            <v>0</v>
          </cell>
          <cell r="Q895">
            <v>0</v>
          </cell>
          <cell r="S895">
            <v>0</v>
          </cell>
          <cell r="U895">
            <v>0</v>
          </cell>
          <cell r="Y895">
            <v>33.25</v>
          </cell>
          <cell r="AE895" t="str">
            <v>20140101KUUM_373</v>
          </cell>
        </row>
        <row r="896">
          <cell r="B896" t="str">
            <v>Nov 2014</v>
          </cell>
          <cell r="C896" t="str">
            <v>LS</v>
          </cell>
          <cell r="D896" t="str">
            <v>KUUM_374</v>
          </cell>
          <cell r="E896">
            <v>4</v>
          </cell>
          <cell r="F896">
            <v>0</v>
          </cell>
          <cell r="G896">
            <v>0</v>
          </cell>
          <cell r="H896">
            <v>0</v>
          </cell>
          <cell r="L896">
            <v>0</v>
          </cell>
          <cell r="N896">
            <v>303.52</v>
          </cell>
          <cell r="O896">
            <v>0</v>
          </cell>
          <cell r="Q896">
            <v>0</v>
          </cell>
          <cell r="S896">
            <v>0</v>
          </cell>
          <cell r="U896">
            <v>0</v>
          </cell>
          <cell r="Y896">
            <v>7</v>
          </cell>
          <cell r="AE896" t="str">
            <v>20140101KUUM_374</v>
          </cell>
        </row>
        <row r="897">
          <cell r="B897" t="str">
            <v>Nov 2014</v>
          </cell>
          <cell r="C897" t="str">
            <v>LS</v>
          </cell>
          <cell r="D897" t="str">
            <v>KUUM_375</v>
          </cell>
          <cell r="E897">
            <v>3</v>
          </cell>
          <cell r="F897">
            <v>0</v>
          </cell>
          <cell r="G897">
            <v>0</v>
          </cell>
          <cell r="H897">
            <v>0</v>
          </cell>
          <cell r="L897">
            <v>0</v>
          </cell>
          <cell r="N897">
            <v>236.91</v>
          </cell>
          <cell r="O897">
            <v>0</v>
          </cell>
          <cell r="Q897">
            <v>0</v>
          </cell>
          <cell r="S897">
            <v>0</v>
          </cell>
          <cell r="U897">
            <v>0</v>
          </cell>
          <cell r="Y897">
            <v>5.25</v>
          </cell>
          <cell r="AE897" t="str">
            <v>20140101KUUM_375</v>
          </cell>
        </row>
        <row r="898">
          <cell r="B898" t="str">
            <v>Nov 2014</v>
          </cell>
          <cell r="C898" t="str">
            <v>LS</v>
          </cell>
          <cell r="D898" t="str">
            <v>KUUM_376</v>
          </cell>
          <cell r="E898">
            <v>2</v>
          </cell>
          <cell r="F898">
            <v>0</v>
          </cell>
          <cell r="G898">
            <v>0</v>
          </cell>
          <cell r="H898">
            <v>0</v>
          </cell>
          <cell r="L898">
            <v>0</v>
          </cell>
          <cell r="N898">
            <v>154.52000000000001</v>
          </cell>
          <cell r="O898">
            <v>0</v>
          </cell>
          <cell r="Q898">
            <v>0</v>
          </cell>
          <cell r="S898">
            <v>0</v>
          </cell>
          <cell r="U898">
            <v>0</v>
          </cell>
          <cell r="Y898">
            <v>3.5</v>
          </cell>
          <cell r="AE898" t="str">
            <v>20140101KUUM_376</v>
          </cell>
        </row>
        <row r="899">
          <cell r="B899" t="str">
            <v>Nov 2014</v>
          </cell>
          <cell r="C899" t="str">
            <v>LS</v>
          </cell>
          <cell r="D899" t="str">
            <v>KUUM_377</v>
          </cell>
          <cell r="E899">
            <v>49</v>
          </cell>
          <cell r="F899">
            <v>0</v>
          </cell>
          <cell r="G899">
            <v>0</v>
          </cell>
          <cell r="H899">
            <v>0</v>
          </cell>
          <cell r="L899">
            <v>0</v>
          </cell>
          <cell r="N899">
            <v>3145.31</v>
          </cell>
          <cell r="O899">
            <v>0</v>
          </cell>
          <cell r="Q899">
            <v>0</v>
          </cell>
          <cell r="S899">
            <v>0</v>
          </cell>
          <cell r="U899">
            <v>0</v>
          </cell>
          <cell r="Y899">
            <v>85.75</v>
          </cell>
          <cell r="AE899" t="str">
            <v>20140101KUUM_377</v>
          </cell>
        </row>
        <row r="900">
          <cell r="B900" t="str">
            <v>Nov 2014</v>
          </cell>
          <cell r="C900" t="str">
            <v>LS</v>
          </cell>
          <cell r="D900" t="str">
            <v>KUUM_378</v>
          </cell>
          <cell r="E900">
            <v>2</v>
          </cell>
          <cell r="F900">
            <v>0</v>
          </cell>
          <cell r="G900">
            <v>0</v>
          </cell>
          <cell r="H900">
            <v>0</v>
          </cell>
          <cell r="L900">
            <v>0</v>
          </cell>
          <cell r="N900">
            <v>151.80000000000001</v>
          </cell>
          <cell r="O900">
            <v>0</v>
          </cell>
          <cell r="Q900">
            <v>0</v>
          </cell>
          <cell r="S900">
            <v>0</v>
          </cell>
          <cell r="U900">
            <v>0</v>
          </cell>
          <cell r="Y900">
            <v>3.5</v>
          </cell>
          <cell r="AE900" t="str">
            <v>20140101KUUM_378</v>
          </cell>
        </row>
        <row r="901">
          <cell r="B901" t="str">
            <v>Nov 2014</v>
          </cell>
          <cell r="C901" t="str">
            <v>LS</v>
          </cell>
          <cell r="D901" t="str">
            <v>KUUM_401</v>
          </cell>
          <cell r="E901">
            <v>45</v>
          </cell>
          <cell r="F901">
            <v>0</v>
          </cell>
          <cell r="G901">
            <v>0</v>
          </cell>
          <cell r="H901">
            <v>0</v>
          </cell>
          <cell r="L901">
            <v>0</v>
          </cell>
          <cell r="N901">
            <v>668.7</v>
          </cell>
          <cell r="O901">
            <v>0</v>
          </cell>
          <cell r="Q901">
            <v>0</v>
          </cell>
          <cell r="S901">
            <v>0</v>
          </cell>
          <cell r="U901">
            <v>0</v>
          </cell>
          <cell r="Y901">
            <v>36</v>
          </cell>
          <cell r="AE901" t="str">
            <v>20140101KUUM_401</v>
          </cell>
        </row>
        <row r="902">
          <cell r="B902" t="str">
            <v>Nov 2014</v>
          </cell>
          <cell r="C902" t="str">
            <v>RLS</v>
          </cell>
          <cell r="D902" t="str">
            <v>KUUM_404</v>
          </cell>
          <cell r="E902">
            <v>7082</v>
          </cell>
          <cell r="F902">
            <v>0</v>
          </cell>
          <cell r="G902">
            <v>0</v>
          </cell>
          <cell r="H902">
            <v>0</v>
          </cell>
          <cell r="L902">
            <v>0</v>
          </cell>
          <cell r="N902">
            <v>74856.740000000005</v>
          </cell>
          <cell r="O902">
            <v>0</v>
          </cell>
          <cell r="Q902">
            <v>0</v>
          </cell>
          <cell r="S902">
            <v>0</v>
          </cell>
          <cell r="U902">
            <v>0</v>
          </cell>
          <cell r="Y902">
            <v>14093.18</v>
          </cell>
          <cell r="AE902" t="str">
            <v>20140101KUUM_404</v>
          </cell>
        </row>
        <row r="903">
          <cell r="B903" t="str">
            <v>Nov 2014</v>
          </cell>
          <cell r="C903" t="str">
            <v>RLS</v>
          </cell>
          <cell r="D903" t="str">
            <v>KUUM_405</v>
          </cell>
          <cell r="E903">
            <v>0</v>
          </cell>
          <cell r="F903">
            <v>0</v>
          </cell>
          <cell r="G903">
            <v>0</v>
          </cell>
          <cell r="H903">
            <v>0</v>
          </cell>
          <cell r="L903">
            <v>0</v>
          </cell>
          <cell r="N903">
            <v>0</v>
          </cell>
          <cell r="O903">
            <v>0</v>
          </cell>
          <cell r="Q903">
            <v>0</v>
          </cell>
          <cell r="S903">
            <v>0</v>
          </cell>
          <cell r="U903">
            <v>0</v>
          </cell>
          <cell r="Y903">
            <v>0</v>
          </cell>
          <cell r="AE903" t="str">
            <v>20140101KUUM_405</v>
          </cell>
        </row>
        <row r="904">
          <cell r="B904" t="str">
            <v>Nov 2014</v>
          </cell>
          <cell r="C904" t="str">
            <v>LS</v>
          </cell>
          <cell r="D904" t="str">
            <v>KUUM_407</v>
          </cell>
          <cell r="E904">
            <v>0</v>
          </cell>
          <cell r="F904">
            <v>0</v>
          </cell>
          <cell r="G904">
            <v>0</v>
          </cell>
          <cell r="H904">
            <v>0</v>
          </cell>
          <cell r="L904">
            <v>0</v>
          </cell>
          <cell r="N904">
            <v>0</v>
          </cell>
          <cell r="O904">
            <v>0</v>
          </cell>
          <cell r="Q904">
            <v>0</v>
          </cell>
          <cell r="S904">
            <v>0</v>
          </cell>
          <cell r="U904">
            <v>0</v>
          </cell>
          <cell r="Y904">
            <v>0</v>
          </cell>
          <cell r="AE904" t="str">
            <v>20140101KUUM_407</v>
          </cell>
        </row>
        <row r="905">
          <cell r="B905" t="str">
            <v>Nov 2014</v>
          </cell>
          <cell r="C905" t="str">
            <v>RLS</v>
          </cell>
          <cell r="D905" t="str">
            <v>KUUM_409</v>
          </cell>
          <cell r="E905">
            <v>133</v>
          </cell>
          <cell r="F905">
            <v>0</v>
          </cell>
          <cell r="G905">
            <v>0</v>
          </cell>
          <cell r="H905">
            <v>0</v>
          </cell>
          <cell r="L905">
            <v>0</v>
          </cell>
          <cell r="N905">
            <v>1557.43</v>
          </cell>
          <cell r="O905">
            <v>0</v>
          </cell>
          <cell r="Q905">
            <v>0</v>
          </cell>
          <cell r="S905">
            <v>0</v>
          </cell>
          <cell r="U905">
            <v>0</v>
          </cell>
          <cell r="Y905">
            <v>602.49</v>
          </cell>
          <cell r="AE905" t="str">
            <v>20140101KUUM_409</v>
          </cell>
        </row>
        <row r="906">
          <cell r="B906" t="str">
            <v>Nov 2014</v>
          </cell>
          <cell r="C906" t="str">
            <v>RLS</v>
          </cell>
          <cell r="D906" t="str">
            <v>KUUM_410</v>
          </cell>
          <cell r="E906">
            <v>236</v>
          </cell>
          <cell r="F906">
            <v>0</v>
          </cell>
          <cell r="G906">
            <v>0</v>
          </cell>
          <cell r="H906">
            <v>0</v>
          </cell>
          <cell r="L906">
            <v>0</v>
          </cell>
          <cell r="N906">
            <v>4781.3599999999997</v>
          </cell>
          <cell r="O906">
            <v>0</v>
          </cell>
          <cell r="Q906">
            <v>0</v>
          </cell>
          <cell r="S906">
            <v>0</v>
          </cell>
          <cell r="U906">
            <v>0</v>
          </cell>
          <cell r="Y906">
            <v>134.52000000000001</v>
          </cell>
          <cell r="AE906" t="str">
            <v>20140101KUUM_410</v>
          </cell>
        </row>
        <row r="907">
          <cell r="B907" t="str">
            <v>Nov 2014</v>
          </cell>
          <cell r="C907" t="str">
            <v>LS</v>
          </cell>
          <cell r="D907" t="str">
            <v>KUUM_411</v>
          </cell>
          <cell r="E907">
            <v>142</v>
          </cell>
          <cell r="F907">
            <v>0</v>
          </cell>
          <cell r="G907">
            <v>0</v>
          </cell>
          <cell r="H907">
            <v>0</v>
          </cell>
          <cell r="L907">
            <v>0</v>
          </cell>
          <cell r="N907">
            <v>3035.96</v>
          </cell>
          <cell r="O907">
            <v>0</v>
          </cell>
          <cell r="Q907">
            <v>0</v>
          </cell>
          <cell r="S907">
            <v>0</v>
          </cell>
          <cell r="U907">
            <v>0</v>
          </cell>
          <cell r="Y907">
            <v>113.6</v>
          </cell>
          <cell r="AE907" t="str">
            <v>20140101KUUM_411</v>
          </cell>
        </row>
        <row r="908">
          <cell r="B908" t="str">
            <v>Nov 2014</v>
          </cell>
          <cell r="C908" t="str">
            <v>RLS</v>
          </cell>
          <cell r="D908" t="str">
            <v>KUUM_412</v>
          </cell>
          <cell r="E908">
            <v>28</v>
          </cell>
          <cell r="F908">
            <v>0</v>
          </cell>
          <cell r="G908">
            <v>0</v>
          </cell>
          <cell r="H908">
            <v>0</v>
          </cell>
          <cell r="L908">
            <v>0</v>
          </cell>
          <cell r="N908">
            <v>863.52</v>
          </cell>
          <cell r="O908">
            <v>0</v>
          </cell>
          <cell r="Q908">
            <v>0</v>
          </cell>
          <cell r="S908">
            <v>0</v>
          </cell>
          <cell r="U908">
            <v>0</v>
          </cell>
          <cell r="Y908">
            <v>22.4</v>
          </cell>
          <cell r="AE908" t="str">
            <v>20140101KUUM_412</v>
          </cell>
        </row>
        <row r="909">
          <cell r="B909" t="str">
            <v>Nov 2014</v>
          </cell>
          <cell r="C909" t="str">
            <v>RLS</v>
          </cell>
          <cell r="D909" t="str">
            <v>KUUM_413</v>
          </cell>
          <cell r="E909">
            <v>95</v>
          </cell>
          <cell r="F909">
            <v>0</v>
          </cell>
          <cell r="G909">
            <v>0</v>
          </cell>
          <cell r="H909">
            <v>0</v>
          </cell>
          <cell r="L909">
            <v>0</v>
          </cell>
          <cell r="N909">
            <v>2965.9</v>
          </cell>
          <cell r="O909">
            <v>0</v>
          </cell>
          <cell r="Q909">
            <v>0</v>
          </cell>
          <cell r="S909">
            <v>0</v>
          </cell>
          <cell r="U909">
            <v>0</v>
          </cell>
          <cell r="Y909">
            <v>107.35</v>
          </cell>
          <cell r="AE909" t="str">
            <v>20140101KUUM_413</v>
          </cell>
        </row>
        <row r="910">
          <cell r="B910" t="str">
            <v>Nov 2014</v>
          </cell>
          <cell r="C910" t="str">
            <v>LS</v>
          </cell>
          <cell r="D910" t="str">
            <v>KUUM_414</v>
          </cell>
          <cell r="E910">
            <v>21</v>
          </cell>
          <cell r="F910">
            <v>0</v>
          </cell>
          <cell r="G910">
            <v>0</v>
          </cell>
          <cell r="H910">
            <v>0</v>
          </cell>
          <cell r="L910">
            <v>0</v>
          </cell>
          <cell r="N910">
            <v>647.64</v>
          </cell>
          <cell r="O910">
            <v>0</v>
          </cell>
          <cell r="Q910">
            <v>0</v>
          </cell>
          <cell r="S910">
            <v>0</v>
          </cell>
          <cell r="U910">
            <v>0</v>
          </cell>
          <cell r="Y910">
            <v>16.8</v>
          </cell>
          <cell r="AE910" t="str">
            <v>20140101KUUM_414</v>
          </cell>
        </row>
        <row r="911">
          <cell r="B911" t="str">
            <v>Nov 2014</v>
          </cell>
          <cell r="C911" t="str">
            <v>LS</v>
          </cell>
          <cell r="D911" t="str">
            <v>KUUM_415</v>
          </cell>
          <cell r="E911">
            <v>10</v>
          </cell>
          <cell r="F911">
            <v>0</v>
          </cell>
          <cell r="G911">
            <v>0</v>
          </cell>
          <cell r="H911">
            <v>0</v>
          </cell>
          <cell r="L911">
            <v>0</v>
          </cell>
          <cell r="N911">
            <v>312.2</v>
          </cell>
          <cell r="O911">
            <v>0</v>
          </cell>
          <cell r="Q911">
            <v>0</v>
          </cell>
          <cell r="S911">
            <v>0</v>
          </cell>
          <cell r="U911">
            <v>0</v>
          </cell>
          <cell r="Y911">
            <v>11.3</v>
          </cell>
          <cell r="AE911" t="str">
            <v>20140101KUUM_415</v>
          </cell>
        </row>
        <row r="912">
          <cell r="B912" t="str">
            <v>Nov 2014</v>
          </cell>
          <cell r="C912" t="str">
            <v>LS</v>
          </cell>
          <cell r="D912" t="str">
            <v>KUUM_420</v>
          </cell>
          <cell r="E912">
            <v>449</v>
          </cell>
          <cell r="F912">
            <v>0</v>
          </cell>
          <cell r="G912">
            <v>0</v>
          </cell>
          <cell r="H912">
            <v>0</v>
          </cell>
          <cell r="L912">
            <v>0</v>
          </cell>
          <cell r="N912">
            <v>6896.64</v>
          </cell>
          <cell r="O912">
            <v>0</v>
          </cell>
          <cell r="Q912">
            <v>0</v>
          </cell>
          <cell r="S912">
            <v>0</v>
          </cell>
          <cell r="U912">
            <v>0</v>
          </cell>
          <cell r="Y912">
            <v>507.37</v>
          </cell>
          <cell r="AE912" t="str">
            <v>20140101KUUM_420</v>
          </cell>
        </row>
        <row r="913">
          <cell r="B913" t="str">
            <v>Nov 2014</v>
          </cell>
          <cell r="C913" t="str">
            <v>RLS</v>
          </cell>
          <cell r="D913" t="str">
            <v>KUUM_421</v>
          </cell>
          <cell r="E913">
            <v>5</v>
          </cell>
          <cell r="F913">
            <v>0</v>
          </cell>
          <cell r="G913">
            <v>0</v>
          </cell>
          <cell r="H913">
            <v>0</v>
          </cell>
          <cell r="L913">
            <v>0</v>
          </cell>
          <cell r="N913">
            <v>16.95</v>
          </cell>
          <cell r="O913">
            <v>0</v>
          </cell>
          <cell r="Q913">
            <v>0</v>
          </cell>
          <cell r="S913">
            <v>0</v>
          </cell>
          <cell r="U913">
            <v>0</v>
          </cell>
          <cell r="Y913">
            <v>4.95</v>
          </cell>
          <cell r="AE913" t="str">
            <v>20140101KUUM_421</v>
          </cell>
        </row>
        <row r="914">
          <cell r="B914" t="str">
            <v>Nov 2014</v>
          </cell>
          <cell r="C914" t="str">
            <v>RLS</v>
          </cell>
          <cell r="D914" t="str">
            <v>KUUM_422</v>
          </cell>
          <cell r="E914">
            <v>676</v>
          </cell>
          <cell r="F914">
            <v>0</v>
          </cell>
          <cell r="G914">
            <v>0</v>
          </cell>
          <cell r="H914">
            <v>0</v>
          </cell>
          <cell r="L914">
            <v>0</v>
          </cell>
          <cell r="N914">
            <v>3069.04</v>
          </cell>
          <cell r="O914">
            <v>0</v>
          </cell>
          <cell r="Q914">
            <v>0</v>
          </cell>
          <cell r="S914">
            <v>0</v>
          </cell>
          <cell r="U914">
            <v>0</v>
          </cell>
          <cell r="Y914">
            <v>1311.44</v>
          </cell>
          <cell r="AE914" t="str">
            <v>20140101KUUM_422</v>
          </cell>
        </row>
        <row r="915">
          <cell r="B915" t="str">
            <v>Nov 2014</v>
          </cell>
          <cell r="C915" t="str">
            <v>RLS</v>
          </cell>
          <cell r="D915" t="str">
            <v>KUUM_424</v>
          </cell>
          <cell r="E915">
            <v>113</v>
          </cell>
          <cell r="F915">
            <v>0</v>
          </cell>
          <cell r="G915">
            <v>0</v>
          </cell>
          <cell r="H915">
            <v>0</v>
          </cell>
          <cell r="L915">
            <v>0</v>
          </cell>
          <cell r="N915">
            <v>766.14</v>
          </cell>
          <cell r="O915">
            <v>0</v>
          </cell>
          <cell r="Q915">
            <v>0</v>
          </cell>
          <cell r="S915">
            <v>0</v>
          </cell>
          <cell r="U915">
            <v>0</v>
          </cell>
          <cell r="Y915">
            <v>79.099999999999994</v>
          </cell>
          <cell r="AE915" t="str">
            <v>20140101KUUM_424</v>
          </cell>
        </row>
        <row r="916">
          <cell r="B916" t="str">
            <v>Nov 2014</v>
          </cell>
          <cell r="C916" t="str">
            <v>RLS</v>
          </cell>
          <cell r="D916" t="str">
            <v>KUUM_425</v>
          </cell>
          <cell r="E916">
            <v>2</v>
          </cell>
          <cell r="F916">
            <v>0</v>
          </cell>
          <cell r="G916">
            <v>0</v>
          </cell>
          <cell r="H916">
            <v>0</v>
          </cell>
          <cell r="L916">
            <v>0</v>
          </cell>
          <cell r="N916">
            <v>18.12</v>
          </cell>
          <cell r="O916">
            <v>0</v>
          </cell>
          <cell r="Q916">
            <v>0</v>
          </cell>
          <cell r="S916">
            <v>0</v>
          </cell>
          <cell r="U916">
            <v>0</v>
          </cell>
          <cell r="Y916">
            <v>8.6</v>
          </cell>
          <cell r="AE916" t="str">
            <v>20140101KUUM_425</v>
          </cell>
        </row>
        <row r="917">
          <cell r="B917" t="str">
            <v>Nov 2014</v>
          </cell>
          <cell r="C917" t="str">
            <v>RLS</v>
          </cell>
          <cell r="D917" t="str">
            <v>KUUM_426</v>
          </cell>
          <cell r="E917">
            <v>162</v>
          </cell>
          <cell r="F917">
            <v>0</v>
          </cell>
          <cell r="G917">
            <v>0</v>
          </cell>
          <cell r="H917">
            <v>0</v>
          </cell>
          <cell r="L917">
            <v>0</v>
          </cell>
          <cell r="N917">
            <v>1205.28</v>
          </cell>
          <cell r="O917">
            <v>0</v>
          </cell>
          <cell r="Q917">
            <v>0</v>
          </cell>
          <cell r="S917">
            <v>0</v>
          </cell>
          <cell r="U917">
            <v>0</v>
          </cell>
          <cell r="Y917">
            <v>129.6</v>
          </cell>
          <cell r="AE917" t="str">
            <v>20140101KUUM_426</v>
          </cell>
        </row>
        <row r="918">
          <cell r="B918" t="str">
            <v>Nov 2014</v>
          </cell>
          <cell r="C918" t="str">
            <v>LS</v>
          </cell>
          <cell r="D918" t="str">
            <v>KUUM_428</v>
          </cell>
          <cell r="E918">
            <v>34807</v>
          </cell>
          <cell r="F918">
            <v>0</v>
          </cell>
          <cell r="G918">
            <v>0</v>
          </cell>
          <cell r="H918">
            <v>0</v>
          </cell>
          <cell r="L918">
            <v>0</v>
          </cell>
          <cell r="N918">
            <v>272886.88</v>
          </cell>
          <cell r="O918">
            <v>0</v>
          </cell>
          <cell r="Q918">
            <v>0</v>
          </cell>
          <cell r="S918">
            <v>0</v>
          </cell>
          <cell r="U918">
            <v>0</v>
          </cell>
          <cell r="Y918">
            <v>39331.910000000003</v>
          </cell>
          <cell r="AE918" t="str">
            <v>20140101KUUM_428</v>
          </cell>
        </row>
        <row r="919">
          <cell r="B919" t="str">
            <v>Nov 2014</v>
          </cell>
          <cell r="C919" t="str">
            <v>LS</v>
          </cell>
          <cell r="D919" t="str">
            <v>KUUM_429</v>
          </cell>
          <cell r="E919">
            <v>0</v>
          </cell>
          <cell r="F919">
            <v>0</v>
          </cell>
          <cell r="G919">
            <v>0</v>
          </cell>
          <cell r="H919">
            <v>0</v>
          </cell>
          <cell r="L919">
            <v>0</v>
          </cell>
          <cell r="N919">
            <v>0</v>
          </cell>
          <cell r="O919">
            <v>0</v>
          </cell>
          <cell r="Q919">
            <v>0</v>
          </cell>
          <cell r="S919">
            <v>0</v>
          </cell>
          <cell r="U919">
            <v>0</v>
          </cell>
          <cell r="Y919">
            <v>0</v>
          </cell>
          <cell r="AE919" t="str">
            <v>20140101KUUM_429</v>
          </cell>
        </row>
        <row r="920">
          <cell r="B920" t="str">
            <v>Nov 2014</v>
          </cell>
          <cell r="C920" t="str">
            <v>LS</v>
          </cell>
          <cell r="D920" t="str">
            <v>KUUM_430</v>
          </cell>
          <cell r="E920">
            <v>1089</v>
          </cell>
          <cell r="F920">
            <v>0</v>
          </cell>
          <cell r="G920">
            <v>0</v>
          </cell>
          <cell r="H920">
            <v>0</v>
          </cell>
          <cell r="L920">
            <v>0</v>
          </cell>
          <cell r="N920">
            <v>23958</v>
          </cell>
          <cell r="O920">
            <v>0</v>
          </cell>
          <cell r="Q920">
            <v>0</v>
          </cell>
          <cell r="S920">
            <v>0</v>
          </cell>
          <cell r="U920">
            <v>0</v>
          </cell>
          <cell r="Y920">
            <v>1230.57</v>
          </cell>
          <cell r="AE920" t="str">
            <v>20140101KUUM_430</v>
          </cell>
        </row>
        <row r="921">
          <cell r="B921" t="str">
            <v>Nov 2014</v>
          </cell>
          <cell r="C921" t="str">
            <v>RLS</v>
          </cell>
          <cell r="D921" t="str">
            <v>KUUM_434</v>
          </cell>
          <cell r="E921">
            <v>8</v>
          </cell>
          <cell r="F921">
            <v>0</v>
          </cell>
          <cell r="G921">
            <v>0</v>
          </cell>
          <cell r="H921">
            <v>0</v>
          </cell>
          <cell r="L921">
            <v>0</v>
          </cell>
          <cell r="N921">
            <v>61.92</v>
          </cell>
          <cell r="O921">
            <v>0</v>
          </cell>
          <cell r="Q921">
            <v>0</v>
          </cell>
          <cell r="S921">
            <v>0</v>
          </cell>
          <cell r="U921">
            <v>0</v>
          </cell>
          <cell r="Y921">
            <v>5.6</v>
          </cell>
          <cell r="AE921" t="str">
            <v>20140101KUUM_434</v>
          </cell>
        </row>
        <row r="922">
          <cell r="B922" t="str">
            <v>Nov 2014</v>
          </cell>
          <cell r="C922" t="str">
            <v>RLS</v>
          </cell>
          <cell r="D922" t="str">
            <v>KUUM_440</v>
          </cell>
          <cell r="E922">
            <v>2</v>
          </cell>
          <cell r="F922">
            <v>0</v>
          </cell>
          <cell r="G922">
            <v>0</v>
          </cell>
          <cell r="H922">
            <v>0</v>
          </cell>
          <cell r="L922">
            <v>0</v>
          </cell>
          <cell r="N922">
            <v>27.22</v>
          </cell>
          <cell r="O922">
            <v>0</v>
          </cell>
          <cell r="Q922">
            <v>0</v>
          </cell>
          <cell r="S922">
            <v>0</v>
          </cell>
          <cell r="U922">
            <v>0</v>
          </cell>
          <cell r="Y922">
            <v>1.1399999999999999</v>
          </cell>
          <cell r="AE922" t="str">
            <v>20140101KUUM_440</v>
          </cell>
        </row>
        <row r="923">
          <cell r="B923" t="str">
            <v>Nov 2014</v>
          </cell>
          <cell r="C923" t="str">
            <v>RLS</v>
          </cell>
          <cell r="D923" t="str">
            <v>KUUM_446</v>
          </cell>
          <cell r="E923">
            <v>1035</v>
          </cell>
          <cell r="F923">
            <v>0</v>
          </cell>
          <cell r="G923">
            <v>0</v>
          </cell>
          <cell r="H923">
            <v>0</v>
          </cell>
          <cell r="L923">
            <v>0</v>
          </cell>
          <cell r="N923">
            <v>9894.6</v>
          </cell>
          <cell r="O923">
            <v>0</v>
          </cell>
          <cell r="Q923">
            <v>0</v>
          </cell>
          <cell r="S923">
            <v>0</v>
          </cell>
          <cell r="U923">
            <v>0</v>
          </cell>
          <cell r="Y923">
            <v>2059.65</v>
          </cell>
          <cell r="AE923" t="str">
            <v>20140101KUUM_446</v>
          </cell>
        </row>
        <row r="924">
          <cell r="B924" t="str">
            <v>Nov 2014</v>
          </cell>
          <cell r="C924" t="str">
            <v>RLS</v>
          </cell>
          <cell r="D924" t="str">
            <v>KUUM_447</v>
          </cell>
          <cell r="E924">
            <v>728</v>
          </cell>
          <cell r="F924">
            <v>0</v>
          </cell>
          <cell r="G924">
            <v>0</v>
          </cell>
          <cell r="H924">
            <v>0</v>
          </cell>
          <cell r="L924">
            <v>0</v>
          </cell>
          <cell r="N924">
            <v>8240.9599999999991</v>
          </cell>
          <cell r="O924">
            <v>0</v>
          </cell>
          <cell r="Q924">
            <v>0</v>
          </cell>
          <cell r="S924">
            <v>0</v>
          </cell>
          <cell r="U924">
            <v>0</v>
          </cell>
          <cell r="Y924">
            <v>2067.52</v>
          </cell>
          <cell r="AE924" t="str">
            <v>20140101KUUM_447</v>
          </cell>
        </row>
        <row r="925">
          <cell r="B925" t="str">
            <v>Nov 2014</v>
          </cell>
          <cell r="C925" t="str">
            <v>RLS</v>
          </cell>
          <cell r="D925" t="str">
            <v>KUUM_448</v>
          </cell>
          <cell r="E925">
            <v>1364</v>
          </cell>
          <cell r="F925">
            <v>0</v>
          </cell>
          <cell r="G925">
            <v>0</v>
          </cell>
          <cell r="H925">
            <v>0</v>
          </cell>
          <cell r="L925">
            <v>0</v>
          </cell>
          <cell r="N925">
            <v>17472.84</v>
          </cell>
          <cell r="O925">
            <v>0</v>
          </cell>
          <cell r="Q925">
            <v>0</v>
          </cell>
          <cell r="S925">
            <v>0</v>
          </cell>
          <cell r="U925">
            <v>0</v>
          </cell>
          <cell r="Y925">
            <v>5960.68</v>
          </cell>
          <cell r="AE925" t="str">
            <v>20140101KUUM_448</v>
          </cell>
        </row>
        <row r="926">
          <cell r="B926" t="str">
            <v>Nov 2014</v>
          </cell>
          <cell r="C926" t="str">
            <v>LS</v>
          </cell>
          <cell r="D926" t="str">
            <v>KUUM_450</v>
          </cell>
          <cell r="E926">
            <v>612</v>
          </cell>
          <cell r="F926">
            <v>0</v>
          </cell>
          <cell r="G926">
            <v>0</v>
          </cell>
          <cell r="H926">
            <v>0</v>
          </cell>
          <cell r="L926">
            <v>0</v>
          </cell>
          <cell r="N926">
            <v>8721</v>
          </cell>
          <cell r="O926">
            <v>0</v>
          </cell>
          <cell r="Q926">
            <v>0</v>
          </cell>
          <cell r="S926">
            <v>0</v>
          </cell>
          <cell r="U926">
            <v>0</v>
          </cell>
          <cell r="Y926">
            <v>1205.6400000000001</v>
          </cell>
          <cell r="AE926" t="str">
            <v>20140101KUUM_450</v>
          </cell>
        </row>
        <row r="927">
          <cell r="B927" t="str">
            <v>Nov 2014</v>
          </cell>
          <cell r="C927" t="str">
            <v>LS</v>
          </cell>
          <cell r="D927" t="str">
            <v>KUUM_451</v>
          </cell>
          <cell r="E927">
            <v>4820</v>
          </cell>
          <cell r="F927">
            <v>0</v>
          </cell>
          <cell r="G927">
            <v>0</v>
          </cell>
          <cell r="H927">
            <v>0</v>
          </cell>
          <cell r="L927">
            <v>0</v>
          </cell>
          <cell r="N927">
            <v>97364</v>
          </cell>
          <cell r="O927">
            <v>0</v>
          </cell>
          <cell r="Q927">
            <v>0</v>
          </cell>
          <cell r="S927">
            <v>0</v>
          </cell>
          <cell r="U927">
            <v>0</v>
          </cell>
          <cell r="Y927">
            <v>20677.8</v>
          </cell>
          <cell r="AE927" t="str">
            <v>20140101KUUM_451</v>
          </cell>
        </row>
        <row r="928">
          <cell r="B928" t="str">
            <v>Nov 2014</v>
          </cell>
          <cell r="C928" t="str">
            <v>LS</v>
          </cell>
          <cell r="D928" t="str">
            <v>KUUM_452</v>
          </cell>
          <cell r="E928">
            <v>1013</v>
          </cell>
          <cell r="F928">
            <v>0</v>
          </cell>
          <cell r="G928">
            <v>0</v>
          </cell>
          <cell r="H928">
            <v>0</v>
          </cell>
          <cell r="L928">
            <v>0</v>
          </cell>
          <cell r="N928">
            <v>42900.55</v>
          </cell>
          <cell r="O928">
            <v>0</v>
          </cell>
          <cell r="Q928">
            <v>0</v>
          </cell>
          <cell r="S928">
            <v>0</v>
          </cell>
          <cell r="U928">
            <v>0</v>
          </cell>
          <cell r="Y928">
            <v>10545.33</v>
          </cell>
          <cell r="AE928" t="str">
            <v>20140101KUUM_452</v>
          </cell>
        </row>
        <row r="929">
          <cell r="B929" t="str">
            <v>Nov 2014</v>
          </cell>
          <cell r="C929" t="str">
            <v>RLS</v>
          </cell>
          <cell r="D929" t="str">
            <v>KUUM_454</v>
          </cell>
          <cell r="E929">
            <v>146</v>
          </cell>
          <cell r="F929">
            <v>0</v>
          </cell>
          <cell r="G929">
            <v>0</v>
          </cell>
          <cell r="H929">
            <v>0</v>
          </cell>
          <cell r="L929">
            <v>0</v>
          </cell>
          <cell r="N929">
            <v>2722.9</v>
          </cell>
          <cell r="O929">
            <v>0</v>
          </cell>
          <cell r="Q929">
            <v>0</v>
          </cell>
          <cell r="S929">
            <v>0</v>
          </cell>
          <cell r="U929">
            <v>0</v>
          </cell>
          <cell r="Y929">
            <v>287.62</v>
          </cell>
          <cell r="AE929" t="str">
            <v>20140101KUUM_454</v>
          </cell>
        </row>
        <row r="930">
          <cell r="B930" t="str">
            <v>Nov 2014</v>
          </cell>
          <cell r="C930" t="str">
            <v>RLS</v>
          </cell>
          <cell r="D930" t="str">
            <v>KUUM_455</v>
          </cell>
          <cell r="E930">
            <v>979</v>
          </cell>
          <cell r="F930">
            <v>0</v>
          </cell>
          <cell r="G930">
            <v>0</v>
          </cell>
          <cell r="H930">
            <v>0</v>
          </cell>
          <cell r="L930">
            <v>0</v>
          </cell>
          <cell r="N930">
            <v>24073.61</v>
          </cell>
          <cell r="O930">
            <v>0</v>
          </cell>
          <cell r="Q930">
            <v>0</v>
          </cell>
          <cell r="S930">
            <v>0</v>
          </cell>
          <cell r="U930">
            <v>0</v>
          </cell>
          <cell r="Y930">
            <v>4199.91</v>
          </cell>
          <cell r="AE930" t="str">
            <v>20140101KUUM_455</v>
          </cell>
        </row>
        <row r="931">
          <cell r="B931" t="str">
            <v>Nov 2014</v>
          </cell>
          <cell r="C931" t="str">
            <v>RLS</v>
          </cell>
          <cell r="D931" t="str">
            <v>KUUM_456</v>
          </cell>
          <cell r="E931">
            <v>136</v>
          </cell>
          <cell r="F931">
            <v>0</v>
          </cell>
          <cell r="G931">
            <v>0</v>
          </cell>
          <cell r="H931">
            <v>0</v>
          </cell>
          <cell r="L931">
            <v>0</v>
          </cell>
          <cell r="N931">
            <v>1614.32</v>
          </cell>
          <cell r="O931">
            <v>0</v>
          </cell>
          <cell r="Q931">
            <v>0</v>
          </cell>
          <cell r="S931">
            <v>0</v>
          </cell>
          <cell r="U931">
            <v>0</v>
          </cell>
          <cell r="Y931">
            <v>270.64</v>
          </cell>
          <cell r="AE931" t="str">
            <v>20140101KUUM_456</v>
          </cell>
        </row>
        <row r="932">
          <cell r="B932" t="str">
            <v>Nov 2014</v>
          </cell>
          <cell r="C932" t="str">
            <v>RLS</v>
          </cell>
          <cell r="D932" t="str">
            <v>KUUM_457</v>
          </cell>
          <cell r="E932">
            <v>441</v>
          </cell>
          <cell r="F932">
            <v>0</v>
          </cell>
          <cell r="G932">
            <v>0</v>
          </cell>
          <cell r="H932">
            <v>0</v>
          </cell>
          <cell r="L932">
            <v>0</v>
          </cell>
          <cell r="N932">
            <v>5891.76</v>
          </cell>
          <cell r="O932">
            <v>0</v>
          </cell>
          <cell r="Q932">
            <v>0</v>
          </cell>
          <cell r="S932">
            <v>0</v>
          </cell>
          <cell r="U932">
            <v>0</v>
          </cell>
          <cell r="Y932">
            <v>1252.44</v>
          </cell>
          <cell r="AE932" t="str">
            <v>20140101KUUM_457</v>
          </cell>
        </row>
        <row r="933">
          <cell r="B933" t="str">
            <v>Nov 2014</v>
          </cell>
          <cell r="C933" t="str">
            <v>RLS</v>
          </cell>
          <cell r="D933" t="str">
            <v>KUUM_458</v>
          </cell>
          <cell r="E933">
            <v>1355</v>
          </cell>
          <cell r="F933">
            <v>0</v>
          </cell>
          <cell r="G933">
            <v>0</v>
          </cell>
          <cell r="H933">
            <v>0</v>
          </cell>
          <cell r="L933">
            <v>0</v>
          </cell>
          <cell r="N933">
            <v>20433.400000000001</v>
          </cell>
          <cell r="O933">
            <v>0</v>
          </cell>
          <cell r="Q933">
            <v>0</v>
          </cell>
          <cell r="S933">
            <v>0</v>
          </cell>
          <cell r="U933">
            <v>0</v>
          </cell>
          <cell r="Y933">
            <v>5921.35</v>
          </cell>
          <cell r="AE933" t="str">
            <v>20140101KUUM_458</v>
          </cell>
        </row>
        <row r="934">
          <cell r="B934" t="str">
            <v>Nov 2014</v>
          </cell>
          <cell r="C934" t="str">
            <v>RLS</v>
          </cell>
          <cell r="D934" t="str">
            <v>KUUM_459</v>
          </cell>
          <cell r="E934">
            <v>226</v>
          </cell>
          <cell r="F934">
            <v>0</v>
          </cell>
          <cell r="G934">
            <v>0</v>
          </cell>
          <cell r="H934">
            <v>0</v>
          </cell>
          <cell r="L934">
            <v>0</v>
          </cell>
          <cell r="N934">
            <v>10563.24</v>
          </cell>
          <cell r="O934">
            <v>0</v>
          </cell>
          <cell r="Q934">
            <v>0</v>
          </cell>
          <cell r="S934">
            <v>0</v>
          </cell>
          <cell r="U934">
            <v>0</v>
          </cell>
          <cell r="Y934">
            <v>2352.66</v>
          </cell>
          <cell r="AE934" t="str">
            <v>20140101KUUM_459</v>
          </cell>
        </row>
        <row r="935">
          <cell r="B935" t="str">
            <v>Nov 2014</v>
          </cell>
          <cell r="C935" t="str">
            <v>RLS</v>
          </cell>
          <cell r="D935" t="str">
            <v>KUUM_460</v>
          </cell>
          <cell r="E935">
            <v>26</v>
          </cell>
          <cell r="F935">
            <v>0</v>
          </cell>
          <cell r="G935">
            <v>0</v>
          </cell>
          <cell r="H935">
            <v>0</v>
          </cell>
          <cell r="L935">
            <v>0</v>
          </cell>
          <cell r="N935">
            <v>705.9</v>
          </cell>
          <cell r="O935">
            <v>0</v>
          </cell>
          <cell r="Q935">
            <v>0</v>
          </cell>
          <cell r="S935">
            <v>0</v>
          </cell>
          <cell r="U935">
            <v>0</v>
          </cell>
          <cell r="Y935">
            <v>51.22</v>
          </cell>
          <cell r="AE935" t="str">
            <v>20140101KUUM_460</v>
          </cell>
        </row>
        <row r="936">
          <cell r="B936" t="str">
            <v>Nov 2014</v>
          </cell>
          <cell r="C936" t="str">
            <v>RLS</v>
          </cell>
          <cell r="D936" t="str">
            <v>KUUM_461</v>
          </cell>
          <cell r="E936">
            <v>6649</v>
          </cell>
          <cell r="F936">
            <v>0</v>
          </cell>
          <cell r="G936">
            <v>0</v>
          </cell>
          <cell r="H936">
            <v>0</v>
          </cell>
          <cell r="L936">
            <v>0</v>
          </cell>
          <cell r="N936">
            <v>50133.46</v>
          </cell>
          <cell r="O936">
            <v>0</v>
          </cell>
          <cell r="Q936">
            <v>0</v>
          </cell>
          <cell r="S936">
            <v>0</v>
          </cell>
          <cell r="U936">
            <v>0</v>
          </cell>
          <cell r="Y936">
            <v>3789.93</v>
          </cell>
          <cell r="AE936" t="str">
            <v>20140101KUUM_461</v>
          </cell>
        </row>
        <row r="937">
          <cell r="B937" t="str">
            <v>Nov 2014</v>
          </cell>
          <cell r="C937" t="str">
            <v>LS</v>
          </cell>
          <cell r="D937" t="str">
            <v>KUUM_462</v>
          </cell>
          <cell r="E937">
            <v>6814</v>
          </cell>
          <cell r="F937">
            <v>0</v>
          </cell>
          <cell r="G937">
            <v>0</v>
          </cell>
          <cell r="H937">
            <v>0</v>
          </cell>
          <cell r="L937">
            <v>0</v>
          </cell>
          <cell r="N937">
            <v>59009.24</v>
          </cell>
          <cell r="O937">
            <v>0</v>
          </cell>
          <cell r="Q937">
            <v>0</v>
          </cell>
          <cell r="S937">
            <v>0</v>
          </cell>
          <cell r="U937">
            <v>0</v>
          </cell>
          <cell r="Y937">
            <v>5451.2</v>
          </cell>
          <cell r="AE937" t="str">
            <v>20140101KUUM_462</v>
          </cell>
        </row>
        <row r="938">
          <cell r="B938" t="str">
            <v>Nov 2014</v>
          </cell>
          <cell r="C938" t="str">
            <v>LS</v>
          </cell>
          <cell r="D938" t="str">
            <v>KUUM_463</v>
          </cell>
          <cell r="E938">
            <v>19654</v>
          </cell>
          <cell r="F938">
            <v>0</v>
          </cell>
          <cell r="G938">
            <v>0</v>
          </cell>
          <cell r="H938">
            <v>0</v>
          </cell>
          <cell r="L938">
            <v>0</v>
          </cell>
          <cell r="N938">
            <v>179637.56</v>
          </cell>
          <cell r="O938">
            <v>0</v>
          </cell>
          <cell r="Q938">
            <v>0</v>
          </cell>
          <cell r="S938">
            <v>0</v>
          </cell>
          <cell r="U938">
            <v>0</v>
          </cell>
          <cell r="Y938">
            <v>22209.02</v>
          </cell>
          <cell r="AE938" t="str">
            <v>20140101KUUM_463</v>
          </cell>
        </row>
        <row r="939">
          <cell r="B939" t="str">
            <v>Nov 2014</v>
          </cell>
          <cell r="C939" t="str">
            <v>LS</v>
          </cell>
          <cell r="D939" t="str">
            <v>KUUM_464</v>
          </cell>
          <cell r="E939">
            <v>7025</v>
          </cell>
          <cell r="F939">
            <v>0</v>
          </cell>
          <cell r="G939">
            <v>0</v>
          </cell>
          <cell r="H939">
            <v>0</v>
          </cell>
          <cell r="L939">
            <v>0</v>
          </cell>
          <cell r="N939">
            <v>100106.25</v>
          </cell>
          <cell r="O939">
            <v>0</v>
          </cell>
          <cell r="Q939">
            <v>0</v>
          </cell>
          <cell r="S939">
            <v>0</v>
          </cell>
          <cell r="U939">
            <v>0</v>
          </cell>
          <cell r="Y939">
            <v>16368.25</v>
          </cell>
          <cell r="AE939" t="str">
            <v>20140101KUUM_464</v>
          </cell>
        </row>
        <row r="940">
          <cell r="B940" t="str">
            <v>Nov 2014</v>
          </cell>
          <cell r="C940" t="str">
            <v>LS</v>
          </cell>
          <cell r="D940" t="str">
            <v>KUUM_465</v>
          </cell>
          <cell r="E940">
            <v>2645</v>
          </cell>
          <cell r="F940">
            <v>0</v>
          </cell>
          <cell r="G940">
            <v>0</v>
          </cell>
          <cell r="H940">
            <v>0</v>
          </cell>
          <cell r="L940">
            <v>0</v>
          </cell>
          <cell r="N940">
            <v>60411.8</v>
          </cell>
          <cell r="O940">
            <v>0</v>
          </cell>
          <cell r="Q940">
            <v>0</v>
          </cell>
          <cell r="S940">
            <v>0</v>
          </cell>
          <cell r="U940">
            <v>0</v>
          </cell>
          <cell r="Y940">
            <v>11981.85</v>
          </cell>
          <cell r="AE940" t="str">
            <v>20140101KUUM_465</v>
          </cell>
        </row>
        <row r="941">
          <cell r="B941" t="str">
            <v>Nov 2014</v>
          </cell>
          <cell r="C941" t="str">
            <v>RLS</v>
          </cell>
          <cell r="D941" t="str">
            <v>KUUM_466</v>
          </cell>
          <cell r="E941">
            <v>829</v>
          </cell>
          <cell r="F941">
            <v>0</v>
          </cell>
          <cell r="G941">
            <v>0</v>
          </cell>
          <cell r="H941">
            <v>0</v>
          </cell>
          <cell r="L941">
            <v>0</v>
          </cell>
          <cell r="N941">
            <v>7974.98</v>
          </cell>
          <cell r="O941">
            <v>0</v>
          </cell>
          <cell r="Q941">
            <v>0</v>
          </cell>
          <cell r="S941">
            <v>0</v>
          </cell>
          <cell r="U941">
            <v>0</v>
          </cell>
          <cell r="Y941">
            <v>472.53</v>
          </cell>
          <cell r="AE941" t="str">
            <v>20140101KUUM_466</v>
          </cell>
        </row>
        <row r="942">
          <cell r="B942" t="str">
            <v>Nov 2014</v>
          </cell>
          <cell r="C942" t="str">
            <v>LS</v>
          </cell>
          <cell r="D942" t="str">
            <v>KUUM_467</v>
          </cell>
          <cell r="E942">
            <v>1213</v>
          </cell>
          <cell r="F942">
            <v>0</v>
          </cell>
          <cell r="G942">
            <v>0</v>
          </cell>
          <cell r="H942">
            <v>0</v>
          </cell>
          <cell r="L942">
            <v>0</v>
          </cell>
          <cell r="N942">
            <v>13064.01</v>
          </cell>
          <cell r="O942">
            <v>0</v>
          </cell>
          <cell r="Q942">
            <v>0</v>
          </cell>
          <cell r="S942">
            <v>0</v>
          </cell>
          <cell r="U942">
            <v>0</v>
          </cell>
          <cell r="Y942">
            <v>970.4</v>
          </cell>
          <cell r="AE942" t="str">
            <v>20140101KUUM_467</v>
          </cell>
        </row>
        <row r="943">
          <cell r="B943" t="str">
            <v>Nov 2014</v>
          </cell>
          <cell r="C943" t="str">
            <v>LS</v>
          </cell>
          <cell r="D943" t="str">
            <v>KUUM_468</v>
          </cell>
          <cell r="E943">
            <v>3824</v>
          </cell>
          <cell r="F943">
            <v>0</v>
          </cell>
          <cell r="G943">
            <v>0</v>
          </cell>
          <cell r="H943">
            <v>0</v>
          </cell>
          <cell r="L943">
            <v>0</v>
          </cell>
          <cell r="N943">
            <v>42675.839999999997</v>
          </cell>
          <cell r="O943">
            <v>0</v>
          </cell>
          <cell r="Q943">
            <v>0</v>
          </cell>
          <cell r="S943">
            <v>0</v>
          </cell>
          <cell r="U943">
            <v>0</v>
          </cell>
          <cell r="Y943">
            <v>4321.12</v>
          </cell>
          <cell r="AE943" t="str">
            <v>20140101KUUM_468</v>
          </cell>
        </row>
        <row r="944">
          <cell r="B944" t="str">
            <v>Nov 2014</v>
          </cell>
          <cell r="C944" t="str">
            <v>RLS</v>
          </cell>
          <cell r="D944" t="str">
            <v>KUUM_469</v>
          </cell>
          <cell r="E944">
            <v>284</v>
          </cell>
          <cell r="F944">
            <v>0</v>
          </cell>
          <cell r="G944">
            <v>0</v>
          </cell>
          <cell r="H944">
            <v>0</v>
          </cell>
          <cell r="L944">
            <v>0</v>
          </cell>
          <cell r="N944">
            <v>9400.4</v>
          </cell>
          <cell r="O944">
            <v>0</v>
          </cell>
          <cell r="Q944">
            <v>0</v>
          </cell>
          <cell r="S944">
            <v>0</v>
          </cell>
          <cell r="U944">
            <v>0</v>
          </cell>
          <cell r="Y944">
            <v>1218.3599999999999</v>
          </cell>
          <cell r="AE944" t="str">
            <v>20140101KUUM_469</v>
          </cell>
        </row>
        <row r="945">
          <cell r="B945" t="str">
            <v>Nov 2014</v>
          </cell>
          <cell r="C945" t="str">
            <v>RLS</v>
          </cell>
          <cell r="D945" t="str">
            <v>KUUM_470</v>
          </cell>
          <cell r="E945">
            <v>63</v>
          </cell>
          <cell r="F945">
            <v>0</v>
          </cell>
          <cell r="G945">
            <v>0</v>
          </cell>
          <cell r="H945">
            <v>0</v>
          </cell>
          <cell r="L945">
            <v>0</v>
          </cell>
          <cell r="N945">
            <v>3480.75</v>
          </cell>
          <cell r="O945">
            <v>0</v>
          </cell>
          <cell r="Q945">
            <v>0</v>
          </cell>
          <cell r="S945">
            <v>0</v>
          </cell>
          <cell r="U945">
            <v>0</v>
          </cell>
          <cell r="Y945">
            <v>655.83</v>
          </cell>
          <cell r="AE945" t="str">
            <v>20140101KUUM_470</v>
          </cell>
        </row>
        <row r="946">
          <cell r="B946" t="str">
            <v>Nov 2014</v>
          </cell>
          <cell r="C946" t="str">
            <v>RLS</v>
          </cell>
          <cell r="D946" t="str">
            <v>KUUM_471</v>
          </cell>
          <cell r="E946">
            <v>3585</v>
          </cell>
          <cell r="F946">
            <v>0</v>
          </cell>
          <cell r="G946">
            <v>0</v>
          </cell>
          <cell r="H946">
            <v>0</v>
          </cell>
          <cell r="L946">
            <v>0</v>
          </cell>
          <cell r="N946">
            <v>37606.65</v>
          </cell>
          <cell r="O946">
            <v>0</v>
          </cell>
          <cell r="Q946">
            <v>0</v>
          </cell>
          <cell r="S946">
            <v>0</v>
          </cell>
          <cell r="U946">
            <v>0</v>
          </cell>
          <cell r="Y946">
            <v>2043.45</v>
          </cell>
          <cell r="AE946" t="str">
            <v>20140101KUUM_471</v>
          </cell>
        </row>
        <row r="947">
          <cell r="B947" t="str">
            <v>Nov 2014</v>
          </cell>
          <cell r="C947" t="str">
            <v>LS</v>
          </cell>
          <cell r="D947" t="str">
            <v>KUUM_472</v>
          </cell>
          <cell r="E947">
            <v>8389</v>
          </cell>
          <cell r="F947">
            <v>0</v>
          </cell>
          <cell r="G947">
            <v>0</v>
          </cell>
          <cell r="H947">
            <v>0</v>
          </cell>
          <cell r="L947">
            <v>0</v>
          </cell>
          <cell r="N947">
            <v>97312.4</v>
          </cell>
          <cell r="O947">
            <v>0</v>
          </cell>
          <cell r="Q947">
            <v>0</v>
          </cell>
          <cell r="S947">
            <v>0</v>
          </cell>
          <cell r="U947">
            <v>0</v>
          </cell>
          <cell r="Y947">
            <v>6711.2</v>
          </cell>
          <cell r="AE947" t="str">
            <v>20140101KUUM_472</v>
          </cell>
        </row>
        <row r="948">
          <cell r="B948" t="str">
            <v>Nov 2014</v>
          </cell>
          <cell r="C948" t="str">
            <v>LS</v>
          </cell>
          <cell r="D948" t="str">
            <v>KUUM_473</v>
          </cell>
          <cell r="E948">
            <v>3296</v>
          </cell>
          <cell r="F948">
            <v>0</v>
          </cell>
          <cell r="G948">
            <v>0</v>
          </cell>
          <cell r="H948">
            <v>0</v>
          </cell>
          <cell r="L948">
            <v>0</v>
          </cell>
          <cell r="N948">
            <v>40540.800000000003</v>
          </cell>
          <cell r="O948">
            <v>0</v>
          </cell>
          <cell r="Q948">
            <v>0</v>
          </cell>
          <cell r="S948">
            <v>0</v>
          </cell>
          <cell r="U948">
            <v>0</v>
          </cell>
          <cell r="Y948">
            <v>3724.48</v>
          </cell>
          <cell r="AE948" t="str">
            <v>20140101KUUM_473</v>
          </cell>
        </row>
        <row r="949">
          <cell r="B949" t="str">
            <v>Nov 2014</v>
          </cell>
          <cell r="C949" t="str">
            <v>LS</v>
          </cell>
          <cell r="D949" t="str">
            <v>KUUM_474</v>
          </cell>
          <cell r="E949">
            <v>4927</v>
          </cell>
          <cell r="F949">
            <v>0</v>
          </cell>
          <cell r="G949">
            <v>0</v>
          </cell>
          <cell r="H949">
            <v>0</v>
          </cell>
          <cell r="L949">
            <v>0</v>
          </cell>
          <cell r="N949">
            <v>85779.07</v>
          </cell>
          <cell r="O949">
            <v>0</v>
          </cell>
          <cell r="Q949">
            <v>0</v>
          </cell>
          <cell r="S949">
            <v>0</v>
          </cell>
          <cell r="U949">
            <v>0</v>
          </cell>
          <cell r="Y949">
            <v>11479.91</v>
          </cell>
          <cell r="AE949" t="str">
            <v>20140101KUUM_474</v>
          </cell>
        </row>
        <row r="950">
          <cell r="B950" t="str">
            <v>Nov 2014</v>
          </cell>
          <cell r="C950" t="str">
            <v>LS</v>
          </cell>
          <cell r="D950" t="str">
            <v>KUUM_475</v>
          </cell>
          <cell r="E950">
            <v>466</v>
          </cell>
          <cell r="F950">
            <v>0</v>
          </cell>
          <cell r="G950">
            <v>0</v>
          </cell>
          <cell r="H950">
            <v>0</v>
          </cell>
          <cell r="L950">
            <v>0</v>
          </cell>
          <cell r="N950">
            <v>11398.36</v>
          </cell>
          <cell r="O950">
            <v>0</v>
          </cell>
          <cell r="Q950">
            <v>0</v>
          </cell>
          <cell r="S950">
            <v>0</v>
          </cell>
          <cell r="U950">
            <v>0</v>
          </cell>
          <cell r="Y950">
            <v>2110.98</v>
          </cell>
          <cell r="AE950" t="str">
            <v>20140101KUUM_475</v>
          </cell>
        </row>
        <row r="951">
          <cell r="B951" t="str">
            <v>Nov 2014</v>
          </cell>
          <cell r="C951" t="str">
            <v>LS</v>
          </cell>
          <cell r="D951" t="str">
            <v>KUUM_476</v>
          </cell>
          <cell r="E951">
            <v>4462</v>
          </cell>
          <cell r="F951">
            <v>0</v>
          </cell>
          <cell r="G951">
            <v>0</v>
          </cell>
          <cell r="H951">
            <v>0</v>
          </cell>
          <cell r="L951">
            <v>0</v>
          </cell>
          <cell r="N951">
            <v>74916.98</v>
          </cell>
          <cell r="O951">
            <v>0</v>
          </cell>
          <cell r="Q951">
            <v>0</v>
          </cell>
          <cell r="S951">
            <v>0</v>
          </cell>
          <cell r="U951">
            <v>0</v>
          </cell>
          <cell r="Y951">
            <v>3569.6</v>
          </cell>
          <cell r="AE951" t="str">
            <v>20140101KUUM_476</v>
          </cell>
        </row>
        <row r="952">
          <cell r="B952" t="str">
            <v>Nov 2014</v>
          </cell>
          <cell r="C952" t="str">
            <v>LS</v>
          </cell>
          <cell r="D952" t="str">
            <v>KUUM_477</v>
          </cell>
          <cell r="E952">
            <v>1034</v>
          </cell>
          <cell r="F952">
            <v>0</v>
          </cell>
          <cell r="G952">
            <v>0</v>
          </cell>
          <cell r="H952">
            <v>0</v>
          </cell>
          <cell r="L952">
            <v>0</v>
          </cell>
          <cell r="N952">
            <v>21682.98</v>
          </cell>
          <cell r="O952">
            <v>0</v>
          </cell>
          <cell r="Q952">
            <v>0</v>
          </cell>
          <cell r="S952">
            <v>0</v>
          </cell>
          <cell r="U952">
            <v>0</v>
          </cell>
          <cell r="Y952">
            <v>1168.42</v>
          </cell>
          <cell r="AE952" t="str">
            <v>20140101KUUM_477</v>
          </cell>
        </row>
        <row r="953">
          <cell r="B953" t="str">
            <v>Nov 2014</v>
          </cell>
          <cell r="C953" t="str">
            <v>LS</v>
          </cell>
          <cell r="D953" t="str">
            <v>KUUM_478</v>
          </cell>
          <cell r="E953">
            <v>1369</v>
          </cell>
          <cell r="F953">
            <v>0</v>
          </cell>
          <cell r="G953">
            <v>0</v>
          </cell>
          <cell r="H953">
            <v>0</v>
          </cell>
          <cell r="L953">
            <v>0</v>
          </cell>
          <cell r="N953">
            <v>36771.339999999997</v>
          </cell>
          <cell r="O953">
            <v>0</v>
          </cell>
          <cell r="Q953">
            <v>0</v>
          </cell>
          <cell r="S953">
            <v>0</v>
          </cell>
          <cell r="U953">
            <v>0</v>
          </cell>
          <cell r="Y953">
            <v>3189.77</v>
          </cell>
          <cell r="AE953" t="str">
            <v>20140101KUUM_478</v>
          </cell>
        </row>
        <row r="954">
          <cell r="B954" t="str">
            <v>Nov 2014</v>
          </cell>
          <cell r="C954" t="str">
            <v>LS</v>
          </cell>
          <cell r="D954" t="str">
            <v>KUUM_479</v>
          </cell>
          <cell r="E954">
            <v>917</v>
          </cell>
          <cell r="F954">
            <v>0</v>
          </cell>
          <cell r="G954">
            <v>0</v>
          </cell>
          <cell r="H954">
            <v>0</v>
          </cell>
          <cell r="L954">
            <v>0</v>
          </cell>
          <cell r="N954">
            <v>30371.040000000001</v>
          </cell>
          <cell r="O954">
            <v>0</v>
          </cell>
          <cell r="Q954">
            <v>0</v>
          </cell>
          <cell r="S954">
            <v>0</v>
          </cell>
          <cell r="U954">
            <v>0</v>
          </cell>
          <cell r="Y954">
            <v>4154.01</v>
          </cell>
          <cell r="AE954" t="str">
            <v>20140101KUUM_479</v>
          </cell>
        </row>
        <row r="955">
          <cell r="B955" t="str">
            <v>Nov 2014</v>
          </cell>
          <cell r="C955" t="str">
            <v>LS</v>
          </cell>
          <cell r="D955" t="str">
            <v>KUUM_486</v>
          </cell>
          <cell r="E955">
            <v>0</v>
          </cell>
          <cell r="F955">
            <v>0</v>
          </cell>
          <cell r="G955">
            <v>0</v>
          </cell>
          <cell r="H955">
            <v>0</v>
          </cell>
          <cell r="L955">
            <v>0</v>
          </cell>
          <cell r="N955">
            <v>0</v>
          </cell>
          <cell r="O955">
            <v>0</v>
          </cell>
          <cell r="Q955">
            <v>0</v>
          </cell>
          <cell r="S955">
            <v>0</v>
          </cell>
          <cell r="U955">
            <v>0</v>
          </cell>
          <cell r="Y955">
            <v>0</v>
          </cell>
          <cell r="AE955" t="str">
            <v>20140101KUUM_486</v>
          </cell>
        </row>
        <row r="956">
          <cell r="B956" t="str">
            <v>Nov 2014</v>
          </cell>
          <cell r="C956" t="str">
            <v>LS</v>
          </cell>
          <cell r="D956" t="str">
            <v>KUUM_487</v>
          </cell>
          <cell r="E956">
            <v>10654</v>
          </cell>
          <cell r="F956">
            <v>0</v>
          </cell>
          <cell r="G956">
            <v>0</v>
          </cell>
          <cell r="H956">
            <v>0</v>
          </cell>
          <cell r="L956">
            <v>0</v>
          </cell>
          <cell r="N956">
            <v>95886</v>
          </cell>
          <cell r="O956">
            <v>0</v>
          </cell>
          <cell r="Q956">
            <v>0</v>
          </cell>
          <cell r="S956">
            <v>0</v>
          </cell>
          <cell r="U956">
            <v>0</v>
          </cell>
          <cell r="Y956">
            <v>12039.02</v>
          </cell>
          <cell r="AE956" t="str">
            <v>20140101KUUM_487</v>
          </cell>
        </row>
        <row r="957">
          <cell r="B957" t="str">
            <v>Nov 2014</v>
          </cell>
          <cell r="C957" t="str">
            <v>LS</v>
          </cell>
          <cell r="D957" t="str">
            <v>KUUM_488</v>
          </cell>
          <cell r="E957">
            <v>6274</v>
          </cell>
          <cell r="F957">
            <v>0</v>
          </cell>
          <cell r="G957">
            <v>0</v>
          </cell>
          <cell r="H957">
            <v>0</v>
          </cell>
          <cell r="L957">
            <v>0</v>
          </cell>
          <cell r="N957">
            <v>85577.36</v>
          </cell>
          <cell r="O957">
            <v>0</v>
          </cell>
          <cell r="Q957">
            <v>0</v>
          </cell>
          <cell r="S957">
            <v>0</v>
          </cell>
          <cell r="U957">
            <v>0</v>
          </cell>
          <cell r="Y957">
            <v>14618.42</v>
          </cell>
          <cell r="AE957" t="str">
            <v>20140101KUUM_488</v>
          </cell>
        </row>
        <row r="958">
          <cell r="B958" t="str">
            <v>Nov 2014</v>
          </cell>
          <cell r="C958" t="str">
            <v>LS</v>
          </cell>
          <cell r="D958" t="str">
            <v>KUUM_489</v>
          </cell>
          <cell r="E958">
            <v>7885</v>
          </cell>
          <cell r="F958">
            <v>0</v>
          </cell>
          <cell r="G958">
            <v>0</v>
          </cell>
          <cell r="L958">
            <v>0</v>
          </cell>
          <cell r="N958">
            <v>153442.1</v>
          </cell>
          <cell r="O958">
            <v>0</v>
          </cell>
          <cell r="Q958">
            <v>0</v>
          </cell>
          <cell r="S958">
            <v>0</v>
          </cell>
          <cell r="U958">
            <v>0</v>
          </cell>
          <cell r="Y958">
            <v>35719.050000000003</v>
          </cell>
          <cell r="AE958" t="str">
            <v>20140101KUUM_489</v>
          </cell>
        </row>
        <row r="959">
          <cell r="B959" t="str">
            <v>Nov 2014</v>
          </cell>
          <cell r="C959" t="str">
            <v>LS</v>
          </cell>
          <cell r="D959" t="str">
            <v>KUUM_490</v>
          </cell>
          <cell r="E959">
            <v>56</v>
          </cell>
          <cell r="F959">
            <v>0</v>
          </cell>
          <cell r="G959">
            <v>0</v>
          </cell>
          <cell r="H959">
            <v>0</v>
          </cell>
          <cell r="L959">
            <v>0</v>
          </cell>
          <cell r="N959">
            <v>866.32</v>
          </cell>
          <cell r="O959">
            <v>0</v>
          </cell>
          <cell r="Q959">
            <v>0</v>
          </cell>
          <cell r="S959">
            <v>0</v>
          </cell>
          <cell r="U959">
            <v>0</v>
          </cell>
          <cell r="Y959">
            <v>110.32</v>
          </cell>
          <cell r="AE959" t="str">
            <v>20140101KUUM_490</v>
          </cell>
        </row>
        <row r="960">
          <cell r="B960" t="str">
            <v>Nov 2014</v>
          </cell>
          <cell r="C960" t="str">
            <v>LS</v>
          </cell>
          <cell r="D960" t="str">
            <v>KUUM_491</v>
          </cell>
          <cell r="E960">
            <v>287</v>
          </cell>
          <cell r="F960">
            <v>0</v>
          </cell>
          <cell r="G960">
            <v>0</v>
          </cell>
          <cell r="H960">
            <v>0</v>
          </cell>
          <cell r="L960">
            <v>0</v>
          </cell>
          <cell r="N960">
            <v>6293.91</v>
          </cell>
          <cell r="O960">
            <v>0</v>
          </cell>
          <cell r="Q960">
            <v>0</v>
          </cell>
          <cell r="S960">
            <v>0</v>
          </cell>
          <cell r="U960">
            <v>0</v>
          </cell>
          <cell r="Y960">
            <v>1231.23</v>
          </cell>
          <cell r="AE960" t="str">
            <v>20140101KUUM_491</v>
          </cell>
        </row>
        <row r="961">
          <cell r="B961" t="str">
            <v>Nov 2014</v>
          </cell>
          <cell r="C961" t="str">
            <v>LS</v>
          </cell>
          <cell r="D961" t="str">
            <v>KUUM_492</v>
          </cell>
          <cell r="E961">
            <v>2</v>
          </cell>
          <cell r="F961">
            <v>0</v>
          </cell>
          <cell r="G961">
            <v>0</v>
          </cell>
          <cell r="H961">
            <v>0</v>
          </cell>
          <cell r="L961">
            <v>0</v>
          </cell>
          <cell r="N961">
            <v>30.74</v>
          </cell>
          <cell r="O961">
            <v>0</v>
          </cell>
          <cell r="Q961">
            <v>0</v>
          </cell>
          <cell r="S961">
            <v>0</v>
          </cell>
          <cell r="U961">
            <v>0</v>
          </cell>
          <cell r="Y961">
            <v>1.6</v>
          </cell>
          <cell r="AE961" t="str">
            <v>20140101KUUM_492</v>
          </cell>
        </row>
        <row r="962">
          <cell r="B962" t="str">
            <v>Nov 2014</v>
          </cell>
          <cell r="C962" t="str">
            <v>LS</v>
          </cell>
          <cell r="D962" t="str">
            <v>KUUM_493</v>
          </cell>
          <cell r="E962">
            <v>45</v>
          </cell>
          <cell r="F962">
            <v>0</v>
          </cell>
          <cell r="G962">
            <v>0</v>
          </cell>
          <cell r="H962">
            <v>0</v>
          </cell>
          <cell r="L962">
            <v>0</v>
          </cell>
          <cell r="N962">
            <v>2056.5</v>
          </cell>
          <cell r="O962">
            <v>0</v>
          </cell>
          <cell r="Q962">
            <v>0</v>
          </cell>
          <cell r="S962">
            <v>0</v>
          </cell>
          <cell r="U962">
            <v>0</v>
          </cell>
          <cell r="Y962">
            <v>468.45</v>
          </cell>
          <cell r="AE962" t="str">
            <v>20140101KUUM_493</v>
          </cell>
        </row>
        <row r="963">
          <cell r="B963" t="str">
            <v>Nov 2014</v>
          </cell>
          <cell r="C963" t="str">
            <v>LS</v>
          </cell>
          <cell r="D963" t="str">
            <v>KUUM_494</v>
          </cell>
          <cell r="E963">
            <v>191</v>
          </cell>
          <cell r="F963">
            <v>0</v>
          </cell>
          <cell r="G963">
            <v>0</v>
          </cell>
          <cell r="H963">
            <v>0</v>
          </cell>
          <cell r="L963">
            <v>0</v>
          </cell>
          <cell r="N963">
            <v>5418.67</v>
          </cell>
          <cell r="O963">
            <v>0</v>
          </cell>
          <cell r="Q963">
            <v>0</v>
          </cell>
          <cell r="S963">
            <v>0</v>
          </cell>
          <cell r="U963">
            <v>0</v>
          </cell>
          <cell r="Y963">
            <v>376.27</v>
          </cell>
          <cell r="AE963" t="str">
            <v>20140101KUUM_494</v>
          </cell>
        </row>
        <row r="964">
          <cell r="B964" t="str">
            <v>Nov 2014</v>
          </cell>
          <cell r="C964" t="str">
            <v>LS</v>
          </cell>
          <cell r="D964" t="str">
            <v>KUUM_495</v>
          </cell>
          <cell r="E964">
            <v>593</v>
          </cell>
          <cell r="F964">
            <v>0</v>
          </cell>
          <cell r="G964">
            <v>0</v>
          </cell>
          <cell r="H964">
            <v>0</v>
          </cell>
          <cell r="L964">
            <v>0</v>
          </cell>
          <cell r="N964">
            <v>20654.189999999999</v>
          </cell>
          <cell r="O964">
            <v>0</v>
          </cell>
          <cell r="Q964">
            <v>0</v>
          </cell>
          <cell r="S964">
            <v>0</v>
          </cell>
          <cell r="U964">
            <v>0</v>
          </cell>
          <cell r="Y964">
            <v>2543.9699999999998</v>
          </cell>
          <cell r="AE964" t="str">
            <v>20140101KUUM_495</v>
          </cell>
        </row>
        <row r="965">
          <cell r="B965" t="str">
            <v>Nov 2014</v>
          </cell>
          <cell r="C965" t="str">
            <v>LS</v>
          </cell>
          <cell r="D965" t="str">
            <v>KUUM_496</v>
          </cell>
          <cell r="E965">
            <v>159</v>
          </cell>
          <cell r="F965">
            <v>0</v>
          </cell>
          <cell r="G965">
            <v>0</v>
          </cell>
          <cell r="H965">
            <v>0</v>
          </cell>
          <cell r="L965">
            <v>0</v>
          </cell>
          <cell r="N965">
            <v>9315.81</v>
          </cell>
          <cell r="O965">
            <v>0</v>
          </cell>
          <cell r="Q965">
            <v>0</v>
          </cell>
          <cell r="S965">
            <v>0</v>
          </cell>
          <cell r="U965">
            <v>0</v>
          </cell>
          <cell r="Y965">
            <v>1655.19</v>
          </cell>
          <cell r="AE965" t="str">
            <v>20140101KUUM_496</v>
          </cell>
        </row>
        <row r="966">
          <cell r="B966" t="str">
            <v>Nov 2014</v>
          </cell>
          <cell r="C966" t="str">
            <v>LS</v>
          </cell>
          <cell r="D966" t="str">
            <v>KUUM_497</v>
          </cell>
          <cell r="E966">
            <v>8</v>
          </cell>
          <cell r="F966">
            <v>0</v>
          </cell>
          <cell r="G966">
            <v>0</v>
          </cell>
          <cell r="H966">
            <v>0</v>
          </cell>
          <cell r="L966">
            <v>0</v>
          </cell>
          <cell r="N966">
            <v>122.8</v>
          </cell>
          <cell r="O966">
            <v>0</v>
          </cell>
          <cell r="Q966">
            <v>0</v>
          </cell>
          <cell r="S966">
            <v>0</v>
          </cell>
          <cell r="U966">
            <v>0</v>
          </cell>
          <cell r="Y966">
            <v>9.0399999999999991</v>
          </cell>
          <cell r="AE966" t="str">
            <v>20140101KUUM_497</v>
          </cell>
        </row>
        <row r="967">
          <cell r="B967" t="str">
            <v>Nov 2014</v>
          </cell>
          <cell r="C967" t="str">
            <v>LS</v>
          </cell>
          <cell r="D967" t="str">
            <v>KUUM_498</v>
          </cell>
          <cell r="E967">
            <v>20</v>
          </cell>
          <cell r="F967">
            <v>0</v>
          </cell>
          <cell r="G967">
            <v>0</v>
          </cell>
          <cell r="H967">
            <v>0</v>
          </cell>
          <cell r="L967">
            <v>0</v>
          </cell>
          <cell r="N967">
            <v>354.4</v>
          </cell>
          <cell r="O967">
            <v>0</v>
          </cell>
          <cell r="Q967">
            <v>0</v>
          </cell>
          <cell r="S967">
            <v>0</v>
          </cell>
          <cell r="U967">
            <v>0</v>
          </cell>
          <cell r="Y967">
            <v>46.6</v>
          </cell>
          <cell r="AE967" t="str">
            <v>20140101KUUM_498</v>
          </cell>
        </row>
        <row r="968">
          <cell r="B968" t="str">
            <v>Nov 2014</v>
          </cell>
          <cell r="C968" t="str">
            <v>LS</v>
          </cell>
          <cell r="D968" t="str">
            <v>KUUM_499</v>
          </cell>
          <cell r="E968">
            <v>23</v>
          </cell>
          <cell r="F968">
            <v>0</v>
          </cell>
          <cell r="G968">
            <v>0</v>
          </cell>
          <cell r="H968">
            <v>0</v>
          </cell>
          <cell r="L968">
            <v>0</v>
          </cell>
          <cell r="N968">
            <v>494.27</v>
          </cell>
          <cell r="O968">
            <v>0</v>
          </cell>
          <cell r="Q968">
            <v>0</v>
          </cell>
          <cell r="S968">
            <v>0</v>
          </cell>
          <cell r="U968">
            <v>0</v>
          </cell>
          <cell r="Y968">
            <v>104.19</v>
          </cell>
          <cell r="AE968" t="str">
            <v>20140101KUUM_499</v>
          </cell>
        </row>
        <row r="969">
          <cell r="B969" t="str">
            <v>Nov 2014</v>
          </cell>
          <cell r="C969" t="str">
            <v>ODL</v>
          </cell>
          <cell r="D969" t="str">
            <v>ODL</v>
          </cell>
          <cell r="E969">
            <v>0</v>
          </cell>
          <cell r="F969">
            <v>0</v>
          </cell>
          <cell r="G969">
            <v>10215241</v>
          </cell>
          <cell r="H969">
            <v>0</v>
          </cell>
          <cell r="L969">
            <v>0</v>
          </cell>
          <cell r="N969">
            <v>0</v>
          </cell>
          <cell r="O969">
            <v>2016066.25</v>
          </cell>
          <cell r="Q969">
            <v>25023</v>
          </cell>
          <cell r="S969">
            <v>39503</v>
          </cell>
          <cell r="U969">
            <v>2080592.25</v>
          </cell>
          <cell r="Y969">
            <v>0</v>
          </cell>
          <cell r="AE969" t="str">
            <v>20140101ODL</v>
          </cell>
        </row>
        <row r="970">
          <cell r="B970" t="str">
            <v>Dec 2014</v>
          </cell>
          <cell r="C970" t="str">
            <v>LS</v>
          </cell>
          <cell r="D970" t="str">
            <v>KUUM_300</v>
          </cell>
          <cell r="E970">
            <v>0</v>
          </cell>
          <cell r="F970">
            <v>0</v>
          </cell>
          <cell r="G970">
            <v>0</v>
          </cell>
          <cell r="H970">
            <v>0</v>
          </cell>
          <cell r="L970">
            <v>0</v>
          </cell>
          <cell r="N970">
            <v>0</v>
          </cell>
          <cell r="O970">
            <v>0</v>
          </cell>
          <cell r="Q970">
            <v>0</v>
          </cell>
          <cell r="S970">
            <v>0</v>
          </cell>
          <cell r="U970">
            <v>0</v>
          </cell>
          <cell r="Y970">
            <v>0</v>
          </cell>
          <cell r="AE970" t="str">
            <v>20140101KUUM_300</v>
          </cell>
        </row>
        <row r="971">
          <cell r="B971" t="str">
            <v>Dec 2014</v>
          </cell>
          <cell r="C971" t="str">
            <v>LS</v>
          </cell>
          <cell r="D971" t="str">
            <v>KUUM_301</v>
          </cell>
          <cell r="E971">
            <v>0</v>
          </cell>
          <cell r="F971">
            <v>0</v>
          </cell>
          <cell r="G971">
            <v>0</v>
          </cell>
          <cell r="H971">
            <v>0</v>
          </cell>
          <cell r="L971">
            <v>0</v>
          </cell>
          <cell r="N971">
            <v>0</v>
          </cell>
          <cell r="O971">
            <v>0</v>
          </cell>
          <cell r="Q971">
            <v>0</v>
          </cell>
          <cell r="S971">
            <v>0</v>
          </cell>
          <cell r="U971">
            <v>0</v>
          </cell>
          <cell r="Y971">
            <v>0</v>
          </cell>
          <cell r="AE971" t="str">
            <v>20140101KUUM_301</v>
          </cell>
        </row>
        <row r="972">
          <cell r="B972" t="str">
            <v>Dec 2014</v>
          </cell>
          <cell r="C972" t="str">
            <v>LS</v>
          </cell>
          <cell r="D972" t="str">
            <v>KUUM_360</v>
          </cell>
          <cell r="E972">
            <v>172</v>
          </cell>
          <cell r="F972">
            <v>0</v>
          </cell>
          <cell r="G972">
            <v>0</v>
          </cell>
          <cell r="H972">
            <v>0</v>
          </cell>
          <cell r="L972">
            <v>0</v>
          </cell>
          <cell r="N972">
            <v>9516.76</v>
          </cell>
          <cell r="O972">
            <v>0</v>
          </cell>
          <cell r="Q972">
            <v>0</v>
          </cell>
          <cell r="S972">
            <v>0</v>
          </cell>
          <cell r="U972">
            <v>0</v>
          </cell>
          <cell r="Y972">
            <v>301</v>
          </cell>
          <cell r="AE972" t="str">
            <v>20140101KUUM_360</v>
          </cell>
        </row>
        <row r="973">
          <cell r="B973" t="str">
            <v>Dec 2014</v>
          </cell>
          <cell r="C973" t="str">
            <v>LS</v>
          </cell>
          <cell r="D973" t="str">
            <v>KUUM_361</v>
          </cell>
          <cell r="E973">
            <v>26</v>
          </cell>
          <cell r="F973">
            <v>0</v>
          </cell>
          <cell r="G973">
            <v>0</v>
          </cell>
          <cell r="H973">
            <v>0</v>
          </cell>
          <cell r="L973">
            <v>0</v>
          </cell>
          <cell r="N973">
            <v>2162.16</v>
          </cell>
          <cell r="O973">
            <v>0</v>
          </cell>
          <cell r="Q973">
            <v>0</v>
          </cell>
          <cell r="S973">
            <v>0</v>
          </cell>
          <cell r="U973">
            <v>0</v>
          </cell>
          <cell r="Y973">
            <v>45.5</v>
          </cell>
          <cell r="AE973" t="str">
            <v>20140101KUUM_361</v>
          </cell>
        </row>
        <row r="974">
          <cell r="B974" t="str">
            <v>Dec 2014</v>
          </cell>
          <cell r="C974" t="str">
            <v>LS</v>
          </cell>
          <cell r="D974" t="str">
            <v>KUUM_362</v>
          </cell>
          <cell r="E974">
            <v>44</v>
          </cell>
          <cell r="F974">
            <v>0</v>
          </cell>
          <cell r="G974">
            <v>0</v>
          </cell>
          <cell r="H974">
            <v>0</v>
          </cell>
          <cell r="L974">
            <v>0</v>
          </cell>
          <cell r="N974">
            <v>2630.32</v>
          </cell>
          <cell r="O974">
            <v>0</v>
          </cell>
          <cell r="Q974">
            <v>0</v>
          </cell>
          <cell r="S974">
            <v>0</v>
          </cell>
          <cell r="U974">
            <v>0</v>
          </cell>
          <cell r="Y974">
            <v>77</v>
          </cell>
          <cell r="AE974" t="str">
            <v>20140101KUUM_362</v>
          </cell>
        </row>
        <row r="975">
          <cell r="B975" t="str">
            <v>Dec 2014</v>
          </cell>
          <cell r="C975" t="str">
            <v>LS</v>
          </cell>
          <cell r="D975" t="str">
            <v>KUUM_363</v>
          </cell>
          <cell r="E975">
            <v>5</v>
          </cell>
          <cell r="F975">
            <v>0</v>
          </cell>
          <cell r="G975">
            <v>0</v>
          </cell>
          <cell r="H975">
            <v>0</v>
          </cell>
          <cell r="L975">
            <v>0</v>
          </cell>
          <cell r="N975">
            <v>308.75</v>
          </cell>
          <cell r="O975">
            <v>0</v>
          </cell>
          <cell r="Q975">
            <v>0</v>
          </cell>
          <cell r="S975">
            <v>0</v>
          </cell>
          <cell r="U975">
            <v>0</v>
          </cell>
          <cell r="Y975">
            <v>8.75</v>
          </cell>
          <cell r="AE975" t="str">
            <v>20140101KUUM_363</v>
          </cell>
        </row>
        <row r="976">
          <cell r="B976" t="str">
            <v>Dec 2014</v>
          </cell>
          <cell r="C976" t="str">
            <v>LS</v>
          </cell>
          <cell r="D976" t="str">
            <v>KUUM_364</v>
          </cell>
          <cell r="E976">
            <v>1</v>
          </cell>
          <cell r="F976">
            <v>0</v>
          </cell>
          <cell r="G976">
            <v>0</v>
          </cell>
          <cell r="H976">
            <v>0</v>
          </cell>
          <cell r="L976">
            <v>0</v>
          </cell>
          <cell r="N976">
            <v>63.11</v>
          </cell>
          <cell r="O976">
            <v>0</v>
          </cell>
          <cell r="Q976">
            <v>0</v>
          </cell>
          <cell r="S976">
            <v>0</v>
          </cell>
          <cell r="U976">
            <v>0</v>
          </cell>
          <cell r="Y976">
            <v>1.75</v>
          </cell>
          <cell r="AE976" t="str">
            <v>20140101KUUM_364</v>
          </cell>
        </row>
        <row r="977">
          <cell r="B977" t="str">
            <v>Dec 2014</v>
          </cell>
          <cell r="C977" t="str">
            <v>LS</v>
          </cell>
          <cell r="D977" t="str">
            <v>KUUM_365</v>
          </cell>
          <cell r="E977">
            <v>5</v>
          </cell>
          <cell r="F977">
            <v>0</v>
          </cell>
          <cell r="G977">
            <v>0</v>
          </cell>
          <cell r="H977">
            <v>0</v>
          </cell>
          <cell r="L977">
            <v>0</v>
          </cell>
          <cell r="N977">
            <v>404.7</v>
          </cell>
          <cell r="O977">
            <v>0</v>
          </cell>
          <cell r="Q977">
            <v>0</v>
          </cell>
          <cell r="S977">
            <v>0</v>
          </cell>
          <cell r="U977">
            <v>0</v>
          </cell>
          <cell r="Y977">
            <v>8.75</v>
          </cell>
          <cell r="AE977" t="str">
            <v>20140101KUUM_365</v>
          </cell>
        </row>
        <row r="978">
          <cell r="B978" t="str">
            <v>Dec 2014</v>
          </cell>
          <cell r="C978" t="str">
            <v>LS</v>
          </cell>
          <cell r="D978" t="str">
            <v>KUUM_366</v>
          </cell>
          <cell r="E978">
            <v>10</v>
          </cell>
          <cell r="F978">
            <v>0</v>
          </cell>
          <cell r="G978">
            <v>0</v>
          </cell>
          <cell r="H978">
            <v>0</v>
          </cell>
          <cell r="L978">
            <v>0</v>
          </cell>
          <cell r="N978">
            <v>789.7</v>
          </cell>
          <cell r="O978">
            <v>0</v>
          </cell>
          <cell r="Q978">
            <v>0</v>
          </cell>
          <cell r="S978">
            <v>0</v>
          </cell>
          <cell r="U978">
            <v>0</v>
          </cell>
          <cell r="Y978">
            <v>17.5</v>
          </cell>
          <cell r="AE978" t="str">
            <v>20140101KUUM_366</v>
          </cell>
        </row>
        <row r="979">
          <cell r="B979" t="str">
            <v>Dec 2014</v>
          </cell>
          <cell r="C979" t="str">
            <v>LS</v>
          </cell>
          <cell r="D979" t="str">
            <v>KUUM_367</v>
          </cell>
          <cell r="E979">
            <v>24</v>
          </cell>
          <cell r="F979">
            <v>0</v>
          </cell>
          <cell r="G979">
            <v>0</v>
          </cell>
          <cell r="H979">
            <v>0</v>
          </cell>
          <cell r="L979">
            <v>0</v>
          </cell>
          <cell r="N979">
            <v>1469.52</v>
          </cell>
          <cell r="O979">
            <v>0</v>
          </cell>
          <cell r="Q979">
            <v>0</v>
          </cell>
          <cell r="S979">
            <v>0</v>
          </cell>
          <cell r="U979">
            <v>0</v>
          </cell>
          <cell r="Y979">
            <v>42</v>
          </cell>
          <cell r="AE979" t="str">
            <v>20140101KUUM_367</v>
          </cell>
        </row>
        <row r="980">
          <cell r="B980" t="str">
            <v>Dec 2014</v>
          </cell>
          <cell r="C980" t="str">
            <v>LS</v>
          </cell>
          <cell r="D980" t="str">
            <v>KUUM_368</v>
          </cell>
          <cell r="E980">
            <v>1</v>
          </cell>
          <cell r="F980">
            <v>0</v>
          </cell>
          <cell r="G980">
            <v>0</v>
          </cell>
          <cell r="H980">
            <v>0</v>
          </cell>
          <cell r="L980">
            <v>0</v>
          </cell>
          <cell r="N980">
            <v>56.69</v>
          </cell>
          <cell r="O980">
            <v>0</v>
          </cell>
          <cell r="Q980">
            <v>0</v>
          </cell>
          <cell r="S980">
            <v>0</v>
          </cell>
          <cell r="U980">
            <v>0</v>
          </cell>
          <cell r="Y980">
            <v>1.75</v>
          </cell>
          <cell r="AE980" t="str">
            <v>20140101KUUM_368</v>
          </cell>
        </row>
        <row r="981">
          <cell r="B981" t="str">
            <v>Dec 2014</v>
          </cell>
          <cell r="C981" t="str">
            <v>LS</v>
          </cell>
          <cell r="D981" t="str">
            <v>KUUM_370</v>
          </cell>
          <cell r="E981">
            <v>16</v>
          </cell>
          <cell r="F981">
            <v>0</v>
          </cell>
          <cell r="G981">
            <v>0</v>
          </cell>
          <cell r="H981">
            <v>0</v>
          </cell>
          <cell r="L981">
            <v>0</v>
          </cell>
          <cell r="N981">
            <v>1192.32</v>
          </cell>
          <cell r="O981">
            <v>0</v>
          </cell>
          <cell r="Q981">
            <v>0</v>
          </cell>
          <cell r="S981">
            <v>0</v>
          </cell>
          <cell r="U981">
            <v>0</v>
          </cell>
          <cell r="Y981">
            <v>28</v>
          </cell>
          <cell r="AE981" t="str">
            <v>20140101KUUM_370</v>
          </cell>
        </row>
        <row r="982">
          <cell r="B982" t="str">
            <v>Dec 2014</v>
          </cell>
          <cell r="C982" t="str">
            <v>LS</v>
          </cell>
          <cell r="D982" t="str">
            <v>KUUM_372</v>
          </cell>
          <cell r="E982">
            <v>1</v>
          </cell>
          <cell r="F982">
            <v>0</v>
          </cell>
          <cell r="G982">
            <v>0</v>
          </cell>
          <cell r="H982">
            <v>0</v>
          </cell>
          <cell r="L982">
            <v>0</v>
          </cell>
          <cell r="N982">
            <v>82.3</v>
          </cell>
          <cell r="O982">
            <v>0</v>
          </cell>
          <cell r="Q982">
            <v>0</v>
          </cell>
          <cell r="S982">
            <v>0</v>
          </cell>
          <cell r="U982">
            <v>0</v>
          </cell>
          <cell r="Y982">
            <v>1.75</v>
          </cell>
          <cell r="AE982" t="str">
            <v>20140101KUUM_372</v>
          </cell>
        </row>
        <row r="983">
          <cell r="B983" t="str">
            <v>Dec 2014</v>
          </cell>
          <cell r="C983" t="str">
            <v>LS</v>
          </cell>
          <cell r="D983" t="str">
            <v>KUUM_373</v>
          </cell>
          <cell r="E983">
            <v>19</v>
          </cell>
          <cell r="F983">
            <v>0</v>
          </cell>
          <cell r="G983">
            <v>0</v>
          </cell>
          <cell r="H983">
            <v>0</v>
          </cell>
          <cell r="L983">
            <v>0</v>
          </cell>
          <cell r="N983">
            <v>1415.88</v>
          </cell>
          <cell r="O983">
            <v>0</v>
          </cell>
          <cell r="Q983">
            <v>0</v>
          </cell>
          <cell r="S983">
            <v>0</v>
          </cell>
          <cell r="U983">
            <v>0</v>
          </cell>
          <cell r="Y983">
            <v>33.25</v>
          </cell>
          <cell r="AE983" t="str">
            <v>20140101KUUM_373</v>
          </cell>
        </row>
        <row r="984">
          <cell r="B984" t="str">
            <v>Dec 2014</v>
          </cell>
          <cell r="C984" t="str">
            <v>LS</v>
          </cell>
          <cell r="D984" t="str">
            <v>KUUM_374</v>
          </cell>
          <cell r="E984">
            <v>4</v>
          </cell>
          <cell r="F984">
            <v>0</v>
          </cell>
          <cell r="G984">
            <v>0</v>
          </cell>
          <cell r="H984">
            <v>0</v>
          </cell>
          <cell r="L984">
            <v>0</v>
          </cell>
          <cell r="N984">
            <v>303.52</v>
          </cell>
          <cell r="O984">
            <v>0</v>
          </cell>
          <cell r="Q984">
            <v>0</v>
          </cell>
          <cell r="S984">
            <v>0</v>
          </cell>
          <cell r="U984">
            <v>0</v>
          </cell>
          <cell r="Y984">
            <v>7</v>
          </cell>
          <cell r="AE984" t="str">
            <v>20140101KUUM_374</v>
          </cell>
        </row>
        <row r="985">
          <cell r="B985" t="str">
            <v>Dec 2014</v>
          </cell>
          <cell r="C985" t="str">
            <v>LS</v>
          </cell>
          <cell r="D985" t="str">
            <v>KUUM_375</v>
          </cell>
          <cell r="E985">
            <v>3</v>
          </cell>
          <cell r="F985">
            <v>0</v>
          </cell>
          <cell r="G985">
            <v>0</v>
          </cell>
          <cell r="H985">
            <v>0</v>
          </cell>
          <cell r="L985">
            <v>0</v>
          </cell>
          <cell r="N985">
            <v>236.91</v>
          </cell>
          <cell r="O985">
            <v>0</v>
          </cell>
          <cell r="Q985">
            <v>0</v>
          </cell>
          <cell r="S985">
            <v>0</v>
          </cell>
          <cell r="U985">
            <v>0</v>
          </cell>
          <cell r="Y985">
            <v>5.25</v>
          </cell>
          <cell r="AE985" t="str">
            <v>20140101KUUM_375</v>
          </cell>
        </row>
        <row r="986">
          <cell r="B986" t="str">
            <v>Dec 2014</v>
          </cell>
          <cell r="C986" t="str">
            <v>LS</v>
          </cell>
          <cell r="D986" t="str">
            <v>KUUM_376</v>
          </cell>
          <cell r="E986">
            <v>2</v>
          </cell>
          <cell r="F986">
            <v>0</v>
          </cell>
          <cell r="G986">
            <v>0</v>
          </cell>
          <cell r="H986">
            <v>0</v>
          </cell>
          <cell r="L986">
            <v>0</v>
          </cell>
          <cell r="N986">
            <v>154.52000000000001</v>
          </cell>
          <cell r="O986">
            <v>0</v>
          </cell>
          <cell r="Q986">
            <v>0</v>
          </cell>
          <cell r="S986">
            <v>0</v>
          </cell>
          <cell r="U986">
            <v>0</v>
          </cell>
          <cell r="Y986">
            <v>3.5</v>
          </cell>
          <cell r="AE986" t="str">
            <v>20140101KUUM_376</v>
          </cell>
        </row>
        <row r="987">
          <cell r="B987" t="str">
            <v>Dec 2014</v>
          </cell>
          <cell r="C987" t="str">
            <v>LS</v>
          </cell>
          <cell r="D987" t="str">
            <v>KUUM_377</v>
          </cell>
          <cell r="E987">
            <v>52</v>
          </cell>
          <cell r="F987">
            <v>0</v>
          </cell>
          <cell r="G987">
            <v>0</v>
          </cell>
          <cell r="H987">
            <v>0</v>
          </cell>
          <cell r="L987">
            <v>0</v>
          </cell>
          <cell r="N987">
            <v>3337.88</v>
          </cell>
          <cell r="O987">
            <v>0</v>
          </cell>
          <cell r="Q987">
            <v>0</v>
          </cell>
          <cell r="S987">
            <v>0</v>
          </cell>
          <cell r="U987">
            <v>0</v>
          </cell>
          <cell r="Y987">
            <v>91</v>
          </cell>
          <cell r="AE987" t="str">
            <v>20140101KUUM_377</v>
          </cell>
        </row>
        <row r="988">
          <cell r="B988" t="str">
            <v>Dec 2014</v>
          </cell>
          <cell r="C988" t="str">
            <v>LS</v>
          </cell>
          <cell r="D988" t="str">
            <v>KUUM_378</v>
          </cell>
          <cell r="E988">
            <v>2</v>
          </cell>
          <cell r="F988">
            <v>0</v>
          </cell>
          <cell r="G988">
            <v>0</v>
          </cell>
          <cell r="H988">
            <v>0</v>
          </cell>
          <cell r="L988">
            <v>0</v>
          </cell>
          <cell r="N988">
            <v>151.80000000000001</v>
          </cell>
          <cell r="O988">
            <v>0</v>
          </cell>
          <cell r="Q988">
            <v>0</v>
          </cell>
          <cell r="S988">
            <v>0</v>
          </cell>
          <cell r="U988">
            <v>0</v>
          </cell>
          <cell r="Y988">
            <v>3.5</v>
          </cell>
          <cell r="AE988" t="str">
            <v>20140101KUUM_378</v>
          </cell>
        </row>
        <row r="989">
          <cell r="B989" t="str">
            <v>Dec 2014</v>
          </cell>
          <cell r="C989" t="str">
            <v>LS</v>
          </cell>
          <cell r="D989" t="str">
            <v>KUUM_401</v>
          </cell>
          <cell r="E989">
            <v>51</v>
          </cell>
          <cell r="F989">
            <v>0</v>
          </cell>
          <cell r="G989">
            <v>0</v>
          </cell>
          <cell r="H989">
            <v>0</v>
          </cell>
          <cell r="L989">
            <v>0</v>
          </cell>
          <cell r="N989">
            <v>757.86</v>
          </cell>
          <cell r="O989">
            <v>0</v>
          </cell>
          <cell r="Q989">
            <v>0</v>
          </cell>
          <cell r="S989">
            <v>0</v>
          </cell>
          <cell r="U989">
            <v>0</v>
          </cell>
          <cell r="Y989">
            <v>40.799999999999997</v>
          </cell>
          <cell r="AE989" t="str">
            <v>20140101KUUM_401</v>
          </cell>
        </row>
        <row r="990">
          <cell r="B990" t="str">
            <v>Dec 2014</v>
          </cell>
          <cell r="C990" t="str">
            <v>RLS</v>
          </cell>
          <cell r="D990" t="str">
            <v>KUUM_404</v>
          </cell>
          <cell r="E990">
            <v>7056</v>
          </cell>
          <cell r="F990">
            <v>0</v>
          </cell>
          <cell r="G990">
            <v>0</v>
          </cell>
          <cell r="H990">
            <v>0</v>
          </cell>
          <cell r="L990">
            <v>0</v>
          </cell>
          <cell r="N990">
            <v>74581.919999999998</v>
          </cell>
          <cell r="O990">
            <v>0</v>
          </cell>
          <cell r="Q990">
            <v>0</v>
          </cell>
          <cell r="S990">
            <v>0</v>
          </cell>
          <cell r="U990">
            <v>0</v>
          </cell>
          <cell r="Y990">
            <v>14041.44</v>
          </cell>
          <cell r="AE990" t="str">
            <v>20140101KUUM_404</v>
          </cell>
        </row>
        <row r="991">
          <cell r="B991" t="str">
            <v>Dec 2014</v>
          </cell>
          <cell r="C991" t="str">
            <v>RLS</v>
          </cell>
          <cell r="D991" t="str">
            <v>KUUM_405</v>
          </cell>
          <cell r="E991">
            <v>0</v>
          </cell>
          <cell r="F991">
            <v>0</v>
          </cell>
          <cell r="G991">
            <v>0</v>
          </cell>
          <cell r="H991">
            <v>0</v>
          </cell>
          <cell r="L991">
            <v>0</v>
          </cell>
          <cell r="N991">
            <v>0</v>
          </cell>
          <cell r="O991">
            <v>0</v>
          </cell>
          <cell r="Q991">
            <v>0</v>
          </cell>
          <cell r="S991">
            <v>0</v>
          </cell>
          <cell r="U991">
            <v>0</v>
          </cell>
          <cell r="Y991">
            <v>0</v>
          </cell>
          <cell r="AE991" t="str">
            <v>20140101KUUM_405</v>
          </cell>
        </row>
        <row r="992">
          <cell r="B992" t="str">
            <v>Dec 2014</v>
          </cell>
          <cell r="C992" t="str">
            <v>LS</v>
          </cell>
          <cell r="D992" t="str">
            <v>KUUM_407</v>
          </cell>
          <cell r="E992">
            <v>0</v>
          </cell>
          <cell r="F992">
            <v>0</v>
          </cell>
          <cell r="G992">
            <v>0</v>
          </cell>
          <cell r="H992">
            <v>0</v>
          </cell>
          <cell r="L992">
            <v>0</v>
          </cell>
          <cell r="N992">
            <v>0</v>
          </cell>
          <cell r="O992">
            <v>0</v>
          </cell>
          <cell r="Q992">
            <v>0</v>
          </cell>
          <cell r="S992">
            <v>0</v>
          </cell>
          <cell r="U992">
            <v>0</v>
          </cell>
          <cell r="Y992">
            <v>0</v>
          </cell>
          <cell r="AE992" t="str">
            <v>20140101KUUM_407</v>
          </cell>
        </row>
        <row r="993">
          <cell r="B993" t="str">
            <v>Dec 2014</v>
          </cell>
          <cell r="C993" t="str">
            <v>RLS</v>
          </cell>
          <cell r="D993" t="str">
            <v>KUUM_409</v>
          </cell>
          <cell r="E993">
            <v>130</v>
          </cell>
          <cell r="F993">
            <v>0</v>
          </cell>
          <cell r="G993">
            <v>0</v>
          </cell>
          <cell r="H993">
            <v>0</v>
          </cell>
          <cell r="L993">
            <v>0</v>
          </cell>
          <cell r="N993">
            <v>1522.3</v>
          </cell>
          <cell r="O993">
            <v>0</v>
          </cell>
          <cell r="Q993">
            <v>0</v>
          </cell>
          <cell r="S993">
            <v>0</v>
          </cell>
          <cell r="U993">
            <v>0</v>
          </cell>
          <cell r="Y993">
            <v>588.9</v>
          </cell>
          <cell r="AE993" t="str">
            <v>20140101KUUM_409</v>
          </cell>
        </row>
        <row r="994">
          <cell r="B994" t="str">
            <v>Dec 2014</v>
          </cell>
          <cell r="C994" t="str">
            <v>RLS</v>
          </cell>
          <cell r="D994" t="str">
            <v>KUUM_410</v>
          </cell>
          <cell r="E994">
            <v>236</v>
          </cell>
          <cell r="F994">
            <v>0</v>
          </cell>
          <cell r="G994">
            <v>0</v>
          </cell>
          <cell r="H994">
            <v>0</v>
          </cell>
          <cell r="L994">
            <v>0</v>
          </cell>
          <cell r="N994">
            <v>4781.3599999999997</v>
          </cell>
          <cell r="O994">
            <v>0</v>
          </cell>
          <cell r="Q994">
            <v>0</v>
          </cell>
          <cell r="S994">
            <v>0</v>
          </cell>
          <cell r="U994">
            <v>0</v>
          </cell>
          <cell r="Y994">
            <v>134.52000000000001</v>
          </cell>
          <cell r="AE994" t="str">
            <v>20140101KUUM_410</v>
          </cell>
        </row>
        <row r="995">
          <cell r="B995" t="str">
            <v>Dec 2014</v>
          </cell>
          <cell r="C995" t="str">
            <v>LS</v>
          </cell>
          <cell r="D995" t="str">
            <v>KUUM_411</v>
          </cell>
          <cell r="E995">
            <v>142</v>
          </cell>
          <cell r="F995">
            <v>0</v>
          </cell>
          <cell r="G995">
            <v>0</v>
          </cell>
          <cell r="H995">
            <v>0</v>
          </cell>
          <cell r="L995">
            <v>0</v>
          </cell>
          <cell r="N995">
            <v>3035.96</v>
          </cell>
          <cell r="O995">
            <v>0</v>
          </cell>
          <cell r="Q995">
            <v>0</v>
          </cell>
          <cell r="S995">
            <v>0</v>
          </cell>
          <cell r="U995">
            <v>0</v>
          </cell>
          <cell r="Y995">
            <v>113.6</v>
          </cell>
          <cell r="AE995" t="str">
            <v>20140101KUUM_411</v>
          </cell>
        </row>
        <row r="996">
          <cell r="B996" t="str">
            <v>Dec 2014</v>
          </cell>
          <cell r="C996" t="str">
            <v>RLS</v>
          </cell>
          <cell r="D996" t="str">
            <v>KUUM_412</v>
          </cell>
          <cell r="E996">
            <v>28</v>
          </cell>
          <cell r="F996">
            <v>0</v>
          </cell>
          <cell r="G996">
            <v>0</v>
          </cell>
          <cell r="H996">
            <v>0</v>
          </cell>
          <cell r="L996">
            <v>0</v>
          </cell>
          <cell r="N996">
            <v>863.52</v>
          </cell>
          <cell r="O996">
            <v>0</v>
          </cell>
          <cell r="Q996">
            <v>0</v>
          </cell>
          <cell r="S996">
            <v>0</v>
          </cell>
          <cell r="U996">
            <v>0</v>
          </cell>
          <cell r="Y996">
            <v>22.4</v>
          </cell>
          <cell r="AE996" t="str">
            <v>20140101KUUM_412</v>
          </cell>
        </row>
        <row r="997">
          <cell r="B997" t="str">
            <v>Dec 2014</v>
          </cell>
          <cell r="C997" t="str">
            <v>RLS</v>
          </cell>
          <cell r="D997" t="str">
            <v>KUUM_413</v>
          </cell>
          <cell r="E997">
            <v>97</v>
          </cell>
          <cell r="F997">
            <v>0</v>
          </cell>
          <cell r="G997">
            <v>0</v>
          </cell>
          <cell r="H997">
            <v>0</v>
          </cell>
          <cell r="L997">
            <v>0</v>
          </cell>
          <cell r="N997">
            <v>3028.34</v>
          </cell>
          <cell r="O997">
            <v>0</v>
          </cell>
          <cell r="Q997">
            <v>0</v>
          </cell>
          <cell r="S997">
            <v>0</v>
          </cell>
          <cell r="U997">
            <v>0</v>
          </cell>
          <cell r="Y997">
            <v>109.61</v>
          </cell>
          <cell r="AE997" t="str">
            <v>20140101KUUM_413</v>
          </cell>
        </row>
        <row r="998">
          <cell r="B998" t="str">
            <v>Dec 2014</v>
          </cell>
          <cell r="C998" t="str">
            <v>LS</v>
          </cell>
          <cell r="D998" t="str">
            <v>KUUM_414</v>
          </cell>
          <cell r="E998">
            <v>21</v>
          </cell>
          <cell r="F998">
            <v>0</v>
          </cell>
          <cell r="G998">
            <v>0</v>
          </cell>
          <cell r="H998">
            <v>0</v>
          </cell>
          <cell r="L998">
            <v>0</v>
          </cell>
          <cell r="N998">
            <v>647.64</v>
          </cell>
          <cell r="O998">
            <v>0</v>
          </cell>
          <cell r="Q998">
            <v>0</v>
          </cell>
          <cell r="S998">
            <v>0</v>
          </cell>
          <cell r="U998">
            <v>0</v>
          </cell>
          <cell r="Y998">
            <v>16.8</v>
          </cell>
          <cell r="AE998" t="str">
            <v>20140101KUUM_414</v>
          </cell>
        </row>
        <row r="999">
          <cell r="B999" t="str">
            <v>Dec 2014</v>
          </cell>
          <cell r="C999" t="str">
            <v>LS</v>
          </cell>
          <cell r="D999" t="str">
            <v>KUUM_415</v>
          </cell>
          <cell r="E999">
            <v>10</v>
          </cell>
          <cell r="F999">
            <v>0</v>
          </cell>
          <cell r="G999">
            <v>0</v>
          </cell>
          <cell r="H999">
            <v>0</v>
          </cell>
          <cell r="L999">
            <v>0</v>
          </cell>
          <cell r="N999">
            <v>312.2</v>
          </cell>
          <cell r="O999">
            <v>0</v>
          </cell>
          <cell r="Q999">
            <v>0</v>
          </cell>
          <cell r="S999">
            <v>0</v>
          </cell>
          <cell r="U999">
            <v>0</v>
          </cell>
          <cell r="Y999">
            <v>11.3</v>
          </cell>
          <cell r="AE999" t="str">
            <v>20140101KUUM_415</v>
          </cell>
        </row>
        <row r="1000">
          <cell r="B1000" t="str">
            <v>Dec 2014</v>
          </cell>
          <cell r="C1000" t="str">
            <v>LS</v>
          </cell>
          <cell r="D1000" t="str">
            <v>KUUM_420</v>
          </cell>
          <cell r="E1000">
            <v>459</v>
          </cell>
          <cell r="F1000">
            <v>0</v>
          </cell>
          <cell r="G1000">
            <v>0</v>
          </cell>
          <cell r="H1000">
            <v>0</v>
          </cell>
          <cell r="L1000">
            <v>0</v>
          </cell>
          <cell r="N1000">
            <v>7050.24</v>
          </cell>
          <cell r="O1000">
            <v>0</v>
          </cell>
          <cell r="Q1000">
            <v>0</v>
          </cell>
          <cell r="S1000">
            <v>0</v>
          </cell>
          <cell r="U1000">
            <v>0</v>
          </cell>
          <cell r="Y1000">
            <v>518.66999999999996</v>
          </cell>
          <cell r="AE1000" t="str">
            <v>20140101KUUM_420</v>
          </cell>
        </row>
        <row r="1001">
          <cell r="B1001" t="str">
            <v>Dec 2014</v>
          </cell>
          <cell r="C1001" t="str">
            <v>RLS</v>
          </cell>
          <cell r="D1001" t="str">
            <v>KUUM_421</v>
          </cell>
          <cell r="E1001">
            <v>5</v>
          </cell>
          <cell r="F1001">
            <v>0</v>
          </cell>
          <cell r="G1001">
            <v>0</v>
          </cell>
          <cell r="H1001">
            <v>0</v>
          </cell>
          <cell r="L1001">
            <v>0</v>
          </cell>
          <cell r="N1001">
            <v>16.95</v>
          </cell>
          <cell r="O1001">
            <v>0</v>
          </cell>
          <cell r="Q1001">
            <v>0</v>
          </cell>
          <cell r="S1001">
            <v>0</v>
          </cell>
          <cell r="U1001">
            <v>0</v>
          </cell>
          <cell r="Y1001">
            <v>4.95</v>
          </cell>
          <cell r="AE1001" t="str">
            <v>20140101KUUM_421</v>
          </cell>
        </row>
        <row r="1002">
          <cell r="B1002" t="str">
            <v>Dec 2014</v>
          </cell>
          <cell r="C1002" t="str">
            <v>RLS</v>
          </cell>
          <cell r="D1002" t="str">
            <v>KUUM_422</v>
          </cell>
          <cell r="E1002">
            <v>675</v>
          </cell>
          <cell r="F1002">
            <v>0</v>
          </cell>
          <cell r="G1002">
            <v>0</v>
          </cell>
          <cell r="H1002">
            <v>0</v>
          </cell>
          <cell r="L1002">
            <v>0</v>
          </cell>
          <cell r="N1002">
            <v>3064.5</v>
          </cell>
          <cell r="O1002">
            <v>0</v>
          </cell>
          <cell r="Q1002">
            <v>0</v>
          </cell>
          <cell r="S1002">
            <v>0</v>
          </cell>
          <cell r="U1002">
            <v>0</v>
          </cell>
          <cell r="Y1002">
            <v>1309.5</v>
          </cell>
          <cell r="AE1002" t="str">
            <v>20140101KUUM_422</v>
          </cell>
        </row>
        <row r="1003">
          <cell r="B1003" t="str">
            <v>Dec 2014</v>
          </cell>
          <cell r="C1003" t="str">
            <v>RLS</v>
          </cell>
          <cell r="D1003" t="str">
            <v>KUUM_424</v>
          </cell>
          <cell r="E1003">
            <v>113</v>
          </cell>
          <cell r="F1003">
            <v>0</v>
          </cell>
          <cell r="G1003">
            <v>0</v>
          </cell>
          <cell r="H1003">
            <v>0</v>
          </cell>
          <cell r="L1003">
            <v>0</v>
          </cell>
          <cell r="N1003">
            <v>766.14</v>
          </cell>
          <cell r="O1003">
            <v>0</v>
          </cell>
          <cell r="Q1003">
            <v>0</v>
          </cell>
          <cell r="S1003">
            <v>0</v>
          </cell>
          <cell r="U1003">
            <v>0</v>
          </cell>
          <cell r="Y1003">
            <v>79.099999999999994</v>
          </cell>
          <cell r="AE1003" t="str">
            <v>20140101KUUM_424</v>
          </cell>
        </row>
        <row r="1004">
          <cell r="B1004" t="str">
            <v>Dec 2014</v>
          </cell>
          <cell r="C1004" t="str">
            <v>RLS</v>
          </cell>
          <cell r="D1004" t="str">
            <v>KUUM_425</v>
          </cell>
          <cell r="E1004">
            <v>2</v>
          </cell>
          <cell r="F1004">
            <v>0</v>
          </cell>
          <cell r="G1004">
            <v>0</v>
          </cell>
          <cell r="H1004">
            <v>0</v>
          </cell>
          <cell r="L1004">
            <v>0</v>
          </cell>
          <cell r="N1004">
            <v>18.12</v>
          </cell>
          <cell r="O1004">
            <v>0</v>
          </cell>
          <cell r="Q1004">
            <v>0</v>
          </cell>
          <cell r="S1004">
            <v>0</v>
          </cell>
          <cell r="U1004">
            <v>0</v>
          </cell>
          <cell r="Y1004">
            <v>8.6</v>
          </cell>
          <cell r="AE1004" t="str">
            <v>20140101KUUM_425</v>
          </cell>
        </row>
        <row r="1005">
          <cell r="B1005" t="str">
            <v>Dec 2014</v>
          </cell>
          <cell r="C1005" t="str">
            <v>RLS</v>
          </cell>
          <cell r="D1005" t="str">
            <v>KUUM_426</v>
          </cell>
          <cell r="E1005">
            <v>161</v>
          </cell>
          <cell r="F1005">
            <v>0</v>
          </cell>
          <cell r="G1005">
            <v>0</v>
          </cell>
          <cell r="H1005">
            <v>0</v>
          </cell>
          <cell r="L1005">
            <v>0</v>
          </cell>
          <cell r="N1005">
            <v>1197.8399999999999</v>
          </cell>
          <cell r="O1005">
            <v>0</v>
          </cell>
          <cell r="Q1005">
            <v>0</v>
          </cell>
          <cell r="S1005">
            <v>0</v>
          </cell>
          <cell r="U1005">
            <v>0</v>
          </cell>
          <cell r="Y1005">
            <v>128.80000000000001</v>
          </cell>
          <cell r="AE1005" t="str">
            <v>20140101KUUM_426</v>
          </cell>
        </row>
        <row r="1006">
          <cell r="B1006" t="str">
            <v>Dec 2014</v>
          </cell>
          <cell r="C1006" t="str">
            <v>LS</v>
          </cell>
          <cell r="D1006" t="str">
            <v>KUUM_428</v>
          </cell>
          <cell r="E1006">
            <v>34938</v>
          </cell>
          <cell r="F1006">
            <v>0</v>
          </cell>
          <cell r="G1006">
            <v>0</v>
          </cell>
          <cell r="H1006">
            <v>0</v>
          </cell>
          <cell r="L1006">
            <v>0</v>
          </cell>
          <cell r="N1006">
            <v>273913.92</v>
          </cell>
          <cell r="O1006">
            <v>0</v>
          </cell>
          <cell r="Q1006">
            <v>0</v>
          </cell>
          <cell r="S1006">
            <v>0</v>
          </cell>
          <cell r="U1006">
            <v>0</v>
          </cell>
          <cell r="Y1006">
            <v>39479.94</v>
          </cell>
          <cell r="AE1006" t="str">
            <v>20140101KUUM_428</v>
          </cell>
        </row>
        <row r="1007">
          <cell r="B1007" t="str">
            <v>Dec 2014</v>
          </cell>
          <cell r="C1007" t="str">
            <v>LS</v>
          </cell>
          <cell r="D1007" t="str">
            <v>KUUM_429</v>
          </cell>
          <cell r="E1007">
            <v>0</v>
          </cell>
          <cell r="F1007">
            <v>0</v>
          </cell>
          <cell r="G1007">
            <v>0</v>
          </cell>
          <cell r="H1007">
            <v>0</v>
          </cell>
          <cell r="L1007">
            <v>0</v>
          </cell>
          <cell r="N1007">
            <v>0</v>
          </cell>
          <cell r="O1007">
            <v>0</v>
          </cell>
          <cell r="Q1007">
            <v>0</v>
          </cell>
          <cell r="S1007">
            <v>0</v>
          </cell>
          <cell r="U1007">
            <v>0</v>
          </cell>
          <cell r="Y1007">
            <v>0</v>
          </cell>
          <cell r="AE1007" t="str">
            <v>20140101KUUM_429</v>
          </cell>
        </row>
        <row r="1008">
          <cell r="B1008" t="str">
            <v>Dec 2014</v>
          </cell>
          <cell r="C1008" t="str">
            <v>LS</v>
          </cell>
          <cell r="D1008" t="str">
            <v>KUUM_430</v>
          </cell>
          <cell r="E1008">
            <v>1110</v>
          </cell>
          <cell r="F1008">
            <v>0</v>
          </cell>
          <cell r="G1008">
            <v>0</v>
          </cell>
          <cell r="H1008">
            <v>0</v>
          </cell>
          <cell r="L1008">
            <v>0</v>
          </cell>
          <cell r="N1008">
            <v>24420</v>
          </cell>
          <cell r="O1008">
            <v>0</v>
          </cell>
          <cell r="Q1008">
            <v>0</v>
          </cell>
          <cell r="S1008">
            <v>0</v>
          </cell>
          <cell r="U1008">
            <v>0</v>
          </cell>
          <cell r="Y1008">
            <v>1254.3</v>
          </cell>
          <cell r="AE1008" t="str">
            <v>20140101KUUM_430</v>
          </cell>
        </row>
        <row r="1009">
          <cell r="B1009" t="str">
            <v>Dec 2014</v>
          </cell>
          <cell r="C1009" t="str">
            <v>RLS</v>
          </cell>
          <cell r="D1009" t="str">
            <v>KUUM_434</v>
          </cell>
          <cell r="E1009">
            <v>8</v>
          </cell>
          <cell r="F1009">
            <v>0</v>
          </cell>
          <cell r="G1009">
            <v>0</v>
          </cell>
          <cell r="H1009">
            <v>0</v>
          </cell>
          <cell r="L1009">
            <v>0</v>
          </cell>
          <cell r="N1009">
            <v>61.92</v>
          </cell>
          <cell r="O1009">
            <v>0</v>
          </cell>
          <cell r="Q1009">
            <v>0</v>
          </cell>
          <cell r="S1009">
            <v>0</v>
          </cell>
          <cell r="U1009">
            <v>0</v>
          </cell>
          <cell r="Y1009">
            <v>5.6</v>
          </cell>
          <cell r="AE1009" t="str">
            <v>20140101KUUM_434</v>
          </cell>
        </row>
        <row r="1010">
          <cell r="B1010" t="str">
            <v>Dec 2014</v>
          </cell>
          <cell r="C1010" t="str">
            <v>RLS</v>
          </cell>
          <cell r="D1010" t="str">
            <v>KUUM_440</v>
          </cell>
          <cell r="E1010">
            <v>2</v>
          </cell>
          <cell r="F1010">
            <v>0</v>
          </cell>
          <cell r="G1010">
            <v>0</v>
          </cell>
          <cell r="H1010">
            <v>0</v>
          </cell>
          <cell r="L1010">
            <v>0</v>
          </cell>
          <cell r="N1010">
            <v>27.22</v>
          </cell>
          <cell r="O1010">
            <v>0</v>
          </cell>
          <cell r="Q1010">
            <v>0</v>
          </cell>
          <cell r="S1010">
            <v>0</v>
          </cell>
          <cell r="U1010">
            <v>0</v>
          </cell>
          <cell r="Y1010">
            <v>1.1399999999999999</v>
          </cell>
          <cell r="AE1010" t="str">
            <v>20140101KUUM_440</v>
          </cell>
        </row>
        <row r="1011">
          <cell r="B1011" t="str">
            <v>Dec 2014</v>
          </cell>
          <cell r="C1011" t="str">
            <v>RLS</v>
          </cell>
          <cell r="D1011" t="str">
            <v>KUUM_446</v>
          </cell>
          <cell r="E1011">
            <v>1049</v>
          </cell>
          <cell r="F1011">
            <v>0</v>
          </cell>
          <cell r="G1011">
            <v>0</v>
          </cell>
          <cell r="H1011">
            <v>0</v>
          </cell>
          <cell r="L1011">
            <v>0</v>
          </cell>
          <cell r="N1011">
            <v>10028.44</v>
          </cell>
          <cell r="O1011">
            <v>0</v>
          </cell>
          <cell r="Q1011">
            <v>0</v>
          </cell>
          <cell r="S1011">
            <v>0</v>
          </cell>
          <cell r="U1011">
            <v>0</v>
          </cell>
          <cell r="Y1011">
            <v>2087.5100000000002</v>
          </cell>
          <cell r="AE1011" t="str">
            <v>20140101KUUM_446</v>
          </cell>
        </row>
        <row r="1012">
          <cell r="B1012" t="str">
            <v>Dec 2014</v>
          </cell>
          <cell r="C1012" t="str">
            <v>RLS</v>
          </cell>
          <cell r="D1012" t="str">
            <v>KUUM_447</v>
          </cell>
          <cell r="E1012">
            <v>730</v>
          </cell>
          <cell r="F1012">
            <v>0</v>
          </cell>
          <cell r="G1012">
            <v>0</v>
          </cell>
          <cell r="H1012">
            <v>0</v>
          </cell>
          <cell r="L1012">
            <v>0</v>
          </cell>
          <cell r="N1012">
            <v>8263.6</v>
          </cell>
          <cell r="O1012">
            <v>0</v>
          </cell>
          <cell r="Q1012">
            <v>0</v>
          </cell>
          <cell r="S1012">
            <v>0</v>
          </cell>
          <cell r="U1012">
            <v>0</v>
          </cell>
          <cell r="Y1012">
            <v>2073.1999999999998</v>
          </cell>
          <cell r="AE1012" t="str">
            <v>20140101KUUM_447</v>
          </cell>
        </row>
        <row r="1013">
          <cell r="B1013" t="str">
            <v>Dec 2014</v>
          </cell>
          <cell r="C1013" t="str">
            <v>RLS</v>
          </cell>
          <cell r="D1013" t="str">
            <v>KUUM_448</v>
          </cell>
          <cell r="E1013">
            <v>1467</v>
          </cell>
          <cell r="F1013">
            <v>0</v>
          </cell>
          <cell r="G1013">
            <v>0</v>
          </cell>
          <cell r="H1013">
            <v>0</v>
          </cell>
          <cell r="L1013">
            <v>0</v>
          </cell>
          <cell r="N1013">
            <v>18792.27</v>
          </cell>
          <cell r="O1013">
            <v>0</v>
          </cell>
          <cell r="Q1013">
            <v>0</v>
          </cell>
          <cell r="S1013">
            <v>0</v>
          </cell>
          <cell r="U1013">
            <v>0</v>
          </cell>
          <cell r="Y1013">
            <v>6410.79</v>
          </cell>
          <cell r="AE1013" t="str">
            <v>20140101KUUM_448</v>
          </cell>
        </row>
        <row r="1014">
          <cell r="B1014" t="str">
            <v>Dec 2014</v>
          </cell>
          <cell r="C1014" t="str">
            <v>LS</v>
          </cell>
          <cell r="D1014" t="str">
            <v>KUUM_450</v>
          </cell>
          <cell r="E1014">
            <v>633</v>
          </cell>
          <cell r="F1014">
            <v>0</v>
          </cell>
          <cell r="G1014">
            <v>0</v>
          </cell>
          <cell r="H1014">
            <v>0</v>
          </cell>
          <cell r="L1014">
            <v>0</v>
          </cell>
          <cell r="N1014">
            <v>9020.25</v>
          </cell>
          <cell r="O1014">
            <v>0</v>
          </cell>
          <cell r="Q1014">
            <v>0</v>
          </cell>
          <cell r="S1014">
            <v>0</v>
          </cell>
          <cell r="U1014">
            <v>0</v>
          </cell>
          <cell r="Y1014">
            <v>1247.01</v>
          </cell>
          <cell r="AE1014" t="str">
            <v>20140101KUUM_450</v>
          </cell>
        </row>
        <row r="1015">
          <cell r="B1015" t="str">
            <v>Dec 2014</v>
          </cell>
          <cell r="C1015" t="str">
            <v>LS</v>
          </cell>
          <cell r="D1015" t="str">
            <v>KUUM_451</v>
          </cell>
          <cell r="E1015">
            <v>4830</v>
          </cell>
          <cell r="F1015">
            <v>0</v>
          </cell>
          <cell r="G1015">
            <v>0</v>
          </cell>
          <cell r="H1015">
            <v>0</v>
          </cell>
          <cell r="L1015">
            <v>0</v>
          </cell>
          <cell r="N1015">
            <v>97566</v>
          </cell>
          <cell r="O1015">
            <v>0</v>
          </cell>
          <cell r="Q1015">
            <v>0</v>
          </cell>
          <cell r="S1015">
            <v>0</v>
          </cell>
          <cell r="U1015">
            <v>0</v>
          </cell>
          <cell r="Y1015">
            <v>20720.7</v>
          </cell>
          <cell r="AE1015" t="str">
            <v>20140101KUUM_451</v>
          </cell>
        </row>
        <row r="1016">
          <cell r="B1016" t="str">
            <v>Dec 2014</v>
          </cell>
          <cell r="C1016" t="str">
            <v>LS</v>
          </cell>
          <cell r="D1016" t="str">
            <v>KUUM_452</v>
          </cell>
          <cell r="E1016">
            <v>1016</v>
          </cell>
          <cell r="F1016">
            <v>0</v>
          </cell>
          <cell r="G1016">
            <v>0</v>
          </cell>
          <cell r="H1016">
            <v>0</v>
          </cell>
          <cell r="L1016">
            <v>0</v>
          </cell>
          <cell r="N1016">
            <v>43027.6</v>
          </cell>
          <cell r="O1016">
            <v>0</v>
          </cell>
          <cell r="Q1016">
            <v>0</v>
          </cell>
          <cell r="S1016">
            <v>0</v>
          </cell>
          <cell r="U1016">
            <v>0</v>
          </cell>
          <cell r="Y1016">
            <v>10576.56</v>
          </cell>
          <cell r="AE1016" t="str">
            <v>20140101KUUM_452</v>
          </cell>
        </row>
        <row r="1017">
          <cell r="B1017" t="str">
            <v>Dec 2014</v>
          </cell>
          <cell r="C1017" t="str">
            <v>RLS</v>
          </cell>
          <cell r="D1017" t="str">
            <v>KUUM_454</v>
          </cell>
          <cell r="E1017">
            <v>150</v>
          </cell>
          <cell r="F1017">
            <v>0</v>
          </cell>
          <cell r="G1017">
            <v>0</v>
          </cell>
          <cell r="H1017">
            <v>0</v>
          </cell>
          <cell r="L1017">
            <v>0</v>
          </cell>
          <cell r="N1017">
            <v>2797.5</v>
          </cell>
          <cell r="O1017">
            <v>0</v>
          </cell>
          <cell r="Q1017">
            <v>0</v>
          </cell>
          <cell r="S1017">
            <v>0</v>
          </cell>
          <cell r="U1017">
            <v>0</v>
          </cell>
          <cell r="Y1017">
            <v>295.5</v>
          </cell>
          <cell r="AE1017" t="str">
            <v>20140101KUUM_454</v>
          </cell>
        </row>
        <row r="1018">
          <cell r="B1018" t="str">
            <v>Dec 2014</v>
          </cell>
          <cell r="C1018" t="str">
            <v>RLS</v>
          </cell>
          <cell r="D1018" t="str">
            <v>KUUM_455</v>
          </cell>
          <cell r="E1018">
            <v>999</v>
          </cell>
          <cell r="F1018">
            <v>0</v>
          </cell>
          <cell r="G1018">
            <v>0</v>
          </cell>
          <cell r="H1018">
            <v>0</v>
          </cell>
          <cell r="L1018">
            <v>0</v>
          </cell>
          <cell r="N1018">
            <v>24565.41</v>
          </cell>
          <cell r="O1018">
            <v>0</v>
          </cell>
          <cell r="Q1018">
            <v>0</v>
          </cell>
          <cell r="S1018">
            <v>0</v>
          </cell>
          <cell r="U1018">
            <v>0</v>
          </cell>
          <cell r="Y1018">
            <v>4285.71</v>
          </cell>
          <cell r="AE1018" t="str">
            <v>20140101KUUM_455</v>
          </cell>
        </row>
        <row r="1019">
          <cell r="B1019" t="str">
            <v>Dec 2014</v>
          </cell>
          <cell r="C1019" t="str">
            <v>RLS</v>
          </cell>
          <cell r="D1019" t="str">
            <v>KUUM_456</v>
          </cell>
          <cell r="E1019">
            <v>136</v>
          </cell>
          <cell r="F1019">
            <v>0</v>
          </cell>
          <cell r="G1019">
            <v>0</v>
          </cell>
          <cell r="H1019">
            <v>0</v>
          </cell>
          <cell r="L1019">
            <v>0</v>
          </cell>
          <cell r="N1019">
            <v>1614.32</v>
          </cell>
          <cell r="O1019">
            <v>0</v>
          </cell>
          <cell r="Q1019">
            <v>0</v>
          </cell>
          <cell r="S1019">
            <v>0</v>
          </cell>
          <cell r="U1019">
            <v>0</v>
          </cell>
          <cell r="Y1019">
            <v>270.64</v>
          </cell>
          <cell r="AE1019" t="str">
            <v>20140101KUUM_456</v>
          </cell>
        </row>
        <row r="1020">
          <cell r="B1020" t="str">
            <v>Dec 2014</v>
          </cell>
          <cell r="C1020" t="str">
            <v>RLS</v>
          </cell>
          <cell r="D1020" t="str">
            <v>KUUM_457</v>
          </cell>
          <cell r="E1020">
            <v>441</v>
          </cell>
          <cell r="F1020">
            <v>0</v>
          </cell>
          <cell r="G1020">
            <v>0</v>
          </cell>
          <cell r="H1020">
            <v>0</v>
          </cell>
          <cell r="L1020">
            <v>0</v>
          </cell>
          <cell r="N1020">
            <v>5891.76</v>
          </cell>
          <cell r="O1020">
            <v>0</v>
          </cell>
          <cell r="Q1020">
            <v>0</v>
          </cell>
          <cell r="S1020">
            <v>0</v>
          </cell>
          <cell r="U1020">
            <v>0</v>
          </cell>
          <cell r="Y1020">
            <v>1252.44</v>
          </cell>
          <cell r="AE1020" t="str">
            <v>20140101KUUM_457</v>
          </cell>
        </row>
        <row r="1021">
          <cell r="B1021" t="str">
            <v>Dec 2014</v>
          </cell>
          <cell r="C1021" t="str">
            <v>RLS</v>
          </cell>
          <cell r="D1021" t="str">
            <v>KUUM_458</v>
          </cell>
          <cell r="E1021">
            <v>1465</v>
          </cell>
          <cell r="F1021">
            <v>0</v>
          </cell>
          <cell r="G1021">
            <v>0</v>
          </cell>
          <cell r="H1021">
            <v>0</v>
          </cell>
          <cell r="L1021">
            <v>0</v>
          </cell>
          <cell r="N1021">
            <v>22092.2</v>
          </cell>
          <cell r="O1021">
            <v>0</v>
          </cell>
          <cell r="Q1021">
            <v>0</v>
          </cell>
          <cell r="S1021">
            <v>0</v>
          </cell>
          <cell r="U1021">
            <v>0</v>
          </cell>
          <cell r="Y1021">
            <v>6402.05</v>
          </cell>
          <cell r="AE1021" t="str">
            <v>20140101KUUM_458</v>
          </cell>
        </row>
        <row r="1022">
          <cell r="B1022" t="str">
            <v>Dec 2014</v>
          </cell>
          <cell r="C1022" t="str">
            <v>RLS</v>
          </cell>
          <cell r="D1022" t="str">
            <v>KUUM_459</v>
          </cell>
          <cell r="E1022">
            <v>223</v>
          </cell>
          <cell r="F1022">
            <v>0</v>
          </cell>
          <cell r="G1022">
            <v>0</v>
          </cell>
          <cell r="H1022">
            <v>0</v>
          </cell>
          <cell r="L1022">
            <v>0</v>
          </cell>
          <cell r="N1022">
            <v>10423.02</v>
          </cell>
          <cell r="O1022">
            <v>0</v>
          </cell>
          <cell r="Q1022">
            <v>0</v>
          </cell>
          <cell r="S1022">
            <v>0</v>
          </cell>
          <cell r="U1022">
            <v>0</v>
          </cell>
          <cell r="Y1022">
            <v>2321.4299999999998</v>
          </cell>
          <cell r="AE1022" t="str">
            <v>20140101KUUM_459</v>
          </cell>
        </row>
        <row r="1023">
          <cell r="B1023" t="str">
            <v>Dec 2014</v>
          </cell>
          <cell r="C1023" t="str">
            <v>RLS</v>
          </cell>
          <cell r="D1023" t="str">
            <v>KUUM_460</v>
          </cell>
          <cell r="E1023">
            <v>26</v>
          </cell>
          <cell r="F1023">
            <v>0</v>
          </cell>
          <cell r="G1023">
            <v>0</v>
          </cell>
          <cell r="H1023">
            <v>0</v>
          </cell>
          <cell r="L1023">
            <v>0</v>
          </cell>
          <cell r="N1023">
            <v>705.9</v>
          </cell>
          <cell r="O1023">
            <v>0</v>
          </cell>
          <cell r="Q1023">
            <v>0</v>
          </cell>
          <cell r="S1023">
            <v>0</v>
          </cell>
          <cell r="U1023">
            <v>0</v>
          </cell>
          <cell r="Y1023">
            <v>51.22</v>
          </cell>
          <cell r="AE1023" t="str">
            <v>20140101KUUM_460</v>
          </cell>
        </row>
        <row r="1024">
          <cell r="B1024" t="str">
            <v>Dec 2014</v>
          </cell>
          <cell r="C1024" t="str">
            <v>RLS</v>
          </cell>
          <cell r="D1024" t="str">
            <v>KUUM_461</v>
          </cell>
          <cell r="E1024">
            <v>6319</v>
          </cell>
          <cell r="F1024">
            <v>0</v>
          </cell>
          <cell r="G1024">
            <v>0</v>
          </cell>
          <cell r="H1024">
            <v>0</v>
          </cell>
          <cell r="L1024">
            <v>0</v>
          </cell>
          <cell r="N1024">
            <v>47645.26</v>
          </cell>
          <cell r="O1024">
            <v>0</v>
          </cell>
          <cell r="Q1024">
            <v>0</v>
          </cell>
          <cell r="S1024">
            <v>0</v>
          </cell>
          <cell r="U1024">
            <v>0</v>
          </cell>
          <cell r="Y1024">
            <v>3601.83</v>
          </cell>
          <cell r="AE1024" t="str">
            <v>20140101KUUM_461</v>
          </cell>
        </row>
        <row r="1025">
          <cell r="B1025" t="str">
            <v>Dec 2014</v>
          </cell>
          <cell r="C1025" t="str">
            <v>LS</v>
          </cell>
          <cell r="D1025" t="str">
            <v>KUUM_462</v>
          </cell>
          <cell r="E1025">
            <v>8398</v>
          </cell>
          <cell r="F1025">
            <v>0</v>
          </cell>
          <cell r="G1025">
            <v>0</v>
          </cell>
          <cell r="H1025">
            <v>0</v>
          </cell>
          <cell r="L1025">
            <v>0</v>
          </cell>
          <cell r="N1025">
            <v>72726.679999999993</v>
          </cell>
          <cell r="O1025">
            <v>0</v>
          </cell>
          <cell r="Q1025">
            <v>0</v>
          </cell>
          <cell r="S1025">
            <v>0</v>
          </cell>
          <cell r="U1025">
            <v>0</v>
          </cell>
          <cell r="Y1025">
            <v>6718.4</v>
          </cell>
          <cell r="AE1025" t="str">
            <v>20140101KUUM_462</v>
          </cell>
        </row>
        <row r="1026">
          <cell r="B1026" t="str">
            <v>Dec 2014</v>
          </cell>
          <cell r="C1026" t="str">
            <v>LS</v>
          </cell>
          <cell r="D1026" t="str">
            <v>KUUM_463</v>
          </cell>
          <cell r="E1026">
            <v>19426</v>
          </cell>
          <cell r="F1026">
            <v>0</v>
          </cell>
          <cell r="G1026">
            <v>0</v>
          </cell>
          <cell r="H1026">
            <v>0</v>
          </cell>
          <cell r="L1026">
            <v>0</v>
          </cell>
          <cell r="N1026">
            <v>177553.64</v>
          </cell>
          <cell r="O1026">
            <v>0</v>
          </cell>
          <cell r="Q1026">
            <v>0</v>
          </cell>
          <cell r="S1026">
            <v>0</v>
          </cell>
          <cell r="U1026">
            <v>0</v>
          </cell>
          <cell r="Y1026">
            <v>21951.38</v>
          </cell>
          <cell r="AE1026" t="str">
            <v>20140101KUUM_463</v>
          </cell>
        </row>
        <row r="1027">
          <cell r="B1027" t="str">
            <v>Dec 2014</v>
          </cell>
          <cell r="C1027" t="str">
            <v>LS</v>
          </cell>
          <cell r="D1027" t="str">
            <v>KUUM_464</v>
          </cell>
          <cell r="E1027">
            <v>7215</v>
          </cell>
          <cell r="F1027">
            <v>0</v>
          </cell>
          <cell r="G1027">
            <v>0</v>
          </cell>
          <cell r="H1027">
            <v>0</v>
          </cell>
          <cell r="L1027">
            <v>0</v>
          </cell>
          <cell r="N1027">
            <v>102813.75</v>
          </cell>
          <cell r="O1027">
            <v>0</v>
          </cell>
          <cell r="Q1027">
            <v>0</v>
          </cell>
          <cell r="S1027">
            <v>0</v>
          </cell>
          <cell r="U1027">
            <v>0</v>
          </cell>
          <cell r="Y1027">
            <v>16810.95</v>
          </cell>
          <cell r="AE1027" t="str">
            <v>20140101KUUM_464</v>
          </cell>
        </row>
        <row r="1028">
          <cell r="B1028" t="str">
            <v>Dec 2014</v>
          </cell>
          <cell r="C1028" t="str">
            <v>LS</v>
          </cell>
          <cell r="D1028" t="str">
            <v>KUUM_465</v>
          </cell>
          <cell r="E1028">
            <v>2686</v>
          </cell>
          <cell r="F1028">
            <v>0</v>
          </cell>
          <cell r="G1028">
            <v>0</v>
          </cell>
          <cell r="H1028">
            <v>0</v>
          </cell>
          <cell r="L1028">
            <v>0</v>
          </cell>
          <cell r="N1028">
            <v>61348.24</v>
          </cell>
          <cell r="O1028">
            <v>0</v>
          </cell>
          <cell r="Q1028">
            <v>0</v>
          </cell>
          <cell r="S1028">
            <v>0</v>
          </cell>
          <cell r="U1028">
            <v>0</v>
          </cell>
          <cell r="Y1028">
            <v>12167.58</v>
          </cell>
          <cell r="AE1028" t="str">
            <v>20140101KUUM_465</v>
          </cell>
        </row>
        <row r="1029">
          <cell r="B1029" t="str">
            <v>Dec 2014</v>
          </cell>
          <cell r="C1029" t="str">
            <v>RLS</v>
          </cell>
          <cell r="D1029" t="str">
            <v>KUUM_466</v>
          </cell>
          <cell r="E1029">
            <v>829</v>
          </cell>
          <cell r="F1029">
            <v>0</v>
          </cell>
          <cell r="G1029">
            <v>0</v>
          </cell>
          <cell r="H1029">
            <v>0</v>
          </cell>
          <cell r="L1029">
            <v>0</v>
          </cell>
          <cell r="N1029">
            <v>7974.98</v>
          </cell>
          <cell r="O1029">
            <v>0</v>
          </cell>
          <cell r="Q1029">
            <v>0</v>
          </cell>
          <cell r="S1029">
            <v>0</v>
          </cell>
          <cell r="U1029">
            <v>0</v>
          </cell>
          <cell r="Y1029">
            <v>472.53</v>
          </cell>
          <cell r="AE1029" t="str">
            <v>20140101KUUM_466</v>
          </cell>
        </row>
        <row r="1030">
          <cell r="B1030" t="str">
            <v>Dec 2014</v>
          </cell>
          <cell r="C1030" t="str">
            <v>LS</v>
          </cell>
          <cell r="D1030" t="str">
            <v>KUUM_467</v>
          </cell>
          <cell r="E1030">
            <v>1300</v>
          </cell>
          <cell r="F1030">
            <v>0</v>
          </cell>
          <cell r="G1030">
            <v>0</v>
          </cell>
          <cell r="H1030">
            <v>0</v>
          </cell>
          <cell r="L1030">
            <v>0</v>
          </cell>
          <cell r="N1030">
            <v>14001</v>
          </cell>
          <cell r="O1030">
            <v>0</v>
          </cell>
          <cell r="Q1030">
            <v>0</v>
          </cell>
          <cell r="S1030">
            <v>0</v>
          </cell>
          <cell r="U1030">
            <v>0</v>
          </cell>
          <cell r="Y1030">
            <v>1040</v>
          </cell>
          <cell r="AE1030" t="str">
            <v>20140101KUUM_467</v>
          </cell>
        </row>
        <row r="1031">
          <cell r="B1031" t="str">
            <v>Dec 2014</v>
          </cell>
          <cell r="C1031" t="str">
            <v>LS</v>
          </cell>
          <cell r="D1031" t="str">
            <v>KUUM_468</v>
          </cell>
          <cell r="E1031">
            <v>3847</v>
          </cell>
          <cell r="F1031">
            <v>0</v>
          </cell>
          <cell r="G1031">
            <v>0</v>
          </cell>
          <cell r="H1031">
            <v>0</v>
          </cell>
          <cell r="L1031">
            <v>0</v>
          </cell>
          <cell r="N1031">
            <v>42932.52</v>
          </cell>
          <cell r="O1031">
            <v>0</v>
          </cell>
          <cell r="Q1031">
            <v>0</v>
          </cell>
          <cell r="S1031">
            <v>0</v>
          </cell>
          <cell r="U1031">
            <v>0</v>
          </cell>
          <cell r="Y1031">
            <v>4347.1099999999997</v>
          </cell>
          <cell r="AE1031" t="str">
            <v>20140101KUUM_468</v>
          </cell>
        </row>
        <row r="1032">
          <cell r="B1032" t="str">
            <v>Dec 2014</v>
          </cell>
          <cell r="C1032" t="str">
            <v>RLS</v>
          </cell>
          <cell r="D1032" t="str">
            <v>KUUM_469</v>
          </cell>
          <cell r="E1032">
            <v>288</v>
          </cell>
          <cell r="F1032">
            <v>0</v>
          </cell>
          <cell r="G1032">
            <v>0</v>
          </cell>
          <cell r="H1032">
            <v>0</v>
          </cell>
          <cell r="L1032">
            <v>0</v>
          </cell>
          <cell r="N1032">
            <v>9532.7999999999993</v>
          </cell>
          <cell r="O1032">
            <v>0</v>
          </cell>
          <cell r="Q1032">
            <v>0</v>
          </cell>
          <cell r="S1032">
            <v>0</v>
          </cell>
          <cell r="U1032">
            <v>0</v>
          </cell>
          <cell r="Y1032">
            <v>1235.52</v>
          </cell>
          <cell r="AE1032" t="str">
            <v>20140101KUUM_469</v>
          </cell>
        </row>
        <row r="1033">
          <cell r="B1033" t="str">
            <v>Dec 2014</v>
          </cell>
          <cell r="C1033" t="str">
            <v>RLS</v>
          </cell>
          <cell r="D1033" t="str">
            <v>KUUM_470</v>
          </cell>
          <cell r="E1033">
            <v>62</v>
          </cell>
          <cell r="F1033">
            <v>0</v>
          </cell>
          <cell r="G1033">
            <v>0</v>
          </cell>
          <cell r="H1033">
            <v>0</v>
          </cell>
          <cell r="L1033">
            <v>0</v>
          </cell>
          <cell r="N1033">
            <v>3425.5</v>
          </cell>
          <cell r="O1033">
            <v>0</v>
          </cell>
          <cell r="Q1033">
            <v>0</v>
          </cell>
          <cell r="S1033">
            <v>0</v>
          </cell>
          <cell r="U1033">
            <v>0</v>
          </cell>
          <cell r="Y1033">
            <v>645.41999999999996</v>
          </cell>
          <cell r="AE1033" t="str">
            <v>20140101KUUM_470</v>
          </cell>
        </row>
        <row r="1034">
          <cell r="B1034" t="str">
            <v>Dec 2014</v>
          </cell>
          <cell r="C1034" t="str">
            <v>RLS</v>
          </cell>
          <cell r="D1034" t="str">
            <v>KUUM_471</v>
          </cell>
          <cell r="E1034">
            <v>3583</v>
          </cell>
          <cell r="F1034">
            <v>0</v>
          </cell>
          <cell r="G1034">
            <v>0</v>
          </cell>
          <cell r="H1034">
            <v>0</v>
          </cell>
          <cell r="L1034">
            <v>0</v>
          </cell>
          <cell r="N1034">
            <v>37585.67</v>
          </cell>
          <cell r="O1034">
            <v>0</v>
          </cell>
          <cell r="Q1034">
            <v>0</v>
          </cell>
          <cell r="S1034">
            <v>0</v>
          </cell>
          <cell r="U1034">
            <v>0</v>
          </cell>
          <cell r="Y1034">
            <v>2042.31</v>
          </cell>
          <cell r="AE1034" t="str">
            <v>20140101KUUM_471</v>
          </cell>
        </row>
        <row r="1035">
          <cell r="B1035" t="str">
            <v>Dec 2014</v>
          </cell>
          <cell r="C1035" t="str">
            <v>LS</v>
          </cell>
          <cell r="D1035" t="str">
            <v>KUUM_472</v>
          </cell>
          <cell r="E1035">
            <v>8422</v>
          </cell>
          <cell r="F1035">
            <v>0</v>
          </cell>
          <cell r="G1035">
            <v>0</v>
          </cell>
          <cell r="H1035">
            <v>0</v>
          </cell>
          <cell r="L1035">
            <v>0</v>
          </cell>
          <cell r="N1035">
            <v>97695.2</v>
          </cell>
          <cell r="O1035">
            <v>0</v>
          </cell>
          <cell r="Q1035">
            <v>0</v>
          </cell>
          <cell r="S1035">
            <v>0</v>
          </cell>
          <cell r="U1035">
            <v>0</v>
          </cell>
          <cell r="Y1035">
            <v>6737.6</v>
          </cell>
          <cell r="AE1035" t="str">
            <v>20140101KUUM_472</v>
          </cell>
        </row>
        <row r="1036">
          <cell r="B1036" t="str">
            <v>Dec 2014</v>
          </cell>
          <cell r="C1036" t="str">
            <v>LS</v>
          </cell>
          <cell r="D1036" t="str">
            <v>KUUM_473</v>
          </cell>
          <cell r="E1036">
            <v>3244</v>
          </cell>
          <cell r="F1036">
            <v>0</v>
          </cell>
          <cell r="G1036">
            <v>0</v>
          </cell>
          <cell r="L1036">
            <v>0</v>
          </cell>
          <cell r="N1036">
            <v>39901.199999999997</v>
          </cell>
          <cell r="O1036">
            <v>0</v>
          </cell>
          <cell r="Q1036">
            <v>0</v>
          </cell>
          <cell r="S1036">
            <v>0</v>
          </cell>
          <cell r="U1036">
            <v>0</v>
          </cell>
          <cell r="Y1036">
            <v>3665.72</v>
          </cell>
          <cell r="AE1036" t="str">
            <v>20140101KUUM_473</v>
          </cell>
        </row>
        <row r="1037">
          <cell r="B1037" t="str">
            <v>Dec 2014</v>
          </cell>
          <cell r="C1037" t="str">
            <v>LS</v>
          </cell>
          <cell r="D1037" t="str">
            <v>KUUM_474</v>
          </cell>
          <cell r="E1037">
            <v>4987</v>
          </cell>
          <cell r="F1037">
            <v>0</v>
          </cell>
          <cell r="G1037">
            <v>0</v>
          </cell>
          <cell r="H1037">
            <v>0</v>
          </cell>
          <cell r="L1037">
            <v>0</v>
          </cell>
          <cell r="N1037">
            <v>86823.67</v>
          </cell>
          <cell r="O1037">
            <v>0</v>
          </cell>
          <cell r="Q1037">
            <v>0</v>
          </cell>
          <cell r="S1037">
            <v>0</v>
          </cell>
          <cell r="U1037">
            <v>0</v>
          </cell>
          <cell r="Y1037">
            <v>11619.71</v>
          </cell>
          <cell r="AE1037" t="str">
            <v>20140101KUUM_474</v>
          </cell>
        </row>
        <row r="1038">
          <cell r="B1038" t="str">
            <v>Dec 2014</v>
          </cell>
          <cell r="C1038" t="str">
            <v>LS</v>
          </cell>
          <cell r="D1038" t="str">
            <v>KUUM_475</v>
          </cell>
          <cell r="E1038">
            <v>500</v>
          </cell>
          <cell r="F1038">
            <v>0</v>
          </cell>
          <cell r="G1038">
            <v>0</v>
          </cell>
          <cell r="H1038">
            <v>0</v>
          </cell>
          <cell r="L1038">
            <v>0</v>
          </cell>
          <cell r="N1038">
            <v>12230</v>
          </cell>
          <cell r="O1038">
            <v>0</v>
          </cell>
          <cell r="Q1038">
            <v>0</v>
          </cell>
          <cell r="S1038">
            <v>0</v>
          </cell>
          <cell r="U1038">
            <v>0</v>
          </cell>
          <cell r="Y1038">
            <v>2265</v>
          </cell>
          <cell r="AE1038" t="str">
            <v>20140101KUUM_475</v>
          </cell>
        </row>
        <row r="1039">
          <cell r="B1039" t="str">
            <v>Dec 2014</v>
          </cell>
          <cell r="C1039" t="str">
            <v>LS</v>
          </cell>
          <cell r="D1039" t="str">
            <v>KUUM_476</v>
          </cell>
          <cell r="E1039">
            <v>4463</v>
          </cell>
          <cell r="F1039">
            <v>0</v>
          </cell>
          <cell r="G1039">
            <v>0</v>
          </cell>
          <cell r="H1039">
            <v>0</v>
          </cell>
          <cell r="L1039">
            <v>0</v>
          </cell>
          <cell r="N1039">
            <v>74933.77</v>
          </cell>
          <cell r="O1039">
            <v>0</v>
          </cell>
          <cell r="Q1039">
            <v>0</v>
          </cell>
          <cell r="S1039">
            <v>0</v>
          </cell>
          <cell r="U1039">
            <v>0</v>
          </cell>
          <cell r="Y1039">
            <v>3570.4</v>
          </cell>
          <cell r="AE1039" t="str">
            <v>20140101KUUM_476</v>
          </cell>
        </row>
        <row r="1040">
          <cell r="B1040" t="str">
            <v>Dec 2014</v>
          </cell>
          <cell r="C1040" t="str">
            <v>LS</v>
          </cell>
          <cell r="D1040" t="str">
            <v>KUUM_477</v>
          </cell>
          <cell r="E1040">
            <v>1034</v>
          </cell>
          <cell r="F1040">
            <v>0</v>
          </cell>
          <cell r="G1040">
            <v>0</v>
          </cell>
          <cell r="H1040">
            <v>0</v>
          </cell>
          <cell r="L1040">
            <v>0</v>
          </cell>
          <cell r="N1040">
            <v>21682.98</v>
          </cell>
          <cell r="O1040">
            <v>0</v>
          </cell>
          <cell r="Q1040">
            <v>0</v>
          </cell>
          <cell r="S1040">
            <v>0</v>
          </cell>
          <cell r="U1040">
            <v>0</v>
          </cell>
          <cell r="Y1040">
            <v>1168.42</v>
          </cell>
          <cell r="AE1040" t="str">
            <v>20140101KUUM_477</v>
          </cell>
        </row>
        <row r="1041">
          <cell r="B1041" t="str">
            <v>Dec 2014</v>
          </cell>
          <cell r="C1041" t="str">
            <v>LS</v>
          </cell>
          <cell r="D1041" t="str">
            <v>KUUM_478</v>
          </cell>
          <cell r="E1041">
            <v>1363</v>
          </cell>
          <cell r="F1041">
            <v>0</v>
          </cell>
          <cell r="G1041">
            <v>0</v>
          </cell>
          <cell r="H1041">
            <v>0</v>
          </cell>
          <cell r="L1041">
            <v>0</v>
          </cell>
          <cell r="N1041">
            <v>36610.18</v>
          </cell>
          <cell r="O1041">
            <v>0</v>
          </cell>
          <cell r="Q1041">
            <v>0</v>
          </cell>
          <cell r="S1041">
            <v>0</v>
          </cell>
          <cell r="U1041">
            <v>0</v>
          </cell>
          <cell r="Y1041">
            <v>3175.79</v>
          </cell>
          <cell r="AE1041" t="str">
            <v>20140101KUUM_478</v>
          </cell>
        </row>
        <row r="1042">
          <cell r="B1042" t="str">
            <v>Dec 2014</v>
          </cell>
          <cell r="C1042" t="str">
            <v>LS</v>
          </cell>
          <cell r="D1042" t="str">
            <v>KUUM_479</v>
          </cell>
          <cell r="E1042">
            <v>921</v>
          </cell>
          <cell r="F1042">
            <v>0</v>
          </cell>
          <cell r="G1042">
            <v>0</v>
          </cell>
          <cell r="H1042">
            <v>0</v>
          </cell>
          <cell r="L1042">
            <v>0</v>
          </cell>
          <cell r="N1042">
            <v>30503.52</v>
          </cell>
          <cell r="O1042">
            <v>0</v>
          </cell>
          <cell r="Q1042">
            <v>0</v>
          </cell>
          <cell r="S1042">
            <v>0</v>
          </cell>
          <cell r="U1042">
            <v>0</v>
          </cell>
          <cell r="Y1042">
            <v>4172.13</v>
          </cell>
          <cell r="AE1042" t="str">
            <v>20140101KUUM_479</v>
          </cell>
        </row>
        <row r="1043">
          <cell r="B1043" t="str">
            <v>Dec 2014</v>
          </cell>
          <cell r="C1043" t="str">
            <v>LS</v>
          </cell>
          <cell r="D1043" t="str">
            <v>KUUM_486</v>
          </cell>
          <cell r="E1043">
            <v>0</v>
          </cell>
          <cell r="F1043">
            <v>0</v>
          </cell>
          <cell r="G1043">
            <v>0</v>
          </cell>
          <cell r="H1043">
            <v>0</v>
          </cell>
          <cell r="L1043">
            <v>0</v>
          </cell>
          <cell r="N1043">
            <v>0</v>
          </cell>
          <cell r="O1043">
            <v>0</v>
          </cell>
          <cell r="Q1043">
            <v>0</v>
          </cell>
          <cell r="S1043">
            <v>0</v>
          </cell>
          <cell r="U1043">
            <v>0</v>
          </cell>
          <cell r="Y1043">
            <v>0</v>
          </cell>
          <cell r="AE1043" t="str">
            <v>20140101KUUM_486</v>
          </cell>
        </row>
        <row r="1044">
          <cell r="B1044" t="str">
            <v>Dec 2014</v>
          </cell>
          <cell r="C1044" t="str">
            <v>LS</v>
          </cell>
          <cell r="D1044" t="str">
            <v>KUUM_487</v>
          </cell>
          <cell r="E1044">
            <v>10683</v>
          </cell>
          <cell r="F1044">
            <v>0</v>
          </cell>
          <cell r="G1044">
            <v>0</v>
          </cell>
          <cell r="H1044">
            <v>0</v>
          </cell>
          <cell r="L1044">
            <v>0</v>
          </cell>
          <cell r="N1044">
            <v>96147</v>
          </cell>
          <cell r="O1044">
            <v>0</v>
          </cell>
          <cell r="Q1044">
            <v>0</v>
          </cell>
          <cell r="S1044">
            <v>0</v>
          </cell>
          <cell r="U1044">
            <v>0</v>
          </cell>
          <cell r="Y1044">
            <v>12071.79</v>
          </cell>
          <cell r="AE1044" t="str">
            <v>20140101KUUM_487</v>
          </cell>
        </row>
        <row r="1045">
          <cell r="B1045" t="str">
            <v>Dec 2014</v>
          </cell>
          <cell r="C1045" t="str">
            <v>LS</v>
          </cell>
          <cell r="D1045" t="str">
            <v>KUUM_488</v>
          </cell>
          <cell r="E1045">
            <v>6293</v>
          </cell>
          <cell r="F1045">
            <v>0</v>
          </cell>
          <cell r="G1045">
            <v>0</v>
          </cell>
          <cell r="H1045">
            <v>0</v>
          </cell>
          <cell r="L1045">
            <v>0</v>
          </cell>
          <cell r="N1045">
            <v>85836.52</v>
          </cell>
          <cell r="O1045">
            <v>0</v>
          </cell>
          <cell r="Q1045">
            <v>0</v>
          </cell>
          <cell r="S1045">
            <v>0</v>
          </cell>
          <cell r="U1045">
            <v>0</v>
          </cell>
          <cell r="Y1045">
            <v>14662.69</v>
          </cell>
          <cell r="AE1045" t="str">
            <v>20140101KUUM_488</v>
          </cell>
        </row>
        <row r="1046">
          <cell r="B1046" t="str">
            <v>Dec 2014</v>
          </cell>
          <cell r="C1046" t="str">
            <v>LS</v>
          </cell>
          <cell r="D1046" t="str">
            <v>KUUM_489</v>
          </cell>
          <cell r="E1046">
            <v>7993</v>
          </cell>
          <cell r="F1046">
            <v>0</v>
          </cell>
          <cell r="G1046">
            <v>0</v>
          </cell>
          <cell r="H1046">
            <v>0</v>
          </cell>
          <cell r="L1046">
            <v>0</v>
          </cell>
          <cell r="N1046">
            <v>155543.78</v>
          </cell>
          <cell r="O1046">
            <v>0</v>
          </cell>
          <cell r="Q1046">
            <v>0</v>
          </cell>
          <cell r="S1046">
            <v>0</v>
          </cell>
          <cell r="U1046">
            <v>0</v>
          </cell>
          <cell r="Y1046">
            <v>36208.29</v>
          </cell>
          <cell r="AE1046" t="str">
            <v>20140101KUUM_489</v>
          </cell>
        </row>
        <row r="1047">
          <cell r="B1047" t="str">
            <v>Dec 2014</v>
          </cell>
          <cell r="C1047" t="str">
            <v>LS</v>
          </cell>
          <cell r="D1047" t="str">
            <v>KUUM_490</v>
          </cell>
          <cell r="E1047">
            <v>56</v>
          </cell>
          <cell r="F1047">
            <v>0</v>
          </cell>
          <cell r="G1047">
            <v>0</v>
          </cell>
          <cell r="H1047">
            <v>0</v>
          </cell>
          <cell r="L1047">
            <v>0</v>
          </cell>
          <cell r="N1047">
            <v>866.32</v>
          </cell>
          <cell r="O1047">
            <v>0</v>
          </cell>
          <cell r="Q1047">
            <v>0</v>
          </cell>
          <cell r="S1047">
            <v>0</v>
          </cell>
          <cell r="U1047">
            <v>0</v>
          </cell>
          <cell r="Y1047">
            <v>110.32</v>
          </cell>
          <cell r="AE1047" t="str">
            <v>20140101KUUM_490</v>
          </cell>
        </row>
        <row r="1048">
          <cell r="B1048" t="str">
            <v>Dec 2014</v>
          </cell>
          <cell r="C1048" t="str">
            <v>LS</v>
          </cell>
          <cell r="D1048" t="str">
            <v>KUUM_491</v>
          </cell>
          <cell r="E1048">
            <v>286</v>
          </cell>
          <cell r="F1048">
            <v>0</v>
          </cell>
          <cell r="G1048">
            <v>0</v>
          </cell>
          <cell r="H1048">
            <v>0</v>
          </cell>
          <cell r="L1048">
            <v>0</v>
          </cell>
          <cell r="N1048">
            <v>6271.98</v>
          </cell>
          <cell r="O1048">
            <v>0</v>
          </cell>
          <cell r="Q1048">
            <v>0</v>
          </cell>
          <cell r="S1048">
            <v>0</v>
          </cell>
          <cell r="U1048">
            <v>0</v>
          </cell>
          <cell r="Y1048">
            <v>1226.94</v>
          </cell>
          <cell r="AE1048" t="str">
            <v>20140101KUUM_491</v>
          </cell>
        </row>
        <row r="1049">
          <cell r="B1049" t="str">
            <v>Dec 2014</v>
          </cell>
          <cell r="C1049" t="str">
            <v>LS</v>
          </cell>
          <cell r="D1049" t="str">
            <v>KUUM_492</v>
          </cell>
          <cell r="E1049">
            <v>2</v>
          </cell>
          <cell r="F1049">
            <v>0</v>
          </cell>
          <cell r="G1049">
            <v>0</v>
          </cell>
          <cell r="H1049">
            <v>0</v>
          </cell>
          <cell r="L1049">
            <v>0</v>
          </cell>
          <cell r="N1049">
            <v>30.74</v>
          </cell>
          <cell r="O1049">
            <v>0</v>
          </cell>
          <cell r="Q1049">
            <v>0</v>
          </cell>
          <cell r="S1049">
            <v>0</v>
          </cell>
          <cell r="U1049">
            <v>0</v>
          </cell>
          <cell r="Y1049">
            <v>1.6</v>
          </cell>
          <cell r="AE1049" t="str">
            <v>20140101KUUM_492</v>
          </cell>
        </row>
        <row r="1050">
          <cell r="B1050" t="str">
            <v>Dec 2014</v>
          </cell>
          <cell r="C1050" t="str">
            <v>LS</v>
          </cell>
          <cell r="D1050" t="str">
            <v>KUUM_493</v>
          </cell>
          <cell r="E1050">
            <v>45</v>
          </cell>
          <cell r="F1050">
            <v>0</v>
          </cell>
          <cell r="G1050">
            <v>0</v>
          </cell>
          <cell r="H1050">
            <v>0</v>
          </cell>
          <cell r="L1050">
            <v>0</v>
          </cell>
          <cell r="N1050">
            <v>2056.5</v>
          </cell>
          <cell r="O1050">
            <v>0</v>
          </cell>
          <cell r="Q1050">
            <v>0</v>
          </cell>
          <cell r="S1050">
            <v>0</v>
          </cell>
          <cell r="U1050">
            <v>0</v>
          </cell>
          <cell r="Y1050">
            <v>468.45</v>
          </cell>
          <cell r="AE1050" t="str">
            <v>20140101KUUM_493</v>
          </cell>
        </row>
        <row r="1051">
          <cell r="B1051" t="str">
            <v>Dec 2014</v>
          </cell>
          <cell r="C1051" t="str">
            <v>LS</v>
          </cell>
          <cell r="D1051" t="str">
            <v>KUUM_494</v>
          </cell>
          <cell r="E1051">
            <v>174</v>
          </cell>
          <cell r="F1051">
            <v>0</v>
          </cell>
          <cell r="G1051">
            <v>0</v>
          </cell>
          <cell r="H1051">
            <v>0</v>
          </cell>
          <cell r="L1051">
            <v>0</v>
          </cell>
          <cell r="N1051">
            <v>4936.38</v>
          </cell>
          <cell r="O1051">
            <v>0</v>
          </cell>
          <cell r="Q1051">
            <v>0</v>
          </cell>
          <cell r="S1051">
            <v>0</v>
          </cell>
          <cell r="U1051">
            <v>0</v>
          </cell>
          <cell r="Y1051">
            <v>342.78</v>
          </cell>
          <cell r="AE1051" t="str">
            <v>20140101KUUM_494</v>
          </cell>
        </row>
        <row r="1052">
          <cell r="B1052" t="str">
            <v>Dec 2014</v>
          </cell>
          <cell r="C1052" t="str">
            <v>LS</v>
          </cell>
          <cell r="D1052" t="str">
            <v>KUUM_495</v>
          </cell>
          <cell r="E1052">
            <v>594</v>
          </cell>
          <cell r="F1052">
            <v>0</v>
          </cell>
          <cell r="G1052">
            <v>0</v>
          </cell>
          <cell r="H1052">
            <v>0</v>
          </cell>
          <cell r="L1052">
            <v>0</v>
          </cell>
          <cell r="N1052">
            <v>20689.02</v>
          </cell>
          <cell r="O1052">
            <v>0</v>
          </cell>
          <cell r="Q1052">
            <v>0</v>
          </cell>
          <cell r="S1052">
            <v>0</v>
          </cell>
          <cell r="U1052">
            <v>0</v>
          </cell>
          <cell r="Y1052">
            <v>2548.2600000000002</v>
          </cell>
          <cell r="AE1052" t="str">
            <v>20140101KUUM_495</v>
          </cell>
        </row>
        <row r="1053">
          <cell r="B1053" t="str">
            <v>Dec 2014</v>
          </cell>
          <cell r="C1053" t="str">
            <v>LS</v>
          </cell>
          <cell r="D1053" t="str">
            <v>KUUM_496</v>
          </cell>
          <cell r="E1053">
            <v>168</v>
          </cell>
          <cell r="F1053">
            <v>0</v>
          </cell>
          <cell r="G1053">
            <v>0</v>
          </cell>
          <cell r="H1053">
            <v>0</v>
          </cell>
          <cell r="L1053">
            <v>0</v>
          </cell>
          <cell r="N1053">
            <v>9843.1200000000008</v>
          </cell>
          <cell r="O1053">
            <v>0</v>
          </cell>
          <cell r="Q1053">
            <v>0</v>
          </cell>
          <cell r="S1053">
            <v>0</v>
          </cell>
          <cell r="U1053">
            <v>0</v>
          </cell>
          <cell r="Y1053">
            <v>1748.88</v>
          </cell>
          <cell r="AE1053" t="str">
            <v>20140101KUUM_496</v>
          </cell>
        </row>
        <row r="1054">
          <cell r="B1054" t="str">
            <v>Dec 2014</v>
          </cell>
          <cell r="C1054" t="str">
            <v>LS</v>
          </cell>
          <cell r="D1054" t="str">
            <v>KUUM_497</v>
          </cell>
          <cell r="E1054">
            <v>8</v>
          </cell>
          <cell r="F1054">
            <v>0</v>
          </cell>
          <cell r="G1054">
            <v>0</v>
          </cell>
          <cell r="H1054">
            <v>0</v>
          </cell>
          <cell r="L1054">
            <v>0</v>
          </cell>
          <cell r="N1054">
            <v>122.8</v>
          </cell>
          <cell r="O1054">
            <v>0</v>
          </cell>
          <cell r="Q1054">
            <v>0</v>
          </cell>
          <cell r="S1054">
            <v>0</v>
          </cell>
          <cell r="U1054">
            <v>0</v>
          </cell>
          <cell r="Y1054">
            <v>9.0399999999999991</v>
          </cell>
          <cell r="AE1054" t="str">
            <v>20140101KUUM_497</v>
          </cell>
        </row>
        <row r="1055">
          <cell r="B1055" t="str">
            <v>Dec 2014</v>
          </cell>
          <cell r="C1055" t="str">
            <v>LS</v>
          </cell>
          <cell r="D1055" t="str">
            <v>KUUM_498</v>
          </cell>
          <cell r="E1055">
            <v>20</v>
          </cell>
          <cell r="F1055">
            <v>0</v>
          </cell>
          <cell r="G1055">
            <v>0</v>
          </cell>
          <cell r="H1055">
            <v>0</v>
          </cell>
          <cell r="L1055">
            <v>0</v>
          </cell>
          <cell r="N1055">
            <v>354.4</v>
          </cell>
          <cell r="O1055">
            <v>0</v>
          </cell>
          <cell r="Q1055">
            <v>0</v>
          </cell>
          <cell r="S1055">
            <v>0</v>
          </cell>
          <cell r="U1055">
            <v>0</v>
          </cell>
          <cell r="Y1055">
            <v>46.6</v>
          </cell>
          <cell r="AE1055" t="str">
            <v>20140101KUUM_498</v>
          </cell>
        </row>
        <row r="1056">
          <cell r="B1056" t="str">
            <v>Dec 2014</v>
          </cell>
          <cell r="C1056" t="str">
            <v>LS</v>
          </cell>
          <cell r="D1056" t="str">
            <v>KUUM_499</v>
          </cell>
          <cell r="E1056">
            <v>23</v>
          </cell>
          <cell r="F1056">
            <v>0</v>
          </cell>
          <cell r="G1056">
            <v>0</v>
          </cell>
          <cell r="H1056">
            <v>0</v>
          </cell>
          <cell r="L1056">
            <v>0</v>
          </cell>
          <cell r="N1056">
            <v>494.27</v>
          </cell>
          <cell r="O1056">
            <v>0</v>
          </cell>
          <cell r="Q1056">
            <v>0</v>
          </cell>
          <cell r="S1056">
            <v>0</v>
          </cell>
          <cell r="U1056">
            <v>0</v>
          </cell>
          <cell r="Y1056">
            <v>104.19</v>
          </cell>
          <cell r="AE1056" t="str">
            <v>20140101KUUM_499</v>
          </cell>
        </row>
        <row r="1057">
          <cell r="B1057" t="str">
            <v>Dec 2014</v>
          </cell>
          <cell r="C1057" t="str">
            <v>ODL</v>
          </cell>
          <cell r="D1057" t="str">
            <v>ODL</v>
          </cell>
          <cell r="E1057">
            <v>0</v>
          </cell>
          <cell r="F1057">
            <v>0</v>
          </cell>
          <cell r="G1057">
            <v>11589816</v>
          </cell>
          <cell r="H1057">
            <v>0</v>
          </cell>
          <cell r="L1057">
            <v>0</v>
          </cell>
          <cell r="N1057">
            <v>0</v>
          </cell>
          <cell r="O1057">
            <v>2038046.25</v>
          </cell>
          <cell r="Q1057">
            <v>41876</v>
          </cell>
          <cell r="S1057">
            <v>36847</v>
          </cell>
          <cell r="U1057">
            <v>2116769.25</v>
          </cell>
          <cell r="Y1057">
            <v>0</v>
          </cell>
          <cell r="AE1057" t="str">
            <v>20140101ODL</v>
          </cell>
        </row>
      </sheetData>
      <sheetData sheetId="18">
        <row r="4">
          <cell r="E4" t="str">
            <v>20100801KURSE010</v>
          </cell>
          <cell r="F4">
            <v>8.5</v>
          </cell>
          <cell r="G4">
            <v>6.8049999999999999E-2</v>
          </cell>
          <cell r="H4">
            <v>0</v>
          </cell>
          <cell r="I4">
            <v>0</v>
          </cell>
          <cell r="K4">
            <v>2.7539999999999999E-2</v>
          </cell>
        </row>
        <row r="5">
          <cell r="E5" t="str">
            <v>20100801KURSE020</v>
          </cell>
          <cell r="F5">
            <v>8.5</v>
          </cell>
          <cell r="G5">
            <v>6.8049999999999999E-2</v>
          </cell>
          <cell r="H5">
            <v>0</v>
          </cell>
          <cell r="I5">
            <v>0</v>
          </cell>
          <cell r="K5">
            <v>2.7539999999999999E-2</v>
          </cell>
        </row>
        <row r="6">
          <cell r="E6" t="str">
            <v>20100801KURSE025</v>
          </cell>
          <cell r="F6">
            <v>8.5</v>
          </cell>
          <cell r="G6">
            <v>6.8049999999999999E-2</v>
          </cell>
          <cell r="H6">
            <v>0</v>
          </cell>
          <cell r="I6">
            <v>0</v>
          </cell>
          <cell r="K6">
            <v>2.7539999999999999E-2</v>
          </cell>
        </row>
        <row r="7">
          <cell r="E7" t="str">
            <v>20100801KURSE080</v>
          </cell>
          <cell r="F7">
            <v>8.5</v>
          </cell>
          <cell r="G7">
            <v>6.8049999999999999E-2</v>
          </cell>
          <cell r="H7">
            <v>0</v>
          </cell>
          <cell r="I7">
            <v>0</v>
          </cell>
          <cell r="K7">
            <v>2.7539999999999999E-2</v>
          </cell>
        </row>
        <row r="8">
          <cell r="E8" t="str">
            <v>20100801KURSE715</v>
          </cell>
          <cell r="F8">
            <v>8.5</v>
          </cell>
          <cell r="G8">
            <v>6.8049999999999999E-2</v>
          </cell>
          <cell r="H8">
            <v>0</v>
          </cell>
          <cell r="I8">
            <v>0</v>
          </cell>
          <cell r="K8">
            <v>2.7539999999999999E-2</v>
          </cell>
        </row>
        <row r="9">
          <cell r="E9" t="str">
            <v>20100801KURSE040</v>
          </cell>
          <cell r="F9">
            <v>8.5</v>
          </cell>
          <cell r="G9">
            <v>4.7219999999999998E-2</v>
          </cell>
          <cell r="H9">
            <v>6.8230000000000013E-2</v>
          </cell>
          <cell r="I9">
            <v>0.13133</v>
          </cell>
          <cell r="K9">
            <v>2.7539999999999999E-2</v>
          </cell>
        </row>
        <row r="10">
          <cell r="E10" t="str">
            <v>20100801KUCME110</v>
          </cell>
          <cell r="F10">
            <v>17.5</v>
          </cell>
          <cell r="G10">
            <v>7.7960000000000015E-2</v>
          </cell>
          <cell r="H10">
            <v>0</v>
          </cell>
          <cell r="I10">
            <v>0</v>
          </cell>
          <cell r="K10">
            <v>2.7539999999999999E-2</v>
          </cell>
        </row>
        <row r="11">
          <cell r="E11" t="str">
            <v>20100801KUCME112</v>
          </cell>
          <cell r="F11">
            <v>17.5</v>
          </cell>
          <cell r="G11">
            <v>7.7960000000000015E-2</v>
          </cell>
          <cell r="H11">
            <v>0</v>
          </cell>
          <cell r="I11">
            <v>0</v>
          </cell>
          <cell r="K11">
            <v>2.7539999999999999E-2</v>
          </cell>
        </row>
        <row r="12">
          <cell r="E12" t="str">
            <v>20100801KUCME710</v>
          </cell>
          <cell r="F12">
            <v>17.5</v>
          </cell>
          <cell r="G12">
            <v>7.7960000000000015E-2</v>
          </cell>
          <cell r="H12">
            <v>0</v>
          </cell>
          <cell r="I12">
            <v>0</v>
          </cell>
          <cell r="K12">
            <v>2.7539999999999999E-2</v>
          </cell>
        </row>
        <row r="13">
          <cell r="E13" t="str">
            <v>20100801KUCME113</v>
          </cell>
          <cell r="F13">
            <v>32.5</v>
          </cell>
          <cell r="G13">
            <v>7.7960000000000015E-2</v>
          </cell>
          <cell r="H13">
            <v>0</v>
          </cell>
          <cell r="I13">
            <v>0</v>
          </cell>
          <cell r="K13">
            <v>2.7539999999999999E-2</v>
          </cell>
        </row>
        <row r="14">
          <cell r="E14" t="str">
            <v>20100801KUCME713</v>
          </cell>
          <cell r="F14">
            <v>32.5</v>
          </cell>
          <cell r="G14">
            <v>7.7960000000000015E-2</v>
          </cell>
          <cell r="H14">
            <v>0</v>
          </cell>
          <cell r="I14">
            <v>0</v>
          </cell>
          <cell r="K14">
            <v>2.7539999999999999E-2</v>
          </cell>
        </row>
        <row r="15">
          <cell r="E15" t="str">
            <v>20100801KUCME220</v>
          </cell>
          <cell r="F15">
            <v>17.5</v>
          </cell>
          <cell r="G15">
            <v>6.7059999999999995E-2</v>
          </cell>
          <cell r="H15">
            <v>0</v>
          </cell>
          <cell r="I15">
            <v>0</v>
          </cell>
          <cell r="K15">
            <v>2.7539999999999999E-2</v>
          </cell>
        </row>
        <row r="16">
          <cell r="E16" t="str">
            <v>20100801KUCME221</v>
          </cell>
          <cell r="F16">
            <v>17.5</v>
          </cell>
          <cell r="G16">
            <v>6.7059999999999995E-2</v>
          </cell>
          <cell r="H16">
            <v>0</v>
          </cell>
          <cell r="I16">
            <v>0</v>
          </cell>
          <cell r="K16">
            <v>2.7539999999999999E-2</v>
          </cell>
        </row>
        <row r="17">
          <cell r="E17" t="str">
            <v>20100801KUCME223</v>
          </cell>
          <cell r="F17">
            <v>32.5</v>
          </cell>
          <cell r="G17">
            <v>6.7059999999999995E-2</v>
          </cell>
          <cell r="H17">
            <v>0</v>
          </cell>
          <cell r="I17">
            <v>0</v>
          </cell>
          <cell r="K17">
            <v>2.7539999999999999E-2</v>
          </cell>
        </row>
        <row r="18">
          <cell r="E18" t="str">
            <v>20100801KUCME224</v>
          </cell>
          <cell r="F18">
            <v>32.5</v>
          </cell>
          <cell r="G18">
            <v>6.7059999999999995E-2</v>
          </cell>
          <cell r="H18">
            <v>0</v>
          </cell>
          <cell r="I18">
            <v>0</v>
          </cell>
          <cell r="K18">
            <v>2.7539999999999999E-2</v>
          </cell>
        </row>
        <row r="19">
          <cell r="E19" t="str">
            <v>20100801KUCME225</v>
          </cell>
          <cell r="F19">
            <v>32.5</v>
          </cell>
          <cell r="G19">
            <v>6.7059999999999995E-2</v>
          </cell>
          <cell r="H19">
            <v>0</v>
          </cell>
          <cell r="I19">
            <v>0</v>
          </cell>
          <cell r="K19">
            <v>2.7539999999999999E-2</v>
          </cell>
        </row>
        <row r="20">
          <cell r="E20" t="str">
            <v>20100801KUCME226</v>
          </cell>
          <cell r="F20">
            <v>17.5</v>
          </cell>
          <cell r="G20">
            <v>6.7059999999999995E-2</v>
          </cell>
          <cell r="H20">
            <v>0</v>
          </cell>
          <cell r="I20">
            <v>0</v>
          </cell>
          <cell r="K20">
            <v>2.7539999999999999E-2</v>
          </cell>
        </row>
        <row r="21">
          <cell r="E21" t="str">
            <v>20100801KUCME227</v>
          </cell>
          <cell r="F21">
            <v>32.5</v>
          </cell>
          <cell r="G21">
            <v>6.7059999999999995E-2</v>
          </cell>
          <cell r="H21">
            <v>0</v>
          </cell>
          <cell r="I21">
            <v>0</v>
          </cell>
          <cell r="K21">
            <v>2.7539999999999999E-2</v>
          </cell>
        </row>
        <row r="22">
          <cell r="E22" t="str">
            <v>20100801KUCIE561</v>
          </cell>
          <cell r="F22">
            <v>90</v>
          </cell>
          <cell r="G22">
            <v>3.3860000000000001E-2</v>
          </cell>
          <cell r="H22">
            <v>0</v>
          </cell>
          <cell r="I22">
            <v>0</v>
          </cell>
          <cell r="K22">
            <v>2.7539999999999999E-2</v>
          </cell>
          <cell r="P22">
            <v>10.33</v>
          </cell>
          <cell r="Q22">
            <v>12.6</v>
          </cell>
        </row>
        <row r="23">
          <cell r="E23" t="str">
            <v>20100801KUCIE566</v>
          </cell>
          <cell r="F23">
            <v>90</v>
          </cell>
          <cell r="G23">
            <v>3.3860000000000001E-2</v>
          </cell>
          <cell r="H23">
            <v>0</v>
          </cell>
          <cell r="I23">
            <v>0</v>
          </cell>
          <cell r="K23">
            <v>2.7539999999999999E-2</v>
          </cell>
          <cell r="P23">
            <v>10.33</v>
          </cell>
          <cell r="Q23">
            <v>12.6</v>
          </cell>
        </row>
        <row r="24">
          <cell r="E24" t="str">
            <v>20100801KUCIE562</v>
          </cell>
          <cell r="F24">
            <v>90</v>
          </cell>
          <cell r="G24">
            <v>3.3860000000000001E-2</v>
          </cell>
          <cell r="H24">
            <v>0</v>
          </cell>
          <cell r="I24">
            <v>0</v>
          </cell>
          <cell r="K24">
            <v>2.7539999999999999E-2</v>
          </cell>
          <cell r="P24">
            <v>10.53</v>
          </cell>
          <cell r="Q24">
            <v>12.78</v>
          </cell>
        </row>
        <row r="25">
          <cell r="E25" t="str">
            <v>20100801KUCIE568</v>
          </cell>
          <cell r="F25">
            <v>90</v>
          </cell>
          <cell r="G25">
            <v>3.3860000000000001E-2</v>
          </cell>
          <cell r="H25">
            <v>0</v>
          </cell>
          <cell r="I25">
            <v>0</v>
          </cell>
          <cell r="K25">
            <v>2.7539999999999999E-2</v>
          </cell>
          <cell r="P25">
            <v>10.53</v>
          </cell>
          <cell r="Q25">
            <v>12.78</v>
          </cell>
        </row>
        <row r="26">
          <cell r="E26" t="str">
            <v>20100801KUCIE717</v>
          </cell>
          <cell r="F26">
            <v>90</v>
          </cell>
          <cell r="G26">
            <v>3.3860000000000001E-2</v>
          </cell>
          <cell r="H26">
            <v>0</v>
          </cell>
          <cell r="I26">
            <v>0</v>
          </cell>
          <cell r="K26">
            <v>2.7539999999999999E-2</v>
          </cell>
          <cell r="P26">
            <v>10.53</v>
          </cell>
          <cell r="Q26">
            <v>12.78</v>
          </cell>
        </row>
        <row r="27">
          <cell r="E27" t="str">
            <v>20100801KUCIE563</v>
          </cell>
          <cell r="F27">
            <v>300</v>
          </cell>
          <cell r="G27">
            <v>3.6080000000000001E-2</v>
          </cell>
          <cell r="H27">
            <v>0</v>
          </cell>
          <cell r="I27">
            <v>0</v>
          </cell>
          <cell r="K27">
            <v>2.7539999999999999E-2</v>
          </cell>
          <cell r="O27">
            <v>1.7</v>
          </cell>
          <cell r="P27">
            <v>2.73</v>
          </cell>
          <cell r="Q27">
            <v>4.09</v>
          </cell>
        </row>
        <row r="28">
          <cell r="E28" t="str">
            <v>20100801KUCIE571</v>
          </cell>
          <cell r="F28">
            <v>300</v>
          </cell>
          <cell r="G28">
            <v>3.6080000000000001E-2</v>
          </cell>
          <cell r="H28">
            <v>0</v>
          </cell>
          <cell r="I28">
            <v>0</v>
          </cell>
          <cell r="K28">
            <v>2.7539999999999999E-2</v>
          </cell>
          <cell r="O28">
            <v>1.7</v>
          </cell>
          <cell r="P28">
            <v>2.73</v>
          </cell>
          <cell r="Q28">
            <v>4.09</v>
          </cell>
        </row>
        <row r="29">
          <cell r="E29" t="str">
            <v>20100801KUCIE572</v>
          </cell>
          <cell r="F29">
            <v>200</v>
          </cell>
          <cell r="G29">
            <v>3.576E-2</v>
          </cell>
          <cell r="H29">
            <v>0</v>
          </cell>
          <cell r="I29">
            <v>0</v>
          </cell>
          <cell r="K29">
            <v>2.7539999999999999E-2</v>
          </cell>
          <cell r="O29">
            <v>3.53</v>
          </cell>
          <cell r="P29">
            <v>2.91</v>
          </cell>
          <cell r="Q29">
            <v>4.37</v>
          </cell>
        </row>
        <row r="30">
          <cell r="E30" t="str">
            <v>20100801KUCIE550</v>
          </cell>
          <cell r="F30">
            <v>500</v>
          </cell>
          <cell r="G30">
            <v>3.5000000000000003E-2</v>
          </cell>
          <cell r="H30">
            <v>0</v>
          </cell>
          <cell r="I30">
            <v>0</v>
          </cell>
          <cell r="K30">
            <v>2.7539999999999999E-2</v>
          </cell>
          <cell r="O30">
            <v>1.04</v>
          </cell>
          <cell r="P30">
            <v>2.4900000000000002</v>
          </cell>
          <cell r="Q30">
            <v>3.73</v>
          </cell>
        </row>
        <row r="31">
          <cell r="E31" t="str">
            <v>20100801KUINE731</v>
          </cell>
          <cell r="F31">
            <v>500</v>
          </cell>
          <cell r="G31">
            <v>3.5049999999999998E-2</v>
          </cell>
          <cell r="H31">
            <v>0</v>
          </cell>
          <cell r="I31">
            <v>0</v>
          </cell>
          <cell r="K31">
            <v>2.7539999999999999E-2</v>
          </cell>
          <cell r="O31">
            <v>1.75</v>
          </cell>
          <cell r="P31">
            <v>1.59</v>
          </cell>
          <cell r="Q31">
            <v>2.48</v>
          </cell>
        </row>
        <row r="32">
          <cell r="E32" t="str">
            <v>20100801KUINE730</v>
          </cell>
          <cell r="F32">
            <v>500</v>
          </cell>
          <cell r="G32">
            <v>3.0329999999999999E-2</v>
          </cell>
          <cell r="H32">
            <v>0</v>
          </cell>
          <cell r="I32">
            <v>0</v>
          </cell>
          <cell r="K32">
            <v>2.7539999999999999E-2</v>
          </cell>
          <cell r="O32">
            <v>1</v>
          </cell>
          <cell r="P32">
            <v>1.59</v>
          </cell>
          <cell r="Q32">
            <v>2.48</v>
          </cell>
        </row>
        <row r="33">
          <cell r="E33" t="str">
            <v>20100801KUCME295</v>
          </cell>
          <cell r="F33">
            <v>3.14</v>
          </cell>
          <cell r="G33">
            <v>7.0000000000000007E-2</v>
          </cell>
          <cell r="H33">
            <v>0</v>
          </cell>
          <cell r="I33">
            <v>0</v>
          </cell>
          <cell r="K33">
            <v>2.7539999999999999E-2</v>
          </cell>
        </row>
        <row r="34">
          <cell r="E34" t="str">
            <v>20100801KUCME297</v>
          </cell>
          <cell r="F34">
            <v>3.14</v>
          </cell>
          <cell r="G34">
            <v>7.0000000000000007E-2</v>
          </cell>
          <cell r="H34">
            <v>0</v>
          </cell>
          <cell r="I34">
            <v>0</v>
          </cell>
          <cell r="K34">
            <v>2.7539999999999999E-2</v>
          </cell>
        </row>
        <row r="35">
          <cell r="E35" t="str">
            <v>20100801KUCME290</v>
          </cell>
          <cell r="F35">
            <v>0</v>
          </cell>
          <cell r="G35">
            <v>5.4650000000000004E-2</v>
          </cell>
          <cell r="H35">
            <v>0</v>
          </cell>
          <cell r="I35">
            <v>0</v>
          </cell>
          <cell r="K35">
            <v>2.7539999999999999E-2</v>
          </cell>
        </row>
        <row r="36">
          <cell r="E36" t="str">
            <v>20100801KUCME291</v>
          </cell>
          <cell r="F36">
            <v>0</v>
          </cell>
          <cell r="G36">
            <v>5.4650000000000004E-2</v>
          </cell>
          <cell r="H36">
            <v>0</v>
          </cell>
          <cell r="I36">
            <v>0</v>
          </cell>
          <cell r="K36">
            <v>2.7539999999999999E-2</v>
          </cell>
        </row>
        <row r="37">
          <cell r="E37" t="str">
            <v>20100801KUCME292</v>
          </cell>
          <cell r="F37">
            <v>0</v>
          </cell>
          <cell r="G37">
            <v>5.4650000000000004E-2</v>
          </cell>
          <cell r="H37">
            <v>0</v>
          </cell>
          <cell r="I37">
            <v>0</v>
          </cell>
          <cell r="K37">
            <v>2.7539999999999999E-2</v>
          </cell>
        </row>
        <row r="38">
          <cell r="E38" t="str">
            <v>20110701KURSE010</v>
          </cell>
          <cell r="F38">
            <v>8.5</v>
          </cell>
          <cell r="G38">
            <v>6.719E-2</v>
          </cell>
          <cell r="H38">
            <v>0</v>
          </cell>
          <cell r="I38">
            <v>0</v>
          </cell>
          <cell r="K38">
            <v>2.6679999999999999E-2</v>
          </cell>
        </row>
        <row r="39">
          <cell r="E39" t="str">
            <v>20110701KURSE020</v>
          </cell>
          <cell r="F39">
            <v>8.5</v>
          </cell>
          <cell r="G39">
            <v>6.719E-2</v>
          </cell>
          <cell r="H39">
            <v>0</v>
          </cell>
          <cell r="I39">
            <v>0</v>
          </cell>
          <cell r="K39">
            <v>2.6679999999999999E-2</v>
          </cell>
        </row>
        <row r="40">
          <cell r="E40" t="str">
            <v>20110701KURSE025</v>
          </cell>
          <cell r="F40">
            <v>8.5</v>
          </cell>
          <cell r="G40">
            <v>6.719E-2</v>
          </cell>
          <cell r="H40">
            <v>0</v>
          </cell>
          <cell r="I40">
            <v>0</v>
          </cell>
          <cell r="K40">
            <v>2.6679999999999999E-2</v>
          </cell>
        </row>
        <row r="41">
          <cell r="E41" t="str">
            <v>20110701KURSE080</v>
          </cell>
          <cell r="F41">
            <v>8.5</v>
          </cell>
          <cell r="G41">
            <v>6.719E-2</v>
          </cell>
          <cell r="H41">
            <v>0</v>
          </cell>
          <cell r="I41">
            <v>0</v>
          </cell>
          <cell r="K41">
            <v>2.6679999999999999E-2</v>
          </cell>
        </row>
        <row r="42">
          <cell r="E42" t="str">
            <v>20110701KURSE715</v>
          </cell>
          <cell r="F42">
            <v>8.5</v>
          </cell>
          <cell r="G42">
            <v>6.719E-2</v>
          </cell>
          <cell r="H42">
            <v>0</v>
          </cell>
          <cell r="I42">
            <v>0</v>
          </cell>
          <cell r="K42">
            <v>2.6679999999999999E-2</v>
          </cell>
        </row>
        <row r="43">
          <cell r="E43" t="str">
            <v>20110701KURSE040</v>
          </cell>
          <cell r="F43">
            <v>8.5</v>
          </cell>
          <cell r="G43">
            <v>4.6359999999999998E-2</v>
          </cell>
          <cell r="H43">
            <v>6.7370000000000013E-2</v>
          </cell>
          <cell r="I43">
            <v>0.13047</v>
          </cell>
          <cell r="K43">
            <v>2.6679999999999999E-2</v>
          </cell>
        </row>
        <row r="44">
          <cell r="E44" t="str">
            <v>20110701KUCME110</v>
          </cell>
          <cell r="F44">
            <v>17.5</v>
          </cell>
          <cell r="G44">
            <v>7.7100000000000016E-2</v>
          </cell>
          <cell r="H44">
            <v>0</v>
          </cell>
          <cell r="I44">
            <v>0</v>
          </cell>
          <cell r="K44">
            <v>2.6679999999999999E-2</v>
          </cell>
        </row>
        <row r="45">
          <cell r="E45" t="str">
            <v>20110701KUCME112</v>
          </cell>
          <cell r="F45">
            <v>17.5</v>
          </cell>
          <cell r="G45">
            <v>7.7100000000000016E-2</v>
          </cell>
          <cell r="H45">
            <v>0</v>
          </cell>
          <cell r="I45">
            <v>0</v>
          </cell>
          <cell r="K45">
            <v>2.6679999999999999E-2</v>
          </cell>
        </row>
        <row r="46">
          <cell r="E46" t="str">
            <v>20110701KUCME710</v>
          </cell>
          <cell r="F46">
            <v>17.5</v>
          </cell>
          <cell r="G46">
            <v>7.7100000000000016E-2</v>
          </cell>
          <cell r="H46">
            <v>0</v>
          </cell>
          <cell r="I46">
            <v>0</v>
          </cell>
          <cell r="K46">
            <v>2.6679999999999999E-2</v>
          </cell>
        </row>
        <row r="47">
          <cell r="E47" t="str">
            <v>20110701KUCME113</v>
          </cell>
          <cell r="F47">
            <v>32.5</v>
          </cell>
          <cell r="G47">
            <v>7.7100000000000016E-2</v>
          </cell>
          <cell r="H47">
            <v>0</v>
          </cell>
          <cell r="I47">
            <v>0</v>
          </cell>
          <cell r="K47">
            <v>2.6679999999999999E-2</v>
          </cell>
        </row>
        <row r="48">
          <cell r="E48" t="str">
            <v>20110701KUCME713</v>
          </cell>
          <cell r="F48">
            <v>32.5</v>
          </cell>
          <cell r="G48">
            <v>7.7100000000000016E-2</v>
          </cell>
          <cell r="H48">
            <v>0</v>
          </cell>
          <cell r="I48">
            <v>0</v>
          </cell>
          <cell r="K48">
            <v>2.6679999999999999E-2</v>
          </cell>
        </row>
        <row r="49">
          <cell r="E49" t="str">
            <v>20110701KUCME220</v>
          </cell>
          <cell r="F49">
            <v>17.5</v>
          </cell>
          <cell r="G49">
            <v>6.6200000000000009E-2</v>
          </cell>
          <cell r="H49">
            <v>0</v>
          </cell>
          <cell r="I49">
            <v>0</v>
          </cell>
          <cell r="K49">
            <v>2.6679999999999999E-2</v>
          </cell>
        </row>
        <row r="50">
          <cell r="E50" t="str">
            <v>20110701KUCME221</v>
          </cell>
          <cell r="F50">
            <v>17.5</v>
          </cell>
          <cell r="G50">
            <v>6.6200000000000009E-2</v>
          </cell>
          <cell r="H50">
            <v>0</v>
          </cell>
          <cell r="I50">
            <v>0</v>
          </cell>
          <cell r="K50">
            <v>2.6679999999999999E-2</v>
          </cell>
        </row>
        <row r="51">
          <cell r="E51" t="str">
            <v>20110701KUCME223</v>
          </cell>
          <cell r="F51">
            <v>32.5</v>
          </cell>
          <cell r="G51">
            <v>6.6200000000000009E-2</v>
          </cell>
          <cell r="H51">
            <v>0</v>
          </cell>
          <cell r="I51">
            <v>0</v>
          </cell>
          <cell r="K51">
            <v>2.6679999999999999E-2</v>
          </cell>
        </row>
        <row r="52">
          <cell r="E52" t="str">
            <v>20110701KUCME224</v>
          </cell>
          <cell r="F52">
            <v>32.5</v>
          </cell>
          <cell r="G52">
            <v>6.6200000000000009E-2</v>
          </cell>
          <cell r="H52">
            <v>0</v>
          </cell>
          <cell r="I52">
            <v>0</v>
          </cell>
          <cell r="K52">
            <v>2.6679999999999999E-2</v>
          </cell>
        </row>
        <row r="53">
          <cell r="E53" t="str">
            <v>20110701KUCME225</v>
          </cell>
          <cell r="F53">
            <v>32.5</v>
          </cell>
          <cell r="G53">
            <v>6.6200000000000009E-2</v>
          </cell>
          <cell r="H53">
            <v>0</v>
          </cell>
          <cell r="I53">
            <v>0</v>
          </cell>
          <cell r="K53">
            <v>2.6679999999999999E-2</v>
          </cell>
        </row>
        <row r="54">
          <cell r="E54" t="str">
            <v>20110701KUCME226</v>
          </cell>
          <cell r="F54">
            <v>17.5</v>
          </cell>
          <cell r="G54">
            <v>6.6200000000000009E-2</v>
          </cell>
          <cell r="H54">
            <v>0</v>
          </cell>
          <cell r="I54">
            <v>0</v>
          </cell>
          <cell r="K54">
            <v>2.6679999999999999E-2</v>
          </cell>
        </row>
        <row r="55">
          <cell r="E55" t="str">
            <v>20110701KUCME227</v>
          </cell>
          <cell r="F55">
            <v>32.5</v>
          </cell>
          <cell r="G55">
            <v>6.6200000000000009E-2</v>
          </cell>
          <cell r="H55">
            <v>0</v>
          </cell>
          <cell r="I55">
            <v>0</v>
          </cell>
          <cell r="K55">
            <v>2.6679999999999999E-2</v>
          </cell>
        </row>
        <row r="56">
          <cell r="E56" t="str">
            <v>20110701KUCIE561</v>
          </cell>
          <cell r="F56">
            <v>90</v>
          </cell>
          <cell r="G56">
            <v>3.3000000000000002E-2</v>
          </cell>
          <cell r="H56">
            <v>0</v>
          </cell>
          <cell r="I56">
            <v>0</v>
          </cell>
          <cell r="K56">
            <v>2.6679999999999999E-2</v>
          </cell>
          <cell r="P56">
            <v>10.33</v>
          </cell>
          <cell r="Q56">
            <v>12.6</v>
          </cell>
        </row>
        <row r="57">
          <cell r="E57" t="str">
            <v>20110701KUCIE566</v>
          </cell>
          <cell r="F57">
            <v>90</v>
          </cell>
          <cell r="G57">
            <v>3.3000000000000002E-2</v>
          </cell>
          <cell r="H57">
            <v>0</v>
          </cell>
          <cell r="I57">
            <v>0</v>
          </cell>
          <cell r="K57">
            <v>2.6679999999999999E-2</v>
          </cell>
          <cell r="P57">
            <v>10.33</v>
          </cell>
          <cell r="Q57">
            <v>12.6</v>
          </cell>
        </row>
        <row r="58">
          <cell r="E58" t="str">
            <v>20110701KUCIE562</v>
          </cell>
          <cell r="F58">
            <v>90</v>
          </cell>
          <cell r="G58">
            <v>3.3000000000000002E-2</v>
          </cell>
          <cell r="H58">
            <v>0</v>
          </cell>
          <cell r="I58">
            <v>0</v>
          </cell>
          <cell r="K58">
            <v>2.6679999999999999E-2</v>
          </cell>
          <cell r="P58">
            <v>10.53</v>
          </cell>
          <cell r="Q58">
            <v>12.78</v>
          </cell>
        </row>
        <row r="59">
          <cell r="E59" t="str">
            <v>20110701KUCIE568</v>
          </cell>
          <cell r="F59">
            <v>90</v>
          </cell>
          <cell r="G59">
            <v>3.3000000000000002E-2</v>
          </cell>
          <cell r="H59">
            <v>0</v>
          </cell>
          <cell r="I59">
            <v>0</v>
          </cell>
          <cell r="K59">
            <v>2.6679999999999999E-2</v>
          </cell>
          <cell r="P59">
            <v>10.53</v>
          </cell>
          <cell r="Q59">
            <v>12.78</v>
          </cell>
        </row>
        <row r="60">
          <cell r="E60" t="str">
            <v>20110701KUCIE717</v>
          </cell>
          <cell r="F60">
            <v>90</v>
          </cell>
          <cell r="G60">
            <v>3.3000000000000002E-2</v>
          </cell>
          <cell r="H60">
            <v>0</v>
          </cell>
          <cell r="I60">
            <v>0</v>
          </cell>
          <cell r="K60">
            <v>2.6679999999999999E-2</v>
          </cell>
          <cell r="P60">
            <v>10.53</v>
          </cell>
          <cell r="Q60">
            <v>12.78</v>
          </cell>
        </row>
        <row r="61">
          <cell r="E61" t="str">
            <v>20110701KUCIE563</v>
          </cell>
          <cell r="F61">
            <v>300</v>
          </cell>
          <cell r="G61">
            <v>3.5220000000000001E-2</v>
          </cell>
          <cell r="H61">
            <v>0</v>
          </cell>
          <cell r="I61">
            <v>0</v>
          </cell>
          <cell r="K61">
            <v>2.6679999999999999E-2</v>
          </cell>
          <cell r="O61">
            <v>1.7</v>
          </cell>
          <cell r="P61">
            <v>2.73</v>
          </cell>
          <cell r="Q61">
            <v>4.09</v>
          </cell>
        </row>
        <row r="62">
          <cell r="E62" t="str">
            <v>20110701KUCIE571</v>
          </cell>
          <cell r="F62">
            <v>300</v>
          </cell>
          <cell r="G62">
            <v>3.5220000000000001E-2</v>
          </cell>
          <cell r="H62">
            <v>0</v>
          </cell>
          <cell r="I62">
            <v>0</v>
          </cell>
          <cell r="K62">
            <v>2.6679999999999999E-2</v>
          </cell>
          <cell r="O62">
            <v>1.7</v>
          </cell>
          <cell r="P62">
            <v>2.73</v>
          </cell>
          <cell r="Q62">
            <v>4.09</v>
          </cell>
        </row>
        <row r="63">
          <cell r="E63" t="str">
            <v>20110701KUCIE572</v>
          </cell>
          <cell r="F63">
            <v>200</v>
          </cell>
          <cell r="G63">
            <v>3.49E-2</v>
          </cell>
          <cell r="H63">
            <v>0</v>
          </cell>
          <cell r="I63">
            <v>0</v>
          </cell>
          <cell r="K63">
            <v>2.6679999999999999E-2</v>
          </cell>
          <cell r="O63">
            <v>3.53</v>
          </cell>
          <cell r="P63">
            <v>2.91</v>
          </cell>
          <cell r="Q63">
            <v>4.37</v>
          </cell>
        </row>
        <row r="64">
          <cell r="E64" t="str">
            <v>20110701KUCIE550</v>
          </cell>
          <cell r="F64">
            <v>500</v>
          </cell>
          <cell r="G64">
            <v>3.4140000000000004E-2</v>
          </cell>
          <cell r="H64">
            <v>0</v>
          </cell>
          <cell r="I64">
            <v>0</v>
          </cell>
          <cell r="K64">
            <v>2.6679999999999999E-2</v>
          </cell>
          <cell r="O64">
            <v>1.04</v>
          </cell>
          <cell r="P64">
            <v>2.4900000000000002</v>
          </cell>
          <cell r="Q64">
            <v>3.73</v>
          </cell>
        </row>
        <row r="65">
          <cell r="E65" t="str">
            <v>20110701KUINE731</v>
          </cell>
          <cell r="F65">
            <v>500</v>
          </cell>
          <cell r="G65">
            <v>3.4189999999999998E-2</v>
          </cell>
          <cell r="H65">
            <v>0</v>
          </cell>
          <cell r="I65">
            <v>0</v>
          </cell>
          <cell r="K65">
            <v>2.6679999999999999E-2</v>
          </cell>
          <cell r="O65">
            <v>1.75</v>
          </cell>
          <cell r="P65">
            <v>1.59</v>
          </cell>
          <cell r="Q65">
            <v>2.48</v>
          </cell>
        </row>
        <row r="66">
          <cell r="E66" t="str">
            <v>20110701KUINE730</v>
          </cell>
          <cell r="F66">
            <v>500</v>
          </cell>
          <cell r="G66">
            <v>2.947E-2</v>
          </cell>
          <cell r="H66">
            <v>0</v>
          </cell>
          <cell r="I66">
            <v>0</v>
          </cell>
          <cell r="K66">
            <v>2.6679999999999999E-2</v>
          </cell>
          <cell r="O66">
            <v>1</v>
          </cell>
          <cell r="P66">
            <v>1.59</v>
          </cell>
          <cell r="Q66">
            <v>2.48</v>
          </cell>
        </row>
        <row r="67">
          <cell r="E67" t="str">
            <v>20110701KUCME295</v>
          </cell>
          <cell r="F67">
            <v>3.14</v>
          </cell>
          <cell r="G67">
            <v>6.9140000000000007E-2</v>
          </cell>
          <cell r="H67">
            <v>0</v>
          </cell>
          <cell r="I67">
            <v>0</v>
          </cell>
          <cell r="K67">
            <v>2.6679999999999999E-2</v>
          </cell>
        </row>
        <row r="68">
          <cell r="E68" t="str">
            <v>20110701KUCME297</v>
          </cell>
          <cell r="F68">
            <v>3.14</v>
          </cell>
          <cell r="G68">
            <v>6.9140000000000007E-2</v>
          </cell>
          <cell r="H68">
            <v>0</v>
          </cell>
          <cell r="I68">
            <v>0</v>
          </cell>
          <cell r="K68">
            <v>2.6679999999999999E-2</v>
          </cell>
        </row>
        <row r="69">
          <cell r="E69" t="str">
            <v>20110701KUCME290</v>
          </cell>
          <cell r="F69">
            <v>0</v>
          </cell>
          <cell r="G69">
            <v>5.3790000000000004E-2</v>
          </cell>
          <cell r="H69">
            <v>0</v>
          </cell>
          <cell r="I69">
            <v>0</v>
          </cell>
          <cell r="K69">
            <v>2.6679999999999999E-2</v>
          </cell>
        </row>
        <row r="70">
          <cell r="E70" t="str">
            <v>20110701KUCME291</v>
          </cell>
          <cell r="F70">
            <v>0</v>
          </cell>
          <cell r="G70">
            <v>5.3790000000000004E-2</v>
          </cell>
          <cell r="H70">
            <v>0</v>
          </cell>
          <cell r="I70">
            <v>0</v>
          </cell>
          <cell r="K70">
            <v>2.6679999999999999E-2</v>
          </cell>
        </row>
        <row r="71">
          <cell r="E71" t="str">
            <v>20110701KUCME292</v>
          </cell>
          <cell r="F71">
            <v>0</v>
          </cell>
          <cell r="G71">
            <v>5.3790000000000004E-2</v>
          </cell>
          <cell r="H71">
            <v>0</v>
          </cell>
          <cell r="I71">
            <v>0</v>
          </cell>
          <cell r="K71">
            <v>2.6679999999999999E-2</v>
          </cell>
        </row>
        <row r="72">
          <cell r="E72" t="str">
            <v>20120301KURSE010</v>
          </cell>
          <cell r="F72">
            <v>8.5</v>
          </cell>
          <cell r="G72">
            <v>6.9870000000000002E-2</v>
          </cell>
          <cell r="H72">
            <v>0</v>
          </cell>
          <cell r="I72">
            <v>0</v>
          </cell>
          <cell r="K72">
            <v>2.6679999999999999E-2</v>
          </cell>
        </row>
        <row r="73">
          <cell r="E73" t="str">
            <v>20120301KURSE020</v>
          </cell>
          <cell r="F73">
            <v>8.5</v>
          </cell>
          <cell r="G73">
            <v>6.9870000000000002E-2</v>
          </cell>
          <cell r="H73">
            <v>0</v>
          </cell>
          <cell r="I73">
            <v>0</v>
          </cell>
          <cell r="K73">
            <v>2.6679999999999999E-2</v>
          </cell>
        </row>
        <row r="74">
          <cell r="E74" t="str">
            <v>20120301KURSE025</v>
          </cell>
          <cell r="F74">
            <v>8.5</v>
          </cell>
          <cell r="G74">
            <v>6.9870000000000002E-2</v>
          </cell>
          <cell r="H74">
            <v>0</v>
          </cell>
          <cell r="I74">
            <v>0</v>
          </cell>
          <cell r="K74">
            <v>2.6679999999999999E-2</v>
          </cell>
        </row>
        <row r="75">
          <cell r="E75" t="str">
            <v>20120301KURSE080</v>
          </cell>
          <cell r="F75">
            <v>8.5</v>
          </cell>
          <cell r="G75">
            <v>6.9870000000000002E-2</v>
          </cell>
          <cell r="H75">
            <v>0</v>
          </cell>
          <cell r="I75">
            <v>0</v>
          </cell>
          <cell r="K75">
            <v>2.6679999999999999E-2</v>
          </cell>
        </row>
        <row r="76">
          <cell r="E76" t="str">
            <v>20120301KURSE715</v>
          </cell>
          <cell r="F76">
            <v>8.5</v>
          </cell>
          <cell r="G76">
            <v>6.9870000000000002E-2</v>
          </cell>
          <cell r="H76">
            <v>0</v>
          </cell>
          <cell r="I76">
            <v>0</v>
          </cell>
          <cell r="K76">
            <v>2.6679999999999999E-2</v>
          </cell>
        </row>
        <row r="77">
          <cell r="E77" t="str">
            <v>20120301KURSE040</v>
          </cell>
          <cell r="F77">
            <v>8.5</v>
          </cell>
          <cell r="G77">
            <v>4.904E-2</v>
          </cell>
          <cell r="H77">
            <v>7.0050000000000001E-2</v>
          </cell>
          <cell r="I77">
            <v>0.13314999999999999</v>
          </cell>
          <cell r="K77">
            <v>2.6679999999999999E-2</v>
          </cell>
        </row>
        <row r="78">
          <cell r="E78" t="str">
            <v>20120301KUCME110</v>
          </cell>
          <cell r="F78">
            <v>17.5</v>
          </cell>
          <cell r="G78">
            <v>8.3320000000000005E-2</v>
          </cell>
          <cell r="H78">
            <v>0</v>
          </cell>
          <cell r="I78">
            <v>0</v>
          </cell>
          <cell r="K78">
            <v>2.6679999999999999E-2</v>
          </cell>
        </row>
        <row r="79">
          <cell r="E79" t="str">
            <v>20120301KUCME112</v>
          </cell>
          <cell r="F79">
            <v>17.5</v>
          </cell>
          <cell r="G79">
            <v>8.3320000000000005E-2</v>
          </cell>
          <cell r="H79">
            <v>0</v>
          </cell>
          <cell r="I79">
            <v>0</v>
          </cell>
          <cell r="K79">
            <v>2.6679999999999999E-2</v>
          </cell>
        </row>
        <row r="80">
          <cell r="E80" t="str">
            <v>20120301KUCME710</v>
          </cell>
          <cell r="F80">
            <v>17.5</v>
          </cell>
          <cell r="G80">
            <v>8.3320000000000005E-2</v>
          </cell>
          <cell r="H80">
            <v>0</v>
          </cell>
          <cell r="I80">
            <v>0</v>
          </cell>
          <cell r="K80">
            <v>2.6679999999999999E-2</v>
          </cell>
        </row>
        <row r="81">
          <cell r="E81" t="str">
            <v>20120301KUCME113</v>
          </cell>
          <cell r="F81">
            <v>32.5</v>
          </cell>
          <cell r="G81">
            <v>8.3320000000000005E-2</v>
          </cell>
          <cell r="H81">
            <v>0</v>
          </cell>
          <cell r="I81">
            <v>0</v>
          </cell>
          <cell r="K81">
            <v>2.6679999999999999E-2</v>
          </cell>
        </row>
        <row r="82">
          <cell r="E82" t="str">
            <v>20120301KUCME713</v>
          </cell>
          <cell r="F82">
            <v>32.5</v>
          </cell>
          <cell r="G82">
            <v>8.3320000000000005E-2</v>
          </cell>
          <cell r="H82">
            <v>0</v>
          </cell>
          <cell r="I82">
            <v>0</v>
          </cell>
          <cell r="K82">
            <v>2.6679999999999999E-2</v>
          </cell>
        </row>
        <row r="83">
          <cell r="E83" t="str">
            <v>20120301KUCME220</v>
          </cell>
          <cell r="F83">
            <v>17.5</v>
          </cell>
          <cell r="G83">
            <v>6.6699999999999995E-2</v>
          </cell>
          <cell r="H83">
            <v>0</v>
          </cell>
          <cell r="I83">
            <v>0</v>
          </cell>
          <cell r="K83">
            <v>2.6679999999999999E-2</v>
          </cell>
        </row>
        <row r="84">
          <cell r="E84" t="str">
            <v>20120301KUCME221</v>
          </cell>
          <cell r="F84">
            <v>17.5</v>
          </cell>
          <cell r="G84">
            <v>6.6699999999999995E-2</v>
          </cell>
          <cell r="H84">
            <v>0</v>
          </cell>
          <cell r="I84">
            <v>0</v>
          </cell>
          <cell r="K84">
            <v>2.6679999999999999E-2</v>
          </cell>
        </row>
        <row r="85">
          <cell r="E85" t="str">
            <v>20120301KUCME223</v>
          </cell>
          <cell r="F85">
            <v>32.5</v>
          </cell>
          <cell r="G85">
            <v>6.6699999999999995E-2</v>
          </cell>
          <cell r="H85">
            <v>0</v>
          </cell>
          <cell r="I85">
            <v>0</v>
          </cell>
          <cell r="K85">
            <v>2.6679999999999999E-2</v>
          </cell>
        </row>
        <row r="86">
          <cell r="E86" t="str">
            <v>20120301KUCME224</v>
          </cell>
          <cell r="F86">
            <v>32.5</v>
          </cell>
          <cell r="G86">
            <v>6.6699999999999995E-2</v>
          </cell>
          <cell r="H86">
            <v>0</v>
          </cell>
          <cell r="I86">
            <v>0</v>
          </cell>
          <cell r="K86">
            <v>2.6679999999999999E-2</v>
          </cell>
        </row>
        <row r="87">
          <cell r="E87" t="str">
            <v>20120301KUCME225</v>
          </cell>
          <cell r="F87">
            <v>32.5</v>
          </cell>
          <cell r="G87">
            <v>6.6699999999999995E-2</v>
          </cell>
          <cell r="H87">
            <v>0</v>
          </cell>
          <cell r="I87">
            <v>0</v>
          </cell>
          <cell r="K87">
            <v>2.6679999999999999E-2</v>
          </cell>
        </row>
        <row r="88">
          <cell r="E88" t="str">
            <v>20120301KUCME226</v>
          </cell>
          <cell r="F88">
            <v>17.5</v>
          </cell>
          <cell r="G88">
            <v>6.6699999999999995E-2</v>
          </cell>
          <cell r="H88">
            <v>0</v>
          </cell>
          <cell r="I88">
            <v>0</v>
          </cell>
          <cell r="K88">
            <v>2.6679999999999999E-2</v>
          </cell>
        </row>
        <row r="89">
          <cell r="E89" t="str">
            <v>20120301KUCME227</v>
          </cell>
          <cell r="F89">
            <v>32.5</v>
          </cell>
          <cell r="G89">
            <v>6.6699999999999995E-2</v>
          </cell>
          <cell r="H89">
            <v>0</v>
          </cell>
          <cell r="I89">
            <v>0</v>
          </cell>
          <cell r="K89">
            <v>2.6679999999999999E-2</v>
          </cell>
        </row>
        <row r="90">
          <cell r="E90" t="str">
            <v>20120301KUCIE561</v>
          </cell>
          <cell r="F90">
            <v>90</v>
          </cell>
          <cell r="G90">
            <v>3.3000000000000002E-2</v>
          </cell>
          <cell r="H90">
            <v>0</v>
          </cell>
          <cell r="I90">
            <v>0</v>
          </cell>
          <cell r="K90">
            <v>2.6679999999999999E-2</v>
          </cell>
          <cell r="P90">
            <v>11.45</v>
          </cell>
          <cell r="Q90">
            <v>13.72</v>
          </cell>
        </row>
        <row r="91">
          <cell r="E91" t="str">
            <v>20120301KUCIE566</v>
          </cell>
          <cell r="F91">
            <v>90</v>
          </cell>
          <cell r="G91">
            <v>3.3000000000000002E-2</v>
          </cell>
          <cell r="H91">
            <v>0</v>
          </cell>
          <cell r="I91">
            <v>0</v>
          </cell>
          <cell r="K91">
            <v>2.6679999999999999E-2</v>
          </cell>
          <cell r="P91">
            <v>11.45</v>
          </cell>
          <cell r="Q91">
            <v>13.72</v>
          </cell>
        </row>
        <row r="92">
          <cell r="E92" t="str">
            <v>20120301KUCIE562</v>
          </cell>
          <cell r="F92">
            <v>90</v>
          </cell>
          <cell r="G92">
            <v>3.3000000000000002E-2</v>
          </cell>
          <cell r="H92">
            <v>0</v>
          </cell>
          <cell r="I92">
            <v>0</v>
          </cell>
          <cell r="K92">
            <v>2.6679999999999999E-2</v>
          </cell>
          <cell r="P92">
            <v>11.65</v>
          </cell>
          <cell r="Q92">
            <v>13.9</v>
          </cell>
        </row>
        <row r="93">
          <cell r="E93" t="str">
            <v>20120301KUCIE568</v>
          </cell>
          <cell r="F93">
            <v>90</v>
          </cell>
          <cell r="G93">
            <v>3.3000000000000002E-2</v>
          </cell>
          <cell r="H93">
            <v>0</v>
          </cell>
          <cell r="I93">
            <v>0</v>
          </cell>
          <cell r="K93">
            <v>2.6679999999999999E-2</v>
          </cell>
          <cell r="P93">
            <v>11.65</v>
          </cell>
          <cell r="Q93">
            <v>13.9</v>
          </cell>
        </row>
        <row r="94">
          <cell r="E94" t="str">
            <v>20120301KUCIE717</v>
          </cell>
          <cell r="F94">
            <v>90</v>
          </cell>
          <cell r="G94">
            <v>3.3000000000000002E-2</v>
          </cell>
          <cell r="H94">
            <v>0</v>
          </cell>
          <cell r="I94">
            <v>0</v>
          </cell>
          <cell r="K94">
            <v>2.6679999999999999E-2</v>
          </cell>
          <cell r="P94">
            <v>11.65</v>
          </cell>
          <cell r="Q94">
            <v>13.9</v>
          </cell>
        </row>
        <row r="95">
          <cell r="E95" t="str">
            <v>20120301KUCIE563</v>
          </cell>
          <cell r="F95">
            <v>300</v>
          </cell>
          <cell r="G95">
            <v>3.5220000000000001E-2</v>
          </cell>
          <cell r="H95">
            <v>0</v>
          </cell>
          <cell r="I95">
            <v>0</v>
          </cell>
          <cell r="K95">
            <v>2.6679999999999999E-2</v>
          </cell>
          <cell r="O95">
            <v>1.28</v>
          </cell>
          <cell r="P95">
            <v>2.31</v>
          </cell>
          <cell r="Q95">
            <v>3.67</v>
          </cell>
        </row>
        <row r="96">
          <cell r="E96" t="str">
            <v>20120301KUCIE571</v>
          </cell>
          <cell r="F96">
            <v>300</v>
          </cell>
          <cell r="G96">
            <v>3.5220000000000001E-2</v>
          </cell>
          <cell r="H96">
            <v>0</v>
          </cell>
          <cell r="I96">
            <v>0</v>
          </cell>
          <cell r="K96">
            <v>2.6679999999999999E-2</v>
          </cell>
          <cell r="O96">
            <v>1.28</v>
          </cell>
          <cell r="P96">
            <v>2.31</v>
          </cell>
          <cell r="Q96">
            <v>3.67</v>
          </cell>
        </row>
        <row r="97">
          <cell r="E97" t="str">
            <v>20120301KUCIE572</v>
          </cell>
          <cell r="F97">
            <v>200</v>
          </cell>
          <cell r="G97">
            <v>3.49E-2</v>
          </cell>
          <cell r="H97">
            <v>0</v>
          </cell>
          <cell r="I97">
            <v>0</v>
          </cell>
          <cell r="K97">
            <v>2.6679999999999999E-2</v>
          </cell>
          <cell r="O97">
            <v>3.05</v>
          </cell>
          <cell r="P97">
            <v>2.4300000000000002</v>
          </cell>
          <cell r="Q97">
            <v>3.89</v>
          </cell>
        </row>
        <row r="98">
          <cell r="E98" t="str">
            <v>20120301KUCIE550</v>
          </cell>
          <cell r="F98">
            <v>500</v>
          </cell>
          <cell r="G98">
            <v>3.4140000000000004E-2</v>
          </cell>
          <cell r="H98">
            <v>0</v>
          </cell>
          <cell r="I98">
            <v>0</v>
          </cell>
          <cell r="K98">
            <v>2.6679999999999999E-2</v>
          </cell>
          <cell r="O98">
            <v>0.85</v>
          </cell>
          <cell r="P98">
            <v>2.2999999999999998</v>
          </cell>
          <cell r="Q98">
            <v>3.54</v>
          </cell>
        </row>
        <row r="99">
          <cell r="E99" t="str">
            <v>20120301KUINE731</v>
          </cell>
          <cell r="F99">
            <v>500</v>
          </cell>
          <cell r="G99">
            <v>3.4189999999999998E-2</v>
          </cell>
          <cell r="H99">
            <v>0</v>
          </cell>
          <cell r="I99">
            <v>0</v>
          </cell>
          <cell r="K99">
            <v>2.6679999999999999E-2</v>
          </cell>
          <cell r="O99">
            <v>1.57</v>
          </cell>
          <cell r="P99">
            <v>1.41</v>
          </cell>
          <cell r="Q99">
            <v>2.2999999999999998</v>
          </cell>
        </row>
        <row r="100">
          <cell r="E100" t="str">
            <v>20120301KUINE730</v>
          </cell>
          <cell r="F100">
            <v>500</v>
          </cell>
          <cell r="G100">
            <v>2.947E-2</v>
          </cell>
          <cell r="H100">
            <v>0</v>
          </cell>
          <cell r="I100">
            <v>0</v>
          </cell>
          <cell r="K100">
            <v>2.6679999999999999E-2</v>
          </cell>
          <cell r="O100">
            <v>0.82</v>
          </cell>
          <cell r="P100">
            <v>1.41</v>
          </cell>
          <cell r="Q100">
            <v>2.2999999999999998</v>
          </cell>
        </row>
        <row r="101">
          <cell r="E101" t="str">
            <v>20120301KUCME295</v>
          </cell>
          <cell r="F101">
            <v>3.14</v>
          </cell>
          <cell r="G101">
            <v>7.1819999999999995E-2</v>
          </cell>
          <cell r="H101">
            <v>0</v>
          </cell>
          <cell r="I101">
            <v>0</v>
          </cell>
          <cell r="K101">
            <v>2.6679999999999999E-2</v>
          </cell>
        </row>
        <row r="102">
          <cell r="E102" t="str">
            <v>20120301KUCME297</v>
          </cell>
          <cell r="F102">
            <v>3.14</v>
          </cell>
          <cell r="G102">
            <v>7.1819999999999995E-2</v>
          </cell>
          <cell r="H102">
            <v>0</v>
          </cell>
          <cell r="I102">
            <v>0</v>
          </cell>
          <cell r="K102">
            <v>2.6679999999999999E-2</v>
          </cell>
        </row>
        <row r="103">
          <cell r="E103" t="str">
            <v>20120301KUCME290</v>
          </cell>
          <cell r="F103">
            <v>0</v>
          </cell>
          <cell r="G103">
            <v>5.6469999999999999E-2</v>
          </cell>
          <cell r="H103">
            <v>0</v>
          </cell>
          <cell r="I103">
            <v>0</v>
          </cell>
          <cell r="K103">
            <v>2.6679999999999999E-2</v>
          </cell>
        </row>
        <row r="104">
          <cell r="E104" t="str">
            <v>20120301KUCME291</v>
          </cell>
          <cell r="F104">
            <v>0</v>
          </cell>
          <cell r="G104">
            <v>5.6469999999999999E-2</v>
          </cell>
          <cell r="H104">
            <v>0</v>
          </cell>
          <cell r="I104">
            <v>0</v>
          </cell>
          <cell r="K104">
            <v>2.6679999999999999E-2</v>
          </cell>
        </row>
        <row r="105">
          <cell r="E105" t="str">
            <v>20120301KUCME292</v>
          </cell>
          <cell r="F105">
            <v>0</v>
          </cell>
          <cell r="G105">
            <v>5.6469999999999999E-2</v>
          </cell>
          <cell r="H105">
            <v>0</v>
          </cell>
          <cell r="I105">
            <v>0</v>
          </cell>
          <cell r="K105">
            <v>2.6679999999999999E-2</v>
          </cell>
        </row>
        <row r="106">
          <cell r="E106" t="str">
            <v>20130101KURSE010</v>
          </cell>
          <cell r="F106">
            <v>10.75</v>
          </cell>
          <cell r="G106">
            <v>7.2349999999999998E-2</v>
          </cell>
          <cell r="H106">
            <v>0</v>
          </cell>
          <cell r="I106">
            <v>0</v>
          </cell>
          <cell r="K106">
            <v>2.6679999999999999E-2</v>
          </cell>
        </row>
        <row r="107">
          <cell r="E107" t="str">
            <v>20130101KURSE020</v>
          </cell>
          <cell r="F107">
            <v>10.75</v>
          </cell>
          <cell r="G107">
            <v>7.2349999999999998E-2</v>
          </cell>
          <cell r="H107">
            <v>0</v>
          </cell>
          <cell r="I107">
            <v>0</v>
          </cell>
          <cell r="K107">
            <v>2.6679999999999999E-2</v>
          </cell>
        </row>
        <row r="108">
          <cell r="E108" t="str">
            <v>20130101KURSE025</v>
          </cell>
          <cell r="F108">
            <v>10.75</v>
          </cell>
          <cell r="G108">
            <v>7.2349999999999998E-2</v>
          </cell>
          <cell r="H108">
            <v>0</v>
          </cell>
          <cell r="I108">
            <v>0</v>
          </cell>
          <cell r="K108">
            <v>2.6679999999999999E-2</v>
          </cell>
        </row>
        <row r="109">
          <cell r="E109" t="str">
            <v>20130101KURSE080</v>
          </cell>
          <cell r="F109">
            <v>10.75</v>
          </cell>
          <cell r="G109">
            <v>7.2349999999999998E-2</v>
          </cell>
          <cell r="H109">
            <v>0</v>
          </cell>
          <cell r="I109">
            <v>0</v>
          </cell>
          <cell r="K109">
            <v>2.6679999999999999E-2</v>
          </cell>
        </row>
        <row r="110">
          <cell r="E110" t="str">
            <v>20130101KURSE715</v>
          </cell>
          <cell r="F110">
            <v>10.75</v>
          </cell>
          <cell r="G110">
            <v>7.2349999999999998E-2</v>
          </cell>
          <cell r="H110">
            <v>0</v>
          </cell>
          <cell r="I110">
            <v>0</v>
          </cell>
          <cell r="K110">
            <v>2.6679999999999999E-2</v>
          </cell>
        </row>
        <row r="111">
          <cell r="E111" t="str">
            <v>20130101KURSE040</v>
          </cell>
          <cell r="F111">
            <v>10.75</v>
          </cell>
          <cell r="G111">
            <v>5.0779999999999999E-2</v>
          </cell>
          <cell r="H111">
            <v>7.2539999999999993E-2</v>
          </cell>
          <cell r="I111">
            <v>0.13788</v>
          </cell>
          <cell r="K111">
            <v>2.6679999999999999E-2</v>
          </cell>
        </row>
        <row r="112">
          <cell r="E112" t="str">
            <v>20130101KUCME110</v>
          </cell>
          <cell r="F112">
            <v>20</v>
          </cell>
          <cell r="G112">
            <v>8.5750000000000007E-2</v>
          </cell>
          <cell r="H112">
            <v>0</v>
          </cell>
          <cell r="I112">
            <v>0</v>
          </cell>
          <cell r="K112">
            <v>2.6679999999999999E-2</v>
          </cell>
        </row>
        <row r="113">
          <cell r="E113" t="str">
            <v>20130101KUCME112</v>
          </cell>
          <cell r="F113">
            <v>20</v>
          </cell>
          <cell r="G113">
            <v>8.5750000000000007E-2</v>
          </cell>
          <cell r="H113">
            <v>0</v>
          </cell>
          <cell r="I113">
            <v>0</v>
          </cell>
          <cell r="K113">
            <v>2.6679999999999999E-2</v>
          </cell>
        </row>
        <row r="114">
          <cell r="E114" t="str">
            <v>20130101KUCME710</v>
          </cell>
          <cell r="F114">
            <v>20</v>
          </cell>
          <cell r="G114">
            <v>8.5750000000000007E-2</v>
          </cell>
          <cell r="H114">
            <v>0</v>
          </cell>
          <cell r="I114">
            <v>0</v>
          </cell>
          <cell r="K114">
            <v>2.6679999999999999E-2</v>
          </cell>
        </row>
        <row r="115">
          <cell r="E115" t="str">
            <v>20130101KUCME113</v>
          </cell>
          <cell r="F115">
            <v>35</v>
          </cell>
          <cell r="G115">
            <v>8.5750000000000007E-2</v>
          </cell>
          <cell r="H115">
            <v>0</v>
          </cell>
          <cell r="I115">
            <v>0</v>
          </cell>
          <cell r="K115">
            <v>2.6679999999999999E-2</v>
          </cell>
        </row>
        <row r="116">
          <cell r="E116" t="str">
            <v>20130101KUCME713</v>
          </cell>
          <cell r="F116">
            <v>35</v>
          </cell>
          <cell r="G116">
            <v>8.5750000000000007E-2</v>
          </cell>
          <cell r="H116">
            <v>0</v>
          </cell>
          <cell r="I116">
            <v>0</v>
          </cell>
          <cell r="K116">
            <v>2.6679999999999999E-2</v>
          </cell>
        </row>
        <row r="117">
          <cell r="E117" t="str">
            <v>20130101KUCME220</v>
          </cell>
          <cell r="F117">
            <v>20</v>
          </cell>
          <cell r="G117">
            <v>6.9279999999999994E-2</v>
          </cell>
          <cell r="H117">
            <v>0</v>
          </cell>
          <cell r="I117">
            <v>0</v>
          </cell>
          <cell r="K117">
            <v>2.6679999999999999E-2</v>
          </cell>
        </row>
        <row r="118">
          <cell r="E118" t="str">
            <v>20130101KUCME221</v>
          </cell>
          <cell r="F118">
            <v>20</v>
          </cell>
          <cell r="G118">
            <v>6.9279999999999994E-2</v>
          </cell>
          <cell r="H118">
            <v>0</v>
          </cell>
          <cell r="I118">
            <v>0</v>
          </cell>
          <cell r="K118">
            <v>2.6679999999999999E-2</v>
          </cell>
        </row>
        <row r="119">
          <cell r="E119" t="str">
            <v>20130101KUCME223</v>
          </cell>
          <cell r="F119">
            <v>35</v>
          </cell>
          <cell r="G119">
            <v>6.9279999999999994E-2</v>
          </cell>
          <cell r="H119">
            <v>0</v>
          </cell>
          <cell r="I119">
            <v>0</v>
          </cell>
          <cell r="K119">
            <v>2.6679999999999999E-2</v>
          </cell>
        </row>
        <row r="120">
          <cell r="E120" t="str">
            <v>20130101KUCME224</v>
          </cell>
          <cell r="F120">
            <v>35</v>
          </cell>
          <cell r="G120">
            <v>6.9279999999999994E-2</v>
          </cell>
          <cell r="H120">
            <v>0</v>
          </cell>
          <cell r="I120">
            <v>0</v>
          </cell>
          <cell r="K120">
            <v>2.6679999999999999E-2</v>
          </cell>
        </row>
        <row r="121">
          <cell r="E121" t="str">
            <v>20130101KUCME225</v>
          </cell>
          <cell r="F121">
            <v>35</v>
          </cell>
          <cell r="G121">
            <v>6.9279999999999994E-2</v>
          </cell>
          <cell r="H121">
            <v>0</v>
          </cell>
          <cell r="I121">
            <v>0</v>
          </cell>
          <cell r="K121">
            <v>2.6679999999999999E-2</v>
          </cell>
        </row>
        <row r="122">
          <cell r="E122" t="str">
            <v>20130101KUCME226</v>
          </cell>
          <cell r="F122">
            <v>20</v>
          </cell>
          <cell r="G122">
            <v>6.9279999999999994E-2</v>
          </cell>
          <cell r="H122">
            <v>0</v>
          </cell>
          <cell r="I122">
            <v>0</v>
          </cell>
          <cell r="K122">
            <v>2.6679999999999999E-2</v>
          </cell>
        </row>
        <row r="123">
          <cell r="E123" t="str">
            <v>20130101KUCME227</v>
          </cell>
          <cell r="F123">
            <v>35</v>
          </cell>
          <cell r="G123">
            <v>6.9279999999999994E-2</v>
          </cell>
          <cell r="H123">
            <v>0</v>
          </cell>
          <cell r="I123">
            <v>0</v>
          </cell>
          <cell r="K123">
            <v>2.6679999999999999E-2</v>
          </cell>
        </row>
        <row r="124">
          <cell r="E124" t="str">
            <v>20130101KUCIE561</v>
          </cell>
          <cell r="F124">
            <v>170</v>
          </cell>
          <cell r="G124">
            <v>3.338E-2</v>
          </cell>
          <cell r="H124">
            <v>0</v>
          </cell>
          <cell r="I124">
            <v>0</v>
          </cell>
          <cell r="K124">
            <v>2.6679999999999999E-2</v>
          </cell>
          <cell r="P124">
            <v>12.21</v>
          </cell>
          <cell r="Q124">
            <v>14.31</v>
          </cell>
        </row>
        <row r="125">
          <cell r="E125" t="str">
            <v>20130101KUCIE566</v>
          </cell>
          <cell r="F125">
            <v>170</v>
          </cell>
          <cell r="G125">
            <v>3.338E-2</v>
          </cell>
          <cell r="H125">
            <v>0</v>
          </cell>
          <cell r="I125">
            <v>0</v>
          </cell>
          <cell r="K125">
            <v>2.6679999999999999E-2</v>
          </cell>
          <cell r="P125">
            <v>12.21</v>
          </cell>
          <cell r="Q125">
            <v>14.31</v>
          </cell>
        </row>
        <row r="126">
          <cell r="E126" t="str">
            <v>20130101KUCIE562</v>
          </cell>
          <cell r="F126">
            <v>90</v>
          </cell>
          <cell r="G126">
            <v>3.3399999999999999E-2</v>
          </cell>
          <cell r="H126">
            <v>0</v>
          </cell>
          <cell r="I126">
            <v>0</v>
          </cell>
          <cell r="K126">
            <v>2.6679999999999999E-2</v>
          </cell>
          <cell r="P126">
            <v>12.23</v>
          </cell>
          <cell r="Q126">
            <v>14.33</v>
          </cell>
        </row>
        <row r="127">
          <cell r="E127" t="str">
            <v>20130101KUCIE568</v>
          </cell>
          <cell r="F127">
            <v>90</v>
          </cell>
          <cell r="G127">
            <v>3.3399999999999999E-2</v>
          </cell>
          <cell r="H127">
            <v>0</v>
          </cell>
          <cell r="I127">
            <v>0</v>
          </cell>
          <cell r="K127">
            <v>2.6679999999999999E-2</v>
          </cell>
          <cell r="P127">
            <v>12.23</v>
          </cell>
          <cell r="Q127">
            <v>14.33</v>
          </cell>
        </row>
        <row r="128">
          <cell r="E128" t="str">
            <v>20130101KUCIE717</v>
          </cell>
          <cell r="F128">
            <v>90</v>
          </cell>
          <cell r="G128">
            <v>3.3399999999999999E-2</v>
          </cell>
          <cell r="H128">
            <v>0</v>
          </cell>
          <cell r="I128">
            <v>0</v>
          </cell>
          <cell r="K128">
            <v>2.6679999999999999E-2</v>
          </cell>
          <cell r="P128">
            <v>12.23</v>
          </cell>
          <cell r="Q128">
            <v>14.33</v>
          </cell>
        </row>
        <row r="129">
          <cell r="E129" t="str">
            <v>20130101KUCIE563</v>
          </cell>
          <cell r="F129">
            <v>300</v>
          </cell>
          <cell r="G129">
            <v>3.5409999999999997E-2</v>
          </cell>
          <cell r="H129">
            <v>0</v>
          </cell>
          <cell r="I129">
            <v>0</v>
          </cell>
          <cell r="K129">
            <v>2.6679999999999999E-2</v>
          </cell>
          <cell r="O129">
            <v>1.48</v>
          </cell>
          <cell r="P129">
            <v>2.5299999999999998</v>
          </cell>
          <cell r="Q129">
            <v>4.03</v>
          </cell>
        </row>
        <row r="130">
          <cell r="E130" t="str">
            <v>20130101KUCIE571</v>
          </cell>
          <cell r="F130">
            <v>300</v>
          </cell>
          <cell r="G130">
            <v>3.5409999999999997E-2</v>
          </cell>
          <cell r="H130">
            <v>0</v>
          </cell>
          <cell r="I130">
            <v>0</v>
          </cell>
          <cell r="K130">
            <v>2.6679999999999999E-2</v>
          </cell>
          <cell r="O130">
            <v>1.48</v>
          </cell>
          <cell r="P130">
            <v>2.5299999999999998</v>
          </cell>
          <cell r="Q130">
            <v>4.03</v>
          </cell>
        </row>
        <row r="131">
          <cell r="E131" t="str">
            <v>20130101KUCIE572</v>
          </cell>
          <cell r="F131">
            <v>200</v>
          </cell>
          <cell r="G131">
            <v>3.5490000000000001E-2</v>
          </cell>
          <cell r="H131">
            <v>0</v>
          </cell>
          <cell r="I131">
            <v>0</v>
          </cell>
          <cell r="K131">
            <v>2.6679999999999999E-2</v>
          </cell>
          <cell r="O131">
            <v>3.32</v>
          </cell>
          <cell r="P131">
            <v>2.65</v>
          </cell>
          <cell r="Q131">
            <v>4.25</v>
          </cell>
        </row>
        <row r="132">
          <cell r="E132" t="str">
            <v>20130101KUCIE550</v>
          </cell>
          <cell r="F132">
            <v>750</v>
          </cell>
          <cell r="G132">
            <v>3.4099999999999998E-2</v>
          </cell>
          <cell r="H132">
            <v>0</v>
          </cell>
          <cell r="I132">
            <v>0</v>
          </cell>
          <cell r="K132">
            <v>2.6679999999999999E-2</v>
          </cell>
          <cell r="O132">
            <v>1.1200000000000001</v>
          </cell>
          <cell r="P132">
            <v>2.65</v>
          </cell>
          <cell r="Q132">
            <v>3.75</v>
          </cell>
        </row>
        <row r="133">
          <cell r="E133" t="str">
            <v>20130101KUINE731</v>
          </cell>
          <cell r="F133">
            <v>750</v>
          </cell>
          <cell r="G133">
            <v>3.4189999999999998E-2</v>
          </cell>
          <cell r="H133">
            <v>0</v>
          </cell>
          <cell r="I133">
            <v>0</v>
          </cell>
          <cell r="K133">
            <v>2.6679999999999999E-2</v>
          </cell>
          <cell r="O133">
            <v>1.7</v>
          </cell>
          <cell r="P133">
            <v>1.42</v>
          </cell>
          <cell r="Q133">
            <v>2.31</v>
          </cell>
        </row>
        <row r="134">
          <cell r="E134" t="str">
            <v>20130101KUINE730</v>
          </cell>
          <cell r="F134">
            <v>750</v>
          </cell>
          <cell r="G134">
            <v>3.0370000000000001E-2</v>
          </cell>
          <cell r="H134">
            <v>0</v>
          </cell>
          <cell r="I134">
            <v>0</v>
          </cell>
          <cell r="K134">
            <v>2.6679999999999999E-2</v>
          </cell>
          <cell r="O134">
            <v>0.95</v>
          </cell>
          <cell r="P134">
            <v>1.42</v>
          </cell>
          <cell r="Q134">
            <v>2.31</v>
          </cell>
        </row>
        <row r="135">
          <cell r="E135" t="str">
            <v>20130101KUCME295</v>
          </cell>
          <cell r="F135">
            <v>3.25</v>
          </cell>
          <cell r="G135">
            <v>7.4690000000000006E-2</v>
          </cell>
          <cell r="H135">
            <v>0</v>
          </cell>
          <cell r="I135">
            <v>0</v>
          </cell>
          <cell r="K135">
            <v>2.6679999999999999E-2</v>
          </cell>
        </row>
        <row r="136">
          <cell r="E136" t="str">
            <v>20130101KUCME297</v>
          </cell>
          <cell r="F136">
            <v>3.25</v>
          </cell>
          <cell r="G136">
            <v>7.4690000000000006E-2</v>
          </cell>
          <cell r="H136">
            <v>0</v>
          </cell>
          <cell r="I136">
            <v>0</v>
          </cell>
          <cell r="K136">
            <v>2.6679999999999999E-2</v>
          </cell>
        </row>
        <row r="137">
          <cell r="E137" t="str">
            <v>20130101KUCME290</v>
          </cell>
          <cell r="F137">
            <v>0</v>
          </cell>
          <cell r="G137">
            <v>5.8709999999999998E-2</v>
          </cell>
          <cell r="H137">
            <v>0</v>
          </cell>
          <cell r="I137">
            <v>0</v>
          </cell>
          <cell r="K137">
            <v>2.6679999999999999E-2</v>
          </cell>
        </row>
        <row r="138">
          <cell r="E138" t="str">
            <v>20130101KUCME291</v>
          </cell>
          <cell r="F138">
            <v>0</v>
          </cell>
          <cell r="G138">
            <v>5.8709999999999998E-2</v>
          </cell>
          <cell r="H138">
            <v>0</v>
          </cell>
          <cell r="I138">
            <v>0</v>
          </cell>
          <cell r="K138">
            <v>2.6679999999999999E-2</v>
          </cell>
        </row>
        <row r="139">
          <cell r="E139" t="str">
            <v>20130101KUCME292</v>
          </cell>
          <cell r="F139">
            <v>0</v>
          </cell>
          <cell r="G139">
            <v>5.8709999999999998E-2</v>
          </cell>
          <cell r="H139">
            <v>0</v>
          </cell>
          <cell r="I139">
            <v>0</v>
          </cell>
          <cell r="K139">
            <v>2.6679999999999999E-2</v>
          </cell>
        </row>
        <row r="140">
          <cell r="E140" t="str">
            <v>20130701KURSE010</v>
          </cell>
          <cell r="F140">
            <v>10.75</v>
          </cell>
          <cell r="G140">
            <v>7.4590000000000017E-2</v>
          </cell>
          <cell r="H140">
            <v>0</v>
          </cell>
          <cell r="I140">
            <v>0</v>
          </cell>
          <cell r="K140">
            <v>2.8920000000000001E-2</v>
          </cell>
        </row>
        <row r="141">
          <cell r="E141" t="str">
            <v>20130701KURSE020</v>
          </cell>
          <cell r="F141">
            <v>10.75</v>
          </cell>
          <cell r="G141">
            <v>7.4590000000000017E-2</v>
          </cell>
          <cell r="H141">
            <v>0</v>
          </cell>
          <cell r="I141">
            <v>0</v>
          </cell>
          <cell r="K141">
            <v>2.8920000000000001E-2</v>
          </cell>
        </row>
        <row r="142">
          <cell r="E142" t="str">
            <v>20130701KURSE025</v>
          </cell>
          <cell r="F142">
            <v>10.75</v>
          </cell>
          <cell r="G142">
            <v>7.4590000000000017E-2</v>
          </cell>
          <cell r="H142">
            <v>0</v>
          </cell>
          <cell r="I142">
            <v>0</v>
          </cell>
          <cell r="K142">
            <v>2.8920000000000001E-2</v>
          </cell>
        </row>
        <row r="143">
          <cell r="E143" t="str">
            <v>20130701KURSE080</v>
          </cell>
          <cell r="F143">
            <v>10.75</v>
          </cell>
          <cell r="G143">
            <v>7.4590000000000017E-2</v>
          </cell>
          <cell r="H143">
            <v>0</v>
          </cell>
          <cell r="I143">
            <v>0</v>
          </cell>
          <cell r="K143">
            <v>2.8920000000000001E-2</v>
          </cell>
        </row>
        <row r="144">
          <cell r="E144" t="str">
            <v>20130701KURSE715</v>
          </cell>
          <cell r="F144">
            <v>10.75</v>
          </cell>
          <cell r="G144">
            <v>7.4590000000000017E-2</v>
          </cell>
          <cell r="H144">
            <v>0</v>
          </cell>
          <cell r="I144">
            <v>0</v>
          </cell>
          <cell r="K144">
            <v>2.8920000000000001E-2</v>
          </cell>
        </row>
        <row r="145">
          <cell r="E145" t="str">
            <v>20130701KURSE040</v>
          </cell>
          <cell r="F145">
            <v>10.75</v>
          </cell>
          <cell r="G145">
            <v>5.3019999999999998E-2</v>
          </cell>
          <cell r="H145">
            <v>7.4779999999999999E-2</v>
          </cell>
          <cell r="I145">
            <v>0.14011999999999999</v>
          </cell>
          <cell r="K145">
            <v>2.8920000000000001E-2</v>
          </cell>
        </row>
        <row r="146">
          <cell r="E146" t="str">
            <v>20130701KUCME110</v>
          </cell>
          <cell r="F146">
            <v>20</v>
          </cell>
          <cell r="G146">
            <v>8.7990000000000013E-2</v>
          </cell>
          <cell r="H146">
            <v>0</v>
          </cell>
          <cell r="I146">
            <v>0</v>
          </cell>
          <cell r="K146">
            <v>2.8920000000000001E-2</v>
          </cell>
        </row>
        <row r="147">
          <cell r="E147" t="str">
            <v>20130701KUCME112</v>
          </cell>
          <cell r="F147">
            <v>20</v>
          </cell>
          <cell r="G147">
            <v>8.7990000000000013E-2</v>
          </cell>
          <cell r="H147">
            <v>0</v>
          </cell>
          <cell r="I147">
            <v>0</v>
          </cell>
          <cell r="K147">
            <v>2.8920000000000001E-2</v>
          </cell>
        </row>
        <row r="148">
          <cell r="E148" t="str">
            <v>20130701KUCME710</v>
          </cell>
          <cell r="F148">
            <v>20</v>
          </cell>
          <cell r="G148">
            <v>8.7990000000000013E-2</v>
          </cell>
          <cell r="H148">
            <v>0</v>
          </cell>
          <cell r="I148">
            <v>0</v>
          </cell>
          <cell r="K148">
            <v>2.8920000000000001E-2</v>
          </cell>
        </row>
        <row r="149">
          <cell r="E149" t="str">
            <v>20130701KUCME113</v>
          </cell>
          <cell r="F149">
            <v>35</v>
          </cell>
          <cell r="G149">
            <v>8.7990000000000013E-2</v>
          </cell>
          <cell r="H149">
            <v>0</v>
          </cell>
          <cell r="I149">
            <v>0</v>
          </cell>
          <cell r="K149">
            <v>2.8920000000000001E-2</v>
          </cell>
        </row>
        <row r="150">
          <cell r="E150" t="str">
            <v>20130701KUCME713</v>
          </cell>
          <cell r="F150">
            <v>35</v>
          </cell>
          <cell r="G150">
            <v>8.7990000000000013E-2</v>
          </cell>
          <cell r="H150">
            <v>0</v>
          </cell>
          <cell r="I150">
            <v>0</v>
          </cell>
          <cell r="K150">
            <v>2.8920000000000001E-2</v>
          </cell>
        </row>
        <row r="151">
          <cell r="E151" t="str">
            <v>20130701KUCME220</v>
          </cell>
          <cell r="F151">
            <v>20</v>
          </cell>
          <cell r="G151">
            <v>7.152E-2</v>
          </cell>
          <cell r="H151">
            <v>0</v>
          </cell>
          <cell r="I151">
            <v>0</v>
          </cell>
          <cell r="K151">
            <v>2.8920000000000001E-2</v>
          </cell>
        </row>
        <row r="152">
          <cell r="E152" t="str">
            <v>20130701KUCME221</v>
          </cell>
          <cell r="F152">
            <v>20</v>
          </cell>
          <cell r="G152">
            <v>7.152E-2</v>
          </cell>
          <cell r="H152">
            <v>0</v>
          </cell>
          <cell r="I152">
            <v>0</v>
          </cell>
          <cell r="K152">
            <v>2.8920000000000001E-2</v>
          </cell>
        </row>
        <row r="153">
          <cell r="E153" t="str">
            <v>20130701KUCME223</v>
          </cell>
          <cell r="F153">
            <v>35</v>
          </cell>
          <cell r="G153">
            <v>7.152E-2</v>
          </cell>
          <cell r="H153">
            <v>0</v>
          </cell>
          <cell r="I153">
            <v>0</v>
          </cell>
          <cell r="K153">
            <v>2.8920000000000001E-2</v>
          </cell>
        </row>
        <row r="154">
          <cell r="E154" t="str">
            <v>20130701KUCME224</v>
          </cell>
          <cell r="F154">
            <v>35</v>
          </cell>
          <cell r="G154">
            <v>7.152E-2</v>
          </cell>
          <cell r="H154">
            <v>0</v>
          </cell>
          <cell r="I154">
            <v>0</v>
          </cell>
          <cell r="K154">
            <v>2.8920000000000001E-2</v>
          </cell>
        </row>
        <row r="155">
          <cell r="E155" t="str">
            <v>20130701KUCME225</v>
          </cell>
          <cell r="F155">
            <v>35</v>
          </cell>
          <cell r="G155">
            <v>7.152E-2</v>
          </cell>
          <cell r="H155">
            <v>0</v>
          </cell>
          <cell r="I155">
            <v>0</v>
          </cell>
          <cell r="K155">
            <v>2.8920000000000001E-2</v>
          </cell>
        </row>
        <row r="156">
          <cell r="E156" t="str">
            <v>20130701KUCME226</v>
          </cell>
          <cell r="F156">
            <v>20</v>
          </cell>
          <cell r="G156">
            <v>7.152E-2</v>
          </cell>
          <cell r="H156">
            <v>0</v>
          </cell>
          <cell r="I156">
            <v>0</v>
          </cell>
          <cell r="K156">
            <v>2.8920000000000001E-2</v>
          </cell>
        </row>
        <row r="157">
          <cell r="E157" t="str">
            <v>20130701KUCME227</v>
          </cell>
          <cell r="F157">
            <v>35</v>
          </cell>
          <cell r="G157">
            <v>7.152E-2</v>
          </cell>
          <cell r="H157">
            <v>0</v>
          </cell>
          <cell r="I157">
            <v>0</v>
          </cell>
          <cell r="K157">
            <v>2.8920000000000001E-2</v>
          </cell>
        </row>
        <row r="158">
          <cell r="E158" t="str">
            <v>20130701KUCIE561</v>
          </cell>
          <cell r="F158">
            <v>170</v>
          </cell>
          <cell r="G158">
            <v>3.5619999999999999E-2</v>
          </cell>
          <cell r="H158">
            <v>0</v>
          </cell>
          <cell r="I158">
            <v>0</v>
          </cell>
          <cell r="K158">
            <v>2.8920000000000001E-2</v>
          </cell>
          <cell r="P158">
            <v>12.21</v>
          </cell>
          <cell r="Q158">
            <v>14.31</v>
          </cell>
        </row>
        <row r="159">
          <cell r="E159" t="str">
            <v>20130701KUCIE566</v>
          </cell>
          <cell r="F159">
            <v>170</v>
          </cell>
          <cell r="G159">
            <v>3.5619999999999999E-2</v>
          </cell>
          <cell r="H159">
            <v>0</v>
          </cell>
          <cell r="I159">
            <v>0</v>
          </cell>
          <cell r="K159">
            <v>2.8920000000000001E-2</v>
          </cell>
          <cell r="P159">
            <v>12.21</v>
          </cell>
          <cell r="Q159">
            <v>14.31</v>
          </cell>
        </row>
        <row r="160">
          <cell r="E160" t="str">
            <v>20130701KUCIE562</v>
          </cell>
          <cell r="F160">
            <v>90</v>
          </cell>
          <cell r="G160">
            <v>3.5640000000000005E-2</v>
          </cell>
          <cell r="H160">
            <v>0</v>
          </cell>
          <cell r="I160">
            <v>0</v>
          </cell>
          <cell r="K160">
            <v>2.8920000000000001E-2</v>
          </cell>
          <cell r="P160">
            <v>12.23</v>
          </cell>
          <cell r="Q160">
            <v>14.33</v>
          </cell>
        </row>
        <row r="161">
          <cell r="E161" t="str">
            <v>20130701KUCIE568</v>
          </cell>
          <cell r="F161">
            <v>90</v>
          </cell>
          <cell r="G161">
            <v>3.5640000000000005E-2</v>
          </cell>
          <cell r="H161">
            <v>0</v>
          </cell>
          <cell r="I161">
            <v>0</v>
          </cell>
          <cell r="K161">
            <v>2.8920000000000001E-2</v>
          </cell>
          <cell r="P161">
            <v>12.23</v>
          </cell>
          <cell r="Q161">
            <v>14.33</v>
          </cell>
        </row>
        <row r="162">
          <cell r="E162" t="str">
            <v>20130701KUCIE717</v>
          </cell>
          <cell r="F162">
            <v>90</v>
          </cell>
          <cell r="G162">
            <v>3.5640000000000005E-2</v>
          </cell>
          <cell r="H162">
            <v>0</v>
          </cell>
          <cell r="I162">
            <v>0</v>
          </cell>
          <cell r="K162">
            <v>2.8920000000000001E-2</v>
          </cell>
          <cell r="P162">
            <v>12.23</v>
          </cell>
          <cell r="Q162">
            <v>14.33</v>
          </cell>
        </row>
        <row r="163">
          <cell r="E163" t="str">
            <v>20130701KUCIE563</v>
          </cell>
          <cell r="F163">
            <v>300</v>
          </cell>
          <cell r="G163">
            <v>3.7650000000000003E-2</v>
          </cell>
          <cell r="H163">
            <v>0</v>
          </cell>
          <cell r="I163">
            <v>0</v>
          </cell>
          <cell r="K163">
            <v>2.8920000000000001E-2</v>
          </cell>
          <cell r="O163">
            <v>1.48</v>
          </cell>
          <cell r="P163">
            <v>2.5299999999999998</v>
          </cell>
          <cell r="Q163">
            <v>4.03</v>
          </cell>
        </row>
        <row r="164">
          <cell r="E164" t="str">
            <v>20130701KUCIE571</v>
          </cell>
          <cell r="F164">
            <v>300</v>
          </cell>
          <cell r="G164">
            <v>3.7650000000000003E-2</v>
          </cell>
          <cell r="H164">
            <v>0</v>
          </cell>
          <cell r="I164">
            <v>0</v>
          </cell>
          <cell r="K164">
            <v>2.8920000000000001E-2</v>
          </cell>
          <cell r="O164">
            <v>1.48</v>
          </cell>
          <cell r="P164">
            <v>2.5299999999999998</v>
          </cell>
          <cell r="Q164">
            <v>4.03</v>
          </cell>
        </row>
        <row r="165">
          <cell r="E165" t="str">
            <v>20130701KUCIE572</v>
          </cell>
          <cell r="F165">
            <v>200</v>
          </cell>
          <cell r="G165">
            <v>3.773E-2</v>
          </cell>
          <cell r="H165">
            <v>0</v>
          </cell>
          <cell r="I165">
            <v>0</v>
          </cell>
          <cell r="K165">
            <v>2.8920000000000001E-2</v>
          </cell>
          <cell r="O165">
            <v>3.32</v>
          </cell>
          <cell r="P165">
            <v>2.65</v>
          </cell>
          <cell r="Q165">
            <v>4.25</v>
          </cell>
        </row>
        <row r="166">
          <cell r="E166" t="str">
            <v>20130701KUCIE550</v>
          </cell>
          <cell r="F166">
            <v>750</v>
          </cell>
          <cell r="G166">
            <v>3.6339999999999997E-2</v>
          </cell>
          <cell r="H166">
            <v>0</v>
          </cell>
          <cell r="I166">
            <v>0</v>
          </cell>
          <cell r="K166">
            <v>2.8920000000000001E-2</v>
          </cell>
          <cell r="O166">
            <v>1.1200000000000001</v>
          </cell>
          <cell r="P166">
            <v>2.65</v>
          </cell>
          <cell r="Q166">
            <v>3.75</v>
          </cell>
        </row>
        <row r="167">
          <cell r="E167" t="str">
            <v>20130701KUINE731</v>
          </cell>
          <cell r="F167">
            <v>750</v>
          </cell>
          <cell r="G167">
            <v>3.6430000000000004E-2</v>
          </cell>
          <cell r="H167">
            <v>0</v>
          </cell>
          <cell r="I167">
            <v>0</v>
          </cell>
          <cell r="K167">
            <v>2.8920000000000001E-2</v>
          </cell>
          <cell r="O167">
            <v>1.7</v>
          </cell>
          <cell r="P167">
            <v>1.42</v>
          </cell>
          <cell r="Q167">
            <v>2.31</v>
          </cell>
        </row>
        <row r="168">
          <cell r="E168" t="str">
            <v>20130701KUINE730</v>
          </cell>
          <cell r="F168">
            <v>750</v>
          </cell>
          <cell r="G168">
            <v>3.261E-2</v>
          </cell>
          <cell r="H168">
            <v>0</v>
          </cell>
          <cell r="I168">
            <v>0</v>
          </cell>
          <cell r="K168">
            <v>2.8920000000000001E-2</v>
          </cell>
          <cell r="O168">
            <v>0.95</v>
          </cell>
          <cell r="P168">
            <v>1.42</v>
          </cell>
          <cell r="Q168">
            <v>2.31</v>
          </cell>
        </row>
        <row r="169">
          <cell r="E169" t="str">
            <v>20130701KUCME295</v>
          </cell>
          <cell r="F169">
            <v>3.25</v>
          </cell>
          <cell r="G169">
            <v>7.6930000000000026E-2</v>
          </cell>
          <cell r="H169">
            <v>0</v>
          </cell>
          <cell r="I169">
            <v>0</v>
          </cell>
          <cell r="K169">
            <v>2.8920000000000001E-2</v>
          </cell>
        </row>
        <row r="170">
          <cell r="E170" t="str">
            <v>20130701KUCME297</v>
          </cell>
          <cell r="F170">
            <v>3.25</v>
          </cell>
          <cell r="G170">
            <v>7.6930000000000026E-2</v>
          </cell>
          <cell r="H170">
            <v>0</v>
          </cell>
          <cell r="I170">
            <v>0</v>
          </cell>
          <cell r="K170">
            <v>2.8920000000000001E-2</v>
          </cell>
        </row>
        <row r="171">
          <cell r="E171" t="str">
            <v>20130701KUCME290</v>
          </cell>
          <cell r="F171">
            <v>0</v>
          </cell>
          <cell r="G171">
            <v>6.0949999999999997E-2</v>
          </cell>
          <cell r="H171">
            <v>0</v>
          </cell>
          <cell r="I171">
            <v>0</v>
          </cell>
          <cell r="K171">
            <v>2.8920000000000001E-2</v>
          </cell>
        </row>
        <row r="172">
          <cell r="E172" t="str">
            <v>20130701KUCME291</v>
          </cell>
          <cell r="F172">
            <v>0</v>
          </cell>
          <cell r="G172">
            <v>6.0949999999999997E-2</v>
          </cell>
          <cell r="H172">
            <v>0</v>
          </cell>
          <cell r="I172">
            <v>0</v>
          </cell>
          <cell r="K172">
            <v>2.8920000000000001E-2</v>
          </cell>
        </row>
        <row r="173">
          <cell r="E173" t="str">
            <v>20130701KUCME292</v>
          </cell>
          <cell r="F173">
            <v>0</v>
          </cell>
          <cell r="G173">
            <v>6.0949999999999997E-2</v>
          </cell>
          <cell r="H173">
            <v>0</v>
          </cell>
          <cell r="I173">
            <v>0</v>
          </cell>
          <cell r="K173">
            <v>2.8920000000000001E-2</v>
          </cell>
        </row>
        <row r="174">
          <cell r="E174" t="str">
            <v>20140101KURSE010</v>
          </cell>
          <cell r="F174">
            <v>10.75</v>
          </cell>
          <cell r="G174">
            <v>7.7439999999999995E-2</v>
          </cell>
          <cell r="H174">
            <v>0</v>
          </cell>
          <cell r="I174">
            <v>0</v>
          </cell>
          <cell r="K174">
            <v>2.8920000000000001E-2</v>
          </cell>
        </row>
        <row r="175">
          <cell r="E175" t="str">
            <v>20140101KURSE020</v>
          </cell>
          <cell r="F175">
            <v>10.75</v>
          </cell>
          <cell r="G175">
            <v>7.7439999999999995E-2</v>
          </cell>
          <cell r="H175">
            <v>0</v>
          </cell>
          <cell r="I175">
            <v>0</v>
          </cell>
          <cell r="K175">
            <v>2.8920000000000001E-2</v>
          </cell>
        </row>
        <row r="176">
          <cell r="E176" t="str">
            <v>20140101KURSE025</v>
          </cell>
          <cell r="F176">
            <v>10.75</v>
          </cell>
          <cell r="G176">
            <v>7.7439999999999995E-2</v>
          </cell>
          <cell r="H176">
            <v>0</v>
          </cell>
          <cell r="I176">
            <v>0</v>
          </cell>
          <cell r="K176">
            <v>2.8920000000000001E-2</v>
          </cell>
        </row>
        <row r="177">
          <cell r="E177" t="str">
            <v>20140101KURSE080</v>
          </cell>
          <cell r="F177">
            <v>10.75</v>
          </cell>
          <cell r="G177">
            <v>7.7439999999999995E-2</v>
          </cell>
          <cell r="H177">
            <v>0</v>
          </cell>
          <cell r="I177">
            <v>0</v>
          </cell>
          <cell r="K177">
            <v>2.8920000000000001E-2</v>
          </cell>
        </row>
        <row r="178">
          <cell r="E178" t="str">
            <v>20140101KURSE715</v>
          </cell>
          <cell r="F178">
            <v>10.75</v>
          </cell>
          <cell r="G178">
            <v>7.7439999999999995E-2</v>
          </cell>
          <cell r="H178">
            <v>0</v>
          </cell>
          <cell r="I178">
            <v>0</v>
          </cell>
          <cell r="K178">
            <v>2.8920000000000001E-2</v>
          </cell>
        </row>
        <row r="179">
          <cell r="E179" t="str">
            <v>20140101KURSE040</v>
          </cell>
          <cell r="F179">
            <v>10.75</v>
          </cell>
          <cell r="G179">
            <v>5.5870000000000003E-2</v>
          </cell>
          <cell r="H179">
            <v>7.7630000000000005E-2</v>
          </cell>
          <cell r="I179">
            <v>0.14297000000000001</v>
          </cell>
          <cell r="K179">
            <v>2.8920000000000001E-2</v>
          </cell>
        </row>
        <row r="180">
          <cell r="E180" t="str">
            <v>20140101KUCME110</v>
          </cell>
          <cell r="F180">
            <v>20</v>
          </cell>
          <cell r="G180">
            <v>9.2249999999999999E-2</v>
          </cell>
          <cell r="H180">
            <v>0</v>
          </cell>
          <cell r="I180">
            <v>0</v>
          </cell>
          <cell r="K180">
            <v>2.8920000000000001E-2</v>
          </cell>
        </row>
        <row r="181">
          <cell r="E181" t="str">
            <v>20140101KUCME112</v>
          </cell>
          <cell r="F181">
            <v>20</v>
          </cell>
          <cell r="G181">
            <v>9.2249999999999999E-2</v>
          </cell>
          <cell r="H181">
            <v>0</v>
          </cell>
          <cell r="I181">
            <v>0</v>
          </cell>
          <cell r="K181">
            <v>2.8920000000000001E-2</v>
          </cell>
        </row>
        <row r="182">
          <cell r="E182" t="str">
            <v>20140101KUCME710</v>
          </cell>
          <cell r="F182">
            <v>20</v>
          </cell>
          <cell r="G182">
            <v>9.2249999999999999E-2</v>
          </cell>
          <cell r="H182">
            <v>0</v>
          </cell>
          <cell r="I182">
            <v>0</v>
          </cell>
          <cell r="K182">
            <v>2.8920000000000001E-2</v>
          </cell>
        </row>
        <row r="183">
          <cell r="E183" t="str">
            <v>20140101KUCME113</v>
          </cell>
          <cell r="F183">
            <v>35</v>
          </cell>
          <cell r="G183">
            <v>9.2249999999999999E-2</v>
          </cell>
          <cell r="H183">
            <v>0</v>
          </cell>
          <cell r="I183">
            <v>0</v>
          </cell>
          <cell r="K183">
            <v>2.8920000000000001E-2</v>
          </cell>
        </row>
        <row r="184">
          <cell r="E184" t="str">
            <v>20140101KUCME713</v>
          </cell>
          <cell r="F184">
            <v>35</v>
          </cell>
          <cell r="G184">
            <v>9.2249999999999999E-2</v>
          </cell>
          <cell r="H184">
            <v>0</v>
          </cell>
          <cell r="I184">
            <v>0</v>
          </cell>
          <cell r="K184">
            <v>2.8920000000000001E-2</v>
          </cell>
        </row>
        <row r="185">
          <cell r="E185" t="str">
            <v>20140101KUCME220</v>
          </cell>
          <cell r="F185">
            <v>20</v>
          </cell>
          <cell r="G185">
            <v>7.4399999999999994E-2</v>
          </cell>
          <cell r="H185">
            <v>0</v>
          </cell>
          <cell r="I185">
            <v>0</v>
          </cell>
          <cell r="K185">
            <v>2.8920000000000001E-2</v>
          </cell>
        </row>
        <row r="186">
          <cell r="E186" t="str">
            <v>20140101KUCME221</v>
          </cell>
          <cell r="F186">
            <v>20</v>
          </cell>
          <cell r="G186">
            <v>7.4399999999999994E-2</v>
          </cell>
          <cell r="H186">
            <v>0</v>
          </cell>
          <cell r="I186">
            <v>0</v>
          </cell>
          <cell r="K186">
            <v>2.8920000000000001E-2</v>
          </cell>
        </row>
        <row r="187">
          <cell r="E187" t="str">
            <v>20140101KUCME223</v>
          </cell>
          <cell r="F187">
            <v>35</v>
          </cell>
          <cell r="G187">
            <v>7.4399999999999994E-2</v>
          </cell>
          <cell r="H187">
            <v>0</v>
          </cell>
          <cell r="I187">
            <v>0</v>
          </cell>
          <cell r="K187">
            <v>2.8920000000000001E-2</v>
          </cell>
        </row>
        <row r="188">
          <cell r="E188" t="str">
            <v>20140101KUCME224</v>
          </cell>
          <cell r="F188">
            <v>35</v>
          </cell>
          <cell r="G188">
            <v>7.4399999999999994E-2</v>
          </cell>
          <cell r="H188">
            <v>0</v>
          </cell>
          <cell r="I188">
            <v>0</v>
          </cell>
          <cell r="K188">
            <v>2.8920000000000001E-2</v>
          </cell>
        </row>
        <row r="189">
          <cell r="E189" t="str">
            <v>20140101KUCME225</v>
          </cell>
          <cell r="F189">
            <v>35</v>
          </cell>
          <cell r="G189">
            <v>7.4399999999999994E-2</v>
          </cell>
          <cell r="H189">
            <v>0</v>
          </cell>
          <cell r="I189">
            <v>0</v>
          </cell>
          <cell r="K189">
            <v>2.8920000000000001E-2</v>
          </cell>
        </row>
        <row r="190">
          <cell r="E190" t="str">
            <v>20140101KUCME226</v>
          </cell>
          <cell r="F190">
            <v>20</v>
          </cell>
          <cell r="G190">
            <v>7.4399999999999994E-2</v>
          </cell>
          <cell r="H190">
            <v>0</v>
          </cell>
          <cell r="I190">
            <v>0</v>
          </cell>
          <cell r="K190">
            <v>2.8920000000000001E-2</v>
          </cell>
        </row>
        <row r="191">
          <cell r="E191" t="str">
            <v>20140101KUCME227</v>
          </cell>
          <cell r="F191">
            <v>35</v>
          </cell>
          <cell r="G191">
            <v>7.4399999999999994E-2</v>
          </cell>
          <cell r="H191">
            <v>0</v>
          </cell>
          <cell r="I191">
            <v>0</v>
          </cell>
          <cell r="K191">
            <v>2.8920000000000001E-2</v>
          </cell>
        </row>
        <row r="192">
          <cell r="E192" t="str">
            <v>20140101KUCIE561</v>
          </cell>
          <cell r="F192">
            <v>170</v>
          </cell>
          <cell r="G192">
            <v>3.5619999999999999E-2</v>
          </cell>
          <cell r="H192">
            <v>0</v>
          </cell>
          <cell r="I192">
            <v>0</v>
          </cell>
          <cell r="K192">
            <v>2.8920000000000001E-2</v>
          </cell>
          <cell r="P192">
            <v>13.18</v>
          </cell>
          <cell r="Q192">
            <v>15.28</v>
          </cell>
        </row>
        <row r="193">
          <cell r="E193" t="str">
            <v>20140101KUCIE566</v>
          </cell>
          <cell r="F193">
            <v>170</v>
          </cell>
          <cell r="G193">
            <v>3.5619999999999999E-2</v>
          </cell>
          <cell r="H193">
            <v>0</v>
          </cell>
          <cell r="I193">
            <v>0</v>
          </cell>
          <cell r="K193">
            <v>2.8920000000000001E-2</v>
          </cell>
          <cell r="P193">
            <v>13.18</v>
          </cell>
          <cell r="Q193">
            <v>15.28</v>
          </cell>
        </row>
        <row r="194">
          <cell r="E194" t="str">
            <v>20140101KUCIE562</v>
          </cell>
          <cell r="F194">
            <v>90</v>
          </cell>
          <cell r="G194">
            <v>3.5640000000000005E-2</v>
          </cell>
          <cell r="H194">
            <v>0</v>
          </cell>
          <cell r="I194">
            <v>0</v>
          </cell>
          <cell r="K194">
            <v>2.8920000000000001E-2</v>
          </cell>
          <cell r="P194">
            <v>13.2</v>
          </cell>
          <cell r="Q194">
            <v>15.3</v>
          </cell>
        </row>
        <row r="195">
          <cell r="E195" t="str">
            <v>20140101KUCIE568</v>
          </cell>
          <cell r="F195">
            <v>90</v>
          </cell>
          <cell r="G195">
            <v>3.5640000000000005E-2</v>
          </cell>
          <cell r="H195">
            <v>0</v>
          </cell>
          <cell r="I195">
            <v>0</v>
          </cell>
          <cell r="K195">
            <v>2.8920000000000001E-2</v>
          </cell>
          <cell r="P195">
            <v>13.2</v>
          </cell>
          <cell r="Q195">
            <v>15.3</v>
          </cell>
        </row>
        <row r="196">
          <cell r="E196" t="str">
            <v>20140101KUCIE717</v>
          </cell>
          <cell r="F196">
            <v>90</v>
          </cell>
          <cell r="G196">
            <v>3.5640000000000005E-2</v>
          </cell>
          <cell r="H196">
            <v>0</v>
          </cell>
          <cell r="I196">
            <v>0</v>
          </cell>
          <cell r="K196">
            <v>2.8920000000000001E-2</v>
          </cell>
          <cell r="P196">
            <v>13.2</v>
          </cell>
          <cell r="Q196">
            <v>15.3</v>
          </cell>
        </row>
        <row r="197">
          <cell r="E197" t="str">
            <v>20140101KUCIE563</v>
          </cell>
          <cell r="F197">
            <v>300</v>
          </cell>
          <cell r="G197">
            <v>3.7650000000000003E-2</v>
          </cell>
          <cell r="H197">
            <v>0</v>
          </cell>
          <cell r="I197">
            <v>0</v>
          </cell>
          <cell r="K197">
            <v>2.8920000000000001E-2</v>
          </cell>
          <cell r="O197">
            <v>1.71</v>
          </cell>
          <cell r="P197">
            <v>2.76</v>
          </cell>
          <cell r="Q197">
            <v>4.26</v>
          </cell>
        </row>
        <row r="198">
          <cell r="E198" t="str">
            <v>20140101KUCIE571</v>
          </cell>
          <cell r="F198">
            <v>300</v>
          </cell>
          <cell r="G198">
            <v>3.7650000000000003E-2</v>
          </cell>
          <cell r="H198">
            <v>0</v>
          </cell>
          <cell r="I198">
            <v>0</v>
          </cell>
          <cell r="K198">
            <v>2.8920000000000001E-2</v>
          </cell>
          <cell r="O198">
            <v>1.71</v>
          </cell>
          <cell r="P198">
            <v>2.76</v>
          </cell>
          <cell r="Q198">
            <v>4.26</v>
          </cell>
        </row>
        <row r="199">
          <cell r="E199" t="str">
            <v>20140101KUCIE572</v>
          </cell>
          <cell r="F199">
            <v>200</v>
          </cell>
          <cell r="G199">
            <v>3.773E-2</v>
          </cell>
          <cell r="H199">
            <v>0</v>
          </cell>
          <cell r="I199">
            <v>0</v>
          </cell>
          <cell r="K199">
            <v>2.8920000000000001E-2</v>
          </cell>
          <cell r="O199">
            <v>3.62</v>
          </cell>
          <cell r="P199">
            <v>2.95</v>
          </cell>
          <cell r="Q199">
            <v>4.55</v>
          </cell>
        </row>
        <row r="200">
          <cell r="E200" t="str">
            <v>20140101KUCIE550</v>
          </cell>
          <cell r="F200">
            <v>750</v>
          </cell>
          <cell r="G200">
            <v>3.6339999999999997E-2</v>
          </cell>
          <cell r="H200">
            <v>0</v>
          </cell>
          <cell r="I200">
            <v>0</v>
          </cell>
          <cell r="K200">
            <v>2.8920000000000001E-2</v>
          </cell>
          <cell r="O200">
            <v>1.34</v>
          </cell>
          <cell r="P200">
            <v>2.87</v>
          </cell>
          <cell r="Q200">
            <v>3.97</v>
          </cell>
        </row>
        <row r="201">
          <cell r="E201" t="str">
            <v>20140101KUINE731</v>
          </cell>
          <cell r="F201">
            <v>750</v>
          </cell>
          <cell r="G201">
            <v>3.6430000000000004E-2</v>
          </cell>
          <cell r="H201">
            <v>0</v>
          </cell>
          <cell r="I201">
            <v>0</v>
          </cell>
          <cell r="K201">
            <v>2.8920000000000001E-2</v>
          </cell>
          <cell r="O201">
            <v>1.8</v>
          </cell>
          <cell r="P201">
            <v>1.52</v>
          </cell>
          <cell r="Q201">
            <v>2.41</v>
          </cell>
        </row>
        <row r="202">
          <cell r="E202" t="str">
            <v>20140101KUINE730</v>
          </cell>
          <cell r="F202">
            <v>750</v>
          </cell>
          <cell r="G202">
            <v>3.261E-2</v>
          </cell>
          <cell r="H202">
            <v>0</v>
          </cell>
          <cell r="I202">
            <v>0</v>
          </cell>
          <cell r="K202">
            <v>2.8920000000000001E-2</v>
          </cell>
          <cell r="O202">
            <v>1.05</v>
          </cell>
          <cell r="P202">
            <v>1.52</v>
          </cell>
          <cell r="Q202">
            <v>2.41</v>
          </cell>
        </row>
        <row r="203">
          <cell r="E203" t="str">
            <v>20140101KUCSR760</v>
          </cell>
          <cell r="F203">
            <v>0</v>
          </cell>
          <cell r="G203">
            <v>0</v>
          </cell>
          <cell r="H203">
            <v>0</v>
          </cell>
          <cell r="I203">
            <v>0</v>
          </cell>
          <cell r="K203">
            <v>0</v>
          </cell>
          <cell r="O203">
            <v>-5.4</v>
          </cell>
          <cell r="P203">
            <v>0</v>
          </cell>
          <cell r="Q203">
            <v>0</v>
          </cell>
        </row>
        <row r="204">
          <cell r="E204" t="str">
            <v>20140101KUCSR761</v>
          </cell>
          <cell r="F204">
            <v>0</v>
          </cell>
          <cell r="G204">
            <v>0</v>
          </cell>
          <cell r="H204">
            <v>0</v>
          </cell>
          <cell r="I204">
            <v>0</v>
          </cell>
          <cell r="K204">
            <v>0</v>
          </cell>
          <cell r="O204">
            <v>-5.5</v>
          </cell>
          <cell r="P204">
            <v>0</v>
          </cell>
          <cell r="Q204">
            <v>0</v>
          </cell>
        </row>
        <row r="205">
          <cell r="E205" t="str">
            <v>20140101KUCSR780</v>
          </cell>
          <cell r="F205">
            <v>0</v>
          </cell>
          <cell r="G205">
            <v>0</v>
          </cell>
          <cell r="H205">
            <v>0</v>
          </cell>
          <cell r="I205">
            <v>0</v>
          </cell>
          <cell r="K205">
            <v>0</v>
          </cell>
          <cell r="O205">
            <v>-4.3</v>
          </cell>
          <cell r="P205">
            <v>0</v>
          </cell>
          <cell r="Q205">
            <v>0</v>
          </cell>
        </row>
        <row r="206">
          <cell r="E206" t="str">
            <v>20140101KUCSR781</v>
          </cell>
          <cell r="F206">
            <v>0</v>
          </cell>
          <cell r="G206">
            <v>0</v>
          </cell>
          <cell r="H206">
            <v>0</v>
          </cell>
          <cell r="I206">
            <v>0</v>
          </cell>
          <cell r="K206">
            <v>0</v>
          </cell>
          <cell r="O206">
            <v>-4.4000000000000004</v>
          </cell>
          <cell r="P206">
            <v>0</v>
          </cell>
          <cell r="Q206">
            <v>0</v>
          </cell>
        </row>
        <row r="207">
          <cell r="E207" t="str">
            <v>20140101KUCSR783</v>
          </cell>
          <cell r="F207">
            <v>0</v>
          </cell>
          <cell r="G207">
            <v>0</v>
          </cell>
          <cell r="H207">
            <v>0</v>
          </cell>
          <cell r="I207">
            <v>0</v>
          </cell>
          <cell r="K207">
            <v>0</v>
          </cell>
          <cell r="O207">
            <v>-4.4000000000000004</v>
          </cell>
          <cell r="P207">
            <v>0</v>
          </cell>
          <cell r="Q207">
            <v>0</v>
          </cell>
        </row>
        <row r="208">
          <cell r="E208" t="str">
            <v>20140101KUCME295</v>
          </cell>
          <cell r="F208">
            <v>3.25</v>
          </cell>
          <cell r="G208">
            <v>7.9780000000000004E-2</v>
          </cell>
          <cell r="H208">
            <v>0</v>
          </cell>
          <cell r="I208">
            <v>0</v>
          </cell>
          <cell r="K208">
            <v>2.8920000000000001E-2</v>
          </cell>
        </row>
        <row r="209">
          <cell r="E209" t="str">
            <v>20140101KUCME297</v>
          </cell>
          <cell r="F209">
            <v>3.25</v>
          </cell>
          <cell r="G209">
            <v>7.9780000000000004E-2</v>
          </cell>
          <cell r="H209">
            <v>0</v>
          </cell>
          <cell r="I209">
            <v>0</v>
          </cell>
          <cell r="K209">
            <v>2.8920000000000001E-2</v>
          </cell>
        </row>
        <row r="210">
          <cell r="E210" t="str">
            <v>20140101KUCME290</v>
          </cell>
          <cell r="F210">
            <v>0</v>
          </cell>
          <cell r="G210">
            <v>6.3799999999999996E-2</v>
          </cell>
          <cell r="H210">
            <v>0</v>
          </cell>
          <cell r="I210">
            <v>0</v>
          </cell>
          <cell r="K210">
            <v>2.8920000000000001E-2</v>
          </cell>
        </row>
        <row r="211">
          <cell r="E211" t="str">
            <v>20140101KUCME291</v>
          </cell>
          <cell r="F211">
            <v>0</v>
          </cell>
          <cell r="G211">
            <v>6.3799999999999996E-2</v>
          </cell>
          <cell r="H211">
            <v>0</v>
          </cell>
          <cell r="I211">
            <v>0</v>
          </cell>
          <cell r="K211">
            <v>2.8920000000000001E-2</v>
          </cell>
        </row>
        <row r="212">
          <cell r="E212" t="str">
            <v>20140101KUCME292</v>
          </cell>
          <cell r="F212">
            <v>0</v>
          </cell>
          <cell r="G212">
            <v>6.3799999999999996E-2</v>
          </cell>
          <cell r="H212">
            <v>0</v>
          </cell>
          <cell r="I212">
            <v>0</v>
          </cell>
          <cell r="K212">
            <v>2.8920000000000001E-2</v>
          </cell>
        </row>
      </sheetData>
      <sheetData sheetId="19">
        <row r="4">
          <cell r="D4" t="str">
            <v>20100801KUUM_300</v>
          </cell>
          <cell r="E4">
            <v>21.040000000000003</v>
          </cell>
          <cell r="G4">
            <v>0.73</v>
          </cell>
          <cell r="H4">
            <v>0.55000000000000004</v>
          </cell>
        </row>
        <row r="5">
          <cell r="D5" t="str">
            <v>20100801KUUM_301</v>
          </cell>
          <cell r="E5">
            <v>21.96</v>
          </cell>
          <cell r="G5">
            <v>0.75</v>
          </cell>
          <cell r="H5">
            <v>1.07</v>
          </cell>
        </row>
        <row r="6">
          <cell r="D6" t="str">
            <v>20100801KUUM_360</v>
          </cell>
          <cell r="E6">
            <v>49.340000000000011</v>
          </cell>
          <cell r="G6">
            <v>5.44</v>
          </cell>
          <cell r="H6">
            <v>1.66</v>
          </cell>
        </row>
        <row r="7">
          <cell r="D7" t="str">
            <v>20100801KUUM_361</v>
          </cell>
          <cell r="E7">
            <v>76.12</v>
          </cell>
          <cell r="G7">
            <v>5.44</v>
          </cell>
          <cell r="H7">
            <v>1.66</v>
          </cell>
        </row>
        <row r="8">
          <cell r="D8" t="str">
            <v>20100801KUUM_362</v>
          </cell>
          <cell r="E8">
            <v>53.620000000000005</v>
          </cell>
          <cell r="G8">
            <v>5.44</v>
          </cell>
          <cell r="H8">
            <v>1.66</v>
          </cell>
        </row>
        <row r="9">
          <cell r="D9" t="str">
            <v>20100801KUUM_363</v>
          </cell>
          <cell r="E9">
            <v>55.52000000000001</v>
          </cell>
          <cell r="G9">
            <v>5.44</v>
          </cell>
          <cell r="H9">
            <v>1.66</v>
          </cell>
        </row>
        <row r="10">
          <cell r="D10" t="str">
            <v>20100801KUUM_364</v>
          </cell>
          <cell r="E10">
            <v>56.830000000000005</v>
          </cell>
          <cell r="G10">
            <v>5.44</v>
          </cell>
          <cell r="H10">
            <v>1.66</v>
          </cell>
        </row>
        <row r="11">
          <cell r="D11" t="str">
            <v>20100801KUUM_365</v>
          </cell>
          <cell r="E11">
            <v>73.98</v>
          </cell>
          <cell r="G11">
            <v>5.44</v>
          </cell>
          <cell r="H11">
            <v>1.66</v>
          </cell>
        </row>
        <row r="12">
          <cell r="D12" t="str">
            <v>20100801KUUM_366</v>
          </cell>
          <cell r="E12">
            <v>72.08</v>
          </cell>
          <cell r="G12">
            <v>5.44</v>
          </cell>
          <cell r="H12">
            <v>1.66</v>
          </cell>
        </row>
        <row r="13">
          <cell r="D13" t="str">
            <v>20100801KUUM_367</v>
          </cell>
          <cell r="E13">
            <v>55.02000000000001</v>
          </cell>
          <cell r="G13">
            <v>5.44</v>
          </cell>
          <cell r="H13">
            <v>1.66</v>
          </cell>
        </row>
        <row r="14">
          <cell r="D14" t="str">
            <v>20100801KUUM_368</v>
          </cell>
          <cell r="E14">
            <v>50.650000000000006</v>
          </cell>
          <cell r="G14">
            <v>5.44</v>
          </cell>
          <cell r="H14">
            <v>1.66</v>
          </cell>
        </row>
        <row r="15">
          <cell r="D15" t="str">
            <v>20100801KUUM_370</v>
          </cell>
          <cell r="E15">
            <v>67.8</v>
          </cell>
          <cell r="G15">
            <v>5.44</v>
          </cell>
          <cell r="H15">
            <v>1.66</v>
          </cell>
        </row>
        <row r="16">
          <cell r="D16" t="str">
            <v>20100801KUUM_372</v>
          </cell>
          <cell r="E16">
            <v>75.290000000000006</v>
          </cell>
          <cell r="G16">
            <v>5.44</v>
          </cell>
          <cell r="H16">
            <v>1.66</v>
          </cell>
        </row>
        <row r="17">
          <cell r="D17" t="str">
            <v>20100801KUUM_373</v>
          </cell>
          <cell r="E17">
            <v>67.8</v>
          </cell>
          <cell r="G17">
            <v>5.44</v>
          </cell>
          <cell r="H17">
            <v>1.66</v>
          </cell>
        </row>
        <row r="18">
          <cell r="D18" t="str">
            <v>20100801KUUM_374</v>
          </cell>
          <cell r="E18">
            <v>69.11</v>
          </cell>
          <cell r="G18">
            <v>5.44</v>
          </cell>
          <cell r="H18">
            <v>1.66</v>
          </cell>
        </row>
        <row r="19">
          <cell r="D19" t="str">
            <v>20100801KUUM_375</v>
          </cell>
          <cell r="E19">
            <v>72.08</v>
          </cell>
          <cell r="G19">
            <v>5.44</v>
          </cell>
          <cell r="H19">
            <v>1.66</v>
          </cell>
        </row>
        <row r="20">
          <cell r="D20" t="str">
            <v>20100801KUUM_376</v>
          </cell>
          <cell r="E20">
            <v>70.44</v>
          </cell>
          <cell r="G20">
            <v>5.44</v>
          </cell>
          <cell r="H20">
            <v>1.66</v>
          </cell>
        </row>
        <row r="21">
          <cell r="D21" t="str">
            <v>20100801KUUM_377</v>
          </cell>
          <cell r="E21">
            <v>57.860000000000007</v>
          </cell>
          <cell r="G21">
            <v>5.44</v>
          </cell>
          <cell r="H21">
            <v>1.66</v>
          </cell>
        </row>
        <row r="22">
          <cell r="D22" t="str">
            <v>20100801KUUM_378</v>
          </cell>
          <cell r="E22">
            <v>69.13</v>
          </cell>
          <cell r="G22">
            <v>5.44</v>
          </cell>
          <cell r="H22">
            <v>1.66</v>
          </cell>
        </row>
        <row r="23">
          <cell r="D23" t="str">
            <v>20100801KUUM_395</v>
          </cell>
          <cell r="E23">
            <v>49.340000000000011</v>
          </cell>
          <cell r="G23">
            <v>5.44</v>
          </cell>
          <cell r="H23">
            <v>1.66</v>
          </cell>
        </row>
        <row r="24">
          <cell r="D24" t="str">
            <v>20100801KUUM_400</v>
          </cell>
          <cell r="E24">
            <v>12.51</v>
          </cell>
          <cell r="G24">
            <v>0.73</v>
          </cell>
          <cell r="H24">
            <v>0.55000000000000004</v>
          </cell>
        </row>
        <row r="25">
          <cell r="D25" t="str">
            <v>20100801KUUM_401</v>
          </cell>
          <cell r="E25">
            <v>13.5</v>
          </cell>
          <cell r="G25">
            <v>0.94</v>
          </cell>
          <cell r="H25">
            <v>0.76</v>
          </cell>
        </row>
        <row r="26">
          <cell r="D26" t="str">
            <v>20100801KUUM_404</v>
          </cell>
          <cell r="E26">
            <v>9.52</v>
          </cell>
          <cell r="G26">
            <v>0.95</v>
          </cell>
          <cell r="H26">
            <v>1.9</v>
          </cell>
        </row>
        <row r="27">
          <cell r="D27" t="str">
            <v>20100801KUUM_405</v>
          </cell>
          <cell r="E27">
            <v>12.35</v>
          </cell>
          <cell r="G27">
            <v>1.24</v>
          </cell>
          <cell r="H27">
            <v>4.16</v>
          </cell>
        </row>
        <row r="28">
          <cell r="D28" t="str">
            <v>20100801KUUM_407</v>
          </cell>
          <cell r="E28">
            <v>20.5</v>
          </cell>
          <cell r="G28">
            <v>1.83</v>
          </cell>
          <cell r="H28">
            <v>4.32</v>
          </cell>
        </row>
        <row r="29">
          <cell r="D29" t="str">
            <v>20100801KUUM_408</v>
          </cell>
          <cell r="E29">
            <v>7.63</v>
          </cell>
          <cell r="G29">
            <v>1.24</v>
          </cell>
          <cell r="H29">
            <v>4.16</v>
          </cell>
        </row>
        <row r="30">
          <cell r="D30" t="str">
            <v>20100801KUUM_409</v>
          </cell>
          <cell r="E30">
            <v>9.8000000000000007</v>
          </cell>
          <cell r="G30">
            <v>1.83</v>
          </cell>
          <cell r="H30">
            <v>4.32</v>
          </cell>
        </row>
        <row r="31">
          <cell r="D31" t="str">
            <v>20100801KUUM_410</v>
          </cell>
          <cell r="E31">
            <v>18.900000000000002</v>
          </cell>
          <cell r="G31">
            <v>0.73</v>
          </cell>
          <cell r="H31">
            <v>0.55000000000000004</v>
          </cell>
        </row>
        <row r="32">
          <cell r="D32" t="str">
            <v>20100801KUUM_411</v>
          </cell>
          <cell r="E32">
            <v>19.779999999999998</v>
          </cell>
          <cell r="G32">
            <v>0.94</v>
          </cell>
          <cell r="H32">
            <v>0.76</v>
          </cell>
        </row>
        <row r="33">
          <cell r="D33" t="str">
            <v>20100801KUUM_412</v>
          </cell>
          <cell r="E33">
            <v>28.879999999999995</v>
          </cell>
          <cell r="G33">
            <v>0.94</v>
          </cell>
          <cell r="H33">
            <v>0.76</v>
          </cell>
        </row>
        <row r="34">
          <cell r="D34" t="str">
            <v>20100801KUUM_413</v>
          </cell>
          <cell r="E34">
            <v>29.39</v>
          </cell>
          <cell r="G34">
            <v>0.75</v>
          </cell>
          <cell r="H34">
            <v>1.07</v>
          </cell>
        </row>
        <row r="35">
          <cell r="D35" t="str">
            <v>20100801KUUM_414</v>
          </cell>
          <cell r="E35">
            <v>28.879999999999995</v>
          </cell>
          <cell r="G35">
            <v>0.94</v>
          </cell>
          <cell r="H35">
            <v>0.76</v>
          </cell>
        </row>
        <row r="36">
          <cell r="D36" t="str">
            <v>20100801KUUM_415</v>
          </cell>
          <cell r="E36">
            <v>29.39</v>
          </cell>
          <cell r="G36">
            <v>0.75</v>
          </cell>
          <cell r="H36">
            <v>1.07</v>
          </cell>
        </row>
        <row r="37">
          <cell r="D37" t="str">
            <v>20100801KUUM_420</v>
          </cell>
          <cell r="E37">
            <v>14.13</v>
          </cell>
          <cell r="G37">
            <v>0.75</v>
          </cell>
          <cell r="H37">
            <v>1.07</v>
          </cell>
        </row>
        <row r="38">
          <cell r="D38" t="str">
            <v>20100801KUUM_421</v>
          </cell>
          <cell r="E38">
            <v>3.04</v>
          </cell>
          <cell r="G38">
            <v>0.31</v>
          </cell>
          <cell r="H38">
            <v>0.94</v>
          </cell>
        </row>
        <row r="39">
          <cell r="D39" t="str">
            <v>20100801KUUM_422</v>
          </cell>
          <cell r="E39">
            <v>4.05</v>
          </cell>
          <cell r="G39">
            <v>0.4</v>
          </cell>
          <cell r="H39">
            <v>1.85</v>
          </cell>
        </row>
        <row r="40">
          <cell r="D40" t="str">
            <v>20100801KUUM_424</v>
          </cell>
          <cell r="E40">
            <v>6.15</v>
          </cell>
          <cell r="G40">
            <v>0.73</v>
          </cell>
          <cell r="H40">
            <v>0.55000000000000004</v>
          </cell>
        </row>
        <row r="41">
          <cell r="D41" t="str">
            <v>20100801KUUM_425</v>
          </cell>
          <cell r="E41">
            <v>8.06</v>
          </cell>
          <cell r="G41">
            <v>0.83</v>
          </cell>
          <cell r="H41">
            <v>4.0999999999999996</v>
          </cell>
        </row>
        <row r="42">
          <cell r="D42" t="str">
            <v>20100801KUUM_426</v>
          </cell>
          <cell r="E42">
            <v>6.36</v>
          </cell>
          <cell r="G42">
            <v>0.94</v>
          </cell>
          <cell r="H42">
            <v>0.76</v>
          </cell>
        </row>
        <row r="43">
          <cell r="D43" t="str">
            <v>20100801KUUM_428</v>
          </cell>
          <cell r="E43">
            <v>6.9</v>
          </cell>
          <cell r="G43">
            <v>0.75</v>
          </cell>
          <cell r="H43">
            <v>1.07</v>
          </cell>
        </row>
        <row r="44">
          <cell r="D44" t="str">
            <v>20100801KUUM_429</v>
          </cell>
          <cell r="E44">
            <v>12.58</v>
          </cell>
          <cell r="G44">
            <v>1.25</v>
          </cell>
          <cell r="H44">
            <v>2.2200000000000002</v>
          </cell>
        </row>
        <row r="45">
          <cell r="D45" t="str">
            <v>20100801KUUM_430</v>
          </cell>
          <cell r="E45">
            <v>20.52</v>
          </cell>
          <cell r="G45">
            <v>0.75</v>
          </cell>
          <cell r="H45">
            <v>1.07</v>
          </cell>
        </row>
        <row r="46">
          <cell r="D46" t="str">
            <v>20100801KUUM_431</v>
          </cell>
          <cell r="E46">
            <v>3.69</v>
          </cell>
          <cell r="G46">
            <v>0.31</v>
          </cell>
          <cell r="H46">
            <v>0.94</v>
          </cell>
        </row>
        <row r="47">
          <cell r="D47" t="str">
            <v>20100801KUUM_432</v>
          </cell>
          <cell r="E47">
            <v>4.84</v>
          </cell>
          <cell r="G47">
            <v>0.4</v>
          </cell>
          <cell r="H47">
            <v>1.85</v>
          </cell>
        </row>
        <row r="48">
          <cell r="D48" t="str">
            <v>20100801KUUM_433</v>
          </cell>
          <cell r="E48">
            <v>49.34</v>
          </cell>
          <cell r="G48">
            <v>5.44</v>
          </cell>
          <cell r="H48">
            <v>1.66</v>
          </cell>
        </row>
        <row r="49">
          <cell r="D49" t="str">
            <v>20100801KUUM_434</v>
          </cell>
          <cell r="E49">
            <v>7.07</v>
          </cell>
          <cell r="G49">
            <v>0.73</v>
          </cell>
          <cell r="H49">
            <v>0.55000000000000004</v>
          </cell>
        </row>
        <row r="50">
          <cell r="D50" t="str">
            <v>20100801KUUM_435</v>
          </cell>
          <cell r="E50">
            <v>8.06</v>
          </cell>
          <cell r="G50">
            <v>0.83</v>
          </cell>
          <cell r="H50">
            <v>4.0999999999999996</v>
          </cell>
        </row>
        <row r="51">
          <cell r="D51" t="str">
            <v>20100801KUUM_440</v>
          </cell>
          <cell r="E51">
            <v>12.51</v>
          </cell>
          <cell r="G51">
            <v>0.73</v>
          </cell>
          <cell r="H51">
            <v>0.55000000000000004</v>
          </cell>
        </row>
        <row r="52">
          <cell r="D52" t="str">
            <v>20100801KUUM_441</v>
          </cell>
          <cell r="E52">
            <v>13.5</v>
          </cell>
          <cell r="G52">
            <v>0.94</v>
          </cell>
          <cell r="H52">
            <v>0.76</v>
          </cell>
        </row>
        <row r="53">
          <cell r="D53" t="str">
            <v>20100801KUUM_442</v>
          </cell>
          <cell r="E53">
            <v>14.13</v>
          </cell>
          <cell r="G53">
            <v>0.75</v>
          </cell>
          <cell r="H53">
            <v>1.07</v>
          </cell>
        </row>
        <row r="54">
          <cell r="D54" t="str">
            <v>20100801KUUM_444</v>
          </cell>
          <cell r="E54">
            <v>18.900000000000002</v>
          </cell>
          <cell r="G54">
            <v>0.73</v>
          </cell>
          <cell r="H54">
            <v>0.55000000000000004</v>
          </cell>
        </row>
        <row r="55">
          <cell r="D55" t="str">
            <v>20100801KUUM_445</v>
          </cell>
          <cell r="E55">
            <v>19.779999999999998</v>
          </cell>
          <cell r="G55">
            <v>0.94</v>
          </cell>
          <cell r="H55">
            <v>0.76</v>
          </cell>
        </row>
        <row r="56">
          <cell r="D56" t="str">
            <v>20100801KUUM_446</v>
          </cell>
          <cell r="E56">
            <v>8.5500000000000007</v>
          </cell>
          <cell r="G56">
            <v>0.95</v>
          </cell>
          <cell r="H56">
            <v>1.9</v>
          </cell>
        </row>
        <row r="57">
          <cell r="D57" t="str">
            <v>20100801KUUM_447</v>
          </cell>
          <cell r="E57">
            <v>10.09</v>
          </cell>
          <cell r="G57">
            <v>1.0900000000000001</v>
          </cell>
          <cell r="H57">
            <v>2.7</v>
          </cell>
        </row>
        <row r="58">
          <cell r="D58" t="str">
            <v>20100801KUUM_448</v>
          </cell>
          <cell r="E58">
            <v>12.35</v>
          </cell>
          <cell r="G58">
            <v>1.24</v>
          </cell>
          <cell r="H58">
            <v>4.16</v>
          </cell>
        </row>
        <row r="59">
          <cell r="D59" t="str">
            <v>20100801KUUM_449</v>
          </cell>
          <cell r="E59">
            <v>20.52</v>
          </cell>
          <cell r="G59">
            <v>0.75</v>
          </cell>
          <cell r="H59">
            <v>1.07</v>
          </cell>
        </row>
        <row r="60">
          <cell r="D60" t="str">
            <v>20100801KUUM_450</v>
          </cell>
          <cell r="E60">
            <v>12.379999999999999</v>
          </cell>
          <cell r="G60">
            <v>1.38</v>
          </cell>
          <cell r="H60">
            <v>1.9</v>
          </cell>
        </row>
        <row r="61">
          <cell r="D61" t="str">
            <v>20100801KUUM_451</v>
          </cell>
          <cell r="E61">
            <v>17.75</v>
          </cell>
          <cell r="G61">
            <v>1.79</v>
          </cell>
          <cell r="H61">
            <v>4.13</v>
          </cell>
        </row>
        <row r="62">
          <cell r="D62" t="str">
            <v>20100801KUUM_452</v>
          </cell>
          <cell r="E62">
            <v>37.260000000000005</v>
          </cell>
          <cell r="G62">
            <v>3.59</v>
          </cell>
          <cell r="H62">
            <v>9.91</v>
          </cell>
        </row>
        <row r="63">
          <cell r="D63" t="str">
            <v>20100801KUUM_454</v>
          </cell>
          <cell r="E63">
            <v>16.61</v>
          </cell>
          <cell r="G63">
            <v>1.38</v>
          </cell>
          <cell r="H63">
            <v>1.9</v>
          </cell>
        </row>
        <row r="64">
          <cell r="D64" t="str">
            <v>20100801KUUM_455</v>
          </cell>
          <cell r="E64">
            <v>21.980000000000004</v>
          </cell>
          <cell r="G64">
            <v>1.79</v>
          </cell>
          <cell r="H64">
            <v>4.13</v>
          </cell>
        </row>
        <row r="65">
          <cell r="D65" t="str">
            <v>20100801KUUM_456</v>
          </cell>
          <cell r="E65">
            <v>10.77</v>
          </cell>
          <cell r="G65">
            <v>0.95</v>
          </cell>
          <cell r="H65">
            <v>1.9</v>
          </cell>
        </row>
        <row r="66">
          <cell r="D66" t="str">
            <v>20100801KUUM_457</v>
          </cell>
          <cell r="E66">
            <v>12.059999999999999</v>
          </cell>
          <cell r="G66">
            <v>1.0900000000000001</v>
          </cell>
          <cell r="H66">
            <v>2.7</v>
          </cell>
        </row>
        <row r="67">
          <cell r="D67" t="str">
            <v>20100801KUUM_458</v>
          </cell>
          <cell r="E67">
            <v>13.92</v>
          </cell>
          <cell r="G67">
            <v>1.24</v>
          </cell>
          <cell r="H67">
            <v>4.16</v>
          </cell>
        </row>
        <row r="68">
          <cell r="D68" t="str">
            <v>20100801KUUM_459</v>
          </cell>
          <cell r="E68">
            <v>41.489999999999995</v>
          </cell>
          <cell r="G68">
            <v>3.59</v>
          </cell>
          <cell r="H68">
            <v>9.91</v>
          </cell>
        </row>
        <row r="69">
          <cell r="D69" t="str">
            <v>20100801KUUM_460</v>
          </cell>
          <cell r="E69">
            <v>24.790000000000003</v>
          </cell>
          <cell r="G69">
            <v>1.38</v>
          </cell>
          <cell r="H69">
            <v>1.9</v>
          </cell>
        </row>
        <row r="70">
          <cell r="D70" t="str">
            <v>20100801KUUM_461</v>
          </cell>
          <cell r="E70">
            <v>6.67</v>
          </cell>
          <cell r="G70">
            <v>0.73</v>
          </cell>
          <cell r="H70">
            <v>0.55000000000000004</v>
          </cell>
        </row>
        <row r="71">
          <cell r="D71" t="str">
            <v>20100801KUUM_462</v>
          </cell>
          <cell r="E71">
            <v>7.54</v>
          </cell>
          <cell r="G71">
            <v>0.94</v>
          </cell>
          <cell r="H71">
            <v>0.76</v>
          </cell>
        </row>
        <row r="72">
          <cell r="D72" t="str">
            <v>20100801KUUM_463</v>
          </cell>
          <cell r="E72">
            <v>8.15</v>
          </cell>
          <cell r="G72">
            <v>0.75</v>
          </cell>
          <cell r="H72">
            <v>1.07</v>
          </cell>
        </row>
        <row r="73">
          <cell r="D73" t="str">
            <v>20100801KUUM_464</v>
          </cell>
          <cell r="E73">
            <v>12.58</v>
          </cell>
          <cell r="G73">
            <v>1.25</v>
          </cell>
          <cell r="H73">
            <v>2.2200000000000002</v>
          </cell>
        </row>
        <row r="74">
          <cell r="D74" t="str">
            <v>20100801KUUM_465</v>
          </cell>
          <cell r="E74">
            <v>20.5</v>
          </cell>
          <cell r="G74">
            <v>1.83</v>
          </cell>
          <cell r="H74">
            <v>4.32</v>
          </cell>
        </row>
        <row r="75">
          <cell r="D75" t="str">
            <v>20100801KUUM_466</v>
          </cell>
          <cell r="E75">
            <v>8.67</v>
          </cell>
          <cell r="G75">
            <v>0.73</v>
          </cell>
          <cell r="H75">
            <v>0.55000000000000004</v>
          </cell>
        </row>
        <row r="76">
          <cell r="D76" t="str">
            <v>20100801KUUM_467</v>
          </cell>
          <cell r="E76">
            <v>9.57</v>
          </cell>
          <cell r="G76">
            <v>0.94</v>
          </cell>
          <cell r="H76">
            <v>0.76</v>
          </cell>
        </row>
        <row r="77">
          <cell r="D77" t="str">
            <v>20100801KUUM_468</v>
          </cell>
          <cell r="E77">
            <v>10.09</v>
          </cell>
          <cell r="G77">
            <v>0.75</v>
          </cell>
          <cell r="H77">
            <v>1.07</v>
          </cell>
        </row>
        <row r="78">
          <cell r="D78" t="str">
            <v>20100801KUUM_469</v>
          </cell>
          <cell r="E78">
            <v>30.160000000000004</v>
          </cell>
          <cell r="G78">
            <v>1.79</v>
          </cell>
          <cell r="H78">
            <v>4.13</v>
          </cell>
        </row>
        <row r="79">
          <cell r="D79" t="str">
            <v>20100801KUUM_470</v>
          </cell>
          <cell r="E79">
            <v>49.67</v>
          </cell>
          <cell r="G79">
            <v>3.59</v>
          </cell>
          <cell r="H79">
            <v>9.91</v>
          </cell>
        </row>
        <row r="80">
          <cell r="D80" t="str">
            <v>20100801KUUM_471</v>
          </cell>
          <cell r="E80">
            <v>9.5</v>
          </cell>
          <cell r="G80">
            <v>0.73</v>
          </cell>
          <cell r="H80">
            <v>0.55000000000000004</v>
          </cell>
        </row>
        <row r="81">
          <cell r="D81" t="str">
            <v>20100801KUUM_472</v>
          </cell>
          <cell r="E81">
            <v>10.37</v>
          </cell>
          <cell r="G81">
            <v>0.94</v>
          </cell>
          <cell r="H81">
            <v>0.76</v>
          </cell>
        </row>
        <row r="82">
          <cell r="D82" t="str">
            <v>20100801KUUM_473</v>
          </cell>
          <cell r="E82">
            <v>11.19</v>
          </cell>
          <cell r="G82">
            <v>0.75</v>
          </cell>
          <cell r="H82">
            <v>1.07</v>
          </cell>
        </row>
        <row r="83">
          <cell r="D83" t="str">
            <v>20100801KUUM_474</v>
          </cell>
          <cell r="E83">
            <v>15.62</v>
          </cell>
          <cell r="G83">
            <v>1.25</v>
          </cell>
          <cell r="H83">
            <v>2.2200000000000002</v>
          </cell>
        </row>
        <row r="84">
          <cell r="D84" t="str">
            <v>20100801KUUM_475</v>
          </cell>
          <cell r="E84">
            <v>22.059999999999995</v>
          </cell>
          <cell r="G84">
            <v>1.83</v>
          </cell>
          <cell r="H84">
            <v>4.32</v>
          </cell>
        </row>
        <row r="85">
          <cell r="D85" t="str">
            <v>20100801KUUM_476</v>
          </cell>
          <cell r="E85">
            <v>15.3</v>
          </cell>
          <cell r="G85">
            <v>0.94</v>
          </cell>
          <cell r="H85">
            <v>0.76</v>
          </cell>
        </row>
        <row r="86">
          <cell r="D86" t="str">
            <v>20100801KUUM_477</v>
          </cell>
          <cell r="E86">
            <v>17.93</v>
          </cell>
          <cell r="G86">
            <v>0.75</v>
          </cell>
          <cell r="H86">
            <v>1.07</v>
          </cell>
        </row>
        <row r="87">
          <cell r="D87" t="str">
            <v>20100801KUUM_478</v>
          </cell>
          <cell r="E87">
            <v>21.65</v>
          </cell>
          <cell r="G87">
            <v>1.25</v>
          </cell>
          <cell r="H87">
            <v>2.2200000000000002</v>
          </cell>
        </row>
        <row r="88">
          <cell r="D88" t="str">
            <v>20100801KUUM_479</v>
          </cell>
          <cell r="E88">
            <v>27.68</v>
          </cell>
          <cell r="G88">
            <v>1.83</v>
          </cell>
          <cell r="H88">
            <v>4.32</v>
          </cell>
        </row>
        <row r="89">
          <cell r="D89" t="str">
            <v>20100801KUUM_480</v>
          </cell>
          <cell r="E89">
            <v>8.67</v>
          </cell>
          <cell r="G89">
            <v>0.73</v>
          </cell>
          <cell r="H89">
            <v>0.55000000000000004</v>
          </cell>
        </row>
        <row r="90">
          <cell r="D90" t="str">
            <v>20100801KUUM_481</v>
          </cell>
          <cell r="E90">
            <v>9.57</v>
          </cell>
          <cell r="G90">
            <v>0.94</v>
          </cell>
          <cell r="H90">
            <v>0.76</v>
          </cell>
        </row>
        <row r="91">
          <cell r="D91" t="str">
            <v>20100801KUUM_482</v>
          </cell>
          <cell r="E91">
            <v>10.09</v>
          </cell>
          <cell r="G91">
            <v>0.75</v>
          </cell>
          <cell r="H91">
            <v>1.07</v>
          </cell>
        </row>
        <row r="92">
          <cell r="D92" t="str">
            <v>20100801KUUM_483</v>
          </cell>
          <cell r="E92">
            <v>21.449999999999996</v>
          </cell>
          <cell r="G92">
            <v>0.94</v>
          </cell>
          <cell r="H92">
            <v>0.76</v>
          </cell>
        </row>
        <row r="93">
          <cell r="D93" t="str">
            <v>20100801KUUM_484</v>
          </cell>
          <cell r="E93">
            <v>21.59</v>
          </cell>
          <cell r="G93">
            <v>0.75</v>
          </cell>
          <cell r="H93">
            <v>1.07</v>
          </cell>
        </row>
        <row r="94">
          <cell r="D94" t="str">
            <v>20100801KUUM_484.1</v>
          </cell>
          <cell r="E94">
            <v>14.12</v>
          </cell>
          <cell r="G94">
            <v>0.75</v>
          </cell>
          <cell r="H94">
            <v>1.07</v>
          </cell>
        </row>
        <row r="95">
          <cell r="D95" t="str">
            <v>20100801KUUM_485</v>
          </cell>
          <cell r="E95">
            <v>27.38</v>
          </cell>
          <cell r="G95">
            <v>1.25</v>
          </cell>
          <cell r="H95">
            <v>2.2200000000000002</v>
          </cell>
        </row>
        <row r="96">
          <cell r="D96" t="str">
            <v>20100801KUUM_498</v>
          </cell>
          <cell r="E96">
            <v>15.91</v>
          </cell>
          <cell r="G96">
            <v>1.25</v>
          </cell>
          <cell r="H96">
            <v>2.2200000000000002</v>
          </cell>
        </row>
        <row r="97">
          <cell r="D97" t="str">
            <v>20100801KUUM_486</v>
          </cell>
          <cell r="E97">
            <v>30.67</v>
          </cell>
          <cell r="G97">
            <v>1.83</v>
          </cell>
          <cell r="H97">
            <v>4.32</v>
          </cell>
        </row>
        <row r="98">
          <cell r="D98" t="str">
            <v>20100801KUUM_499</v>
          </cell>
          <cell r="E98">
            <v>19.22</v>
          </cell>
          <cell r="G98">
            <v>1.83</v>
          </cell>
          <cell r="H98">
            <v>4.32</v>
          </cell>
        </row>
        <row r="99">
          <cell r="D99" t="str">
            <v>20100801KUUM_487</v>
          </cell>
          <cell r="E99">
            <v>8.01</v>
          </cell>
          <cell r="G99">
            <v>0.75</v>
          </cell>
          <cell r="H99">
            <v>1.07</v>
          </cell>
        </row>
        <row r="100">
          <cell r="D100" t="str">
            <v>20100801KUUM_488</v>
          </cell>
          <cell r="E100">
            <v>11.99</v>
          </cell>
          <cell r="G100">
            <v>1.25</v>
          </cell>
          <cell r="H100">
            <v>2.2200000000000002</v>
          </cell>
        </row>
        <row r="101">
          <cell r="D101" t="str">
            <v>20100801KUUM_489</v>
          </cell>
          <cell r="E101">
            <v>17.25</v>
          </cell>
          <cell r="G101">
            <v>1.83</v>
          </cell>
          <cell r="H101">
            <v>4.32</v>
          </cell>
        </row>
        <row r="102">
          <cell r="D102" t="str">
            <v>20100801KUUM_490</v>
          </cell>
          <cell r="E102">
            <v>13.55</v>
          </cell>
          <cell r="G102">
            <v>1.38</v>
          </cell>
          <cell r="H102">
            <v>1.9</v>
          </cell>
        </row>
        <row r="103">
          <cell r="D103" t="str">
            <v>20100801KUUM_491</v>
          </cell>
          <cell r="E103">
            <v>19.420000000000002</v>
          </cell>
          <cell r="G103">
            <v>1.79</v>
          </cell>
          <cell r="H103">
            <v>4.13</v>
          </cell>
        </row>
        <row r="104">
          <cell r="D104" t="str">
            <v>20100801KUUM_493</v>
          </cell>
          <cell r="E104">
            <v>40.480000000000004</v>
          </cell>
          <cell r="G104">
            <v>3.59</v>
          </cell>
          <cell r="H104">
            <v>9.91</v>
          </cell>
        </row>
        <row r="105">
          <cell r="D105" t="str">
            <v>20100801KUUM_494</v>
          </cell>
          <cell r="E105">
            <v>25.960000000000004</v>
          </cell>
          <cell r="G105">
            <v>1.38</v>
          </cell>
          <cell r="H105">
            <v>1.9</v>
          </cell>
        </row>
        <row r="106">
          <cell r="D106" t="str">
            <v>20100801KUUM_495</v>
          </cell>
          <cell r="E106">
            <v>31.83</v>
          </cell>
          <cell r="G106">
            <v>1.79</v>
          </cell>
          <cell r="H106">
            <v>4.13</v>
          </cell>
        </row>
        <row r="107">
          <cell r="D107" t="str">
            <v>20100801KUUM_496</v>
          </cell>
          <cell r="E107">
            <v>52.89</v>
          </cell>
          <cell r="G107">
            <v>3.59</v>
          </cell>
          <cell r="H107">
            <v>9.91</v>
          </cell>
        </row>
        <row r="108">
          <cell r="D108" t="str">
            <v>20110701KUUM_300</v>
          </cell>
          <cell r="E108">
            <v>21.03</v>
          </cell>
          <cell r="G108">
            <v>0.73</v>
          </cell>
          <cell r="H108">
            <v>0.54</v>
          </cell>
        </row>
        <row r="109">
          <cell r="D109" t="str">
            <v>20110701KUUM_301</v>
          </cell>
          <cell r="E109">
            <v>21.93</v>
          </cell>
          <cell r="G109">
            <v>0.75</v>
          </cell>
          <cell r="H109">
            <v>1.04</v>
          </cell>
        </row>
        <row r="110">
          <cell r="D110" t="str">
            <v>20110701KUUM_360</v>
          </cell>
          <cell r="E110">
            <v>49.290000000000006</v>
          </cell>
          <cell r="G110">
            <v>5.44</v>
          </cell>
          <cell r="H110">
            <v>1.61</v>
          </cell>
        </row>
        <row r="111">
          <cell r="D111" t="str">
            <v>20110701KUUM_361</v>
          </cell>
          <cell r="E111">
            <v>76.070000000000007</v>
          </cell>
          <cell r="G111">
            <v>5.44</v>
          </cell>
          <cell r="H111">
            <v>1.61</v>
          </cell>
        </row>
        <row r="112">
          <cell r="D112" t="str">
            <v>20110701KUUM_362</v>
          </cell>
          <cell r="E112">
            <v>53.570000000000007</v>
          </cell>
          <cell r="G112">
            <v>5.44</v>
          </cell>
          <cell r="H112">
            <v>1.61</v>
          </cell>
        </row>
        <row r="113">
          <cell r="D113" t="str">
            <v>20110701KUUM_363</v>
          </cell>
          <cell r="E113">
            <v>55.470000000000013</v>
          </cell>
          <cell r="G113">
            <v>5.44</v>
          </cell>
          <cell r="H113">
            <v>1.61</v>
          </cell>
        </row>
        <row r="114">
          <cell r="D114" t="str">
            <v>20110701KUUM_364</v>
          </cell>
          <cell r="E114">
            <v>56.78</v>
          </cell>
          <cell r="G114">
            <v>5.44</v>
          </cell>
          <cell r="H114">
            <v>1.61</v>
          </cell>
        </row>
        <row r="115">
          <cell r="D115" t="str">
            <v>20110701KUUM_365</v>
          </cell>
          <cell r="E115">
            <v>73.930000000000007</v>
          </cell>
          <cell r="G115">
            <v>5.44</v>
          </cell>
          <cell r="H115">
            <v>1.61</v>
          </cell>
        </row>
        <row r="116">
          <cell r="D116" t="str">
            <v>20110701KUUM_366</v>
          </cell>
          <cell r="E116">
            <v>72.03</v>
          </cell>
          <cell r="G116">
            <v>5.44</v>
          </cell>
          <cell r="H116">
            <v>1.61</v>
          </cell>
        </row>
        <row r="117">
          <cell r="D117" t="str">
            <v>20110701KUUM_367</v>
          </cell>
          <cell r="E117">
            <v>54.970000000000013</v>
          </cell>
          <cell r="G117">
            <v>5.44</v>
          </cell>
          <cell r="H117">
            <v>1.61</v>
          </cell>
        </row>
        <row r="118">
          <cell r="D118" t="str">
            <v>20110701KUUM_368</v>
          </cell>
          <cell r="E118">
            <v>50.600000000000009</v>
          </cell>
          <cell r="G118">
            <v>5.44</v>
          </cell>
          <cell r="H118">
            <v>1.61</v>
          </cell>
        </row>
        <row r="119">
          <cell r="D119" t="str">
            <v>20110701KUUM_370</v>
          </cell>
          <cell r="E119">
            <v>67.75</v>
          </cell>
          <cell r="G119">
            <v>5.44</v>
          </cell>
          <cell r="H119">
            <v>1.61</v>
          </cell>
        </row>
        <row r="120">
          <cell r="D120" t="str">
            <v>20110701KUUM_372</v>
          </cell>
          <cell r="E120">
            <v>75.240000000000009</v>
          </cell>
          <cell r="G120">
            <v>5.44</v>
          </cell>
          <cell r="H120">
            <v>1.61</v>
          </cell>
        </row>
        <row r="121">
          <cell r="D121" t="str">
            <v>20110701KUUM_373</v>
          </cell>
          <cell r="E121">
            <v>67.75</v>
          </cell>
          <cell r="G121">
            <v>5.44</v>
          </cell>
          <cell r="H121">
            <v>1.61</v>
          </cell>
        </row>
        <row r="122">
          <cell r="D122" t="str">
            <v>20110701KUUM_374</v>
          </cell>
          <cell r="E122">
            <v>69.06</v>
          </cell>
          <cell r="G122">
            <v>5.44</v>
          </cell>
          <cell r="H122">
            <v>1.61</v>
          </cell>
        </row>
        <row r="123">
          <cell r="D123" t="str">
            <v>20110701KUUM_375</v>
          </cell>
          <cell r="E123">
            <v>72.03</v>
          </cell>
          <cell r="G123">
            <v>5.44</v>
          </cell>
          <cell r="H123">
            <v>1.61</v>
          </cell>
        </row>
        <row r="124">
          <cell r="D124" t="str">
            <v>20110701KUUM_376</v>
          </cell>
          <cell r="E124">
            <v>70.39</v>
          </cell>
          <cell r="G124">
            <v>5.44</v>
          </cell>
          <cell r="H124">
            <v>1.61</v>
          </cell>
        </row>
        <row r="125">
          <cell r="D125" t="str">
            <v>20110701KUUM_377</v>
          </cell>
          <cell r="E125">
            <v>57.81</v>
          </cell>
          <cell r="G125">
            <v>5.44</v>
          </cell>
          <cell r="H125">
            <v>1.61</v>
          </cell>
        </row>
        <row r="126">
          <cell r="D126" t="str">
            <v>20110701KUUM_378</v>
          </cell>
          <cell r="E126">
            <v>69.08</v>
          </cell>
          <cell r="G126">
            <v>5.44</v>
          </cell>
          <cell r="H126">
            <v>1.61</v>
          </cell>
        </row>
        <row r="127">
          <cell r="D127" t="str">
            <v>20110701KUUM_379</v>
          </cell>
          <cell r="E127">
            <v>73.83</v>
          </cell>
          <cell r="G127">
            <v>5.44</v>
          </cell>
          <cell r="H127">
            <v>1.61</v>
          </cell>
        </row>
        <row r="128">
          <cell r="D128" t="str">
            <v>20110701KUUM_380</v>
          </cell>
          <cell r="E128">
            <v>77.599999999999994</v>
          </cell>
          <cell r="G128">
            <v>5.44</v>
          </cell>
          <cell r="H128">
            <v>1.61</v>
          </cell>
        </row>
        <row r="129">
          <cell r="D129" t="str">
            <v>20110701KUUM_381</v>
          </cell>
          <cell r="E129">
            <v>78.91</v>
          </cell>
          <cell r="G129">
            <v>5.44</v>
          </cell>
          <cell r="H129">
            <v>1.61</v>
          </cell>
        </row>
        <row r="130">
          <cell r="D130" t="str">
            <v>20110701KUUM_382</v>
          </cell>
          <cell r="E130">
            <v>76.12</v>
          </cell>
          <cell r="G130">
            <v>5.44</v>
          </cell>
          <cell r="H130">
            <v>1.61</v>
          </cell>
        </row>
        <row r="131">
          <cell r="D131" t="str">
            <v>20110701KUUM_395</v>
          </cell>
          <cell r="E131">
            <v>49.290000000000006</v>
          </cell>
          <cell r="G131">
            <v>5.44</v>
          </cell>
          <cell r="H131">
            <v>1.61</v>
          </cell>
        </row>
        <row r="132">
          <cell r="D132" t="str">
            <v>20110701KUUM_400</v>
          </cell>
          <cell r="E132">
            <v>12.489999999999998</v>
          </cell>
          <cell r="G132">
            <v>0.73</v>
          </cell>
          <cell r="H132">
            <v>0.53</v>
          </cell>
        </row>
        <row r="133">
          <cell r="D133" t="str">
            <v>20110701KUUM_401</v>
          </cell>
          <cell r="E133">
            <v>13.48</v>
          </cell>
          <cell r="G133">
            <v>0.94</v>
          </cell>
          <cell r="H133">
            <v>0.74</v>
          </cell>
        </row>
        <row r="134">
          <cell r="D134" t="str">
            <v>20110701KUUM_404</v>
          </cell>
          <cell r="E134">
            <v>9.4600000000000009</v>
          </cell>
          <cell r="G134">
            <v>0.95</v>
          </cell>
          <cell r="H134">
            <v>1.84</v>
          </cell>
        </row>
        <row r="135">
          <cell r="D135" t="str">
            <v>20110701KUUM_405</v>
          </cell>
          <cell r="E135">
            <v>12.219999999999999</v>
          </cell>
          <cell r="G135">
            <v>1.24</v>
          </cell>
          <cell r="H135">
            <v>4.03</v>
          </cell>
        </row>
        <row r="136">
          <cell r="D136" t="str">
            <v>20110701KUUM_406</v>
          </cell>
          <cell r="E136">
            <v>9.82</v>
          </cell>
          <cell r="G136">
            <v>0.95</v>
          </cell>
          <cell r="H136">
            <v>1.84</v>
          </cell>
        </row>
        <row r="137">
          <cell r="D137" t="str">
            <v>20110701KUUM_407</v>
          </cell>
          <cell r="E137">
            <v>20.36</v>
          </cell>
          <cell r="G137">
            <v>1.83</v>
          </cell>
          <cell r="H137">
            <v>4.18</v>
          </cell>
        </row>
        <row r="138">
          <cell r="D138" t="str">
            <v>20110701KUUM_408</v>
          </cell>
          <cell r="E138">
            <v>7.5</v>
          </cell>
          <cell r="G138">
            <v>1.24</v>
          </cell>
          <cell r="H138">
            <v>4.03</v>
          </cell>
        </row>
        <row r="139">
          <cell r="D139" t="str">
            <v>20110701KUUM_409</v>
          </cell>
          <cell r="E139">
            <v>9.66</v>
          </cell>
          <cell r="G139">
            <v>1.83</v>
          </cell>
          <cell r="H139">
            <v>4.18</v>
          </cell>
        </row>
        <row r="140">
          <cell r="D140" t="str">
            <v>20110701KUUM_410</v>
          </cell>
          <cell r="E140">
            <v>18.88</v>
          </cell>
          <cell r="G140">
            <v>0.73</v>
          </cell>
          <cell r="H140">
            <v>0.53</v>
          </cell>
        </row>
        <row r="141">
          <cell r="D141" t="str">
            <v>20110701KUUM_411</v>
          </cell>
          <cell r="E141">
            <v>19.759999999999998</v>
          </cell>
          <cell r="G141">
            <v>0.94</v>
          </cell>
          <cell r="H141">
            <v>0.74</v>
          </cell>
        </row>
        <row r="142">
          <cell r="D142" t="str">
            <v>20110701KUUM_412</v>
          </cell>
          <cell r="E142">
            <v>28.859999999999996</v>
          </cell>
          <cell r="G142">
            <v>0.94</v>
          </cell>
          <cell r="H142">
            <v>0.74</v>
          </cell>
        </row>
        <row r="143">
          <cell r="D143" t="str">
            <v>20110701KUUM_413</v>
          </cell>
          <cell r="E143">
            <v>29.36</v>
          </cell>
          <cell r="G143">
            <v>0.75</v>
          </cell>
          <cell r="H143">
            <v>1.04</v>
          </cell>
        </row>
        <row r="144">
          <cell r="D144" t="str">
            <v>20110701KUUM_414</v>
          </cell>
          <cell r="E144">
            <v>28.859999999999996</v>
          </cell>
          <cell r="G144">
            <v>0.94</v>
          </cell>
          <cell r="H144">
            <v>0.74</v>
          </cell>
        </row>
        <row r="145">
          <cell r="D145" t="str">
            <v>20110701KUUM_415</v>
          </cell>
          <cell r="E145">
            <v>29.36</v>
          </cell>
          <cell r="G145">
            <v>0.75</v>
          </cell>
          <cell r="H145">
            <v>1.04</v>
          </cell>
        </row>
        <row r="146">
          <cell r="D146" t="str">
            <v>20110701KUUM_420</v>
          </cell>
          <cell r="E146">
            <v>14.100000000000001</v>
          </cell>
          <cell r="G146">
            <v>0.75</v>
          </cell>
          <cell r="H146">
            <v>1.04</v>
          </cell>
        </row>
        <row r="147">
          <cell r="D147" t="str">
            <v>20110701KUUM_421</v>
          </cell>
          <cell r="E147">
            <v>3.01</v>
          </cell>
          <cell r="G147">
            <v>0.31</v>
          </cell>
          <cell r="H147">
            <v>0.91</v>
          </cell>
        </row>
        <row r="148">
          <cell r="D148" t="str">
            <v>20110701KUUM_422</v>
          </cell>
          <cell r="E148">
            <v>3.9899999999999998</v>
          </cell>
          <cell r="G148">
            <v>0.4</v>
          </cell>
          <cell r="H148">
            <v>1.79</v>
          </cell>
        </row>
        <row r="149">
          <cell r="D149" t="str">
            <v>20110701KUUM_424</v>
          </cell>
          <cell r="E149">
            <v>6.0600000000000005</v>
          </cell>
          <cell r="G149">
            <v>0.73</v>
          </cell>
          <cell r="H149">
            <v>0.46</v>
          </cell>
        </row>
        <row r="150">
          <cell r="D150" t="str">
            <v>20110701KUUM_425</v>
          </cell>
          <cell r="E150">
            <v>7.9300000000000006</v>
          </cell>
          <cell r="G150">
            <v>0.83</v>
          </cell>
          <cell r="H150">
            <v>3.97</v>
          </cell>
        </row>
        <row r="151">
          <cell r="D151" t="str">
            <v>20110701KUUM_426</v>
          </cell>
          <cell r="E151">
            <v>6.34</v>
          </cell>
          <cell r="G151">
            <v>0.94</v>
          </cell>
          <cell r="H151">
            <v>0.74</v>
          </cell>
        </row>
        <row r="152">
          <cell r="D152" t="str">
            <v>20110701KUUM_428</v>
          </cell>
          <cell r="E152">
            <v>6.87</v>
          </cell>
          <cell r="G152">
            <v>0.75</v>
          </cell>
          <cell r="H152">
            <v>1.04</v>
          </cell>
        </row>
        <row r="153">
          <cell r="D153" t="str">
            <v>20110701KUUM_429</v>
          </cell>
          <cell r="E153">
            <v>12.51</v>
          </cell>
          <cell r="G153">
            <v>1.25</v>
          </cell>
          <cell r="H153">
            <v>2.15</v>
          </cell>
        </row>
        <row r="154">
          <cell r="D154" t="str">
            <v>20110701KUUM_430</v>
          </cell>
          <cell r="E154">
            <v>20.49</v>
          </cell>
          <cell r="G154">
            <v>0.75</v>
          </cell>
          <cell r="H154">
            <v>1.04</v>
          </cell>
        </row>
        <row r="155">
          <cell r="D155" t="str">
            <v>20110701KUUM_431</v>
          </cell>
          <cell r="E155">
            <v>3.66</v>
          </cell>
          <cell r="G155">
            <v>0.31</v>
          </cell>
          <cell r="H155">
            <v>0.91</v>
          </cell>
        </row>
        <row r="156">
          <cell r="D156" t="str">
            <v>20110701KUUM_432</v>
          </cell>
          <cell r="E156">
            <v>4.7799999999999994</v>
          </cell>
          <cell r="G156">
            <v>0.4</v>
          </cell>
          <cell r="H156">
            <v>1.79</v>
          </cell>
        </row>
        <row r="157">
          <cell r="D157" t="str">
            <v>20110701KUUM_433</v>
          </cell>
          <cell r="E157">
            <v>49.290000000000006</v>
          </cell>
          <cell r="G157">
            <v>5.44</v>
          </cell>
          <cell r="H157">
            <v>1.61</v>
          </cell>
        </row>
        <row r="158">
          <cell r="D158" t="str">
            <v>20110701KUUM_434</v>
          </cell>
          <cell r="E158">
            <v>6.98</v>
          </cell>
          <cell r="G158">
            <v>0.73</v>
          </cell>
          <cell r="H158">
            <v>0.46</v>
          </cell>
        </row>
        <row r="159">
          <cell r="D159" t="str">
            <v>20110701KUUM_435</v>
          </cell>
          <cell r="E159">
            <v>8.9499999999999993</v>
          </cell>
          <cell r="G159">
            <v>0.83</v>
          </cell>
          <cell r="H159">
            <v>3.97</v>
          </cell>
        </row>
        <row r="160">
          <cell r="D160" t="str">
            <v>20110701KUUM_440</v>
          </cell>
          <cell r="E160">
            <v>12.489999999999998</v>
          </cell>
          <cell r="G160">
            <v>0.73</v>
          </cell>
          <cell r="H160">
            <v>0.53</v>
          </cell>
        </row>
        <row r="161">
          <cell r="D161" t="str">
            <v>20110701KUUM_441</v>
          </cell>
          <cell r="E161">
            <v>13.48</v>
          </cell>
          <cell r="G161">
            <v>0.94</v>
          </cell>
          <cell r="H161">
            <v>0.74</v>
          </cell>
        </row>
        <row r="162">
          <cell r="D162" t="str">
            <v>20110701KUUM_442</v>
          </cell>
          <cell r="E162">
            <v>14.100000000000001</v>
          </cell>
          <cell r="G162">
            <v>0.75</v>
          </cell>
          <cell r="H162">
            <v>1.04</v>
          </cell>
        </row>
        <row r="163">
          <cell r="D163" t="str">
            <v>20110701KUUM_444</v>
          </cell>
          <cell r="E163">
            <v>18.88</v>
          </cell>
          <cell r="G163">
            <v>0.73</v>
          </cell>
          <cell r="H163">
            <v>0.53</v>
          </cell>
        </row>
        <row r="164">
          <cell r="D164" t="str">
            <v>20110701KUUM_445</v>
          </cell>
          <cell r="E164">
            <v>19.759999999999998</v>
          </cell>
          <cell r="G164">
            <v>0.94</v>
          </cell>
          <cell r="H164">
            <v>0.74</v>
          </cell>
        </row>
        <row r="165">
          <cell r="D165" t="str">
            <v>20110701KUUM_446</v>
          </cell>
          <cell r="E165">
            <v>8.490000000000002</v>
          </cell>
          <cell r="G165">
            <v>0.95</v>
          </cell>
          <cell r="H165">
            <v>1.84</v>
          </cell>
        </row>
        <row r="166">
          <cell r="D166" t="str">
            <v>20110701KUUM_447</v>
          </cell>
          <cell r="E166">
            <v>10.01</v>
          </cell>
          <cell r="G166">
            <v>1.0900000000000001</v>
          </cell>
          <cell r="H166">
            <v>2.62</v>
          </cell>
        </row>
        <row r="167">
          <cell r="D167" t="str">
            <v>20110701KUUM_448</v>
          </cell>
          <cell r="E167">
            <v>12.219999999999999</v>
          </cell>
          <cell r="G167">
            <v>1.24</v>
          </cell>
          <cell r="H167">
            <v>4.03</v>
          </cell>
        </row>
        <row r="168">
          <cell r="D168" t="str">
            <v>20110701KUUM_449</v>
          </cell>
          <cell r="E168">
            <v>20.49</v>
          </cell>
          <cell r="G168">
            <v>0.75</v>
          </cell>
          <cell r="H168">
            <v>1.04</v>
          </cell>
        </row>
        <row r="169">
          <cell r="D169" t="str">
            <v>20110701KUUM_450</v>
          </cell>
          <cell r="E169">
            <v>12.34</v>
          </cell>
          <cell r="G169">
            <v>1.38</v>
          </cell>
          <cell r="H169">
            <v>1.86</v>
          </cell>
        </row>
        <row r="170">
          <cell r="D170" t="str">
            <v>20110701KUUM_451</v>
          </cell>
          <cell r="E170">
            <v>17.650000000000002</v>
          </cell>
          <cell r="G170">
            <v>1.79</v>
          </cell>
          <cell r="H170">
            <v>4.03</v>
          </cell>
        </row>
        <row r="171">
          <cell r="D171" t="str">
            <v>20110701KUUM_452</v>
          </cell>
          <cell r="E171">
            <v>36.950000000000003</v>
          </cell>
          <cell r="G171">
            <v>3.59</v>
          </cell>
          <cell r="H171">
            <v>9.6</v>
          </cell>
        </row>
        <row r="172">
          <cell r="D172" t="str">
            <v>20110701KUUM_454</v>
          </cell>
          <cell r="E172">
            <v>16.57</v>
          </cell>
          <cell r="G172">
            <v>1.38</v>
          </cell>
          <cell r="H172">
            <v>1.86</v>
          </cell>
        </row>
        <row r="173">
          <cell r="D173" t="str">
            <v>20110701KUUM_455</v>
          </cell>
          <cell r="E173">
            <v>21.880000000000003</v>
          </cell>
          <cell r="G173">
            <v>1.79</v>
          </cell>
          <cell r="H173">
            <v>4.03</v>
          </cell>
        </row>
        <row r="174">
          <cell r="D174" t="str">
            <v>20110701KUUM_456</v>
          </cell>
          <cell r="E174">
            <v>10.71</v>
          </cell>
          <cell r="G174">
            <v>0.95</v>
          </cell>
          <cell r="H174">
            <v>1.84</v>
          </cell>
        </row>
        <row r="175">
          <cell r="D175" t="str">
            <v>20110701KUUM_457</v>
          </cell>
          <cell r="E175">
            <v>11.98</v>
          </cell>
          <cell r="G175">
            <v>1.0900000000000001</v>
          </cell>
          <cell r="H175">
            <v>2.62</v>
          </cell>
        </row>
        <row r="176">
          <cell r="D176" t="str">
            <v>20110701KUUM_458</v>
          </cell>
          <cell r="E176">
            <v>13.79</v>
          </cell>
          <cell r="G176">
            <v>1.24</v>
          </cell>
          <cell r="H176">
            <v>4.03</v>
          </cell>
        </row>
        <row r="177">
          <cell r="D177" t="str">
            <v>20110701KUUM_459</v>
          </cell>
          <cell r="E177">
            <v>41.180000000000007</v>
          </cell>
          <cell r="G177">
            <v>3.59</v>
          </cell>
          <cell r="H177">
            <v>9.6</v>
          </cell>
        </row>
        <row r="178">
          <cell r="D178" t="str">
            <v>20110701KUUM_460</v>
          </cell>
          <cell r="E178">
            <v>24.75</v>
          </cell>
          <cell r="G178">
            <v>1.38</v>
          </cell>
          <cell r="H178">
            <v>1.86</v>
          </cell>
        </row>
        <row r="179">
          <cell r="D179" t="str">
            <v>20110701KUUM_461</v>
          </cell>
          <cell r="E179">
            <v>6.6499999999999995</v>
          </cell>
          <cell r="G179">
            <v>0.73</v>
          </cell>
          <cell r="H179">
            <v>0.53</v>
          </cell>
        </row>
        <row r="180">
          <cell r="D180" t="str">
            <v>20110701KUUM_462</v>
          </cell>
          <cell r="E180">
            <v>7.52</v>
          </cell>
          <cell r="G180">
            <v>0.94</v>
          </cell>
          <cell r="H180">
            <v>0.74</v>
          </cell>
        </row>
        <row r="181">
          <cell r="D181" t="str">
            <v>20110701KUUM_463</v>
          </cell>
          <cell r="E181">
            <v>8.120000000000001</v>
          </cell>
          <cell r="G181">
            <v>0.75</v>
          </cell>
          <cell r="H181">
            <v>1.04</v>
          </cell>
        </row>
        <row r="182">
          <cell r="D182" t="str">
            <v>20110701KUUM_464</v>
          </cell>
          <cell r="E182">
            <v>12.51</v>
          </cell>
          <cell r="G182">
            <v>1.25</v>
          </cell>
          <cell r="H182">
            <v>2.15</v>
          </cell>
        </row>
        <row r="183">
          <cell r="D183" t="str">
            <v>20110701KUUM_465</v>
          </cell>
          <cell r="E183">
            <v>20.36</v>
          </cell>
          <cell r="G183">
            <v>1.83</v>
          </cell>
          <cell r="H183">
            <v>4.18</v>
          </cell>
        </row>
        <row r="184">
          <cell r="D184" t="str">
            <v>20110701KUUM_466</v>
          </cell>
          <cell r="E184">
            <v>8.65</v>
          </cell>
          <cell r="G184">
            <v>0.73</v>
          </cell>
          <cell r="H184">
            <v>0.53</v>
          </cell>
        </row>
        <row r="185">
          <cell r="D185" t="str">
            <v>20110701KUUM_467</v>
          </cell>
          <cell r="E185">
            <v>9.5500000000000007</v>
          </cell>
          <cell r="G185">
            <v>0.94</v>
          </cell>
          <cell r="H185">
            <v>0.74</v>
          </cell>
        </row>
        <row r="186">
          <cell r="D186" t="str">
            <v>20110701KUUM_468</v>
          </cell>
          <cell r="E186">
            <v>10.059999999999999</v>
          </cell>
          <cell r="G186">
            <v>0.75</v>
          </cell>
          <cell r="H186">
            <v>1.04</v>
          </cell>
        </row>
        <row r="187">
          <cell r="D187" t="str">
            <v>20110701KUUM_469</v>
          </cell>
          <cell r="E187">
            <v>30.060000000000002</v>
          </cell>
          <cell r="G187">
            <v>1.79</v>
          </cell>
          <cell r="H187">
            <v>4.03</v>
          </cell>
        </row>
        <row r="188">
          <cell r="D188" t="str">
            <v>20110701KUUM_470</v>
          </cell>
          <cell r="E188">
            <v>49.36</v>
          </cell>
          <cell r="G188">
            <v>3.59</v>
          </cell>
          <cell r="H188">
            <v>9.6</v>
          </cell>
        </row>
        <row r="189">
          <cell r="D189" t="str">
            <v>20110701KUUM_471</v>
          </cell>
          <cell r="E189">
            <v>9.4799999999999986</v>
          </cell>
          <cell r="G189">
            <v>0.73</v>
          </cell>
          <cell r="H189">
            <v>0.53</v>
          </cell>
        </row>
        <row r="190">
          <cell r="D190" t="str">
            <v>20110701KUUM_472</v>
          </cell>
          <cell r="E190">
            <v>10.35</v>
          </cell>
          <cell r="G190">
            <v>0.94</v>
          </cell>
          <cell r="H190">
            <v>0.74</v>
          </cell>
        </row>
        <row r="191">
          <cell r="D191" t="str">
            <v>20110701KUUM_473</v>
          </cell>
          <cell r="E191">
            <v>11.16</v>
          </cell>
          <cell r="G191">
            <v>0.75</v>
          </cell>
          <cell r="H191">
            <v>1.04</v>
          </cell>
        </row>
        <row r="192">
          <cell r="D192" t="str">
            <v>20110701KUUM_474</v>
          </cell>
          <cell r="E192">
            <v>15.549999999999999</v>
          </cell>
          <cell r="G192">
            <v>1.25</v>
          </cell>
          <cell r="H192">
            <v>2.15</v>
          </cell>
        </row>
        <row r="193">
          <cell r="D193" t="str">
            <v>20110701KUUM_475</v>
          </cell>
          <cell r="E193">
            <v>21.92</v>
          </cell>
          <cell r="G193">
            <v>1.83</v>
          </cell>
          <cell r="H193">
            <v>4.18</v>
          </cell>
        </row>
        <row r="194">
          <cell r="D194" t="str">
            <v>20110701KUUM_476</v>
          </cell>
          <cell r="E194">
            <v>15.28</v>
          </cell>
          <cell r="G194">
            <v>0.94</v>
          </cell>
          <cell r="H194">
            <v>0.74</v>
          </cell>
        </row>
        <row r="195">
          <cell r="D195" t="str">
            <v>20110701KUUM_477</v>
          </cell>
          <cell r="E195">
            <v>17.899999999999999</v>
          </cell>
          <cell r="G195">
            <v>0.75</v>
          </cell>
          <cell r="H195">
            <v>1.04</v>
          </cell>
        </row>
        <row r="196">
          <cell r="D196" t="str">
            <v>20110701KUUM_478</v>
          </cell>
          <cell r="E196">
            <v>21.58</v>
          </cell>
          <cell r="G196">
            <v>1.25</v>
          </cell>
          <cell r="H196">
            <v>2.15</v>
          </cell>
        </row>
        <row r="197">
          <cell r="D197" t="str">
            <v>20110701KUUM_479</v>
          </cell>
          <cell r="E197">
            <v>27.54</v>
          </cell>
          <cell r="G197">
            <v>1.83</v>
          </cell>
          <cell r="H197">
            <v>4.18</v>
          </cell>
        </row>
        <row r="198">
          <cell r="D198" t="str">
            <v>20110701KUUM_480</v>
          </cell>
          <cell r="E198">
            <v>8.65</v>
          </cell>
          <cell r="G198">
            <v>0.73</v>
          </cell>
          <cell r="H198">
            <v>0.53</v>
          </cell>
        </row>
        <row r="199">
          <cell r="D199" t="str">
            <v>20110701KUUM_481</v>
          </cell>
          <cell r="E199">
            <v>9.5500000000000007</v>
          </cell>
          <cell r="G199">
            <v>0.94</v>
          </cell>
          <cell r="H199">
            <v>0.74</v>
          </cell>
        </row>
        <row r="200">
          <cell r="D200" t="str">
            <v>20110701KUUM_482</v>
          </cell>
          <cell r="E200">
            <v>10.059999999999999</v>
          </cell>
          <cell r="G200">
            <v>0.75</v>
          </cell>
          <cell r="H200">
            <v>1.04</v>
          </cell>
        </row>
        <row r="201">
          <cell r="D201" t="str">
            <v>20110701KUUM_483</v>
          </cell>
          <cell r="E201">
            <v>21.429999999999996</v>
          </cell>
          <cell r="G201">
            <v>0.94</v>
          </cell>
          <cell r="H201">
            <v>0.74</v>
          </cell>
        </row>
        <row r="202">
          <cell r="D202" t="str">
            <v>20110701KUUM_484</v>
          </cell>
          <cell r="E202">
            <v>21.56</v>
          </cell>
          <cell r="G202">
            <v>0.75</v>
          </cell>
          <cell r="H202">
            <v>1.04</v>
          </cell>
        </row>
        <row r="203">
          <cell r="D203" t="str">
            <v>20110701KUUM_484.1</v>
          </cell>
          <cell r="E203">
            <v>35.65</v>
          </cell>
          <cell r="G203">
            <v>1.5</v>
          </cell>
          <cell r="H203">
            <v>2.08</v>
          </cell>
        </row>
        <row r="204">
          <cell r="D204" t="str">
            <v>20110701KUUM_485</v>
          </cell>
          <cell r="E204">
            <v>27.31</v>
          </cell>
          <cell r="G204">
            <v>1.25</v>
          </cell>
          <cell r="H204">
            <v>2.15</v>
          </cell>
        </row>
        <row r="205">
          <cell r="D205" t="str">
            <v>20110701KUUM_486</v>
          </cell>
          <cell r="E205">
            <v>30.53</v>
          </cell>
          <cell r="G205">
            <v>1.83</v>
          </cell>
          <cell r="H205">
            <v>4.18</v>
          </cell>
        </row>
        <row r="206">
          <cell r="D206" t="str">
            <v>20110701KUUM_487</v>
          </cell>
          <cell r="E206">
            <v>7.9799999999999995</v>
          </cell>
          <cell r="G206">
            <v>0.75</v>
          </cell>
          <cell r="H206">
            <v>1.04</v>
          </cell>
        </row>
        <row r="207">
          <cell r="D207" t="str">
            <v>20110701KUUM_488</v>
          </cell>
          <cell r="E207">
            <v>11.92</v>
          </cell>
          <cell r="G207">
            <v>1.25</v>
          </cell>
          <cell r="H207">
            <v>2.15</v>
          </cell>
        </row>
        <row r="208">
          <cell r="D208" t="str">
            <v>20110701KUUM_489</v>
          </cell>
          <cell r="E208">
            <v>17.11</v>
          </cell>
          <cell r="G208">
            <v>1.83</v>
          </cell>
          <cell r="H208">
            <v>4.18</v>
          </cell>
        </row>
        <row r="209">
          <cell r="D209" t="str">
            <v>20110701KUUM_490</v>
          </cell>
          <cell r="E209">
            <v>13.510000000000002</v>
          </cell>
          <cell r="G209">
            <v>1.38</v>
          </cell>
          <cell r="H209">
            <v>1.86</v>
          </cell>
        </row>
        <row r="210">
          <cell r="D210" t="str">
            <v>20110701KUUM_491</v>
          </cell>
          <cell r="E210">
            <v>19.320000000000004</v>
          </cell>
          <cell r="G210">
            <v>1.79</v>
          </cell>
          <cell r="H210">
            <v>4.03</v>
          </cell>
        </row>
        <row r="211">
          <cell r="D211" t="str">
            <v>20110701KUUM_492</v>
          </cell>
          <cell r="E211">
            <v>13.97</v>
          </cell>
          <cell r="G211">
            <v>0.94</v>
          </cell>
          <cell r="H211">
            <v>0.74</v>
          </cell>
        </row>
        <row r="212">
          <cell r="D212" t="str">
            <v>20110701KUUM_493</v>
          </cell>
          <cell r="E212">
            <v>40.17</v>
          </cell>
          <cell r="G212">
            <v>3.59</v>
          </cell>
          <cell r="H212">
            <v>9.6</v>
          </cell>
        </row>
        <row r="213">
          <cell r="D213" t="str">
            <v>20110701KUUM_494</v>
          </cell>
          <cell r="E213">
            <v>25.92</v>
          </cell>
          <cell r="G213">
            <v>1.38</v>
          </cell>
          <cell r="H213">
            <v>1.86</v>
          </cell>
        </row>
        <row r="214">
          <cell r="D214" t="str">
            <v>20110701KUUM_495</v>
          </cell>
          <cell r="E214">
            <v>31.73</v>
          </cell>
          <cell r="G214">
            <v>1.79</v>
          </cell>
          <cell r="H214">
            <v>4.03</v>
          </cell>
        </row>
        <row r="215">
          <cell r="D215" t="str">
            <v>20110701KUUM_496</v>
          </cell>
          <cell r="E215">
            <v>52.58</v>
          </cell>
          <cell r="G215">
            <v>3.59</v>
          </cell>
          <cell r="H215">
            <v>9.6</v>
          </cell>
        </row>
        <row r="216">
          <cell r="D216" t="str">
            <v>20110701KUUM_498</v>
          </cell>
          <cell r="E216">
            <v>15.84</v>
          </cell>
          <cell r="G216">
            <v>1.25</v>
          </cell>
          <cell r="H216">
            <v>2.15</v>
          </cell>
        </row>
        <row r="217">
          <cell r="D217" t="str">
            <v>20110701KUUM_499</v>
          </cell>
          <cell r="E217">
            <v>19.059999999999999</v>
          </cell>
          <cell r="G217">
            <v>1.83</v>
          </cell>
          <cell r="H217">
            <v>4.16</v>
          </cell>
        </row>
        <row r="218">
          <cell r="D218" t="str">
            <v>20120301KUUM_300</v>
          </cell>
          <cell r="E218">
            <v>21.310000000000002</v>
          </cell>
          <cell r="G218">
            <v>1.01</v>
          </cell>
          <cell r="H218">
            <v>0.54</v>
          </cell>
        </row>
        <row r="219">
          <cell r="D219" t="str">
            <v>20120301KUUM_301</v>
          </cell>
          <cell r="E219">
            <v>22.22</v>
          </cell>
          <cell r="G219">
            <v>1.04</v>
          </cell>
          <cell r="H219">
            <v>1.04</v>
          </cell>
        </row>
        <row r="220">
          <cell r="D220" t="str">
            <v>20120301KUUM_360</v>
          </cell>
          <cell r="E220">
            <v>51.000000000000007</v>
          </cell>
          <cell r="G220">
            <v>7.15</v>
          </cell>
          <cell r="H220">
            <v>1.61</v>
          </cell>
        </row>
        <row r="221">
          <cell r="D221" t="str">
            <v>20120301KUUM_361</v>
          </cell>
          <cell r="E221">
            <v>77.780000000000015</v>
          </cell>
          <cell r="G221">
            <v>7.15</v>
          </cell>
          <cell r="H221">
            <v>1.61</v>
          </cell>
        </row>
        <row r="222">
          <cell r="D222" t="str">
            <v>20120301KUUM_362</v>
          </cell>
          <cell r="E222">
            <v>55.28</v>
          </cell>
          <cell r="G222">
            <v>7.15</v>
          </cell>
          <cell r="H222">
            <v>1.61</v>
          </cell>
        </row>
        <row r="223">
          <cell r="D223" t="str">
            <v>20120301KUUM_363</v>
          </cell>
          <cell r="E223">
            <v>57.180000000000007</v>
          </cell>
          <cell r="G223">
            <v>7.15</v>
          </cell>
          <cell r="H223">
            <v>1.61</v>
          </cell>
        </row>
        <row r="224">
          <cell r="D224" t="str">
            <v>20120301KUUM_364</v>
          </cell>
          <cell r="E224">
            <v>58.49</v>
          </cell>
          <cell r="G224">
            <v>7.15</v>
          </cell>
          <cell r="H224">
            <v>1.61</v>
          </cell>
        </row>
        <row r="225">
          <cell r="D225" t="str">
            <v>20120301KUUM_365</v>
          </cell>
          <cell r="E225">
            <v>75.640000000000015</v>
          </cell>
          <cell r="G225">
            <v>7.15</v>
          </cell>
          <cell r="H225">
            <v>1.61</v>
          </cell>
        </row>
        <row r="226">
          <cell r="D226" t="str">
            <v>20120301KUUM_366</v>
          </cell>
          <cell r="E226">
            <v>73.740000000000009</v>
          </cell>
          <cell r="G226">
            <v>7.15</v>
          </cell>
          <cell r="H226">
            <v>1.61</v>
          </cell>
        </row>
        <row r="227">
          <cell r="D227" t="str">
            <v>20120301KUUM_367</v>
          </cell>
          <cell r="E227">
            <v>56.680000000000007</v>
          </cell>
          <cell r="G227">
            <v>7.15</v>
          </cell>
          <cell r="H227">
            <v>1.61</v>
          </cell>
        </row>
        <row r="228">
          <cell r="D228" t="str">
            <v>20120301KUUM_368</v>
          </cell>
          <cell r="E228">
            <v>52.31</v>
          </cell>
          <cell r="G228">
            <v>7.15</v>
          </cell>
          <cell r="H228">
            <v>1.61</v>
          </cell>
        </row>
        <row r="229">
          <cell r="D229" t="str">
            <v>20120301KUUM_370</v>
          </cell>
          <cell r="E229">
            <v>69.460000000000008</v>
          </cell>
          <cell r="G229">
            <v>7.15</v>
          </cell>
          <cell r="H229">
            <v>1.61</v>
          </cell>
        </row>
        <row r="230">
          <cell r="D230" t="str">
            <v>20120301KUUM_372</v>
          </cell>
          <cell r="E230">
            <v>76.950000000000017</v>
          </cell>
          <cell r="G230">
            <v>7.15</v>
          </cell>
          <cell r="H230">
            <v>1.61</v>
          </cell>
        </row>
        <row r="231">
          <cell r="D231" t="str">
            <v>20120301KUUM_373</v>
          </cell>
          <cell r="E231">
            <v>69.460000000000008</v>
          </cell>
          <cell r="G231">
            <v>7.15</v>
          </cell>
          <cell r="H231">
            <v>1.61</v>
          </cell>
        </row>
        <row r="232">
          <cell r="D232" t="str">
            <v>20120301KUUM_374</v>
          </cell>
          <cell r="E232">
            <v>70.77000000000001</v>
          </cell>
          <cell r="G232">
            <v>7.15</v>
          </cell>
          <cell r="H232">
            <v>1.61</v>
          </cell>
        </row>
        <row r="233">
          <cell r="D233" t="str">
            <v>20120301KUUM_375</v>
          </cell>
          <cell r="E233">
            <v>73.740000000000009</v>
          </cell>
          <cell r="G233">
            <v>7.15</v>
          </cell>
          <cell r="H233">
            <v>1.61</v>
          </cell>
        </row>
        <row r="234">
          <cell r="D234" t="str">
            <v>20120301KUUM_376</v>
          </cell>
          <cell r="E234">
            <v>72.100000000000009</v>
          </cell>
          <cell r="G234">
            <v>7.15</v>
          </cell>
          <cell r="H234">
            <v>1.61</v>
          </cell>
        </row>
        <row r="235">
          <cell r="D235" t="str">
            <v>20120301KUUM_377</v>
          </cell>
          <cell r="E235">
            <v>59.52</v>
          </cell>
          <cell r="G235">
            <v>7.15</v>
          </cell>
          <cell r="H235">
            <v>1.61</v>
          </cell>
        </row>
        <row r="236">
          <cell r="D236" t="str">
            <v>20120301KUUM_378</v>
          </cell>
          <cell r="E236">
            <v>70.790000000000006</v>
          </cell>
          <cell r="G236">
            <v>7.15</v>
          </cell>
          <cell r="H236">
            <v>1.61</v>
          </cell>
        </row>
        <row r="237">
          <cell r="D237" t="str">
            <v>20120301KUUM_379</v>
          </cell>
          <cell r="E237">
            <v>75.540000000000006</v>
          </cell>
          <cell r="G237">
            <v>7.15</v>
          </cell>
          <cell r="H237">
            <v>1.61</v>
          </cell>
        </row>
        <row r="238">
          <cell r="D238" t="str">
            <v>20120301KUUM_380</v>
          </cell>
          <cell r="E238">
            <v>79.31</v>
          </cell>
          <cell r="G238">
            <v>7.15</v>
          </cell>
          <cell r="H238">
            <v>1.61</v>
          </cell>
        </row>
        <row r="239">
          <cell r="D239" t="str">
            <v>20120301KUUM_381</v>
          </cell>
          <cell r="E239">
            <v>80.62</v>
          </cell>
          <cell r="G239">
            <v>7.15</v>
          </cell>
          <cell r="H239">
            <v>1.61</v>
          </cell>
        </row>
        <row r="240">
          <cell r="D240" t="str">
            <v>20120301KUUM_382</v>
          </cell>
          <cell r="E240">
            <v>77.83</v>
          </cell>
          <cell r="G240">
            <v>7.15</v>
          </cell>
          <cell r="H240">
            <v>1.61</v>
          </cell>
        </row>
        <row r="241">
          <cell r="D241" t="str">
            <v>20120301KUUM_395</v>
          </cell>
          <cell r="E241">
            <v>51.000000000000007</v>
          </cell>
          <cell r="G241">
            <v>7.15</v>
          </cell>
          <cell r="H241">
            <v>1.61</v>
          </cell>
        </row>
        <row r="242">
          <cell r="D242" t="str">
            <v>20120301KUUM_400</v>
          </cell>
          <cell r="E242">
            <v>12.77</v>
          </cell>
          <cell r="G242">
            <v>1.01</v>
          </cell>
          <cell r="H242">
            <v>0.53</v>
          </cell>
        </row>
        <row r="243">
          <cell r="D243" t="str">
            <v>20120301KUUM_401</v>
          </cell>
          <cell r="E243">
            <v>13.860000000000001</v>
          </cell>
          <cell r="G243">
            <v>1.32</v>
          </cell>
          <cell r="H243">
            <v>0.74</v>
          </cell>
        </row>
        <row r="244">
          <cell r="D244" t="str">
            <v>20120301KUUM_404</v>
          </cell>
          <cell r="E244">
            <v>9.69</v>
          </cell>
          <cell r="G244">
            <v>1.18</v>
          </cell>
          <cell r="H244">
            <v>1.84</v>
          </cell>
        </row>
        <row r="245">
          <cell r="D245" t="str">
            <v>20120301KUUM_405</v>
          </cell>
          <cell r="E245">
            <v>12.57</v>
          </cell>
          <cell r="G245">
            <v>1.59</v>
          </cell>
          <cell r="H245">
            <v>4.03</v>
          </cell>
        </row>
        <row r="246">
          <cell r="D246" t="str">
            <v>20120301KUUM_406</v>
          </cell>
          <cell r="E246">
            <v>10.050000000000001</v>
          </cell>
          <cell r="G246">
            <v>1.18</v>
          </cell>
          <cell r="H246">
            <v>1.84</v>
          </cell>
        </row>
        <row r="247">
          <cell r="D247" t="str">
            <v>20120301KUUM_407</v>
          </cell>
          <cell r="E247">
            <v>20.95</v>
          </cell>
          <cell r="G247">
            <v>2.42</v>
          </cell>
          <cell r="H247">
            <v>4.18</v>
          </cell>
        </row>
        <row r="248">
          <cell r="D248" t="str">
            <v>20120301KUUM_408</v>
          </cell>
          <cell r="E248">
            <v>7.85</v>
          </cell>
          <cell r="G248">
            <v>1.59</v>
          </cell>
          <cell r="H248">
            <v>4.03</v>
          </cell>
        </row>
        <row r="249">
          <cell r="D249" t="str">
            <v>20120301KUUM_409</v>
          </cell>
          <cell r="E249">
            <v>10.25</v>
          </cell>
          <cell r="G249">
            <v>2.42</v>
          </cell>
          <cell r="H249">
            <v>4.18</v>
          </cell>
        </row>
        <row r="250">
          <cell r="D250" t="str">
            <v>20120301KUUM_410</v>
          </cell>
          <cell r="E250">
            <v>19.16</v>
          </cell>
          <cell r="G250">
            <v>1.01</v>
          </cell>
          <cell r="H250">
            <v>0.53</v>
          </cell>
        </row>
        <row r="251">
          <cell r="D251" t="str">
            <v>20120301KUUM_411</v>
          </cell>
          <cell r="E251">
            <v>20.139999999999997</v>
          </cell>
          <cell r="G251">
            <v>1.32</v>
          </cell>
          <cell r="H251">
            <v>0.74</v>
          </cell>
        </row>
        <row r="252">
          <cell r="D252" t="str">
            <v>20120301KUUM_412</v>
          </cell>
          <cell r="E252">
            <v>29.239999999999995</v>
          </cell>
          <cell r="G252">
            <v>1.32</v>
          </cell>
          <cell r="H252">
            <v>0.74</v>
          </cell>
        </row>
        <row r="253">
          <cell r="D253" t="str">
            <v>20120301KUUM_413</v>
          </cell>
          <cell r="E253">
            <v>29.65</v>
          </cell>
          <cell r="G253">
            <v>1.04</v>
          </cell>
          <cell r="H253">
            <v>1.04</v>
          </cell>
        </row>
        <row r="254">
          <cell r="D254" t="str">
            <v>20120301KUUM_414</v>
          </cell>
          <cell r="E254">
            <v>29.239999999999995</v>
          </cell>
          <cell r="G254">
            <v>1.32</v>
          </cell>
          <cell r="H254">
            <v>0.74</v>
          </cell>
        </row>
        <row r="255">
          <cell r="D255" t="str">
            <v>20120301KUUM_415</v>
          </cell>
          <cell r="E255">
            <v>29.65</v>
          </cell>
          <cell r="G255">
            <v>1.04</v>
          </cell>
          <cell r="H255">
            <v>1.04</v>
          </cell>
        </row>
        <row r="256">
          <cell r="D256" t="str">
            <v>20120301KUUM_420</v>
          </cell>
          <cell r="E256">
            <v>14.39</v>
          </cell>
          <cell r="G256">
            <v>1.04</v>
          </cell>
          <cell r="H256">
            <v>1.04</v>
          </cell>
        </row>
        <row r="257">
          <cell r="D257" t="str">
            <v>20120301KUUM_421</v>
          </cell>
          <cell r="E257">
            <v>3.08</v>
          </cell>
          <cell r="G257">
            <v>0.38</v>
          </cell>
          <cell r="H257">
            <v>0.91</v>
          </cell>
        </row>
        <row r="258">
          <cell r="D258" t="str">
            <v>20120301KUUM_422</v>
          </cell>
          <cell r="E258">
            <v>4.09</v>
          </cell>
          <cell r="G258">
            <v>0.5</v>
          </cell>
          <cell r="H258">
            <v>1.79</v>
          </cell>
        </row>
        <row r="259">
          <cell r="D259" t="str">
            <v>20120301KUUM_424</v>
          </cell>
          <cell r="E259">
            <v>6.08</v>
          </cell>
          <cell r="G259">
            <v>0.75</v>
          </cell>
          <cell r="H259">
            <v>0.46</v>
          </cell>
        </row>
        <row r="260">
          <cell r="D260" t="str">
            <v>20120301KUUM_425</v>
          </cell>
          <cell r="E260">
            <v>8.1100000000000012</v>
          </cell>
          <cell r="G260">
            <v>1.01</v>
          </cell>
          <cell r="H260">
            <v>3.97</v>
          </cell>
        </row>
        <row r="261">
          <cell r="D261" t="str">
            <v>20120301KUUM_426</v>
          </cell>
          <cell r="E261">
            <v>6.7200000000000006</v>
          </cell>
          <cell r="G261">
            <v>1.32</v>
          </cell>
          <cell r="H261">
            <v>0.74</v>
          </cell>
        </row>
        <row r="262">
          <cell r="D262" t="str">
            <v>20120301KUUM_428</v>
          </cell>
          <cell r="E262">
            <v>7.16</v>
          </cell>
          <cell r="G262">
            <v>1.04</v>
          </cell>
          <cell r="H262">
            <v>1.04</v>
          </cell>
        </row>
        <row r="263">
          <cell r="D263" t="str">
            <v>20120301KUUM_429</v>
          </cell>
          <cell r="E263">
            <v>13.04</v>
          </cell>
          <cell r="G263">
            <v>1.78</v>
          </cell>
          <cell r="H263">
            <v>2.15</v>
          </cell>
        </row>
        <row r="264">
          <cell r="D264" t="str">
            <v>20120301KUUM_430</v>
          </cell>
          <cell r="E264">
            <v>20.78</v>
          </cell>
          <cell r="G264">
            <v>1.04</v>
          </cell>
          <cell r="H264">
            <v>1.04</v>
          </cell>
        </row>
        <row r="265">
          <cell r="D265" t="str">
            <v>20120301KUUM_431</v>
          </cell>
          <cell r="E265">
            <v>3.73</v>
          </cell>
          <cell r="G265">
            <v>0.38</v>
          </cell>
          <cell r="H265">
            <v>0.91</v>
          </cell>
        </row>
        <row r="266">
          <cell r="D266" t="str">
            <v>20120301KUUM_432</v>
          </cell>
          <cell r="E266">
            <v>4.879999999999999</v>
          </cell>
          <cell r="G266">
            <v>0.5</v>
          </cell>
          <cell r="H266">
            <v>1.79</v>
          </cell>
        </row>
        <row r="267">
          <cell r="D267" t="str">
            <v>20120301KUUM_433</v>
          </cell>
          <cell r="E267">
            <v>51.000000000000007</v>
          </cell>
          <cell r="G267">
            <v>7.15</v>
          </cell>
          <cell r="H267">
            <v>1.61</v>
          </cell>
        </row>
        <row r="268">
          <cell r="D268" t="str">
            <v>20120301KUUM_434</v>
          </cell>
          <cell r="E268">
            <v>7</v>
          </cell>
          <cell r="G268">
            <v>0.75</v>
          </cell>
          <cell r="H268">
            <v>0.46</v>
          </cell>
        </row>
        <row r="269">
          <cell r="D269" t="str">
            <v>20120301KUUM_435</v>
          </cell>
          <cell r="E269">
            <v>9.1300000000000008</v>
          </cell>
          <cell r="G269">
            <v>1.01</v>
          </cell>
          <cell r="H269">
            <v>3.97</v>
          </cell>
        </row>
        <row r="270">
          <cell r="D270" t="str">
            <v>20120301KUUM_440</v>
          </cell>
          <cell r="E270">
            <v>12.77</v>
          </cell>
          <cell r="G270">
            <v>1.01</v>
          </cell>
          <cell r="H270">
            <v>0.53</v>
          </cell>
        </row>
        <row r="271">
          <cell r="D271" t="str">
            <v>20120301KUUM_441</v>
          </cell>
          <cell r="E271">
            <v>13.860000000000001</v>
          </cell>
          <cell r="G271">
            <v>1.32</v>
          </cell>
          <cell r="H271">
            <v>0.74</v>
          </cell>
        </row>
        <row r="272">
          <cell r="D272" t="str">
            <v>20120301KUUM_442</v>
          </cell>
          <cell r="E272">
            <v>14.39</v>
          </cell>
          <cell r="G272">
            <v>1.04</v>
          </cell>
          <cell r="H272">
            <v>1.04</v>
          </cell>
        </row>
        <row r="273">
          <cell r="D273" t="str">
            <v>20120301KUUM_444</v>
          </cell>
          <cell r="E273">
            <v>19.16</v>
          </cell>
          <cell r="G273">
            <v>1.01</v>
          </cell>
          <cell r="H273">
            <v>0.53</v>
          </cell>
        </row>
        <row r="274">
          <cell r="D274" t="str">
            <v>20120301KUUM_445</v>
          </cell>
          <cell r="E274">
            <v>20.139999999999997</v>
          </cell>
          <cell r="G274">
            <v>1.32</v>
          </cell>
          <cell r="H274">
            <v>0.74</v>
          </cell>
        </row>
        <row r="275">
          <cell r="D275" t="str">
            <v>20120301KUUM_446</v>
          </cell>
          <cell r="E275">
            <v>8.7200000000000006</v>
          </cell>
          <cell r="G275">
            <v>1.18</v>
          </cell>
          <cell r="H275">
            <v>1.84</v>
          </cell>
        </row>
        <row r="276">
          <cell r="D276" t="str">
            <v>20120301KUUM_447</v>
          </cell>
          <cell r="E276">
            <v>10.29</v>
          </cell>
          <cell r="G276">
            <v>1.37</v>
          </cell>
          <cell r="H276">
            <v>2.62</v>
          </cell>
        </row>
        <row r="277">
          <cell r="D277" t="str">
            <v>20120301KUUM_448</v>
          </cell>
          <cell r="E277">
            <v>12.57</v>
          </cell>
          <cell r="G277">
            <v>1.59</v>
          </cell>
          <cell r="H277">
            <v>4.03</v>
          </cell>
        </row>
        <row r="278">
          <cell r="D278" t="str">
            <v>20120301KUUM_449</v>
          </cell>
          <cell r="E278">
            <v>20.78</v>
          </cell>
          <cell r="G278">
            <v>1.04</v>
          </cell>
          <cell r="H278">
            <v>1.04</v>
          </cell>
        </row>
        <row r="279">
          <cell r="D279" t="str">
            <v>20120301KUUM_450</v>
          </cell>
          <cell r="E279">
            <v>13.04</v>
          </cell>
          <cell r="G279">
            <v>2.08</v>
          </cell>
          <cell r="H279">
            <v>1.86</v>
          </cell>
        </row>
        <row r="280">
          <cell r="D280" t="str">
            <v>20120301KUUM_451</v>
          </cell>
          <cell r="E280">
            <v>18.450000000000003</v>
          </cell>
          <cell r="G280">
            <v>2.59</v>
          </cell>
          <cell r="H280">
            <v>4.03</v>
          </cell>
        </row>
        <row r="281">
          <cell r="D281" t="str">
            <v>20120301KUUM_452</v>
          </cell>
          <cell r="E281">
            <v>38.480000000000004</v>
          </cell>
          <cell r="G281">
            <v>5.12</v>
          </cell>
          <cell r="H281">
            <v>9.6</v>
          </cell>
        </row>
        <row r="282">
          <cell r="D282" t="str">
            <v>20120301KUUM_454</v>
          </cell>
          <cell r="E282">
            <v>17.27</v>
          </cell>
          <cell r="G282">
            <v>2.08</v>
          </cell>
          <cell r="H282">
            <v>1.86</v>
          </cell>
        </row>
        <row r="283">
          <cell r="D283" t="str">
            <v>20120301KUUM_455</v>
          </cell>
          <cell r="E283">
            <v>22.68</v>
          </cell>
          <cell r="G283">
            <v>2.59</v>
          </cell>
          <cell r="H283">
            <v>4.03</v>
          </cell>
        </row>
        <row r="284">
          <cell r="D284" t="str">
            <v>20120301KUUM_456</v>
          </cell>
          <cell r="E284">
            <v>10.94</v>
          </cell>
          <cell r="G284">
            <v>1.18</v>
          </cell>
          <cell r="H284">
            <v>1.84</v>
          </cell>
        </row>
        <row r="285">
          <cell r="D285" t="str">
            <v>20120301KUUM_457</v>
          </cell>
          <cell r="E285">
            <v>12.26</v>
          </cell>
          <cell r="G285">
            <v>1.37</v>
          </cell>
          <cell r="H285">
            <v>2.62</v>
          </cell>
        </row>
        <row r="286">
          <cell r="D286" t="str">
            <v>20120301KUUM_458</v>
          </cell>
          <cell r="E286">
            <v>14.14</v>
          </cell>
          <cell r="G286">
            <v>1.59</v>
          </cell>
          <cell r="H286">
            <v>4.03</v>
          </cell>
        </row>
        <row r="287">
          <cell r="D287" t="str">
            <v>20120301KUUM_459</v>
          </cell>
          <cell r="E287">
            <v>42.709999999999994</v>
          </cell>
          <cell r="G287">
            <v>5.12</v>
          </cell>
          <cell r="H287">
            <v>9.6</v>
          </cell>
        </row>
        <row r="288">
          <cell r="D288" t="str">
            <v>20120301KUUM_460</v>
          </cell>
          <cell r="E288">
            <v>25.450000000000003</v>
          </cell>
          <cell r="G288">
            <v>2.08</v>
          </cell>
          <cell r="H288">
            <v>1.86</v>
          </cell>
        </row>
        <row r="289">
          <cell r="D289" t="str">
            <v>20120301KUUM_461</v>
          </cell>
          <cell r="E289">
            <v>6.93</v>
          </cell>
          <cell r="G289">
            <v>1.01</v>
          </cell>
          <cell r="H289">
            <v>0.53</v>
          </cell>
        </row>
        <row r="290">
          <cell r="D290" t="str">
            <v>20120301KUUM_462</v>
          </cell>
          <cell r="E290">
            <v>7.9</v>
          </cell>
          <cell r="G290">
            <v>1.32</v>
          </cell>
          <cell r="H290">
            <v>0.74</v>
          </cell>
        </row>
        <row r="291">
          <cell r="D291" t="str">
            <v>20120301KUUM_463</v>
          </cell>
          <cell r="E291">
            <v>8.41</v>
          </cell>
          <cell r="G291">
            <v>1.04</v>
          </cell>
          <cell r="H291">
            <v>1.04</v>
          </cell>
        </row>
        <row r="292">
          <cell r="D292" t="str">
            <v>20120301KUUM_464</v>
          </cell>
          <cell r="E292">
            <v>13.04</v>
          </cell>
          <cell r="G292">
            <v>1.78</v>
          </cell>
          <cell r="H292">
            <v>2.15</v>
          </cell>
        </row>
        <row r="293">
          <cell r="D293" t="str">
            <v>20120301KUUM_465</v>
          </cell>
          <cell r="E293">
            <v>20.95</v>
          </cell>
          <cell r="G293">
            <v>2.42</v>
          </cell>
          <cell r="H293">
            <v>4.18</v>
          </cell>
        </row>
        <row r="294">
          <cell r="D294" t="str">
            <v>20120301KUUM_466</v>
          </cell>
          <cell r="E294">
            <v>8.93</v>
          </cell>
          <cell r="G294">
            <v>1.01</v>
          </cell>
          <cell r="H294">
            <v>0.53</v>
          </cell>
        </row>
        <row r="295">
          <cell r="D295" t="str">
            <v>20120301KUUM_467</v>
          </cell>
          <cell r="E295">
            <v>9.9300000000000015</v>
          </cell>
          <cell r="G295">
            <v>1.32</v>
          </cell>
          <cell r="H295">
            <v>0.74</v>
          </cell>
        </row>
        <row r="296">
          <cell r="D296" t="str">
            <v>20120301KUUM_468</v>
          </cell>
          <cell r="E296">
            <v>10.35</v>
          </cell>
          <cell r="G296">
            <v>1.04</v>
          </cell>
          <cell r="H296">
            <v>1.04</v>
          </cell>
        </row>
        <row r="297">
          <cell r="D297" t="str">
            <v>20120301KUUM_469</v>
          </cell>
          <cell r="E297">
            <v>30.860000000000003</v>
          </cell>
          <cell r="G297">
            <v>2.59</v>
          </cell>
          <cell r="H297">
            <v>4.03</v>
          </cell>
        </row>
        <row r="298">
          <cell r="D298" t="str">
            <v>20120301KUUM_470</v>
          </cell>
          <cell r="E298">
            <v>50.89</v>
          </cell>
          <cell r="G298">
            <v>5.12</v>
          </cell>
          <cell r="H298">
            <v>9.6</v>
          </cell>
        </row>
        <row r="299">
          <cell r="D299" t="str">
            <v>20120301KUUM_471</v>
          </cell>
          <cell r="E299">
            <v>9.7600000000000016</v>
          </cell>
          <cell r="G299">
            <v>1.01</v>
          </cell>
          <cell r="H299">
            <v>0.53</v>
          </cell>
        </row>
        <row r="300">
          <cell r="D300" t="str">
            <v>20120301KUUM_472</v>
          </cell>
          <cell r="E300">
            <v>10.73</v>
          </cell>
          <cell r="G300">
            <v>1.32</v>
          </cell>
          <cell r="H300">
            <v>0.74</v>
          </cell>
        </row>
        <row r="301">
          <cell r="D301" t="str">
            <v>20120301KUUM_473</v>
          </cell>
          <cell r="E301">
            <v>11.45</v>
          </cell>
          <cell r="G301">
            <v>1.04</v>
          </cell>
          <cell r="H301">
            <v>1.04</v>
          </cell>
        </row>
        <row r="302">
          <cell r="D302" t="str">
            <v>20120301KUUM_474</v>
          </cell>
          <cell r="E302">
            <v>16.079999999999998</v>
          </cell>
          <cell r="G302">
            <v>1.78</v>
          </cell>
          <cell r="H302">
            <v>2.15</v>
          </cell>
        </row>
        <row r="303">
          <cell r="D303" t="str">
            <v>20120301KUUM_475</v>
          </cell>
          <cell r="E303">
            <v>22.509999999999998</v>
          </cell>
          <cell r="G303">
            <v>2.42</v>
          </cell>
          <cell r="H303">
            <v>4.18</v>
          </cell>
        </row>
        <row r="304">
          <cell r="D304" t="str">
            <v>20120301KUUM_476</v>
          </cell>
          <cell r="E304">
            <v>15.66</v>
          </cell>
          <cell r="G304">
            <v>1.32</v>
          </cell>
          <cell r="H304">
            <v>0.74</v>
          </cell>
        </row>
        <row r="305">
          <cell r="D305" t="str">
            <v>20120301KUUM_477</v>
          </cell>
          <cell r="E305">
            <v>18.190000000000001</v>
          </cell>
          <cell r="G305">
            <v>1.04</v>
          </cell>
          <cell r="H305">
            <v>1.04</v>
          </cell>
        </row>
        <row r="306">
          <cell r="D306" t="str">
            <v>20120301KUUM_478</v>
          </cell>
          <cell r="E306">
            <v>22.11</v>
          </cell>
          <cell r="G306">
            <v>1.78</v>
          </cell>
          <cell r="H306">
            <v>2.15</v>
          </cell>
        </row>
        <row r="307">
          <cell r="D307" t="str">
            <v>20120301KUUM_479</v>
          </cell>
          <cell r="E307">
            <v>28.13</v>
          </cell>
          <cell r="G307">
            <v>2.42</v>
          </cell>
          <cell r="H307">
            <v>4.18</v>
          </cell>
        </row>
        <row r="308">
          <cell r="D308" t="str">
            <v>20120301KUUM_480</v>
          </cell>
          <cell r="E308">
            <v>8.93</v>
          </cell>
          <cell r="G308">
            <v>1.01</v>
          </cell>
          <cell r="H308">
            <v>0.53</v>
          </cell>
        </row>
        <row r="309">
          <cell r="D309" t="str">
            <v>20120301KUUM_481</v>
          </cell>
          <cell r="E309">
            <v>9.9300000000000015</v>
          </cell>
          <cell r="G309">
            <v>1.32</v>
          </cell>
          <cell r="H309">
            <v>0.74</v>
          </cell>
        </row>
        <row r="310">
          <cell r="D310" t="str">
            <v>20120301KUUM_482</v>
          </cell>
          <cell r="E310">
            <v>10.35</v>
          </cell>
          <cell r="G310">
            <v>1.04</v>
          </cell>
          <cell r="H310">
            <v>1.04</v>
          </cell>
        </row>
        <row r="311">
          <cell r="D311" t="str">
            <v>20120301KUUM_483</v>
          </cell>
          <cell r="E311">
            <v>21.809999999999995</v>
          </cell>
          <cell r="G311">
            <v>1.32</v>
          </cell>
          <cell r="H311">
            <v>0.74</v>
          </cell>
        </row>
        <row r="312">
          <cell r="D312" t="str">
            <v>20120301KUUM_484</v>
          </cell>
          <cell r="E312">
            <v>21.85</v>
          </cell>
          <cell r="G312">
            <v>1.04</v>
          </cell>
          <cell r="H312">
            <v>1.04</v>
          </cell>
        </row>
        <row r="313">
          <cell r="D313" t="str">
            <v>20120301KUUM_485</v>
          </cell>
          <cell r="E313">
            <v>27.84</v>
          </cell>
          <cell r="G313">
            <v>1.78</v>
          </cell>
          <cell r="H313">
            <v>2.15</v>
          </cell>
        </row>
        <row r="314">
          <cell r="D314" t="str">
            <v>20120301KUUM_486</v>
          </cell>
          <cell r="E314">
            <v>31.119999999999997</v>
          </cell>
          <cell r="G314">
            <v>2.42</v>
          </cell>
          <cell r="H314">
            <v>4.18</v>
          </cell>
        </row>
        <row r="315">
          <cell r="D315" t="str">
            <v>20120301KUUM_487</v>
          </cell>
          <cell r="E315">
            <v>8.27</v>
          </cell>
          <cell r="G315">
            <v>1.04</v>
          </cell>
          <cell r="H315">
            <v>1.04</v>
          </cell>
        </row>
        <row r="316">
          <cell r="D316" t="str">
            <v>20120301KUUM_488</v>
          </cell>
          <cell r="E316">
            <v>12.45</v>
          </cell>
          <cell r="G316">
            <v>1.78</v>
          </cell>
          <cell r="H316">
            <v>2.15</v>
          </cell>
        </row>
        <row r="317">
          <cell r="D317" t="str">
            <v>20120301KUUM_489</v>
          </cell>
          <cell r="E317">
            <v>17.7</v>
          </cell>
          <cell r="G317">
            <v>2.42</v>
          </cell>
          <cell r="H317">
            <v>4.18</v>
          </cell>
        </row>
        <row r="318">
          <cell r="D318" t="str">
            <v>20120301KUUM_490</v>
          </cell>
          <cell r="E318">
            <v>14.21</v>
          </cell>
          <cell r="G318">
            <v>2.08</v>
          </cell>
          <cell r="H318">
            <v>1.86</v>
          </cell>
        </row>
        <row r="319">
          <cell r="D319" t="str">
            <v>20120301KUUM_491</v>
          </cell>
          <cell r="E319">
            <v>20.120000000000005</v>
          </cell>
          <cell r="G319">
            <v>2.59</v>
          </cell>
          <cell r="H319">
            <v>4.03</v>
          </cell>
        </row>
        <row r="320">
          <cell r="D320" t="str">
            <v>20120301KUUM_492</v>
          </cell>
          <cell r="E320">
            <v>14.35</v>
          </cell>
          <cell r="G320">
            <v>1.32</v>
          </cell>
          <cell r="H320">
            <v>0.74</v>
          </cell>
        </row>
        <row r="321">
          <cell r="D321" t="str">
            <v>20120301KUUM_493</v>
          </cell>
          <cell r="E321">
            <v>41.7</v>
          </cell>
          <cell r="G321">
            <v>5.12</v>
          </cell>
          <cell r="H321">
            <v>9.6</v>
          </cell>
        </row>
        <row r="322">
          <cell r="D322" t="str">
            <v>20120301KUUM_494</v>
          </cell>
          <cell r="E322">
            <v>26.620000000000005</v>
          </cell>
          <cell r="G322">
            <v>2.08</v>
          </cell>
          <cell r="H322">
            <v>1.86</v>
          </cell>
        </row>
        <row r="323">
          <cell r="D323" t="str">
            <v>20120301KUUM_495</v>
          </cell>
          <cell r="E323">
            <v>32.53</v>
          </cell>
          <cell r="G323">
            <v>2.59</v>
          </cell>
          <cell r="H323">
            <v>4.03</v>
          </cell>
        </row>
        <row r="324">
          <cell r="D324" t="str">
            <v>20120301KUUM_496</v>
          </cell>
          <cell r="E324">
            <v>54.11</v>
          </cell>
          <cell r="G324">
            <v>5.12</v>
          </cell>
          <cell r="H324">
            <v>9.6</v>
          </cell>
        </row>
        <row r="325">
          <cell r="D325" t="str">
            <v>20120301KUUM_497</v>
          </cell>
          <cell r="E325">
            <v>14.38</v>
          </cell>
          <cell r="G325">
            <v>1.04</v>
          </cell>
          <cell r="H325">
            <v>1.04</v>
          </cell>
        </row>
        <row r="326">
          <cell r="D326" t="str">
            <v>20120301KUUM_498</v>
          </cell>
          <cell r="E326">
            <v>16.37</v>
          </cell>
          <cell r="G326">
            <v>1.78</v>
          </cell>
          <cell r="H326">
            <v>2.15</v>
          </cell>
        </row>
        <row r="327">
          <cell r="D327" t="str">
            <v>20120301KUUM_499</v>
          </cell>
          <cell r="E327">
            <v>19.649999999999999</v>
          </cell>
          <cell r="G327">
            <v>2.42</v>
          </cell>
          <cell r="H327">
            <v>4.18</v>
          </cell>
        </row>
        <row r="328">
          <cell r="D328" t="str">
            <v>20130101KUUM_300</v>
          </cell>
          <cell r="E328">
            <v>22.15</v>
          </cell>
          <cell r="G328">
            <v>0.03</v>
          </cell>
          <cell r="H328">
            <v>0.54</v>
          </cell>
        </row>
        <row r="329">
          <cell r="D329" t="str">
            <v>20130101KUUM_301</v>
          </cell>
          <cell r="E329">
            <v>23.1</v>
          </cell>
          <cell r="G329">
            <v>0.03</v>
          </cell>
          <cell r="H329">
            <v>1.04</v>
          </cell>
        </row>
        <row r="330">
          <cell r="D330" t="str">
            <v>20130101KUUM_360</v>
          </cell>
          <cell r="E330">
            <v>53.01</v>
          </cell>
          <cell r="G330">
            <v>0.23</v>
          </cell>
          <cell r="H330">
            <v>1.61</v>
          </cell>
        </row>
        <row r="331">
          <cell r="D331" t="str">
            <v>20130101KUUM_361</v>
          </cell>
          <cell r="E331">
            <v>80.84</v>
          </cell>
          <cell r="G331">
            <v>0.23</v>
          </cell>
          <cell r="H331">
            <v>1.61</v>
          </cell>
        </row>
        <row r="332">
          <cell r="D332" t="str">
            <v>20130101KUUM_362</v>
          </cell>
          <cell r="E332">
            <v>57.46</v>
          </cell>
          <cell r="G332">
            <v>0.23</v>
          </cell>
          <cell r="H332">
            <v>1.61</v>
          </cell>
        </row>
        <row r="333">
          <cell r="D333" t="str">
            <v>20130101KUUM_363</v>
          </cell>
          <cell r="E333">
            <v>59.43</v>
          </cell>
          <cell r="G333">
            <v>0.23</v>
          </cell>
          <cell r="H333">
            <v>1.61</v>
          </cell>
        </row>
        <row r="334">
          <cell r="D334" t="str">
            <v>20130101KUUM_364</v>
          </cell>
          <cell r="E334">
            <v>60.79</v>
          </cell>
          <cell r="G334">
            <v>0.23</v>
          </cell>
          <cell r="H334">
            <v>1.61</v>
          </cell>
        </row>
        <row r="335">
          <cell r="D335" t="str">
            <v>20130101KUUM_365</v>
          </cell>
          <cell r="E335">
            <v>78.62</v>
          </cell>
          <cell r="G335">
            <v>0.23</v>
          </cell>
          <cell r="H335">
            <v>1.61</v>
          </cell>
        </row>
        <row r="336">
          <cell r="D336" t="str">
            <v>20130101KUUM_366</v>
          </cell>
          <cell r="E336">
            <v>76.650000000000006</v>
          </cell>
          <cell r="G336">
            <v>0.23</v>
          </cell>
          <cell r="H336">
            <v>1.61</v>
          </cell>
        </row>
        <row r="337">
          <cell r="D337" t="str">
            <v>20130101KUUM_367</v>
          </cell>
          <cell r="E337">
            <v>58.910000000000004</v>
          </cell>
          <cell r="G337">
            <v>0.23</v>
          </cell>
          <cell r="H337">
            <v>1.61</v>
          </cell>
        </row>
        <row r="338">
          <cell r="D338" t="str">
            <v>20130101KUUM_368</v>
          </cell>
          <cell r="E338">
            <v>54.37</v>
          </cell>
          <cell r="G338">
            <v>0.23</v>
          </cell>
          <cell r="H338">
            <v>1.61</v>
          </cell>
        </row>
        <row r="339">
          <cell r="D339" t="str">
            <v>20130101KUUM_370</v>
          </cell>
          <cell r="E339">
            <v>72.2</v>
          </cell>
          <cell r="G339">
            <v>0.23</v>
          </cell>
          <cell r="H339">
            <v>1.61</v>
          </cell>
        </row>
        <row r="340">
          <cell r="D340" t="str">
            <v>20130101KUUM_371</v>
          </cell>
          <cell r="E340">
            <v>100.03</v>
          </cell>
          <cell r="G340">
            <v>0.23</v>
          </cell>
          <cell r="H340">
            <v>1.61</v>
          </cell>
        </row>
        <row r="341">
          <cell r="D341" t="str">
            <v>20130101KUUM_372</v>
          </cell>
          <cell r="E341">
            <v>79.98</v>
          </cell>
          <cell r="G341">
            <v>0.23</v>
          </cell>
          <cell r="H341">
            <v>1.61</v>
          </cell>
        </row>
        <row r="342">
          <cell r="D342" t="str">
            <v>20130101KUUM_373</v>
          </cell>
          <cell r="E342">
            <v>72.2</v>
          </cell>
          <cell r="G342">
            <v>0.23</v>
          </cell>
          <cell r="H342">
            <v>1.61</v>
          </cell>
        </row>
        <row r="343">
          <cell r="D343" t="str">
            <v>20130101KUUM_374</v>
          </cell>
          <cell r="E343">
            <v>73.56</v>
          </cell>
          <cell r="G343">
            <v>0.23</v>
          </cell>
          <cell r="H343">
            <v>1.61</v>
          </cell>
        </row>
        <row r="344">
          <cell r="D344" t="str">
            <v>20130101KUUM_375</v>
          </cell>
          <cell r="E344">
            <v>76.650000000000006</v>
          </cell>
          <cell r="G344">
            <v>0.23</v>
          </cell>
          <cell r="H344">
            <v>1.61</v>
          </cell>
        </row>
        <row r="345">
          <cell r="D345" t="str">
            <v>20130101KUUM_376</v>
          </cell>
          <cell r="E345">
            <v>74.94</v>
          </cell>
          <cell r="G345">
            <v>0.23</v>
          </cell>
          <cell r="H345">
            <v>1.61</v>
          </cell>
        </row>
        <row r="346">
          <cell r="D346" t="str">
            <v>20130101KUUM_377</v>
          </cell>
          <cell r="E346">
            <v>61.87</v>
          </cell>
          <cell r="G346">
            <v>0.23</v>
          </cell>
          <cell r="H346">
            <v>1.61</v>
          </cell>
        </row>
        <row r="347">
          <cell r="D347" t="str">
            <v>20130101KUUM_378</v>
          </cell>
          <cell r="E347">
            <v>73.58</v>
          </cell>
          <cell r="G347">
            <v>0.23</v>
          </cell>
          <cell r="H347">
            <v>1.61</v>
          </cell>
        </row>
        <row r="348">
          <cell r="D348" t="str">
            <v>20130101KUUM_379</v>
          </cell>
          <cell r="E348">
            <v>78.52</v>
          </cell>
          <cell r="G348">
            <v>0.23</v>
          </cell>
          <cell r="H348">
            <v>1.61</v>
          </cell>
        </row>
        <row r="349">
          <cell r="D349" t="str">
            <v>20130101KUUM_380</v>
          </cell>
          <cell r="E349">
            <v>82.44</v>
          </cell>
          <cell r="G349">
            <v>0.23</v>
          </cell>
          <cell r="H349">
            <v>1.61</v>
          </cell>
        </row>
        <row r="350">
          <cell r="D350" t="str">
            <v>20130101KUUM_381</v>
          </cell>
          <cell r="E350">
            <v>83.8</v>
          </cell>
          <cell r="G350">
            <v>0.23</v>
          </cell>
          <cell r="H350">
            <v>1.61</v>
          </cell>
        </row>
        <row r="351">
          <cell r="D351" t="str">
            <v>20130101KUUM_382</v>
          </cell>
          <cell r="E351">
            <v>80.899999999999991</v>
          </cell>
          <cell r="G351">
            <v>0.23</v>
          </cell>
          <cell r="H351">
            <v>1.61</v>
          </cell>
        </row>
        <row r="352">
          <cell r="D352" t="str">
            <v>20130101KUUM_395</v>
          </cell>
          <cell r="E352">
            <v>53.01</v>
          </cell>
          <cell r="G352">
            <v>0.23</v>
          </cell>
          <cell r="H352">
            <v>1.61</v>
          </cell>
        </row>
        <row r="353">
          <cell r="D353" t="str">
            <v>20130101KUUM_400</v>
          </cell>
          <cell r="G353">
            <v>0.03</v>
          </cell>
          <cell r="H353">
            <v>0.53</v>
          </cell>
        </row>
        <row r="354">
          <cell r="D354" t="str">
            <v>20130101KUUM_401</v>
          </cell>
          <cell r="E354">
            <v>14.41</v>
          </cell>
          <cell r="G354">
            <v>0.04</v>
          </cell>
          <cell r="H354">
            <v>0.74</v>
          </cell>
        </row>
        <row r="355">
          <cell r="D355" t="str">
            <v>20130101KUUM_404</v>
          </cell>
          <cell r="E355">
            <v>10.07</v>
          </cell>
          <cell r="G355">
            <v>0.04</v>
          </cell>
          <cell r="H355">
            <v>1.84</v>
          </cell>
        </row>
        <row r="356">
          <cell r="D356" t="str">
            <v>20130101KUUM_405</v>
          </cell>
          <cell r="E356">
            <v>14.28</v>
          </cell>
          <cell r="G356">
            <v>0.05</v>
          </cell>
          <cell r="H356">
            <v>4.03</v>
          </cell>
        </row>
        <row r="357">
          <cell r="D357" t="str">
            <v>20130101KUUM_406</v>
          </cell>
          <cell r="G357">
            <v>0.04</v>
          </cell>
          <cell r="H357">
            <v>1.84</v>
          </cell>
        </row>
        <row r="358">
          <cell r="D358" t="str">
            <v>20130101KUUM_407</v>
          </cell>
          <cell r="E358">
            <v>21.78</v>
          </cell>
          <cell r="G358">
            <v>0.08</v>
          </cell>
          <cell r="H358">
            <v>4.18</v>
          </cell>
        </row>
        <row r="359">
          <cell r="D359" t="str">
            <v>20130101KUUM_408</v>
          </cell>
          <cell r="E359">
            <v>12.01</v>
          </cell>
          <cell r="G359">
            <v>0.05</v>
          </cell>
          <cell r="H359">
            <v>4.03</v>
          </cell>
        </row>
        <row r="360">
          <cell r="D360" t="str">
            <v>20130101KUUM_409</v>
          </cell>
          <cell r="E360">
            <v>10.65</v>
          </cell>
          <cell r="G360">
            <v>0.08</v>
          </cell>
          <cell r="H360">
            <v>4.18</v>
          </cell>
        </row>
        <row r="361">
          <cell r="D361" t="str">
            <v>20130101KUUM_410</v>
          </cell>
          <cell r="E361">
            <v>19.920000000000002</v>
          </cell>
          <cell r="G361">
            <v>0.03</v>
          </cell>
          <cell r="H361">
            <v>0.53</v>
          </cell>
        </row>
        <row r="362">
          <cell r="D362" t="str">
            <v>20130101KUUM_411</v>
          </cell>
          <cell r="E362">
            <v>20.93</v>
          </cell>
          <cell r="G362">
            <v>0.04</v>
          </cell>
          <cell r="H362">
            <v>0.74</v>
          </cell>
        </row>
        <row r="363">
          <cell r="D363" t="str">
            <v>20130101KUUM_412</v>
          </cell>
          <cell r="E363">
            <v>30.39</v>
          </cell>
          <cell r="G363">
            <v>0.04</v>
          </cell>
          <cell r="H363">
            <v>0.74</v>
          </cell>
        </row>
        <row r="364">
          <cell r="D364" t="str">
            <v>20130101KUUM_413</v>
          </cell>
          <cell r="E364">
            <v>30.82</v>
          </cell>
          <cell r="G364">
            <v>0.03</v>
          </cell>
          <cell r="H364">
            <v>1.04</v>
          </cell>
        </row>
        <row r="365">
          <cell r="D365" t="str">
            <v>20130101KUUM_414</v>
          </cell>
          <cell r="E365">
            <v>30.39</v>
          </cell>
          <cell r="G365">
            <v>0.04</v>
          </cell>
          <cell r="H365">
            <v>0.74</v>
          </cell>
        </row>
        <row r="366">
          <cell r="D366" t="str">
            <v>20130101KUUM_415</v>
          </cell>
          <cell r="E366">
            <v>30.82</v>
          </cell>
          <cell r="G366">
            <v>0.03</v>
          </cell>
          <cell r="H366">
            <v>1.04</v>
          </cell>
        </row>
        <row r="367">
          <cell r="D367" t="str">
            <v>20130101KUUM_420</v>
          </cell>
          <cell r="E367">
            <v>14.96</v>
          </cell>
          <cell r="G367">
            <v>0.03</v>
          </cell>
          <cell r="H367">
            <v>1.04</v>
          </cell>
        </row>
        <row r="368">
          <cell r="D368" t="str">
            <v>20130101KUUM_421</v>
          </cell>
          <cell r="E368">
            <v>3.2</v>
          </cell>
          <cell r="G368">
            <v>0.01</v>
          </cell>
          <cell r="H368">
            <v>0.91</v>
          </cell>
        </row>
        <row r="369">
          <cell r="D369" t="str">
            <v>20130101KUUM_422</v>
          </cell>
          <cell r="E369">
            <v>4.25</v>
          </cell>
          <cell r="G369">
            <v>0.02</v>
          </cell>
          <cell r="H369">
            <v>1.79</v>
          </cell>
        </row>
        <row r="370">
          <cell r="D370" t="str">
            <v>20130101KUUM_424</v>
          </cell>
          <cell r="E370">
            <v>6.32</v>
          </cell>
          <cell r="G370">
            <v>0.02</v>
          </cell>
          <cell r="H370">
            <v>0.46</v>
          </cell>
        </row>
        <row r="371">
          <cell r="D371" t="str">
            <v>20130101KUUM_425</v>
          </cell>
          <cell r="E371">
            <v>8.43</v>
          </cell>
          <cell r="G371">
            <v>0.03</v>
          </cell>
          <cell r="H371">
            <v>3.97</v>
          </cell>
        </row>
        <row r="372">
          <cell r="D372" t="str">
            <v>20130101KUUM_426</v>
          </cell>
          <cell r="E372">
            <v>6.99</v>
          </cell>
          <cell r="G372">
            <v>0.04</v>
          </cell>
          <cell r="H372">
            <v>0.74</v>
          </cell>
        </row>
        <row r="373">
          <cell r="D373" t="str">
            <v>20130101KUUM_428</v>
          </cell>
          <cell r="E373">
            <v>7.44</v>
          </cell>
          <cell r="G373">
            <v>0.03</v>
          </cell>
          <cell r="H373">
            <v>1.04</v>
          </cell>
        </row>
        <row r="374">
          <cell r="D374" t="str">
            <v>20130101KUUM_429</v>
          </cell>
          <cell r="E374">
            <v>13.55</v>
          </cell>
          <cell r="G374">
            <v>0.06</v>
          </cell>
          <cell r="H374">
            <v>2.15</v>
          </cell>
        </row>
        <row r="375">
          <cell r="D375" t="str">
            <v>20130101KUUM_430</v>
          </cell>
          <cell r="E375">
            <v>21.6</v>
          </cell>
          <cell r="G375">
            <v>0.03</v>
          </cell>
          <cell r="H375">
            <v>1.04</v>
          </cell>
        </row>
        <row r="376">
          <cell r="D376" t="str">
            <v>20130101KUUM_431</v>
          </cell>
          <cell r="G376">
            <v>0.01</v>
          </cell>
          <cell r="H376">
            <v>0.91</v>
          </cell>
        </row>
        <row r="377">
          <cell r="D377" t="str">
            <v>20130101KUUM_432</v>
          </cell>
          <cell r="G377">
            <v>0.02</v>
          </cell>
          <cell r="H377">
            <v>1.79</v>
          </cell>
        </row>
        <row r="378">
          <cell r="D378" t="str">
            <v>20130101KUUM_433</v>
          </cell>
          <cell r="G378">
            <v>0.23</v>
          </cell>
          <cell r="H378">
            <v>1.61</v>
          </cell>
        </row>
        <row r="379">
          <cell r="D379" t="str">
            <v>20130101KUUM_434</v>
          </cell>
          <cell r="E379">
            <v>7.28</v>
          </cell>
          <cell r="G379">
            <v>0.02</v>
          </cell>
          <cell r="H379">
            <v>0.46</v>
          </cell>
        </row>
        <row r="380">
          <cell r="D380" t="str">
            <v>20130101KUUM_435</v>
          </cell>
          <cell r="G380">
            <v>0.03</v>
          </cell>
          <cell r="H380">
            <v>3.97</v>
          </cell>
        </row>
        <row r="381">
          <cell r="D381" t="str">
            <v>20130101KUUM_440</v>
          </cell>
          <cell r="E381">
            <v>13.27</v>
          </cell>
          <cell r="G381">
            <v>0.03</v>
          </cell>
          <cell r="H381">
            <v>0.53</v>
          </cell>
        </row>
        <row r="382">
          <cell r="D382" t="str">
            <v>20130101KUUM_441</v>
          </cell>
          <cell r="E382">
            <v>14.41</v>
          </cell>
          <cell r="G382">
            <v>0.04</v>
          </cell>
          <cell r="H382">
            <v>0.74</v>
          </cell>
        </row>
        <row r="383">
          <cell r="D383" t="str">
            <v>20130101KUUM_442</v>
          </cell>
          <cell r="E383">
            <v>14.96</v>
          </cell>
          <cell r="G383">
            <v>0.03</v>
          </cell>
          <cell r="H383">
            <v>1.04</v>
          </cell>
        </row>
        <row r="384">
          <cell r="D384" t="str">
            <v>20130101KUUM_444</v>
          </cell>
          <cell r="G384">
            <v>0.03</v>
          </cell>
          <cell r="H384">
            <v>0.53</v>
          </cell>
        </row>
        <row r="385">
          <cell r="D385" t="str">
            <v>20130101KUUM_445</v>
          </cell>
          <cell r="G385">
            <v>0.04</v>
          </cell>
          <cell r="H385">
            <v>0.74</v>
          </cell>
        </row>
        <row r="386">
          <cell r="D386" t="str">
            <v>20130101KUUM_446</v>
          </cell>
          <cell r="E386">
            <v>9.06</v>
          </cell>
          <cell r="G386">
            <v>0.04</v>
          </cell>
          <cell r="H386">
            <v>1.84</v>
          </cell>
        </row>
        <row r="387">
          <cell r="D387" t="str">
            <v>20130101KUUM_447</v>
          </cell>
          <cell r="E387">
            <v>10.7</v>
          </cell>
          <cell r="G387">
            <v>0.04</v>
          </cell>
          <cell r="H387">
            <v>2.62</v>
          </cell>
        </row>
        <row r="388">
          <cell r="D388" t="str">
            <v>20130101KUUM_448</v>
          </cell>
          <cell r="E388">
            <v>12.01</v>
          </cell>
          <cell r="G388">
            <v>0.05</v>
          </cell>
          <cell r="H388">
            <v>4.03</v>
          </cell>
        </row>
        <row r="389">
          <cell r="D389" t="str">
            <v>20130101KUUM_449</v>
          </cell>
          <cell r="E389">
            <v>21.6</v>
          </cell>
          <cell r="G389">
            <v>0.03</v>
          </cell>
          <cell r="H389">
            <v>1.04</v>
          </cell>
        </row>
        <row r="390">
          <cell r="D390" t="str">
            <v>20130101KUUM_450</v>
          </cell>
          <cell r="E390">
            <v>13.55</v>
          </cell>
          <cell r="G390">
            <v>7.0000000000000007E-2</v>
          </cell>
          <cell r="H390">
            <v>1.86</v>
          </cell>
        </row>
        <row r="391">
          <cell r="D391" t="str">
            <v>20130101KUUM_451</v>
          </cell>
          <cell r="E391">
            <v>19.18</v>
          </cell>
          <cell r="G391">
            <v>0.08</v>
          </cell>
          <cell r="H391">
            <v>4.03</v>
          </cell>
        </row>
        <row r="392">
          <cell r="D392" t="str">
            <v>20130101KUUM_452</v>
          </cell>
          <cell r="E392">
            <v>40</v>
          </cell>
          <cell r="G392">
            <v>0.16</v>
          </cell>
          <cell r="H392">
            <v>9.6</v>
          </cell>
        </row>
        <row r="393">
          <cell r="D393" t="str">
            <v>20130101KUUM_454</v>
          </cell>
          <cell r="E393">
            <v>17.95</v>
          </cell>
          <cell r="G393">
            <v>7.0000000000000007E-2</v>
          </cell>
          <cell r="H393">
            <v>1.86</v>
          </cell>
        </row>
        <row r="394">
          <cell r="D394" t="str">
            <v>20130101KUUM_455</v>
          </cell>
          <cell r="E394">
            <v>23.57</v>
          </cell>
          <cell r="G394">
            <v>0.08</v>
          </cell>
          <cell r="H394">
            <v>4.03</v>
          </cell>
        </row>
        <row r="395">
          <cell r="D395" t="str">
            <v>20130101KUUM_456</v>
          </cell>
          <cell r="E395">
            <v>11.37</v>
          </cell>
          <cell r="G395">
            <v>0.04</v>
          </cell>
          <cell r="H395">
            <v>1.84</v>
          </cell>
        </row>
        <row r="396">
          <cell r="D396" t="str">
            <v>20130101KUUM_457</v>
          </cell>
          <cell r="E396">
            <v>12.74</v>
          </cell>
          <cell r="G396">
            <v>0.04</v>
          </cell>
          <cell r="H396">
            <v>2.62</v>
          </cell>
        </row>
        <row r="397">
          <cell r="D397" t="str">
            <v>20130101KUUM_458</v>
          </cell>
          <cell r="E397">
            <v>14.28</v>
          </cell>
          <cell r="G397">
            <v>0.05</v>
          </cell>
          <cell r="H397">
            <v>4.03</v>
          </cell>
        </row>
        <row r="398">
          <cell r="D398" t="str">
            <v>20130101KUUM_459</v>
          </cell>
          <cell r="E398">
            <v>44.39</v>
          </cell>
          <cell r="G398">
            <v>0.16</v>
          </cell>
          <cell r="H398">
            <v>9.6</v>
          </cell>
        </row>
        <row r="399">
          <cell r="D399" t="str">
            <v>20130101KUUM_460</v>
          </cell>
          <cell r="E399">
            <v>26.45</v>
          </cell>
          <cell r="G399">
            <v>7.0000000000000007E-2</v>
          </cell>
          <cell r="H399">
            <v>1.86</v>
          </cell>
        </row>
        <row r="400">
          <cell r="D400" t="str">
            <v>20130101KUUM_461</v>
          </cell>
          <cell r="E400">
            <v>7.2</v>
          </cell>
          <cell r="G400">
            <v>0.03</v>
          </cell>
          <cell r="H400">
            <v>0.53</v>
          </cell>
        </row>
        <row r="401">
          <cell r="D401" t="str">
            <v>20130101KUUM_462</v>
          </cell>
          <cell r="E401">
            <v>8.2100000000000009</v>
          </cell>
          <cell r="G401">
            <v>0.04</v>
          </cell>
          <cell r="H401">
            <v>0.74</v>
          </cell>
        </row>
        <row r="402">
          <cell r="D402" t="str">
            <v>20130101KUUM_463</v>
          </cell>
          <cell r="E402">
            <v>8.74</v>
          </cell>
          <cell r="G402">
            <v>0.03</v>
          </cell>
          <cell r="H402">
            <v>1.04</v>
          </cell>
        </row>
        <row r="403">
          <cell r="D403" t="str">
            <v>20130101KUUM_464</v>
          </cell>
          <cell r="E403">
            <v>13.55</v>
          </cell>
          <cell r="G403">
            <v>0.06</v>
          </cell>
          <cell r="H403">
            <v>2.15</v>
          </cell>
        </row>
        <row r="404">
          <cell r="D404" t="str">
            <v>20130101KUUM_465</v>
          </cell>
          <cell r="E404">
            <v>21.78</v>
          </cell>
          <cell r="G404">
            <v>0.08</v>
          </cell>
          <cell r="H404">
            <v>4.18</v>
          </cell>
        </row>
        <row r="405">
          <cell r="D405" t="str">
            <v>20130101KUUM_466</v>
          </cell>
          <cell r="E405">
            <v>9.2799999999999994</v>
          </cell>
          <cell r="G405">
            <v>0.03</v>
          </cell>
          <cell r="H405">
            <v>0.53</v>
          </cell>
        </row>
        <row r="406">
          <cell r="D406" t="str">
            <v>20130101KUUM_467</v>
          </cell>
          <cell r="E406">
            <v>10.32</v>
          </cell>
          <cell r="G406">
            <v>0.04</v>
          </cell>
          <cell r="H406">
            <v>0.74</v>
          </cell>
        </row>
        <row r="407">
          <cell r="D407" t="str">
            <v>20130101KUUM_468</v>
          </cell>
          <cell r="E407">
            <v>10.76</v>
          </cell>
          <cell r="G407">
            <v>0.03</v>
          </cell>
          <cell r="H407">
            <v>1.04</v>
          </cell>
        </row>
        <row r="408">
          <cell r="D408" t="str">
            <v>20130101KUUM_469</v>
          </cell>
          <cell r="E408">
            <v>32.08</v>
          </cell>
          <cell r="G408">
            <v>0.08</v>
          </cell>
          <cell r="H408">
            <v>4.03</v>
          </cell>
        </row>
        <row r="409">
          <cell r="D409" t="str">
            <v>20130101KUUM_470</v>
          </cell>
          <cell r="E409">
            <v>52.9</v>
          </cell>
          <cell r="G409">
            <v>0.16</v>
          </cell>
          <cell r="H409">
            <v>9.6</v>
          </cell>
        </row>
        <row r="410">
          <cell r="D410" t="str">
            <v>20130101KUUM_471</v>
          </cell>
          <cell r="E410">
            <v>10.15</v>
          </cell>
          <cell r="G410">
            <v>0.03</v>
          </cell>
          <cell r="H410">
            <v>0.53</v>
          </cell>
        </row>
        <row r="411">
          <cell r="D411" t="str">
            <v>20130101KUUM_472</v>
          </cell>
          <cell r="E411">
            <v>11.15</v>
          </cell>
          <cell r="G411">
            <v>0.04</v>
          </cell>
          <cell r="H411">
            <v>0.74</v>
          </cell>
        </row>
        <row r="412">
          <cell r="D412" t="str">
            <v>20130101KUUM_473</v>
          </cell>
          <cell r="E412">
            <v>11.9</v>
          </cell>
          <cell r="G412">
            <v>0.03</v>
          </cell>
          <cell r="H412">
            <v>1.04</v>
          </cell>
        </row>
        <row r="413">
          <cell r="D413" t="str">
            <v>20130101KUUM_474</v>
          </cell>
          <cell r="E413">
            <v>16.71</v>
          </cell>
          <cell r="G413">
            <v>0.06</v>
          </cell>
          <cell r="H413">
            <v>2.15</v>
          </cell>
        </row>
        <row r="414">
          <cell r="D414" t="str">
            <v>20130101KUUM_475</v>
          </cell>
          <cell r="E414">
            <v>23.4</v>
          </cell>
          <cell r="G414">
            <v>0.08</v>
          </cell>
          <cell r="H414">
            <v>4.18</v>
          </cell>
        </row>
        <row r="415">
          <cell r="D415" t="str">
            <v>20130101KUUM_476</v>
          </cell>
          <cell r="E415">
            <v>16.34</v>
          </cell>
          <cell r="G415">
            <v>0.04</v>
          </cell>
          <cell r="H415">
            <v>0.74</v>
          </cell>
        </row>
        <row r="416">
          <cell r="D416" t="str">
            <v>20130101KUUM_477</v>
          </cell>
          <cell r="E416">
            <v>20.57</v>
          </cell>
          <cell r="G416">
            <v>0.03</v>
          </cell>
          <cell r="H416">
            <v>1.04</v>
          </cell>
        </row>
        <row r="417">
          <cell r="D417" t="str">
            <v>20130101KUUM_478</v>
          </cell>
          <cell r="E417">
            <v>26.16</v>
          </cell>
          <cell r="G417">
            <v>0.06</v>
          </cell>
          <cell r="H417">
            <v>2.15</v>
          </cell>
        </row>
        <row r="418">
          <cell r="D418" t="str">
            <v>20130101KUUM_479</v>
          </cell>
          <cell r="E418">
            <v>32.06</v>
          </cell>
          <cell r="G418">
            <v>0.08</v>
          </cell>
          <cell r="H418">
            <v>4.18</v>
          </cell>
        </row>
        <row r="419">
          <cell r="D419" t="str">
            <v>20130101KUUM_480</v>
          </cell>
          <cell r="G419">
            <v>0.03</v>
          </cell>
          <cell r="H419">
            <v>0.53</v>
          </cell>
        </row>
        <row r="420">
          <cell r="D420" t="str">
            <v>20130101KUUM_481</v>
          </cell>
          <cell r="G420">
            <v>0.04</v>
          </cell>
          <cell r="H420">
            <v>0.74</v>
          </cell>
        </row>
        <row r="421">
          <cell r="D421" t="str">
            <v>20130101KUUM_482</v>
          </cell>
          <cell r="E421">
            <v>10.76</v>
          </cell>
          <cell r="G421">
            <v>0.03</v>
          </cell>
          <cell r="H421">
            <v>1.04</v>
          </cell>
        </row>
        <row r="422">
          <cell r="D422" t="str">
            <v>20130101KUUM_483</v>
          </cell>
          <cell r="E422">
            <v>16.34</v>
          </cell>
          <cell r="G422">
            <v>0.04</v>
          </cell>
          <cell r="H422">
            <v>0.74</v>
          </cell>
        </row>
        <row r="423">
          <cell r="D423" t="str">
            <v>20130101KUUM_484</v>
          </cell>
          <cell r="E423">
            <v>20.57</v>
          </cell>
          <cell r="G423">
            <v>0.03</v>
          </cell>
          <cell r="H423">
            <v>1.04</v>
          </cell>
        </row>
        <row r="424">
          <cell r="D424" t="str">
            <v>20130101KUUM_485</v>
          </cell>
          <cell r="E424">
            <v>26.16</v>
          </cell>
          <cell r="G424">
            <v>0.06</v>
          </cell>
          <cell r="H424">
            <v>2.15</v>
          </cell>
        </row>
        <row r="425">
          <cell r="D425" t="str">
            <v>20130101KUUM_486</v>
          </cell>
          <cell r="E425">
            <v>32.06</v>
          </cell>
          <cell r="G425">
            <v>0.08</v>
          </cell>
          <cell r="H425">
            <v>4.18</v>
          </cell>
        </row>
        <row r="426">
          <cell r="D426" t="str">
            <v>20130101KUUM_487</v>
          </cell>
          <cell r="E426">
            <v>8.6</v>
          </cell>
          <cell r="G426">
            <v>0.03</v>
          </cell>
          <cell r="H426">
            <v>1.04</v>
          </cell>
        </row>
        <row r="427">
          <cell r="D427" t="str">
            <v>20130101KUUM_488</v>
          </cell>
          <cell r="E427">
            <v>12.94</v>
          </cell>
          <cell r="G427">
            <v>0.06</v>
          </cell>
          <cell r="H427">
            <v>2.15</v>
          </cell>
        </row>
        <row r="428">
          <cell r="D428" t="str">
            <v>20130101KUUM_489</v>
          </cell>
          <cell r="E428">
            <v>18.399999999999999</v>
          </cell>
          <cell r="G428">
            <v>0.08</v>
          </cell>
          <cell r="H428">
            <v>4.18</v>
          </cell>
        </row>
        <row r="429">
          <cell r="D429" t="str">
            <v>20130101KUUM_490</v>
          </cell>
          <cell r="E429">
            <v>14.77</v>
          </cell>
          <cell r="G429">
            <v>7.0000000000000007E-2</v>
          </cell>
          <cell r="H429">
            <v>1.86</v>
          </cell>
        </row>
        <row r="430">
          <cell r="D430" t="str">
            <v>20130101KUUM_491</v>
          </cell>
          <cell r="E430">
            <v>20.91</v>
          </cell>
          <cell r="G430">
            <v>0.08</v>
          </cell>
          <cell r="H430">
            <v>4.03</v>
          </cell>
        </row>
        <row r="431">
          <cell r="D431" t="str">
            <v>20130101KUUM_492</v>
          </cell>
          <cell r="E431">
            <v>14.92</v>
          </cell>
          <cell r="G431">
            <v>0.04</v>
          </cell>
          <cell r="H431">
            <v>0.74</v>
          </cell>
        </row>
        <row r="432">
          <cell r="D432" t="str">
            <v>20130101KUUM_493</v>
          </cell>
          <cell r="E432">
            <v>43.35</v>
          </cell>
          <cell r="G432">
            <v>0.16</v>
          </cell>
          <cell r="H432">
            <v>9.6</v>
          </cell>
        </row>
        <row r="433">
          <cell r="D433" t="str">
            <v>20130101KUUM_494</v>
          </cell>
          <cell r="E433">
            <v>27.67</v>
          </cell>
          <cell r="G433">
            <v>7.0000000000000007E-2</v>
          </cell>
          <cell r="H433">
            <v>1.86</v>
          </cell>
        </row>
        <row r="434">
          <cell r="D434" t="str">
            <v>20130101KUUM_495</v>
          </cell>
          <cell r="E434">
            <v>33.81</v>
          </cell>
          <cell r="G434">
            <v>0.08</v>
          </cell>
          <cell r="H434">
            <v>4.03</v>
          </cell>
        </row>
        <row r="435">
          <cell r="D435" t="str">
            <v>20130101KUUM_496</v>
          </cell>
          <cell r="E435">
            <v>56.24</v>
          </cell>
          <cell r="G435">
            <v>0.16</v>
          </cell>
          <cell r="H435">
            <v>9.6</v>
          </cell>
        </row>
        <row r="436">
          <cell r="D436" t="str">
            <v>20130101KUUM_497</v>
          </cell>
          <cell r="E436">
            <v>14.95</v>
          </cell>
          <cell r="G436">
            <v>0.03</v>
          </cell>
          <cell r="H436">
            <v>1.04</v>
          </cell>
        </row>
        <row r="437">
          <cell r="D437" t="str">
            <v>20130101KUUM_498</v>
          </cell>
          <cell r="E437">
            <v>17.02</v>
          </cell>
          <cell r="G437">
            <v>0.06</v>
          </cell>
          <cell r="H437">
            <v>2.15</v>
          </cell>
        </row>
        <row r="438">
          <cell r="D438" t="str">
            <v>20130101KUUM_499</v>
          </cell>
          <cell r="E438">
            <v>20.43</v>
          </cell>
          <cell r="G438">
            <v>0.08</v>
          </cell>
          <cell r="H438">
            <v>4.18</v>
          </cell>
        </row>
        <row r="439">
          <cell r="D439" t="str">
            <v>20130701KUUM_300</v>
          </cell>
          <cell r="E439">
            <v>22.19</v>
          </cell>
          <cell r="G439">
            <v>0.03</v>
          </cell>
          <cell r="H439">
            <v>0.58000000000000185</v>
          </cell>
        </row>
        <row r="440">
          <cell r="D440" t="str">
            <v>20130701KUUM_301</v>
          </cell>
          <cell r="E440">
            <v>23.19</v>
          </cell>
          <cell r="G440">
            <v>0.03</v>
          </cell>
          <cell r="H440">
            <v>1.129999999999999</v>
          </cell>
        </row>
        <row r="441">
          <cell r="D441" t="str">
            <v>20130701KUUM_360</v>
          </cell>
          <cell r="E441">
            <v>53.15</v>
          </cell>
          <cell r="G441">
            <v>0.23</v>
          </cell>
          <cell r="H441">
            <v>1.75</v>
          </cell>
        </row>
        <row r="442">
          <cell r="D442" t="str">
            <v>20130701KUUM_361</v>
          </cell>
          <cell r="E442">
            <v>80.98</v>
          </cell>
          <cell r="G442">
            <v>0.23</v>
          </cell>
          <cell r="H442">
            <v>1.75</v>
          </cell>
        </row>
        <row r="443">
          <cell r="D443" t="str">
            <v>20130701KUUM_362</v>
          </cell>
          <cell r="E443">
            <v>57.6</v>
          </cell>
          <cell r="G443">
            <v>0.23</v>
          </cell>
          <cell r="H443">
            <v>1.75</v>
          </cell>
        </row>
        <row r="444">
          <cell r="D444" t="str">
            <v>20130701KUUM_363</v>
          </cell>
          <cell r="E444">
            <v>59.57</v>
          </cell>
          <cell r="G444">
            <v>0.23</v>
          </cell>
          <cell r="H444">
            <v>1.75</v>
          </cell>
        </row>
        <row r="445">
          <cell r="D445" t="str">
            <v>20130701KUUM_364</v>
          </cell>
          <cell r="E445">
            <v>60.93</v>
          </cell>
          <cell r="G445">
            <v>0.23</v>
          </cell>
          <cell r="H445">
            <v>1.75</v>
          </cell>
        </row>
        <row r="446">
          <cell r="D446" t="str">
            <v>20130701KUUM_365</v>
          </cell>
          <cell r="E446">
            <v>78.760000000000005</v>
          </cell>
          <cell r="G446">
            <v>0.23</v>
          </cell>
          <cell r="H446">
            <v>1.75</v>
          </cell>
        </row>
        <row r="447">
          <cell r="D447" t="str">
            <v>20130701KUUM_366</v>
          </cell>
          <cell r="E447">
            <v>76.790000000000006</v>
          </cell>
          <cell r="G447">
            <v>0.23</v>
          </cell>
          <cell r="H447">
            <v>1.75</v>
          </cell>
        </row>
        <row r="448">
          <cell r="D448" t="str">
            <v>20130701KUUM_367</v>
          </cell>
          <cell r="E448">
            <v>59.050000000000004</v>
          </cell>
          <cell r="G448">
            <v>0.23</v>
          </cell>
          <cell r="H448">
            <v>1.75</v>
          </cell>
        </row>
        <row r="449">
          <cell r="D449" t="str">
            <v>20130701KUUM_368</v>
          </cell>
          <cell r="E449">
            <v>54.51</v>
          </cell>
          <cell r="G449">
            <v>0.23</v>
          </cell>
          <cell r="H449">
            <v>1.75</v>
          </cell>
        </row>
        <row r="450">
          <cell r="D450" t="str">
            <v>20130701KUUM_370</v>
          </cell>
          <cell r="E450">
            <v>72.34</v>
          </cell>
          <cell r="G450">
            <v>0.23</v>
          </cell>
          <cell r="H450">
            <v>1.75</v>
          </cell>
        </row>
        <row r="451">
          <cell r="D451" t="str">
            <v>20130701KUUM_371</v>
          </cell>
          <cell r="E451">
            <v>100.17</v>
          </cell>
          <cell r="G451">
            <v>0.23</v>
          </cell>
          <cell r="H451">
            <v>1.75</v>
          </cell>
        </row>
        <row r="452">
          <cell r="D452" t="str">
            <v>20130701KUUM_372</v>
          </cell>
          <cell r="E452">
            <v>80.12</v>
          </cell>
          <cell r="G452">
            <v>0.23</v>
          </cell>
          <cell r="H452">
            <v>1.75</v>
          </cell>
        </row>
        <row r="453">
          <cell r="D453" t="str">
            <v>20130701KUUM_373</v>
          </cell>
          <cell r="E453">
            <v>72.34</v>
          </cell>
          <cell r="G453">
            <v>0.23</v>
          </cell>
          <cell r="H453">
            <v>1.75</v>
          </cell>
        </row>
        <row r="454">
          <cell r="D454" t="str">
            <v>20130701KUUM_374</v>
          </cell>
          <cell r="E454">
            <v>73.7</v>
          </cell>
          <cell r="G454">
            <v>0.23</v>
          </cell>
          <cell r="H454">
            <v>1.75</v>
          </cell>
        </row>
        <row r="455">
          <cell r="D455" t="str">
            <v>20130701KUUM_375</v>
          </cell>
          <cell r="E455">
            <v>76.790000000000006</v>
          </cell>
          <cell r="G455">
            <v>0.23</v>
          </cell>
          <cell r="H455">
            <v>1.75</v>
          </cell>
        </row>
        <row r="456">
          <cell r="D456" t="str">
            <v>20130701KUUM_376</v>
          </cell>
          <cell r="E456">
            <v>75.08</v>
          </cell>
          <cell r="G456">
            <v>0.23</v>
          </cell>
          <cell r="H456">
            <v>1.75</v>
          </cell>
        </row>
        <row r="457">
          <cell r="D457" t="str">
            <v>20130701KUUM_377</v>
          </cell>
          <cell r="E457">
            <v>62.01</v>
          </cell>
          <cell r="G457">
            <v>0.23</v>
          </cell>
          <cell r="H457">
            <v>1.75</v>
          </cell>
        </row>
        <row r="458">
          <cell r="D458" t="str">
            <v>20130701KUUM_378</v>
          </cell>
          <cell r="E458">
            <v>73.72</v>
          </cell>
          <cell r="G458">
            <v>0.23</v>
          </cell>
          <cell r="H458">
            <v>1.75</v>
          </cell>
        </row>
        <row r="459">
          <cell r="D459" t="str">
            <v>20130701KUUM_379</v>
          </cell>
          <cell r="E459">
            <v>78.66</v>
          </cell>
          <cell r="G459">
            <v>0.23</v>
          </cell>
          <cell r="H459">
            <v>1.75</v>
          </cell>
        </row>
        <row r="460">
          <cell r="D460" t="str">
            <v>20130701KUUM_380</v>
          </cell>
          <cell r="E460">
            <v>82.58</v>
          </cell>
          <cell r="G460">
            <v>0.23</v>
          </cell>
          <cell r="H460">
            <v>1.75</v>
          </cell>
        </row>
        <row r="461">
          <cell r="D461" t="str">
            <v>20130701KUUM_381</v>
          </cell>
          <cell r="E461">
            <v>83.94</v>
          </cell>
          <cell r="G461">
            <v>0.23</v>
          </cell>
          <cell r="H461">
            <v>1.75</v>
          </cell>
        </row>
        <row r="462">
          <cell r="D462" t="str">
            <v>20130701KUUM_382</v>
          </cell>
          <cell r="E462">
            <v>81.039999999999992</v>
          </cell>
          <cell r="G462">
            <v>0.23</v>
          </cell>
          <cell r="H462">
            <v>1.75</v>
          </cell>
        </row>
        <row r="463">
          <cell r="D463" t="str">
            <v>20130701KUUM_395</v>
          </cell>
          <cell r="E463">
            <v>53.15</v>
          </cell>
          <cell r="G463">
            <v>0.23</v>
          </cell>
          <cell r="H463">
            <v>1.75</v>
          </cell>
        </row>
        <row r="464">
          <cell r="D464" t="str">
            <v>20130701KUUM_400</v>
          </cell>
        </row>
        <row r="465">
          <cell r="D465" t="str">
            <v>20130701KUUM_401</v>
          </cell>
          <cell r="E465">
            <v>14.47</v>
          </cell>
          <cell r="G465">
            <v>0.04</v>
          </cell>
          <cell r="H465">
            <v>0.80000000000000071</v>
          </cell>
        </row>
        <row r="466">
          <cell r="D466" t="str">
            <v>20130701KUUM_404</v>
          </cell>
          <cell r="E466">
            <v>10.220000000000001</v>
          </cell>
          <cell r="G466">
            <v>0.04</v>
          </cell>
          <cell r="H466">
            <v>1.9900000000000002</v>
          </cell>
        </row>
        <row r="467">
          <cell r="D467" t="str">
            <v>20130701KUUM_405</v>
          </cell>
        </row>
        <row r="468">
          <cell r="D468" t="str">
            <v>20130701KUUM_406</v>
          </cell>
        </row>
        <row r="469">
          <cell r="D469" t="str">
            <v>20130701KUUM_407</v>
          </cell>
        </row>
        <row r="470">
          <cell r="D470" t="str">
            <v>20130701KUUM_408</v>
          </cell>
        </row>
        <row r="471">
          <cell r="D471" t="str">
            <v>20130701KUUM_409</v>
          </cell>
          <cell r="E471">
            <v>11</v>
          </cell>
          <cell r="G471">
            <v>0.08</v>
          </cell>
          <cell r="H471">
            <v>4.5299999999999994</v>
          </cell>
        </row>
        <row r="472">
          <cell r="D472" t="str">
            <v>20130701KUUM_410</v>
          </cell>
          <cell r="E472">
            <v>19.96</v>
          </cell>
          <cell r="G472">
            <v>0.03</v>
          </cell>
          <cell r="H472">
            <v>0.57000000000000028</v>
          </cell>
        </row>
        <row r="473">
          <cell r="D473" t="str">
            <v>20130701KUUM_411</v>
          </cell>
          <cell r="E473">
            <v>20.99</v>
          </cell>
          <cell r="G473">
            <v>0.04</v>
          </cell>
          <cell r="H473">
            <v>0.79999999999999716</v>
          </cell>
        </row>
        <row r="474">
          <cell r="D474" t="str">
            <v>20130701KUUM_412</v>
          </cell>
          <cell r="E474">
            <v>30.45</v>
          </cell>
          <cell r="G474">
            <v>0.04</v>
          </cell>
          <cell r="H474">
            <v>0.79999999999999716</v>
          </cell>
        </row>
        <row r="475">
          <cell r="D475" t="str">
            <v>20130701KUUM_413</v>
          </cell>
          <cell r="E475">
            <v>30.91</v>
          </cell>
          <cell r="G475">
            <v>0.03</v>
          </cell>
          <cell r="H475">
            <v>1.129999999999999</v>
          </cell>
        </row>
        <row r="476">
          <cell r="D476" t="str">
            <v>20130701KUUM_414</v>
          </cell>
          <cell r="E476">
            <v>30.45</v>
          </cell>
          <cell r="G476">
            <v>0.04</v>
          </cell>
          <cell r="H476">
            <v>0.79999999999999716</v>
          </cell>
        </row>
        <row r="477">
          <cell r="D477" t="str">
            <v>20130701KUUM_415</v>
          </cell>
          <cell r="E477">
            <v>30.91</v>
          </cell>
          <cell r="G477">
            <v>0.03</v>
          </cell>
          <cell r="H477">
            <v>1.129999999999999</v>
          </cell>
        </row>
        <row r="478">
          <cell r="D478" t="str">
            <v>20130701KUUM_420</v>
          </cell>
          <cell r="E478">
            <v>15.05</v>
          </cell>
          <cell r="G478">
            <v>0.03</v>
          </cell>
          <cell r="H478">
            <v>1.1300000000000008</v>
          </cell>
        </row>
        <row r="479">
          <cell r="D479" t="str">
            <v>20130701KUUM_421</v>
          </cell>
          <cell r="E479">
            <v>3.28</v>
          </cell>
          <cell r="G479">
            <v>0.01</v>
          </cell>
          <cell r="H479">
            <v>0.98999999999999977</v>
          </cell>
        </row>
        <row r="480">
          <cell r="D480" t="str">
            <v>20130701KUUM_422</v>
          </cell>
          <cell r="E480">
            <v>4.4000000000000004</v>
          </cell>
          <cell r="G480">
            <v>0.02</v>
          </cell>
          <cell r="H480">
            <v>1.9400000000000004</v>
          </cell>
        </row>
        <row r="481">
          <cell r="D481" t="str">
            <v>20130701KUUM_424</v>
          </cell>
          <cell r="E481">
            <v>6.56</v>
          </cell>
          <cell r="G481">
            <v>0.02</v>
          </cell>
          <cell r="H481">
            <v>0.69999999999999929</v>
          </cell>
        </row>
        <row r="482">
          <cell r="D482" t="str">
            <v>20130701KUUM_425</v>
          </cell>
          <cell r="E482">
            <v>8.76</v>
          </cell>
          <cell r="G482">
            <v>0.03</v>
          </cell>
          <cell r="H482">
            <v>4.3000000000000007</v>
          </cell>
        </row>
        <row r="483">
          <cell r="D483" t="str">
            <v>20130701KUUM_426</v>
          </cell>
          <cell r="E483">
            <v>7.05</v>
          </cell>
          <cell r="G483">
            <v>0.04</v>
          </cell>
          <cell r="H483">
            <v>0.79999999999999982</v>
          </cell>
        </row>
        <row r="484">
          <cell r="D484" t="str">
            <v>20130701KUUM_428</v>
          </cell>
          <cell r="E484">
            <v>7.53</v>
          </cell>
          <cell r="G484">
            <v>0.03</v>
          </cell>
          <cell r="H484">
            <v>1.1299999999999999</v>
          </cell>
        </row>
        <row r="485">
          <cell r="D485" t="str">
            <v>20130701KUUM_429</v>
          </cell>
        </row>
        <row r="486">
          <cell r="D486" t="str">
            <v>20130701KUUM_430</v>
          </cell>
          <cell r="E486">
            <v>21.69</v>
          </cell>
          <cell r="G486">
            <v>0.03</v>
          </cell>
          <cell r="H486">
            <v>1.129999999999999</v>
          </cell>
        </row>
        <row r="487">
          <cell r="D487" t="str">
            <v>20130701KUUM_431</v>
          </cell>
        </row>
        <row r="488">
          <cell r="D488" t="str">
            <v>20130701KUUM_432</v>
          </cell>
        </row>
        <row r="489">
          <cell r="D489" t="str">
            <v>20130701KUUM_433</v>
          </cell>
        </row>
        <row r="490">
          <cell r="D490" t="str">
            <v>20130701KUUM_434</v>
          </cell>
          <cell r="E490">
            <v>7.52</v>
          </cell>
          <cell r="G490">
            <v>0.02</v>
          </cell>
          <cell r="H490">
            <v>0.69999999999999929</v>
          </cell>
        </row>
        <row r="491">
          <cell r="D491" t="str">
            <v>20130701KUUM_435</v>
          </cell>
        </row>
        <row r="492">
          <cell r="D492" t="str">
            <v>20130701KUUM_440</v>
          </cell>
          <cell r="E492">
            <v>13.31</v>
          </cell>
          <cell r="G492">
            <v>0.03</v>
          </cell>
          <cell r="H492">
            <v>0.57000000000000028</v>
          </cell>
        </row>
        <row r="493">
          <cell r="D493" t="str">
            <v>20130701KUUM_441</v>
          </cell>
        </row>
        <row r="494">
          <cell r="D494" t="str">
            <v>20130701KUUM_442</v>
          </cell>
        </row>
        <row r="495">
          <cell r="D495" t="str">
            <v>20130701KUUM_444</v>
          </cell>
        </row>
        <row r="496">
          <cell r="D496" t="str">
            <v>20130701KUUM_445</v>
          </cell>
        </row>
        <row r="497">
          <cell r="D497" t="str">
            <v>20130701KUUM_446</v>
          </cell>
          <cell r="E497">
            <v>9.2100000000000009</v>
          </cell>
          <cell r="G497">
            <v>0.04</v>
          </cell>
          <cell r="H497">
            <v>1.9900000000000002</v>
          </cell>
        </row>
        <row r="498">
          <cell r="D498" t="str">
            <v>20130701KUUM_447</v>
          </cell>
          <cell r="E498">
            <v>10.92</v>
          </cell>
          <cell r="G498">
            <v>0.04</v>
          </cell>
          <cell r="H498">
            <v>2.8400000000000016</v>
          </cell>
        </row>
        <row r="499">
          <cell r="D499" t="str">
            <v>20130701KUUM_448</v>
          </cell>
          <cell r="E499">
            <v>12.35</v>
          </cell>
          <cell r="G499">
            <v>0.05</v>
          </cell>
          <cell r="H499">
            <v>4.37</v>
          </cell>
        </row>
        <row r="500">
          <cell r="D500" t="str">
            <v>20130701KUUM_449</v>
          </cell>
        </row>
        <row r="501">
          <cell r="D501" t="str">
            <v>20130701KUUM_450</v>
          </cell>
          <cell r="E501">
            <v>13.66</v>
          </cell>
          <cell r="G501">
            <v>7.0000000000000007E-2</v>
          </cell>
          <cell r="H501">
            <v>1.9699999999999989</v>
          </cell>
        </row>
        <row r="502">
          <cell r="D502" t="str">
            <v>20130701KUUM_451</v>
          </cell>
          <cell r="E502">
            <v>19.440000000000001</v>
          </cell>
          <cell r="G502">
            <v>0.08</v>
          </cell>
          <cell r="H502">
            <v>4.2900000000000027</v>
          </cell>
        </row>
        <row r="503">
          <cell r="D503" t="str">
            <v>20130701KUUM_452</v>
          </cell>
          <cell r="E503">
            <v>40.81</v>
          </cell>
          <cell r="G503">
            <v>0.16</v>
          </cell>
          <cell r="H503">
            <v>10.410000000000004</v>
          </cell>
        </row>
        <row r="504">
          <cell r="D504" t="str">
            <v>20130701KUUM_454</v>
          </cell>
          <cell r="E504">
            <v>18.059999999999999</v>
          </cell>
          <cell r="G504">
            <v>7.0000000000000007E-2</v>
          </cell>
          <cell r="H504">
            <v>1.9699999999999989</v>
          </cell>
        </row>
        <row r="505">
          <cell r="D505" t="str">
            <v>20130701KUUM_455</v>
          </cell>
          <cell r="E505">
            <v>23.83</v>
          </cell>
          <cell r="G505">
            <v>0.08</v>
          </cell>
          <cell r="H505">
            <v>4.2899999999999991</v>
          </cell>
        </row>
        <row r="506">
          <cell r="D506" t="str">
            <v>20130701KUUM_456</v>
          </cell>
          <cell r="E506">
            <v>11.52</v>
          </cell>
          <cell r="G506">
            <v>0.04</v>
          </cell>
          <cell r="H506">
            <v>1.9900000000000002</v>
          </cell>
        </row>
        <row r="507">
          <cell r="D507" t="str">
            <v>20130701KUUM_457</v>
          </cell>
          <cell r="E507">
            <v>12.96</v>
          </cell>
          <cell r="G507">
            <v>0.04</v>
          </cell>
          <cell r="H507">
            <v>2.84</v>
          </cell>
        </row>
        <row r="508">
          <cell r="D508" t="str">
            <v>20130701KUUM_458</v>
          </cell>
          <cell r="E508">
            <v>14.62</v>
          </cell>
          <cell r="G508">
            <v>0.05</v>
          </cell>
          <cell r="H508">
            <v>4.3699999999999992</v>
          </cell>
        </row>
        <row r="509">
          <cell r="D509" t="str">
            <v>20130701KUUM_459</v>
          </cell>
          <cell r="E509">
            <v>45.2</v>
          </cell>
          <cell r="G509">
            <v>0.16</v>
          </cell>
          <cell r="H509">
            <v>10.410000000000004</v>
          </cell>
        </row>
        <row r="510">
          <cell r="D510" t="str">
            <v>20130701KUUM_460</v>
          </cell>
          <cell r="E510">
            <v>26.56</v>
          </cell>
          <cell r="G510">
            <v>7.0000000000000007E-2</v>
          </cell>
          <cell r="H510">
            <v>1.9699999999999989</v>
          </cell>
        </row>
        <row r="511">
          <cell r="D511" t="str">
            <v>20130701KUUM_461</v>
          </cell>
          <cell r="E511">
            <v>7.24</v>
          </cell>
          <cell r="G511">
            <v>0.03</v>
          </cell>
          <cell r="H511">
            <v>0.57000000000000028</v>
          </cell>
        </row>
        <row r="512">
          <cell r="D512" t="str">
            <v>20130701KUUM_462</v>
          </cell>
          <cell r="E512">
            <v>8.27</v>
          </cell>
          <cell r="G512">
            <v>0.04</v>
          </cell>
          <cell r="H512">
            <v>0.79999999999999893</v>
          </cell>
        </row>
        <row r="513">
          <cell r="D513" t="str">
            <v>20130701KUUM_463</v>
          </cell>
          <cell r="E513">
            <v>8.83</v>
          </cell>
          <cell r="G513">
            <v>0.03</v>
          </cell>
          <cell r="H513">
            <v>1.1299999999999999</v>
          </cell>
        </row>
        <row r="514">
          <cell r="D514" t="str">
            <v>20130701KUUM_464</v>
          </cell>
          <cell r="E514">
            <v>13.73</v>
          </cell>
          <cell r="G514">
            <v>0.06</v>
          </cell>
          <cell r="H514">
            <v>2.33</v>
          </cell>
        </row>
        <row r="515">
          <cell r="D515" t="str">
            <v>20130701KUUM_465</v>
          </cell>
          <cell r="E515">
            <v>22.13</v>
          </cell>
          <cell r="G515">
            <v>0.08</v>
          </cell>
          <cell r="H515">
            <v>4.5299999999999976</v>
          </cell>
        </row>
        <row r="516">
          <cell r="D516" t="str">
            <v>20130701KUUM_466</v>
          </cell>
          <cell r="E516">
            <v>9.32</v>
          </cell>
          <cell r="G516">
            <v>0.03</v>
          </cell>
          <cell r="H516">
            <v>0.57000000000000028</v>
          </cell>
        </row>
        <row r="517">
          <cell r="D517" t="str">
            <v>20130701KUUM_467</v>
          </cell>
          <cell r="E517">
            <v>10.38</v>
          </cell>
          <cell r="G517">
            <v>0.04</v>
          </cell>
          <cell r="H517">
            <v>0.80000000000000071</v>
          </cell>
        </row>
        <row r="518">
          <cell r="D518" t="str">
            <v>20130701KUUM_468</v>
          </cell>
          <cell r="E518">
            <v>10.85</v>
          </cell>
          <cell r="G518">
            <v>0.03</v>
          </cell>
          <cell r="H518">
            <v>1.129999999999999</v>
          </cell>
        </row>
        <row r="519">
          <cell r="D519" t="str">
            <v>20130701KUUM_469</v>
          </cell>
          <cell r="E519">
            <v>32.340000000000003</v>
          </cell>
          <cell r="G519">
            <v>0.08</v>
          </cell>
          <cell r="H519">
            <v>4.2900000000000063</v>
          </cell>
        </row>
        <row r="520">
          <cell r="D520" t="str">
            <v>20130701KUUM_470</v>
          </cell>
          <cell r="E520">
            <v>53.71</v>
          </cell>
          <cell r="G520">
            <v>0.16</v>
          </cell>
          <cell r="H520">
            <v>10.410000000000004</v>
          </cell>
        </row>
        <row r="521">
          <cell r="D521" t="str">
            <v>20130701KUUM_471</v>
          </cell>
          <cell r="E521">
            <v>10.19</v>
          </cell>
          <cell r="G521">
            <v>0.03</v>
          </cell>
          <cell r="H521">
            <v>0.56999999999999851</v>
          </cell>
        </row>
        <row r="522">
          <cell r="D522" t="str">
            <v>20130701KUUM_472</v>
          </cell>
          <cell r="E522">
            <v>11.21</v>
          </cell>
          <cell r="G522">
            <v>0.04</v>
          </cell>
          <cell r="H522">
            <v>0.80000000000000071</v>
          </cell>
        </row>
        <row r="523">
          <cell r="D523" t="str">
            <v>20130701KUUM_473</v>
          </cell>
          <cell r="E523">
            <v>11.99</v>
          </cell>
          <cell r="G523">
            <v>0.03</v>
          </cell>
          <cell r="H523">
            <v>1.129999999999999</v>
          </cell>
        </row>
        <row r="524">
          <cell r="D524" t="str">
            <v>20130701KUUM_474</v>
          </cell>
          <cell r="E524">
            <v>16.89</v>
          </cell>
          <cell r="G524">
            <v>0.06</v>
          </cell>
          <cell r="H524">
            <v>2.33</v>
          </cell>
        </row>
        <row r="525">
          <cell r="D525" t="str">
            <v>20130701KUUM_475</v>
          </cell>
          <cell r="E525">
            <v>23.75</v>
          </cell>
          <cell r="G525">
            <v>0.08</v>
          </cell>
          <cell r="H525">
            <v>4.5300000000000011</v>
          </cell>
        </row>
        <row r="526">
          <cell r="D526" t="str">
            <v>20130701KUUM_476</v>
          </cell>
          <cell r="E526">
            <v>16.399999999999999</v>
          </cell>
          <cell r="G526">
            <v>0.04</v>
          </cell>
          <cell r="H526">
            <v>0.79999999999999893</v>
          </cell>
        </row>
        <row r="527">
          <cell r="D527" t="str">
            <v>20130701KUUM_477</v>
          </cell>
          <cell r="E527">
            <v>20.66</v>
          </cell>
          <cell r="G527">
            <v>0.03</v>
          </cell>
          <cell r="H527">
            <v>1.129999999999999</v>
          </cell>
        </row>
        <row r="528">
          <cell r="D528" t="str">
            <v>20130701KUUM_478</v>
          </cell>
          <cell r="E528">
            <v>26.34</v>
          </cell>
          <cell r="G528">
            <v>0.06</v>
          </cell>
          <cell r="H528">
            <v>2.3299999999999983</v>
          </cell>
        </row>
        <row r="529">
          <cell r="D529" t="str">
            <v>20130701KUUM_479</v>
          </cell>
          <cell r="E529">
            <v>32.409999999999997</v>
          </cell>
          <cell r="G529">
            <v>0.08</v>
          </cell>
          <cell r="H529">
            <v>4.529999999999994</v>
          </cell>
        </row>
        <row r="530">
          <cell r="D530" t="str">
            <v>20130701KUUM_480</v>
          </cell>
        </row>
        <row r="531">
          <cell r="D531" t="str">
            <v>20130701KUUM_481</v>
          </cell>
        </row>
        <row r="532">
          <cell r="D532" t="str">
            <v>20130701KUUM_482</v>
          </cell>
        </row>
        <row r="533">
          <cell r="D533" t="str">
            <v>20130701KUUM_483</v>
          </cell>
        </row>
        <row r="534">
          <cell r="D534" t="str">
            <v>20130701KUUM_484</v>
          </cell>
        </row>
        <row r="535">
          <cell r="D535" t="str">
            <v>20130701KUUM_485</v>
          </cell>
        </row>
        <row r="536">
          <cell r="D536" t="str">
            <v>20130701KUUM_486</v>
          </cell>
        </row>
        <row r="537">
          <cell r="D537" t="str">
            <v>20130701KUUM_487</v>
          </cell>
          <cell r="E537">
            <v>8.69</v>
          </cell>
          <cell r="G537">
            <v>0.03</v>
          </cell>
          <cell r="H537">
            <v>1.1299999999999999</v>
          </cell>
        </row>
        <row r="538">
          <cell r="D538" t="str">
            <v>20130701KUUM_488</v>
          </cell>
          <cell r="E538">
            <v>13.12</v>
          </cell>
          <cell r="G538">
            <v>0.06</v>
          </cell>
          <cell r="H538">
            <v>2.33</v>
          </cell>
        </row>
        <row r="539">
          <cell r="D539" t="str">
            <v>20130701KUUM_489</v>
          </cell>
          <cell r="E539">
            <v>18.75</v>
          </cell>
          <cell r="G539">
            <v>0.08</v>
          </cell>
          <cell r="H539">
            <v>4.5300000000000011</v>
          </cell>
        </row>
        <row r="540">
          <cell r="D540" t="str">
            <v>20130701KUUM_490</v>
          </cell>
          <cell r="E540">
            <v>14.88</v>
          </cell>
          <cell r="G540">
            <v>7.0000000000000007E-2</v>
          </cell>
          <cell r="H540">
            <v>1.9700000000000006</v>
          </cell>
        </row>
        <row r="541">
          <cell r="D541" t="str">
            <v>20130701KUUM_491</v>
          </cell>
          <cell r="E541">
            <v>21.17</v>
          </cell>
          <cell r="G541">
            <v>0.08</v>
          </cell>
          <cell r="H541">
            <v>4.2900000000000027</v>
          </cell>
        </row>
        <row r="542">
          <cell r="D542" t="str">
            <v>20130701KUUM_492</v>
          </cell>
          <cell r="E542">
            <v>14.98</v>
          </cell>
          <cell r="G542">
            <v>0.04</v>
          </cell>
          <cell r="H542">
            <v>0.80000000000000071</v>
          </cell>
        </row>
        <row r="543">
          <cell r="D543" t="str">
            <v>20130701KUUM_493</v>
          </cell>
          <cell r="E543">
            <v>44.16</v>
          </cell>
          <cell r="G543">
            <v>0.16</v>
          </cell>
          <cell r="H543">
            <v>10.409999999999997</v>
          </cell>
        </row>
        <row r="544">
          <cell r="D544" t="str">
            <v>20130701KUUM_494</v>
          </cell>
          <cell r="E544">
            <v>27.78</v>
          </cell>
          <cell r="G544">
            <v>7.0000000000000007E-2</v>
          </cell>
          <cell r="H544">
            <v>1.9699999999999989</v>
          </cell>
        </row>
        <row r="545">
          <cell r="D545" t="str">
            <v>20130701KUUM_495</v>
          </cell>
          <cell r="E545">
            <v>34.07</v>
          </cell>
          <cell r="G545">
            <v>0.08</v>
          </cell>
          <cell r="H545">
            <v>4.2899999999999991</v>
          </cell>
        </row>
        <row r="546">
          <cell r="D546" t="str">
            <v>20130701KUUM_496</v>
          </cell>
          <cell r="E546">
            <v>57.05</v>
          </cell>
          <cell r="G546">
            <v>0.16</v>
          </cell>
          <cell r="H546">
            <v>10.409999999999997</v>
          </cell>
        </row>
        <row r="547">
          <cell r="D547" t="str">
            <v>20130701KUUM_497</v>
          </cell>
          <cell r="E547">
            <v>15.04</v>
          </cell>
          <cell r="G547">
            <v>0.03</v>
          </cell>
          <cell r="H547">
            <v>1.1300000000000008</v>
          </cell>
        </row>
        <row r="548">
          <cell r="D548" t="str">
            <v>20130701KUUM_498</v>
          </cell>
          <cell r="E548">
            <v>17.2</v>
          </cell>
          <cell r="G548">
            <v>0.06</v>
          </cell>
          <cell r="H548">
            <v>2.33</v>
          </cell>
        </row>
        <row r="549">
          <cell r="D549" t="str">
            <v>20130701KUUM_499</v>
          </cell>
          <cell r="E549">
            <v>20.78</v>
          </cell>
          <cell r="G549">
            <v>0.08</v>
          </cell>
          <cell r="H549">
            <v>4.5300000000000011</v>
          </cell>
        </row>
        <row r="550">
          <cell r="D550" t="str">
            <v>20140101KUUM_300</v>
          </cell>
          <cell r="E550">
            <v>22.49</v>
          </cell>
          <cell r="G550">
            <v>0.33</v>
          </cell>
          <cell r="H550">
            <v>0.58000000000000185</v>
          </cell>
        </row>
        <row r="551">
          <cell r="D551" t="str">
            <v>20140101KUUM_301</v>
          </cell>
          <cell r="E551">
            <v>23.5</v>
          </cell>
          <cell r="G551">
            <v>0.34</v>
          </cell>
          <cell r="H551">
            <v>1.129999999999999</v>
          </cell>
        </row>
        <row r="552">
          <cell r="D552" t="str">
            <v>20140101KUUM_360</v>
          </cell>
          <cell r="E552">
            <v>55.33</v>
          </cell>
          <cell r="G552">
            <v>2.41</v>
          </cell>
          <cell r="H552">
            <v>1.75</v>
          </cell>
        </row>
        <row r="553">
          <cell r="D553" t="str">
            <v>20140101KUUM_361</v>
          </cell>
          <cell r="E553">
            <v>83.16</v>
          </cell>
          <cell r="G553">
            <v>2.41</v>
          </cell>
          <cell r="H553">
            <v>1.75</v>
          </cell>
        </row>
        <row r="554">
          <cell r="D554" t="str">
            <v>20140101KUUM_362</v>
          </cell>
          <cell r="E554">
            <v>59.78</v>
          </cell>
          <cell r="G554">
            <v>2.41</v>
          </cell>
          <cell r="H554">
            <v>1.75</v>
          </cell>
        </row>
        <row r="555">
          <cell r="D555" t="str">
            <v>20140101KUUM_363</v>
          </cell>
          <cell r="E555">
            <v>61.75</v>
          </cell>
          <cell r="G555">
            <v>2.41</v>
          </cell>
          <cell r="H555">
            <v>1.75</v>
          </cell>
        </row>
        <row r="556">
          <cell r="D556" t="str">
            <v>20140101KUUM_364</v>
          </cell>
          <cell r="E556">
            <v>63.11</v>
          </cell>
          <cell r="G556">
            <v>2.41</v>
          </cell>
          <cell r="H556">
            <v>1.75</v>
          </cell>
        </row>
        <row r="557">
          <cell r="D557" t="str">
            <v>20140101KUUM_365</v>
          </cell>
          <cell r="E557">
            <v>80.94</v>
          </cell>
          <cell r="G557">
            <v>2.41</v>
          </cell>
          <cell r="H557">
            <v>1.75</v>
          </cell>
        </row>
        <row r="558">
          <cell r="D558" t="str">
            <v>20140101KUUM_366</v>
          </cell>
          <cell r="E558">
            <v>78.97</v>
          </cell>
          <cell r="G558">
            <v>2.41</v>
          </cell>
          <cell r="H558">
            <v>1.75</v>
          </cell>
        </row>
        <row r="559">
          <cell r="D559" t="str">
            <v>20140101KUUM_367</v>
          </cell>
          <cell r="E559">
            <v>61.230000000000004</v>
          </cell>
          <cell r="G559">
            <v>2.41</v>
          </cell>
          <cell r="H559">
            <v>1.75</v>
          </cell>
        </row>
        <row r="560">
          <cell r="D560" t="str">
            <v>20140101KUUM_368</v>
          </cell>
          <cell r="E560">
            <v>56.69</v>
          </cell>
          <cell r="G560">
            <v>2.41</v>
          </cell>
          <cell r="H560">
            <v>1.75</v>
          </cell>
        </row>
        <row r="561">
          <cell r="D561" t="str">
            <v>20140101KUUM_370</v>
          </cell>
          <cell r="E561">
            <v>74.52</v>
          </cell>
          <cell r="G561">
            <v>2.41</v>
          </cell>
          <cell r="H561">
            <v>1.75</v>
          </cell>
        </row>
        <row r="562">
          <cell r="D562" t="str">
            <v>20140101KUUM_371</v>
          </cell>
          <cell r="E562">
            <v>102.35</v>
          </cell>
          <cell r="G562">
            <v>2.41</v>
          </cell>
          <cell r="H562">
            <v>1.75</v>
          </cell>
        </row>
        <row r="563">
          <cell r="D563" t="str">
            <v>20140101KUUM_372</v>
          </cell>
          <cell r="E563">
            <v>82.3</v>
          </cell>
          <cell r="G563">
            <v>2.41</v>
          </cell>
          <cell r="H563">
            <v>1.75</v>
          </cell>
        </row>
        <row r="564">
          <cell r="D564" t="str">
            <v>20140101KUUM_373</v>
          </cell>
          <cell r="E564">
            <v>74.52</v>
          </cell>
          <cell r="G564">
            <v>2.41</v>
          </cell>
          <cell r="H564">
            <v>1.75</v>
          </cell>
        </row>
        <row r="565">
          <cell r="D565" t="str">
            <v>20140101KUUM_374</v>
          </cell>
          <cell r="E565">
            <v>75.88</v>
          </cell>
          <cell r="G565">
            <v>2.41</v>
          </cell>
          <cell r="H565">
            <v>1.75</v>
          </cell>
        </row>
        <row r="566">
          <cell r="D566" t="str">
            <v>20140101KUUM_375</v>
          </cell>
          <cell r="E566">
            <v>78.97</v>
          </cell>
          <cell r="G566">
            <v>2.41</v>
          </cell>
          <cell r="H566">
            <v>1.75</v>
          </cell>
        </row>
        <row r="567">
          <cell r="D567" t="str">
            <v>20140101KUUM_376</v>
          </cell>
          <cell r="E567">
            <v>77.259999999999991</v>
          </cell>
          <cell r="G567">
            <v>2.41</v>
          </cell>
          <cell r="H567">
            <v>1.75</v>
          </cell>
        </row>
        <row r="568">
          <cell r="D568" t="str">
            <v>20140101KUUM_377</v>
          </cell>
          <cell r="E568">
            <v>64.19</v>
          </cell>
          <cell r="G568">
            <v>2.41</v>
          </cell>
          <cell r="H568">
            <v>1.75</v>
          </cell>
        </row>
        <row r="569">
          <cell r="D569" t="str">
            <v>20140101KUUM_378</v>
          </cell>
          <cell r="E569">
            <v>75.899999999999991</v>
          </cell>
          <cell r="G569">
            <v>2.41</v>
          </cell>
          <cell r="H569">
            <v>1.75</v>
          </cell>
        </row>
        <row r="570">
          <cell r="D570" t="str">
            <v>20140101KUUM_379</v>
          </cell>
          <cell r="E570">
            <v>80.839999999999989</v>
          </cell>
          <cell r="G570">
            <v>2.41</v>
          </cell>
          <cell r="H570">
            <v>1.75</v>
          </cell>
        </row>
        <row r="571">
          <cell r="D571" t="str">
            <v>20140101KUUM_380</v>
          </cell>
          <cell r="E571">
            <v>84.759999999999991</v>
          </cell>
          <cell r="G571">
            <v>2.41</v>
          </cell>
          <cell r="H571">
            <v>1.75</v>
          </cell>
        </row>
        <row r="572">
          <cell r="D572" t="str">
            <v>20140101KUUM_381</v>
          </cell>
          <cell r="E572">
            <v>86.11999999999999</v>
          </cell>
          <cell r="G572">
            <v>2.41</v>
          </cell>
          <cell r="H572">
            <v>1.75</v>
          </cell>
        </row>
        <row r="573">
          <cell r="D573" t="str">
            <v>20140101KUUM_382</v>
          </cell>
          <cell r="E573">
            <v>83.219999999999985</v>
          </cell>
          <cell r="G573">
            <v>2.41</v>
          </cell>
          <cell r="H573">
            <v>1.75</v>
          </cell>
        </row>
        <row r="574">
          <cell r="D574" t="str">
            <v>20140101KUUM_395</v>
          </cell>
          <cell r="E574">
            <v>55.33</v>
          </cell>
          <cell r="G574">
            <v>2.41</v>
          </cell>
          <cell r="H574">
            <v>1.75</v>
          </cell>
        </row>
        <row r="575">
          <cell r="D575" t="str">
            <v>20140101KUUM_400</v>
          </cell>
        </row>
        <row r="576">
          <cell r="D576" t="str">
            <v>20140101KUUM_401</v>
          </cell>
          <cell r="E576">
            <v>14.860000000000001</v>
          </cell>
          <cell r="G576">
            <v>0.43</v>
          </cell>
          <cell r="H576">
            <v>0.80000000000000071</v>
          </cell>
        </row>
        <row r="577">
          <cell r="D577" t="str">
            <v>20140101KUUM_404</v>
          </cell>
          <cell r="E577">
            <v>10.570000000000002</v>
          </cell>
          <cell r="G577">
            <v>0.39</v>
          </cell>
          <cell r="H577">
            <v>1.9900000000000002</v>
          </cell>
        </row>
        <row r="578">
          <cell r="D578" t="str">
            <v>20140101KUUM_405</v>
          </cell>
        </row>
        <row r="579">
          <cell r="D579" t="str">
            <v>20140101KUUM_406</v>
          </cell>
        </row>
        <row r="580">
          <cell r="D580" t="str">
            <v>20140101KUUM_407</v>
          </cell>
        </row>
        <row r="581">
          <cell r="D581" t="str">
            <v>20140101KUUM_408</v>
          </cell>
        </row>
        <row r="582">
          <cell r="D582" t="str">
            <v>20140101KUUM_409</v>
          </cell>
          <cell r="E582">
            <v>11.71</v>
          </cell>
          <cell r="G582">
            <v>0.79</v>
          </cell>
          <cell r="H582">
            <v>4.5299999999999994</v>
          </cell>
        </row>
        <row r="583">
          <cell r="D583" t="str">
            <v>20140101KUUM_410</v>
          </cell>
          <cell r="E583">
            <v>20.259999999999998</v>
          </cell>
          <cell r="G583">
            <v>0.33</v>
          </cell>
          <cell r="H583">
            <v>0.57000000000000028</v>
          </cell>
        </row>
        <row r="584">
          <cell r="D584" t="str">
            <v>20140101KUUM_411</v>
          </cell>
          <cell r="E584">
            <v>21.38</v>
          </cell>
          <cell r="G584">
            <v>0.43</v>
          </cell>
          <cell r="H584">
            <v>0.79999999999999716</v>
          </cell>
        </row>
        <row r="585">
          <cell r="D585" t="str">
            <v>20140101KUUM_412</v>
          </cell>
          <cell r="E585">
            <v>30.84</v>
          </cell>
          <cell r="G585">
            <v>0.43</v>
          </cell>
          <cell r="H585">
            <v>0.79999999999999716</v>
          </cell>
        </row>
        <row r="586">
          <cell r="D586" t="str">
            <v>20140101KUUM_413</v>
          </cell>
          <cell r="E586">
            <v>31.22</v>
          </cell>
          <cell r="G586">
            <v>0.34</v>
          </cell>
          <cell r="H586">
            <v>1.129999999999999</v>
          </cell>
        </row>
        <row r="587">
          <cell r="D587" t="str">
            <v>20140101KUUM_414</v>
          </cell>
          <cell r="E587">
            <v>30.84</v>
          </cell>
          <cell r="G587">
            <v>0.43</v>
          </cell>
          <cell r="H587">
            <v>0.79999999999999716</v>
          </cell>
        </row>
        <row r="588">
          <cell r="D588" t="str">
            <v>20140101KUUM_415</v>
          </cell>
          <cell r="E588">
            <v>31.22</v>
          </cell>
          <cell r="G588">
            <v>0.34</v>
          </cell>
          <cell r="H588">
            <v>1.129999999999999</v>
          </cell>
        </row>
        <row r="589">
          <cell r="D589" t="str">
            <v>20140101KUUM_420</v>
          </cell>
          <cell r="E589">
            <v>15.360000000000001</v>
          </cell>
          <cell r="G589">
            <v>0.34</v>
          </cell>
          <cell r="H589">
            <v>1.1300000000000008</v>
          </cell>
        </row>
        <row r="590">
          <cell r="D590" t="str">
            <v>20140101KUUM_421</v>
          </cell>
          <cell r="E590">
            <v>3.39</v>
          </cell>
          <cell r="G590">
            <v>0.12</v>
          </cell>
          <cell r="H590">
            <v>0.98999999999999977</v>
          </cell>
        </row>
        <row r="591">
          <cell r="D591" t="str">
            <v>20140101KUUM_422</v>
          </cell>
          <cell r="E591">
            <v>4.5400000000000009</v>
          </cell>
          <cell r="G591">
            <v>0.16</v>
          </cell>
          <cell r="H591">
            <v>1.9400000000000004</v>
          </cell>
        </row>
        <row r="592">
          <cell r="D592" t="str">
            <v>20140101KUUM_424</v>
          </cell>
          <cell r="E592">
            <v>6.78</v>
          </cell>
          <cell r="G592">
            <v>0.24</v>
          </cell>
          <cell r="H592">
            <v>0.69999999999999929</v>
          </cell>
        </row>
        <row r="593">
          <cell r="D593" t="str">
            <v>20140101KUUM_425</v>
          </cell>
          <cell r="E593">
            <v>9.06</v>
          </cell>
          <cell r="G593">
            <v>0.33</v>
          </cell>
          <cell r="H593">
            <v>4.3000000000000007</v>
          </cell>
        </row>
        <row r="594">
          <cell r="D594" t="str">
            <v>20140101KUUM_426</v>
          </cell>
          <cell r="E594">
            <v>7.4399999999999995</v>
          </cell>
          <cell r="G594">
            <v>0.43</v>
          </cell>
          <cell r="H594">
            <v>0.79999999999999982</v>
          </cell>
        </row>
        <row r="595">
          <cell r="D595" t="str">
            <v>20140101KUUM_428</v>
          </cell>
          <cell r="E595">
            <v>7.84</v>
          </cell>
          <cell r="G595">
            <v>0.34</v>
          </cell>
          <cell r="H595">
            <v>1.1299999999999999</v>
          </cell>
        </row>
        <row r="596">
          <cell r="D596" t="str">
            <v>20140101KUUM_429</v>
          </cell>
        </row>
        <row r="597">
          <cell r="D597" t="str">
            <v>20140101KUUM_430</v>
          </cell>
          <cell r="E597">
            <v>22</v>
          </cell>
          <cell r="G597">
            <v>0.34</v>
          </cell>
          <cell r="H597">
            <v>1.129999999999999</v>
          </cell>
        </row>
        <row r="598">
          <cell r="D598" t="str">
            <v>20140101KUUM_431</v>
          </cell>
        </row>
        <row r="599">
          <cell r="D599" t="str">
            <v>20140101KUUM_432</v>
          </cell>
        </row>
        <row r="600">
          <cell r="D600" t="str">
            <v>20140101KUUM_433</v>
          </cell>
        </row>
        <row r="601">
          <cell r="D601" t="str">
            <v>20140101KUUM_434</v>
          </cell>
          <cell r="E601">
            <v>7.74</v>
          </cell>
          <cell r="G601">
            <v>0.24</v>
          </cell>
          <cell r="H601">
            <v>0.69999999999999929</v>
          </cell>
        </row>
        <row r="602">
          <cell r="D602" t="str">
            <v>20140101KUUM_435</v>
          </cell>
        </row>
        <row r="603">
          <cell r="D603" t="str">
            <v>20140101KUUM_440</v>
          </cell>
          <cell r="E603">
            <v>13.610000000000001</v>
          </cell>
          <cell r="G603">
            <v>0.33</v>
          </cell>
          <cell r="H603">
            <v>0.57000000000000028</v>
          </cell>
        </row>
        <row r="604">
          <cell r="D604" t="str">
            <v>20140101KUUM_441</v>
          </cell>
        </row>
        <row r="605">
          <cell r="D605" t="str">
            <v>20140101KUUM_442</v>
          </cell>
        </row>
        <row r="606">
          <cell r="D606" t="str">
            <v>20140101KUUM_444</v>
          </cell>
        </row>
        <row r="607">
          <cell r="D607" t="str">
            <v>20140101KUUM_445</v>
          </cell>
        </row>
        <row r="608">
          <cell r="D608" t="str">
            <v>20140101KUUM_446</v>
          </cell>
          <cell r="E608">
            <v>9.5600000000000023</v>
          </cell>
          <cell r="G608">
            <v>0.39</v>
          </cell>
          <cell r="H608">
            <v>1.9900000000000002</v>
          </cell>
        </row>
        <row r="609">
          <cell r="D609" t="str">
            <v>20140101KUUM_447</v>
          </cell>
          <cell r="E609">
            <v>11.32</v>
          </cell>
          <cell r="G609">
            <v>0.44</v>
          </cell>
          <cell r="H609">
            <v>2.8400000000000016</v>
          </cell>
        </row>
        <row r="610">
          <cell r="D610" t="str">
            <v>20140101KUUM_448</v>
          </cell>
          <cell r="E610">
            <v>12.809999999999999</v>
          </cell>
          <cell r="G610">
            <v>0.51</v>
          </cell>
          <cell r="H610">
            <v>4.37</v>
          </cell>
        </row>
        <row r="611">
          <cell r="D611" t="str">
            <v>20140101KUUM_449</v>
          </cell>
        </row>
        <row r="612">
          <cell r="D612" t="str">
            <v>20140101KUUM_450</v>
          </cell>
          <cell r="E612">
            <v>14.25</v>
          </cell>
          <cell r="G612">
            <v>0.66</v>
          </cell>
          <cell r="H612">
            <v>1.9699999999999989</v>
          </cell>
        </row>
        <row r="613">
          <cell r="D613" t="str">
            <v>20140101KUUM_451</v>
          </cell>
          <cell r="E613">
            <v>20.200000000000003</v>
          </cell>
          <cell r="G613">
            <v>0.84</v>
          </cell>
          <cell r="H613">
            <v>4.2900000000000027</v>
          </cell>
        </row>
        <row r="614">
          <cell r="D614" t="str">
            <v>20140101KUUM_452</v>
          </cell>
          <cell r="E614">
            <v>42.350000000000009</v>
          </cell>
          <cell r="G614">
            <v>1.7</v>
          </cell>
          <cell r="H614">
            <v>10.410000000000004</v>
          </cell>
        </row>
        <row r="615">
          <cell r="D615" t="str">
            <v>20140101KUUM_454</v>
          </cell>
          <cell r="E615">
            <v>18.649999999999999</v>
          </cell>
          <cell r="G615">
            <v>0.66</v>
          </cell>
          <cell r="H615">
            <v>1.9699999999999989</v>
          </cell>
        </row>
        <row r="616">
          <cell r="D616" t="str">
            <v>20140101KUUM_455</v>
          </cell>
          <cell r="E616">
            <v>24.59</v>
          </cell>
          <cell r="G616">
            <v>0.84</v>
          </cell>
          <cell r="H616">
            <v>4.2899999999999991</v>
          </cell>
        </row>
        <row r="617">
          <cell r="D617" t="str">
            <v>20140101KUUM_456</v>
          </cell>
          <cell r="E617">
            <v>11.870000000000001</v>
          </cell>
          <cell r="G617">
            <v>0.39</v>
          </cell>
          <cell r="H617">
            <v>1.9900000000000002</v>
          </cell>
        </row>
        <row r="618">
          <cell r="D618" t="str">
            <v>20140101KUUM_457</v>
          </cell>
          <cell r="E618">
            <v>13.360000000000001</v>
          </cell>
          <cell r="G618">
            <v>0.44</v>
          </cell>
          <cell r="H618">
            <v>2.84</v>
          </cell>
        </row>
        <row r="619">
          <cell r="D619" t="str">
            <v>20140101KUUM_458</v>
          </cell>
          <cell r="E619">
            <v>15.079999999999998</v>
          </cell>
          <cell r="G619">
            <v>0.51</v>
          </cell>
          <cell r="H619">
            <v>4.3699999999999992</v>
          </cell>
        </row>
        <row r="620">
          <cell r="D620" t="str">
            <v>20140101KUUM_459</v>
          </cell>
          <cell r="E620">
            <v>46.740000000000009</v>
          </cell>
          <cell r="G620">
            <v>1.7</v>
          </cell>
          <cell r="H620">
            <v>10.410000000000004</v>
          </cell>
        </row>
        <row r="621">
          <cell r="D621" t="str">
            <v>20140101KUUM_460</v>
          </cell>
          <cell r="E621">
            <v>27.15</v>
          </cell>
          <cell r="G621">
            <v>0.66</v>
          </cell>
          <cell r="H621">
            <v>1.9699999999999989</v>
          </cell>
        </row>
        <row r="622">
          <cell r="D622" t="str">
            <v>20140101KUUM_461</v>
          </cell>
          <cell r="E622">
            <v>7.54</v>
          </cell>
          <cell r="G622">
            <v>0.33</v>
          </cell>
          <cell r="H622">
            <v>0.57000000000000028</v>
          </cell>
        </row>
        <row r="623">
          <cell r="D623" t="str">
            <v>20140101KUUM_462</v>
          </cell>
          <cell r="E623">
            <v>8.66</v>
          </cell>
          <cell r="G623">
            <v>0.43</v>
          </cell>
          <cell r="H623">
            <v>0.79999999999999893</v>
          </cell>
        </row>
        <row r="624">
          <cell r="D624" t="str">
            <v>20140101KUUM_463</v>
          </cell>
          <cell r="E624">
            <v>9.14</v>
          </cell>
          <cell r="G624">
            <v>0.34</v>
          </cell>
          <cell r="H624">
            <v>1.1299999999999999</v>
          </cell>
        </row>
        <row r="625">
          <cell r="D625" t="str">
            <v>20140101KUUM_464</v>
          </cell>
          <cell r="E625">
            <v>14.25</v>
          </cell>
          <cell r="G625">
            <v>0.57999999999999996</v>
          </cell>
          <cell r="H625">
            <v>2.33</v>
          </cell>
        </row>
        <row r="626">
          <cell r="D626" t="str">
            <v>20140101KUUM_465</v>
          </cell>
          <cell r="E626">
            <v>22.84</v>
          </cell>
          <cell r="G626">
            <v>0.79</v>
          </cell>
          <cell r="H626">
            <v>4.5299999999999976</v>
          </cell>
        </row>
        <row r="627">
          <cell r="D627" t="str">
            <v>20140101KUUM_466</v>
          </cell>
          <cell r="E627">
            <v>9.620000000000001</v>
          </cell>
          <cell r="G627">
            <v>0.33</v>
          </cell>
          <cell r="H627">
            <v>0.57000000000000028</v>
          </cell>
        </row>
        <row r="628">
          <cell r="D628" t="str">
            <v>20140101KUUM_467</v>
          </cell>
          <cell r="E628">
            <v>10.770000000000001</v>
          </cell>
          <cell r="G628">
            <v>0.43</v>
          </cell>
          <cell r="H628">
            <v>0.80000000000000071</v>
          </cell>
        </row>
        <row r="629">
          <cell r="D629" t="str">
            <v>20140101KUUM_468</v>
          </cell>
          <cell r="E629">
            <v>11.16</v>
          </cell>
          <cell r="G629">
            <v>0.34</v>
          </cell>
          <cell r="H629">
            <v>1.129999999999999</v>
          </cell>
        </row>
        <row r="630">
          <cell r="D630" t="str">
            <v>20140101KUUM_469</v>
          </cell>
          <cell r="E630">
            <v>33.100000000000009</v>
          </cell>
          <cell r="G630">
            <v>0.84</v>
          </cell>
          <cell r="H630">
            <v>4.2900000000000063</v>
          </cell>
        </row>
        <row r="631">
          <cell r="D631" t="str">
            <v>20140101KUUM_470</v>
          </cell>
          <cell r="E631">
            <v>55.250000000000007</v>
          </cell>
          <cell r="G631">
            <v>1.7</v>
          </cell>
          <cell r="H631">
            <v>10.410000000000004</v>
          </cell>
        </row>
        <row r="632">
          <cell r="D632" t="str">
            <v>20140101KUUM_471</v>
          </cell>
          <cell r="E632">
            <v>10.49</v>
          </cell>
          <cell r="G632">
            <v>0.33</v>
          </cell>
          <cell r="H632">
            <v>0.56999999999999851</v>
          </cell>
        </row>
        <row r="633">
          <cell r="D633" t="str">
            <v>20140101KUUM_472</v>
          </cell>
          <cell r="E633">
            <v>11.600000000000001</v>
          </cell>
          <cell r="G633">
            <v>0.43</v>
          </cell>
          <cell r="H633">
            <v>0.80000000000000071</v>
          </cell>
        </row>
        <row r="634">
          <cell r="D634" t="str">
            <v>20140101KUUM_473</v>
          </cell>
          <cell r="E634">
            <v>12.3</v>
          </cell>
          <cell r="G634">
            <v>0.34</v>
          </cell>
          <cell r="H634">
            <v>1.129999999999999</v>
          </cell>
        </row>
        <row r="635">
          <cell r="D635" t="str">
            <v>20140101KUUM_474</v>
          </cell>
          <cell r="E635">
            <v>17.41</v>
          </cell>
          <cell r="G635">
            <v>0.57999999999999996</v>
          </cell>
          <cell r="H635">
            <v>2.33</v>
          </cell>
        </row>
        <row r="636">
          <cell r="D636" t="str">
            <v>20140101KUUM_475</v>
          </cell>
          <cell r="E636">
            <v>24.46</v>
          </cell>
          <cell r="G636">
            <v>0.79</v>
          </cell>
          <cell r="H636">
            <v>4.5300000000000011</v>
          </cell>
        </row>
        <row r="637">
          <cell r="D637" t="str">
            <v>20140101KUUM_476</v>
          </cell>
          <cell r="E637">
            <v>16.79</v>
          </cell>
          <cell r="G637">
            <v>0.43</v>
          </cell>
          <cell r="H637">
            <v>0.79999999999999893</v>
          </cell>
        </row>
        <row r="638">
          <cell r="D638" t="str">
            <v>20140101KUUM_477</v>
          </cell>
          <cell r="E638">
            <v>20.97</v>
          </cell>
          <cell r="G638">
            <v>0.34</v>
          </cell>
          <cell r="H638">
            <v>1.129999999999999</v>
          </cell>
        </row>
        <row r="639">
          <cell r="D639" t="str">
            <v>20140101KUUM_478</v>
          </cell>
          <cell r="E639">
            <v>26.86</v>
          </cell>
          <cell r="G639">
            <v>0.57999999999999996</v>
          </cell>
          <cell r="H639">
            <v>2.3299999999999983</v>
          </cell>
        </row>
        <row r="640">
          <cell r="D640" t="str">
            <v>20140101KUUM_479</v>
          </cell>
          <cell r="E640">
            <v>33.119999999999997</v>
          </cell>
          <cell r="G640">
            <v>0.79</v>
          </cell>
          <cell r="H640">
            <v>4.529999999999994</v>
          </cell>
        </row>
        <row r="641">
          <cell r="D641" t="str">
            <v>20140101KUUM_480</v>
          </cell>
        </row>
        <row r="642">
          <cell r="D642" t="str">
            <v>20140101KUUM_481</v>
          </cell>
        </row>
        <row r="643">
          <cell r="D643" t="str">
            <v>20140101KUUM_482</v>
          </cell>
        </row>
        <row r="644">
          <cell r="D644" t="str">
            <v>20140101KUUM_483</v>
          </cell>
        </row>
        <row r="645">
          <cell r="D645" t="str">
            <v>20140101KUUM_484</v>
          </cell>
        </row>
        <row r="646">
          <cell r="D646" t="str">
            <v>20140101KUUM_485</v>
          </cell>
        </row>
        <row r="647">
          <cell r="D647" t="str">
            <v>20140101KUUM_486</v>
          </cell>
        </row>
        <row r="648">
          <cell r="D648" t="str">
            <v>20140101KUUM_487</v>
          </cell>
          <cell r="E648">
            <v>9</v>
          </cell>
          <cell r="G648">
            <v>0.34</v>
          </cell>
          <cell r="H648">
            <v>1.1299999999999999</v>
          </cell>
        </row>
        <row r="649">
          <cell r="D649" t="str">
            <v>20140101KUUM_488</v>
          </cell>
          <cell r="E649">
            <v>13.639999999999999</v>
          </cell>
          <cell r="G649">
            <v>0.57999999999999996</v>
          </cell>
          <cell r="H649">
            <v>2.33</v>
          </cell>
        </row>
        <row r="650">
          <cell r="D650" t="str">
            <v>20140101KUUM_489</v>
          </cell>
          <cell r="E650">
            <v>19.46</v>
          </cell>
          <cell r="G650">
            <v>0.79</v>
          </cell>
          <cell r="H650">
            <v>4.5300000000000011</v>
          </cell>
        </row>
        <row r="651">
          <cell r="D651" t="str">
            <v>20140101KUUM_490</v>
          </cell>
          <cell r="E651">
            <v>15.47</v>
          </cell>
          <cell r="G651">
            <v>0.66</v>
          </cell>
          <cell r="H651">
            <v>1.9700000000000006</v>
          </cell>
        </row>
        <row r="652">
          <cell r="D652" t="str">
            <v>20140101KUUM_491</v>
          </cell>
          <cell r="E652">
            <v>21.930000000000003</v>
          </cell>
          <cell r="G652">
            <v>0.84</v>
          </cell>
          <cell r="H652">
            <v>4.2900000000000027</v>
          </cell>
        </row>
        <row r="653">
          <cell r="D653" t="str">
            <v>20140101KUUM_492</v>
          </cell>
          <cell r="E653">
            <v>15.370000000000001</v>
          </cell>
          <cell r="G653">
            <v>0.43</v>
          </cell>
          <cell r="H653">
            <v>0.80000000000000071</v>
          </cell>
        </row>
        <row r="654">
          <cell r="D654" t="str">
            <v>20140101KUUM_493</v>
          </cell>
          <cell r="E654">
            <v>45.7</v>
          </cell>
          <cell r="G654">
            <v>1.7</v>
          </cell>
          <cell r="H654">
            <v>10.409999999999997</v>
          </cell>
        </row>
        <row r="655">
          <cell r="D655" t="str">
            <v>20140101KUUM_494</v>
          </cell>
          <cell r="E655">
            <v>28.37</v>
          </cell>
          <cell r="G655">
            <v>0.66</v>
          </cell>
          <cell r="H655">
            <v>1.9699999999999989</v>
          </cell>
        </row>
        <row r="656">
          <cell r="D656" t="str">
            <v>20140101KUUM_495</v>
          </cell>
          <cell r="E656">
            <v>34.830000000000005</v>
          </cell>
          <cell r="G656">
            <v>0.84</v>
          </cell>
          <cell r="H656">
            <v>4.2899999999999991</v>
          </cell>
        </row>
        <row r="657">
          <cell r="D657" t="str">
            <v>20140101KUUM_496</v>
          </cell>
          <cell r="E657">
            <v>58.59</v>
          </cell>
          <cell r="G657">
            <v>1.7</v>
          </cell>
          <cell r="H657">
            <v>10.409999999999997</v>
          </cell>
        </row>
        <row r="658">
          <cell r="D658" t="str">
            <v>20140101KUUM_497</v>
          </cell>
          <cell r="E658">
            <v>15.35</v>
          </cell>
          <cell r="G658">
            <v>0.34</v>
          </cell>
          <cell r="H658">
            <v>1.1300000000000008</v>
          </cell>
        </row>
        <row r="659">
          <cell r="D659" t="str">
            <v>20140101KUUM_498</v>
          </cell>
          <cell r="E659">
            <v>17.72</v>
          </cell>
          <cell r="G659">
            <v>0.57999999999999996</v>
          </cell>
          <cell r="H659">
            <v>2.33</v>
          </cell>
        </row>
        <row r="660">
          <cell r="D660" t="str">
            <v>20140101KUUM_499</v>
          </cell>
          <cell r="E660">
            <v>21.490000000000002</v>
          </cell>
          <cell r="G660">
            <v>0.79</v>
          </cell>
          <cell r="H660">
            <v>4.5300000000000011</v>
          </cell>
        </row>
      </sheetData>
      <sheetData sheetId="20"/>
      <sheetData sheetId="21">
        <row r="3">
          <cell r="B3" t="str">
            <v>JAN 2015</v>
          </cell>
          <cell r="C3" t="str">
            <v>KTRSE020</v>
          </cell>
        </row>
        <row r="4">
          <cell r="B4" t="str">
            <v>JAN 2015</v>
          </cell>
          <cell r="C4" t="str">
            <v>KTRSE030</v>
          </cell>
        </row>
        <row r="5">
          <cell r="B5" t="str">
            <v>JAN 2015</v>
          </cell>
          <cell r="C5" t="str">
            <v>KUCIE550</v>
          </cell>
          <cell r="D5">
            <v>32</v>
          </cell>
          <cell r="H5">
            <v>137626552</v>
          </cell>
          <cell r="I5">
            <v>305144.33</v>
          </cell>
          <cell r="J5">
            <v>294071.15999999997</v>
          </cell>
          <cell r="K5">
            <v>282439.21000000002</v>
          </cell>
          <cell r="O5">
            <v>305144.33</v>
          </cell>
          <cell r="P5">
            <v>294071.15999999997</v>
          </cell>
          <cell r="Q5">
            <v>282439.21000000002</v>
          </cell>
        </row>
        <row r="6">
          <cell r="B6" t="str">
            <v>JAN 2015</v>
          </cell>
          <cell r="C6" t="str">
            <v>KUCIE561</v>
          </cell>
          <cell r="D6">
            <v>213</v>
          </cell>
          <cell r="H6">
            <v>18555214</v>
          </cell>
          <cell r="J6">
            <v>53480.55</v>
          </cell>
          <cell r="P6">
            <v>53480.55</v>
          </cell>
        </row>
        <row r="7">
          <cell r="B7" t="str">
            <v>JAN 2015</v>
          </cell>
          <cell r="C7" t="str">
            <v>KUCIE562</v>
          </cell>
          <cell r="D7">
            <v>4785</v>
          </cell>
          <cell r="H7">
            <v>185457207</v>
          </cell>
          <cell r="J7">
            <v>601580.15</v>
          </cell>
          <cell r="P7">
            <v>601580.15</v>
          </cell>
        </row>
        <row r="8">
          <cell r="B8" t="str">
            <v>JAN 2015</v>
          </cell>
          <cell r="C8" t="str">
            <v>KUCIE563</v>
          </cell>
          <cell r="D8">
            <v>52</v>
          </cell>
          <cell r="H8">
            <v>240245651</v>
          </cell>
          <cell r="I8">
            <v>491105.69</v>
          </cell>
          <cell r="J8">
            <v>456640.07</v>
          </cell>
          <cell r="K8">
            <v>450122.46</v>
          </cell>
          <cell r="O8">
            <v>491105.69</v>
          </cell>
          <cell r="P8">
            <v>456640.07</v>
          </cell>
          <cell r="Q8">
            <v>450122.46</v>
          </cell>
        </row>
        <row r="9">
          <cell r="B9" t="str">
            <v>JAN 2015</v>
          </cell>
          <cell r="C9" t="str">
            <v>KUCIE566</v>
          </cell>
        </row>
        <row r="10">
          <cell r="B10" t="str">
            <v>JAN 2015</v>
          </cell>
          <cell r="C10" t="str">
            <v>KUCIE568</v>
          </cell>
        </row>
        <row r="11">
          <cell r="B11" t="str">
            <v>JAN 2015</v>
          </cell>
          <cell r="C11" t="str">
            <v>KUCIE571</v>
          </cell>
          <cell r="D11">
            <v>185</v>
          </cell>
          <cell r="H11">
            <v>100894110</v>
          </cell>
          <cell r="I11">
            <v>254296.49</v>
          </cell>
          <cell r="J11">
            <v>242176.31</v>
          </cell>
          <cell r="K11">
            <v>237756.56</v>
          </cell>
          <cell r="O11">
            <v>254296.49</v>
          </cell>
          <cell r="P11">
            <v>242176.31</v>
          </cell>
          <cell r="Q11">
            <v>237756.56</v>
          </cell>
        </row>
        <row r="12">
          <cell r="B12" t="str">
            <v>JAN 2015</v>
          </cell>
          <cell r="C12" t="str">
            <v>KUCIE572</v>
          </cell>
          <cell r="D12">
            <v>455</v>
          </cell>
          <cell r="H12">
            <v>124209840</v>
          </cell>
          <cell r="I12">
            <v>303025.19</v>
          </cell>
          <cell r="J12">
            <v>275995.63</v>
          </cell>
          <cell r="K12">
            <v>269813.34000000003</v>
          </cell>
          <cell r="O12">
            <v>303025.19</v>
          </cell>
          <cell r="P12">
            <v>275995.63</v>
          </cell>
          <cell r="Q12">
            <v>269813.34000000003</v>
          </cell>
        </row>
        <row r="13">
          <cell r="B13" t="str">
            <v>JAN 2015</v>
          </cell>
          <cell r="C13" t="str">
            <v>KUCIE717</v>
          </cell>
        </row>
        <row r="14">
          <cell r="B14" t="str">
            <v>JAN 2015</v>
          </cell>
          <cell r="C14" t="str">
            <v>KUCME110</v>
          </cell>
          <cell r="D14">
            <v>63444</v>
          </cell>
          <cell r="H14">
            <v>74972451</v>
          </cell>
        </row>
        <row r="15">
          <cell r="B15" t="str">
            <v>JAN 2015</v>
          </cell>
          <cell r="C15" t="str">
            <v>KUCME112</v>
          </cell>
        </row>
        <row r="16">
          <cell r="B16" t="str">
            <v>JAN 2015</v>
          </cell>
          <cell r="C16" t="str">
            <v>KUCME113</v>
          </cell>
          <cell r="D16">
            <v>18546</v>
          </cell>
          <cell r="H16">
            <v>110082107</v>
          </cell>
          <cell r="O16">
            <v>416527.74</v>
          </cell>
        </row>
        <row r="17">
          <cell r="B17" t="str">
            <v>JAN 2015</v>
          </cell>
          <cell r="C17" t="str">
            <v>KUCME220</v>
          </cell>
          <cell r="D17">
            <v>371</v>
          </cell>
          <cell r="H17">
            <v>781136</v>
          </cell>
        </row>
        <row r="18">
          <cell r="B18" t="str">
            <v>JAN 2015</v>
          </cell>
          <cell r="C18" t="str">
            <v>KUCME221</v>
          </cell>
        </row>
        <row r="19">
          <cell r="B19" t="str">
            <v>JAN 2015</v>
          </cell>
          <cell r="C19" t="str">
            <v>KUCME223</v>
          </cell>
        </row>
        <row r="20">
          <cell r="B20" t="str">
            <v>JAN 2015</v>
          </cell>
          <cell r="C20" t="str">
            <v>KUCME224</v>
          </cell>
          <cell r="D20">
            <v>258</v>
          </cell>
          <cell r="H20">
            <v>14477984</v>
          </cell>
          <cell r="O20">
            <v>55242.61</v>
          </cell>
        </row>
        <row r="21">
          <cell r="B21" t="str">
            <v>JAN 2015</v>
          </cell>
          <cell r="C21" t="str">
            <v>KUCME225</v>
          </cell>
        </row>
        <row r="22">
          <cell r="B22" t="str">
            <v>JAN 2015</v>
          </cell>
          <cell r="C22" t="str">
            <v>KUCME226</v>
          </cell>
        </row>
        <row r="23">
          <cell r="B23" t="str">
            <v>JAN 2015</v>
          </cell>
          <cell r="C23" t="str">
            <v>KUCME227</v>
          </cell>
        </row>
        <row r="24">
          <cell r="B24" t="str">
            <v>JAN 2015</v>
          </cell>
          <cell r="C24" t="str">
            <v>KUCME290</v>
          </cell>
          <cell r="D24">
            <v>2</v>
          </cell>
          <cell r="H24">
            <v>20895</v>
          </cell>
        </row>
        <row r="25">
          <cell r="B25" t="str">
            <v>JAN 2015</v>
          </cell>
          <cell r="C25" t="str">
            <v>KUCME291</v>
          </cell>
        </row>
        <row r="26">
          <cell r="B26" t="str">
            <v>JAN 2015</v>
          </cell>
          <cell r="C26" t="str">
            <v>KUCME295</v>
          </cell>
          <cell r="D26">
            <v>747</v>
          </cell>
          <cell r="H26">
            <v>122114</v>
          </cell>
        </row>
        <row r="27">
          <cell r="B27" t="str">
            <v>JAN 2015</v>
          </cell>
          <cell r="C27" t="str">
            <v>KUCME297</v>
          </cell>
        </row>
        <row r="28">
          <cell r="B28" t="str">
            <v>JAN 2015</v>
          </cell>
          <cell r="C28" t="str">
            <v>KUCME710</v>
          </cell>
        </row>
        <row r="29">
          <cell r="B29" t="str">
            <v>JAN 2015</v>
          </cell>
          <cell r="C29" t="str">
            <v>KUCME713</v>
          </cell>
        </row>
        <row r="30">
          <cell r="B30" t="str">
            <v>JAN 2015</v>
          </cell>
          <cell r="C30" t="str">
            <v>KUCSR761</v>
          </cell>
        </row>
        <row r="31">
          <cell r="B31" t="str">
            <v>JAN 2015</v>
          </cell>
          <cell r="C31" t="str">
            <v>KUCSR783</v>
          </cell>
        </row>
        <row r="32">
          <cell r="B32" t="str">
            <v>JAN 2015</v>
          </cell>
          <cell r="C32" t="str">
            <v>KUINE730</v>
          </cell>
          <cell r="D32">
            <v>1</v>
          </cell>
          <cell r="H32">
            <v>48922696</v>
          </cell>
          <cell r="I32">
            <v>185157.6</v>
          </cell>
          <cell r="J32">
            <v>185157.6</v>
          </cell>
          <cell r="K32">
            <v>101387.6</v>
          </cell>
          <cell r="O32">
            <v>185157.6</v>
          </cell>
          <cell r="P32">
            <v>185157.6</v>
          </cell>
          <cell r="Q32">
            <v>101387.6</v>
          </cell>
        </row>
        <row r="33">
          <cell r="B33" t="str">
            <v>JAN 2015</v>
          </cell>
          <cell r="C33" t="str">
            <v>KUMNE902</v>
          </cell>
        </row>
        <row r="34">
          <cell r="B34" t="str">
            <v>JAN 2015</v>
          </cell>
          <cell r="C34" t="str">
            <v>KUMNE903</v>
          </cell>
        </row>
        <row r="35">
          <cell r="B35" t="str">
            <v>JAN 2015</v>
          </cell>
          <cell r="C35" t="str">
            <v>KUMNE934</v>
          </cell>
        </row>
        <row r="36">
          <cell r="B36" t="str">
            <v>JAN 2015</v>
          </cell>
          <cell r="C36" t="str">
            <v>KURSE010</v>
          </cell>
          <cell r="D36">
            <v>428166</v>
          </cell>
          <cell r="H36">
            <v>736688063</v>
          </cell>
        </row>
        <row r="37">
          <cell r="B37" t="str">
            <v>JAN 2015</v>
          </cell>
          <cell r="C37" t="str">
            <v>KURSE020</v>
          </cell>
        </row>
        <row r="38">
          <cell r="B38" t="str">
            <v>JAN 2015</v>
          </cell>
          <cell r="C38" t="str">
            <v>KURSE025</v>
          </cell>
        </row>
        <row r="39">
          <cell r="B39" t="str">
            <v>JAN 2015</v>
          </cell>
          <cell r="C39" t="str">
            <v>KURSE040</v>
          </cell>
        </row>
        <row r="40">
          <cell r="B40" t="str">
            <v>JAN 2015</v>
          </cell>
          <cell r="C40" t="str">
            <v>KURSE080</v>
          </cell>
        </row>
        <row r="41">
          <cell r="B41" t="str">
            <v>JAN 2015</v>
          </cell>
          <cell r="C41" t="str">
            <v>KURSE715</v>
          </cell>
        </row>
        <row r="42">
          <cell r="B42" t="str">
            <v>JAN 2015</v>
          </cell>
          <cell r="C42" t="str">
            <v>ODRSE010</v>
          </cell>
        </row>
        <row r="43">
          <cell r="B43" t="str">
            <v>JAN 2015</v>
          </cell>
          <cell r="C43" t="str">
            <v>ODRSE020</v>
          </cell>
        </row>
        <row r="44">
          <cell r="B44" t="str">
            <v>JAN 2015</v>
          </cell>
          <cell r="C44" t="str">
            <v>Result</v>
          </cell>
        </row>
        <row r="45">
          <cell r="D45" t="str">
            <v xml:space="preserve"> # Billed  Contracts</v>
          </cell>
          <cell r="E45" t="str">
            <v xml:space="preserve"> KWH   P1</v>
          </cell>
          <cell r="F45" t="str">
            <v xml:space="preserve"> KWH   P2</v>
          </cell>
          <cell r="G45" t="str">
            <v xml:space="preserve"> KWH   P3</v>
          </cell>
          <cell r="H45" t="str">
            <v xml:space="preserve"> Total  KWH</v>
          </cell>
          <cell r="I45" t="str">
            <v>KW/KVA Base Qty</v>
          </cell>
          <cell r="J45" t="str">
            <v>KW/KVA Int Qty</v>
          </cell>
          <cell r="K45" t="str">
            <v>KW/KVA Peak Qty</v>
          </cell>
          <cell r="O45" t="str">
            <v>KW/KVA Base Measured</v>
          </cell>
          <cell r="P45" t="str">
            <v>KW/KVA Intermed Measured</v>
          </cell>
          <cell r="Q45" t="str">
            <v>KW/KVA Peak Measured</v>
          </cell>
          <cell r="S45" t="str">
            <v>Power Factor Adj</v>
          </cell>
        </row>
        <row r="46">
          <cell r="B46" t="str">
            <v>Revenue Period</v>
          </cell>
          <cell r="C46" t="str">
            <v>Rate Category</v>
          </cell>
          <cell r="E46" t="str">
            <v>KWH</v>
          </cell>
          <cell r="F46" t="str">
            <v>KWH</v>
          </cell>
          <cell r="G46" t="str">
            <v>KWH</v>
          </cell>
          <cell r="H46" t="str">
            <v>KWH</v>
          </cell>
          <cell r="S46" t="str">
            <v>$</v>
          </cell>
        </row>
        <row r="47">
          <cell r="B47" t="str">
            <v>FEB 2015</v>
          </cell>
          <cell r="C47" t="str">
            <v>KUCIE550</v>
          </cell>
          <cell r="D47">
            <v>32</v>
          </cell>
          <cell r="H47">
            <v>135917399</v>
          </cell>
          <cell r="I47">
            <v>311417.32</v>
          </cell>
          <cell r="J47">
            <v>296090.67</v>
          </cell>
          <cell r="K47">
            <v>288303.96999999997</v>
          </cell>
          <cell r="O47">
            <v>311417.32</v>
          </cell>
          <cell r="P47">
            <v>296090.67</v>
          </cell>
          <cell r="Q47">
            <v>288303.96999999997</v>
          </cell>
        </row>
        <row r="48">
          <cell r="B48" t="str">
            <v>FEB 2015</v>
          </cell>
          <cell r="C48" t="str">
            <v>KUCIE561</v>
          </cell>
          <cell r="D48">
            <v>211</v>
          </cell>
          <cell r="H48">
            <v>18264518</v>
          </cell>
          <cell r="J48">
            <v>53574.29</v>
          </cell>
          <cell r="P48">
            <v>53574.29</v>
          </cell>
        </row>
        <row r="49">
          <cell r="B49" t="str">
            <v>FEB 2015</v>
          </cell>
          <cell r="C49" t="str">
            <v>KUCIE562</v>
          </cell>
          <cell r="D49">
            <v>4770</v>
          </cell>
          <cell r="H49">
            <v>170418566</v>
          </cell>
          <cell r="J49">
            <v>555176.04</v>
          </cell>
          <cell r="P49">
            <v>555176.04</v>
          </cell>
        </row>
        <row r="50">
          <cell r="B50" t="str">
            <v>FEB 2015</v>
          </cell>
          <cell r="C50" t="str">
            <v>KUCIE563</v>
          </cell>
          <cell r="D50">
            <v>52</v>
          </cell>
          <cell r="H50">
            <v>240582096</v>
          </cell>
          <cell r="I50">
            <v>511851.91</v>
          </cell>
          <cell r="J50">
            <v>479279.12</v>
          </cell>
          <cell r="K50">
            <v>472970.69</v>
          </cell>
          <cell r="O50">
            <v>511851.91</v>
          </cell>
          <cell r="P50">
            <v>479279.12</v>
          </cell>
          <cell r="Q50">
            <v>472970.69</v>
          </cell>
        </row>
        <row r="51">
          <cell r="B51" t="str">
            <v>FEB 2015</v>
          </cell>
          <cell r="C51" t="str">
            <v>KUCIE566</v>
          </cell>
        </row>
        <row r="52">
          <cell r="B52" t="str">
            <v>FEB 2015</v>
          </cell>
          <cell r="C52" t="str">
            <v>KUCIE568</v>
          </cell>
        </row>
        <row r="53">
          <cell r="B53" t="str">
            <v>FEB 2015</v>
          </cell>
          <cell r="C53" t="str">
            <v>KUCIE571</v>
          </cell>
          <cell r="D53">
            <v>187</v>
          </cell>
          <cell r="H53">
            <v>101352085</v>
          </cell>
          <cell r="I53">
            <v>259770.08</v>
          </cell>
          <cell r="J53">
            <v>246191.86</v>
          </cell>
          <cell r="K53">
            <v>242715.65</v>
          </cell>
          <cell r="O53">
            <v>259770.08</v>
          </cell>
          <cell r="P53">
            <v>246191.86</v>
          </cell>
          <cell r="Q53">
            <v>242715.65</v>
          </cell>
        </row>
        <row r="54">
          <cell r="B54" t="str">
            <v>FEB 2015</v>
          </cell>
          <cell r="C54" t="str">
            <v>KUCIE572</v>
          </cell>
          <cell r="D54">
            <v>456</v>
          </cell>
          <cell r="H54">
            <v>118321752</v>
          </cell>
          <cell r="I54">
            <v>286976.21000000002</v>
          </cell>
          <cell r="J54">
            <v>261378.21</v>
          </cell>
          <cell r="K54">
            <v>255523.34</v>
          </cell>
          <cell r="O54">
            <v>286976.21000000002</v>
          </cell>
          <cell r="P54">
            <v>261378.21</v>
          </cell>
          <cell r="Q54">
            <v>255523.34</v>
          </cell>
        </row>
        <row r="55">
          <cell r="B55" t="str">
            <v>FEB 2015</v>
          </cell>
          <cell r="C55" t="str">
            <v>KUCME110</v>
          </cell>
          <cell r="D55">
            <v>63452</v>
          </cell>
          <cell r="H55">
            <v>68740240</v>
          </cell>
        </row>
        <row r="56">
          <cell r="B56" t="str">
            <v>FEB 2015</v>
          </cell>
          <cell r="C56" t="str">
            <v>KUCME112</v>
          </cell>
        </row>
        <row r="57">
          <cell r="B57" t="str">
            <v>FEB 2015</v>
          </cell>
          <cell r="C57" t="str">
            <v>KUCME113</v>
          </cell>
          <cell r="D57">
            <v>18548</v>
          </cell>
          <cell r="H57">
            <v>100614272</v>
          </cell>
          <cell r="O57">
            <v>394581.82</v>
          </cell>
        </row>
        <row r="58">
          <cell r="B58" t="str">
            <v>FEB 2015</v>
          </cell>
          <cell r="C58" t="str">
            <v>KUCME220</v>
          </cell>
          <cell r="D58">
            <v>371</v>
          </cell>
          <cell r="H58">
            <v>753729</v>
          </cell>
        </row>
        <row r="59">
          <cell r="B59" t="str">
            <v>FEB 2015</v>
          </cell>
          <cell r="C59" t="str">
            <v>KURSE010</v>
          </cell>
          <cell r="D59">
            <v>428357</v>
          </cell>
          <cell r="H59">
            <v>671792006</v>
          </cell>
        </row>
        <row r="60">
          <cell r="B60" t="str">
            <v>FEB 2015</v>
          </cell>
          <cell r="C60" t="str">
            <v>KURSE020</v>
          </cell>
        </row>
        <row r="61">
          <cell r="B61" t="str">
            <v>FEB 2015</v>
          </cell>
          <cell r="C61" t="str">
            <v>KURSE025</v>
          </cell>
        </row>
        <row r="62">
          <cell r="B62" t="str">
            <v>FEB 2015</v>
          </cell>
          <cell r="C62" t="str">
            <v>KURSE080</v>
          </cell>
        </row>
        <row r="63">
          <cell r="B63" t="str">
            <v>FEB 2015</v>
          </cell>
          <cell r="C63" t="str">
            <v>KURSE715</v>
          </cell>
        </row>
        <row r="64">
          <cell r="B64" t="str">
            <v>FEB 2015</v>
          </cell>
          <cell r="C64" t="str">
            <v>ODRSE020</v>
          </cell>
        </row>
        <row r="65">
          <cell r="B65" t="str">
            <v>FEB 2015</v>
          </cell>
          <cell r="C65" t="str">
            <v>KTRSE020</v>
          </cell>
        </row>
        <row r="66">
          <cell r="B66" t="str">
            <v>FEB 2015</v>
          </cell>
          <cell r="C66" t="str">
            <v>KTRSE030</v>
          </cell>
        </row>
        <row r="67">
          <cell r="B67" t="str">
            <v>FEB 2015</v>
          </cell>
          <cell r="C67" t="str">
            <v>KUCME710</v>
          </cell>
        </row>
        <row r="68">
          <cell r="B68" t="str">
            <v>FEB 2015</v>
          </cell>
          <cell r="C68" t="str">
            <v>KUINE730</v>
          </cell>
          <cell r="D68">
            <v>1</v>
          </cell>
          <cell r="H68">
            <v>46508169</v>
          </cell>
          <cell r="I68">
            <v>185157.6</v>
          </cell>
          <cell r="J68">
            <v>185157.6</v>
          </cell>
          <cell r="K68">
            <v>101387.6</v>
          </cell>
          <cell r="O68">
            <v>185157.6</v>
          </cell>
          <cell r="P68">
            <v>185157.6</v>
          </cell>
          <cell r="Q68">
            <v>101387.6</v>
          </cell>
        </row>
        <row r="69">
          <cell r="B69" t="str">
            <v>FEB 2015</v>
          </cell>
          <cell r="C69" t="str">
            <v>KUCME290</v>
          </cell>
          <cell r="D69">
            <v>2</v>
          </cell>
          <cell r="H69">
            <v>12268</v>
          </cell>
        </row>
        <row r="70">
          <cell r="B70" t="str">
            <v>FEB 2015</v>
          </cell>
          <cell r="C70" t="str">
            <v>KUCME291</v>
          </cell>
        </row>
        <row r="71">
          <cell r="B71" t="str">
            <v>FEB 2015</v>
          </cell>
          <cell r="C71" t="str">
            <v>KUCME295</v>
          </cell>
          <cell r="D71">
            <v>747</v>
          </cell>
          <cell r="H71">
            <v>109851</v>
          </cell>
        </row>
        <row r="72">
          <cell r="B72" t="str">
            <v>FEB 2015</v>
          </cell>
          <cell r="C72" t="str">
            <v>KUCSR760</v>
          </cell>
        </row>
        <row r="73">
          <cell r="B73" t="str">
            <v>FEB 2015</v>
          </cell>
          <cell r="C73" t="str">
            <v>KUCSR781</v>
          </cell>
        </row>
        <row r="74">
          <cell r="B74" t="str">
            <v>FEB 2015</v>
          </cell>
          <cell r="C74" t="str">
            <v>KUCSR783</v>
          </cell>
        </row>
        <row r="75">
          <cell r="B75" t="str">
            <v>FEB 2015</v>
          </cell>
          <cell r="C75" t="str">
            <v>KUCME713</v>
          </cell>
        </row>
        <row r="76">
          <cell r="B76" t="str">
            <v>FEB 2015</v>
          </cell>
          <cell r="C76" t="str">
            <v>KUCIE717</v>
          </cell>
        </row>
        <row r="77">
          <cell r="B77" t="str">
            <v>FEB 2015</v>
          </cell>
          <cell r="C77" t="str">
            <v>KUCME223</v>
          </cell>
        </row>
        <row r="78">
          <cell r="B78" t="str">
            <v>FEB 2015</v>
          </cell>
          <cell r="C78" t="str">
            <v>KURSE040</v>
          </cell>
        </row>
        <row r="79">
          <cell r="B79" t="str">
            <v>FEB 2015</v>
          </cell>
          <cell r="C79" t="str">
            <v>KUCME221</v>
          </cell>
        </row>
        <row r="80">
          <cell r="B80" t="str">
            <v>FEB 2015</v>
          </cell>
          <cell r="C80" t="str">
            <v>KUCME224</v>
          </cell>
          <cell r="D80">
            <v>258</v>
          </cell>
          <cell r="H80">
            <v>13970009</v>
          </cell>
          <cell r="O80">
            <v>54944.83</v>
          </cell>
        </row>
        <row r="81">
          <cell r="B81" t="str">
            <v>FEB 2015</v>
          </cell>
          <cell r="C81" t="str">
            <v>KUCME297</v>
          </cell>
        </row>
        <row r="82">
          <cell r="B82" t="str">
            <v>FEB 2015</v>
          </cell>
          <cell r="C82" t="str">
            <v>KUCME225</v>
          </cell>
        </row>
        <row r="83">
          <cell r="B83" t="str">
            <v>FEB 2015</v>
          </cell>
          <cell r="C83" t="str">
            <v>KUCME226</v>
          </cell>
        </row>
        <row r="84">
          <cell r="B84" t="str">
            <v>FEB 2015</v>
          </cell>
          <cell r="C84" t="str">
            <v>KUCME227</v>
          </cell>
        </row>
        <row r="85">
          <cell r="B85" t="str">
            <v>FEB 2015</v>
          </cell>
          <cell r="C85" t="str">
            <v>Result</v>
          </cell>
        </row>
        <row r="86">
          <cell r="D86" t="str">
            <v xml:space="preserve"> # Billed  Contracts</v>
          </cell>
          <cell r="E86" t="str">
            <v xml:space="preserve"> KWH   P1</v>
          </cell>
          <cell r="F86" t="str">
            <v xml:space="preserve"> KWH   P2</v>
          </cell>
          <cell r="G86" t="str">
            <v xml:space="preserve"> KWH   P3</v>
          </cell>
          <cell r="H86" t="str">
            <v xml:space="preserve"> Total  KWH</v>
          </cell>
          <cell r="I86" t="str">
            <v>KW/KVA Base Qty</v>
          </cell>
          <cell r="J86" t="str">
            <v>KW/KVA Int Qty</v>
          </cell>
          <cell r="K86" t="str">
            <v>KW/KVA Peak Qty</v>
          </cell>
          <cell r="O86" t="str">
            <v>KW/KVA Base Measured</v>
          </cell>
          <cell r="P86" t="str">
            <v>KW/KVA Intermed Measured</v>
          </cell>
          <cell r="Q86" t="str">
            <v>KW/KVA Peak Measured</v>
          </cell>
          <cell r="S86" t="str">
            <v>Power Factor Adj</v>
          </cell>
        </row>
        <row r="87">
          <cell r="B87" t="str">
            <v>Revenue Period</v>
          </cell>
          <cell r="C87" t="str">
            <v>Rate Category</v>
          </cell>
          <cell r="E87" t="str">
            <v>KWH</v>
          </cell>
          <cell r="F87" t="str">
            <v>KWH</v>
          </cell>
          <cell r="G87" t="str">
            <v>KWH</v>
          </cell>
          <cell r="H87" t="str">
            <v>KWH</v>
          </cell>
          <cell r="S87" t="str">
            <v>$</v>
          </cell>
        </row>
        <row r="88">
          <cell r="B88" t="str">
            <v>MAR 2014</v>
          </cell>
          <cell r="C88" t="str">
            <v>KUCIE550</v>
          </cell>
          <cell r="D88">
            <v>32</v>
          </cell>
          <cell r="H88">
            <v>142624745</v>
          </cell>
          <cell r="I88">
            <v>309847.7</v>
          </cell>
          <cell r="J88">
            <v>297874.40000000002</v>
          </cell>
          <cell r="K88">
            <v>292408.40000000002</v>
          </cell>
          <cell r="O88">
            <v>303871.2</v>
          </cell>
          <cell r="P88">
            <v>296546.59999999998</v>
          </cell>
          <cell r="Q88">
            <v>291507.8</v>
          </cell>
        </row>
        <row r="89">
          <cell r="B89" t="str">
            <v>MAR 2014</v>
          </cell>
          <cell r="C89" t="str">
            <v>KUCIE561</v>
          </cell>
          <cell r="D89">
            <v>170</v>
          </cell>
          <cell r="H89">
            <v>4760587</v>
          </cell>
          <cell r="J89">
            <v>16081.5</v>
          </cell>
          <cell r="P89">
            <v>13100.7</v>
          </cell>
          <cell r="S89">
            <v>0</v>
          </cell>
        </row>
        <row r="90">
          <cell r="B90" t="str">
            <v>MAR 2014</v>
          </cell>
          <cell r="C90" t="str">
            <v>KUCIE562</v>
          </cell>
          <cell r="D90">
            <v>4885</v>
          </cell>
          <cell r="H90">
            <v>140054129</v>
          </cell>
          <cell r="J90">
            <v>447840.68</v>
          </cell>
          <cell r="P90">
            <v>389933.2</v>
          </cell>
          <cell r="S90">
            <v>0</v>
          </cell>
        </row>
        <row r="91">
          <cell r="B91" t="str">
            <v>MAR 2014</v>
          </cell>
          <cell r="C91" t="str">
            <v>KUCIE563</v>
          </cell>
          <cell r="D91">
            <v>53</v>
          </cell>
          <cell r="H91">
            <v>232867680</v>
          </cell>
          <cell r="I91">
            <v>494647.4</v>
          </cell>
          <cell r="J91">
            <v>463176.8</v>
          </cell>
          <cell r="K91">
            <v>457644.7</v>
          </cell>
          <cell r="O91">
            <v>459849.1</v>
          </cell>
          <cell r="P91">
            <v>458914.6</v>
          </cell>
          <cell r="Q91">
            <v>452114.7</v>
          </cell>
        </row>
        <row r="92">
          <cell r="B92" t="str">
            <v>MAR 2014</v>
          </cell>
          <cell r="C92" t="str">
            <v>KUCIE566</v>
          </cell>
          <cell r="D92">
            <v>77</v>
          </cell>
          <cell r="H92">
            <v>23388127</v>
          </cell>
          <cell r="J92">
            <v>56286</v>
          </cell>
          <cell r="P92">
            <v>53699.199999999997</v>
          </cell>
          <cell r="S92">
            <v>5146.16</v>
          </cell>
        </row>
        <row r="93">
          <cell r="B93" t="str">
            <v>MAR 2014</v>
          </cell>
          <cell r="C93" t="str">
            <v>KUCIE568</v>
          </cell>
          <cell r="D93">
            <v>404</v>
          </cell>
          <cell r="H93">
            <v>61291912</v>
          </cell>
          <cell r="J93">
            <v>157237.87</v>
          </cell>
          <cell r="P93">
            <v>149464.79999999999</v>
          </cell>
          <cell r="S93">
            <v>11521.49</v>
          </cell>
        </row>
        <row r="94">
          <cell r="B94" t="str">
            <v>MAR 2014</v>
          </cell>
          <cell r="C94" t="str">
            <v>KUCIE571</v>
          </cell>
          <cell r="D94">
            <v>155</v>
          </cell>
          <cell r="H94">
            <v>101888912</v>
          </cell>
          <cell r="I94">
            <v>260770.9</v>
          </cell>
          <cell r="J94">
            <v>248074.8</v>
          </cell>
          <cell r="K94">
            <v>243650.7</v>
          </cell>
          <cell r="O94">
            <v>248542.1</v>
          </cell>
          <cell r="P94">
            <v>245818.7</v>
          </cell>
          <cell r="Q94">
            <v>241368.2</v>
          </cell>
        </row>
        <row r="95">
          <cell r="B95" t="str">
            <v>MAR 2014</v>
          </cell>
          <cell r="C95" t="str">
            <v>KUCIE572</v>
          </cell>
          <cell r="D95">
            <v>405</v>
          </cell>
          <cell r="H95">
            <v>95043163</v>
          </cell>
          <cell r="I95">
            <v>236870.2</v>
          </cell>
          <cell r="J95">
            <v>212734.75</v>
          </cell>
          <cell r="K95">
            <v>208312.95</v>
          </cell>
          <cell r="O95">
            <v>212393.2</v>
          </cell>
          <cell r="P95">
            <v>211134</v>
          </cell>
          <cell r="Q95">
            <v>206507.6</v>
          </cell>
          <cell r="S95">
            <v>57259.56</v>
          </cell>
        </row>
        <row r="96">
          <cell r="B96" t="str">
            <v>MAR 2014</v>
          </cell>
          <cell r="C96" t="str">
            <v>KUCME110</v>
          </cell>
          <cell r="D96">
            <v>64365</v>
          </cell>
          <cell r="H96">
            <v>79298124</v>
          </cell>
          <cell r="O96">
            <v>128514.8</v>
          </cell>
        </row>
        <row r="97">
          <cell r="B97" t="str">
            <v>MAR 2014</v>
          </cell>
          <cell r="C97" t="str">
            <v>KUCME112</v>
          </cell>
          <cell r="D97">
            <v>61</v>
          </cell>
          <cell r="H97">
            <v>10785</v>
          </cell>
        </row>
        <row r="98">
          <cell r="B98" t="str">
            <v>MAR 2014</v>
          </cell>
          <cell r="C98" t="str">
            <v>KUCME113</v>
          </cell>
          <cell r="D98">
            <v>17212</v>
          </cell>
          <cell r="H98">
            <v>90277924</v>
          </cell>
          <cell r="O98">
            <v>356008.9</v>
          </cell>
        </row>
        <row r="99">
          <cell r="B99" t="str">
            <v>MAR 2014</v>
          </cell>
          <cell r="C99" t="str">
            <v>KUCME220</v>
          </cell>
          <cell r="D99">
            <v>335</v>
          </cell>
          <cell r="H99">
            <v>1056710</v>
          </cell>
          <cell r="O99">
            <v>2373.4</v>
          </cell>
        </row>
        <row r="100">
          <cell r="B100" t="str">
            <v>MAR 2014</v>
          </cell>
          <cell r="C100" t="str">
            <v>KURSE010</v>
          </cell>
          <cell r="D100">
            <v>229375</v>
          </cell>
          <cell r="H100">
            <v>267454258</v>
          </cell>
        </row>
        <row r="101">
          <cell r="B101" t="str">
            <v>MAR 2014</v>
          </cell>
          <cell r="C101" t="str">
            <v>KURSE020</v>
          </cell>
          <cell r="D101">
            <v>195391</v>
          </cell>
          <cell r="H101">
            <v>389789599</v>
          </cell>
        </row>
        <row r="102">
          <cell r="B102" t="str">
            <v>MAR 2014</v>
          </cell>
          <cell r="C102" t="str">
            <v>KURSE025</v>
          </cell>
          <cell r="D102">
            <v>247</v>
          </cell>
          <cell r="H102">
            <v>547519</v>
          </cell>
        </row>
        <row r="103">
          <cell r="B103" t="str">
            <v>MAR 2014</v>
          </cell>
          <cell r="C103" t="str">
            <v>KURSE080</v>
          </cell>
          <cell r="D103">
            <v>49</v>
          </cell>
          <cell r="H103">
            <v>132111</v>
          </cell>
        </row>
        <row r="104">
          <cell r="B104" t="str">
            <v>MAR 2014</v>
          </cell>
          <cell r="C104" t="str">
            <v>KURSE715</v>
          </cell>
          <cell r="D104">
            <v>52</v>
          </cell>
          <cell r="H104">
            <v>123913</v>
          </cell>
        </row>
        <row r="105">
          <cell r="B105" t="str">
            <v>MAR 2014</v>
          </cell>
          <cell r="C105" t="str">
            <v>KTRSE020</v>
          </cell>
          <cell r="D105">
            <v>3</v>
          </cell>
          <cell r="H105">
            <v>9249</v>
          </cell>
        </row>
        <row r="106">
          <cell r="B106" t="str">
            <v>MAR 2014</v>
          </cell>
          <cell r="C106" t="str">
            <v>KTRSE030</v>
          </cell>
          <cell r="D106">
            <v>1</v>
          </cell>
          <cell r="H106">
            <v>1008</v>
          </cell>
        </row>
        <row r="107">
          <cell r="B107" t="str">
            <v>MAR 2014</v>
          </cell>
          <cell r="C107" t="str">
            <v>KUCME710</v>
          </cell>
          <cell r="D107">
            <v>8</v>
          </cell>
          <cell r="H107">
            <v>13921</v>
          </cell>
        </row>
        <row r="108">
          <cell r="B108" t="str">
            <v>MAR 2014</v>
          </cell>
          <cell r="C108" t="str">
            <v>KUINE730</v>
          </cell>
          <cell r="D108">
            <v>1</v>
          </cell>
          <cell r="H108">
            <v>50976000</v>
          </cell>
          <cell r="I108">
            <v>186638.7</v>
          </cell>
          <cell r="J108">
            <v>186638.7</v>
          </cell>
          <cell r="K108">
            <v>77936.899999999994</v>
          </cell>
          <cell r="O108">
            <v>186638.7</v>
          </cell>
          <cell r="P108">
            <v>186638.7</v>
          </cell>
          <cell r="Q108">
            <v>77936.899999999994</v>
          </cell>
        </row>
        <row r="109">
          <cell r="B109" t="str">
            <v>MAR 2014</v>
          </cell>
          <cell r="C109" t="str">
            <v>KUCME290</v>
          </cell>
          <cell r="D109">
            <v>1</v>
          </cell>
          <cell r="H109">
            <v>13174</v>
          </cell>
          <cell r="O109">
            <v>39.700000000000003</v>
          </cell>
        </row>
        <row r="110">
          <cell r="B110" t="str">
            <v>MAR 2014</v>
          </cell>
          <cell r="C110" t="str">
            <v>KUCME291</v>
          </cell>
          <cell r="D110">
            <v>1</v>
          </cell>
          <cell r="H110">
            <v>3647</v>
          </cell>
        </row>
        <row r="111">
          <cell r="B111" t="str">
            <v>MAR 2014</v>
          </cell>
          <cell r="C111" t="str">
            <v>KUCME295</v>
          </cell>
          <cell r="D111">
            <v>473</v>
          </cell>
          <cell r="H111">
            <v>95222</v>
          </cell>
          <cell r="O111">
            <v>17.100000000000001</v>
          </cell>
        </row>
        <row r="112">
          <cell r="B112" t="str">
            <v>MAR 2014</v>
          </cell>
          <cell r="C112" t="str">
            <v>KUCSR760</v>
          </cell>
          <cell r="D112">
            <v>1</v>
          </cell>
        </row>
        <row r="113">
          <cell r="B113" t="str">
            <v>MAR 2014</v>
          </cell>
          <cell r="C113" t="str">
            <v>KUCSR761</v>
          </cell>
          <cell r="D113">
            <v>1</v>
          </cell>
        </row>
        <row r="114">
          <cell r="B114" t="str">
            <v>MAR 2014</v>
          </cell>
          <cell r="C114" t="str">
            <v>KUCSR781</v>
          </cell>
          <cell r="D114">
            <v>1</v>
          </cell>
        </row>
        <row r="115">
          <cell r="B115" t="str">
            <v>MAR 2014</v>
          </cell>
          <cell r="C115" t="str">
            <v>KUCSR783</v>
          </cell>
          <cell r="D115">
            <v>1</v>
          </cell>
        </row>
        <row r="116">
          <cell r="B116" t="str">
            <v>MAR 2014</v>
          </cell>
          <cell r="C116" t="str">
            <v>KUCME713</v>
          </cell>
          <cell r="D116">
            <v>2</v>
          </cell>
          <cell r="H116">
            <v>13200</v>
          </cell>
          <cell r="O116">
            <v>72.900000000000006</v>
          </cell>
        </row>
        <row r="117">
          <cell r="B117" t="str">
            <v>MAR 2014</v>
          </cell>
          <cell r="C117" t="str">
            <v>KUCIE717</v>
          </cell>
          <cell r="D117">
            <v>1</v>
          </cell>
          <cell r="H117">
            <v>30480</v>
          </cell>
          <cell r="P117">
            <v>180.1</v>
          </cell>
          <cell r="S117">
            <v>0</v>
          </cell>
        </row>
        <row r="118">
          <cell r="B118" t="str">
            <v>MAR 2014</v>
          </cell>
          <cell r="C118" t="str">
            <v>KUCME223</v>
          </cell>
          <cell r="D118">
            <v>68</v>
          </cell>
          <cell r="H118">
            <v>738803</v>
          </cell>
          <cell r="O118">
            <v>3330.6</v>
          </cell>
        </row>
        <row r="119">
          <cell r="B119" t="str">
            <v>MAR 2014</v>
          </cell>
          <cell r="C119" t="str">
            <v>KURSE040</v>
          </cell>
          <cell r="D119">
            <v>5</v>
          </cell>
          <cell r="E119">
            <v>5181</v>
          </cell>
          <cell r="F119">
            <v>2142</v>
          </cell>
          <cell r="G119">
            <v>1288</v>
          </cell>
          <cell r="H119">
            <v>8611</v>
          </cell>
        </row>
        <row r="120">
          <cell r="B120" t="str">
            <v>MAR 2014</v>
          </cell>
          <cell r="C120" t="str">
            <v>KUCME221</v>
          </cell>
          <cell r="D120">
            <v>5</v>
          </cell>
          <cell r="H120">
            <v>1002360</v>
          </cell>
          <cell r="O120">
            <v>19.2</v>
          </cell>
        </row>
        <row r="121">
          <cell r="B121" t="str">
            <v>MAR 2014</v>
          </cell>
          <cell r="C121" t="str">
            <v>KUCME224</v>
          </cell>
          <cell r="D121">
            <v>5</v>
          </cell>
          <cell r="H121">
            <v>386800</v>
          </cell>
          <cell r="O121">
            <v>1539.7</v>
          </cell>
        </row>
        <row r="122">
          <cell r="B122" t="str">
            <v>MAR 2014</v>
          </cell>
          <cell r="C122" t="str">
            <v>KUCME297</v>
          </cell>
          <cell r="D122">
            <v>272</v>
          </cell>
          <cell r="H122">
            <v>14416</v>
          </cell>
        </row>
        <row r="123">
          <cell r="B123" t="str">
            <v>MAR 2014</v>
          </cell>
          <cell r="C123" t="str">
            <v>KUCME225</v>
          </cell>
          <cell r="D123">
            <v>96</v>
          </cell>
          <cell r="H123">
            <v>3073152</v>
          </cell>
          <cell r="O123">
            <v>13043.5</v>
          </cell>
        </row>
        <row r="124">
          <cell r="B124" t="str">
            <v>MAR 2014</v>
          </cell>
          <cell r="C124" t="str">
            <v>KUCME226</v>
          </cell>
          <cell r="D124">
            <v>19</v>
          </cell>
          <cell r="H124">
            <v>65903</v>
          </cell>
          <cell r="O124">
            <v>699.5</v>
          </cell>
        </row>
        <row r="125">
          <cell r="B125" t="str">
            <v>MAR 2014</v>
          </cell>
          <cell r="C125" t="str">
            <v>KUCME227</v>
          </cell>
          <cell r="D125">
            <v>100</v>
          </cell>
          <cell r="H125">
            <v>10563612</v>
          </cell>
          <cell r="O125">
            <v>39654</v>
          </cell>
        </row>
        <row r="126">
          <cell r="B126" t="str">
            <v>MAR 2014</v>
          </cell>
          <cell r="C126" t="str">
            <v>Result</v>
          </cell>
          <cell r="D126">
            <v>514333</v>
          </cell>
          <cell r="E126">
            <v>5181</v>
          </cell>
          <cell r="F126">
            <v>2142</v>
          </cell>
          <cell r="G126">
            <v>1288</v>
          </cell>
          <cell r="H126">
            <v>1697619756</v>
          </cell>
          <cell r="I126">
            <v>2166401.0499999998</v>
          </cell>
          <cell r="J126">
            <v>1408499.45</v>
          </cell>
          <cell r="K126">
            <v>1279953.6499999999</v>
          </cell>
          <cell r="O126">
            <v>1411294.3</v>
          </cell>
          <cell r="P126">
            <v>1399052.5999999999</v>
          </cell>
          <cell r="Q126">
            <v>1328031.5</v>
          </cell>
          <cell r="S126">
            <v>73927.209999999992</v>
          </cell>
        </row>
        <row r="127">
          <cell r="D127" t="str">
            <v xml:space="preserve"> # Billed  Contracts</v>
          </cell>
          <cell r="E127" t="str">
            <v xml:space="preserve"> KWH   P1</v>
          </cell>
          <cell r="F127" t="str">
            <v xml:space="preserve"> KWH   P2</v>
          </cell>
          <cell r="G127" t="str">
            <v xml:space="preserve"> KWH   P3</v>
          </cell>
          <cell r="H127" t="str">
            <v xml:space="preserve"> Total  KWH</v>
          </cell>
          <cell r="I127" t="str">
            <v>KW/KVA Base Qty</v>
          </cell>
          <cell r="J127" t="str">
            <v>KW/KVA Int Qty</v>
          </cell>
          <cell r="K127" t="str">
            <v>KW/KVA Peak Qty</v>
          </cell>
          <cell r="O127" t="str">
            <v>KW/KVA Base Measured</v>
          </cell>
          <cell r="P127" t="str">
            <v>KW/KVA Intermed Measured</v>
          </cell>
          <cell r="Q127" t="str">
            <v>KW/KVA Peak Measured</v>
          </cell>
          <cell r="S127" t="str">
            <v>Power Factor Adj</v>
          </cell>
        </row>
        <row r="128">
          <cell r="B128" t="str">
            <v>Revenue Period</v>
          </cell>
          <cell r="C128" t="str">
            <v>Rate Category</v>
          </cell>
          <cell r="E128" t="str">
            <v>KWH</v>
          </cell>
          <cell r="F128" t="str">
            <v>KWH</v>
          </cell>
          <cell r="G128" t="str">
            <v>KWH</v>
          </cell>
          <cell r="H128" t="str">
            <v>KWH</v>
          </cell>
          <cell r="S128" t="str">
            <v>$</v>
          </cell>
        </row>
        <row r="129">
          <cell r="B129" t="str">
            <v>APR 2014</v>
          </cell>
          <cell r="C129" t="str">
            <v>KUCIE550</v>
          </cell>
          <cell r="D129">
            <v>32</v>
          </cell>
          <cell r="H129">
            <v>136741819</v>
          </cell>
          <cell r="I129">
            <v>308148.40000000002</v>
          </cell>
          <cell r="J129">
            <v>298415.5</v>
          </cell>
          <cell r="K129">
            <v>284807.40000000002</v>
          </cell>
          <cell r="O129">
            <v>302268.59999999998</v>
          </cell>
          <cell r="P129">
            <v>297179.59999999998</v>
          </cell>
          <cell r="Q129">
            <v>283968.3</v>
          </cell>
        </row>
        <row r="130">
          <cell r="B130" t="str">
            <v>APR 2014</v>
          </cell>
          <cell r="C130" t="str">
            <v>KUCIE561</v>
          </cell>
          <cell r="D130">
            <v>166</v>
          </cell>
          <cell r="H130">
            <v>3934684</v>
          </cell>
          <cell r="J130">
            <v>13321.35</v>
          </cell>
          <cell r="P130">
            <v>12153.9</v>
          </cell>
          <cell r="S130">
            <v>0</v>
          </cell>
        </row>
        <row r="131">
          <cell r="B131" t="str">
            <v>APR 2014</v>
          </cell>
          <cell r="C131" t="str">
            <v>KUCIE562</v>
          </cell>
          <cell r="D131">
            <v>4849</v>
          </cell>
          <cell r="H131">
            <v>124118359</v>
          </cell>
          <cell r="J131">
            <v>428530.19</v>
          </cell>
          <cell r="P131">
            <v>372625.1</v>
          </cell>
          <cell r="S131">
            <v>0</v>
          </cell>
        </row>
        <row r="132">
          <cell r="B132" t="str">
            <v>APR 2014</v>
          </cell>
          <cell r="C132" t="str">
            <v>KUCIE563</v>
          </cell>
          <cell r="D132">
            <v>54</v>
          </cell>
          <cell r="H132">
            <v>241833815</v>
          </cell>
          <cell r="I132">
            <v>515906.5</v>
          </cell>
          <cell r="J132">
            <v>485007.6</v>
          </cell>
          <cell r="K132">
            <v>481042.8</v>
          </cell>
          <cell r="O132">
            <v>481037</v>
          </cell>
          <cell r="P132">
            <v>480153.5</v>
          </cell>
          <cell r="Q132">
            <v>476123.4</v>
          </cell>
        </row>
        <row r="133">
          <cell r="B133" t="str">
            <v>APR 2014</v>
          </cell>
          <cell r="C133" t="str">
            <v>KUCIE566</v>
          </cell>
          <cell r="D133">
            <v>77</v>
          </cell>
          <cell r="H133">
            <v>21503273</v>
          </cell>
          <cell r="J133">
            <v>52241.45</v>
          </cell>
          <cell r="P133">
            <v>49257.7</v>
          </cell>
          <cell r="S133">
            <v>7512.61</v>
          </cell>
        </row>
        <row r="134">
          <cell r="B134" t="str">
            <v>APR 2014</v>
          </cell>
          <cell r="C134" t="str">
            <v>KUCIE568</v>
          </cell>
          <cell r="D134">
            <v>399</v>
          </cell>
          <cell r="H134">
            <v>55207646</v>
          </cell>
          <cell r="J134">
            <v>151475.17000000001</v>
          </cell>
          <cell r="P134">
            <v>142960.4</v>
          </cell>
          <cell r="S134">
            <v>62205.3</v>
          </cell>
        </row>
        <row r="135">
          <cell r="B135" t="str">
            <v>APR 2014</v>
          </cell>
          <cell r="C135" t="str">
            <v>KUCIE571</v>
          </cell>
          <cell r="D135">
            <v>157</v>
          </cell>
          <cell r="H135">
            <v>93811383</v>
          </cell>
          <cell r="I135">
            <v>256018.9</v>
          </cell>
          <cell r="J135">
            <v>244047.1</v>
          </cell>
          <cell r="K135">
            <v>239244.3</v>
          </cell>
          <cell r="O135">
            <v>243085.9</v>
          </cell>
          <cell r="P135">
            <v>241318.7</v>
          </cell>
          <cell r="Q135">
            <v>236491.9</v>
          </cell>
        </row>
        <row r="136">
          <cell r="B136" t="str">
            <v>APR 2014</v>
          </cell>
          <cell r="C136" t="str">
            <v>KUCIE572</v>
          </cell>
          <cell r="D136">
            <v>428</v>
          </cell>
          <cell r="H136">
            <v>94643548</v>
          </cell>
          <cell r="I136">
            <v>241388.25</v>
          </cell>
          <cell r="J136">
            <v>217762.25</v>
          </cell>
          <cell r="K136">
            <v>212992.1</v>
          </cell>
          <cell r="O136">
            <v>218397.3</v>
          </cell>
          <cell r="P136">
            <v>216249.1</v>
          </cell>
          <cell r="Q136">
            <v>211381.5</v>
          </cell>
          <cell r="S136">
            <v>74392.84</v>
          </cell>
        </row>
        <row r="137">
          <cell r="B137" t="str">
            <v>APR 2014</v>
          </cell>
          <cell r="C137" t="str">
            <v>KUCME110</v>
          </cell>
          <cell r="D137">
            <v>64412</v>
          </cell>
          <cell r="H137">
            <v>59618393</v>
          </cell>
          <cell r="O137">
            <v>125187.5</v>
          </cell>
        </row>
        <row r="138">
          <cell r="B138" t="str">
            <v>APR 2014</v>
          </cell>
          <cell r="C138" t="str">
            <v>KUCME112</v>
          </cell>
          <cell r="D138">
            <v>61</v>
          </cell>
          <cell r="H138">
            <v>10785</v>
          </cell>
        </row>
        <row r="139">
          <cell r="B139" t="str">
            <v>APR 2014</v>
          </cell>
          <cell r="C139" t="str">
            <v>KUCME113</v>
          </cell>
          <cell r="D139">
            <v>17245</v>
          </cell>
          <cell r="H139">
            <v>76504036</v>
          </cell>
          <cell r="O139">
            <v>350794.2</v>
          </cell>
        </row>
        <row r="140">
          <cell r="B140" t="str">
            <v>APR 2014</v>
          </cell>
          <cell r="C140" t="str">
            <v>KUCME220</v>
          </cell>
          <cell r="D140">
            <v>335</v>
          </cell>
          <cell r="H140">
            <v>669685</v>
          </cell>
          <cell r="O140">
            <v>2645.1</v>
          </cell>
        </row>
        <row r="141">
          <cell r="B141" t="str">
            <v>APR 2014</v>
          </cell>
          <cell r="C141" t="str">
            <v>KURSE010</v>
          </cell>
          <cell r="D141">
            <v>228749</v>
          </cell>
          <cell r="H141">
            <v>189776294</v>
          </cell>
        </row>
        <row r="142">
          <cell r="B142" t="str">
            <v>APR 2014</v>
          </cell>
          <cell r="C142" t="str">
            <v>KURSE020</v>
          </cell>
          <cell r="D142">
            <v>194803</v>
          </cell>
          <cell r="H142">
            <v>235356677</v>
          </cell>
        </row>
        <row r="143">
          <cell r="B143" t="str">
            <v>APR 2014</v>
          </cell>
          <cell r="C143" t="str">
            <v>KURSE025</v>
          </cell>
          <cell r="D143">
            <v>247</v>
          </cell>
          <cell r="H143">
            <v>458458</v>
          </cell>
        </row>
        <row r="144">
          <cell r="B144" t="str">
            <v>APR 2014</v>
          </cell>
          <cell r="C144" t="str">
            <v>KURSE080</v>
          </cell>
          <cell r="D144">
            <v>49</v>
          </cell>
          <cell r="H144">
            <v>79474</v>
          </cell>
        </row>
        <row r="145">
          <cell r="B145" t="str">
            <v>APR 2014</v>
          </cell>
          <cell r="C145" t="str">
            <v>KURSE715</v>
          </cell>
          <cell r="D145">
            <v>52</v>
          </cell>
          <cell r="H145">
            <v>52164</v>
          </cell>
        </row>
        <row r="146">
          <cell r="B146" t="str">
            <v>APR 2014</v>
          </cell>
          <cell r="C146" t="str">
            <v>KTRSE020</v>
          </cell>
          <cell r="D146">
            <v>3</v>
          </cell>
          <cell r="H146">
            <v>5412</v>
          </cell>
        </row>
        <row r="147">
          <cell r="B147" t="str">
            <v>APR 2014</v>
          </cell>
          <cell r="C147" t="str">
            <v>KTRSE030</v>
          </cell>
          <cell r="D147">
            <v>1</v>
          </cell>
          <cell r="H147">
            <v>870</v>
          </cell>
        </row>
        <row r="148">
          <cell r="B148" t="str">
            <v>APR 2014</v>
          </cell>
          <cell r="C148" t="str">
            <v>KUCME710</v>
          </cell>
          <cell r="D148">
            <v>8</v>
          </cell>
          <cell r="H148">
            <v>6767</v>
          </cell>
        </row>
        <row r="149">
          <cell r="B149" t="str">
            <v>APR 2014</v>
          </cell>
          <cell r="C149" t="str">
            <v>KUINE730</v>
          </cell>
          <cell r="D149">
            <v>1</v>
          </cell>
          <cell r="H149">
            <v>49896000</v>
          </cell>
          <cell r="I149">
            <v>177947.3</v>
          </cell>
          <cell r="J149">
            <v>177947.3</v>
          </cell>
          <cell r="K149">
            <v>134560.70000000001</v>
          </cell>
          <cell r="O149">
            <v>177947.3</v>
          </cell>
          <cell r="P149">
            <v>177947.3</v>
          </cell>
          <cell r="Q149">
            <v>134560.70000000001</v>
          </cell>
        </row>
        <row r="150">
          <cell r="B150" t="str">
            <v>APR 2014</v>
          </cell>
          <cell r="C150" t="str">
            <v>KUCME290</v>
          </cell>
          <cell r="D150">
            <v>1</v>
          </cell>
          <cell r="H150">
            <v>12161</v>
          </cell>
          <cell r="O150">
            <v>38.9</v>
          </cell>
        </row>
        <row r="151">
          <cell r="B151" t="str">
            <v>APR 2014</v>
          </cell>
          <cell r="C151" t="str">
            <v>KUCME291</v>
          </cell>
          <cell r="D151">
            <v>1</v>
          </cell>
          <cell r="H151">
            <v>3344</v>
          </cell>
        </row>
        <row r="152">
          <cell r="B152" t="str">
            <v>APR 2014</v>
          </cell>
          <cell r="C152" t="str">
            <v>KUCME295</v>
          </cell>
          <cell r="D152">
            <v>473</v>
          </cell>
          <cell r="H152">
            <v>90374</v>
          </cell>
          <cell r="O152">
            <v>16.5</v>
          </cell>
        </row>
        <row r="153">
          <cell r="B153" t="str">
            <v>APR 2014</v>
          </cell>
          <cell r="C153" t="str">
            <v>KUCSR760</v>
          </cell>
          <cell r="D153">
            <v>1</v>
          </cell>
        </row>
        <row r="154">
          <cell r="B154" t="str">
            <v>APR 2014</v>
          </cell>
          <cell r="C154" t="str">
            <v>KUCSR761</v>
          </cell>
          <cell r="D154">
            <v>1</v>
          </cell>
        </row>
        <row r="155">
          <cell r="B155" t="str">
            <v>APR 2014</v>
          </cell>
          <cell r="C155" t="str">
            <v>KUCSR781</v>
          </cell>
          <cell r="D155">
            <v>1</v>
          </cell>
        </row>
        <row r="156">
          <cell r="B156" t="str">
            <v>APR 2014</v>
          </cell>
          <cell r="C156" t="str">
            <v>KUCSR783</v>
          </cell>
          <cell r="D156">
            <v>1</v>
          </cell>
        </row>
        <row r="157">
          <cell r="B157" t="str">
            <v>APR 2014</v>
          </cell>
          <cell r="C157" t="str">
            <v>KUCME713</v>
          </cell>
          <cell r="D157">
            <v>2</v>
          </cell>
          <cell r="H157">
            <v>10840</v>
          </cell>
          <cell r="O157">
            <v>61</v>
          </cell>
        </row>
        <row r="158">
          <cell r="B158" t="str">
            <v>APR 2014</v>
          </cell>
          <cell r="C158" t="str">
            <v>KUCIE717</v>
          </cell>
          <cell r="D158">
            <v>1</v>
          </cell>
          <cell r="H158">
            <v>23280</v>
          </cell>
          <cell r="P158">
            <v>120.8</v>
          </cell>
          <cell r="S158">
            <v>0</v>
          </cell>
        </row>
        <row r="159">
          <cell r="B159" t="str">
            <v>APR 2014</v>
          </cell>
          <cell r="C159" t="str">
            <v>KUCME223</v>
          </cell>
          <cell r="D159">
            <v>68</v>
          </cell>
          <cell r="H159">
            <v>489126</v>
          </cell>
          <cell r="O159">
            <v>3674.1</v>
          </cell>
        </row>
        <row r="160">
          <cell r="B160" t="str">
            <v>APR 2014</v>
          </cell>
          <cell r="C160" t="str">
            <v>KURSE040</v>
          </cell>
          <cell r="D160">
            <v>5</v>
          </cell>
          <cell r="E160">
            <v>3263</v>
          </cell>
          <cell r="F160">
            <v>1319</v>
          </cell>
          <cell r="G160">
            <v>739</v>
          </cell>
          <cell r="H160">
            <v>5321</v>
          </cell>
        </row>
        <row r="161">
          <cell r="B161" t="str">
            <v>APR 2014</v>
          </cell>
          <cell r="C161" t="str">
            <v>KUCME221</v>
          </cell>
          <cell r="D161">
            <v>6</v>
          </cell>
          <cell r="H161">
            <v>-1002900</v>
          </cell>
          <cell r="O161">
            <v>160.5</v>
          </cell>
        </row>
        <row r="162">
          <cell r="B162" t="str">
            <v>APR 2014</v>
          </cell>
          <cell r="C162" t="str">
            <v>KUCME224</v>
          </cell>
          <cell r="D162">
            <v>4</v>
          </cell>
          <cell r="H162">
            <v>246340</v>
          </cell>
          <cell r="O162">
            <v>971.3</v>
          </cell>
        </row>
        <row r="163">
          <cell r="B163" t="str">
            <v>APR 2014</v>
          </cell>
          <cell r="C163" t="str">
            <v>KUCME297</v>
          </cell>
          <cell r="D163">
            <v>272</v>
          </cell>
          <cell r="H163">
            <v>14416</v>
          </cell>
        </row>
        <row r="164">
          <cell r="B164" t="str">
            <v>APR 2014</v>
          </cell>
          <cell r="C164" t="str">
            <v>KUCME225</v>
          </cell>
          <cell r="D164">
            <v>96</v>
          </cell>
          <cell r="H164">
            <v>2369020</v>
          </cell>
          <cell r="O164">
            <v>12017.7</v>
          </cell>
        </row>
        <row r="165">
          <cell r="B165" t="str">
            <v>APR 2014</v>
          </cell>
          <cell r="C165" t="str">
            <v>KUCME226</v>
          </cell>
          <cell r="D165">
            <v>19</v>
          </cell>
          <cell r="H165">
            <v>54793</v>
          </cell>
          <cell r="O165">
            <v>1144.5999999999999</v>
          </cell>
        </row>
        <row r="166">
          <cell r="B166" t="str">
            <v>APR 2014</v>
          </cell>
          <cell r="C166" t="str">
            <v>KUCME227</v>
          </cell>
          <cell r="D166">
            <v>100</v>
          </cell>
          <cell r="H166">
            <v>8681308</v>
          </cell>
          <cell r="O166">
            <v>37040.199999999997</v>
          </cell>
        </row>
        <row r="167">
          <cell r="B167" t="str">
            <v>APR 2014</v>
          </cell>
          <cell r="C167" t="str">
            <v>Result</v>
          </cell>
          <cell r="D167">
            <v>513180</v>
          </cell>
          <cell r="E167">
            <v>3263</v>
          </cell>
          <cell r="F167">
            <v>1319</v>
          </cell>
          <cell r="G167">
            <v>739</v>
          </cell>
          <cell r="H167">
            <v>1395226965</v>
          </cell>
          <cell r="I167">
            <v>2145098.3099999996</v>
          </cell>
          <cell r="J167">
            <v>1423179.75</v>
          </cell>
          <cell r="K167">
            <v>1352647.3</v>
          </cell>
          <cell r="O167">
            <v>1422736.1</v>
          </cell>
          <cell r="P167">
            <v>1412848.2000000002</v>
          </cell>
          <cell r="Q167">
            <v>1342525.8</v>
          </cell>
          <cell r="S167">
            <v>144110.75</v>
          </cell>
        </row>
        <row r="168">
          <cell r="D168" t="str">
            <v xml:space="preserve"> # Billed  Contracts</v>
          </cell>
          <cell r="E168" t="str">
            <v xml:space="preserve"> KWH   P1</v>
          </cell>
          <cell r="F168" t="str">
            <v xml:space="preserve"> KWH   P2</v>
          </cell>
          <cell r="G168" t="str">
            <v xml:space="preserve"> KWH   P3</v>
          </cell>
          <cell r="H168" t="str">
            <v xml:space="preserve"> Total  KWH</v>
          </cell>
          <cell r="I168" t="str">
            <v>KW/KVA Base Qty</v>
          </cell>
          <cell r="J168" t="str">
            <v>KW/KVA Int Qty</v>
          </cell>
          <cell r="K168" t="str">
            <v>KW/KVA Peak Qty</v>
          </cell>
          <cell r="O168" t="str">
            <v>KW/KVA Base Measured</v>
          </cell>
          <cell r="P168" t="str">
            <v>KW/KVA Intermed Measured</v>
          </cell>
          <cell r="Q168" t="str">
            <v>KW/KVA Peak Measured</v>
          </cell>
          <cell r="S168" t="str">
            <v>Power Factor Adj</v>
          </cell>
        </row>
        <row r="169">
          <cell r="B169" t="str">
            <v>Revenue Period</v>
          </cell>
          <cell r="C169" t="str">
            <v>Rate Category</v>
          </cell>
          <cell r="E169" t="str">
            <v>KWH</v>
          </cell>
          <cell r="F169" t="str">
            <v>KWH</v>
          </cell>
          <cell r="G169" t="str">
            <v>KWH</v>
          </cell>
          <cell r="H169" t="str">
            <v>KWH</v>
          </cell>
          <cell r="S169" t="str">
            <v>$</v>
          </cell>
        </row>
        <row r="170">
          <cell r="B170" t="str">
            <v>MAY 2014</v>
          </cell>
          <cell r="C170" t="str">
            <v>KUCIE550</v>
          </cell>
          <cell r="D170">
            <v>31</v>
          </cell>
          <cell r="H170">
            <v>130974212</v>
          </cell>
          <cell r="I170">
            <v>296102.7</v>
          </cell>
          <cell r="J170">
            <v>288194.40000000002</v>
          </cell>
          <cell r="K170">
            <v>280585</v>
          </cell>
          <cell r="O170">
            <v>291586.59999999998</v>
          </cell>
          <cell r="P170">
            <v>286637.40000000002</v>
          </cell>
          <cell r="Q170">
            <v>279717.90000000002</v>
          </cell>
        </row>
        <row r="171">
          <cell r="B171" t="str">
            <v>MAY 2014</v>
          </cell>
          <cell r="C171" t="str">
            <v>KUCIE561</v>
          </cell>
          <cell r="D171">
            <v>167</v>
          </cell>
          <cell r="H171">
            <v>3773412</v>
          </cell>
          <cell r="K171">
            <v>15004.53</v>
          </cell>
          <cell r="Q171">
            <v>13282.6</v>
          </cell>
          <cell r="S171">
            <v>0</v>
          </cell>
        </row>
        <row r="172">
          <cell r="B172" t="str">
            <v>MAY 2014</v>
          </cell>
          <cell r="C172" t="str">
            <v>KUCIE562</v>
          </cell>
          <cell r="D172">
            <v>4840</v>
          </cell>
          <cell r="H172">
            <v>131600041</v>
          </cell>
          <cell r="K172">
            <v>432462.87</v>
          </cell>
          <cell r="Q172">
            <v>378414.6</v>
          </cell>
          <cell r="S172">
            <v>0</v>
          </cell>
        </row>
        <row r="173">
          <cell r="B173" t="str">
            <v>MAY 2014</v>
          </cell>
          <cell r="C173" t="str">
            <v>KUCIE563</v>
          </cell>
          <cell r="D173">
            <v>52</v>
          </cell>
          <cell r="H173">
            <v>242154160</v>
          </cell>
          <cell r="I173">
            <v>497917.4</v>
          </cell>
          <cell r="J173">
            <v>476039.9</v>
          </cell>
          <cell r="K173">
            <v>468808.8</v>
          </cell>
          <cell r="O173">
            <v>478184.8</v>
          </cell>
          <cell r="P173">
            <v>474777.2</v>
          </cell>
          <cell r="Q173">
            <v>466434.2</v>
          </cell>
        </row>
        <row r="174">
          <cell r="B174" t="str">
            <v>MAY 2014</v>
          </cell>
          <cell r="C174" t="str">
            <v>KUCIE566</v>
          </cell>
          <cell r="D174">
            <v>74</v>
          </cell>
          <cell r="H174">
            <v>19948394</v>
          </cell>
          <cell r="K174">
            <v>47032.95</v>
          </cell>
          <cell r="Q174">
            <v>43912.800000000003</v>
          </cell>
          <cell r="S174">
            <v>11888.94</v>
          </cell>
        </row>
        <row r="175">
          <cell r="B175" t="str">
            <v>MAY 2014</v>
          </cell>
          <cell r="C175" t="str">
            <v>KUCIE568</v>
          </cell>
          <cell r="D175">
            <v>393</v>
          </cell>
          <cell r="H175">
            <v>58274936</v>
          </cell>
          <cell r="K175">
            <v>153714.42000000001</v>
          </cell>
          <cell r="Q175">
            <v>145742.39999999999</v>
          </cell>
          <cell r="S175">
            <v>87739.53</v>
          </cell>
        </row>
        <row r="176">
          <cell r="B176" t="str">
            <v>MAY 2014</v>
          </cell>
          <cell r="C176" t="str">
            <v>KUCIE571</v>
          </cell>
          <cell r="D176">
            <v>158</v>
          </cell>
          <cell r="H176">
            <v>100192153</v>
          </cell>
          <cell r="I176">
            <v>267302.3</v>
          </cell>
          <cell r="J176">
            <v>256296.7</v>
          </cell>
          <cell r="K176">
            <v>251617.2</v>
          </cell>
          <cell r="O176">
            <v>258634.4</v>
          </cell>
          <cell r="P176">
            <v>255439.3</v>
          </cell>
          <cell r="Q176">
            <v>250750.8</v>
          </cell>
        </row>
        <row r="177">
          <cell r="B177" t="str">
            <v>MAY 2014</v>
          </cell>
          <cell r="C177" t="str">
            <v>KUCIE572</v>
          </cell>
          <cell r="D177">
            <v>439</v>
          </cell>
          <cell r="H177">
            <v>100848428</v>
          </cell>
          <cell r="I177">
            <v>252599</v>
          </cell>
          <cell r="J177">
            <v>236441.7</v>
          </cell>
          <cell r="K177">
            <v>232177</v>
          </cell>
          <cell r="O177">
            <v>238210.1</v>
          </cell>
          <cell r="P177">
            <v>236019.8</v>
          </cell>
          <cell r="Q177">
            <v>231678.6</v>
          </cell>
          <cell r="S177">
            <v>94709.28</v>
          </cell>
        </row>
        <row r="178">
          <cell r="B178" t="str">
            <v>MAY 2014</v>
          </cell>
          <cell r="C178" t="str">
            <v>KUCME110</v>
          </cell>
          <cell r="D178">
            <v>64676</v>
          </cell>
          <cell r="H178">
            <v>55154602</v>
          </cell>
          <cell r="O178">
            <v>119547.4</v>
          </cell>
        </row>
        <row r="179">
          <cell r="B179" t="str">
            <v>MAY 2014</v>
          </cell>
          <cell r="C179" t="str">
            <v>KUCME112</v>
          </cell>
          <cell r="D179">
            <v>61</v>
          </cell>
          <cell r="H179">
            <v>10785</v>
          </cell>
        </row>
        <row r="180">
          <cell r="B180" t="str">
            <v>MAY 2014</v>
          </cell>
          <cell r="C180" t="str">
            <v>KUCME113</v>
          </cell>
          <cell r="D180">
            <v>17119</v>
          </cell>
          <cell r="H180">
            <v>77641848</v>
          </cell>
          <cell r="O180">
            <v>352432.9</v>
          </cell>
        </row>
        <row r="181">
          <cell r="B181" t="str">
            <v>MAY 2014</v>
          </cell>
          <cell r="C181" t="str">
            <v>KUCME220</v>
          </cell>
          <cell r="D181">
            <v>333</v>
          </cell>
          <cell r="H181">
            <v>428919</v>
          </cell>
          <cell r="O181">
            <v>2580.1999999999998</v>
          </cell>
        </row>
        <row r="182">
          <cell r="B182" t="str">
            <v>MAY 2014</v>
          </cell>
          <cell r="C182" t="str">
            <v>KURSE010</v>
          </cell>
          <cell r="D182">
            <v>228849</v>
          </cell>
          <cell r="H182">
            <v>175043396</v>
          </cell>
        </row>
        <row r="183">
          <cell r="B183" t="str">
            <v>MAY 2014</v>
          </cell>
          <cell r="C183" t="str">
            <v>KURSE020</v>
          </cell>
          <cell r="D183">
            <v>194797</v>
          </cell>
          <cell r="H183">
            <v>176531151</v>
          </cell>
        </row>
        <row r="184">
          <cell r="B184" t="str">
            <v>MAY 2014</v>
          </cell>
          <cell r="C184" t="str">
            <v>KURSE025</v>
          </cell>
          <cell r="D184">
            <v>243</v>
          </cell>
          <cell r="H184">
            <v>403406</v>
          </cell>
        </row>
        <row r="185">
          <cell r="B185" t="str">
            <v>MAY 2014</v>
          </cell>
          <cell r="C185" t="str">
            <v>KURSE080</v>
          </cell>
          <cell r="D185">
            <v>50</v>
          </cell>
          <cell r="H185">
            <v>61280</v>
          </cell>
        </row>
        <row r="186">
          <cell r="B186" t="str">
            <v>MAY 2014</v>
          </cell>
          <cell r="C186" t="str">
            <v>KURSE715</v>
          </cell>
          <cell r="D186">
            <v>52</v>
          </cell>
          <cell r="H186">
            <v>33790</v>
          </cell>
        </row>
        <row r="187">
          <cell r="B187" t="str">
            <v>MAY 2014</v>
          </cell>
          <cell r="C187" t="str">
            <v>KTRSE020</v>
          </cell>
          <cell r="D187">
            <v>3</v>
          </cell>
          <cell r="H187">
            <v>3610</v>
          </cell>
        </row>
        <row r="188">
          <cell r="B188" t="str">
            <v>MAY 2014</v>
          </cell>
          <cell r="C188" t="str">
            <v>KTRSE030</v>
          </cell>
          <cell r="D188">
            <v>1</v>
          </cell>
          <cell r="H188">
            <v>712</v>
          </cell>
        </row>
        <row r="189">
          <cell r="B189" t="str">
            <v>MAY 2014</v>
          </cell>
          <cell r="C189" t="str">
            <v>KUCME710</v>
          </cell>
          <cell r="D189">
            <v>8</v>
          </cell>
          <cell r="H189">
            <v>3336</v>
          </cell>
        </row>
        <row r="190">
          <cell r="B190" t="str">
            <v>MAY 2014</v>
          </cell>
          <cell r="C190" t="str">
            <v>KUINE730</v>
          </cell>
          <cell r="D190">
            <v>1</v>
          </cell>
          <cell r="H190">
            <v>47520000</v>
          </cell>
          <cell r="I190">
            <v>190601.2</v>
          </cell>
          <cell r="J190">
            <v>190601.2</v>
          </cell>
          <cell r="K190">
            <v>137655.1</v>
          </cell>
          <cell r="O190">
            <v>190601.2</v>
          </cell>
          <cell r="P190">
            <v>190601.2</v>
          </cell>
          <cell r="Q190">
            <v>137655.1</v>
          </cell>
        </row>
        <row r="191">
          <cell r="B191" t="str">
            <v>MAY 2014</v>
          </cell>
          <cell r="C191" t="str">
            <v>KUCME290</v>
          </cell>
          <cell r="D191">
            <v>1</v>
          </cell>
          <cell r="H191">
            <v>9255</v>
          </cell>
          <cell r="O191">
            <v>33.6</v>
          </cell>
        </row>
        <row r="192">
          <cell r="B192" t="str">
            <v>MAY 2014</v>
          </cell>
          <cell r="C192" t="str">
            <v>KUCME291</v>
          </cell>
          <cell r="D192">
            <v>1</v>
          </cell>
          <cell r="H192">
            <v>3338</v>
          </cell>
        </row>
        <row r="193">
          <cell r="B193" t="str">
            <v>MAY 2014</v>
          </cell>
          <cell r="C193" t="str">
            <v>KUCME295</v>
          </cell>
          <cell r="D193">
            <v>474</v>
          </cell>
          <cell r="H193">
            <v>89696</v>
          </cell>
          <cell r="O193">
            <v>16.5</v>
          </cell>
        </row>
        <row r="194">
          <cell r="B194" t="str">
            <v>MAY 2014</v>
          </cell>
          <cell r="C194" t="str">
            <v>KUCSR760</v>
          </cell>
          <cell r="D194">
            <v>1</v>
          </cell>
        </row>
        <row r="195">
          <cell r="B195" t="str">
            <v>MAY 2014</v>
          </cell>
          <cell r="C195" t="str">
            <v>KUCSR761</v>
          </cell>
          <cell r="D195">
            <v>1</v>
          </cell>
        </row>
        <row r="196">
          <cell r="B196" t="str">
            <v>MAY 2014</v>
          </cell>
          <cell r="C196" t="str">
            <v>KUCSR781</v>
          </cell>
          <cell r="D196">
            <v>1</v>
          </cell>
        </row>
        <row r="197">
          <cell r="B197" t="str">
            <v>MAY 2014</v>
          </cell>
          <cell r="C197" t="str">
            <v>KUCSR783</v>
          </cell>
          <cell r="D197">
            <v>1</v>
          </cell>
        </row>
        <row r="198">
          <cell r="B198" t="str">
            <v>MAY 2014</v>
          </cell>
          <cell r="C198" t="str">
            <v>KUCME713</v>
          </cell>
          <cell r="D198">
            <v>2</v>
          </cell>
          <cell r="H198">
            <v>10160</v>
          </cell>
          <cell r="O198">
            <v>61</v>
          </cell>
        </row>
        <row r="199">
          <cell r="B199" t="str">
            <v>MAY 2014</v>
          </cell>
          <cell r="C199" t="str">
            <v>KUCIE717</v>
          </cell>
          <cell r="D199">
            <v>1</v>
          </cell>
          <cell r="H199">
            <v>25360</v>
          </cell>
          <cell r="Q199">
            <v>77.5</v>
          </cell>
        </row>
        <row r="200">
          <cell r="B200" t="str">
            <v>MAY 2014</v>
          </cell>
          <cell r="C200" t="str">
            <v>KUCME223</v>
          </cell>
          <cell r="D200">
            <v>67</v>
          </cell>
          <cell r="H200">
            <v>353566</v>
          </cell>
          <cell r="O200">
            <v>3228.6</v>
          </cell>
        </row>
        <row r="201">
          <cell r="B201" t="str">
            <v>MAY 2014</v>
          </cell>
          <cell r="C201" t="str">
            <v>KURSE040</v>
          </cell>
          <cell r="D201">
            <v>5</v>
          </cell>
          <cell r="E201">
            <v>2666</v>
          </cell>
          <cell r="F201">
            <v>814</v>
          </cell>
          <cell r="G201">
            <v>473</v>
          </cell>
          <cell r="H201">
            <v>3953</v>
          </cell>
        </row>
        <row r="202">
          <cell r="B202" t="str">
            <v>MAY 2014</v>
          </cell>
          <cell r="C202" t="str">
            <v>KUCME221</v>
          </cell>
          <cell r="D202">
            <v>6</v>
          </cell>
          <cell r="H202">
            <v>900</v>
          </cell>
          <cell r="O202">
            <v>103.4</v>
          </cell>
        </row>
        <row r="203">
          <cell r="B203" t="str">
            <v>MAY 2014</v>
          </cell>
          <cell r="C203" t="str">
            <v>KUCME224</v>
          </cell>
          <cell r="D203">
            <v>4</v>
          </cell>
          <cell r="H203">
            <v>244540</v>
          </cell>
          <cell r="O203">
            <v>938.3</v>
          </cell>
        </row>
        <row r="204">
          <cell r="B204" t="str">
            <v>MAY 2014</v>
          </cell>
          <cell r="C204" t="str">
            <v>KUCME297</v>
          </cell>
          <cell r="D204">
            <v>272</v>
          </cell>
          <cell r="H204">
            <v>14416</v>
          </cell>
        </row>
        <row r="205">
          <cell r="B205" t="str">
            <v>MAY 2014</v>
          </cell>
          <cell r="C205" t="str">
            <v>KUCME225</v>
          </cell>
          <cell r="D205">
            <v>96</v>
          </cell>
          <cell r="H205">
            <v>2129140</v>
          </cell>
          <cell r="O205">
            <v>10210.6</v>
          </cell>
        </row>
        <row r="206">
          <cell r="B206" t="str">
            <v>MAY 2014</v>
          </cell>
          <cell r="C206" t="str">
            <v>KUCME226</v>
          </cell>
          <cell r="D206">
            <v>19</v>
          </cell>
          <cell r="H206">
            <v>45091</v>
          </cell>
          <cell r="O206">
            <v>1465.5</v>
          </cell>
        </row>
        <row r="207">
          <cell r="B207" t="str">
            <v>MAY 2014</v>
          </cell>
          <cell r="C207" t="str">
            <v>KUCME227</v>
          </cell>
          <cell r="D207">
            <v>99</v>
          </cell>
          <cell r="H207">
            <v>8359304</v>
          </cell>
          <cell r="O207">
            <v>33244.800000000003</v>
          </cell>
        </row>
        <row r="208">
          <cell r="B208" t="str">
            <v>MAY 2014</v>
          </cell>
          <cell r="C208" t="str">
            <v>Result</v>
          </cell>
          <cell r="D208">
            <v>513398</v>
          </cell>
          <cell r="E208">
            <v>2666</v>
          </cell>
          <cell r="F208">
            <v>814</v>
          </cell>
          <cell r="G208">
            <v>473</v>
          </cell>
          <cell r="H208">
            <v>1331891290</v>
          </cell>
          <cell r="I208">
            <v>2152837.37</v>
          </cell>
          <cell r="J208">
            <v>1447573.9</v>
          </cell>
          <cell r="K208">
            <v>1370843.1</v>
          </cell>
          <cell r="O208">
            <v>1457217.0999999999</v>
          </cell>
          <cell r="P208">
            <v>1443474.9000000001</v>
          </cell>
          <cell r="Q208">
            <v>1366236.6000000003</v>
          </cell>
          <cell r="S208">
            <v>194337.75</v>
          </cell>
        </row>
        <row r="209">
          <cell r="D209" t="str">
            <v xml:space="preserve"> # Billed  Contracts</v>
          </cell>
          <cell r="E209" t="str">
            <v xml:space="preserve"> KWH   P1</v>
          </cell>
          <cell r="F209" t="str">
            <v xml:space="preserve"> KWH   P2</v>
          </cell>
          <cell r="G209" t="str">
            <v xml:space="preserve"> KWH   P3</v>
          </cell>
          <cell r="H209" t="str">
            <v xml:space="preserve"> Total  KWH</v>
          </cell>
          <cell r="I209" t="str">
            <v>KW/KVA Base Qty</v>
          </cell>
          <cell r="J209" t="str">
            <v>KW/KVA Int Qty</v>
          </cell>
          <cell r="K209" t="str">
            <v>KW/KVA Peak Qty</v>
          </cell>
          <cell r="O209" t="str">
            <v>KW/KVA Base Measured</v>
          </cell>
          <cell r="P209" t="str">
            <v>KW/KVA Intermed Measured</v>
          </cell>
          <cell r="Q209" t="str">
            <v>KW/KVA Peak Measured</v>
          </cell>
          <cell r="S209" t="str">
            <v>Power Factor Adj</v>
          </cell>
        </row>
        <row r="210">
          <cell r="B210" t="str">
            <v>JUN 2014</v>
          </cell>
          <cell r="C210" t="str">
            <v>KUCIE550</v>
          </cell>
          <cell r="D210">
            <v>31</v>
          </cell>
          <cell r="H210">
            <v>133910524</v>
          </cell>
          <cell r="I210">
            <v>309714.2</v>
          </cell>
          <cell r="J210">
            <v>295672.8</v>
          </cell>
          <cell r="K210">
            <v>292542.7</v>
          </cell>
          <cell r="O210">
            <v>301789</v>
          </cell>
          <cell r="P210">
            <v>293865.5</v>
          </cell>
          <cell r="Q210">
            <v>291423.40000000002</v>
          </cell>
        </row>
        <row r="211">
          <cell r="B211" t="str">
            <v>JUN 2014</v>
          </cell>
          <cell r="C211" t="str">
            <v>KUCIE561</v>
          </cell>
          <cell r="D211">
            <v>168</v>
          </cell>
          <cell r="H211">
            <v>4570312</v>
          </cell>
          <cell r="K211">
            <v>15619.5</v>
          </cell>
          <cell r="Q211">
            <v>13791.6</v>
          </cell>
          <cell r="S211">
            <v>0</v>
          </cell>
        </row>
        <row r="212">
          <cell r="B212" t="str">
            <v>JUN 2014</v>
          </cell>
          <cell r="C212" t="str">
            <v>KUCIE562</v>
          </cell>
          <cell r="D212">
            <v>4817</v>
          </cell>
          <cell r="H212">
            <v>148883695</v>
          </cell>
          <cell r="K212">
            <v>444576.42</v>
          </cell>
          <cell r="Q212">
            <v>396248.1</v>
          </cell>
          <cell r="S212">
            <v>0</v>
          </cell>
        </row>
        <row r="213">
          <cell r="B213" t="str">
            <v>JUN 2014</v>
          </cell>
          <cell r="C213" t="str">
            <v>KUCIE563</v>
          </cell>
          <cell r="D213">
            <v>53</v>
          </cell>
          <cell r="H213">
            <v>258255428</v>
          </cell>
          <cell r="I213">
            <v>519412.9</v>
          </cell>
          <cell r="J213">
            <v>500432.8</v>
          </cell>
          <cell r="K213">
            <v>494296.9</v>
          </cell>
          <cell r="O213">
            <v>503667.8</v>
          </cell>
          <cell r="P213">
            <v>499668.1</v>
          </cell>
          <cell r="Q213">
            <v>493520.7</v>
          </cell>
        </row>
        <row r="214">
          <cell r="B214" t="str">
            <v>JUN 2014</v>
          </cell>
          <cell r="C214" t="str">
            <v>KUCIE566</v>
          </cell>
          <cell r="D214">
            <v>76</v>
          </cell>
          <cell r="H214">
            <v>23110040</v>
          </cell>
          <cell r="K214">
            <v>54404.3</v>
          </cell>
          <cell r="Q214">
            <v>50432.1</v>
          </cell>
          <cell r="S214">
            <v>10922.15</v>
          </cell>
        </row>
        <row r="215">
          <cell r="B215" t="str">
            <v>JUN 2014</v>
          </cell>
          <cell r="C215" t="str">
            <v>KUCIE568</v>
          </cell>
          <cell r="D215">
            <v>388</v>
          </cell>
          <cell r="H215">
            <v>60748792</v>
          </cell>
          <cell r="K215">
            <v>151725.95000000001</v>
          </cell>
          <cell r="Q215">
            <v>146025.9</v>
          </cell>
          <cell r="S215">
            <v>84540.53</v>
          </cell>
        </row>
        <row r="216">
          <cell r="B216" t="str">
            <v>JUN 2014</v>
          </cell>
          <cell r="C216" t="str">
            <v>KUCIE571</v>
          </cell>
          <cell r="D216">
            <v>156</v>
          </cell>
          <cell r="H216">
            <v>106841640</v>
          </cell>
          <cell r="I216">
            <v>271759.7</v>
          </cell>
          <cell r="J216">
            <v>262603.90000000002</v>
          </cell>
          <cell r="K216">
            <v>257287.7</v>
          </cell>
          <cell r="O216">
            <v>262858.8</v>
          </cell>
          <cell r="P216">
            <v>260987.8</v>
          </cell>
          <cell r="Q216">
            <v>254232.1</v>
          </cell>
        </row>
        <row r="217">
          <cell r="B217" t="str">
            <v>JUN 2014</v>
          </cell>
          <cell r="C217" t="str">
            <v>KUCIE572</v>
          </cell>
          <cell r="D217">
            <v>457</v>
          </cell>
          <cell r="H217">
            <v>114521799</v>
          </cell>
          <cell r="I217">
            <v>273071.95</v>
          </cell>
          <cell r="J217">
            <v>255432.35</v>
          </cell>
          <cell r="K217">
            <v>249189</v>
          </cell>
          <cell r="O217">
            <v>256884.6</v>
          </cell>
          <cell r="P217">
            <v>254148.4</v>
          </cell>
          <cell r="Q217">
            <v>247729.4</v>
          </cell>
          <cell r="S217">
            <v>112000.92</v>
          </cell>
        </row>
        <row r="218">
          <cell r="B218" t="str">
            <v>JUN 2014</v>
          </cell>
          <cell r="C218" t="str">
            <v>KUCME110</v>
          </cell>
          <cell r="D218">
            <v>63580</v>
          </cell>
          <cell r="H218">
            <v>59244758</v>
          </cell>
          <cell r="O218">
            <v>101914.7</v>
          </cell>
        </row>
        <row r="219">
          <cell r="B219" t="str">
            <v>JUN 2014</v>
          </cell>
          <cell r="C219" t="str">
            <v>KUCME112</v>
          </cell>
          <cell r="D219">
            <v>61</v>
          </cell>
          <cell r="H219">
            <v>10785</v>
          </cell>
        </row>
        <row r="220">
          <cell r="B220" t="str">
            <v>JUN 2014</v>
          </cell>
          <cell r="C220" t="str">
            <v>KUCME113</v>
          </cell>
          <cell r="D220">
            <v>18341</v>
          </cell>
          <cell r="H220">
            <v>90852791</v>
          </cell>
          <cell r="O220">
            <v>369809.3</v>
          </cell>
        </row>
        <row r="221">
          <cell r="B221" t="str">
            <v>JUN 2014</v>
          </cell>
          <cell r="C221" t="str">
            <v>KUCME220</v>
          </cell>
          <cell r="D221">
            <v>331</v>
          </cell>
          <cell r="H221">
            <v>381270</v>
          </cell>
          <cell r="O221">
            <v>2204</v>
          </cell>
        </row>
        <row r="222">
          <cell r="B222" t="str">
            <v>JUN 2014</v>
          </cell>
          <cell r="C222" t="str">
            <v>KURSE010</v>
          </cell>
          <cell r="D222">
            <v>229309</v>
          </cell>
          <cell r="H222">
            <v>234384000</v>
          </cell>
        </row>
        <row r="223">
          <cell r="B223" t="str">
            <v>JUN 2014</v>
          </cell>
          <cell r="C223" t="str">
            <v>KURSE020</v>
          </cell>
          <cell r="D223">
            <v>195153</v>
          </cell>
          <cell r="H223">
            <v>204298851</v>
          </cell>
        </row>
        <row r="224">
          <cell r="B224" t="str">
            <v>JUN 2014</v>
          </cell>
          <cell r="C224" t="str">
            <v>KURSE025</v>
          </cell>
          <cell r="D224">
            <v>244</v>
          </cell>
          <cell r="H224">
            <v>545440</v>
          </cell>
        </row>
        <row r="225">
          <cell r="B225" t="str">
            <v>JUN 2014</v>
          </cell>
          <cell r="C225" t="str">
            <v>KURSE080</v>
          </cell>
          <cell r="D225">
            <v>50</v>
          </cell>
          <cell r="H225">
            <v>70898</v>
          </cell>
        </row>
        <row r="226">
          <cell r="B226" t="str">
            <v>JUN 2014</v>
          </cell>
          <cell r="C226" t="str">
            <v>KURSE715</v>
          </cell>
          <cell r="D226">
            <v>52</v>
          </cell>
          <cell r="H226">
            <v>41147</v>
          </cell>
        </row>
        <row r="227">
          <cell r="B227" t="str">
            <v>JUN 2014</v>
          </cell>
          <cell r="C227" t="str">
            <v>KTRSE020</v>
          </cell>
          <cell r="D227">
            <v>3</v>
          </cell>
          <cell r="H227">
            <v>3486</v>
          </cell>
        </row>
        <row r="228">
          <cell r="B228" t="str">
            <v>JUN 2014</v>
          </cell>
          <cell r="C228" t="str">
            <v>KTRSE030</v>
          </cell>
          <cell r="D228">
            <v>1</v>
          </cell>
          <cell r="H228">
            <v>760</v>
          </cell>
        </row>
        <row r="229">
          <cell r="B229" t="str">
            <v>JUN 2014</v>
          </cell>
          <cell r="C229" t="str">
            <v>KUCME710</v>
          </cell>
          <cell r="D229">
            <v>10</v>
          </cell>
          <cell r="H229">
            <v>5304</v>
          </cell>
        </row>
        <row r="230">
          <cell r="B230" t="str">
            <v>JUN 2014</v>
          </cell>
          <cell r="C230" t="str">
            <v>KUINE730</v>
          </cell>
          <cell r="D230">
            <v>1</v>
          </cell>
          <cell r="H230">
            <v>48168000</v>
          </cell>
          <cell r="I230">
            <v>188697.8</v>
          </cell>
          <cell r="J230">
            <v>188697.8</v>
          </cell>
          <cell r="K230">
            <v>154867.5</v>
          </cell>
          <cell r="O230">
            <v>188697.8</v>
          </cell>
          <cell r="P230">
            <v>188697.8</v>
          </cell>
          <cell r="Q230">
            <v>154867.5</v>
          </cell>
        </row>
        <row r="231">
          <cell r="B231" t="str">
            <v>JUN 2014</v>
          </cell>
          <cell r="C231" t="str">
            <v>KUCME290</v>
          </cell>
          <cell r="D231">
            <v>1</v>
          </cell>
          <cell r="H231">
            <v>9877</v>
          </cell>
          <cell r="O231">
            <v>34.1</v>
          </cell>
        </row>
        <row r="232">
          <cell r="B232" t="str">
            <v>JUN 2014</v>
          </cell>
          <cell r="C232" t="str">
            <v>KUCME291</v>
          </cell>
          <cell r="D232">
            <v>1</v>
          </cell>
          <cell r="H232">
            <v>2716</v>
          </cell>
        </row>
        <row r="233">
          <cell r="B233" t="str">
            <v>JUN 2014</v>
          </cell>
          <cell r="C233" t="str">
            <v>KUCME295</v>
          </cell>
          <cell r="D233">
            <v>477</v>
          </cell>
          <cell r="H233">
            <v>91300</v>
          </cell>
          <cell r="O233">
            <v>16.399999999999999</v>
          </cell>
        </row>
        <row r="234">
          <cell r="B234" t="str">
            <v>JUN 2014</v>
          </cell>
          <cell r="C234" t="str">
            <v>KUCSR760</v>
          </cell>
          <cell r="D234">
            <v>1</v>
          </cell>
        </row>
        <row r="235">
          <cell r="B235" t="str">
            <v>JUN 2014</v>
          </cell>
          <cell r="C235" t="str">
            <v>KUCSR761</v>
          </cell>
          <cell r="D235">
            <v>1</v>
          </cell>
        </row>
        <row r="236">
          <cell r="B236" t="str">
            <v>JUN 2014</v>
          </cell>
          <cell r="C236" t="str">
            <v>KUCSR780</v>
          </cell>
          <cell r="D236">
            <v>1</v>
          </cell>
        </row>
        <row r="237">
          <cell r="B237" t="str">
            <v>JUN 2014</v>
          </cell>
          <cell r="C237" t="str">
            <v>KUCSR781</v>
          </cell>
          <cell r="D237">
            <v>1</v>
          </cell>
        </row>
        <row r="238">
          <cell r="B238" t="str">
            <v>JUN 2014</v>
          </cell>
          <cell r="C238" t="str">
            <v>KUCSR783</v>
          </cell>
          <cell r="D238">
            <v>1</v>
          </cell>
        </row>
        <row r="239">
          <cell r="B239" t="str">
            <v>JUN 2014</v>
          </cell>
          <cell r="C239" t="str">
            <v>KUCME713</v>
          </cell>
          <cell r="D239">
            <v>2</v>
          </cell>
          <cell r="H239">
            <v>11560</v>
          </cell>
          <cell r="O239">
            <v>67.400000000000006</v>
          </cell>
        </row>
        <row r="240">
          <cell r="B240" t="str">
            <v>JUN 2014</v>
          </cell>
          <cell r="C240" t="str">
            <v>KUCIE717</v>
          </cell>
          <cell r="D240">
            <v>1</v>
          </cell>
          <cell r="H240">
            <v>31680</v>
          </cell>
          <cell r="Q240">
            <v>85</v>
          </cell>
        </row>
        <row r="241">
          <cell r="B241" t="str">
            <v>JUN 2014</v>
          </cell>
          <cell r="C241" t="str">
            <v>KUCME223</v>
          </cell>
          <cell r="D241">
            <v>68</v>
          </cell>
          <cell r="H241">
            <v>312915</v>
          </cell>
          <cell r="O241">
            <v>2754.8</v>
          </cell>
        </row>
        <row r="242">
          <cell r="B242" t="str">
            <v>JUN 2014</v>
          </cell>
          <cell r="C242" t="str">
            <v>KURSE040</v>
          </cell>
          <cell r="D242">
            <v>5</v>
          </cell>
          <cell r="E242">
            <v>3672</v>
          </cell>
          <cell r="F242">
            <v>871</v>
          </cell>
          <cell r="G242">
            <v>646</v>
          </cell>
          <cell r="H242">
            <v>5189</v>
          </cell>
        </row>
        <row r="243">
          <cell r="B243" t="str">
            <v>JUN 2014</v>
          </cell>
          <cell r="C243" t="str">
            <v>KUCME221</v>
          </cell>
          <cell r="D243">
            <v>5</v>
          </cell>
          <cell r="H243">
            <v>480</v>
          </cell>
          <cell r="O243">
            <v>164.6</v>
          </cell>
        </row>
        <row r="244">
          <cell r="B244" t="str">
            <v>JUN 2014</v>
          </cell>
          <cell r="C244" t="str">
            <v>KUCME224</v>
          </cell>
          <cell r="D244">
            <v>4</v>
          </cell>
          <cell r="H244">
            <v>222820</v>
          </cell>
          <cell r="O244">
            <v>853</v>
          </cell>
        </row>
        <row r="245">
          <cell r="B245" t="str">
            <v>JUN 2014</v>
          </cell>
          <cell r="C245" t="str">
            <v>KUCME297</v>
          </cell>
          <cell r="D245">
            <v>272</v>
          </cell>
          <cell r="H245">
            <v>14416</v>
          </cell>
        </row>
        <row r="246">
          <cell r="B246" t="str">
            <v>JUN 2014</v>
          </cell>
          <cell r="C246" t="str">
            <v>KUCME225</v>
          </cell>
          <cell r="D246">
            <v>96</v>
          </cell>
          <cell r="H246">
            <v>2077714</v>
          </cell>
          <cell r="O246">
            <v>10061.799999999999</v>
          </cell>
        </row>
        <row r="247">
          <cell r="B247" t="str">
            <v>JUN 2014</v>
          </cell>
          <cell r="C247" t="str">
            <v>KUCME226</v>
          </cell>
          <cell r="D247">
            <v>19</v>
          </cell>
          <cell r="H247">
            <v>43228</v>
          </cell>
          <cell r="O247">
            <v>1252.4000000000001</v>
          </cell>
        </row>
        <row r="248">
          <cell r="B248" t="str">
            <v>JUN 2014</v>
          </cell>
          <cell r="C248" t="str">
            <v>KUCME227</v>
          </cell>
          <cell r="D248">
            <v>99</v>
          </cell>
          <cell r="H248">
            <v>8310128</v>
          </cell>
          <cell r="O248">
            <v>33399.199999999997</v>
          </cell>
        </row>
        <row r="249">
          <cell r="B249" t="str">
            <v>JUN 2014</v>
          </cell>
          <cell r="C249" t="str">
            <v>Result</v>
          </cell>
          <cell r="D249">
            <v>514337</v>
          </cell>
          <cell r="E249">
            <v>3672</v>
          </cell>
          <cell r="F249">
            <v>871</v>
          </cell>
          <cell r="G249">
            <v>646</v>
          </cell>
          <cell r="H249">
            <v>1499983743</v>
          </cell>
          <cell r="I249">
            <v>2229082.7199999997</v>
          </cell>
          <cell r="J249">
            <v>1502839.6500000001</v>
          </cell>
          <cell r="K249">
            <v>1448183.8</v>
          </cell>
          <cell r="O249">
            <v>1513898.0000000002</v>
          </cell>
          <cell r="P249">
            <v>1497367.5999999999</v>
          </cell>
          <cell r="Q249">
            <v>1441773.1</v>
          </cell>
          <cell r="S249">
            <v>207463.59999999998</v>
          </cell>
        </row>
        <row r="250">
          <cell r="B250" t="str">
            <v>JUL 2014</v>
          </cell>
          <cell r="C250" t="str">
            <v>KUCIE550</v>
          </cell>
          <cell r="D250">
            <v>32</v>
          </cell>
          <cell r="H250">
            <v>123501495</v>
          </cell>
          <cell r="I250">
            <v>308003.09999999998</v>
          </cell>
          <cell r="J250">
            <v>297203.7</v>
          </cell>
          <cell r="K250">
            <v>293790.5</v>
          </cell>
          <cell r="O250">
            <v>304109.59999999998</v>
          </cell>
          <cell r="P250">
            <v>295424.59999999998</v>
          </cell>
          <cell r="Q250">
            <v>292703.7</v>
          </cell>
        </row>
        <row r="251">
          <cell r="B251" t="str">
            <v>JUL 2014</v>
          </cell>
          <cell r="C251" t="str">
            <v>KUCIE561</v>
          </cell>
          <cell r="D251">
            <v>166</v>
          </cell>
          <cell r="H251">
            <v>5416412</v>
          </cell>
          <cell r="K251">
            <v>17162.900000000001</v>
          </cell>
          <cell r="Q251">
            <v>15235.9</v>
          </cell>
          <cell r="S251">
            <v>0</v>
          </cell>
        </row>
        <row r="252">
          <cell r="B252" t="str">
            <v>JUL 2014</v>
          </cell>
          <cell r="C252" t="str">
            <v>KUCIE562</v>
          </cell>
          <cell r="D252">
            <v>4767</v>
          </cell>
          <cell r="H252">
            <v>157324850</v>
          </cell>
          <cell r="K252">
            <v>449787.97</v>
          </cell>
          <cell r="Q252">
            <v>403576.2</v>
          </cell>
          <cell r="S252">
            <v>0</v>
          </cell>
        </row>
        <row r="253">
          <cell r="B253" t="str">
            <v>JUL 2014</v>
          </cell>
          <cell r="C253" t="str">
            <v>KUCIE563</v>
          </cell>
          <cell r="D253">
            <v>54</v>
          </cell>
          <cell r="H253">
            <v>300636951</v>
          </cell>
          <cell r="I253">
            <v>623693.80000000005</v>
          </cell>
          <cell r="J253">
            <v>609211.69999999995</v>
          </cell>
          <cell r="K253">
            <v>599169.5</v>
          </cell>
          <cell r="O253">
            <v>611442.4</v>
          </cell>
          <cell r="P253">
            <v>608164.5</v>
          </cell>
          <cell r="Q253">
            <v>598084.9</v>
          </cell>
        </row>
        <row r="254">
          <cell r="B254" t="str">
            <v>JUL 2014</v>
          </cell>
          <cell r="C254" t="str">
            <v>KUCIE566</v>
          </cell>
          <cell r="D254">
            <v>69</v>
          </cell>
          <cell r="H254">
            <v>19965688</v>
          </cell>
          <cell r="K254">
            <v>45579.05</v>
          </cell>
          <cell r="Q254">
            <v>43372.9</v>
          </cell>
          <cell r="S254">
            <v>12410.43</v>
          </cell>
        </row>
        <row r="255">
          <cell r="B255" t="str">
            <v>JUL 2014</v>
          </cell>
          <cell r="C255" t="str">
            <v>KUCIE568</v>
          </cell>
          <cell r="D255">
            <v>379</v>
          </cell>
          <cell r="H255">
            <v>59633358</v>
          </cell>
          <cell r="K255">
            <v>141783.94</v>
          </cell>
          <cell r="Q255">
            <v>144196</v>
          </cell>
          <cell r="S255">
            <v>80606.559999999998</v>
          </cell>
        </row>
        <row r="256">
          <cell r="B256" t="str">
            <v>JUL 2014</v>
          </cell>
          <cell r="C256" t="str">
            <v>KUCIE571</v>
          </cell>
          <cell r="D256">
            <v>165</v>
          </cell>
          <cell r="H256">
            <v>116046769</v>
          </cell>
          <cell r="I256">
            <v>299599.09999999998</v>
          </cell>
          <cell r="J256">
            <v>289528.90000000002</v>
          </cell>
          <cell r="K256">
            <v>282298</v>
          </cell>
          <cell r="O256">
            <v>290033.40000000002</v>
          </cell>
          <cell r="P256">
            <v>287903.8</v>
          </cell>
          <cell r="Q256">
            <v>279562.59999999998</v>
          </cell>
        </row>
        <row r="257">
          <cell r="B257" t="str">
            <v>JUL 2014</v>
          </cell>
          <cell r="C257" t="str">
            <v>KUCIE572</v>
          </cell>
          <cell r="D257">
            <v>475</v>
          </cell>
          <cell r="H257">
            <v>124772908</v>
          </cell>
          <cell r="I257">
            <v>290283.02500000002</v>
          </cell>
          <cell r="J257">
            <v>269933.90000000002</v>
          </cell>
          <cell r="K257">
            <v>264707.8</v>
          </cell>
          <cell r="O257">
            <v>271984.40000000002</v>
          </cell>
          <cell r="P257">
            <v>268249.40000000002</v>
          </cell>
          <cell r="Q257">
            <v>262540</v>
          </cell>
          <cell r="S257">
            <v>119390.8</v>
          </cell>
        </row>
        <row r="258">
          <cell r="B258" t="str">
            <v>JUL 2014</v>
          </cell>
          <cell r="C258" t="str">
            <v>KUCME110</v>
          </cell>
          <cell r="D258">
            <v>63631</v>
          </cell>
          <cell r="H258">
            <v>66109772</v>
          </cell>
          <cell r="O258">
            <v>97326.6</v>
          </cell>
        </row>
        <row r="259">
          <cell r="B259" t="str">
            <v>JUL 2014</v>
          </cell>
          <cell r="C259" t="str">
            <v>KUCME112</v>
          </cell>
          <cell r="D259">
            <v>61</v>
          </cell>
          <cell r="H259">
            <v>10885</v>
          </cell>
        </row>
        <row r="260">
          <cell r="B260" t="str">
            <v>JUL 2014</v>
          </cell>
          <cell r="C260" t="str">
            <v>KUCME113</v>
          </cell>
          <cell r="D260">
            <v>18472</v>
          </cell>
          <cell r="H260">
            <v>99447216</v>
          </cell>
          <cell r="O260">
            <v>379519.3</v>
          </cell>
        </row>
        <row r="261">
          <cell r="B261" t="str">
            <v>JUL 2014</v>
          </cell>
          <cell r="C261" t="str">
            <v>KUCME220</v>
          </cell>
          <cell r="D261">
            <v>329</v>
          </cell>
          <cell r="H261">
            <v>370960</v>
          </cell>
          <cell r="O261">
            <v>1786.2</v>
          </cell>
        </row>
        <row r="262">
          <cell r="B262" t="str">
            <v>JUL 2014</v>
          </cell>
          <cell r="C262" t="str">
            <v>KURSE010</v>
          </cell>
          <cell r="D262">
            <v>229471</v>
          </cell>
          <cell r="H262">
            <v>284511549</v>
          </cell>
        </row>
        <row r="263">
          <cell r="B263" t="str">
            <v>JUL 2014</v>
          </cell>
          <cell r="C263" t="str">
            <v>KURSE020</v>
          </cell>
          <cell r="D263">
            <v>194960</v>
          </cell>
          <cell r="H263">
            <v>233586553</v>
          </cell>
        </row>
        <row r="264">
          <cell r="B264" t="str">
            <v>JUL 2014</v>
          </cell>
          <cell r="C264" t="str">
            <v>KURSE025</v>
          </cell>
          <cell r="D264">
            <v>244</v>
          </cell>
          <cell r="H264">
            <v>660157</v>
          </cell>
        </row>
        <row r="265">
          <cell r="B265" t="str">
            <v>JUL 2014</v>
          </cell>
          <cell r="C265" t="str">
            <v>KURSE080</v>
          </cell>
          <cell r="D265">
            <v>50</v>
          </cell>
          <cell r="H265">
            <v>78022</v>
          </cell>
        </row>
        <row r="266">
          <cell r="B266" t="str">
            <v>JUL 2014</v>
          </cell>
          <cell r="C266" t="str">
            <v>KURSE715</v>
          </cell>
          <cell r="D266">
            <v>55</v>
          </cell>
          <cell r="H266">
            <v>49459</v>
          </cell>
        </row>
        <row r="267">
          <cell r="B267" t="str">
            <v>JUL 2014</v>
          </cell>
          <cell r="C267" t="str">
            <v>KTRSE020</v>
          </cell>
          <cell r="D267">
            <v>3</v>
          </cell>
          <cell r="H267">
            <v>4703</v>
          </cell>
        </row>
        <row r="268">
          <cell r="B268" t="str">
            <v>JUL 2014</v>
          </cell>
          <cell r="C268" t="str">
            <v>KTRSE030</v>
          </cell>
          <cell r="D268">
            <v>1</v>
          </cell>
          <cell r="H268">
            <v>892</v>
          </cell>
        </row>
        <row r="269">
          <cell r="B269" t="str">
            <v>JUL 2014</v>
          </cell>
          <cell r="C269" t="str">
            <v>KUCME710</v>
          </cell>
          <cell r="D269">
            <v>10</v>
          </cell>
          <cell r="H269">
            <v>5823</v>
          </cell>
        </row>
        <row r="270">
          <cell r="B270" t="str">
            <v>JUL 2014</v>
          </cell>
          <cell r="C270" t="str">
            <v>KUINE730</v>
          </cell>
          <cell r="D270">
            <v>1</v>
          </cell>
          <cell r="H270">
            <v>42552000</v>
          </cell>
          <cell r="I270">
            <v>184927.1</v>
          </cell>
          <cell r="J270">
            <v>184927.1</v>
          </cell>
          <cell r="K270">
            <v>137695</v>
          </cell>
          <cell r="O270">
            <v>184927.1</v>
          </cell>
          <cell r="P270">
            <v>184927.1</v>
          </cell>
          <cell r="Q270">
            <v>137695</v>
          </cell>
        </row>
        <row r="271">
          <cell r="B271" t="str">
            <v>JUL 2014</v>
          </cell>
          <cell r="C271" t="str">
            <v>KUCME290</v>
          </cell>
          <cell r="D271">
            <v>1</v>
          </cell>
          <cell r="H271">
            <v>10809</v>
          </cell>
          <cell r="O271">
            <v>39.200000000000003</v>
          </cell>
        </row>
        <row r="272">
          <cell r="B272" t="str">
            <v>JUL 2014</v>
          </cell>
          <cell r="C272" t="str">
            <v>KUCME291</v>
          </cell>
          <cell r="D272">
            <v>1</v>
          </cell>
          <cell r="H272">
            <v>2625</v>
          </cell>
        </row>
        <row r="273">
          <cell r="B273" t="str">
            <v>JUL 2014</v>
          </cell>
          <cell r="C273" t="str">
            <v>KUCME295</v>
          </cell>
          <cell r="D273">
            <v>477</v>
          </cell>
          <cell r="H273">
            <v>90764</v>
          </cell>
          <cell r="O273">
            <v>53.8</v>
          </cell>
        </row>
        <row r="274">
          <cell r="B274" t="str">
            <v>JUL 2014</v>
          </cell>
          <cell r="C274" t="str">
            <v>KUCSR760</v>
          </cell>
          <cell r="D274">
            <v>1</v>
          </cell>
        </row>
        <row r="275">
          <cell r="B275" t="str">
            <v>JUL 2014</v>
          </cell>
          <cell r="C275" t="str">
            <v>KUCSR761</v>
          </cell>
          <cell r="D275">
            <v>1</v>
          </cell>
        </row>
        <row r="276">
          <cell r="B276" t="str">
            <v>JUL 2014</v>
          </cell>
          <cell r="C276" t="str">
            <v>KUCSR780</v>
          </cell>
          <cell r="D276">
            <v>1</v>
          </cell>
        </row>
        <row r="277">
          <cell r="B277" t="str">
            <v>JUL 2014</v>
          </cell>
          <cell r="C277" t="str">
            <v>KUCSR781</v>
          </cell>
          <cell r="D277">
            <v>1</v>
          </cell>
        </row>
        <row r="278">
          <cell r="B278" t="str">
            <v>JUL 2014</v>
          </cell>
          <cell r="C278" t="str">
            <v>KUCSR783</v>
          </cell>
          <cell r="D278">
            <v>1</v>
          </cell>
        </row>
        <row r="279">
          <cell r="B279" t="str">
            <v>JUL 2014</v>
          </cell>
          <cell r="C279" t="str">
            <v>KUCME713</v>
          </cell>
          <cell r="D279">
            <v>2</v>
          </cell>
          <cell r="H279">
            <v>11880</v>
          </cell>
          <cell r="O279">
            <v>62.3</v>
          </cell>
        </row>
        <row r="280">
          <cell r="B280" t="str">
            <v>JUL 2014</v>
          </cell>
          <cell r="C280" t="str">
            <v>KUCIE717</v>
          </cell>
          <cell r="D280">
            <v>1</v>
          </cell>
          <cell r="H280">
            <v>33680</v>
          </cell>
          <cell r="Q280">
            <v>99.1</v>
          </cell>
        </row>
        <row r="281">
          <cell r="B281" t="str">
            <v>JUL 2014</v>
          </cell>
          <cell r="C281" t="str">
            <v>KUCME223</v>
          </cell>
          <cell r="D281">
            <v>67</v>
          </cell>
          <cell r="H281">
            <v>293238</v>
          </cell>
          <cell r="O281">
            <v>1908.7</v>
          </cell>
        </row>
        <row r="282">
          <cell r="B282" t="str">
            <v>JUL 2014</v>
          </cell>
          <cell r="C282" t="str">
            <v>KURSE040</v>
          </cell>
          <cell r="D282">
            <v>6</v>
          </cell>
          <cell r="E282">
            <v>4082</v>
          </cell>
          <cell r="F282">
            <v>1223</v>
          </cell>
          <cell r="G282">
            <v>872</v>
          </cell>
          <cell r="H282">
            <v>6177</v>
          </cell>
        </row>
        <row r="283">
          <cell r="B283" t="str">
            <v>JUL 2014</v>
          </cell>
          <cell r="C283" t="str">
            <v>KUCME221</v>
          </cell>
          <cell r="D283">
            <v>6</v>
          </cell>
          <cell r="H283">
            <v>360</v>
          </cell>
          <cell r="O283">
            <v>160.19999999999999</v>
          </cell>
        </row>
        <row r="284">
          <cell r="B284" t="str">
            <v>JUL 2014</v>
          </cell>
          <cell r="C284" t="str">
            <v>KUCME224</v>
          </cell>
          <cell r="D284">
            <v>4</v>
          </cell>
          <cell r="H284">
            <v>219600</v>
          </cell>
          <cell r="O284">
            <v>647.79999999999995</v>
          </cell>
        </row>
        <row r="285">
          <cell r="B285" t="str">
            <v>JUL 2014</v>
          </cell>
          <cell r="C285" t="str">
            <v>KUCME297</v>
          </cell>
          <cell r="D285">
            <v>272</v>
          </cell>
          <cell r="H285">
            <v>14416</v>
          </cell>
        </row>
        <row r="286">
          <cell r="B286" t="str">
            <v>JUL 2014</v>
          </cell>
          <cell r="C286" t="str">
            <v>KUCME225</v>
          </cell>
          <cell r="D286">
            <v>96</v>
          </cell>
          <cell r="H286">
            <v>1853513</v>
          </cell>
          <cell r="O286">
            <v>7860</v>
          </cell>
        </row>
        <row r="287">
          <cell r="B287" t="str">
            <v>JUL 2014</v>
          </cell>
          <cell r="C287" t="str">
            <v>KUCME226</v>
          </cell>
          <cell r="D287">
            <v>19</v>
          </cell>
          <cell r="H287">
            <v>39934</v>
          </cell>
          <cell r="O287">
            <v>874.9</v>
          </cell>
        </row>
        <row r="288">
          <cell r="B288" t="str">
            <v>JUL 2014</v>
          </cell>
          <cell r="C288" t="str">
            <v>KUCME227</v>
          </cell>
          <cell r="D288">
            <v>99</v>
          </cell>
          <cell r="H288">
            <v>7160624</v>
          </cell>
          <cell r="O288">
            <v>23348</v>
          </cell>
        </row>
        <row r="289">
          <cell r="B289" t="str">
            <v>JUL 2014</v>
          </cell>
          <cell r="C289" t="str">
            <v>Result</v>
          </cell>
          <cell r="D289">
            <v>514451</v>
          </cell>
          <cell r="E289">
            <v>4082</v>
          </cell>
          <cell r="F289">
            <v>1223</v>
          </cell>
          <cell r="G289">
            <v>872</v>
          </cell>
          <cell r="H289">
            <v>1644424042</v>
          </cell>
          <cell r="I289">
            <v>2360919.9849999999</v>
          </cell>
          <cell r="J289">
            <v>1650805.2999999998</v>
          </cell>
          <cell r="K289">
            <v>1577660.8</v>
          </cell>
          <cell r="O289">
            <v>1662496.9</v>
          </cell>
          <cell r="P289">
            <v>1644669.4</v>
          </cell>
          <cell r="Q289">
            <v>1570586.2000000002</v>
          </cell>
          <cell r="S289">
            <v>212407.78999999998</v>
          </cell>
        </row>
        <row r="290">
          <cell r="B290" t="str">
            <v>AUG 2014</v>
          </cell>
          <cell r="C290" t="str">
            <v>KUCIE550</v>
          </cell>
          <cell r="D290">
            <v>32</v>
          </cell>
          <cell r="H290">
            <v>139895327</v>
          </cell>
          <cell r="I290">
            <v>310977</v>
          </cell>
          <cell r="J290">
            <v>302645.40000000002</v>
          </cell>
          <cell r="K290">
            <v>299369.5</v>
          </cell>
          <cell r="O290">
            <v>307153.40000000002</v>
          </cell>
          <cell r="P290">
            <v>300825.7</v>
          </cell>
          <cell r="Q290">
            <v>298228.3</v>
          </cell>
        </row>
        <row r="291">
          <cell r="B291" t="str">
            <v>AUG 2014</v>
          </cell>
          <cell r="C291" t="str">
            <v>KUCIE561</v>
          </cell>
          <cell r="D291">
            <v>165</v>
          </cell>
          <cell r="H291">
            <v>4805788</v>
          </cell>
          <cell r="K291">
            <v>16532.05</v>
          </cell>
          <cell r="Q291">
            <v>14572.1</v>
          </cell>
          <cell r="S291">
            <v>0</v>
          </cell>
        </row>
        <row r="292">
          <cell r="B292" t="str">
            <v>AUG 2014</v>
          </cell>
          <cell r="C292" t="str">
            <v>KUCIE562</v>
          </cell>
          <cell r="D292">
            <v>4740</v>
          </cell>
          <cell r="H292">
            <v>147959641</v>
          </cell>
          <cell r="K292">
            <v>442527.22</v>
          </cell>
          <cell r="Q292">
            <v>395154.4</v>
          </cell>
          <cell r="S292">
            <v>0</v>
          </cell>
        </row>
        <row r="293">
          <cell r="B293" t="str">
            <v>AUG 2014</v>
          </cell>
          <cell r="C293" t="str">
            <v>KUCIE563</v>
          </cell>
          <cell r="D293">
            <v>52</v>
          </cell>
          <cell r="H293">
            <v>215552537</v>
          </cell>
          <cell r="I293">
            <v>451659.1</v>
          </cell>
          <cell r="J293">
            <v>438293.1</v>
          </cell>
          <cell r="K293">
            <v>431935.5</v>
          </cell>
          <cell r="O293">
            <v>441194.9</v>
          </cell>
          <cell r="P293">
            <v>437518.1</v>
          </cell>
          <cell r="Q293">
            <v>430847.5</v>
          </cell>
        </row>
        <row r="294">
          <cell r="B294" t="str">
            <v>AUG 2014</v>
          </cell>
          <cell r="C294" t="str">
            <v>KUCIE566</v>
          </cell>
          <cell r="D294">
            <v>63</v>
          </cell>
          <cell r="H294">
            <v>16436798</v>
          </cell>
          <cell r="K294">
            <v>39875.9</v>
          </cell>
          <cell r="Q294">
            <v>37546.5</v>
          </cell>
          <cell r="S294">
            <v>13051.85</v>
          </cell>
        </row>
        <row r="295">
          <cell r="B295" t="str">
            <v>AUG 2014</v>
          </cell>
          <cell r="C295" t="str">
            <v>KUCIE568</v>
          </cell>
          <cell r="D295">
            <v>361</v>
          </cell>
          <cell r="H295">
            <v>50342019</v>
          </cell>
          <cell r="K295">
            <v>134692.95000000001</v>
          </cell>
          <cell r="Q295">
            <v>129148.4</v>
          </cell>
          <cell r="S295">
            <v>75109.84</v>
          </cell>
        </row>
        <row r="296">
          <cell r="B296" t="str">
            <v>AUG 2014</v>
          </cell>
          <cell r="C296" t="str">
            <v>KUCIE571</v>
          </cell>
          <cell r="D296">
            <v>165</v>
          </cell>
          <cell r="H296">
            <v>105815191</v>
          </cell>
          <cell r="I296">
            <v>281382</v>
          </cell>
          <cell r="J296">
            <v>272598.09999999998</v>
          </cell>
          <cell r="K296">
            <v>265433.2</v>
          </cell>
          <cell r="O296">
            <v>274905.09999999998</v>
          </cell>
          <cell r="P296">
            <v>271374.59999999998</v>
          </cell>
          <cell r="Q296">
            <v>263105.90000000002</v>
          </cell>
        </row>
        <row r="297">
          <cell r="B297" t="str">
            <v>AUG 2014</v>
          </cell>
          <cell r="C297" t="str">
            <v>KUCIE572</v>
          </cell>
          <cell r="D297">
            <v>488</v>
          </cell>
          <cell r="H297">
            <v>117890588</v>
          </cell>
          <cell r="I297">
            <v>288620.09999999998</v>
          </cell>
          <cell r="J297">
            <v>267038.65000000002</v>
          </cell>
          <cell r="K297">
            <v>262225.05</v>
          </cell>
          <cell r="O297">
            <v>267627</v>
          </cell>
          <cell r="P297">
            <v>263976.90000000002</v>
          </cell>
          <cell r="Q297">
            <v>258901.8</v>
          </cell>
          <cell r="S297">
            <v>119006.83</v>
          </cell>
        </row>
        <row r="298">
          <cell r="B298" t="str">
            <v>AUG 2014</v>
          </cell>
          <cell r="C298" t="str">
            <v>KUCME110</v>
          </cell>
          <cell r="D298">
            <v>63575</v>
          </cell>
          <cell r="H298">
            <v>61131589</v>
          </cell>
          <cell r="O298">
            <v>96000.7</v>
          </cell>
        </row>
        <row r="299">
          <cell r="B299" t="str">
            <v>AUG 2014</v>
          </cell>
          <cell r="C299" t="str">
            <v>KUCME112</v>
          </cell>
          <cell r="D299">
            <v>61</v>
          </cell>
          <cell r="H299">
            <v>10785</v>
          </cell>
        </row>
        <row r="300">
          <cell r="B300" t="str">
            <v>AUG 2014</v>
          </cell>
          <cell r="C300" t="str">
            <v>KUCME113</v>
          </cell>
          <cell r="D300">
            <v>18493</v>
          </cell>
          <cell r="H300">
            <v>90576183</v>
          </cell>
          <cell r="O300">
            <v>370106.2</v>
          </cell>
        </row>
        <row r="301">
          <cell r="B301" t="str">
            <v>AUG 2014</v>
          </cell>
          <cell r="C301" t="str">
            <v>KUCME220</v>
          </cell>
          <cell r="D301">
            <v>326</v>
          </cell>
          <cell r="H301">
            <v>361884</v>
          </cell>
          <cell r="O301">
            <v>1617.4</v>
          </cell>
        </row>
        <row r="302">
          <cell r="B302" t="str">
            <v>AUG 2014</v>
          </cell>
          <cell r="C302" t="str">
            <v>KURSE010</v>
          </cell>
          <cell r="D302">
            <v>229620</v>
          </cell>
          <cell r="H302">
            <v>248055650</v>
          </cell>
        </row>
        <row r="303">
          <cell r="B303" t="str">
            <v>AUG 2014</v>
          </cell>
          <cell r="C303" t="str">
            <v>KURSE020</v>
          </cell>
          <cell r="D303">
            <v>194680</v>
          </cell>
          <cell r="H303">
            <v>207118409</v>
          </cell>
        </row>
        <row r="304">
          <cell r="B304" t="str">
            <v>AUG 2014</v>
          </cell>
          <cell r="C304" t="str">
            <v>KURSE025</v>
          </cell>
          <cell r="D304">
            <v>244</v>
          </cell>
          <cell r="H304">
            <v>511256</v>
          </cell>
        </row>
        <row r="305">
          <cell r="B305" t="str">
            <v>AUG 2014</v>
          </cell>
          <cell r="C305" t="str">
            <v>KURSE080</v>
          </cell>
          <cell r="D305">
            <v>50</v>
          </cell>
          <cell r="H305">
            <v>70043</v>
          </cell>
        </row>
        <row r="306">
          <cell r="B306" t="str">
            <v>AUG 2014</v>
          </cell>
          <cell r="C306" t="str">
            <v>KURSE715</v>
          </cell>
          <cell r="D306">
            <v>57</v>
          </cell>
          <cell r="H306">
            <v>47697</v>
          </cell>
        </row>
        <row r="307">
          <cell r="B307" t="str">
            <v>AUG 2014</v>
          </cell>
          <cell r="C307" t="str">
            <v>KTRSE020</v>
          </cell>
          <cell r="D307">
            <v>3</v>
          </cell>
          <cell r="H307">
            <v>4498</v>
          </cell>
        </row>
        <row r="308">
          <cell r="B308" t="str">
            <v>AUG 2014</v>
          </cell>
          <cell r="C308" t="str">
            <v>KTRSE030</v>
          </cell>
          <cell r="D308">
            <v>1</v>
          </cell>
          <cell r="H308">
            <v>954</v>
          </cell>
        </row>
        <row r="309">
          <cell r="B309" t="str">
            <v>AUG 2014</v>
          </cell>
          <cell r="C309" t="str">
            <v>KUCME710</v>
          </cell>
          <cell r="D309">
            <v>11</v>
          </cell>
          <cell r="H309">
            <v>5785</v>
          </cell>
        </row>
        <row r="310">
          <cell r="B310" t="str">
            <v>AUG 2014</v>
          </cell>
          <cell r="C310" t="str">
            <v>KUINE730</v>
          </cell>
          <cell r="D310">
            <v>1</v>
          </cell>
          <cell r="H310">
            <v>46872000</v>
          </cell>
          <cell r="I310">
            <v>191717.9</v>
          </cell>
          <cell r="J310">
            <v>191717.9</v>
          </cell>
          <cell r="K310">
            <v>138467.9</v>
          </cell>
          <cell r="O310">
            <v>191717.9</v>
          </cell>
          <cell r="P310">
            <v>191717.9</v>
          </cell>
          <cell r="Q310">
            <v>138467.9</v>
          </cell>
        </row>
        <row r="311">
          <cell r="B311" t="str">
            <v>AUG 2014</v>
          </cell>
          <cell r="C311" t="str">
            <v>KUCME290</v>
          </cell>
          <cell r="D311">
            <v>1</v>
          </cell>
          <cell r="H311">
            <v>10593</v>
          </cell>
          <cell r="O311">
            <v>40.9</v>
          </cell>
        </row>
        <row r="312">
          <cell r="B312" t="str">
            <v>AUG 2014</v>
          </cell>
          <cell r="C312" t="str">
            <v>KUCME291</v>
          </cell>
          <cell r="D312">
            <v>1</v>
          </cell>
          <cell r="H312">
            <v>2792</v>
          </cell>
        </row>
        <row r="313">
          <cell r="B313" t="str">
            <v>AUG 2014</v>
          </cell>
          <cell r="C313" t="str">
            <v>KUCME295</v>
          </cell>
          <cell r="D313">
            <v>479</v>
          </cell>
          <cell r="H313">
            <v>100946</v>
          </cell>
          <cell r="O313">
            <v>51.8</v>
          </cell>
        </row>
        <row r="314">
          <cell r="B314" t="str">
            <v>AUG 2014</v>
          </cell>
          <cell r="C314" t="str">
            <v>KUCSR760</v>
          </cell>
          <cell r="D314">
            <v>1</v>
          </cell>
        </row>
        <row r="315">
          <cell r="B315" t="str">
            <v>AUG 2014</v>
          </cell>
          <cell r="C315" t="str">
            <v>KUCSR780</v>
          </cell>
          <cell r="D315">
            <v>1</v>
          </cell>
        </row>
        <row r="316">
          <cell r="B316" t="str">
            <v>AUG 2014</v>
          </cell>
          <cell r="C316" t="str">
            <v>KUCSR781</v>
          </cell>
          <cell r="D316">
            <v>2</v>
          </cell>
        </row>
        <row r="317">
          <cell r="B317" t="str">
            <v>AUG 2014</v>
          </cell>
          <cell r="C317" t="str">
            <v>KUCSR783</v>
          </cell>
          <cell r="D317">
            <v>1</v>
          </cell>
        </row>
        <row r="318">
          <cell r="B318" t="str">
            <v>AUG 2014</v>
          </cell>
          <cell r="C318" t="str">
            <v>KUCME713</v>
          </cell>
          <cell r="D318">
            <v>2</v>
          </cell>
          <cell r="H318">
            <v>10120</v>
          </cell>
          <cell r="O318">
            <v>65.3</v>
          </cell>
        </row>
        <row r="319">
          <cell r="B319" t="str">
            <v>AUG 2014</v>
          </cell>
          <cell r="C319" t="str">
            <v>KUCIE717</v>
          </cell>
          <cell r="D319">
            <v>1</v>
          </cell>
          <cell r="H319">
            <v>32640</v>
          </cell>
          <cell r="Q319">
            <v>102.9</v>
          </cell>
          <cell r="S319">
            <v>0</v>
          </cell>
        </row>
        <row r="320">
          <cell r="B320" t="str">
            <v>AUG 2014</v>
          </cell>
          <cell r="C320" t="str">
            <v>KUCME223</v>
          </cell>
          <cell r="D320">
            <v>67</v>
          </cell>
          <cell r="H320">
            <v>298495</v>
          </cell>
          <cell r="O320">
            <v>1970.8</v>
          </cell>
        </row>
        <row r="321">
          <cell r="B321" t="str">
            <v>AUG 2014</v>
          </cell>
          <cell r="C321" t="str">
            <v>KURSE040</v>
          </cell>
          <cell r="D321">
            <v>7</v>
          </cell>
          <cell r="E321">
            <v>4686</v>
          </cell>
          <cell r="F321">
            <v>1412</v>
          </cell>
          <cell r="G321">
            <v>1143</v>
          </cell>
          <cell r="H321">
            <v>7241</v>
          </cell>
        </row>
        <row r="322">
          <cell r="B322" t="str">
            <v>AUG 2014</v>
          </cell>
          <cell r="C322" t="str">
            <v>KUCME221</v>
          </cell>
          <cell r="D322">
            <v>6</v>
          </cell>
          <cell r="H322">
            <v>2100</v>
          </cell>
          <cell r="O322">
            <v>225.3</v>
          </cell>
        </row>
        <row r="323">
          <cell r="B323" t="str">
            <v>AUG 2014</v>
          </cell>
          <cell r="C323" t="str">
            <v>KUCME224</v>
          </cell>
          <cell r="D323">
            <v>4</v>
          </cell>
          <cell r="H323">
            <v>201220</v>
          </cell>
          <cell r="O323">
            <v>696.1</v>
          </cell>
        </row>
        <row r="324">
          <cell r="B324" t="str">
            <v>AUG 2014</v>
          </cell>
          <cell r="C324" t="str">
            <v>KUCME297</v>
          </cell>
          <cell r="D324">
            <v>272</v>
          </cell>
          <cell r="H324">
            <v>14416</v>
          </cell>
        </row>
        <row r="325">
          <cell r="B325" t="str">
            <v>AUG 2014</v>
          </cell>
          <cell r="C325" t="str">
            <v>KUCME225</v>
          </cell>
          <cell r="D325">
            <v>96</v>
          </cell>
          <cell r="H325">
            <v>1887520</v>
          </cell>
          <cell r="O325">
            <v>8545.7000000000007</v>
          </cell>
        </row>
        <row r="326">
          <cell r="B326" t="str">
            <v>AUG 2014</v>
          </cell>
          <cell r="C326" t="str">
            <v>KUCME226</v>
          </cell>
          <cell r="D326">
            <v>19</v>
          </cell>
          <cell r="H326">
            <v>33989</v>
          </cell>
          <cell r="O326">
            <v>896.2</v>
          </cell>
        </row>
        <row r="327">
          <cell r="B327" t="str">
            <v>AUG 2014</v>
          </cell>
          <cell r="C327" t="str">
            <v>KUCME227</v>
          </cell>
          <cell r="D327">
            <v>99</v>
          </cell>
          <cell r="H327">
            <v>6945036</v>
          </cell>
          <cell r="O327">
            <v>26171.599999999999</v>
          </cell>
        </row>
        <row r="328">
          <cell r="B328" t="str">
            <v>AUG 2014</v>
          </cell>
          <cell r="C328" t="str">
            <v>KUMNE912</v>
          </cell>
          <cell r="D328">
            <v>5</v>
          </cell>
          <cell r="H328">
            <v>34172000</v>
          </cell>
          <cell r="I328">
            <v>73130.3</v>
          </cell>
          <cell r="S328">
            <v>0</v>
          </cell>
        </row>
        <row r="329">
          <cell r="B329" t="str">
            <v>AUG 2014</v>
          </cell>
          <cell r="C329" t="str">
            <v>KUMNE913</v>
          </cell>
          <cell r="D329">
            <v>4</v>
          </cell>
          <cell r="H329">
            <v>89895565</v>
          </cell>
          <cell r="I329">
            <v>191591.7</v>
          </cell>
          <cell r="S329">
            <v>0</v>
          </cell>
        </row>
        <row r="330">
          <cell r="B330" t="str">
            <v>AUG 2014</v>
          </cell>
          <cell r="C330" t="str">
            <v>Result</v>
          </cell>
          <cell r="D330">
            <v>514256</v>
          </cell>
          <cell r="E330">
            <v>4686</v>
          </cell>
          <cell r="F330">
            <v>1412</v>
          </cell>
          <cell r="G330">
            <v>1143</v>
          </cell>
          <cell r="H330">
            <v>1587079295</v>
          </cell>
          <cell r="I330">
            <v>2422809.1199999996</v>
          </cell>
          <cell r="J330">
            <v>1472293.15</v>
          </cell>
          <cell r="K330">
            <v>1397431.15</v>
          </cell>
          <cell r="O330">
            <v>1482598.2999999998</v>
          </cell>
          <cell r="P330">
            <v>1465413.2</v>
          </cell>
          <cell r="Q330">
            <v>1389551.4</v>
          </cell>
          <cell r="S330">
            <v>207168.52000000002</v>
          </cell>
        </row>
        <row r="331">
          <cell r="B331" t="str">
            <v>SEP 2014</v>
          </cell>
          <cell r="C331" t="str">
            <v>KUCIE550</v>
          </cell>
          <cell r="D331">
            <v>32</v>
          </cell>
          <cell r="H331">
            <v>131381603</v>
          </cell>
          <cell r="I331">
            <v>297220.78000000003</v>
          </cell>
          <cell r="J331">
            <v>280988.93</v>
          </cell>
          <cell r="K331">
            <v>277346.96000000002</v>
          </cell>
          <cell r="O331">
            <v>297220.78000000003</v>
          </cell>
          <cell r="P331">
            <v>280988.93</v>
          </cell>
          <cell r="Q331">
            <v>277346.96000000002</v>
          </cell>
        </row>
        <row r="332">
          <cell r="B332" t="str">
            <v>SEP 2014</v>
          </cell>
          <cell r="C332" t="str">
            <v>KUCIE561</v>
          </cell>
          <cell r="D332">
            <v>219</v>
          </cell>
          <cell r="H332">
            <v>20027433</v>
          </cell>
          <cell r="K332">
            <v>59273.46</v>
          </cell>
          <cell r="Q332">
            <v>59273.46</v>
          </cell>
        </row>
        <row r="333">
          <cell r="B333" t="str">
            <v>SEP 2014</v>
          </cell>
          <cell r="C333" t="str">
            <v>KUCIE562</v>
          </cell>
          <cell r="D333">
            <v>4845</v>
          </cell>
          <cell r="H333">
            <v>213372347</v>
          </cell>
          <cell r="K333">
            <v>723592.85</v>
          </cell>
          <cell r="Q333">
            <v>723592.85</v>
          </cell>
        </row>
        <row r="334">
          <cell r="B334" t="str">
            <v>SEP 2014</v>
          </cell>
          <cell r="C334" t="str">
            <v>KUCIE563</v>
          </cell>
          <cell r="D334">
            <v>52</v>
          </cell>
          <cell r="H334">
            <v>261037114</v>
          </cell>
          <cell r="I334">
            <v>525147.27</v>
          </cell>
          <cell r="J334">
            <v>518484.99</v>
          </cell>
          <cell r="K334">
            <v>511615.98</v>
          </cell>
          <cell r="O334">
            <v>525147.27</v>
          </cell>
          <cell r="P334">
            <v>518484.99</v>
          </cell>
          <cell r="Q334">
            <v>511615.98</v>
          </cell>
        </row>
        <row r="335">
          <cell r="B335" t="str">
            <v>SEP 2014</v>
          </cell>
          <cell r="C335" t="str">
            <v>KUCIE566</v>
          </cell>
        </row>
        <row r="336">
          <cell r="B336" t="str">
            <v>SEP 2014</v>
          </cell>
          <cell r="C336" t="str">
            <v>KUCIE568</v>
          </cell>
        </row>
        <row r="337">
          <cell r="B337" t="str">
            <v>SEP 2014</v>
          </cell>
          <cell r="C337" t="str">
            <v>KUCIE571</v>
          </cell>
          <cell r="D337">
            <v>179</v>
          </cell>
          <cell r="H337">
            <v>109759335</v>
          </cell>
          <cell r="I337">
            <v>269418.2</v>
          </cell>
          <cell r="J337">
            <v>258888.53</v>
          </cell>
          <cell r="K337">
            <v>249324.74</v>
          </cell>
          <cell r="O337">
            <v>269418.2</v>
          </cell>
          <cell r="P337">
            <v>258888.53</v>
          </cell>
          <cell r="Q337">
            <v>249324.74</v>
          </cell>
        </row>
        <row r="338">
          <cell r="B338" t="str">
            <v>SEP 2014</v>
          </cell>
          <cell r="C338" t="str">
            <v>KUCIE572</v>
          </cell>
          <cell r="D338">
            <v>451</v>
          </cell>
          <cell r="H338">
            <v>134322230</v>
          </cell>
          <cell r="I338">
            <v>331428.90999999997</v>
          </cell>
          <cell r="J338">
            <v>309430.81</v>
          </cell>
          <cell r="K338">
            <v>303407.62</v>
          </cell>
          <cell r="O338">
            <v>331428.90999999997</v>
          </cell>
          <cell r="P338">
            <v>309430.81</v>
          </cell>
          <cell r="Q338">
            <v>303407.62</v>
          </cell>
        </row>
        <row r="339">
          <cell r="B339" t="str">
            <v>SEP 2014</v>
          </cell>
          <cell r="C339" t="str">
            <v>KUCME110</v>
          </cell>
          <cell r="D339">
            <v>63413</v>
          </cell>
          <cell r="H339">
            <v>67737296</v>
          </cell>
        </row>
        <row r="340">
          <cell r="B340" t="str">
            <v>SEP 2014</v>
          </cell>
          <cell r="C340" t="str">
            <v>KUCME112</v>
          </cell>
        </row>
        <row r="341">
          <cell r="B341" t="str">
            <v>SEP 2014</v>
          </cell>
          <cell r="C341" t="str">
            <v>KUCME113</v>
          </cell>
          <cell r="D341">
            <v>18537</v>
          </cell>
          <cell r="H341">
            <v>98971337</v>
          </cell>
          <cell r="O341">
            <v>361876.83</v>
          </cell>
        </row>
        <row r="342">
          <cell r="B342" t="str">
            <v>SEP 2014</v>
          </cell>
          <cell r="C342" t="str">
            <v>KUCME220</v>
          </cell>
          <cell r="D342">
            <v>372</v>
          </cell>
          <cell r="H342">
            <v>584367</v>
          </cell>
        </row>
        <row r="343">
          <cell r="B343" t="str">
            <v>SEP 2014</v>
          </cell>
          <cell r="C343" t="str">
            <v>KURSE010</v>
          </cell>
          <cell r="D343">
            <v>427399</v>
          </cell>
          <cell r="H343">
            <v>515550083</v>
          </cell>
        </row>
        <row r="344">
          <cell r="B344" t="str">
            <v>SEP 2014</v>
          </cell>
          <cell r="C344" t="str">
            <v>KURSE020</v>
          </cell>
        </row>
        <row r="345">
          <cell r="B345" t="str">
            <v>SEP 2014</v>
          </cell>
          <cell r="C345" t="str">
            <v>KURSE025</v>
          </cell>
        </row>
        <row r="346">
          <cell r="B346" t="str">
            <v>SEP 2014</v>
          </cell>
          <cell r="C346" t="str">
            <v>KURSE080</v>
          </cell>
        </row>
        <row r="347">
          <cell r="B347" t="str">
            <v>SEP 2014</v>
          </cell>
          <cell r="C347" t="str">
            <v>KURSE715</v>
          </cell>
        </row>
        <row r="348">
          <cell r="B348" t="str">
            <v>SEP 2014</v>
          </cell>
          <cell r="C348" t="str">
            <v>ODRSE010</v>
          </cell>
        </row>
        <row r="349">
          <cell r="B349" t="str">
            <v>SEP 2014</v>
          </cell>
          <cell r="C349" t="str">
            <v>ODRSE020</v>
          </cell>
        </row>
        <row r="350">
          <cell r="B350" t="str">
            <v>SEP 2014</v>
          </cell>
          <cell r="C350" t="str">
            <v>KTRSE020</v>
          </cell>
        </row>
        <row r="351">
          <cell r="B351" t="str">
            <v>SEP 2014</v>
          </cell>
          <cell r="C351" t="str">
            <v>KTRSE030</v>
          </cell>
        </row>
        <row r="352">
          <cell r="B352" t="str">
            <v>SEP 2014</v>
          </cell>
          <cell r="C352" t="str">
            <v>KUCME710</v>
          </cell>
        </row>
        <row r="353">
          <cell r="B353" t="str">
            <v>SEP 2014</v>
          </cell>
          <cell r="C353" t="str">
            <v>KUINE730</v>
          </cell>
          <cell r="D353">
            <v>1</v>
          </cell>
          <cell r="H353">
            <v>45641536</v>
          </cell>
          <cell r="I353">
            <v>185157.6</v>
          </cell>
          <cell r="J353">
            <v>185157.6</v>
          </cell>
          <cell r="K353">
            <v>101387.6</v>
          </cell>
          <cell r="O353">
            <v>185157.6</v>
          </cell>
          <cell r="P353">
            <v>185157.6</v>
          </cell>
          <cell r="Q353">
            <v>101387.6</v>
          </cell>
        </row>
        <row r="354">
          <cell r="B354" t="str">
            <v>SEP 2014</v>
          </cell>
          <cell r="C354" t="str">
            <v>KUCME290</v>
          </cell>
          <cell r="D354">
            <v>2</v>
          </cell>
          <cell r="H354">
            <v>14365</v>
          </cell>
        </row>
        <row r="355">
          <cell r="B355" t="str">
            <v>SEP 2014</v>
          </cell>
          <cell r="C355" t="str">
            <v>KUCME291</v>
          </cell>
        </row>
        <row r="356">
          <cell r="B356" t="str">
            <v>SEP 2014</v>
          </cell>
          <cell r="C356" t="str">
            <v>KUCME295</v>
          </cell>
          <cell r="D356">
            <v>747</v>
          </cell>
          <cell r="H356">
            <v>103686</v>
          </cell>
        </row>
        <row r="357">
          <cell r="B357" t="str">
            <v>SEP 2014</v>
          </cell>
          <cell r="C357" t="str">
            <v>KUCSR760</v>
          </cell>
        </row>
        <row r="358">
          <cell r="B358" t="str">
            <v>SEP 2014</v>
          </cell>
          <cell r="C358" t="str">
            <v>KUCSR761</v>
          </cell>
        </row>
        <row r="359">
          <cell r="B359" t="str">
            <v>SEP 2014</v>
          </cell>
          <cell r="C359" t="str">
            <v>KUCSR783</v>
          </cell>
        </row>
        <row r="360">
          <cell r="B360" t="str">
            <v>SEP 2014</v>
          </cell>
          <cell r="C360" t="str">
            <v>KUCME713</v>
          </cell>
        </row>
        <row r="361">
          <cell r="B361" t="str">
            <v>SEP 2014</v>
          </cell>
          <cell r="C361" t="str">
            <v>KUCIE717</v>
          </cell>
        </row>
        <row r="362">
          <cell r="B362" t="str">
            <v>SEP 2014</v>
          </cell>
          <cell r="C362" t="str">
            <v>KUCME223</v>
          </cell>
        </row>
        <row r="363">
          <cell r="B363" t="str">
            <v>SEP 2014</v>
          </cell>
          <cell r="C363" t="str">
            <v>KURSE040</v>
          </cell>
        </row>
        <row r="364">
          <cell r="B364" t="str">
            <v>SEP 2014</v>
          </cell>
          <cell r="C364" t="str">
            <v>KUCME221</v>
          </cell>
        </row>
        <row r="365">
          <cell r="B365" t="str">
            <v>SEP 2014</v>
          </cell>
          <cell r="C365" t="str">
            <v>KUCME224</v>
          </cell>
          <cell r="D365">
            <v>259</v>
          </cell>
          <cell r="H365">
            <v>10830968</v>
          </cell>
          <cell r="O365">
            <v>39481.29</v>
          </cell>
        </row>
        <row r="366">
          <cell r="B366" t="str">
            <v>SEP 2014</v>
          </cell>
          <cell r="C366" t="str">
            <v>KUCME297</v>
          </cell>
        </row>
        <row r="367">
          <cell r="B367" t="str">
            <v>SEP 2014</v>
          </cell>
          <cell r="C367" t="str">
            <v>KUCME225</v>
          </cell>
        </row>
        <row r="368">
          <cell r="B368" t="str">
            <v>SEP 2014</v>
          </cell>
          <cell r="C368" t="str">
            <v>KUCME226</v>
          </cell>
        </row>
        <row r="369">
          <cell r="B369" t="str">
            <v>SEP 2014</v>
          </cell>
          <cell r="C369" t="str">
            <v>KUCME227</v>
          </cell>
        </row>
        <row r="370">
          <cell r="B370" t="str">
            <v>SEP 2014</v>
          </cell>
          <cell r="C370" t="str">
            <v>Result</v>
          </cell>
          <cell r="D370">
            <v>516508</v>
          </cell>
          <cell r="E370">
            <v>0</v>
          </cell>
          <cell r="F370">
            <v>0</v>
          </cell>
        </row>
        <row r="371">
          <cell r="B371" t="str">
            <v>OCT 2014</v>
          </cell>
          <cell r="C371" t="str">
            <v>KUCIE550</v>
          </cell>
          <cell r="D371">
            <v>32</v>
          </cell>
          <cell r="H371">
            <v>126631031</v>
          </cell>
          <cell r="I371">
            <v>286592.09000000003</v>
          </cell>
          <cell r="J371">
            <v>276811.53000000003</v>
          </cell>
          <cell r="K371">
            <v>272775.56</v>
          </cell>
          <cell r="O371">
            <v>286592.09000000003</v>
          </cell>
          <cell r="P371">
            <v>276811.53000000003</v>
          </cell>
          <cell r="Q371">
            <v>272775.56</v>
          </cell>
        </row>
        <row r="372">
          <cell r="B372" t="str">
            <v>OCT 2014</v>
          </cell>
          <cell r="C372" t="str">
            <v>KUCIE561</v>
          </cell>
          <cell r="D372">
            <v>217</v>
          </cell>
          <cell r="H372">
            <v>19115050</v>
          </cell>
          <cell r="J372">
            <v>54973.94</v>
          </cell>
          <cell r="P372">
            <v>54973.94</v>
          </cell>
        </row>
        <row r="373">
          <cell r="B373" t="str">
            <v>OCT 2014</v>
          </cell>
          <cell r="C373" t="str">
            <v>KUCIE562</v>
          </cell>
          <cell r="D373">
            <v>4830</v>
          </cell>
          <cell r="H373">
            <v>183801650</v>
          </cell>
          <cell r="J373">
            <v>596288.13</v>
          </cell>
          <cell r="P373">
            <v>596288.13</v>
          </cell>
        </row>
        <row r="374">
          <cell r="B374" t="str">
            <v>OCT 2014</v>
          </cell>
          <cell r="C374" t="str">
            <v>KUCIE563</v>
          </cell>
          <cell r="D374">
            <v>52</v>
          </cell>
          <cell r="H374">
            <v>245605634</v>
          </cell>
          <cell r="I374">
            <v>529837.80000000005</v>
          </cell>
          <cell r="J374">
            <v>515177.96</v>
          </cell>
          <cell r="K374">
            <v>498457.73</v>
          </cell>
          <cell r="O374">
            <v>529837.80000000005</v>
          </cell>
          <cell r="P374">
            <v>515177.96</v>
          </cell>
          <cell r="Q374">
            <v>498457.73</v>
          </cell>
        </row>
        <row r="375">
          <cell r="B375" t="str">
            <v>OCT 2014</v>
          </cell>
          <cell r="C375" t="str">
            <v>KUCIE566</v>
          </cell>
        </row>
        <row r="376">
          <cell r="B376" t="str">
            <v>OCT 2014</v>
          </cell>
          <cell r="C376" t="str">
            <v>KUCIE568</v>
          </cell>
        </row>
        <row r="377">
          <cell r="B377" t="str">
            <v>OCT 2014</v>
          </cell>
          <cell r="C377" t="str">
            <v>KUCIE571</v>
          </cell>
          <cell r="D377">
            <v>181</v>
          </cell>
          <cell r="H377">
            <v>102999239</v>
          </cell>
          <cell r="I377">
            <v>268584.38</v>
          </cell>
          <cell r="J377">
            <v>258805.99</v>
          </cell>
          <cell r="K377">
            <v>250643.39</v>
          </cell>
          <cell r="O377">
            <v>268584.38</v>
          </cell>
          <cell r="P377">
            <v>258805.99</v>
          </cell>
          <cell r="Q377">
            <v>250643.39</v>
          </cell>
        </row>
        <row r="378">
          <cell r="B378" t="str">
            <v>OCT 2014</v>
          </cell>
          <cell r="C378" t="str">
            <v>KUCIE572</v>
          </cell>
          <cell r="D378">
            <v>452</v>
          </cell>
          <cell r="H378">
            <v>118237134</v>
          </cell>
          <cell r="I378">
            <v>288421.92</v>
          </cell>
          <cell r="J378">
            <v>262694.96000000002</v>
          </cell>
          <cell r="K378">
            <v>256810.6</v>
          </cell>
          <cell r="O378">
            <v>288421.92</v>
          </cell>
          <cell r="P378">
            <v>262694.96000000002</v>
          </cell>
          <cell r="Q378">
            <v>256810.6</v>
          </cell>
        </row>
        <row r="379">
          <cell r="B379" t="str">
            <v>OCT 2014</v>
          </cell>
          <cell r="C379" t="str">
            <v>KUCME110</v>
          </cell>
          <cell r="D379">
            <v>63421</v>
          </cell>
          <cell r="H379">
            <v>57186337</v>
          </cell>
        </row>
        <row r="380">
          <cell r="B380" t="str">
            <v>OCT 2014</v>
          </cell>
          <cell r="C380" t="str">
            <v>KUCME112</v>
          </cell>
        </row>
        <row r="381">
          <cell r="B381" t="str">
            <v>OCT 2014</v>
          </cell>
          <cell r="C381" t="str">
            <v>KUCME113</v>
          </cell>
          <cell r="D381">
            <v>18539</v>
          </cell>
          <cell r="H381">
            <v>83400407</v>
          </cell>
          <cell r="O381">
            <v>350429.59</v>
          </cell>
        </row>
        <row r="382">
          <cell r="B382" t="str">
            <v>OCT 2014</v>
          </cell>
          <cell r="C382" t="str">
            <v>KUCME220</v>
          </cell>
          <cell r="D382">
            <v>372</v>
          </cell>
          <cell r="H382">
            <v>571422</v>
          </cell>
        </row>
        <row r="383">
          <cell r="B383" t="str">
            <v>OCT 2014</v>
          </cell>
          <cell r="C383" t="str">
            <v>KURSE010</v>
          </cell>
          <cell r="D383">
            <v>427399</v>
          </cell>
          <cell r="H383">
            <v>379965025</v>
          </cell>
        </row>
        <row r="384">
          <cell r="B384" t="str">
            <v>OCT 2014</v>
          </cell>
          <cell r="C384" t="str">
            <v>KURSE020</v>
          </cell>
        </row>
        <row r="385">
          <cell r="B385" t="str">
            <v>OCT 2014</v>
          </cell>
          <cell r="C385" t="str">
            <v>KURSE025</v>
          </cell>
        </row>
        <row r="386">
          <cell r="B386" t="str">
            <v>OCT 2014</v>
          </cell>
          <cell r="C386" t="str">
            <v>KURSE080</v>
          </cell>
        </row>
        <row r="387">
          <cell r="B387" t="str">
            <v>OCT 2014</v>
          </cell>
          <cell r="C387" t="str">
            <v>KURSE715</v>
          </cell>
        </row>
        <row r="388">
          <cell r="B388" t="str">
            <v>OCT 2014</v>
          </cell>
          <cell r="C388" t="str">
            <v>ODRSE010</v>
          </cell>
        </row>
        <row r="389">
          <cell r="B389" t="str">
            <v>OCT 2014</v>
          </cell>
          <cell r="C389" t="str">
            <v>ODRSE020</v>
          </cell>
        </row>
        <row r="390">
          <cell r="B390" t="str">
            <v>OCT 2014</v>
          </cell>
          <cell r="C390" t="str">
            <v>KTRSE020</v>
          </cell>
        </row>
        <row r="391">
          <cell r="B391" t="str">
            <v>OCT 2014</v>
          </cell>
          <cell r="C391" t="str">
            <v>KTRSE030</v>
          </cell>
        </row>
        <row r="392">
          <cell r="B392" t="str">
            <v>OCT 2014</v>
          </cell>
          <cell r="C392" t="str">
            <v>KUCME710</v>
          </cell>
        </row>
        <row r="393">
          <cell r="B393" t="str">
            <v>OCT 2014</v>
          </cell>
          <cell r="C393" t="str">
            <v>KUINE730</v>
          </cell>
          <cell r="D393">
            <v>1</v>
          </cell>
          <cell r="H393">
            <v>45507524</v>
          </cell>
          <cell r="I393">
            <v>185157.6</v>
          </cell>
          <cell r="J393">
            <v>185157.6</v>
          </cell>
          <cell r="K393">
            <v>101387.6</v>
          </cell>
          <cell r="O393">
            <v>185157.6</v>
          </cell>
          <cell r="P393">
            <v>185157.6</v>
          </cell>
          <cell r="Q393">
            <v>101387.6</v>
          </cell>
        </row>
        <row r="394">
          <cell r="B394" t="str">
            <v>OCT 2014</v>
          </cell>
          <cell r="C394" t="str">
            <v>KUCME290</v>
          </cell>
          <cell r="D394">
            <v>2</v>
          </cell>
          <cell r="H394">
            <v>14105</v>
          </cell>
        </row>
        <row r="395">
          <cell r="B395" t="str">
            <v>OCT 2014</v>
          </cell>
          <cell r="C395" t="str">
            <v>KUCME291</v>
          </cell>
        </row>
        <row r="396">
          <cell r="B396" t="str">
            <v>OCT 2014</v>
          </cell>
          <cell r="C396" t="str">
            <v>KUCME295</v>
          </cell>
          <cell r="D396">
            <v>747</v>
          </cell>
          <cell r="H396">
            <v>97932</v>
          </cell>
        </row>
        <row r="397">
          <cell r="B397" t="str">
            <v>OCT 2014</v>
          </cell>
          <cell r="C397" t="str">
            <v>KUCSR760</v>
          </cell>
        </row>
        <row r="398">
          <cell r="B398" t="str">
            <v>OCT 2014</v>
          </cell>
          <cell r="C398" t="str">
            <v>KUCSR761</v>
          </cell>
        </row>
        <row r="399">
          <cell r="B399" t="str">
            <v>OCT 2014</v>
          </cell>
          <cell r="C399" t="str">
            <v>KUCSR783</v>
          </cell>
        </row>
        <row r="400">
          <cell r="B400" t="str">
            <v>OCT 2014</v>
          </cell>
          <cell r="C400" t="str">
            <v>KUCME713</v>
          </cell>
        </row>
        <row r="401">
          <cell r="B401" t="str">
            <v>OCT 2014</v>
          </cell>
          <cell r="C401" t="str">
            <v>KUCIE717</v>
          </cell>
        </row>
        <row r="402">
          <cell r="B402" t="str">
            <v>OCT 2014</v>
          </cell>
          <cell r="C402" t="str">
            <v>KUCME223</v>
          </cell>
        </row>
        <row r="403">
          <cell r="B403" t="str">
            <v>OCT 2014</v>
          </cell>
          <cell r="C403" t="str">
            <v>KURSE040</v>
          </cell>
        </row>
        <row r="404">
          <cell r="B404" t="str">
            <v>OCT 2014</v>
          </cell>
          <cell r="C404" t="str">
            <v>KUCME221</v>
          </cell>
        </row>
        <row r="405">
          <cell r="B405" t="str">
            <v>OCT 2014</v>
          </cell>
          <cell r="C405" t="str">
            <v>KUCME224</v>
          </cell>
          <cell r="D405">
            <v>259</v>
          </cell>
          <cell r="H405">
            <v>10591038</v>
          </cell>
          <cell r="O405">
            <v>43111.19</v>
          </cell>
        </row>
        <row r="406">
          <cell r="B406" t="str">
            <v>OCT 2014</v>
          </cell>
          <cell r="C406" t="str">
            <v>KUCME297</v>
          </cell>
        </row>
        <row r="407">
          <cell r="B407" t="str">
            <v>OCT 2014</v>
          </cell>
          <cell r="C407" t="str">
            <v>KUCME225</v>
          </cell>
        </row>
        <row r="408">
          <cell r="B408" t="str">
            <v>OCT 2014</v>
          </cell>
          <cell r="C408" t="str">
            <v>KUCME226</v>
          </cell>
        </row>
        <row r="409">
          <cell r="B409" t="str">
            <v>OCT 2014</v>
          </cell>
          <cell r="C409" t="str">
            <v>KUCME227</v>
          </cell>
        </row>
        <row r="410">
          <cell r="B410" t="str">
            <v>OCT 2014</v>
          </cell>
          <cell r="C410" t="str">
            <v>Result</v>
          </cell>
        </row>
        <row r="411">
          <cell r="B411" t="str">
            <v>NOV 2014</v>
          </cell>
          <cell r="C411" t="str">
            <v>KUCIE550</v>
          </cell>
          <cell r="D411">
            <v>32</v>
          </cell>
          <cell r="H411">
            <v>129791084</v>
          </cell>
          <cell r="I411">
            <v>293910.55</v>
          </cell>
          <cell r="J411">
            <v>286728.15000000002</v>
          </cell>
          <cell r="K411">
            <v>276345.67</v>
          </cell>
          <cell r="O411">
            <v>293910.55</v>
          </cell>
          <cell r="P411">
            <v>286728.15000000002</v>
          </cell>
          <cell r="Q411">
            <v>276345.67</v>
          </cell>
        </row>
        <row r="412">
          <cell r="B412" t="str">
            <v>NOV 2014</v>
          </cell>
          <cell r="C412" t="str">
            <v>KUCIE561</v>
          </cell>
          <cell r="D412">
            <v>216</v>
          </cell>
          <cell r="H412">
            <v>18873291</v>
          </cell>
          <cell r="J412">
            <v>53495.68</v>
          </cell>
          <cell r="P412">
            <v>53495.68</v>
          </cell>
        </row>
        <row r="413">
          <cell r="B413" t="str">
            <v>NOV 2014</v>
          </cell>
          <cell r="C413" t="str">
            <v>KUCIE562</v>
          </cell>
          <cell r="D413">
            <v>4815</v>
          </cell>
          <cell r="H413">
            <v>165279163</v>
          </cell>
          <cell r="J413">
            <v>535245.07999999996</v>
          </cell>
          <cell r="P413">
            <v>535245.07999999996</v>
          </cell>
        </row>
        <row r="414">
          <cell r="B414" t="str">
            <v>NOV 2014</v>
          </cell>
          <cell r="C414" t="str">
            <v>KUCIE563</v>
          </cell>
          <cell r="D414">
            <v>52</v>
          </cell>
          <cell r="H414">
            <v>240299969</v>
          </cell>
          <cell r="I414">
            <v>505391.85</v>
          </cell>
          <cell r="J414">
            <v>483224.92</v>
          </cell>
          <cell r="K414">
            <v>477199.84</v>
          </cell>
          <cell r="O414">
            <v>505391.85</v>
          </cell>
          <cell r="P414">
            <v>483224.92</v>
          </cell>
          <cell r="Q414">
            <v>477199.84</v>
          </cell>
        </row>
        <row r="415">
          <cell r="B415" t="str">
            <v>NOV 2014</v>
          </cell>
          <cell r="C415" t="str">
            <v>KUCIE566</v>
          </cell>
        </row>
        <row r="416">
          <cell r="B416" t="str">
            <v>NOV 2014</v>
          </cell>
          <cell r="C416" t="str">
            <v>KUCIE568</v>
          </cell>
        </row>
        <row r="417">
          <cell r="B417" t="str">
            <v>NOV 2014</v>
          </cell>
          <cell r="C417" t="str">
            <v>KUCIE571</v>
          </cell>
          <cell r="D417">
            <v>182</v>
          </cell>
          <cell r="H417">
            <v>100603039</v>
          </cell>
          <cell r="I417">
            <v>265026.83</v>
          </cell>
          <cell r="J417">
            <v>254100.38</v>
          </cell>
          <cell r="K417">
            <v>250156.83</v>
          </cell>
          <cell r="O417">
            <v>265026.83</v>
          </cell>
          <cell r="P417">
            <v>254100.38</v>
          </cell>
          <cell r="Q417">
            <v>250156.83</v>
          </cell>
        </row>
        <row r="418">
          <cell r="B418" t="str">
            <v>NOV 2014</v>
          </cell>
          <cell r="C418" t="str">
            <v>KUCIE572</v>
          </cell>
          <cell r="D418">
            <v>453</v>
          </cell>
          <cell r="H418">
            <v>108841166</v>
          </cell>
          <cell r="I418">
            <v>267018.43</v>
          </cell>
          <cell r="J418">
            <v>243200.64000000001</v>
          </cell>
          <cell r="K418">
            <v>237752.95</v>
          </cell>
          <cell r="O418">
            <v>267018.43</v>
          </cell>
          <cell r="P418">
            <v>243200.64000000001</v>
          </cell>
          <cell r="Q418">
            <v>237752.95</v>
          </cell>
        </row>
        <row r="419">
          <cell r="B419" t="str">
            <v>NOV 2014</v>
          </cell>
          <cell r="C419" t="str">
            <v>KUCME110</v>
          </cell>
          <cell r="D419">
            <v>63429</v>
          </cell>
          <cell r="H419">
            <v>53225861</v>
          </cell>
        </row>
        <row r="420">
          <cell r="B420" t="str">
            <v>NOV 2014</v>
          </cell>
          <cell r="C420" t="str">
            <v>KUCME112</v>
          </cell>
        </row>
        <row r="421">
          <cell r="B421" t="str">
            <v>NOV 2014</v>
          </cell>
          <cell r="C421" t="str">
            <v>KUCME113</v>
          </cell>
          <cell r="D421">
            <v>18541</v>
          </cell>
          <cell r="H421">
            <v>77573969</v>
          </cell>
          <cell r="O421">
            <v>359334.01</v>
          </cell>
        </row>
        <row r="422">
          <cell r="B422" t="str">
            <v>NOV 2014</v>
          </cell>
          <cell r="C422" t="str">
            <v>KUCME220</v>
          </cell>
          <cell r="D422">
            <v>372</v>
          </cell>
          <cell r="H422">
            <v>624557</v>
          </cell>
        </row>
        <row r="423">
          <cell r="B423" t="str">
            <v>NOV 2014</v>
          </cell>
          <cell r="C423" t="str">
            <v>KURSE010</v>
          </cell>
          <cell r="D423">
            <v>427782</v>
          </cell>
          <cell r="H423">
            <v>412194813</v>
          </cell>
        </row>
        <row r="424">
          <cell r="B424" t="str">
            <v>NOV 2014</v>
          </cell>
          <cell r="C424" t="str">
            <v>KURSE020</v>
          </cell>
        </row>
        <row r="425">
          <cell r="B425" t="str">
            <v>NOV 2014</v>
          </cell>
          <cell r="C425" t="str">
            <v>KURSE025</v>
          </cell>
        </row>
        <row r="426">
          <cell r="B426" t="str">
            <v>NOV 2014</v>
          </cell>
          <cell r="C426" t="str">
            <v>KURSE080</v>
          </cell>
        </row>
        <row r="427">
          <cell r="B427" t="str">
            <v>NOV 2014</v>
          </cell>
          <cell r="C427" t="str">
            <v>KURSE715</v>
          </cell>
        </row>
        <row r="428">
          <cell r="B428" t="str">
            <v>NOV 2014</v>
          </cell>
          <cell r="C428" t="str">
            <v>ODRSE010</v>
          </cell>
        </row>
        <row r="429">
          <cell r="B429" t="str">
            <v>NOV 2014</v>
          </cell>
          <cell r="C429" t="str">
            <v>ODRSE020</v>
          </cell>
        </row>
        <row r="430">
          <cell r="B430" t="str">
            <v>NOV 2014</v>
          </cell>
          <cell r="C430" t="str">
            <v>KTRSE020</v>
          </cell>
        </row>
        <row r="431">
          <cell r="B431" t="str">
            <v>NOV 2014</v>
          </cell>
          <cell r="C431" t="str">
            <v>KTRSE030</v>
          </cell>
        </row>
        <row r="432">
          <cell r="B432" t="str">
            <v>NOV 2014</v>
          </cell>
          <cell r="C432" t="str">
            <v>KUCME710</v>
          </cell>
        </row>
        <row r="433">
          <cell r="B433" t="str">
            <v>NOV 2014</v>
          </cell>
          <cell r="C433" t="str">
            <v>KUINE730</v>
          </cell>
          <cell r="D433">
            <v>1</v>
          </cell>
          <cell r="H433">
            <v>44497248</v>
          </cell>
          <cell r="I433">
            <v>185157.6</v>
          </cell>
          <cell r="J433">
            <v>185157.6</v>
          </cell>
          <cell r="K433">
            <v>101387.6</v>
          </cell>
          <cell r="O433">
            <v>185157.6</v>
          </cell>
          <cell r="P433">
            <v>185157.6</v>
          </cell>
          <cell r="Q433">
            <v>101387.6</v>
          </cell>
        </row>
        <row r="434">
          <cell r="B434" t="str">
            <v>NOV 2014</v>
          </cell>
          <cell r="C434" t="str">
            <v>KUCME290</v>
          </cell>
          <cell r="D434">
            <v>2</v>
          </cell>
          <cell r="H434">
            <v>15644</v>
          </cell>
        </row>
        <row r="435">
          <cell r="B435" t="str">
            <v>NOV 2014</v>
          </cell>
          <cell r="C435" t="str">
            <v>KUCME291</v>
          </cell>
        </row>
        <row r="436">
          <cell r="B436" t="str">
            <v>NOV 2014</v>
          </cell>
          <cell r="C436" t="str">
            <v>KUCME295</v>
          </cell>
          <cell r="D436">
            <v>747</v>
          </cell>
          <cell r="H436">
            <v>98259</v>
          </cell>
        </row>
        <row r="437">
          <cell r="B437" t="str">
            <v>NOV 2014</v>
          </cell>
          <cell r="C437" t="str">
            <v>KUCSR760</v>
          </cell>
        </row>
        <row r="438">
          <cell r="B438" t="str">
            <v>NOV 2014</v>
          </cell>
          <cell r="C438" t="str">
            <v>KUCSR761</v>
          </cell>
        </row>
        <row r="439">
          <cell r="B439" t="str">
            <v>NOV 2014</v>
          </cell>
          <cell r="C439" t="str">
            <v>KUCSR783</v>
          </cell>
        </row>
        <row r="440">
          <cell r="B440" t="str">
            <v>NOV 2014</v>
          </cell>
          <cell r="C440" t="str">
            <v>KUCME713</v>
          </cell>
        </row>
        <row r="441">
          <cell r="B441" t="str">
            <v>NOV 2014</v>
          </cell>
          <cell r="C441" t="str">
            <v>KUCIE717</v>
          </cell>
        </row>
        <row r="442">
          <cell r="B442" t="str">
            <v>NOV 2014</v>
          </cell>
          <cell r="C442" t="str">
            <v>KUCME223</v>
          </cell>
        </row>
        <row r="443">
          <cell r="B443" t="str">
            <v>NOV 2014</v>
          </cell>
          <cell r="C443" t="str">
            <v>KURSE040</v>
          </cell>
        </row>
        <row r="444">
          <cell r="B444" t="str">
            <v>NOV 2014</v>
          </cell>
          <cell r="C444" t="str">
            <v>KUCME221</v>
          </cell>
        </row>
        <row r="445">
          <cell r="B445" t="str">
            <v>NOV 2014</v>
          </cell>
          <cell r="C445" t="str">
            <v>KUCME224</v>
          </cell>
          <cell r="D445">
            <v>258</v>
          </cell>
          <cell r="H445">
            <v>11575861</v>
          </cell>
          <cell r="O445">
            <v>54055.32</v>
          </cell>
        </row>
        <row r="446">
          <cell r="B446" t="str">
            <v>NOV 2014</v>
          </cell>
          <cell r="C446" t="str">
            <v>KUCME297</v>
          </cell>
        </row>
        <row r="447">
          <cell r="B447" t="str">
            <v>NOV 2014</v>
          </cell>
          <cell r="C447" t="str">
            <v>KUCME225</v>
          </cell>
        </row>
        <row r="448">
          <cell r="B448" t="str">
            <v>NOV 2014</v>
          </cell>
          <cell r="C448" t="str">
            <v>KUCME226</v>
          </cell>
        </row>
        <row r="449">
          <cell r="B449" t="str">
            <v>NOV 2014</v>
          </cell>
          <cell r="C449" t="str">
            <v>KUCME227</v>
          </cell>
        </row>
        <row r="450">
          <cell r="B450" t="str">
            <v>NOV 2014</v>
          </cell>
          <cell r="C450" t="str">
            <v>Result</v>
          </cell>
        </row>
        <row r="451">
          <cell r="B451" t="str">
            <v>DEC 2014</v>
          </cell>
          <cell r="C451" t="str">
            <v>KUCIE550</v>
          </cell>
          <cell r="D451">
            <v>32</v>
          </cell>
          <cell r="H451">
            <v>134177811</v>
          </cell>
          <cell r="I451">
            <v>298216.46000000002</v>
          </cell>
          <cell r="J451">
            <v>291926.5</v>
          </cell>
          <cell r="K451">
            <v>285866.23999999999</v>
          </cell>
          <cell r="O451">
            <v>298216.46000000002</v>
          </cell>
          <cell r="P451">
            <v>291926.5</v>
          </cell>
          <cell r="Q451">
            <v>285866.23999999999</v>
          </cell>
        </row>
        <row r="452">
          <cell r="B452" t="str">
            <v>DEC 2014</v>
          </cell>
          <cell r="C452" t="str">
            <v>KUCIE561</v>
          </cell>
          <cell r="D452">
            <v>214</v>
          </cell>
          <cell r="H452">
            <v>18871437</v>
          </cell>
          <cell r="J452">
            <v>53415.89</v>
          </cell>
          <cell r="P452">
            <v>53415.89</v>
          </cell>
        </row>
        <row r="453">
          <cell r="B453" t="str">
            <v>DEC 2014</v>
          </cell>
          <cell r="C453" t="str">
            <v>KUCIE562</v>
          </cell>
          <cell r="D453">
            <v>4800</v>
          </cell>
          <cell r="H453">
            <v>178534636</v>
          </cell>
          <cell r="J453">
            <v>577561.39</v>
          </cell>
          <cell r="P453">
            <v>577561.39</v>
          </cell>
        </row>
        <row r="454">
          <cell r="B454" t="str">
            <v>DEC 2014</v>
          </cell>
          <cell r="C454" t="str">
            <v>KUCIE563</v>
          </cell>
          <cell r="D454">
            <v>52</v>
          </cell>
          <cell r="H454">
            <v>240013581</v>
          </cell>
          <cell r="I454">
            <v>509319.59</v>
          </cell>
          <cell r="J454">
            <v>475228.56</v>
          </cell>
          <cell r="K454">
            <v>471671.44</v>
          </cell>
          <cell r="O454">
            <v>509319.59</v>
          </cell>
          <cell r="P454">
            <v>475228.56</v>
          </cell>
          <cell r="Q454">
            <v>471671.44</v>
          </cell>
        </row>
        <row r="455">
          <cell r="B455" t="str">
            <v>DEC 2014</v>
          </cell>
          <cell r="C455" t="str">
            <v>KUCIE566</v>
          </cell>
        </row>
        <row r="456">
          <cell r="B456" t="str">
            <v>DEC 2014</v>
          </cell>
          <cell r="C456" t="str">
            <v>KUCIE568</v>
          </cell>
        </row>
        <row r="457">
          <cell r="B457" t="str">
            <v>DEC 2014</v>
          </cell>
          <cell r="C457" t="str">
            <v>KUCIE571</v>
          </cell>
          <cell r="D457">
            <v>184</v>
          </cell>
          <cell r="H457">
            <v>100462503</v>
          </cell>
          <cell r="I457">
            <v>250727.32</v>
          </cell>
          <cell r="J457">
            <v>241204.87</v>
          </cell>
          <cell r="K457">
            <v>237747.33</v>
          </cell>
          <cell r="O457">
            <v>250727.32</v>
          </cell>
          <cell r="P457">
            <v>241204.87</v>
          </cell>
          <cell r="Q457">
            <v>237747.33</v>
          </cell>
        </row>
        <row r="458">
          <cell r="B458" t="str">
            <v>DEC 2014</v>
          </cell>
          <cell r="C458" t="str">
            <v>KUCIE572</v>
          </cell>
          <cell r="D458">
            <v>454</v>
          </cell>
          <cell r="H458">
            <v>117631384</v>
          </cell>
          <cell r="I458">
            <v>288657.27</v>
          </cell>
          <cell r="J458">
            <v>262909.32</v>
          </cell>
          <cell r="K458">
            <v>257020.16</v>
          </cell>
          <cell r="O458">
            <v>288657.27</v>
          </cell>
          <cell r="P458">
            <v>262909.32</v>
          </cell>
          <cell r="Q458">
            <v>257020.16</v>
          </cell>
        </row>
        <row r="459">
          <cell r="B459" t="str">
            <v>DEC 2014</v>
          </cell>
          <cell r="C459" t="str">
            <v>KUCME110</v>
          </cell>
          <cell r="D459">
            <v>63436</v>
          </cell>
          <cell r="H459">
            <v>65046378</v>
          </cell>
        </row>
        <row r="460">
          <cell r="B460" t="str">
            <v>DEC 2014</v>
          </cell>
          <cell r="C460" t="str">
            <v>KUCME112</v>
          </cell>
        </row>
        <row r="461">
          <cell r="B461" t="str">
            <v>DEC 2014</v>
          </cell>
          <cell r="C461" t="str">
            <v>KUCME113</v>
          </cell>
          <cell r="D461">
            <v>18544</v>
          </cell>
          <cell r="H461">
            <v>95315025</v>
          </cell>
          <cell r="O461">
            <v>380870.99</v>
          </cell>
        </row>
        <row r="462">
          <cell r="B462" t="str">
            <v>DEC 2014</v>
          </cell>
          <cell r="C462" t="str">
            <v>KUCME220</v>
          </cell>
          <cell r="D462">
            <v>371</v>
          </cell>
          <cell r="H462">
            <v>706313</v>
          </cell>
        </row>
        <row r="463">
          <cell r="B463" t="str">
            <v>DEC 2014</v>
          </cell>
          <cell r="C463" t="str">
            <v>KURSE010</v>
          </cell>
          <cell r="D463">
            <v>427974</v>
          </cell>
          <cell r="H463">
            <v>595382951</v>
          </cell>
        </row>
        <row r="464">
          <cell r="B464" t="str">
            <v>DEC 2014</v>
          </cell>
          <cell r="C464" t="str">
            <v>KURSE020</v>
          </cell>
        </row>
        <row r="465">
          <cell r="B465" t="str">
            <v>DEC 2014</v>
          </cell>
          <cell r="C465" t="str">
            <v>KURSE025</v>
          </cell>
        </row>
        <row r="466">
          <cell r="B466" t="str">
            <v>DEC 2014</v>
          </cell>
          <cell r="C466" t="str">
            <v>KURSE080</v>
          </cell>
        </row>
        <row r="467">
          <cell r="B467" t="str">
            <v>DEC 2014</v>
          </cell>
          <cell r="C467" t="str">
            <v>KURSE715</v>
          </cell>
        </row>
        <row r="468">
          <cell r="B468" t="str">
            <v>DEC 2014</v>
          </cell>
          <cell r="C468" t="str">
            <v>ODRSE010</v>
          </cell>
        </row>
        <row r="469">
          <cell r="B469" t="str">
            <v>DEC 2014</v>
          </cell>
          <cell r="C469" t="str">
            <v>ODRSE020</v>
          </cell>
        </row>
        <row r="470">
          <cell r="B470" t="str">
            <v>DEC 2014</v>
          </cell>
          <cell r="C470" t="str">
            <v>KTRSE020</v>
          </cell>
        </row>
        <row r="471">
          <cell r="B471" t="str">
            <v>DEC 2014</v>
          </cell>
          <cell r="C471" t="str">
            <v>KTRSE030</v>
          </cell>
        </row>
        <row r="472">
          <cell r="B472" t="str">
            <v>DEC 2014</v>
          </cell>
          <cell r="C472" t="str">
            <v>KUCME710</v>
          </cell>
        </row>
        <row r="473">
          <cell r="B473" t="str">
            <v>DEC 2014</v>
          </cell>
          <cell r="C473" t="str">
            <v>KUINE730</v>
          </cell>
          <cell r="D473">
            <v>1</v>
          </cell>
          <cell r="H473">
            <v>48145895</v>
          </cell>
          <cell r="I473">
            <v>185157.6</v>
          </cell>
          <cell r="J473">
            <v>185157.6</v>
          </cell>
          <cell r="K473">
            <v>101387.6</v>
          </cell>
          <cell r="O473">
            <v>185157.6</v>
          </cell>
          <cell r="P473">
            <v>185157.6</v>
          </cell>
          <cell r="Q473">
            <v>101387.6</v>
          </cell>
        </row>
        <row r="474">
          <cell r="B474" t="str">
            <v>DEC 2014</v>
          </cell>
          <cell r="C474" t="str">
            <v>KUCME290</v>
          </cell>
          <cell r="D474">
            <v>2</v>
          </cell>
          <cell r="H474">
            <v>19258</v>
          </cell>
        </row>
        <row r="475">
          <cell r="B475" t="str">
            <v>DEC 2014</v>
          </cell>
          <cell r="C475" t="str">
            <v>KUCME291</v>
          </cell>
        </row>
        <row r="476">
          <cell r="B476" t="str">
            <v>DEC 2014</v>
          </cell>
          <cell r="C476" t="str">
            <v>KUCME295</v>
          </cell>
          <cell r="D476">
            <v>747</v>
          </cell>
          <cell r="H476">
            <v>112853</v>
          </cell>
        </row>
        <row r="477">
          <cell r="B477" t="str">
            <v>DEC 2014</v>
          </cell>
          <cell r="C477" t="str">
            <v>KUCSR760</v>
          </cell>
        </row>
        <row r="478">
          <cell r="B478" t="str">
            <v>DEC 2014</v>
          </cell>
          <cell r="C478" t="str">
            <v>KUCSR761</v>
          </cell>
        </row>
        <row r="479">
          <cell r="B479" t="str">
            <v>DEC 2014</v>
          </cell>
          <cell r="C479" t="str">
            <v>KUCSR783</v>
          </cell>
        </row>
        <row r="480">
          <cell r="B480" t="str">
            <v>DEC 2014</v>
          </cell>
          <cell r="C480" t="str">
            <v>KUCME713</v>
          </cell>
        </row>
        <row r="481">
          <cell r="B481" t="str">
            <v>DEC 2014</v>
          </cell>
          <cell r="C481" t="str">
            <v>KUCIE717</v>
          </cell>
        </row>
        <row r="482">
          <cell r="B482" t="str">
            <v>DEC 2014</v>
          </cell>
          <cell r="C482" t="str">
            <v>KUCME223</v>
          </cell>
        </row>
        <row r="483">
          <cell r="B483" t="str">
            <v>DEC 2014</v>
          </cell>
          <cell r="C483" t="str">
            <v>KURSE040</v>
          </cell>
        </row>
        <row r="484">
          <cell r="B484" t="str">
            <v>DEC 2014</v>
          </cell>
          <cell r="C484" t="str">
            <v>KUCME221</v>
          </cell>
        </row>
        <row r="485">
          <cell r="B485" t="str">
            <v>DEC 2014</v>
          </cell>
          <cell r="C485" t="str">
            <v>KUCME224</v>
          </cell>
          <cell r="D485">
            <v>257</v>
          </cell>
          <cell r="H485">
            <v>13091164</v>
          </cell>
          <cell r="O485">
            <v>51506.239999999998</v>
          </cell>
        </row>
        <row r="486">
          <cell r="B486" t="str">
            <v>DEC 2014</v>
          </cell>
          <cell r="C486" t="str">
            <v>KUCME297</v>
          </cell>
        </row>
        <row r="487">
          <cell r="B487" t="str">
            <v>DEC 2014</v>
          </cell>
          <cell r="C487" t="str">
            <v>KUCME225</v>
          </cell>
        </row>
        <row r="488">
          <cell r="B488" t="str">
            <v>DEC 2014</v>
          </cell>
          <cell r="C488" t="str">
            <v>KUCME226</v>
          </cell>
        </row>
        <row r="489">
          <cell r="B489" t="str">
            <v>DEC 2014</v>
          </cell>
          <cell r="C489" t="str">
            <v>KUCME227</v>
          </cell>
        </row>
        <row r="490">
          <cell r="B490" t="str">
            <v>DEC 2014</v>
          </cell>
          <cell r="C490" t="str">
            <v>Result</v>
          </cell>
        </row>
      </sheetData>
      <sheetData sheetId="22">
        <row r="3">
          <cell r="A3" t="str">
            <v>JAN 2015</v>
          </cell>
          <cell r="C3" t="str">
            <v>KTUM_406</v>
          </cell>
        </row>
        <row r="4">
          <cell r="A4" t="str">
            <v>JAN 2015</v>
          </cell>
          <cell r="C4" t="str">
            <v>KTUM_428</v>
          </cell>
        </row>
        <row r="5">
          <cell r="A5" t="str">
            <v>JAN 2015</v>
          </cell>
          <cell r="C5" t="str">
            <v>KUUM_360</v>
          </cell>
          <cell r="E5">
            <v>172</v>
          </cell>
        </row>
        <row r="6">
          <cell r="A6" t="str">
            <v>JAN 2015</v>
          </cell>
          <cell r="C6" t="str">
            <v>KUUM_361</v>
          </cell>
          <cell r="E6">
            <v>26</v>
          </cell>
        </row>
        <row r="7">
          <cell r="A7" t="str">
            <v>JAN 2015</v>
          </cell>
          <cell r="C7" t="str">
            <v>KUUM_362</v>
          </cell>
          <cell r="E7">
            <v>44</v>
          </cell>
        </row>
        <row r="8">
          <cell r="A8" t="str">
            <v>JAN 2015</v>
          </cell>
          <cell r="C8" t="str">
            <v>KUUM_363</v>
          </cell>
          <cell r="E8">
            <v>5</v>
          </cell>
        </row>
        <row r="9">
          <cell r="A9" t="str">
            <v>JAN 2015</v>
          </cell>
          <cell r="C9" t="str">
            <v>KUUM_364</v>
          </cell>
          <cell r="E9">
            <v>1</v>
          </cell>
        </row>
        <row r="10">
          <cell r="A10" t="str">
            <v>JAN 2015</v>
          </cell>
          <cell r="C10" t="str">
            <v>KUUM_365</v>
          </cell>
          <cell r="E10">
            <v>5</v>
          </cell>
        </row>
        <row r="11">
          <cell r="A11" t="str">
            <v>JAN 2015</v>
          </cell>
          <cell r="C11" t="str">
            <v>KUUM_366</v>
          </cell>
          <cell r="E11">
            <v>10</v>
          </cell>
        </row>
        <row r="12">
          <cell r="A12" t="str">
            <v>JAN 2015</v>
          </cell>
          <cell r="C12" t="str">
            <v>KUUM_367</v>
          </cell>
          <cell r="E12">
            <v>24</v>
          </cell>
        </row>
        <row r="13">
          <cell r="A13" t="str">
            <v>JAN 2015</v>
          </cell>
          <cell r="C13" t="str">
            <v>KUUM_368</v>
          </cell>
          <cell r="E13">
            <v>1</v>
          </cell>
        </row>
        <row r="14">
          <cell r="A14" t="str">
            <v>JAN 2015</v>
          </cell>
          <cell r="C14" t="str">
            <v>KUUM_370</v>
          </cell>
          <cell r="E14">
            <v>16</v>
          </cell>
        </row>
        <row r="15">
          <cell r="A15" t="str">
            <v>JAN 2015</v>
          </cell>
          <cell r="C15" t="str">
            <v>KUUM_372</v>
          </cell>
          <cell r="E15">
            <v>1</v>
          </cell>
        </row>
        <row r="16">
          <cell r="A16" t="str">
            <v>JAN 2015</v>
          </cell>
          <cell r="C16" t="str">
            <v>KUUM_373</v>
          </cell>
          <cell r="E16">
            <v>19</v>
          </cell>
        </row>
        <row r="17">
          <cell r="A17" t="str">
            <v>JAN 2015</v>
          </cell>
          <cell r="C17" t="str">
            <v>KUUM_374</v>
          </cell>
          <cell r="E17">
            <v>4</v>
          </cell>
        </row>
        <row r="18">
          <cell r="A18" t="str">
            <v>JAN 2015</v>
          </cell>
          <cell r="C18" t="str">
            <v>KUUM_375</v>
          </cell>
          <cell r="E18">
            <v>3</v>
          </cell>
        </row>
        <row r="19">
          <cell r="A19" t="str">
            <v>JAN 2015</v>
          </cell>
          <cell r="C19" t="str">
            <v>KUUM_376</v>
          </cell>
          <cell r="E19">
            <v>2</v>
          </cell>
        </row>
        <row r="20">
          <cell r="A20" t="str">
            <v>JAN 2015</v>
          </cell>
          <cell r="C20" t="str">
            <v>KUUM_377</v>
          </cell>
          <cell r="E20">
            <v>49</v>
          </cell>
        </row>
        <row r="21">
          <cell r="A21" t="str">
            <v>JAN 2015</v>
          </cell>
          <cell r="C21" t="str">
            <v>KUUM_378</v>
          </cell>
          <cell r="E21">
            <v>2</v>
          </cell>
        </row>
        <row r="22">
          <cell r="A22" t="str">
            <v>JAN 2015</v>
          </cell>
          <cell r="C22" t="str">
            <v>KUUM_401</v>
          </cell>
          <cell r="E22">
            <v>52</v>
          </cell>
        </row>
        <row r="23">
          <cell r="A23" t="str">
            <v>JAN 2015</v>
          </cell>
          <cell r="C23" t="str">
            <v>KUUM_404</v>
          </cell>
          <cell r="E23">
            <v>7293</v>
          </cell>
        </row>
        <row r="24">
          <cell r="A24" t="str">
            <v>JAN 2015</v>
          </cell>
          <cell r="C24" t="str">
            <v>KUUM_409</v>
          </cell>
          <cell r="E24">
            <v>147</v>
          </cell>
        </row>
        <row r="25">
          <cell r="A25" t="str">
            <v>JAN 2015</v>
          </cell>
          <cell r="C25" t="str">
            <v>KUUM_410</v>
          </cell>
          <cell r="E25">
            <v>240</v>
          </cell>
        </row>
        <row r="26">
          <cell r="A26" t="str">
            <v>JAN 2015</v>
          </cell>
          <cell r="C26" t="str">
            <v>KUUM_411</v>
          </cell>
          <cell r="E26">
            <v>145</v>
          </cell>
        </row>
        <row r="27">
          <cell r="A27" t="str">
            <v>JAN 2015</v>
          </cell>
          <cell r="C27" t="str">
            <v>KUUM_412</v>
          </cell>
          <cell r="E27">
            <v>28</v>
          </cell>
        </row>
        <row r="28">
          <cell r="A28" t="str">
            <v>JAN 2015</v>
          </cell>
          <cell r="C28" t="str">
            <v>KUUM_413</v>
          </cell>
          <cell r="E28">
            <v>96</v>
          </cell>
        </row>
        <row r="29">
          <cell r="A29" t="str">
            <v>JAN 2015</v>
          </cell>
          <cell r="C29" t="str">
            <v>KUUM_414</v>
          </cell>
          <cell r="E29">
            <v>21</v>
          </cell>
        </row>
        <row r="30">
          <cell r="A30" t="str">
            <v>JAN 2015</v>
          </cell>
          <cell r="C30" t="str">
            <v>KUUM_415</v>
          </cell>
          <cell r="E30">
            <v>10</v>
          </cell>
        </row>
        <row r="31">
          <cell r="A31" t="str">
            <v>JAN 2015</v>
          </cell>
          <cell r="C31" t="str">
            <v>KUUM_420</v>
          </cell>
          <cell r="E31">
            <v>454</v>
          </cell>
        </row>
        <row r="32">
          <cell r="A32" t="str">
            <v>JAN 2015</v>
          </cell>
          <cell r="C32" t="str">
            <v>KUUM_421</v>
          </cell>
          <cell r="E32">
            <v>5</v>
          </cell>
        </row>
        <row r="33">
          <cell r="A33" t="str">
            <v>JAN 2015</v>
          </cell>
          <cell r="C33" t="str">
            <v>KUUM_422</v>
          </cell>
          <cell r="E33">
            <v>684</v>
          </cell>
        </row>
        <row r="34">
          <cell r="A34" t="str">
            <v>JAN 2015</v>
          </cell>
          <cell r="C34" t="str">
            <v>KUUM_424</v>
          </cell>
          <cell r="E34">
            <v>92</v>
          </cell>
        </row>
        <row r="35">
          <cell r="A35" t="str">
            <v>JAN 2015</v>
          </cell>
          <cell r="C35" t="str">
            <v>KUUM_425</v>
          </cell>
          <cell r="E35">
            <v>2</v>
          </cell>
        </row>
        <row r="36">
          <cell r="A36" t="str">
            <v>JAN 2015</v>
          </cell>
          <cell r="C36" t="str">
            <v>KUUM_426</v>
          </cell>
          <cell r="E36">
            <v>171</v>
          </cell>
        </row>
        <row r="37">
          <cell r="A37" t="str">
            <v>JAN 2015</v>
          </cell>
          <cell r="C37" t="str">
            <v>KUUM_428</v>
          </cell>
          <cell r="E37">
            <v>36283</v>
          </cell>
        </row>
        <row r="38">
          <cell r="A38" t="str">
            <v>JAN 2015</v>
          </cell>
          <cell r="C38" t="str">
            <v>KUUM_430</v>
          </cell>
          <cell r="E38">
            <v>1166</v>
          </cell>
        </row>
        <row r="39">
          <cell r="A39" t="str">
            <v>JAN 2015</v>
          </cell>
          <cell r="C39" t="str">
            <v>KUUM_434</v>
          </cell>
          <cell r="E39">
            <v>6</v>
          </cell>
        </row>
        <row r="40">
          <cell r="A40" t="str">
            <v>JAN 2015</v>
          </cell>
          <cell r="C40" t="str">
            <v>KUUM_440</v>
          </cell>
          <cell r="E40">
            <v>2</v>
          </cell>
        </row>
        <row r="41">
          <cell r="A41" t="str">
            <v>JAN 2015</v>
          </cell>
          <cell r="C41" t="str">
            <v>KUUM_446</v>
          </cell>
          <cell r="E41">
            <v>1080</v>
          </cell>
        </row>
        <row r="42">
          <cell r="A42" t="str">
            <v>JAN 2015</v>
          </cell>
          <cell r="C42" t="str">
            <v>KUUM_447</v>
          </cell>
          <cell r="E42">
            <v>728</v>
          </cell>
        </row>
        <row r="43">
          <cell r="A43" t="str">
            <v>JAN 2015</v>
          </cell>
          <cell r="C43" t="str">
            <v>KUUM_448</v>
          </cell>
          <cell r="E43">
            <v>1476</v>
          </cell>
        </row>
        <row r="44">
          <cell r="A44" t="str">
            <v>JAN 2015</v>
          </cell>
          <cell r="C44" t="str">
            <v>KUUM_450</v>
          </cell>
          <cell r="E44">
            <v>646</v>
          </cell>
        </row>
        <row r="45">
          <cell r="A45" t="str">
            <v>JAN 2015</v>
          </cell>
          <cell r="C45" t="str">
            <v>KUUM_451</v>
          </cell>
          <cell r="E45">
            <v>5134</v>
          </cell>
        </row>
        <row r="46">
          <cell r="A46" t="str">
            <v>JAN 2015</v>
          </cell>
          <cell r="C46" t="str">
            <v>KUUM_452</v>
          </cell>
          <cell r="E46">
            <v>1057</v>
          </cell>
        </row>
        <row r="47">
          <cell r="A47" t="str">
            <v>JAN 2015</v>
          </cell>
          <cell r="C47" t="str">
            <v>KUUM_454</v>
          </cell>
          <cell r="E47">
            <v>150</v>
          </cell>
        </row>
        <row r="48">
          <cell r="A48" t="str">
            <v>JAN 2015</v>
          </cell>
          <cell r="C48" t="str">
            <v>KUUM_455</v>
          </cell>
          <cell r="E48">
            <v>1024</v>
          </cell>
        </row>
        <row r="49">
          <cell r="A49" t="str">
            <v>JAN 2015</v>
          </cell>
          <cell r="C49" t="str">
            <v>KUUM_456</v>
          </cell>
          <cell r="E49">
            <v>139</v>
          </cell>
        </row>
        <row r="50">
          <cell r="A50" t="str">
            <v>JAN 2015</v>
          </cell>
          <cell r="C50" t="str">
            <v>KUUM_457</v>
          </cell>
          <cell r="E50">
            <v>439</v>
          </cell>
        </row>
        <row r="51">
          <cell r="A51" t="str">
            <v>JAN 2015</v>
          </cell>
          <cell r="C51" t="str">
            <v>KUUM_458</v>
          </cell>
          <cell r="E51">
            <v>1471</v>
          </cell>
        </row>
        <row r="52">
          <cell r="A52" t="str">
            <v>JAN 2015</v>
          </cell>
          <cell r="C52" t="str">
            <v>KUUM_459</v>
          </cell>
          <cell r="E52">
            <v>231</v>
          </cell>
        </row>
        <row r="53">
          <cell r="A53" t="str">
            <v>JAN 2015</v>
          </cell>
          <cell r="C53" t="str">
            <v>KUUM_460</v>
          </cell>
          <cell r="E53">
            <v>27</v>
          </cell>
        </row>
        <row r="54">
          <cell r="A54" t="str">
            <v>JAN 2015</v>
          </cell>
          <cell r="C54" t="str">
            <v>KUUM_461</v>
          </cell>
          <cell r="E54">
            <v>7211</v>
          </cell>
        </row>
        <row r="55">
          <cell r="A55" t="str">
            <v>JAN 2015</v>
          </cell>
          <cell r="C55" t="str">
            <v>KUUM_462</v>
          </cell>
          <cell r="E55">
            <v>8738</v>
          </cell>
        </row>
        <row r="56">
          <cell r="A56" t="str">
            <v>JAN 2015</v>
          </cell>
          <cell r="C56" t="str">
            <v>KUUM_463</v>
          </cell>
          <cell r="E56">
            <v>20839</v>
          </cell>
        </row>
        <row r="57">
          <cell r="A57" t="str">
            <v>JAN 2015</v>
          </cell>
          <cell r="C57" t="str">
            <v>KUUM_464</v>
          </cell>
          <cell r="E57">
            <v>7628</v>
          </cell>
        </row>
        <row r="58">
          <cell r="A58" t="str">
            <v>JAN 2015</v>
          </cell>
          <cell r="C58" t="str">
            <v>KUUM_465</v>
          </cell>
          <cell r="E58">
            <v>2804</v>
          </cell>
        </row>
        <row r="59">
          <cell r="A59" t="str">
            <v>JAN 2015</v>
          </cell>
          <cell r="C59" t="str">
            <v>KUUM_466</v>
          </cell>
          <cell r="E59">
            <v>855</v>
          </cell>
        </row>
        <row r="60">
          <cell r="A60" t="str">
            <v>JAN 2015</v>
          </cell>
          <cell r="C60" t="str">
            <v>KUUM_467</v>
          </cell>
          <cell r="E60">
            <v>1353</v>
          </cell>
        </row>
        <row r="61">
          <cell r="A61" t="str">
            <v>JAN 2015</v>
          </cell>
          <cell r="C61" t="str">
            <v>KUUM_468</v>
          </cell>
          <cell r="E61">
            <v>4050</v>
          </cell>
        </row>
        <row r="62">
          <cell r="A62" t="str">
            <v>JAN 2015</v>
          </cell>
          <cell r="C62" t="str">
            <v>KUUM_469</v>
          </cell>
          <cell r="E62">
            <v>293</v>
          </cell>
        </row>
        <row r="63">
          <cell r="A63" t="str">
            <v>JAN 2015</v>
          </cell>
          <cell r="C63" t="str">
            <v>KUUM_470</v>
          </cell>
          <cell r="E63">
            <v>61</v>
          </cell>
        </row>
        <row r="64">
          <cell r="A64" t="str">
            <v>JAN 2015</v>
          </cell>
          <cell r="C64" t="str">
            <v>KUUM_471</v>
          </cell>
          <cell r="E64">
            <v>3569</v>
          </cell>
        </row>
        <row r="65">
          <cell r="A65" t="str">
            <v>JAN 2015</v>
          </cell>
          <cell r="C65" t="str">
            <v>KUUM_472</v>
          </cell>
          <cell r="E65">
            <v>8447</v>
          </cell>
        </row>
        <row r="66">
          <cell r="A66" t="str">
            <v>JAN 2015</v>
          </cell>
          <cell r="C66" t="str">
            <v>KUUM_473</v>
          </cell>
          <cell r="E66">
            <v>3345</v>
          </cell>
        </row>
        <row r="67">
          <cell r="A67" t="str">
            <v>JAN 2015</v>
          </cell>
          <cell r="C67" t="str">
            <v>KUUM_474</v>
          </cell>
          <cell r="E67">
            <v>5074</v>
          </cell>
        </row>
        <row r="68">
          <cell r="A68" t="str">
            <v>JAN 2015</v>
          </cell>
          <cell r="C68" t="str">
            <v>KUUM_475</v>
          </cell>
          <cell r="E68">
            <v>506</v>
          </cell>
        </row>
        <row r="69">
          <cell r="A69" t="str">
            <v>JAN 2015</v>
          </cell>
          <cell r="C69" t="str">
            <v>KUUM_476</v>
          </cell>
          <cell r="E69">
            <v>4464</v>
          </cell>
        </row>
        <row r="70">
          <cell r="A70" t="str">
            <v>JAN 2015</v>
          </cell>
          <cell r="C70" t="str">
            <v>KUUM_477</v>
          </cell>
          <cell r="E70">
            <v>1061</v>
          </cell>
        </row>
        <row r="71">
          <cell r="A71" t="str">
            <v>JAN 2015</v>
          </cell>
          <cell r="C71" t="str">
            <v>KUUM_478</v>
          </cell>
          <cell r="E71">
            <v>1421</v>
          </cell>
        </row>
        <row r="72">
          <cell r="A72" t="str">
            <v>JAN 2015</v>
          </cell>
          <cell r="C72" t="str">
            <v>KUUM_479</v>
          </cell>
          <cell r="E72">
            <v>962</v>
          </cell>
        </row>
        <row r="73">
          <cell r="A73" t="str">
            <v>JAN 2015</v>
          </cell>
          <cell r="C73" t="str">
            <v>KUUM_487</v>
          </cell>
          <cell r="E73">
            <v>11100</v>
          </cell>
        </row>
        <row r="74">
          <cell r="A74" t="str">
            <v>JAN 2015</v>
          </cell>
          <cell r="C74" t="str">
            <v>KUUM_488</v>
          </cell>
          <cell r="E74">
            <v>6584</v>
          </cell>
        </row>
        <row r="75">
          <cell r="A75" t="str">
            <v>JAN 2015</v>
          </cell>
          <cell r="C75" t="str">
            <v>KUUM_489</v>
          </cell>
          <cell r="E75">
            <v>8363</v>
          </cell>
        </row>
        <row r="76">
          <cell r="A76" t="str">
            <v>JAN 2015</v>
          </cell>
          <cell r="C76" t="str">
            <v>KUUM_490</v>
          </cell>
          <cell r="E76">
            <v>58</v>
          </cell>
        </row>
        <row r="77">
          <cell r="A77" t="str">
            <v>JAN 2015</v>
          </cell>
          <cell r="C77" t="str">
            <v>KUUM_491</v>
          </cell>
          <cell r="E77">
            <v>301</v>
          </cell>
        </row>
        <row r="78">
          <cell r="A78" t="str">
            <v>JAN 2015</v>
          </cell>
          <cell r="C78" t="str">
            <v>KUUM_492</v>
          </cell>
          <cell r="E78">
            <v>2</v>
          </cell>
        </row>
        <row r="79">
          <cell r="A79" t="str">
            <v>JAN 2015</v>
          </cell>
          <cell r="C79" t="str">
            <v>KUUM_493</v>
          </cell>
          <cell r="E79">
            <v>43</v>
          </cell>
        </row>
        <row r="80">
          <cell r="A80" t="str">
            <v>JAN 2015</v>
          </cell>
          <cell r="C80" t="str">
            <v>KUUM_494</v>
          </cell>
          <cell r="E80">
            <v>167</v>
          </cell>
        </row>
        <row r="81">
          <cell r="A81" t="str">
            <v>JAN 2015</v>
          </cell>
          <cell r="C81" t="str">
            <v>KUUM_495</v>
          </cell>
          <cell r="E81">
            <v>617</v>
          </cell>
        </row>
        <row r="82">
          <cell r="A82" t="str">
            <v>JAN 2015</v>
          </cell>
          <cell r="C82" t="str">
            <v>KUUM_496</v>
          </cell>
          <cell r="E82">
            <v>157</v>
          </cell>
        </row>
        <row r="83">
          <cell r="A83" t="str">
            <v>JAN 2015</v>
          </cell>
          <cell r="C83" t="str">
            <v>KUUM_497</v>
          </cell>
          <cell r="E83">
            <v>8</v>
          </cell>
        </row>
        <row r="84">
          <cell r="A84" t="str">
            <v>JAN 2015</v>
          </cell>
          <cell r="C84" t="str">
            <v>KUUM_498</v>
          </cell>
          <cell r="E84">
            <v>24</v>
          </cell>
        </row>
        <row r="85">
          <cell r="A85" t="str">
            <v>JAN 2015</v>
          </cell>
          <cell r="C85" t="str">
            <v>KUUM_499</v>
          </cell>
          <cell r="E85">
            <v>24</v>
          </cell>
        </row>
        <row r="86">
          <cell r="A86" t="str">
            <v>JAN 2015</v>
          </cell>
          <cell r="C86" t="str">
            <v>Result</v>
          </cell>
          <cell r="E86">
            <v>171012</v>
          </cell>
        </row>
        <row r="87">
          <cell r="E87" t="str">
            <v># Lights at start of Period</v>
          </cell>
        </row>
        <row r="88">
          <cell r="A88" t="str">
            <v>Revenue Period</v>
          </cell>
          <cell r="C88" t="str">
            <v>Rate Category</v>
          </cell>
        </row>
        <row r="89">
          <cell r="A89" t="str">
            <v>FEB 2015</v>
          </cell>
          <cell r="C89" t="str">
            <v>KTUM_406</v>
          </cell>
        </row>
        <row r="90">
          <cell r="A90" t="str">
            <v>FEB 2015</v>
          </cell>
          <cell r="C90" t="str">
            <v>KTUM_428</v>
          </cell>
        </row>
        <row r="91">
          <cell r="A91" t="str">
            <v>FEB 2015</v>
          </cell>
          <cell r="C91" t="str">
            <v>KUUM_360</v>
          </cell>
          <cell r="E91">
            <v>177</v>
          </cell>
        </row>
        <row r="92">
          <cell r="A92" t="str">
            <v>FEB 2015</v>
          </cell>
          <cell r="C92" t="str">
            <v>KUUM_361</v>
          </cell>
          <cell r="E92">
            <v>25</v>
          </cell>
        </row>
        <row r="93">
          <cell r="A93" t="str">
            <v>FEB 2015</v>
          </cell>
          <cell r="C93" t="str">
            <v>KUUM_362</v>
          </cell>
          <cell r="E93">
            <v>43</v>
          </cell>
        </row>
        <row r="94">
          <cell r="A94" t="str">
            <v>FEB 2015</v>
          </cell>
          <cell r="C94" t="str">
            <v>KUUM_363</v>
          </cell>
          <cell r="E94">
            <v>5</v>
          </cell>
        </row>
        <row r="95">
          <cell r="A95" t="str">
            <v>FEB 2015</v>
          </cell>
          <cell r="C95" t="str">
            <v>KUUM_364</v>
          </cell>
          <cell r="E95">
            <v>1</v>
          </cell>
        </row>
        <row r="96">
          <cell r="A96" t="str">
            <v>FEB 2015</v>
          </cell>
          <cell r="C96" t="str">
            <v>KUUM_365</v>
          </cell>
          <cell r="E96">
            <v>5</v>
          </cell>
        </row>
        <row r="97">
          <cell r="A97" t="str">
            <v>FEB 2015</v>
          </cell>
          <cell r="C97" t="str">
            <v>KUUM_366</v>
          </cell>
          <cell r="E97">
            <v>9</v>
          </cell>
        </row>
        <row r="98">
          <cell r="A98" t="str">
            <v>FEB 2015</v>
          </cell>
          <cell r="C98" t="str">
            <v>KUUM_367</v>
          </cell>
          <cell r="E98">
            <v>25</v>
          </cell>
        </row>
        <row r="99">
          <cell r="A99" t="str">
            <v>FEB 2015</v>
          </cell>
          <cell r="C99" t="str">
            <v>KUUM_368</v>
          </cell>
          <cell r="E99">
            <v>1</v>
          </cell>
        </row>
        <row r="100">
          <cell r="A100" t="str">
            <v>FEB 2015</v>
          </cell>
          <cell r="C100" t="str">
            <v>KUUM_370</v>
          </cell>
          <cell r="E100">
            <v>15</v>
          </cell>
        </row>
        <row r="101">
          <cell r="A101" t="str">
            <v>FEB 2015</v>
          </cell>
          <cell r="C101" t="str">
            <v>KUUM_372</v>
          </cell>
          <cell r="E101">
            <v>1</v>
          </cell>
        </row>
        <row r="102">
          <cell r="A102" t="str">
            <v>FEB 2015</v>
          </cell>
          <cell r="C102" t="str">
            <v>KUUM_373</v>
          </cell>
          <cell r="E102">
            <v>20</v>
          </cell>
        </row>
        <row r="103">
          <cell r="A103" t="str">
            <v>FEB 2015</v>
          </cell>
          <cell r="C103" t="str">
            <v>KUUM_374</v>
          </cell>
          <cell r="E103">
            <v>4</v>
          </cell>
        </row>
        <row r="104">
          <cell r="A104" t="str">
            <v>FEB 2015</v>
          </cell>
          <cell r="C104" t="str">
            <v>KUUM_375</v>
          </cell>
          <cell r="E104">
            <v>3</v>
          </cell>
        </row>
        <row r="105">
          <cell r="A105" t="str">
            <v>FEB 2015</v>
          </cell>
          <cell r="C105" t="str">
            <v>KUUM_376</v>
          </cell>
          <cell r="E105">
            <v>2</v>
          </cell>
        </row>
        <row r="106">
          <cell r="A106" t="str">
            <v>FEB 2015</v>
          </cell>
          <cell r="C106" t="str">
            <v>KUUM_377</v>
          </cell>
          <cell r="E106">
            <v>51</v>
          </cell>
        </row>
        <row r="107">
          <cell r="A107" t="str">
            <v>FEB 2015</v>
          </cell>
          <cell r="C107" t="str">
            <v>KUUM_378</v>
          </cell>
          <cell r="E107">
            <v>2</v>
          </cell>
        </row>
        <row r="108">
          <cell r="A108" t="str">
            <v>FEB 2015</v>
          </cell>
          <cell r="C108" t="str">
            <v>KUUM_401</v>
          </cell>
          <cell r="E108">
            <v>52</v>
          </cell>
        </row>
        <row r="109">
          <cell r="A109" t="str">
            <v>FEB 2015</v>
          </cell>
          <cell r="C109" t="str">
            <v>KUUM_404</v>
          </cell>
          <cell r="E109">
            <v>7335</v>
          </cell>
        </row>
        <row r="110">
          <cell r="A110" t="str">
            <v>FEB 2015</v>
          </cell>
          <cell r="C110" t="str">
            <v>KUUM_409</v>
          </cell>
          <cell r="E110">
            <v>136</v>
          </cell>
        </row>
        <row r="111">
          <cell r="A111" t="str">
            <v>FEB 2015</v>
          </cell>
          <cell r="C111" t="str">
            <v>KUUM_410</v>
          </cell>
          <cell r="E111">
            <v>239</v>
          </cell>
        </row>
        <row r="112">
          <cell r="A112" t="str">
            <v>FEB 2015</v>
          </cell>
          <cell r="C112" t="str">
            <v>KUUM_411</v>
          </cell>
          <cell r="E112">
            <v>144</v>
          </cell>
        </row>
        <row r="113">
          <cell r="A113" t="str">
            <v>FEB 2015</v>
          </cell>
          <cell r="C113" t="str">
            <v>KUUM_412</v>
          </cell>
          <cell r="E113">
            <v>28</v>
          </cell>
        </row>
        <row r="114">
          <cell r="A114" t="str">
            <v>FEB 2015</v>
          </cell>
          <cell r="C114" t="str">
            <v>KUUM_413</v>
          </cell>
          <cell r="E114">
            <v>96</v>
          </cell>
        </row>
        <row r="115">
          <cell r="A115" t="str">
            <v>FEB 2015</v>
          </cell>
          <cell r="C115" t="str">
            <v>KUUM_414</v>
          </cell>
          <cell r="E115">
            <v>21</v>
          </cell>
        </row>
        <row r="116">
          <cell r="A116" t="str">
            <v>FEB 2015</v>
          </cell>
          <cell r="C116" t="str">
            <v>KUUM_415</v>
          </cell>
          <cell r="E116">
            <v>10</v>
          </cell>
        </row>
        <row r="117">
          <cell r="A117" t="str">
            <v>FEB 2015</v>
          </cell>
          <cell r="C117" t="str">
            <v>KUUM_420</v>
          </cell>
          <cell r="E117">
            <v>462</v>
          </cell>
        </row>
        <row r="118">
          <cell r="A118" t="str">
            <v>FEB 2015</v>
          </cell>
          <cell r="C118" t="str">
            <v>KUUM_421</v>
          </cell>
          <cell r="E118">
            <v>5</v>
          </cell>
        </row>
        <row r="119">
          <cell r="A119" t="str">
            <v>FEB 2015</v>
          </cell>
          <cell r="C119" t="str">
            <v>KUUM_422</v>
          </cell>
          <cell r="E119">
            <v>686</v>
          </cell>
        </row>
        <row r="120">
          <cell r="A120" t="str">
            <v>FEB 2015</v>
          </cell>
          <cell r="C120" t="str">
            <v>KUUM_424</v>
          </cell>
          <cell r="E120">
            <v>87</v>
          </cell>
        </row>
        <row r="121">
          <cell r="A121" t="str">
            <v>FEB 2015</v>
          </cell>
          <cell r="C121" t="str">
            <v>KUUM_425</v>
          </cell>
          <cell r="E121">
            <v>2</v>
          </cell>
        </row>
        <row r="122">
          <cell r="A122" t="str">
            <v>FEB 2015</v>
          </cell>
          <cell r="C122" t="str">
            <v>KUUM_426</v>
          </cell>
          <cell r="E122">
            <v>171</v>
          </cell>
        </row>
        <row r="123">
          <cell r="A123" t="str">
            <v>FEB 2015</v>
          </cell>
          <cell r="C123" t="str">
            <v>KUUM_428</v>
          </cell>
          <cell r="E123">
            <v>36616</v>
          </cell>
        </row>
        <row r="124">
          <cell r="A124" t="str">
            <v>FEB 2015</v>
          </cell>
          <cell r="C124" t="str">
            <v>KUUM_430</v>
          </cell>
          <cell r="E124">
            <v>1148</v>
          </cell>
        </row>
        <row r="125">
          <cell r="A125" t="str">
            <v>FEB 2015</v>
          </cell>
          <cell r="C125" t="str">
            <v>KUUM_434</v>
          </cell>
          <cell r="E125">
            <v>6</v>
          </cell>
        </row>
        <row r="126">
          <cell r="A126" t="str">
            <v>FEB 2015</v>
          </cell>
          <cell r="C126" t="str">
            <v>KUUM_440</v>
          </cell>
          <cell r="E126">
            <v>2</v>
          </cell>
        </row>
        <row r="127">
          <cell r="A127" t="str">
            <v>FEB 2015</v>
          </cell>
          <cell r="C127" t="str">
            <v>KUUM_446</v>
          </cell>
          <cell r="E127">
            <v>1082</v>
          </cell>
        </row>
        <row r="128">
          <cell r="A128" t="str">
            <v>FEB 2015</v>
          </cell>
          <cell r="C128" t="str">
            <v>KUUM_447</v>
          </cell>
          <cell r="E128">
            <v>752</v>
          </cell>
        </row>
        <row r="129">
          <cell r="A129" t="str">
            <v>FEB 2015</v>
          </cell>
          <cell r="C129" t="str">
            <v>KUUM_448</v>
          </cell>
          <cell r="E129">
            <v>1493</v>
          </cell>
        </row>
        <row r="130">
          <cell r="A130" t="str">
            <v>FEB 2015</v>
          </cell>
          <cell r="C130" t="str">
            <v>KUUM_450</v>
          </cell>
          <cell r="E130">
            <v>660</v>
          </cell>
        </row>
        <row r="131">
          <cell r="A131" t="str">
            <v>FEB 2015</v>
          </cell>
          <cell r="C131" t="str">
            <v>KUUM_451</v>
          </cell>
          <cell r="E131">
            <v>5068</v>
          </cell>
        </row>
        <row r="132">
          <cell r="A132" t="str">
            <v>FEB 2015</v>
          </cell>
          <cell r="C132" t="str">
            <v>KUUM_452</v>
          </cell>
          <cell r="E132">
            <v>1038</v>
          </cell>
        </row>
        <row r="133">
          <cell r="A133" t="str">
            <v>FEB 2015</v>
          </cell>
          <cell r="C133" t="str">
            <v>KUUM_454</v>
          </cell>
          <cell r="E133">
            <v>155</v>
          </cell>
        </row>
        <row r="134">
          <cell r="A134" t="str">
            <v>FEB 2015</v>
          </cell>
          <cell r="C134" t="str">
            <v>KUUM_455</v>
          </cell>
          <cell r="E134">
            <v>1014</v>
          </cell>
        </row>
        <row r="135">
          <cell r="A135" t="str">
            <v>FEB 2015</v>
          </cell>
          <cell r="C135" t="str">
            <v>KUUM_456</v>
          </cell>
          <cell r="E135">
            <v>139</v>
          </cell>
        </row>
        <row r="136">
          <cell r="A136" t="str">
            <v>FEB 2015</v>
          </cell>
          <cell r="C136" t="str">
            <v>KUUM_457</v>
          </cell>
          <cell r="E136">
            <v>451</v>
          </cell>
        </row>
        <row r="137">
          <cell r="A137" t="str">
            <v>FEB 2015</v>
          </cell>
          <cell r="C137" t="str">
            <v>KUUM_458</v>
          </cell>
          <cell r="E137">
            <v>1458</v>
          </cell>
        </row>
        <row r="138">
          <cell r="A138" t="str">
            <v>FEB 2015</v>
          </cell>
          <cell r="C138" t="str">
            <v>KUUM_459</v>
          </cell>
          <cell r="E138">
            <v>227</v>
          </cell>
        </row>
        <row r="139">
          <cell r="A139" t="str">
            <v>FEB 2015</v>
          </cell>
          <cell r="C139" t="str">
            <v>KUUM_460</v>
          </cell>
          <cell r="E139">
            <v>27</v>
          </cell>
        </row>
        <row r="140">
          <cell r="A140" t="str">
            <v>FEB 2015</v>
          </cell>
          <cell r="C140" t="str">
            <v>KUUM_461</v>
          </cell>
          <cell r="E140">
            <v>6484</v>
          </cell>
        </row>
        <row r="141">
          <cell r="A141" t="str">
            <v>FEB 2015</v>
          </cell>
          <cell r="C141" t="str">
            <v>KUUM_462</v>
          </cell>
          <cell r="E141">
            <v>8582</v>
          </cell>
        </row>
        <row r="142">
          <cell r="A142" t="str">
            <v>FEB 2015</v>
          </cell>
          <cell r="C142" t="str">
            <v>KUUM_463</v>
          </cell>
          <cell r="E142">
            <v>19530</v>
          </cell>
        </row>
        <row r="143">
          <cell r="A143" t="str">
            <v>FEB 2015</v>
          </cell>
          <cell r="C143" t="str">
            <v>KUUM_464</v>
          </cell>
          <cell r="E143">
            <v>7340</v>
          </cell>
        </row>
        <row r="144">
          <cell r="A144" t="str">
            <v>FEB 2015</v>
          </cell>
          <cell r="C144" t="str">
            <v>KUUM_465</v>
          </cell>
          <cell r="E144">
            <v>2710</v>
          </cell>
        </row>
        <row r="145">
          <cell r="A145" t="str">
            <v>FEB 2015</v>
          </cell>
          <cell r="C145" t="str">
            <v>KUUM_466</v>
          </cell>
          <cell r="E145">
            <v>712</v>
          </cell>
        </row>
        <row r="146">
          <cell r="A146" t="str">
            <v>FEB 2015</v>
          </cell>
          <cell r="C146" t="str">
            <v>KUUM_467</v>
          </cell>
          <cell r="E146">
            <v>1232</v>
          </cell>
        </row>
        <row r="147">
          <cell r="A147" t="str">
            <v>FEB 2015</v>
          </cell>
          <cell r="C147" t="str">
            <v>KUUM_468</v>
          </cell>
          <cell r="E147">
            <v>3948</v>
          </cell>
        </row>
        <row r="148">
          <cell r="A148" t="str">
            <v>FEB 2015</v>
          </cell>
          <cell r="C148" t="str">
            <v>KUUM_469</v>
          </cell>
          <cell r="E148">
            <v>277</v>
          </cell>
        </row>
        <row r="149">
          <cell r="A149" t="str">
            <v>FEB 2015</v>
          </cell>
          <cell r="C149" t="str">
            <v>KUUM_470</v>
          </cell>
          <cell r="E149">
            <v>53</v>
          </cell>
        </row>
        <row r="150">
          <cell r="A150" t="str">
            <v>FEB 2015</v>
          </cell>
          <cell r="C150" t="str">
            <v>KUUM_471</v>
          </cell>
          <cell r="E150">
            <v>3656</v>
          </cell>
        </row>
        <row r="151">
          <cell r="A151" t="str">
            <v>FEB 2015</v>
          </cell>
          <cell r="C151" t="str">
            <v>KUUM_472</v>
          </cell>
          <cell r="E151">
            <v>8687</v>
          </cell>
        </row>
        <row r="152">
          <cell r="A152" t="str">
            <v>FEB 2015</v>
          </cell>
          <cell r="C152" t="str">
            <v>KUUM_473</v>
          </cell>
          <cell r="E152">
            <v>3353</v>
          </cell>
        </row>
        <row r="153">
          <cell r="A153" t="str">
            <v>FEB 2015</v>
          </cell>
          <cell r="C153" t="str">
            <v>KUUM_474</v>
          </cell>
          <cell r="E153">
            <v>5081</v>
          </cell>
        </row>
        <row r="154">
          <cell r="A154" t="str">
            <v>FEB 2015</v>
          </cell>
          <cell r="C154" t="str">
            <v>KUUM_475</v>
          </cell>
          <cell r="E154">
            <v>511</v>
          </cell>
        </row>
        <row r="155">
          <cell r="A155" t="str">
            <v>FEB 2015</v>
          </cell>
          <cell r="C155" t="str">
            <v>KUUM_476</v>
          </cell>
          <cell r="E155">
            <v>4548</v>
          </cell>
        </row>
        <row r="156">
          <cell r="A156" t="str">
            <v>FEB 2015</v>
          </cell>
          <cell r="C156" t="str">
            <v>KUUM_477</v>
          </cell>
          <cell r="E156">
            <v>1057</v>
          </cell>
        </row>
        <row r="157">
          <cell r="A157" t="str">
            <v>FEB 2015</v>
          </cell>
          <cell r="C157" t="str">
            <v>KUUM_478</v>
          </cell>
          <cell r="E157">
            <v>1389</v>
          </cell>
        </row>
        <row r="158">
          <cell r="A158" t="str">
            <v>FEB 2015</v>
          </cell>
          <cell r="C158" t="str">
            <v>KUUM_479</v>
          </cell>
          <cell r="E158">
            <v>954</v>
          </cell>
        </row>
        <row r="159">
          <cell r="A159" t="str">
            <v>FEB 2015</v>
          </cell>
          <cell r="C159" t="str">
            <v>KUUM_487</v>
          </cell>
          <cell r="E159">
            <v>11147</v>
          </cell>
        </row>
        <row r="160">
          <cell r="A160" t="str">
            <v>FEB 2015</v>
          </cell>
          <cell r="C160" t="str">
            <v>KUUM_488</v>
          </cell>
          <cell r="E160">
            <v>6551</v>
          </cell>
        </row>
        <row r="161">
          <cell r="A161" t="str">
            <v>FEB 2015</v>
          </cell>
          <cell r="C161" t="str">
            <v>KUUM_489</v>
          </cell>
          <cell r="E161">
            <v>8278</v>
          </cell>
        </row>
        <row r="162">
          <cell r="A162" t="str">
            <v>FEB 2015</v>
          </cell>
          <cell r="C162" t="str">
            <v>KUUM_490</v>
          </cell>
          <cell r="E162">
            <v>60</v>
          </cell>
        </row>
        <row r="163">
          <cell r="A163" t="str">
            <v>FEB 2015</v>
          </cell>
          <cell r="C163" t="str">
            <v>KUUM_491</v>
          </cell>
          <cell r="E163">
            <v>302</v>
          </cell>
        </row>
        <row r="164">
          <cell r="A164" t="str">
            <v>FEB 2015</v>
          </cell>
          <cell r="C164" t="str">
            <v>KUUM_492</v>
          </cell>
          <cell r="E164">
            <v>2</v>
          </cell>
        </row>
        <row r="165">
          <cell r="A165" t="str">
            <v>FEB 2015</v>
          </cell>
          <cell r="C165" t="str">
            <v>KUUM_493</v>
          </cell>
          <cell r="E165">
            <v>43</v>
          </cell>
        </row>
        <row r="166">
          <cell r="A166" t="str">
            <v>FEB 2015</v>
          </cell>
          <cell r="C166" t="str">
            <v>KUUM_494</v>
          </cell>
          <cell r="E166">
            <v>179</v>
          </cell>
        </row>
        <row r="167">
          <cell r="A167" t="str">
            <v>FEB 2015</v>
          </cell>
          <cell r="C167" t="str">
            <v>KUUM_495</v>
          </cell>
          <cell r="E167">
            <v>624</v>
          </cell>
        </row>
        <row r="168">
          <cell r="A168" t="str">
            <v>FEB 2015</v>
          </cell>
          <cell r="C168" t="str">
            <v>KUUM_496</v>
          </cell>
          <cell r="E168">
            <v>156</v>
          </cell>
        </row>
        <row r="169">
          <cell r="A169" t="str">
            <v>FEB 2015</v>
          </cell>
          <cell r="C169" t="str">
            <v>KUUM_497</v>
          </cell>
          <cell r="E169">
            <v>8</v>
          </cell>
        </row>
        <row r="170">
          <cell r="A170" t="str">
            <v>FEB 2015</v>
          </cell>
          <cell r="C170" t="str">
            <v>KUUM_498</v>
          </cell>
          <cell r="E170">
            <v>30</v>
          </cell>
        </row>
        <row r="171">
          <cell r="A171" t="str">
            <v>FEB 2015</v>
          </cell>
          <cell r="C171" t="str">
            <v>KUUM_499</v>
          </cell>
          <cell r="E171">
            <v>24</v>
          </cell>
        </row>
        <row r="172">
          <cell r="A172" t="str">
            <v>FEB 2015</v>
          </cell>
          <cell r="C172" t="str">
            <v>Result</v>
          </cell>
          <cell r="E172">
            <v>168707</v>
          </cell>
        </row>
        <row r="174">
          <cell r="A174" t="str">
            <v>Revenue Period</v>
          </cell>
          <cell r="C174" t="str">
            <v>Rate Category</v>
          </cell>
        </row>
        <row r="175">
          <cell r="A175" t="str">
            <v>MAR 2014</v>
          </cell>
          <cell r="C175" t="str">
            <v>KTUM_406</v>
          </cell>
          <cell r="E175">
            <v>2</v>
          </cell>
        </row>
        <row r="176">
          <cell r="A176" t="str">
            <v>MAR 2014</v>
          </cell>
          <cell r="C176" t="str">
            <v>KTUM_428</v>
          </cell>
          <cell r="E176">
            <v>1</v>
          </cell>
        </row>
        <row r="177">
          <cell r="A177" t="str">
            <v>MAR 2014</v>
          </cell>
          <cell r="C177" t="str">
            <v>KUUM_360</v>
          </cell>
          <cell r="E177">
            <v>178</v>
          </cell>
        </row>
        <row r="178">
          <cell r="A178" t="str">
            <v>MAR 2014</v>
          </cell>
          <cell r="C178" t="str">
            <v>KUUM_361</v>
          </cell>
          <cell r="E178">
            <v>25</v>
          </cell>
        </row>
        <row r="179">
          <cell r="A179" t="str">
            <v>MAR 2014</v>
          </cell>
          <cell r="C179" t="str">
            <v>KUUM_362</v>
          </cell>
          <cell r="E179">
            <v>43</v>
          </cell>
        </row>
        <row r="180">
          <cell r="A180" t="str">
            <v>MAR 2014</v>
          </cell>
          <cell r="C180" t="str">
            <v>KUUM_363</v>
          </cell>
          <cell r="E180">
            <v>5</v>
          </cell>
        </row>
        <row r="181">
          <cell r="A181" t="str">
            <v>MAR 2014</v>
          </cell>
          <cell r="C181" t="str">
            <v>KUUM_364</v>
          </cell>
          <cell r="E181">
            <v>1</v>
          </cell>
        </row>
        <row r="182">
          <cell r="A182" t="str">
            <v>MAR 2014</v>
          </cell>
          <cell r="C182" t="str">
            <v>KUUM_365</v>
          </cell>
          <cell r="E182">
            <v>5</v>
          </cell>
        </row>
        <row r="183">
          <cell r="A183" t="str">
            <v>MAR 2014</v>
          </cell>
          <cell r="C183" t="str">
            <v>KUUM_366</v>
          </cell>
          <cell r="E183">
            <v>9</v>
          </cell>
        </row>
        <row r="184">
          <cell r="A184" t="str">
            <v>MAR 2014</v>
          </cell>
          <cell r="C184" t="str">
            <v>KUUM_367</v>
          </cell>
          <cell r="E184">
            <v>25</v>
          </cell>
        </row>
        <row r="185">
          <cell r="A185" t="str">
            <v>MAR 2014</v>
          </cell>
          <cell r="C185" t="str">
            <v>KUUM_368</v>
          </cell>
          <cell r="E185">
            <v>1</v>
          </cell>
        </row>
        <row r="186">
          <cell r="A186" t="str">
            <v>MAR 2014</v>
          </cell>
          <cell r="C186" t="str">
            <v>KUUM_370</v>
          </cell>
          <cell r="E186">
            <v>15</v>
          </cell>
        </row>
        <row r="187">
          <cell r="A187" t="str">
            <v>MAR 2014</v>
          </cell>
          <cell r="C187" t="str">
            <v>KUUM_372</v>
          </cell>
          <cell r="E187">
            <v>1</v>
          </cell>
        </row>
        <row r="188">
          <cell r="A188" t="str">
            <v>MAR 2014</v>
          </cell>
          <cell r="C188" t="str">
            <v>KUUM_373</v>
          </cell>
          <cell r="E188">
            <v>20</v>
          </cell>
        </row>
        <row r="189">
          <cell r="A189" t="str">
            <v>MAR 2014</v>
          </cell>
          <cell r="C189" t="str">
            <v>KUUM_374</v>
          </cell>
          <cell r="E189">
            <v>4</v>
          </cell>
        </row>
        <row r="190">
          <cell r="A190" t="str">
            <v>MAR 2014</v>
          </cell>
          <cell r="C190" t="str">
            <v>KUUM_375</v>
          </cell>
          <cell r="E190">
            <v>3</v>
          </cell>
        </row>
        <row r="191">
          <cell r="A191" t="str">
            <v>MAR 2014</v>
          </cell>
          <cell r="C191" t="str">
            <v>KUUM_376</v>
          </cell>
          <cell r="E191">
            <v>2</v>
          </cell>
        </row>
        <row r="192">
          <cell r="A192" t="str">
            <v>MAR 2014</v>
          </cell>
          <cell r="C192" t="str">
            <v>KUUM_377</v>
          </cell>
          <cell r="E192">
            <v>51</v>
          </cell>
        </row>
        <row r="193">
          <cell r="A193" t="str">
            <v>MAR 2014</v>
          </cell>
          <cell r="C193" t="str">
            <v>KUUM_378</v>
          </cell>
          <cell r="E193">
            <v>2</v>
          </cell>
        </row>
        <row r="194">
          <cell r="A194" t="str">
            <v>MAR 2014</v>
          </cell>
          <cell r="C194" t="str">
            <v>KUUM_401</v>
          </cell>
          <cell r="E194">
            <v>52</v>
          </cell>
        </row>
        <row r="195">
          <cell r="A195" t="str">
            <v>MAR 2014</v>
          </cell>
          <cell r="C195" t="str">
            <v>KUUM_404</v>
          </cell>
          <cell r="E195">
            <v>7282</v>
          </cell>
        </row>
        <row r="196">
          <cell r="A196" t="str">
            <v>MAR 2014</v>
          </cell>
          <cell r="C196" t="str">
            <v>KUUM_409</v>
          </cell>
          <cell r="E196">
            <v>143</v>
          </cell>
        </row>
        <row r="197">
          <cell r="A197" t="str">
            <v>MAR 2014</v>
          </cell>
          <cell r="C197" t="str">
            <v>KUUM_410</v>
          </cell>
          <cell r="E197">
            <v>240</v>
          </cell>
        </row>
        <row r="198">
          <cell r="A198" t="str">
            <v>MAR 2014</v>
          </cell>
          <cell r="C198" t="str">
            <v>KUUM_411</v>
          </cell>
          <cell r="E198">
            <v>145</v>
          </cell>
        </row>
        <row r="199">
          <cell r="A199" t="str">
            <v>MAR 2014</v>
          </cell>
          <cell r="C199" t="str">
            <v>KUUM_412</v>
          </cell>
          <cell r="E199">
            <v>28</v>
          </cell>
        </row>
        <row r="200">
          <cell r="A200" t="str">
            <v>MAR 2014</v>
          </cell>
          <cell r="C200" t="str">
            <v>KUUM_413</v>
          </cell>
          <cell r="E200">
            <v>96</v>
          </cell>
        </row>
        <row r="201">
          <cell r="A201" t="str">
            <v>MAR 2014</v>
          </cell>
          <cell r="C201" t="str">
            <v>KUUM_414</v>
          </cell>
          <cell r="E201">
            <v>21</v>
          </cell>
        </row>
        <row r="202">
          <cell r="A202" t="str">
            <v>MAR 2014</v>
          </cell>
          <cell r="C202" t="str">
            <v>KUUM_415</v>
          </cell>
          <cell r="E202">
            <v>10</v>
          </cell>
        </row>
        <row r="203">
          <cell r="A203" t="str">
            <v>MAR 2014</v>
          </cell>
          <cell r="C203" t="str">
            <v>KUUM_420</v>
          </cell>
          <cell r="E203">
            <v>466</v>
          </cell>
        </row>
        <row r="204">
          <cell r="A204" t="str">
            <v>MAR 2014</v>
          </cell>
          <cell r="C204" t="str">
            <v>KUUM_421</v>
          </cell>
          <cell r="E204">
            <v>5</v>
          </cell>
        </row>
        <row r="205">
          <cell r="A205" t="str">
            <v>MAR 2014</v>
          </cell>
          <cell r="C205" t="str">
            <v>KUUM_422</v>
          </cell>
          <cell r="E205">
            <v>678</v>
          </cell>
        </row>
        <row r="206">
          <cell r="A206" t="str">
            <v>MAR 2014</v>
          </cell>
          <cell r="C206" t="str">
            <v>KUUM_424</v>
          </cell>
          <cell r="E206">
            <v>70</v>
          </cell>
        </row>
        <row r="207">
          <cell r="A207" t="str">
            <v>MAR 2014</v>
          </cell>
          <cell r="C207" t="str">
            <v>KUUM_425</v>
          </cell>
          <cell r="E207">
            <v>2</v>
          </cell>
        </row>
        <row r="208">
          <cell r="A208" t="str">
            <v>MAR 2014</v>
          </cell>
          <cell r="C208" t="str">
            <v>KUUM_426</v>
          </cell>
          <cell r="E208">
            <v>170</v>
          </cell>
        </row>
        <row r="209">
          <cell r="A209" t="str">
            <v>MAR 2014</v>
          </cell>
          <cell r="C209" t="str">
            <v>KUUM_428</v>
          </cell>
          <cell r="E209">
            <v>36742</v>
          </cell>
        </row>
        <row r="210">
          <cell r="A210" t="str">
            <v>MAR 2014</v>
          </cell>
          <cell r="C210" t="str">
            <v>KUUM_429</v>
          </cell>
          <cell r="E210">
            <v>0</v>
          </cell>
        </row>
        <row r="211">
          <cell r="A211" t="str">
            <v>MAR 2014</v>
          </cell>
          <cell r="C211" t="str">
            <v>KUUM_430</v>
          </cell>
          <cell r="E211">
            <v>1180</v>
          </cell>
        </row>
        <row r="212">
          <cell r="A212" t="str">
            <v>MAR 2014</v>
          </cell>
          <cell r="C212" t="str">
            <v>KUUM_434</v>
          </cell>
          <cell r="E212">
            <v>5</v>
          </cell>
        </row>
        <row r="213">
          <cell r="A213" t="str">
            <v>MAR 2014</v>
          </cell>
          <cell r="C213" t="str">
            <v>KUUM_440</v>
          </cell>
          <cell r="E213">
            <v>2</v>
          </cell>
        </row>
        <row r="214">
          <cell r="A214" t="str">
            <v>MAR 2014</v>
          </cell>
          <cell r="C214" t="str">
            <v>KUUM_446</v>
          </cell>
          <cell r="E214">
            <v>1087</v>
          </cell>
        </row>
        <row r="215">
          <cell r="A215" t="str">
            <v>MAR 2014</v>
          </cell>
          <cell r="C215" t="str">
            <v>KUUM_447</v>
          </cell>
          <cell r="E215">
            <v>744</v>
          </cell>
        </row>
        <row r="216">
          <cell r="A216" t="str">
            <v>MAR 2014</v>
          </cell>
          <cell r="C216" t="str">
            <v>KUUM_448</v>
          </cell>
          <cell r="E216">
            <v>1487</v>
          </cell>
        </row>
        <row r="217">
          <cell r="A217" t="str">
            <v>MAR 2014</v>
          </cell>
          <cell r="C217" t="str">
            <v>KUUM_450</v>
          </cell>
          <cell r="E217">
            <v>664</v>
          </cell>
        </row>
        <row r="218">
          <cell r="A218" t="str">
            <v>MAR 2014</v>
          </cell>
          <cell r="C218" t="str">
            <v>KUUM_451</v>
          </cell>
          <cell r="E218">
            <v>5148</v>
          </cell>
        </row>
        <row r="219">
          <cell r="A219" t="str">
            <v>MAR 2014</v>
          </cell>
          <cell r="C219" t="str">
            <v>KUUM_452</v>
          </cell>
          <cell r="E219">
            <v>1044</v>
          </cell>
        </row>
        <row r="220">
          <cell r="A220" t="str">
            <v>MAR 2014</v>
          </cell>
          <cell r="C220" t="str">
            <v>KUUM_454</v>
          </cell>
          <cell r="E220">
            <v>151</v>
          </cell>
        </row>
        <row r="221">
          <cell r="A221" t="str">
            <v>MAR 2014</v>
          </cell>
          <cell r="C221" t="str">
            <v>KUUM_455</v>
          </cell>
          <cell r="E221">
            <v>1035</v>
          </cell>
        </row>
        <row r="222">
          <cell r="A222" t="str">
            <v>MAR 2014</v>
          </cell>
          <cell r="C222" t="str">
            <v>KUUM_456</v>
          </cell>
          <cell r="E222">
            <v>140</v>
          </cell>
        </row>
        <row r="223">
          <cell r="A223" t="str">
            <v>MAR 2014</v>
          </cell>
          <cell r="C223" t="str">
            <v>KUUM_457</v>
          </cell>
          <cell r="E223">
            <v>454</v>
          </cell>
        </row>
        <row r="224">
          <cell r="A224" t="str">
            <v>MAR 2014</v>
          </cell>
          <cell r="C224" t="str">
            <v>KUUM_458</v>
          </cell>
          <cell r="E224">
            <v>1480</v>
          </cell>
        </row>
        <row r="225">
          <cell r="A225" t="str">
            <v>MAR 2014</v>
          </cell>
          <cell r="C225" t="str">
            <v>KUUM_459</v>
          </cell>
          <cell r="E225">
            <v>228</v>
          </cell>
        </row>
        <row r="226">
          <cell r="A226" t="str">
            <v>MAR 2014</v>
          </cell>
          <cell r="C226" t="str">
            <v>KUUM_460</v>
          </cell>
          <cell r="E226">
            <v>27</v>
          </cell>
        </row>
        <row r="227">
          <cell r="A227" t="str">
            <v>MAR 2014</v>
          </cell>
          <cell r="C227" t="str">
            <v>KUUM_461</v>
          </cell>
          <cell r="E227">
            <v>6930</v>
          </cell>
        </row>
        <row r="228">
          <cell r="A228" t="str">
            <v>MAR 2014</v>
          </cell>
          <cell r="C228" t="str">
            <v>KUUM_462</v>
          </cell>
          <cell r="E228">
            <v>8850</v>
          </cell>
        </row>
        <row r="229">
          <cell r="A229" t="str">
            <v>MAR 2014</v>
          </cell>
          <cell r="C229" t="str">
            <v>KUUM_463</v>
          </cell>
          <cell r="E229">
            <v>20622</v>
          </cell>
        </row>
        <row r="230">
          <cell r="A230" t="str">
            <v>MAR 2014</v>
          </cell>
          <cell r="C230" t="str">
            <v>KUUM_464</v>
          </cell>
          <cell r="E230">
            <v>7602</v>
          </cell>
        </row>
        <row r="231">
          <cell r="A231" t="str">
            <v>MAR 2014</v>
          </cell>
          <cell r="C231" t="str">
            <v>KUUM_465</v>
          </cell>
          <cell r="E231">
            <v>2814</v>
          </cell>
        </row>
        <row r="232">
          <cell r="A232" t="str">
            <v>MAR 2014</v>
          </cell>
          <cell r="C232" t="str">
            <v>KUUM_466</v>
          </cell>
          <cell r="E232">
            <v>858</v>
          </cell>
        </row>
        <row r="233">
          <cell r="A233" t="str">
            <v>MAR 2014</v>
          </cell>
          <cell r="C233" t="str">
            <v>KUUM_467</v>
          </cell>
          <cell r="E233">
            <v>1355</v>
          </cell>
        </row>
        <row r="234">
          <cell r="A234" t="str">
            <v>MAR 2014</v>
          </cell>
          <cell r="C234" t="str">
            <v>KUUM_468</v>
          </cell>
          <cell r="E234">
            <v>3990</v>
          </cell>
        </row>
        <row r="235">
          <cell r="A235" t="str">
            <v>MAR 2014</v>
          </cell>
          <cell r="C235" t="str">
            <v>KUUM_469</v>
          </cell>
          <cell r="E235">
            <v>292</v>
          </cell>
        </row>
        <row r="236">
          <cell r="A236" t="str">
            <v>MAR 2014</v>
          </cell>
          <cell r="C236" t="str">
            <v>KUUM_470</v>
          </cell>
          <cell r="E236">
            <v>61</v>
          </cell>
        </row>
        <row r="237">
          <cell r="A237" t="str">
            <v>MAR 2014</v>
          </cell>
          <cell r="C237" t="str">
            <v>KUUM_471</v>
          </cell>
          <cell r="E237">
            <v>3673</v>
          </cell>
        </row>
        <row r="238">
          <cell r="A238" t="str">
            <v>MAR 2014</v>
          </cell>
          <cell r="C238" t="str">
            <v>KUUM_472</v>
          </cell>
          <cell r="E238">
            <v>8736</v>
          </cell>
        </row>
        <row r="239">
          <cell r="A239" t="str">
            <v>MAR 2014</v>
          </cell>
          <cell r="C239" t="str">
            <v>KUUM_473</v>
          </cell>
          <cell r="E239">
            <v>3398</v>
          </cell>
        </row>
        <row r="240">
          <cell r="A240" t="str">
            <v>MAR 2014</v>
          </cell>
          <cell r="C240" t="str">
            <v>KUUM_474</v>
          </cell>
          <cell r="E240">
            <v>5158</v>
          </cell>
        </row>
        <row r="241">
          <cell r="A241" t="str">
            <v>MAR 2014</v>
          </cell>
          <cell r="C241" t="str">
            <v>KUUM_475</v>
          </cell>
          <cell r="E241">
            <v>514</v>
          </cell>
        </row>
        <row r="242">
          <cell r="A242" t="str">
            <v>MAR 2014</v>
          </cell>
          <cell r="C242" t="str">
            <v>KUUM_476</v>
          </cell>
          <cell r="E242">
            <v>4569</v>
          </cell>
        </row>
        <row r="243">
          <cell r="A243" t="str">
            <v>MAR 2014</v>
          </cell>
          <cell r="C243" t="str">
            <v>KUUM_477</v>
          </cell>
          <cell r="E243">
            <v>1063</v>
          </cell>
        </row>
        <row r="244">
          <cell r="A244" t="str">
            <v>MAR 2014</v>
          </cell>
          <cell r="C244" t="str">
            <v>KUUM_478</v>
          </cell>
          <cell r="E244">
            <v>1419</v>
          </cell>
        </row>
        <row r="245">
          <cell r="A245" t="str">
            <v>MAR 2014</v>
          </cell>
          <cell r="C245" t="str">
            <v>KUUM_479</v>
          </cell>
          <cell r="E245">
            <v>961</v>
          </cell>
        </row>
        <row r="246">
          <cell r="A246" t="str">
            <v>MAR 2014</v>
          </cell>
          <cell r="C246" t="str">
            <v>KUUM_487</v>
          </cell>
          <cell r="E246">
            <v>11143</v>
          </cell>
        </row>
        <row r="247">
          <cell r="A247" t="str">
            <v>MAR 2014</v>
          </cell>
          <cell r="C247" t="str">
            <v>KUUM_488</v>
          </cell>
          <cell r="E247">
            <v>6431</v>
          </cell>
        </row>
        <row r="248">
          <cell r="A248" t="str">
            <v>MAR 2014</v>
          </cell>
          <cell r="C248" t="str">
            <v>KUUM_489</v>
          </cell>
          <cell r="E248">
            <v>8182</v>
          </cell>
        </row>
        <row r="249">
          <cell r="A249" t="str">
            <v>MAR 2014</v>
          </cell>
          <cell r="C249" t="str">
            <v>KUUM_490</v>
          </cell>
          <cell r="E249">
            <v>58</v>
          </cell>
        </row>
        <row r="250">
          <cell r="A250" t="str">
            <v>MAR 2014</v>
          </cell>
          <cell r="C250" t="str">
            <v>KUUM_491</v>
          </cell>
          <cell r="E250">
            <v>314</v>
          </cell>
        </row>
        <row r="251">
          <cell r="A251" t="str">
            <v>MAR 2014</v>
          </cell>
          <cell r="C251" t="str">
            <v>KUUM_492</v>
          </cell>
          <cell r="E251">
            <v>2</v>
          </cell>
        </row>
        <row r="252">
          <cell r="A252" t="str">
            <v>MAR 2014</v>
          </cell>
          <cell r="C252" t="str">
            <v>KUUM_493</v>
          </cell>
          <cell r="E252">
            <v>43</v>
          </cell>
        </row>
        <row r="253">
          <cell r="A253" t="str">
            <v>MAR 2014</v>
          </cell>
          <cell r="C253" t="str">
            <v>KUUM_494</v>
          </cell>
          <cell r="E253">
            <v>168</v>
          </cell>
        </row>
        <row r="254">
          <cell r="A254" t="str">
            <v>MAR 2014</v>
          </cell>
          <cell r="C254" t="str">
            <v>KUUM_495</v>
          </cell>
          <cell r="E254">
            <v>626</v>
          </cell>
        </row>
        <row r="255">
          <cell r="A255" t="str">
            <v>MAR 2014</v>
          </cell>
          <cell r="C255" t="str">
            <v>KUUM_496</v>
          </cell>
          <cell r="E255">
            <v>157</v>
          </cell>
        </row>
        <row r="256">
          <cell r="A256" t="str">
            <v>MAR 2014</v>
          </cell>
          <cell r="C256" t="str">
            <v>KUUM_497</v>
          </cell>
          <cell r="E256">
            <v>10</v>
          </cell>
        </row>
        <row r="257">
          <cell r="A257" t="str">
            <v>MAR 2014</v>
          </cell>
          <cell r="C257" t="str">
            <v>KUUM_498</v>
          </cell>
          <cell r="E257">
            <v>30</v>
          </cell>
        </row>
        <row r="258">
          <cell r="A258" t="str">
            <v>MAR 2014</v>
          </cell>
          <cell r="C258" t="str">
            <v>KUUM_499</v>
          </cell>
          <cell r="E258">
            <v>24</v>
          </cell>
        </row>
        <row r="259">
          <cell r="A259" t="str">
            <v>MAR 2014</v>
          </cell>
          <cell r="C259" t="str">
            <v>Result</v>
          </cell>
          <cell r="E259">
            <v>171472</v>
          </cell>
        </row>
        <row r="260">
          <cell r="E260" t="str">
            <v># Lights at start of Period</v>
          </cell>
        </row>
        <row r="261">
          <cell r="A261" t="str">
            <v>Revenue Period</v>
          </cell>
          <cell r="C261" t="str">
            <v>Rate Category</v>
          </cell>
        </row>
        <row r="262">
          <cell r="A262" t="str">
            <v>APR 2014</v>
          </cell>
          <cell r="C262" t="str">
            <v>KTUM_406</v>
          </cell>
          <cell r="E262">
            <v>2</v>
          </cell>
        </row>
        <row r="263">
          <cell r="A263" t="str">
            <v>APR 2014</v>
          </cell>
          <cell r="C263" t="str">
            <v>KTUM_428</v>
          </cell>
          <cell r="E263">
            <v>1</v>
          </cell>
        </row>
        <row r="264">
          <cell r="A264" t="str">
            <v>APR 2014</v>
          </cell>
          <cell r="C264" t="str">
            <v>KUUM_360</v>
          </cell>
          <cell r="E264">
            <v>178</v>
          </cell>
        </row>
        <row r="265">
          <cell r="A265" t="str">
            <v>APR 2014</v>
          </cell>
          <cell r="C265" t="str">
            <v>KUUM_361</v>
          </cell>
          <cell r="E265">
            <v>25</v>
          </cell>
        </row>
        <row r="266">
          <cell r="A266" t="str">
            <v>APR 2014</v>
          </cell>
          <cell r="C266" t="str">
            <v>KUUM_362</v>
          </cell>
          <cell r="E266">
            <v>43</v>
          </cell>
        </row>
        <row r="267">
          <cell r="A267" t="str">
            <v>APR 2014</v>
          </cell>
          <cell r="C267" t="str">
            <v>KUUM_363</v>
          </cell>
          <cell r="E267">
            <v>5</v>
          </cell>
        </row>
        <row r="268">
          <cell r="A268" t="str">
            <v>APR 2014</v>
          </cell>
          <cell r="C268" t="str">
            <v>KUUM_364</v>
          </cell>
          <cell r="E268">
            <v>1</v>
          </cell>
        </row>
        <row r="269">
          <cell r="A269" t="str">
            <v>APR 2014</v>
          </cell>
          <cell r="C269" t="str">
            <v>KUUM_365</v>
          </cell>
          <cell r="E269">
            <v>5</v>
          </cell>
        </row>
        <row r="270">
          <cell r="A270" t="str">
            <v>APR 2014</v>
          </cell>
          <cell r="C270" t="str">
            <v>KUUM_366</v>
          </cell>
          <cell r="E270">
            <v>9</v>
          </cell>
        </row>
        <row r="271">
          <cell r="A271" t="str">
            <v>APR 2014</v>
          </cell>
          <cell r="C271" t="str">
            <v>KUUM_367</v>
          </cell>
          <cell r="E271">
            <v>25</v>
          </cell>
        </row>
        <row r="272">
          <cell r="A272" t="str">
            <v>APR 2014</v>
          </cell>
          <cell r="C272" t="str">
            <v>KUUM_368</v>
          </cell>
          <cell r="E272">
            <v>1</v>
          </cell>
        </row>
        <row r="273">
          <cell r="A273" t="str">
            <v>APR 2014</v>
          </cell>
          <cell r="C273" t="str">
            <v>KUUM_370</v>
          </cell>
          <cell r="E273">
            <v>15</v>
          </cell>
        </row>
        <row r="274">
          <cell r="A274" t="str">
            <v>APR 2014</v>
          </cell>
          <cell r="C274" t="str">
            <v>KUUM_372</v>
          </cell>
          <cell r="E274">
            <v>1</v>
          </cell>
        </row>
        <row r="275">
          <cell r="A275" t="str">
            <v>APR 2014</v>
          </cell>
          <cell r="C275" t="str">
            <v>KUUM_373</v>
          </cell>
          <cell r="E275">
            <v>20</v>
          </cell>
        </row>
        <row r="276">
          <cell r="A276" t="str">
            <v>APR 2014</v>
          </cell>
          <cell r="C276" t="str">
            <v>KUUM_374</v>
          </cell>
          <cell r="E276">
            <v>4</v>
          </cell>
        </row>
        <row r="277">
          <cell r="A277" t="str">
            <v>APR 2014</v>
          </cell>
          <cell r="C277" t="str">
            <v>KUUM_375</v>
          </cell>
          <cell r="E277">
            <v>3</v>
          </cell>
        </row>
        <row r="278">
          <cell r="A278" t="str">
            <v>APR 2014</v>
          </cell>
          <cell r="C278" t="str">
            <v>KUUM_376</v>
          </cell>
          <cell r="E278">
            <v>2</v>
          </cell>
        </row>
        <row r="279">
          <cell r="A279" t="str">
            <v>APR 2014</v>
          </cell>
          <cell r="C279" t="str">
            <v>KUUM_377</v>
          </cell>
          <cell r="E279">
            <v>51</v>
          </cell>
        </row>
        <row r="280">
          <cell r="A280" t="str">
            <v>APR 2014</v>
          </cell>
          <cell r="C280" t="str">
            <v>KUUM_378</v>
          </cell>
          <cell r="E280">
            <v>2</v>
          </cell>
        </row>
        <row r="281">
          <cell r="A281" t="str">
            <v>APR 2014</v>
          </cell>
          <cell r="C281" t="str">
            <v>KUUM_401</v>
          </cell>
          <cell r="E281">
            <v>52</v>
          </cell>
        </row>
        <row r="282">
          <cell r="A282" t="str">
            <v>APR 2014</v>
          </cell>
          <cell r="C282" t="str">
            <v>KUUM_404</v>
          </cell>
          <cell r="E282">
            <v>7206</v>
          </cell>
        </row>
        <row r="283">
          <cell r="A283" t="str">
            <v>APR 2014</v>
          </cell>
          <cell r="C283" t="str">
            <v>KUUM_407</v>
          </cell>
          <cell r="E283">
            <v>0</v>
          </cell>
        </row>
        <row r="284">
          <cell r="A284" t="str">
            <v>APR 2014</v>
          </cell>
          <cell r="C284" t="str">
            <v>KUUM_409</v>
          </cell>
          <cell r="E284">
            <v>141</v>
          </cell>
        </row>
        <row r="285">
          <cell r="A285" t="str">
            <v>APR 2014</v>
          </cell>
          <cell r="C285" t="str">
            <v>KUUM_410</v>
          </cell>
          <cell r="E285">
            <v>240</v>
          </cell>
        </row>
        <row r="286">
          <cell r="A286" t="str">
            <v>APR 2014</v>
          </cell>
          <cell r="C286" t="str">
            <v>KUUM_411</v>
          </cell>
          <cell r="E286">
            <v>150</v>
          </cell>
        </row>
        <row r="287">
          <cell r="A287" t="str">
            <v>APR 2014</v>
          </cell>
          <cell r="C287" t="str">
            <v>KUUM_412</v>
          </cell>
          <cell r="E287">
            <v>28</v>
          </cell>
        </row>
        <row r="288">
          <cell r="A288" t="str">
            <v>APR 2014</v>
          </cell>
          <cell r="C288" t="str">
            <v>KUUM_413</v>
          </cell>
          <cell r="E288">
            <v>96</v>
          </cell>
        </row>
        <row r="289">
          <cell r="A289" t="str">
            <v>APR 2014</v>
          </cell>
          <cell r="C289" t="str">
            <v>KUUM_414</v>
          </cell>
          <cell r="E289">
            <v>21</v>
          </cell>
        </row>
        <row r="290">
          <cell r="A290" t="str">
            <v>APR 2014</v>
          </cell>
          <cell r="C290" t="str">
            <v>KUUM_415</v>
          </cell>
          <cell r="E290">
            <v>10</v>
          </cell>
        </row>
        <row r="291">
          <cell r="A291" t="str">
            <v>APR 2014</v>
          </cell>
          <cell r="C291" t="str">
            <v>KUUM_420</v>
          </cell>
          <cell r="E291">
            <v>465</v>
          </cell>
        </row>
        <row r="292">
          <cell r="A292" t="str">
            <v>APR 2014</v>
          </cell>
          <cell r="C292" t="str">
            <v>KUUM_421</v>
          </cell>
          <cell r="E292">
            <v>5</v>
          </cell>
        </row>
        <row r="293">
          <cell r="A293" t="str">
            <v>APR 2014</v>
          </cell>
          <cell r="C293" t="str">
            <v>KUUM_422</v>
          </cell>
          <cell r="E293">
            <v>676</v>
          </cell>
        </row>
        <row r="294">
          <cell r="A294" t="str">
            <v>APR 2014</v>
          </cell>
          <cell r="C294" t="str">
            <v>KUUM_424</v>
          </cell>
          <cell r="E294">
            <v>65</v>
          </cell>
        </row>
        <row r="295">
          <cell r="A295" t="str">
            <v>APR 2014</v>
          </cell>
          <cell r="C295" t="str">
            <v>KUUM_425</v>
          </cell>
          <cell r="E295">
            <v>2</v>
          </cell>
        </row>
        <row r="296">
          <cell r="A296" t="str">
            <v>APR 2014</v>
          </cell>
          <cell r="C296" t="str">
            <v>KUUM_426</v>
          </cell>
          <cell r="E296">
            <v>172</v>
          </cell>
        </row>
        <row r="297">
          <cell r="A297" t="str">
            <v>APR 2014</v>
          </cell>
          <cell r="C297" t="str">
            <v>KUUM_428</v>
          </cell>
          <cell r="E297">
            <v>36644</v>
          </cell>
        </row>
        <row r="298">
          <cell r="A298" t="str">
            <v>APR 2014</v>
          </cell>
          <cell r="C298" t="str">
            <v>KUUM_430</v>
          </cell>
          <cell r="E298">
            <v>1180</v>
          </cell>
        </row>
        <row r="299">
          <cell r="A299" t="str">
            <v>APR 2014</v>
          </cell>
          <cell r="C299" t="str">
            <v>KUUM_434</v>
          </cell>
          <cell r="E299">
            <v>5</v>
          </cell>
        </row>
        <row r="300">
          <cell r="A300" t="str">
            <v>APR 2014</v>
          </cell>
          <cell r="C300" t="str">
            <v>KUUM_440</v>
          </cell>
          <cell r="E300">
            <v>2</v>
          </cell>
        </row>
        <row r="301">
          <cell r="A301" t="str">
            <v>APR 2014</v>
          </cell>
          <cell r="C301" t="str">
            <v>KUUM_446</v>
          </cell>
          <cell r="E301">
            <v>1081</v>
          </cell>
        </row>
        <row r="302">
          <cell r="A302" t="str">
            <v>APR 2014</v>
          </cell>
          <cell r="C302" t="str">
            <v>KUUM_447</v>
          </cell>
          <cell r="E302">
            <v>742</v>
          </cell>
        </row>
        <row r="303">
          <cell r="A303" t="str">
            <v>APR 2014</v>
          </cell>
          <cell r="C303" t="str">
            <v>KUUM_448</v>
          </cell>
          <cell r="E303">
            <v>1480</v>
          </cell>
        </row>
        <row r="304">
          <cell r="A304" t="str">
            <v>APR 2014</v>
          </cell>
          <cell r="C304" t="str">
            <v>KUUM_450</v>
          </cell>
          <cell r="E304">
            <v>660</v>
          </cell>
        </row>
        <row r="305">
          <cell r="A305" t="str">
            <v>APR 2014</v>
          </cell>
          <cell r="C305" t="str">
            <v>KUUM_451</v>
          </cell>
          <cell r="E305">
            <v>5128</v>
          </cell>
        </row>
        <row r="306">
          <cell r="A306" t="str">
            <v>APR 2014</v>
          </cell>
          <cell r="C306" t="str">
            <v>KUUM_452</v>
          </cell>
          <cell r="E306">
            <v>1045</v>
          </cell>
        </row>
        <row r="307">
          <cell r="A307" t="str">
            <v>APR 2014</v>
          </cell>
          <cell r="C307" t="str">
            <v>KUUM_454</v>
          </cell>
          <cell r="E307">
            <v>150</v>
          </cell>
        </row>
        <row r="308">
          <cell r="A308" t="str">
            <v>APR 2014</v>
          </cell>
          <cell r="C308" t="str">
            <v>KUUM_455</v>
          </cell>
          <cell r="E308">
            <v>1022</v>
          </cell>
        </row>
        <row r="309">
          <cell r="A309" t="str">
            <v>APR 2014</v>
          </cell>
          <cell r="C309" t="str">
            <v>KUUM_456</v>
          </cell>
          <cell r="E309">
            <v>140</v>
          </cell>
        </row>
        <row r="310">
          <cell r="A310" t="str">
            <v>APR 2014</v>
          </cell>
          <cell r="C310" t="str">
            <v>KUUM_457</v>
          </cell>
          <cell r="E310">
            <v>453</v>
          </cell>
        </row>
        <row r="311">
          <cell r="A311" t="str">
            <v>APR 2014</v>
          </cell>
          <cell r="C311" t="str">
            <v>KUUM_458</v>
          </cell>
          <cell r="E311">
            <v>1479</v>
          </cell>
        </row>
        <row r="312">
          <cell r="A312" t="str">
            <v>APR 2014</v>
          </cell>
          <cell r="C312" t="str">
            <v>KUUM_459</v>
          </cell>
          <cell r="E312">
            <v>224</v>
          </cell>
        </row>
        <row r="313">
          <cell r="A313" t="str">
            <v>APR 2014</v>
          </cell>
          <cell r="C313" t="str">
            <v>KUUM_460</v>
          </cell>
          <cell r="E313">
            <v>26</v>
          </cell>
        </row>
        <row r="314">
          <cell r="A314" t="str">
            <v>APR 2014</v>
          </cell>
          <cell r="C314" t="str">
            <v>KUUM_461</v>
          </cell>
          <cell r="E314">
            <v>6930</v>
          </cell>
        </row>
        <row r="315">
          <cell r="A315" t="str">
            <v>APR 2014</v>
          </cell>
          <cell r="C315" t="str">
            <v>KUUM_462</v>
          </cell>
          <cell r="E315">
            <v>8850</v>
          </cell>
        </row>
        <row r="316">
          <cell r="A316" t="str">
            <v>APR 2014</v>
          </cell>
          <cell r="C316" t="str">
            <v>KUUM_463</v>
          </cell>
          <cell r="E316">
            <v>19941</v>
          </cell>
        </row>
        <row r="317">
          <cell r="A317" t="str">
            <v>APR 2014</v>
          </cell>
          <cell r="C317" t="str">
            <v>KUUM_464</v>
          </cell>
          <cell r="E317">
            <v>7556</v>
          </cell>
        </row>
        <row r="318">
          <cell r="A318" t="str">
            <v>APR 2014</v>
          </cell>
          <cell r="C318" t="str">
            <v>KUUM_465</v>
          </cell>
          <cell r="E318">
            <v>2806</v>
          </cell>
        </row>
        <row r="319">
          <cell r="A319" t="str">
            <v>APR 2014</v>
          </cell>
          <cell r="C319" t="str">
            <v>KUUM_466</v>
          </cell>
          <cell r="E319">
            <v>854</v>
          </cell>
        </row>
        <row r="320">
          <cell r="A320" t="str">
            <v>APR 2014</v>
          </cell>
          <cell r="C320" t="str">
            <v>KUUM_467</v>
          </cell>
          <cell r="E320">
            <v>1355</v>
          </cell>
        </row>
        <row r="321">
          <cell r="A321" t="str">
            <v>APR 2014</v>
          </cell>
          <cell r="C321" t="str">
            <v>KUUM_468</v>
          </cell>
          <cell r="E321">
            <v>4025</v>
          </cell>
        </row>
        <row r="322">
          <cell r="A322" t="str">
            <v>APR 2014</v>
          </cell>
          <cell r="C322" t="str">
            <v>KUUM_469</v>
          </cell>
          <cell r="E322">
            <v>294</v>
          </cell>
        </row>
        <row r="323">
          <cell r="A323" t="str">
            <v>APR 2014</v>
          </cell>
          <cell r="C323" t="str">
            <v>KUUM_470</v>
          </cell>
          <cell r="E323">
            <v>61</v>
          </cell>
        </row>
        <row r="324">
          <cell r="A324" t="str">
            <v>APR 2014</v>
          </cell>
          <cell r="C324" t="str">
            <v>KUUM_471</v>
          </cell>
          <cell r="E324">
            <v>3666</v>
          </cell>
        </row>
        <row r="325">
          <cell r="A325" t="str">
            <v>APR 2014</v>
          </cell>
          <cell r="C325" t="str">
            <v>KUUM_472</v>
          </cell>
          <cell r="E325">
            <v>8743</v>
          </cell>
        </row>
        <row r="326">
          <cell r="A326" t="str">
            <v>APR 2014</v>
          </cell>
          <cell r="C326" t="str">
            <v>KUUM_473</v>
          </cell>
          <cell r="E326">
            <v>3396</v>
          </cell>
        </row>
        <row r="327">
          <cell r="A327" t="str">
            <v>APR 2014</v>
          </cell>
          <cell r="C327" t="str">
            <v>KUUM_474</v>
          </cell>
          <cell r="E327">
            <v>5167</v>
          </cell>
        </row>
        <row r="328">
          <cell r="A328" t="str">
            <v>APR 2014</v>
          </cell>
          <cell r="C328" t="str">
            <v>KUUM_475</v>
          </cell>
          <cell r="E328">
            <v>515</v>
          </cell>
        </row>
        <row r="329">
          <cell r="A329" t="str">
            <v>APR 2014</v>
          </cell>
          <cell r="C329" t="str">
            <v>KUUM_476</v>
          </cell>
          <cell r="E329">
            <v>4569</v>
          </cell>
        </row>
        <row r="330">
          <cell r="A330" t="str">
            <v>APR 2014</v>
          </cell>
          <cell r="C330" t="str">
            <v>KUUM_477</v>
          </cell>
          <cell r="E330">
            <v>1063</v>
          </cell>
        </row>
        <row r="331">
          <cell r="A331" t="str">
            <v>APR 2014</v>
          </cell>
          <cell r="C331" t="str">
            <v>KUUM_478</v>
          </cell>
          <cell r="E331">
            <v>1411</v>
          </cell>
        </row>
        <row r="332">
          <cell r="A332" t="str">
            <v>APR 2014</v>
          </cell>
          <cell r="C332" t="str">
            <v>KUUM_479</v>
          </cell>
          <cell r="E332">
            <v>951</v>
          </cell>
        </row>
        <row r="333">
          <cell r="A333" t="str">
            <v>APR 2014</v>
          </cell>
          <cell r="C333" t="str">
            <v>KUUM_487</v>
          </cell>
          <cell r="E333">
            <v>11147</v>
          </cell>
        </row>
        <row r="334">
          <cell r="A334" t="str">
            <v>APR 2014</v>
          </cell>
          <cell r="C334" t="str">
            <v>KUUM_488</v>
          </cell>
          <cell r="E334">
            <v>6632</v>
          </cell>
        </row>
        <row r="335">
          <cell r="A335" t="str">
            <v>APR 2014</v>
          </cell>
          <cell r="C335" t="str">
            <v>KUUM_489</v>
          </cell>
          <cell r="E335">
            <v>8347</v>
          </cell>
        </row>
        <row r="336">
          <cell r="A336" t="str">
            <v>APR 2014</v>
          </cell>
          <cell r="C336" t="str">
            <v>KUUM_490</v>
          </cell>
          <cell r="E336">
            <v>58</v>
          </cell>
        </row>
        <row r="337">
          <cell r="A337" t="str">
            <v>APR 2014</v>
          </cell>
          <cell r="C337" t="str">
            <v>KUUM_491</v>
          </cell>
          <cell r="E337">
            <v>301</v>
          </cell>
        </row>
        <row r="338">
          <cell r="A338" t="str">
            <v>APR 2014</v>
          </cell>
          <cell r="C338" t="str">
            <v>KUUM_492</v>
          </cell>
          <cell r="E338">
            <v>2</v>
          </cell>
        </row>
        <row r="339">
          <cell r="A339" t="str">
            <v>APR 2014</v>
          </cell>
          <cell r="C339" t="str">
            <v>KUUM_493</v>
          </cell>
          <cell r="E339">
            <v>43</v>
          </cell>
        </row>
        <row r="340">
          <cell r="A340" t="str">
            <v>APR 2014</v>
          </cell>
          <cell r="C340" t="str">
            <v>KUUM_494</v>
          </cell>
          <cell r="E340">
            <v>168</v>
          </cell>
        </row>
        <row r="341">
          <cell r="A341" t="str">
            <v>APR 2014</v>
          </cell>
          <cell r="C341" t="str">
            <v>KUUM_495</v>
          </cell>
          <cell r="E341">
            <v>620</v>
          </cell>
        </row>
        <row r="342">
          <cell r="A342" t="str">
            <v>APR 2014</v>
          </cell>
          <cell r="C342" t="str">
            <v>KUUM_496</v>
          </cell>
          <cell r="E342">
            <v>157</v>
          </cell>
        </row>
        <row r="343">
          <cell r="A343" t="str">
            <v>APR 2014</v>
          </cell>
          <cell r="C343" t="str">
            <v>KUUM_497</v>
          </cell>
          <cell r="E343">
            <v>10</v>
          </cell>
        </row>
        <row r="344">
          <cell r="A344" t="str">
            <v>APR 2014</v>
          </cell>
          <cell r="C344" t="str">
            <v>KUUM_498</v>
          </cell>
          <cell r="E344">
            <v>12</v>
          </cell>
        </row>
        <row r="345">
          <cell r="A345" t="str">
            <v>APR 2014</v>
          </cell>
          <cell r="C345" t="str">
            <v>KUUM_499</v>
          </cell>
          <cell r="E345">
            <v>24</v>
          </cell>
        </row>
        <row r="346">
          <cell r="A346" t="str">
            <v>APR 2014</v>
          </cell>
          <cell r="C346" t="str">
            <v>Result</v>
          </cell>
          <cell r="E346">
            <v>170857</v>
          </cell>
        </row>
        <row r="347">
          <cell r="E347" t="str">
            <v># Lights at start of Period</v>
          </cell>
        </row>
        <row r="348">
          <cell r="A348" t="str">
            <v>Revenue Period</v>
          </cell>
          <cell r="C348" t="str">
            <v>Rate Category</v>
          </cell>
        </row>
        <row r="349">
          <cell r="A349" t="str">
            <v>MAY 2014</v>
          </cell>
          <cell r="C349" t="str">
            <v>KTUM_406</v>
          </cell>
          <cell r="E349">
            <v>2</v>
          </cell>
        </row>
        <row r="350">
          <cell r="A350" t="str">
            <v>MAY 2014</v>
          </cell>
          <cell r="C350" t="str">
            <v>KTUM_428</v>
          </cell>
          <cell r="E350">
            <v>1</v>
          </cell>
        </row>
        <row r="351">
          <cell r="A351" t="str">
            <v>MAY 2014</v>
          </cell>
          <cell r="C351" t="str">
            <v>KUUM_360</v>
          </cell>
          <cell r="E351">
            <v>178</v>
          </cell>
        </row>
        <row r="352">
          <cell r="A352" t="str">
            <v>MAY 2014</v>
          </cell>
          <cell r="C352" t="str">
            <v>KUUM_361</v>
          </cell>
          <cell r="E352">
            <v>25</v>
          </cell>
        </row>
        <row r="353">
          <cell r="A353" t="str">
            <v>MAY 2014</v>
          </cell>
          <cell r="C353" t="str">
            <v>KUUM_362</v>
          </cell>
          <cell r="E353">
            <v>43</v>
          </cell>
        </row>
        <row r="354">
          <cell r="A354" t="str">
            <v>MAY 2014</v>
          </cell>
          <cell r="C354" t="str">
            <v>KUUM_363</v>
          </cell>
          <cell r="E354">
            <v>5</v>
          </cell>
        </row>
        <row r="355">
          <cell r="A355" t="str">
            <v>MAY 2014</v>
          </cell>
          <cell r="C355" t="str">
            <v>KUUM_364</v>
          </cell>
          <cell r="E355">
            <v>1</v>
          </cell>
        </row>
        <row r="356">
          <cell r="A356" t="str">
            <v>MAY 2014</v>
          </cell>
          <cell r="C356" t="str">
            <v>KUUM_365</v>
          </cell>
          <cell r="E356">
            <v>5</v>
          </cell>
        </row>
        <row r="357">
          <cell r="A357" t="str">
            <v>MAY 2014</v>
          </cell>
          <cell r="C357" t="str">
            <v>KUUM_366</v>
          </cell>
          <cell r="E357">
            <v>9</v>
          </cell>
        </row>
        <row r="358">
          <cell r="A358" t="str">
            <v>MAY 2014</v>
          </cell>
          <cell r="C358" t="str">
            <v>KUUM_367</v>
          </cell>
          <cell r="E358">
            <v>25</v>
          </cell>
        </row>
        <row r="359">
          <cell r="A359" t="str">
            <v>MAY 2014</v>
          </cell>
          <cell r="C359" t="str">
            <v>KUUM_368</v>
          </cell>
          <cell r="E359">
            <v>1</v>
          </cell>
        </row>
        <row r="360">
          <cell r="A360" t="str">
            <v>MAY 2014</v>
          </cell>
          <cell r="C360" t="str">
            <v>KUUM_370</v>
          </cell>
          <cell r="E360">
            <v>15</v>
          </cell>
        </row>
        <row r="361">
          <cell r="A361" t="str">
            <v>MAY 2014</v>
          </cell>
          <cell r="C361" t="str">
            <v>KUUM_372</v>
          </cell>
          <cell r="E361">
            <v>1</v>
          </cell>
        </row>
        <row r="362">
          <cell r="A362" t="str">
            <v>MAY 2014</v>
          </cell>
          <cell r="C362" t="str">
            <v>KUUM_373</v>
          </cell>
          <cell r="E362">
            <v>20</v>
          </cell>
        </row>
        <row r="363">
          <cell r="A363" t="str">
            <v>MAY 2014</v>
          </cell>
          <cell r="C363" t="str">
            <v>KUUM_374</v>
          </cell>
          <cell r="E363">
            <v>4</v>
          </cell>
        </row>
        <row r="364">
          <cell r="A364" t="str">
            <v>MAY 2014</v>
          </cell>
          <cell r="C364" t="str">
            <v>KUUM_375</v>
          </cell>
          <cell r="E364">
            <v>3</v>
          </cell>
        </row>
        <row r="365">
          <cell r="A365" t="str">
            <v>MAY 2014</v>
          </cell>
          <cell r="C365" t="str">
            <v>KUUM_376</v>
          </cell>
          <cell r="E365">
            <v>2</v>
          </cell>
        </row>
        <row r="366">
          <cell r="A366" t="str">
            <v>MAY 2014</v>
          </cell>
          <cell r="C366" t="str">
            <v>KUUM_377</v>
          </cell>
          <cell r="E366">
            <v>51</v>
          </cell>
        </row>
        <row r="367">
          <cell r="A367" t="str">
            <v>MAY 2014</v>
          </cell>
          <cell r="C367" t="str">
            <v>KUUM_378</v>
          </cell>
          <cell r="E367">
            <v>2</v>
          </cell>
        </row>
        <row r="368">
          <cell r="A368" t="str">
            <v>MAY 2014</v>
          </cell>
          <cell r="C368" t="str">
            <v>KUUM_401</v>
          </cell>
          <cell r="E368">
            <v>52</v>
          </cell>
        </row>
        <row r="369">
          <cell r="A369" t="str">
            <v>MAY 2014</v>
          </cell>
          <cell r="C369" t="str">
            <v>KUUM_404</v>
          </cell>
          <cell r="E369">
            <v>7101</v>
          </cell>
        </row>
        <row r="370">
          <cell r="A370" t="str">
            <v>MAY 2014</v>
          </cell>
          <cell r="C370" t="str">
            <v>KUUM_409</v>
          </cell>
          <cell r="E370">
            <v>141</v>
          </cell>
        </row>
        <row r="371">
          <cell r="A371" t="str">
            <v>MAY 2014</v>
          </cell>
          <cell r="C371" t="str">
            <v>KUUM_410</v>
          </cell>
          <cell r="E371">
            <v>240</v>
          </cell>
        </row>
        <row r="372">
          <cell r="A372" t="str">
            <v>MAY 2014</v>
          </cell>
          <cell r="C372" t="str">
            <v>KUUM_411</v>
          </cell>
          <cell r="E372">
            <v>150</v>
          </cell>
        </row>
        <row r="373">
          <cell r="A373" t="str">
            <v>MAY 2014</v>
          </cell>
          <cell r="C373" t="str">
            <v>KUUM_412</v>
          </cell>
          <cell r="E373">
            <v>28</v>
          </cell>
        </row>
        <row r="374">
          <cell r="A374" t="str">
            <v>MAY 2014</v>
          </cell>
          <cell r="C374" t="str">
            <v>KUUM_413</v>
          </cell>
          <cell r="E374">
            <v>96</v>
          </cell>
        </row>
        <row r="375">
          <cell r="A375" t="str">
            <v>MAY 2014</v>
          </cell>
          <cell r="C375" t="str">
            <v>KUUM_414</v>
          </cell>
          <cell r="E375">
            <v>21</v>
          </cell>
        </row>
        <row r="376">
          <cell r="A376" t="str">
            <v>MAY 2014</v>
          </cell>
          <cell r="C376" t="str">
            <v>KUUM_415</v>
          </cell>
          <cell r="E376">
            <v>10</v>
          </cell>
        </row>
        <row r="377">
          <cell r="A377" t="str">
            <v>MAY 2014</v>
          </cell>
          <cell r="C377" t="str">
            <v>KUUM_420</v>
          </cell>
          <cell r="E377">
            <v>466</v>
          </cell>
        </row>
        <row r="378">
          <cell r="A378" t="str">
            <v>MAY 2014</v>
          </cell>
          <cell r="C378" t="str">
            <v>KUUM_421</v>
          </cell>
          <cell r="E378">
            <v>5</v>
          </cell>
        </row>
        <row r="379">
          <cell r="A379" t="str">
            <v>MAY 2014</v>
          </cell>
          <cell r="C379" t="str">
            <v>KUUM_422</v>
          </cell>
          <cell r="E379">
            <v>674</v>
          </cell>
        </row>
        <row r="380">
          <cell r="A380" t="str">
            <v>MAY 2014</v>
          </cell>
          <cell r="C380" t="str">
            <v>KUUM_424</v>
          </cell>
          <cell r="E380">
            <v>47</v>
          </cell>
        </row>
        <row r="381">
          <cell r="A381" t="str">
            <v>MAY 2014</v>
          </cell>
          <cell r="C381" t="str">
            <v>KUUM_425</v>
          </cell>
          <cell r="E381">
            <v>2</v>
          </cell>
        </row>
        <row r="382">
          <cell r="A382" t="str">
            <v>MAY 2014</v>
          </cell>
          <cell r="C382" t="str">
            <v>KUUM_426</v>
          </cell>
          <cell r="E382">
            <v>170</v>
          </cell>
        </row>
        <row r="383">
          <cell r="A383" t="str">
            <v>MAY 2014</v>
          </cell>
          <cell r="C383" t="str">
            <v>KUUM_428</v>
          </cell>
          <cell r="E383">
            <v>36658</v>
          </cell>
        </row>
        <row r="384">
          <cell r="A384" t="str">
            <v>MAY 2014</v>
          </cell>
          <cell r="C384" t="str">
            <v>KUUM_430</v>
          </cell>
          <cell r="E384">
            <v>1185</v>
          </cell>
        </row>
        <row r="385">
          <cell r="A385" t="str">
            <v>MAY 2014</v>
          </cell>
          <cell r="C385" t="str">
            <v>KUUM_434</v>
          </cell>
          <cell r="E385">
            <v>3</v>
          </cell>
        </row>
        <row r="386">
          <cell r="A386" t="str">
            <v>MAY 2014</v>
          </cell>
          <cell r="C386" t="str">
            <v>KUUM_440</v>
          </cell>
          <cell r="E386">
            <v>2</v>
          </cell>
        </row>
        <row r="387">
          <cell r="A387" t="str">
            <v>MAY 2014</v>
          </cell>
          <cell r="C387" t="str">
            <v>KUUM_446</v>
          </cell>
          <cell r="E387">
            <v>1080</v>
          </cell>
        </row>
        <row r="388">
          <cell r="A388" t="str">
            <v>MAY 2014</v>
          </cell>
          <cell r="C388" t="str">
            <v>KUUM_447</v>
          </cell>
          <cell r="E388">
            <v>742</v>
          </cell>
        </row>
        <row r="389">
          <cell r="A389" t="str">
            <v>MAY 2014</v>
          </cell>
          <cell r="C389" t="str">
            <v>KUUM_448</v>
          </cell>
          <cell r="E389">
            <v>1477</v>
          </cell>
        </row>
        <row r="390">
          <cell r="A390" t="str">
            <v>MAY 2014</v>
          </cell>
          <cell r="C390" t="str">
            <v>KUUM_450</v>
          </cell>
          <cell r="E390">
            <v>669</v>
          </cell>
        </row>
        <row r="391">
          <cell r="A391" t="str">
            <v>MAY 2014</v>
          </cell>
          <cell r="C391" t="str">
            <v>KUUM_451</v>
          </cell>
          <cell r="E391">
            <v>5180</v>
          </cell>
        </row>
        <row r="392">
          <cell r="A392" t="str">
            <v>MAY 2014</v>
          </cell>
          <cell r="C392" t="str">
            <v>KUUM_452</v>
          </cell>
          <cell r="E392">
            <v>1038</v>
          </cell>
        </row>
        <row r="393">
          <cell r="A393" t="str">
            <v>MAY 2014</v>
          </cell>
          <cell r="C393" t="str">
            <v>KUUM_454</v>
          </cell>
          <cell r="E393">
            <v>151</v>
          </cell>
        </row>
        <row r="394">
          <cell r="A394" t="str">
            <v>MAY 2014</v>
          </cell>
          <cell r="C394" t="str">
            <v>KUUM_455</v>
          </cell>
          <cell r="E394">
            <v>1051</v>
          </cell>
        </row>
        <row r="395">
          <cell r="A395" t="str">
            <v>MAY 2014</v>
          </cell>
          <cell r="C395" t="str">
            <v>KUUM_456</v>
          </cell>
          <cell r="E395">
            <v>140</v>
          </cell>
        </row>
        <row r="396">
          <cell r="A396" t="str">
            <v>MAY 2014</v>
          </cell>
          <cell r="C396" t="str">
            <v>KUUM_457</v>
          </cell>
          <cell r="E396">
            <v>453</v>
          </cell>
        </row>
        <row r="397">
          <cell r="A397" t="str">
            <v>MAY 2014</v>
          </cell>
          <cell r="C397" t="str">
            <v>KUUM_458</v>
          </cell>
          <cell r="E397">
            <v>1473</v>
          </cell>
        </row>
        <row r="398">
          <cell r="A398" t="str">
            <v>MAY 2014</v>
          </cell>
          <cell r="C398" t="str">
            <v>KUUM_459</v>
          </cell>
          <cell r="E398">
            <v>223</v>
          </cell>
        </row>
        <row r="399">
          <cell r="A399" t="str">
            <v>MAY 2014</v>
          </cell>
          <cell r="C399" t="str">
            <v>KUUM_460</v>
          </cell>
          <cell r="E399">
            <v>26</v>
          </cell>
        </row>
        <row r="400">
          <cell r="A400" t="str">
            <v>MAY 2014</v>
          </cell>
          <cell r="C400" t="str">
            <v>KUUM_461</v>
          </cell>
          <cell r="E400">
            <v>4370</v>
          </cell>
        </row>
        <row r="401">
          <cell r="A401" t="str">
            <v>MAY 2014</v>
          </cell>
          <cell r="C401" t="str">
            <v>KUUM_462</v>
          </cell>
          <cell r="E401">
            <v>8851</v>
          </cell>
        </row>
        <row r="402">
          <cell r="A402" t="str">
            <v>MAY 2014</v>
          </cell>
          <cell r="C402" t="str">
            <v>KUUM_463</v>
          </cell>
          <cell r="E402">
            <v>20240</v>
          </cell>
        </row>
        <row r="403">
          <cell r="A403" t="str">
            <v>MAY 2014</v>
          </cell>
          <cell r="C403" t="str">
            <v>KUUM_464</v>
          </cell>
          <cell r="E403">
            <v>7395</v>
          </cell>
        </row>
        <row r="404">
          <cell r="A404" t="str">
            <v>MAY 2014</v>
          </cell>
          <cell r="C404" t="str">
            <v>KUUM_465</v>
          </cell>
          <cell r="E404">
            <v>2813</v>
          </cell>
        </row>
        <row r="405">
          <cell r="A405" t="str">
            <v>MAY 2014</v>
          </cell>
          <cell r="C405" t="str">
            <v>KUUM_466</v>
          </cell>
          <cell r="E405">
            <v>858</v>
          </cell>
        </row>
        <row r="406">
          <cell r="A406" t="str">
            <v>MAY 2014</v>
          </cell>
          <cell r="C406" t="str">
            <v>KUUM_467</v>
          </cell>
          <cell r="E406">
            <v>1359</v>
          </cell>
        </row>
        <row r="407">
          <cell r="A407" t="str">
            <v>MAY 2014</v>
          </cell>
          <cell r="C407" t="str">
            <v>KUUM_468</v>
          </cell>
          <cell r="E407">
            <v>4029</v>
          </cell>
        </row>
        <row r="408">
          <cell r="A408" t="str">
            <v>MAY 2014</v>
          </cell>
          <cell r="C408" t="str">
            <v>KUUM_469</v>
          </cell>
          <cell r="E408">
            <v>294</v>
          </cell>
        </row>
        <row r="409">
          <cell r="A409" t="str">
            <v>MAY 2014</v>
          </cell>
          <cell r="C409" t="str">
            <v>KUUM_470</v>
          </cell>
          <cell r="E409">
            <v>61</v>
          </cell>
        </row>
        <row r="410">
          <cell r="A410" t="str">
            <v>MAY 2014</v>
          </cell>
          <cell r="C410" t="str">
            <v>KUUM_471</v>
          </cell>
          <cell r="E410">
            <v>3666</v>
          </cell>
        </row>
        <row r="411">
          <cell r="A411" t="str">
            <v>MAY 2014</v>
          </cell>
          <cell r="C411" t="str">
            <v>KUUM_472</v>
          </cell>
          <cell r="E411">
            <v>8741</v>
          </cell>
        </row>
        <row r="412">
          <cell r="A412" t="str">
            <v>MAY 2014</v>
          </cell>
          <cell r="C412" t="str">
            <v>KUUM_473</v>
          </cell>
          <cell r="E412">
            <v>3391</v>
          </cell>
        </row>
        <row r="413">
          <cell r="A413" t="str">
            <v>MAY 2014</v>
          </cell>
          <cell r="C413" t="str">
            <v>KUUM_474</v>
          </cell>
          <cell r="E413">
            <v>5167</v>
          </cell>
        </row>
        <row r="414">
          <cell r="A414" t="str">
            <v>MAY 2014</v>
          </cell>
          <cell r="C414" t="str">
            <v>KUUM_475</v>
          </cell>
          <cell r="E414">
            <v>515</v>
          </cell>
        </row>
        <row r="415">
          <cell r="A415" t="str">
            <v>MAY 2014</v>
          </cell>
          <cell r="C415" t="str">
            <v>KUUM_476</v>
          </cell>
          <cell r="E415">
            <v>4565</v>
          </cell>
        </row>
        <row r="416">
          <cell r="A416" t="str">
            <v>MAY 2014</v>
          </cell>
          <cell r="C416" t="str">
            <v>KUUM_477</v>
          </cell>
          <cell r="E416">
            <v>1052</v>
          </cell>
        </row>
        <row r="417">
          <cell r="A417" t="str">
            <v>MAY 2014</v>
          </cell>
          <cell r="C417" t="str">
            <v>KUUM_478</v>
          </cell>
          <cell r="E417">
            <v>1412</v>
          </cell>
        </row>
        <row r="418">
          <cell r="A418" t="str">
            <v>MAY 2014</v>
          </cell>
          <cell r="C418" t="str">
            <v>KUUM_479</v>
          </cell>
          <cell r="E418">
            <v>949</v>
          </cell>
        </row>
        <row r="419">
          <cell r="A419" t="str">
            <v>MAY 2014</v>
          </cell>
          <cell r="C419" t="str">
            <v>KUUM_487</v>
          </cell>
          <cell r="E419">
            <v>11163</v>
          </cell>
        </row>
        <row r="420">
          <cell r="A420" t="str">
            <v>MAY 2014</v>
          </cell>
          <cell r="C420" t="str">
            <v>KUUM_488</v>
          </cell>
          <cell r="E420">
            <v>6636</v>
          </cell>
        </row>
        <row r="421">
          <cell r="A421" t="str">
            <v>MAY 2014</v>
          </cell>
          <cell r="C421" t="str">
            <v>KUUM_489</v>
          </cell>
          <cell r="E421">
            <v>8310</v>
          </cell>
        </row>
        <row r="422">
          <cell r="A422" t="str">
            <v>MAY 2014</v>
          </cell>
          <cell r="C422" t="str">
            <v>KUUM_490</v>
          </cell>
          <cell r="E422">
            <v>58</v>
          </cell>
        </row>
        <row r="423">
          <cell r="A423" t="str">
            <v>MAY 2014</v>
          </cell>
          <cell r="C423" t="str">
            <v>KUUM_491</v>
          </cell>
          <cell r="E423">
            <v>295</v>
          </cell>
        </row>
        <row r="424">
          <cell r="A424" t="str">
            <v>MAY 2014</v>
          </cell>
          <cell r="C424" t="str">
            <v>KUUM_492</v>
          </cell>
          <cell r="E424">
            <v>2</v>
          </cell>
        </row>
        <row r="425">
          <cell r="A425" t="str">
            <v>MAY 2014</v>
          </cell>
          <cell r="C425" t="str">
            <v>KUUM_493</v>
          </cell>
          <cell r="E425">
            <v>43</v>
          </cell>
        </row>
        <row r="426">
          <cell r="A426" t="str">
            <v>MAY 2014</v>
          </cell>
          <cell r="C426" t="str">
            <v>KUUM_494</v>
          </cell>
          <cell r="E426">
            <v>168</v>
          </cell>
        </row>
        <row r="427">
          <cell r="A427" t="str">
            <v>MAY 2014</v>
          </cell>
          <cell r="C427" t="str">
            <v>KUUM_495</v>
          </cell>
          <cell r="E427">
            <v>621</v>
          </cell>
        </row>
        <row r="428">
          <cell r="A428" t="str">
            <v>MAY 2014</v>
          </cell>
          <cell r="C428" t="str">
            <v>KUUM_496</v>
          </cell>
          <cell r="E428">
            <v>154</v>
          </cell>
        </row>
        <row r="429">
          <cell r="A429" t="str">
            <v>MAY 2014</v>
          </cell>
          <cell r="C429" t="str">
            <v>KUUM_497</v>
          </cell>
          <cell r="E429">
            <v>10</v>
          </cell>
        </row>
        <row r="430">
          <cell r="A430" t="str">
            <v>MAY 2014</v>
          </cell>
          <cell r="C430" t="str">
            <v>KUUM_498</v>
          </cell>
          <cell r="E430">
            <v>24</v>
          </cell>
        </row>
        <row r="431">
          <cell r="A431" t="str">
            <v>MAY 2014</v>
          </cell>
          <cell r="C431" t="str">
            <v>KUUM_499</v>
          </cell>
          <cell r="E431">
            <v>24</v>
          </cell>
        </row>
        <row r="432">
          <cell r="A432" t="str">
            <v>MAY 2014</v>
          </cell>
          <cell r="C432" t="str">
            <v>Result</v>
          </cell>
          <cell r="E432">
            <v>168383</v>
          </cell>
        </row>
        <row r="433">
          <cell r="E433" t="str">
            <v># Lights at start of Period</v>
          </cell>
        </row>
        <row r="434">
          <cell r="A434" t="str">
            <v>Revenue Period</v>
          </cell>
          <cell r="C434" t="str">
            <v>Rate Category</v>
          </cell>
        </row>
        <row r="435">
          <cell r="A435" t="str">
            <v>JUN 2014</v>
          </cell>
          <cell r="C435" t="str">
            <v>KTUM_406</v>
          </cell>
          <cell r="E435">
            <v>2</v>
          </cell>
        </row>
        <row r="436">
          <cell r="A436" t="str">
            <v>JUN 2014</v>
          </cell>
          <cell r="C436" t="str">
            <v>KTUM_428</v>
          </cell>
          <cell r="E436">
            <v>1</v>
          </cell>
        </row>
        <row r="437">
          <cell r="A437" t="str">
            <v>JUN 2014</v>
          </cell>
          <cell r="C437" t="str">
            <v>KUUM_360</v>
          </cell>
          <cell r="E437">
            <v>178</v>
          </cell>
        </row>
        <row r="438">
          <cell r="A438" t="str">
            <v>JUN 2014</v>
          </cell>
          <cell r="C438" t="str">
            <v>KUUM_361</v>
          </cell>
          <cell r="E438">
            <v>25</v>
          </cell>
        </row>
        <row r="439">
          <cell r="A439" t="str">
            <v>JUN 2014</v>
          </cell>
          <cell r="C439" t="str">
            <v>KUUM_362</v>
          </cell>
          <cell r="E439">
            <v>43</v>
          </cell>
        </row>
        <row r="440">
          <cell r="A440" t="str">
            <v>JUN 2014</v>
          </cell>
          <cell r="C440" t="str">
            <v>KUUM_363</v>
          </cell>
          <cell r="E440">
            <v>5</v>
          </cell>
        </row>
        <row r="441">
          <cell r="A441" t="str">
            <v>JUN 2014</v>
          </cell>
          <cell r="C441" t="str">
            <v>KUUM_364</v>
          </cell>
          <cell r="E441">
            <v>1</v>
          </cell>
        </row>
        <row r="442">
          <cell r="A442" t="str">
            <v>JUN 2014</v>
          </cell>
          <cell r="C442" t="str">
            <v>KUUM_365</v>
          </cell>
          <cell r="E442">
            <v>5</v>
          </cell>
        </row>
        <row r="443">
          <cell r="A443" t="str">
            <v>JUN 2014</v>
          </cell>
          <cell r="C443" t="str">
            <v>KUUM_366</v>
          </cell>
          <cell r="E443">
            <v>9</v>
          </cell>
        </row>
        <row r="444">
          <cell r="A444" t="str">
            <v>JUN 2014</v>
          </cell>
          <cell r="C444" t="str">
            <v>KUUM_367</v>
          </cell>
          <cell r="E444">
            <v>25</v>
          </cell>
        </row>
        <row r="445">
          <cell r="A445" t="str">
            <v>JUN 2014</v>
          </cell>
          <cell r="C445" t="str">
            <v>KUUM_368</v>
          </cell>
          <cell r="E445">
            <v>1</v>
          </cell>
        </row>
        <row r="446">
          <cell r="A446" t="str">
            <v>JUN 2014</v>
          </cell>
          <cell r="C446" t="str">
            <v>KUUM_370</v>
          </cell>
          <cell r="E446">
            <v>15</v>
          </cell>
        </row>
        <row r="447">
          <cell r="A447" t="str">
            <v>JUN 2014</v>
          </cell>
          <cell r="C447" t="str">
            <v>KUUM_372</v>
          </cell>
          <cell r="E447">
            <v>1</v>
          </cell>
        </row>
        <row r="448">
          <cell r="A448" t="str">
            <v>JUN 2014</v>
          </cell>
          <cell r="C448" t="str">
            <v>KUUM_373</v>
          </cell>
          <cell r="E448">
            <v>20</v>
          </cell>
        </row>
        <row r="449">
          <cell r="A449" t="str">
            <v>JUN 2014</v>
          </cell>
          <cell r="C449" t="str">
            <v>KUUM_374</v>
          </cell>
          <cell r="E449">
            <v>4</v>
          </cell>
        </row>
        <row r="450">
          <cell r="A450" t="str">
            <v>JUN 2014</v>
          </cell>
          <cell r="C450" t="str">
            <v>KUUM_375</v>
          </cell>
          <cell r="E450">
            <v>3</v>
          </cell>
        </row>
        <row r="451">
          <cell r="A451" t="str">
            <v>JUN 2014</v>
          </cell>
          <cell r="C451" t="str">
            <v>KUUM_376</v>
          </cell>
          <cell r="E451">
            <v>2</v>
          </cell>
        </row>
        <row r="452">
          <cell r="A452" t="str">
            <v>JUN 2014</v>
          </cell>
          <cell r="C452" t="str">
            <v>KUUM_377</v>
          </cell>
          <cell r="E452">
            <v>51</v>
          </cell>
        </row>
        <row r="453">
          <cell r="A453" t="str">
            <v>JUN 2014</v>
          </cell>
          <cell r="C453" t="str">
            <v>KUUM_378</v>
          </cell>
          <cell r="E453">
            <v>2</v>
          </cell>
        </row>
        <row r="454">
          <cell r="A454" t="str">
            <v>JUN 2014</v>
          </cell>
          <cell r="C454" t="str">
            <v>KUUM_401</v>
          </cell>
          <cell r="E454">
            <v>52</v>
          </cell>
        </row>
        <row r="455">
          <cell r="A455" t="str">
            <v>JUN 2014</v>
          </cell>
          <cell r="C455" t="str">
            <v>KUUM_404</v>
          </cell>
          <cell r="E455">
            <v>7133</v>
          </cell>
        </row>
        <row r="456">
          <cell r="A456" t="str">
            <v>JUN 2014</v>
          </cell>
          <cell r="C456" t="str">
            <v>KUUM_409</v>
          </cell>
          <cell r="E456">
            <v>141</v>
          </cell>
        </row>
        <row r="457">
          <cell r="A457" t="str">
            <v>JUN 2014</v>
          </cell>
          <cell r="C457" t="str">
            <v>KUUM_410</v>
          </cell>
          <cell r="E457">
            <v>240</v>
          </cell>
        </row>
        <row r="458">
          <cell r="A458" t="str">
            <v>JUN 2014</v>
          </cell>
          <cell r="C458" t="str">
            <v>KUUM_411</v>
          </cell>
          <cell r="E458">
            <v>150</v>
          </cell>
        </row>
        <row r="459">
          <cell r="A459" t="str">
            <v>JUN 2014</v>
          </cell>
          <cell r="C459" t="str">
            <v>KUUM_412</v>
          </cell>
          <cell r="E459">
            <v>28</v>
          </cell>
        </row>
        <row r="460">
          <cell r="A460" t="str">
            <v>JUN 2014</v>
          </cell>
          <cell r="C460" t="str">
            <v>KUUM_413</v>
          </cell>
          <cell r="E460">
            <v>96</v>
          </cell>
        </row>
        <row r="461">
          <cell r="A461" t="str">
            <v>JUN 2014</v>
          </cell>
          <cell r="C461" t="str">
            <v>KUUM_414</v>
          </cell>
          <cell r="E461">
            <v>21</v>
          </cell>
        </row>
        <row r="462">
          <cell r="A462" t="str">
            <v>JUN 2014</v>
          </cell>
          <cell r="C462" t="str">
            <v>KUUM_415</v>
          </cell>
          <cell r="E462">
            <v>10</v>
          </cell>
        </row>
        <row r="463">
          <cell r="A463" t="str">
            <v>JUN 2014</v>
          </cell>
          <cell r="C463" t="str">
            <v>KUUM_420</v>
          </cell>
          <cell r="E463">
            <v>477</v>
          </cell>
        </row>
        <row r="464">
          <cell r="A464" t="str">
            <v>JUN 2014</v>
          </cell>
          <cell r="C464" t="str">
            <v>KUUM_421</v>
          </cell>
          <cell r="E464">
            <v>5</v>
          </cell>
        </row>
        <row r="465">
          <cell r="A465" t="str">
            <v>JUN 2014</v>
          </cell>
          <cell r="C465" t="str">
            <v>KUUM_422</v>
          </cell>
          <cell r="E465">
            <v>672</v>
          </cell>
        </row>
        <row r="466">
          <cell r="A466" t="str">
            <v>JUN 2014</v>
          </cell>
          <cell r="C466" t="str">
            <v>KUUM_424</v>
          </cell>
          <cell r="E466">
            <v>47</v>
          </cell>
        </row>
        <row r="467">
          <cell r="A467" t="str">
            <v>JUN 2014</v>
          </cell>
          <cell r="C467" t="str">
            <v>KUUM_425</v>
          </cell>
          <cell r="E467">
            <v>2</v>
          </cell>
        </row>
        <row r="468">
          <cell r="A468" t="str">
            <v>JUN 2014</v>
          </cell>
          <cell r="C468" t="str">
            <v>KUUM_426</v>
          </cell>
          <cell r="E468">
            <v>173</v>
          </cell>
        </row>
        <row r="469">
          <cell r="A469" t="str">
            <v>JUN 2014</v>
          </cell>
          <cell r="C469" t="str">
            <v>KUUM_428</v>
          </cell>
          <cell r="E469">
            <v>36660</v>
          </cell>
        </row>
        <row r="470">
          <cell r="A470" t="str">
            <v>JUN 2014</v>
          </cell>
          <cell r="C470" t="str">
            <v>KUUM_430</v>
          </cell>
          <cell r="E470">
            <v>1173</v>
          </cell>
        </row>
        <row r="471">
          <cell r="A471" t="str">
            <v>JUN 2014</v>
          </cell>
          <cell r="C471" t="str">
            <v>KUUM_434</v>
          </cell>
          <cell r="E471">
            <v>3</v>
          </cell>
        </row>
        <row r="472">
          <cell r="A472" t="str">
            <v>JUN 2014</v>
          </cell>
          <cell r="C472" t="str">
            <v>KUUM_440</v>
          </cell>
          <cell r="E472">
            <v>2</v>
          </cell>
        </row>
        <row r="473">
          <cell r="A473" t="str">
            <v>JUN 2014</v>
          </cell>
          <cell r="C473" t="str">
            <v>KUUM_446</v>
          </cell>
          <cell r="E473">
            <v>1083</v>
          </cell>
        </row>
        <row r="474">
          <cell r="A474" t="str">
            <v>JUN 2014</v>
          </cell>
          <cell r="C474" t="str">
            <v>KUUM_447</v>
          </cell>
          <cell r="E474">
            <v>711</v>
          </cell>
        </row>
        <row r="475">
          <cell r="A475" t="str">
            <v>JUN 2014</v>
          </cell>
          <cell r="C475" t="str">
            <v>KUUM_448</v>
          </cell>
          <cell r="E475">
            <v>1480</v>
          </cell>
        </row>
        <row r="476">
          <cell r="A476" t="str">
            <v>JUN 2014</v>
          </cell>
          <cell r="C476" t="str">
            <v>KUUM_450</v>
          </cell>
          <cell r="E476">
            <v>668</v>
          </cell>
        </row>
        <row r="477">
          <cell r="A477" t="str">
            <v>JUN 2014</v>
          </cell>
          <cell r="C477" t="str">
            <v>KUUM_451</v>
          </cell>
          <cell r="E477">
            <v>5202</v>
          </cell>
        </row>
        <row r="478">
          <cell r="A478" t="str">
            <v>JUN 2014</v>
          </cell>
          <cell r="C478" t="str">
            <v>KUUM_452</v>
          </cell>
          <cell r="E478">
            <v>1041</v>
          </cell>
        </row>
        <row r="479">
          <cell r="A479" t="str">
            <v>JUN 2014</v>
          </cell>
          <cell r="C479" t="str">
            <v>KUUM_454</v>
          </cell>
          <cell r="E479">
            <v>150</v>
          </cell>
        </row>
        <row r="480">
          <cell r="A480" t="str">
            <v>JUN 2014</v>
          </cell>
          <cell r="C480" t="str">
            <v>KUUM_455</v>
          </cell>
          <cell r="E480">
            <v>1026</v>
          </cell>
        </row>
        <row r="481">
          <cell r="A481" t="str">
            <v>JUN 2014</v>
          </cell>
          <cell r="C481" t="str">
            <v>KUUM_456</v>
          </cell>
          <cell r="E481">
            <v>141</v>
          </cell>
        </row>
        <row r="482">
          <cell r="A482" t="str">
            <v>JUN 2014</v>
          </cell>
          <cell r="C482" t="str">
            <v>KUUM_457</v>
          </cell>
          <cell r="E482">
            <v>453</v>
          </cell>
        </row>
        <row r="483">
          <cell r="A483" t="str">
            <v>JUN 2014</v>
          </cell>
          <cell r="C483" t="str">
            <v>KUUM_458</v>
          </cell>
          <cell r="E483">
            <v>1460</v>
          </cell>
        </row>
        <row r="484">
          <cell r="A484" t="str">
            <v>JUN 2014</v>
          </cell>
          <cell r="C484" t="str">
            <v>KUUM_459</v>
          </cell>
          <cell r="E484">
            <v>226</v>
          </cell>
        </row>
        <row r="485">
          <cell r="A485" t="str">
            <v>JUN 2014</v>
          </cell>
          <cell r="C485" t="str">
            <v>KUUM_460</v>
          </cell>
          <cell r="E485">
            <v>26</v>
          </cell>
        </row>
        <row r="486">
          <cell r="A486" t="str">
            <v>JUN 2014</v>
          </cell>
          <cell r="C486" t="str">
            <v>KUUM_461</v>
          </cell>
          <cell r="E486">
            <v>6930</v>
          </cell>
        </row>
        <row r="487">
          <cell r="A487" t="str">
            <v>JUN 2014</v>
          </cell>
          <cell r="C487" t="str">
            <v>KUUM_462</v>
          </cell>
          <cell r="E487">
            <v>8748</v>
          </cell>
        </row>
        <row r="488">
          <cell r="A488" t="str">
            <v>JUN 2014</v>
          </cell>
          <cell r="C488" t="str">
            <v>KUUM_463</v>
          </cell>
          <cell r="E488">
            <v>20390</v>
          </cell>
        </row>
        <row r="489">
          <cell r="A489" t="str">
            <v>JUN 2014</v>
          </cell>
          <cell r="C489" t="str">
            <v>KUUM_464</v>
          </cell>
          <cell r="E489">
            <v>7581</v>
          </cell>
        </row>
        <row r="490">
          <cell r="A490" t="str">
            <v>JUN 2014</v>
          </cell>
          <cell r="C490" t="str">
            <v>KUUM_465</v>
          </cell>
          <cell r="E490">
            <v>2810</v>
          </cell>
        </row>
        <row r="491">
          <cell r="A491" t="str">
            <v>JUN 2014</v>
          </cell>
          <cell r="C491" t="str">
            <v>KUUM_466</v>
          </cell>
          <cell r="E491">
            <v>864</v>
          </cell>
        </row>
        <row r="492">
          <cell r="A492" t="str">
            <v>JUN 2014</v>
          </cell>
          <cell r="C492" t="str">
            <v>KUUM_467</v>
          </cell>
          <cell r="E492">
            <v>1364</v>
          </cell>
        </row>
        <row r="493">
          <cell r="A493" t="str">
            <v>JUN 2014</v>
          </cell>
          <cell r="C493" t="str">
            <v>KUUM_468</v>
          </cell>
          <cell r="E493">
            <v>4032</v>
          </cell>
        </row>
        <row r="494">
          <cell r="A494" t="str">
            <v>JUN 2014</v>
          </cell>
          <cell r="C494" t="str">
            <v>KUUM_469</v>
          </cell>
          <cell r="E494">
            <v>295</v>
          </cell>
        </row>
        <row r="495">
          <cell r="A495" t="str">
            <v>JUN 2014</v>
          </cell>
          <cell r="C495" t="str">
            <v>KUUM_470</v>
          </cell>
          <cell r="E495">
            <v>61</v>
          </cell>
        </row>
        <row r="496">
          <cell r="A496" t="str">
            <v>JUN 2014</v>
          </cell>
          <cell r="C496" t="str">
            <v>KUUM_471</v>
          </cell>
          <cell r="E496">
            <v>3666</v>
          </cell>
        </row>
        <row r="497">
          <cell r="A497" t="str">
            <v>JUN 2014</v>
          </cell>
          <cell r="C497" t="str">
            <v>KUUM_472</v>
          </cell>
          <cell r="E497">
            <v>8766</v>
          </cell>
        </row>
        <row r="498">
          <cell r="A498" t="str">
            <v>JUN 2014</v>
          </cell>
          <cell r="C498" t="str">
            <v>KUUM_473</v>
          </cell>
          <cell r="E498">
            <v>3372</v>
          </cell>
        </row>
        <row r="499">
          <cell r="A499" t="str">
            <v>JUN 2014</v>
          </cell>
          <cell r="C499" t="str">
            <v>KUUM_474</v>
          </cell>
          <cell r="E499">
            <v>5195</v>
          </cell>
        </row>
        <row r="500">
          <cell r="A500" t="str">
            <v>JUN 2014</v>
          </cell>
          <cell r="C500" t="str">
            <v>KUUM_475</v>
          </cell>
          <cell r="E500">
            <v>508</v>
          </cell>
        </row>
        <row r="501">
          <cell r="A501" t="str">
            <v>JUN 2014</v>
          </cell>
          <cell r="C501" t="str">
            <v>KUUM_476</v>
          </cell>
          <cell r="E501">
            <v>4563</v>
          </cell>
        </row>
        <row r="502">
          <cell r="A502" t="str">
            <v>JUN 2014</v>
          </cell>
          <cell r="C502" t="str">
            <v>KUUM_477</v>
          </cell>
          <cell r="E502">
            <v>1052</v>
          </cell>
        </row>
        <row r="503">
          <cell r="A503" t="str">
            <v>JUN 2014</v>
          </cell>
          <cell r="C503" t="str">
            <v>KUUM_478</v>
          </cell>
          <cell r="E503">
            <v>1407</v>
          </cell>
        </row>
        <row r="504">
          <cell r="A504" t="str">
            <v>JUN 2014</v>
          </cell>
          <cell r="C504" t="str">
            <v>KUUM_479</v>
          </cell>
          <cell r="E504">
            <v>941</v>
          </cell>
        </row>
        <row r="505">
          <cell r="A505" t="str">
            <v>JUN 2014</v>
          </cell>
          <cell r="C505" t="str">
            <v>KUUM_487</v>
          </cell>
          <cell r="E505">
            <v>11165</v>
          </cell>
        </row>
        <row r="506">
          <cell r="A506" t="str">
            <v>JUN 2014</v>
          </cell>
          <cell r="C506" t="str">
            <v>KUUM_488</v>
          </cell>
          <cell r="E506">
            <v>6630</v>
          </cell>
        </row>
        <row r="507">
          <cell r="A507" t="str">
            <v>JUN 2014</v>
          </cell>
          <cell r="C507" t="str">
            <v>KUUM_489</v>
          </cell>
          <cell r="E507">
            <v>8378</v>
          </cell>
        </row>
        <row r="508">
          <cell r="A508" t="str">
            <v>JUN 2014</v>
          </cell>
          <cell r="C508" t="str">
            <v>KUUM_490</v>
          </cell>
          <cell r="E508">
            <v>58</v>
          </cell>
        </row>
        <row r="509">
          <cell r="A509" t="str">
            <v>JUN 2014</v>
          </cell>
          <cell r="C509" t="str">
            <v>KUUM_491</v>
          </cell>
          <cell r="E509">
            <v>312</v>
          </cell>
        </row>
        <row r="510">
          <cell r="A510" t="str">
            <v>JUN 2014</v>
          </cell>
          <cell r="C510" t="str">
            <v>KUUM_492</v>
          </cell>
          <cell r="E510">
            <v>2</v>
          </cell>
        </row>
        <row r="511">
          <cell r="A511" t="str">
            <v>JUN 2014</v>
          </cell>
          <cell r="C511" t="str">
            <v>KUUM_493</v>
          </cell>
          <cell r="E511">
            <v>43</v>
          </cell>
        </row>
        <row r="512">
          <cell r="A512" t="str">
            <v>JUN 2014</v>
          </cell>
          <cell r="C512" t="str">
            <v>KUUM_494</v>
          </cell>
          <cell r="E512">
            <v>168</v>
          </cell>
        </row>
        <row r="513">
          <cell r="A513" t="str">
            <v>JUN 2014</v>
          </cell>
          <cell r="C513" t="str">
            <v>KUUM_495</v>
          </cell>
          <cell r="E513">
            <v>632</v>
          </cell>
        </row>
        <row r="514">
          <cell r="A514" t="str">
            <v>JUN 2014</v>
          </cell>
          <cell r="C514" t="str">
            <v>KUUM_496</v>
          </cell>
          <cell r="E514">
            <v>154</v>
          </cell>
        </row>
        <row r="515">
          <cell r="A515" t="str">
            <v>JUN 2014</v>
          </cell>
          <cell r="C515" t="str">
            <v>KUUM_497</v>
          </cell>
          <cell r="E515">
            <v>10</v>
          </cell>
        </row>
        <row r="516">
          <cell r="A516" t="str">
            <v>JUN 2014</v>
          </cell>
          <cell r="C516" t="str">
            <v>KUUM_498</v>
          </cell>
          <cell r="E516">
            <v>26</v>
          </cell>
        </row>
        <row r="517">
          <cell r="A517" t="str">
            <v>JUN 2014</v>
          </cell>
          <cell r="C517" t="str">
            <v>KUUM_499</v>
          </cell>
          <cell r="E517">
            <v>24</v>
          </cell>
        </row>
        <row r="518">
          <cell r="A518" t="str">
            <v>JUN 2014</v>
          </cell>
          <cell r="C518" t="str">
            <v>ODUM_428</v>
          </cell>
          <cell r="E518">
            <v>0</v>
          </cell>
        </row>
        <row r="519">
          <cell r="A519" t="str">
            <v>JUN 2014</v>
          </cell>
          <cell r="C519" t="str">
            <v>Result</v>
          </cell>
          <cell r="E519">
            <v>171292</v>
          </cell>
        </row>
        <row r="520">
          <cell r="A520" t="str">
            <v>JUL 2014</v>
          </cell>
          <cell r="C520" t="str">
            <v>KTUM_406</v>
          </cell>
          <cell r="E520">
            <v>2</v>
          </cell>
        </row>
        <row r="521">
          <cell r="A521" t="str">
            <v>JUL 2014</v>
          </cell>
          <cell r="C521" t="str">
            <v>KTUM_428</v>
          </cell>
          <cell r="E521">
            <v>1</v>
          </cell>
        </row>
        <row r="522">
          <cell r="A522" t="str">
            <v>JUL 2014</v>
          </cell>
          <cell r="C522" t="str">
            <v>KUUM_360</v>
          </cell>
          <cell r="E522">
            <v>178</v>
          </cell>
        </row>
        <row r="523">
          <cell r="A523" t="str">
            <v>JUL 2014</v>
          </cell>
          <cell r="C523" t="str">
            <v>KUUM_361</v>
          </cell>
          <cell r="E523">
            <v>25</v>
          </cell>
        </row>
        <row r="524">
          <cell r="A524" t="str">
            <v>JUL 2014</v>
          </cell>
          <cell r="C524" t="str">
            <v>KUUM_362</v>
          </cell>
          <cell r="E524">
            <v>43</v>
          </cell>
        </row>
        <row r="525">
          <cell r="A525" t="str">
            <v>JUL 2014</v>
          </cell>
          <cell r="C525" t="str">
            <v>KUUM_363</v>
          </cell>
          <cell r="E525">
            <v>5</v>
          </cell>
        </row>
        <row r="526">
          <cell r="A526" t="str">
            <v>JUL 2014</v>
          </cell>
          <cell r="C526" t="str">
            <v>KUUM_364</v>
          </cell>
          <cell r="E526">
            <v>1</v>
          </cell>
        </row>
        <row r="527">
          <cell r="A527" t="str">
            <v>JUL 2014</v>
          </cell>
          <cell r="C527" t="str">
            <v>KUUM_365</v>
          </cell>
          <cell r="E527">
            <v>5</v>
          </cell>
        </row>
        <row r="528">
          <cell r="A528" t="str">
            <v>JUL 2014</v>
          </cell>
          <cell r="C528" t="str">
            <v>KUUM_366</v>
          </cell>
          <cell r="E528">
            <v>9</v>
          </cell>
        </row>
        <row r="529">
          <cell r="A529" t="str">
            <v>JUL 2014</v>
          </cell>
          <cell r="C529" t="str">
            <v>KUUM_367</v>
          </cell>
          <cell r="E529">
            <v>25</v>
          </cell>
        </row>
        <row r="530">
          <cell r="A530" t="str">
            <v>JUL 2014</v>
          </cell>
          <cell r="C530" t="str">
            <v>KUUM_368</v>
          </cell>
          <cell r="E530">
            <v>1</v>
          </cell>
        </row>
        <row r="531">
          <cell r="A531" t="str">
            <v>JUL 2014</v>
          </cell>
          <cell r="C531" t="str">
            <v>KUUM_370</v>
          </cell>
          <cell r="E531">
            <v>15</v>
          </cell>
        </row>
        <row r="532">
          <cell r="A532" t="str">
            <v>JUL 2014</v>
          </cell>
          <cell r="C532" t="str">
            <v>KUUM_372</v>
          </cell>
          <cell r="E532">
            <v>1</v>
          </cell>
        </row>
        <row r="533">
          <cell r="A533" t="str">
            <v>JUL 2014</v>
          </cell>
          <cell r="C533" t="str">
            <v>KUUM_373</v>
          </cell>
          <cell r="E533">
            <v>20</v>
          </cell>
        </row>
        <row r="534">
          <cell r="A534" t="str">
            <v>JUL 2014</v>
          </cell>
          <cell r="C534" t="str">
            <v>KUUM_374</v>
          </cell>
          <cell r="E534">
            <v>4</v>
          </cell>
        </row>
        <row r="535">
          <cell r="A535" t="str">
            <v>JUL 2014</v>
          </cell>
          <cell r="C535" t="str">
            <v>KUUM_375</v>
          </cell>
          <cell r="E535">
            <v>3</v>
          </cell>
        </row>
        <row r="536">
          <cell r="A536" t="str">
            <v>JUL 2014</v>
          </cell>
          <cell r="C536" t="str">
            <v>KUUM_376</v>
          </cell>
          <cell r="E536">
            <v>2</v>
          </cell>
        </row>
        <row r="537">
          <cell r="A537" t="str">
            <v>JUL 2014</v>
          </cell>
          <cell r="C537" t="str">
            <v>KUUM_377</v>
          </cell>
          <cell r="E537">
            <v>51</v>
          </cell>
        </row>
        <row r="538">
          <cell r="A538" t="str">
            <v>JUL 2014</v>
          </cell>
          <cell r="C538" t="str">
            <v>KUUM_378</v>
          </cell>
          <cell r="E538">
            <v>2</v>
          </cell>
        </row>
        <row r="539">
          <cell r="A539" t="str">
            <v>JUL 2014</v>
          </cell>
          <cell r="C539" t="str">
            <v>KUUM_401</v>
          </cell>
          <cell r="E539">
            <v>52</v>
          </cell>
        </row>
        <row r="540">
          <cell r="A540" t="str">
            <v>JUL 2014</v>
          </cell>
          <cell r="C540" t="str">
            <v>KUUM_404</v>
          </cell>
          <cell r="E540">
            <v>7087</v>
          </cell>
        </row>
        <row r="541">
          <cell r="A541" t="str">
            <v>JUL 2014</v>
          </cell>
          <cell r="C541" t="str">
            <v>KUUM_409</v>
          </cell>
          <cell r="E541">
            <v>137</v>
          </cell>
        </row>
        <row r="542">
          <cell r="A542" t="str">
            <v>JUL 2014</v>
          </cell>
          <cell r="C542" t="str">
            <v>KUUM_410</v>
          </cell>
          <cell r="E542">
            <v>240</v>
          </cell>
        </row>
        <row r="543">
          <cell r="A543" t="str">
            <v>JUL 2014</v>
          </cell>
          <cell r="C543" t="str">
            <v>KUUM_411</v>
          </cell>
          <cell r="E543">
            <v>150</v>
          </cell>
        </row>
        <row r="544">
          <cell r="A544" t="str">
            <v>JUL 2014</v>
          </cell>
          <cell r="C544" t="str">
            <v>KUUM_412</v>
          </cell>
          <cell r="E544">
            <v>28</v>
          </cell>
        </row>
        <row r="545">
          <cell r="A545" t="str">
            <v>JUL 2014</v>
          </cell>
          <cell r="C545" t="str">
            <v>KUUM_413</v>
          </cell>
          <cell r="E545">
            <v>96</v>
          </cell>
        </row>
        <row r="546">
          <cell r="A546" t="str">
            <v>JUL 2014</v>
          </cell>
          <cell r="C546" t="str">
            <v>KUUM_414</v>
          </cell>
          <cell r="E546">
            <v>21</v>
          </cell>
        </row>
        <row r="547">
          <cell r="A547" t="str">
            <v>JUL 2014</v>
          </cell>
          <cell r="C547" t="str">
            <v>KUUM_415</v>
          </cell>
          <cell r="E547">
            <v>10</v>
          </cell>
        </row>
        <row r="548">
          <cell r="A548" t="str">
            <v>JUL 2014</v>
          </cell>
          <cell r="C548" t="str">
            <v>KUUM_420</v>
          </cell>
          <cell r="E548">
            <v>477</v>
          </cell>
        </row>
        <row r="549">
          <cell r="A549" t="str">
            <v>JUL 2014</v>
          </cell>
          <cell r="C549" t="str">
            <v>KUUM_421</v>
          </cell>
          <cell r="E549">
            <v>5</v>
          </cell>
        </row>
        <row r="550">
          <cell r="A550" t="str">
            <v>JUL 2014</v>
          </cell>
          <cell r="C550" t="str">
            <v>KUUM_422</v>
          </cell>
          <cell r="E550">
            <v>667</v>
          </cell>
        </row>
        <row r="551">
          <cell r="A551" t="str">
            <v>JUL 2014</v>
          </cell>
          <cell r="C551" t="str">
            <v>KUUM_424</v>
          </cell>
          <cell r="E551">
            <v>49</v>
          </cell>
        </row>
        <row r="552">
          <cell r="A552" t="str">
            <v>JUL 2014</v>
          </cell>
          <cell r="C552" t="str">
            <v>KUUM_425</v>
          </cell>
          <cell r="E552">
            <v>2</v>
          </cell>
        </row>
        <row r="553">
          <cell r="A553" t="str">
            <v>JUL 2014</v>
          </cell>
          <cell r="C553" t="str">
            <v>KUUM_426</v>
          </cell>
          <cell r="E553">
            <v>176</v>
          </cell>
        </row>
        <row r="554">
          <cell r="A554" t="str">
            <v>JUL 2014</v>
          </cell>
          <cell r="C554" t="str">
            <v>KUUM_428</v>
          </cell>
          <cell r="E554">
            <v>36675</v>
          </cell>
        </row>
        <row r="555">
          <cell r="A555" t="str">
            <v>JUL 2014</v>
          </cell>
          <cell r="C555" t="str">
            <v>KUUM_430</v>
          </cell>
          <cell r="E555">
            <v>1181</v>
          </cell>
        </row>
        <row r="556">
          <cell r="A556" t="str">
            <v>JUL 2014</v>
          </cell>
          <cell r="C556" t="str">
            <v>KUUM_440</v>
          </cell>
          <cell r="E556">
            <v>2</v>
          </cell>
        </row>
        <row r="557">
          <cell r="A557" t="str">
            <v>JUL 2014</v>
          </cell>
          <cell r="C557" t="str">
            <v>KUUM_446</v>
          </cell>
          <cell r="E557">
            <v>1079</v>
          </cell>
        </row>
        <row r="558">
          <cell r="A558" t="str">
            <v>JUL 2014</v>
          </cell>
          <cell r="C558" t="str">
            <v>KUUM_447</v>
          </cell>
          <cell r="E558">
            <v>711</v>
          </cell>
        </row>
        <row r="559">
          <cell r="A559" t="str">
            <v>JUL 2014</v>
          </cell>
          <cell r="C559" t="str">
            <v>KUUM_448</v>
          </cell>
          <cell r="E559">
            <v>1484</v>
          </cell>
        </row>
        <row r="560">
          <cell r="A560" t="str">
            <v>JUL 2014</v>
          </cell>
          <cell r="C560" t="str">
            <v>KUUM_450</v>
          </cell>
          <cell r="E560">
            <v>673</v>
          </cell>
        </row>
        <row r="561">
          <cell r="A561" t="str">
            <v>JUL 2014</v>
          </cell>
          <cell r="C561" t="str">
            <v>KUUM_451</v>
          </cell>
          <cell r="E561">
            <v>5257</v>
          </cell>
        </row>
        <row r="562">
          <cell r="A562" t="str">
            <v>JUL 2014</v>
          </cell>
          <cell r="C562" t="str">
            <v>KUUM_452</v>
          </cell>
          <cell r="E562">
            <v>1049</v>
          </cell>
        </row>
        <row r="563">
          <cell r="A563" t="str">
            <v>JUL 2014</v>
          </cell>
          <cell r="C563" t="str">
            <v>KUUM_454</v>
          </cell>
          <cell r="E563">
            <v>152</v>
          </cell>
        </row>
        <row r="564">
          <cell r="A564" t="str">
            <v>JUL 2014</v>
          </cell>
          <cell r="C564" t="str">
            <v>KUUM_455</v>
          </cell>
          <cell r="E564">
            <v>1032</v>
          </cell>
        </row>
        <row r="565">
          <cell r="A565" t="str">
            <v>JUL 2014</v>
          </cell>
          <cell r="C565" t="str">
            <v>KUUM_456</v>
          </cell>
          <cell r="E565">
            <v>141</v>
          </cell>
        </row>
        <row r="566">
          <cell r="A566" t="str">
            <v>JUL 2014</v>
          </cell>
          <cell r="C566" t="str">
            <v>KUUM_457</v>
          </cell>
          <cell r="E566">
            <v>453</v>
          </cell>
        </row>
        <row r="567">
          <cell r="A567" t="str">
            <v>JUL 2014</v>
          </cell>
          <cell r="C567" t="str">
            <v>KUUM_458</v>
          </cell>
          <cell r="E567">
            <v>1460</v>
          </cell>
        </row>
        <row r="568">
          <cell r="A568" t="str">
            <v>JUL 2014</v>
          </cell>
          <cell r="C568" t="str">
            <v>KUUM_459</v>
          </cell>
          <cell r="E568">
            <v>222</v>
          </cell>
        </row>
        <row r="569">
          <cell r="A569" t="str">
            <v>JUL 2014</v>
          </cell>
          <cell r="C569" t="str">
            <v>KUUM_460</v>
          </cell>
          <cell r="E569">
            <v>26</v>
          </cell>
        </row>
        <row r="570">
          <cell r="A570" t="str">
            <v>JUL 2014</v>
          </cell>
          <cell r="C570" t="str">
            <v>KUUM_461</v>
          </cell>
          <cell r="E570">
            <v>6996</v>
          </cell>
        </row>
        <row r="571">
          <cell r="A571" t="str">
            <v>JUL 2014</v>
          </cell>
          <cell r="C571" t="str">
            <v>KUUM_462</v>
          </cell>
          <cell r="E571">
            <v>8969</v>
          </cell>
        </row>
        <row r="572">
          <cell r="A572" t="str">
            <v>JUL 2014</v>
          </cell>
          <cell r="C572" t="str">
            <v>KUUM_463</v>
          </cell>
          <cell r="E572">
            <v>21037</v>
          </cell>
        </row>
        <row r="573">
          <cell r="A573" t="str">
            <v>JUL 2014</v>
          </cell>
          <cell r="C573" t="str">
            <v>KUUM_464</v>
          </cell>
          <cell r="E573">
            <v>7766</v>
          </cell>
        </row>
        <row r="574">
          <cell r="A574" t="str">
            <v>JUL 2014</v>
          </cell>
          <cell r="C574" t="str">
            <v>KUUM_465</v>
          </cell>
          <cell r="E574">
            <v>2800</v>
          </cell>
        </row>
        <row r="575">
          <cell r="A575" t="str">
            <v>JUL 2014</v>
          </cell>
          <cell r="C575" t="str">
            <v>KUUM_466</v>
          </cell>
          <cell r="E575">
            <v>997</v>
          </cell>
        </row>
        <row r="576">
          <cell r="A576" t="str">
            <v>JUL 2014</v>
          </cell>
          <cell r="C576" t="str">
            <v>KUUM_467</v>
          </cell>
          <cell r="E576">
            <v>1478</v>
          </cell>
        </row>
        <row r="577">
          <cell r="A577" t="str">
            <v>JUL 2014</v>
          </cell>
          <cell r="C577" t="str">
            <v>KUUM_468</v>
          </cell>
          <cell r="E577">
            <v>4074</v>
          </cell>
        </row>
        <row r="578">
          <cell r="A578" t="str">
            <v>JUL 2014</v>
          </cell>
          <cell r="C578" t="str">
            <v>KUUM_469</v>
          </cell>
          <cell r="E578">
            <v>294</v>
          </cell>
        </row>
        <row r="579">
          <cell r="A579" t="str">
            <v>JUL 2014</v>
          </cell>
          <cell r="C579" t="str">
            <v>KUUM_470</v>
          </cell>
          <cell r="E579">
            <v>61</v>
          </cell>
        </row>
        <row r="580">
          <cell r="A580" t="str">
            <v>JUL 2014</v>
          </cell>
          <cell r="C580" t="str">
            <v>KUUM_471</v>
          </cell>
          <cell r="E580">
            <v>3666</v>
          </cell>
        </row>
        <row r="581">
          <cell r="A581" t="str">
            <v>JUL 2014</v>
          </cell>
          <cell r="C581" t="str">
            <v>KUUM_472</v>
          </cell>
          <cell r="E581">
            <v>8803</v>
          </cell>
        </row>
        <row r="582">
          <cell r="A582" t="str">
            <v>JUL 2014</v>
          </cell>
          <cell r="C582" t="str">
            <v>KUUM_473</v>
          </cell>
          <cell r="E582">
            <v>3398</v>
          </cell>
        </row>
        <row r="583">
          <cell r="A583" t="str">
            <v>JUL 2014</v>
          </cell>
          <cell r="C583" t="str">
            <v>KUUM_474</v>
          </cell>
          <cell r="E583">
            <v>5221</v>
          </cell>
        </row>
        <row r="584">
          <cell r="A584" t="str">
            <v>JUL 2014</v>
          </cell>
          <cell r="C584" t="str">
            <v>KUUM_475</v>
          </cell>
          <cell r="E584">
            <v>509</v>
          </cell>
        </row>
        <row r="585">
          <cell r="A585" t="str">
            <v>JUL 2014</v>
          </cell>
          <cell r="C585" t="str">
            <v>KUUM_476</v>
          </cell>
          <cell r="E585">
            <v>4563</v>
          </cell>
        </row>
        <row r="586">
          <cell r="A586" t="str">
            <v>JUL 2014</v>
          </cell>
          <cell r="C586" t="str">
            <v>KUUM_477</v>
          </cell>
          <cell r="E586">
            <v>1052</v>
          </cell>
        </row>
        <row r="587">
          <cell r="A587" t="str">
            <v>JUL 2014</v>
          </cell>
          <cell r="C587" t="str">
            <v>KUUM_478</v>
          </cell>
          <cell r="E587">
            <v>1409</v>
          </cell>
        </row>
        <row r="588">
          <cell r="A588" t="str">
            <v>JUL 2014</v>
          </cell>
          <cell r="C588" t="str">
            <v>KUUM_479</v>
          </cell>
          <cell r="E588">
            <v>948</v>
          </cell>
        </row>
        <row r="589">
          <cell r="A589" t="str">
            <v>JUL 2014</v>
          </cell>
          <cell r="C589" t="str">
            <v>KUUM_487</v>
          </cell>
          <cell r="E589">
            <v>11165</v>
          </cell>
        </row>
        <row r="590">
          <cell r="A590" t="str">
            <v>JUL 2014</v>
          </cell>
          <cell r="C590" t="str">
            <v>KUUM_488</v>
          </cell>
          <cell r="E590">
            <v>6669</v>
          </cell>
        </row>
        <row r="591">
          <cell r="A591" t="str">
            <v>JUL 2014</v>
          </cell>
          <cell r="C591" t="str">
            <v>KUUM_489</v>
          </cell>
          <cell r="E591">
            <v>8390</v>
          </cell>
        </row>
        <row r="592">
          <cell r="A592" t="str">
            <v>JUL 2014</v>
          </cell>
          <cell r="C592" t="str">
            <v>KUUM_490</v>
          </cell>
          <cell r="E592">
            <v>60</v>
          </cell>
        </row>
        <row r="593">
          <cell r="A593" t="str">
            <v>JUL 2014</v>
          </cell>
          <cell r="C593" t="str">
            <v>KUUM_491</v>
          </cell>
          <cell r="E593">
            <v>304</v>
          </cell>
        </row>
        <row r="594">
          <cell r="A594" t="str">
            <v>JUL 2014</v>
          </cell>
          <cell r="C594" t="str">
            <v>KUUM_492</v>
          </cell>
          <cell r="E594">
            <v>2</v>
          </cell>
        </row>
        <row r="595">
          <cell r="A595" t="str">
            <v>JUL 2014</v>
          </cell>
          <cell r="C595" t="str">
            <v>KUUM_493</v>
          </cell>
          <cell r="E595">
            <v>43</v>
          </cell>
        </row>
        <row r="596">
          <cell r="A596" t="str">
            <v>JUL 2014</v>
          </cell>
          <cell r="C596" t="str">
            <v>KUUM_494</v>
          </cell>
          <cell r="E596">
            <v>182</v>
          </cell>
        </row>
        <row r="597">
          <cell r="A597" t="str">
            <v>JUL 2014</v>
          </cell>
          <cell r="C597" t="str">
            <v>KUUM_495</v>
          </cell>
          <cell r="E597">
            <v>649</v>
          </cell>
        </row>
        <row r="598">
          <cell r="A598" t="str">
            <v>JUL 2014</v>
          </cell>
          <cell r="C598" t="str">
            <v>KUUM_496</v>
          </cell>
          <cell r="E598">
            <v>154</v>
          </cell>
        </row>
        <row r="599">
          <cell r="A599" t="str">
            <v>JUL 2014</v>
          </cell>
          <cell r="C599" t="str">
            <v>KUUM_497</v>
          </cell>
          <cell r="E599">
            <v>10</v>
          </cell>
        </row>
        <row r="600">
          <cell r="A600" t="str">
            <v>JUL 2014</v>
          </cell>
          <cell r="C600" t="str">
            <v>KUUM_498</v>
          </cell>
          <cell r="E600">
            <v>26</v>
          </cell>
        </row>
        <row r="601">
          <cell r="A601" t="str">
            <v>JUL 2014</v>
          </cell>
          <cell r="C601" t="str">
            <v>KUUM_499</v>
          </cell>
          <cell r="E601">
            <v>30</v>
          </cell>
        </row>
        <row r="602">
          <cell r="A602" t="str">
            <v>JUL 2014</v>
          </cell>
          <cell r="C602" t="str">
            <v>Result</v>
          </cell>
          <cell r="E602">
            <v>172912</v>
          </cell>
        </row>
        <row r="603">
          <cell r="A603" t="str">
            <v>AUG 2014</v>
          </cell>
          <cell r="C603" t="str">
            <v>KTUM_406</v>
          </cell>
          <cell r="E603">
            <v>2</v>
          </cell>
        </row>
        <row r="604">
          <cell r="A604" t="str">
            <v>AUG 2014</v>
          </cell>
          <cell r="C604" t="str">
            <v>KTUM_428</v>
          </cell>
          <cell r="E604">
            <v>1</v>
          </cell>
        </row>
        <row r="605">
          <cell r="A605" t="str">
            <v>AUG 2014</v>
          </cell>
          <cell r="C605" t="str">
            <v>KUUM_360</v>
          </cell>
          <cell r="E605">
            <v>178</v>
          </cell>
        </row>
        <row r="606">
          <cell r="A606" t="str">
            <v>AUG 2014</v>
          </cell>
          <cell r="C606" t="str">
            <v>KUUM_361</v>
          </cell>
          <cell r="E606">
            <v>25</v>
          </cell>
        </row>
        <row r="607">
          <cell r="A607" t="str">
            <v>AUG 2014</v>
          </cell>
          <cell r="C607" t="str">
            <v>KUUM_362</v>
          </cell>
          <cell r="E607">
            <v>43</v>
          </cell>
        </row>
        <row r="608">
          <cell r="A608" t="str">
            <v>AUG 2014</v>
          </cell>
          <cell r="C608" t="str">
            <v>KUUM_363</v>
          </cell>
          <cell r="E608">
            <v>5</v>
          </cell>
        </row>
        <row r="609">
          <cell r="A609" t="str">
            <v>AUG 2014</v>
          </cell>
          <cell r="C609" t="str">
            <v>KUUM_364</v>
          </cell>
          <cell r="E609">
            <v>1</v>
          </cell>
        </row>
        <row r="610">
          <cell r="A610" t="str">
            <v>AUG 2014</v>
          </cell>
          <cell r="C610" t="str">
            <v>KUUM_365</v>
          </cell>
          <cell r="E610">
            <v>5</v>
          </cell>
        </row>
        <row r="611">
          <cell r="A611" t="str">
            <v>AUG 2014</v>
          </cell>
          <cell r="C611" t="str">
            <v>KUUM_366</v>
          </cell>
          <cell r="E611">
            <v>9</v>
          </cell>
        </row>
        <row r="612">
          <cell r="A612" t="str">
            <v>AUG 2014</v>
          </cell>
          <cell r="C612" t="str">
            <v>KUUM_367</v>
          </cell>
          <cell r="E612">
            <v>25</v>
          </cell>
        </row>
        <row r="613">
          <cell r="A613" t="str">
            <v>AUG 2014</v>
          </cell>
          <cell r="C613" t="str">
            <v>KUUM_368</v>
          </cell>
          <cell r="E613">
            <v>1</v>
          </cell>
        </row>
        <row r="614">
          <cell r="A614" t="str">
            <v>AUG 2014</v>
          </cell>
          <cell r="C614" t="str">
            <v>KUUM_370</v>
          </cell>
          <cell r="E614">
            <v>15</v>
          </cell>
        </row>
        <row r="615">
          <cell r="A615" t="str">
            <v>AUG 2014</v>
          </cell>
          <cell r="C615" t="str">
            <v>KUUM_372</v>
          </cell>
          <cell r="E615">
            <v>1</v>
          </cell>
        </row>
        <row r="616">
          <cell r="A616" t="str">
            <v>AUG 2014</v>
          </cell>
          <cell r="C616" t="str">
            <v>KUUM_373</v>
          </cell>
          <cell r="E616">
            <v>20</v>
          </cell>
        </row>
        <row r="617">
          <cell r="A617" t="str">
            <v>AUG 2014</v>
          </cell>
          <cell r="C617" t="str">
            <v>KUUM_374</v>
          </cell>
          <cell r="E617">
            <v>4</v>
          </cell>
        </row>
        <row r="618">
          <cell r="A618" t="str">
            <v>AUG 2014</v>
          </cell>
          <cell r="C618" t="str">
            <v>KUUM_375</v>
          </cell>
          <cell r="E618">
            <v>3</v>
          </cell>
        </row>
        <row r="619">
          <cell r="A619" t="str">
            <v>AUG 2014</v>
          </cell>
          <cell r="C619" t="str">
            <v>KUUM_376</v>
          </cell>
          <cell r="E619">
            <v>2</v>
          </cell>
        </row>
        <row r="620">
          <cell r="A620" t="str">
            <v>AUG 2014</v>
          </cell>
          <cell r="C620" t="str">
            <v>KUUM_377</v>
          </cell>
          <cell r="E620">
            <v>51</v>
          </cell>
        </row>
        <row r="621">
          <cell r="A621" t="str">
            <v>AUG 2014</v>
          </cell>
          <cell r="C621" t="str">
            <v>KUUM_378</v>
          </cell>
          <cell r="E621">
            <v>2</v>
          </cell>
        </row>
        <row r="622">
          <cell r="A622" t="str">
            <v>AUG 2014</v>
          </cell>
          <cell r="C622" t="str">
            <v>KUUM_401</v>
          </cell>
          <cell r="E622">
            <v>52</v>
          </cell>
        </row>
        <row r="623">
          <cell r="A623" t="str">
            <v>AUG 2014</v>
          </cell>
          <cell r="C623" t="str">
            <v>KUUM_404</v>
          </cell>
          <cell r="E623">
            <v>7037</v>
          </cell>
        </row>
        <row r="624">
          <cell r="A624" t="str">
            <v>AUG 2014</v>
          </cell>
          <cell r="C624" t="str">
            <v>KUUM_409</v>
          </cell>
          <cell r="E624">
            <v>137</v>
          </cell>
        </row>
        <row r="625">
          <cell r="A625" t="str">
            <v>AUG 2014</v>
          </cell>
          <cell r="C625" t="str">
            <v>KUUM_410</v>
          </cell>
          <cell r="E625">
            <v>240</v>
          </cell>
        </row>
        <row r="626">
          <cell r="A626" t="str">
            <v>AUG 2014</v>
          </cell>
          <cell r="C626" t="str">
            <v>KUUM_411</v>
          </cell>
          <cell r="E626">
            <v>150</v>
          </cell>
        </row>
        <row r="627">
          <cell r="A627" t="str">
            <v>AUG 2014</v>
          </cell>
          <cell r="C627" t="str">
            <v>KUUM_412</v>
          </cell>
          <cell r="E627">
            <v>28</v>
          </cell>
        </row>
        <row r="628">
          <cell r="A628" t="str">
            <v>AUG 2014</v>
          </cell>
          <cell r="C628" t="str">
            <v>KUUM_413</v>
          </cell>
          <cell r="E628">
            <v>96</v>
          </cell>
        </row>
        <row r="629">
          <cell r="A629" t="str">
            <v>AUG 2014</v>
          </cell>
          <cell r="C629" t="str">
            <v>KUUM_414</v>
          </cell>
          <cell r="E629">
            <v>21</v>
          </cell>
        </row>
        <row r="630">
          <cell r="A630" t="str">
            <v>AUG 2014</v>
          </cell>
          <cell r="C630" t="str">
            <v>KUUM_415</v>
          </cell>
          <cell r="E630">
            <v>10</v>
          </cell>
        </row>
        <row r="631">
          <cell r="A631" t="str">
            <v>AUG 2014</v>
          </cell>
          <cell r="C631" t="str">
            <v>KUUM_420</v>
          </cell>
          <cell r="E631">
            <v>510</v>
          </cell>
        </row>
        <row r="632">
          <cell r="A632" t="str">
            <v>AUG 2014</v>
          </cell>
          <cell r="C632" t="str">
            <v>KUUM_421</v>
          </cell>
          <cell r="E632">
            <v>5</v>
          </cell>
        </row>
        <row r="633">
          <cell r="A633" t="str">
            <v>AUG 2014</v>
          </cell>
          <cell r="C633" t="str">
            <v>KUUM_422</v>
          </cell>
          <cell r="E633">
            <v>667</v>
          </cell>
        </row>
        <row r="634">
          <cell r="A634" t="str">
            <v>AUG 2014</v>
          </cell>
          <cell r="C634" t="str">
            <v>KUUM_424</v>
          </cell>
          <cell r="E634">
            <v>45</v>
          </cell>
        </row>
        <row r="635">
          <cell r="A635" t="str">
            <v>AUG 2014</v>
          </cell>
          <cell r="C635" t="str">
            <v>KUUM_425</v>
          </cell>
          <cell r="E635">
            <v>2</v>
          </cell>
        </row>
        <row r="636">
          <cell r="A636" t="str">
            <v>AUG 2014</v>
          </cell>
          <cell r="C636" t="str">
            <v>KUUM_426</v>
          </cell>
          <cell r="E636">
            <v>171</v>
          </cell>
        </row>
        <row r="637">
          <cell r="A637" t="str">
            <v>AUG 2014</v>
          </cell>
          <cell r="C637" t="str">
            <v>KUUM_428</v>
          </cell>
          <cell r="E637">
            <v>36630</v>
          </cell>
        </row>
        <row r="638">
          <cell r="A638" t="str">
            <v>AUG 2014</v>
          </cell>
          <cell r="C638" t="str">
            <v>KUUM_430</v>
          </cell>
          <cell r="E638">
            <v>1182</v>
          </cell>
        </row>
        <row r="639">
          <cell r="A639" t="str">
            <v>AUG 2014</v>
          </cell>
          <cell r="C639" t="str">
            <v>KUUM_440</v>
          </cell>
          <cell r="E639">
            <v>2</v>
          </cell>
        </row>
        <row r="640">
          <cell r="A640" t="str">
            <v>AUG 2014</v>
          </cell>
          <cell r="C640" t="str">
            <v>KUUM_446</v>
          </cell>
          <cell r="E640">
            <v>1081</v>
          </cell>
        </row>
        <row r="641">
          <cell r="A641" t="str">
            <v>AUG 2014</v>
          </cell>
          <cell r="C641" t="str">
            <v>KUUM_447</v>
          </cell>
          <cell r="E641">
            <v>711</v>
          </cell>
        </row>
        <row r="642">
          <cell r="A642" t="str">
            <v>AUG 2014</v>
          </cell>
          <cell r="C642" t="str">
            <v>KUUM_448</v>
          </cell>
          <cell r="E642">
            <v>1475</v>
          </cell>
        </row>
        <row r="643">
          <cell r="A643" t="str">
            <v>AUG 2014</v>
          </cell>
          <cell r="C643" t="str">
            <v>KUUM_450</v>
          </cell>
          <cell r="E643">
            <v>679</v>
          </cell>
        </row>
        <row r="644">
          <cell r="A644" t="str">
            <v>AUG 2014</v>
          </cell>
          <cell r="C644" t="str">
            <v>KUUM_451</v>
          </cell>
          <cell r="E644">
            <v>5186</v>
          </cell>
        </row>
        <row r="645">
          <cell r="A645" t="str">
            <v>AUG 2014</v>
          </cell>
          <cell r="C645" t="str">
            <v>KUUM_452</v>
          </cell>
          <cell r="E645">
            <v>1063</v>
          </cell>
        </row>
        <row r="646">
          <cell r="A646" t="str">
            <v>AUG 2014</v>
          </cell>
          <cell r="C646" t="str">
            <v>KUUM_454</v>
          </cell>
          <cell r="E646">
            <v>150</v>
          </cell>
        </row>
        <row r="647">
          <cell r="A647" t="str">
            <v>AUG 2014</v>
          </cell>
          <cell r="C647" t="str">
            <v>KUUM_455</v>
          </cell>
          <cell r="E647">
            <v>1026</v>
          </cell>
        </row>
        <row r="648">
          <cell r="A648" t="str">
            <v>AUG 2014</v>
          </cell>
          <cell r="C648" t="str">
            <v>KUUM_456</v>
          </cell>
          <cell r="E648">
            <v>141</v>
          </cell>
        </row>
        <row r="649">
          <cell r="A649" t="str">
            <v>AUG 2014</v>
          </cell>
          <cell r="C649" t="str">
            <v>KUUM_457</v>
          </cell>
          <cell r="E649">
            <v>453</v>
          </cell>
        </row>
        <row r="650">
          <cell r="A650" t="str">
            <v>AUG 2014</v>
          </cell>
          <cell r="C650" t="str">
            <v>KUUM_458</v>
          </cell>
          <cell r="E650">
            <v>1457</v>
          </cell>
        </row>
        <row r="651">
          <cell r="A651" t="str">
            <v>AUG 2014</v>
          </cell>
          <cell r="C651" t="str">
            <v>KUUM_459</v>
          </cell>
          <cell r="E651">
            <v>226</v>
          </cell>
        </row>
        <row r="652">
          <cell r="A652" t="str">
            <v>AUG 2014</v>
          </cell>
          <cell r="C652" t="str">
            <v>KUUM_460</v>
          </cell>
          <cell r="E652">
            <v>26</v>
          </cell>
        </row>
        <row r="653">
          <cell r="A653" t="str">
            <v>AUG 2014</v>
          </cell>
          <cell r="C653" t="str">
            <v>KUUM_461</v>
          </cell>
          <cell r="E653">
            <v>6924</v>
          </cell>
        </row>
        <row r="654">
          <cell r="A654" t="str">
            <v>AUG 2014</v>
          </cell>
          <cell r="C654" t="str">
            <v>KUUM_462</v>
          </cell>
          <cell r="E654">
            <v>8811</v>
          </cell>
        </row>
        <row r="655">
          <cell r="A655" t="str">
            <v>AUG 2014</v>
          </cell>
          <cell r="C655" t="str">
            <v>KUUM_463</v>
          </cell>
          <cell r="E655">
            <v>20541</v>
          </cell>
        </row>
        <row r="656">
          <cell r="A656" t="str">
            <v>AUG 2014</v>
          </cell>
          <cell r="C656" t="str">
            <v>KUUM_464</v>
          </cell>
          <cell r="E656">
            <v>7614</v>
          </cell>
        </row>
        <row r="657">
          <cell r="A657" t="str">
            <v>AUG 2014</v>
          </cell>
          <cell r="C657" t="str">
            <v>KUUM_465</v>
          </cell>
          <cell r="E657">
            <v>2791</v>
          </cell>
        </row>
        <row r="658">
          <cell r="A658" t="str">
            <v>AUG 2014</v>
          </cell>
          <cell r="C658" t="str">
            <v>KUUM_466</v>
          </cell>
          <cell r="E658">
            <v>856</v>
          </cell>
        </row>
        <row r="659">
          <cell r="A659" t="str">
            <v>AUG 2014</v>
          </cell>
          <cell r="C659" t="str">
            <v>KUUM_467</v>
          </cell>
          <cell r="E659">
            <v>1363</v>
          </cell>
        </row>
        <row r="660">
          <cell r="A660" t="str">
            <v>AUG 2014</v>
          </cell>
          <cell r="C660" t="str">
            <v>KUUM_468</v>
          </cell>
          <cell r="E660">
            <v>4040</v>
          </cell>
        </row>
        <row r="661">
          <cell r="A661" t="str">
            <v>AUG 2014</v>
          </cell>
          <cell r="C661" t="str">
            <v>KUUM_469</v>
          </cell>
          <cell r="E661">
            <v>292</v>
          </cell>
        </row>
        <row r="662">
          <cell r="A662" t="str">
            <v>AUG 2014</v>
          </cell>
          <cell r="C662" t="str">
            <v>KUUM_470</v>
          </cell>
          <cell r="E662">
            <v>61</v>
          </cell>
        </row>
        <row r="663">
          <cell r="A663" t="str">
            <v>AUG 2014</v>
          </cell>
          <cell r="C663" t="str">
            <v>KUUM_471</v>
          </cell>
          <cell r="E663">
            <v>3666</v>
          </cell>
        </row>
        <row r="664">
          <cell r="A664" t="str">
            <v>AUG 2014</v>
          </cell>
          <cell r="C664" t="str">
            <v>KUUM_472</v>
          </cell>
          <cell r="E664">
            <v>8799</v>
          </cell>
        </row>
        <row r="665">
          <cell r="A665" t="str">
            <v>AUG 2014</v>
          </cell>
          <cell r="C665" t="str">
            <v>KUUM_473</v>
          </cell>
          <cell r="E665">
            <v>3375</v>
          </cell>
        </row>
        <row r="666">
          <cell r="A666" t="str">
            <v>AUG 2014</v>
          </cell>
          <cell r="C666" t="str">
            <v>KUUM_474</v>
          </cell>
          <cell r="E666">
            <v>5183</v>
          </cell>
        </row>
        <row r="667">
          <cell r="A667" t="str">
            <v>AUG 2014</v>
          </cell>
          <cell r="C667" t="str">
            <v>KUUM_475</v>
          </cell>
          <cell r="E667">
            <v>509</v>
          </cell>
        </row>
        <row r="668">
          <cell r="A668" t="str">
            <v>AUG 2014</v>
          </cell>
          <cell r="C668" t="str">
            <v>KUUM_476</v>
          </cell>
          <cell r="E668">
            <v>4575</v>
          </cell>
        </row>
        <row r="669">
          <cell r="A669" t="str">
            <v>AUG 2014</v>
          </cell>
          <cell r="C669" t="str">
            <v>KUUM_477</v>
          </cell>
          <cell r="E669">
            <v>1054</v>
          </cell>
        </row>
        <row r="670">
          <cell r="A670" t="str">
            <v>AUG 2014</v>
          </cell>
          <cell r="C670" t="str">
            <v>KUUM_478</v>
          </cell>
          <cell r="E670">
            <v>1407</v>
          </cell>
        </row>
        <row r="671">
          <cell r="A671" t="str">
            <v>AUG 2014</v>
          </cell>
          <cell r="C671" t="str">
            <v>KUUM_479</v>
          </cell>
          <cell r="E671">
            <v>941</v>
          </cell>
        </row>
        <row r="672">
          <cell r="A672" t="str">
            <v>AUG 2014</v>
          </cell>
          <cell r="C672" t="str">
            <v>KUUM_487</v>
          </cell>
          <cell r="E672">
            <v>11148</v>
          </cell>
        </row>
        <row r="673">
          <cell r="A673" t="str">
            <v>AUG 2014</v>
          </cell>
          <cell r="C673" t="str">
            <v>KUUM_488</v>
          </cell>
          <cell r="E673">
            <v>6622</v>
          </cell>
        </row>
        <row r="674">
          <cell r="A674" t="str">
            <v>AUG 2014</v>
          </cell>
          <cell r="C674" t="str">
            <v>KUUM_489</v>
          </cell>
          <cell r="E674">
            <v>8341</v>
          </cell>
        </row>
        <row r="675">
          <cell r="A675" t="str">
            <v>AUG 2014</v>
          </cell>
          <cell r="C675" t="str">
            <v>KUUM_490</v>
          </cell>
          <cell r="E675">
            <v>61</v>
          </cell>
        </row>
        <row r="676">
          <cell r="A676" t="str">
            <v>AUG 2014</v>
          </cell>
          <cell r="C676" t="str">
            <v>KUUM_491</v>
          </cell>
          <cell r="E676">
            <v>319</v>
          </cell>
        </row>
        <row r="677">
          <cell r="A677" t="str">
            <v>AUG 2014</v>
          </cell>
          <cell r="C677" t="str">
            <v>KUUM_492</v>
          </cell>
          <cell r="E677">
            <v>2</v>
          </cell>
        </row>
        <row r="678">
          <cell r="A678" t="str">
            <v>AUG 2014</v>
          </cell>
          <cell r="C678" t="str">
            <v>KUUM_493</v>
          </cell>
          <cell r="E678">
            <v>43</v>
          </cell>
        </row>
        <row r="679">
          <cell r="A679" t="str">
            <v>AUG 2014</v>
          </cell>
          <cell r="C679" t="str">
            <v>KUUM_494</v>
          </cell>
          <cell r="E679">
            <v>182</v>
          </cell>
        </row>
        <row r="680">
          <cell r="A680" t="str">
            <v>AUG 2014</v>
          </cell>
          <cell r="C680" t="str">
            <v>KUUM_495</v>
          </cell>
          <cell r="E680">
            <v>654</v>
          </cell>
        </row>
        <row r="681">
          <cell r="A681" t="str">
            <v>AUG 2014</v>
          </cell>
          <cell r="C681" t="str">
            <v>KUUM_496</v>
          </cell>
          <cell r="E681">
            <v>154</v>
          </cell>
        </row>
        <row r="682">
          <cell r="A682" t="str">
            <v>AUG 2014</v>
          </cell>
          <cell r="C682" t="str">
            <v>KUUM_497</v>
          </cell>
          <cell r="E682">
            <v>15</v>
          </cell>
        </row>
        <row r="683">
          <cell r="A683" t="str">
            <v>AUG 2014</v>
          </cell>
          <cell r="C683" t="str">
            <v>KUUM_498</v>
          </cell>
          <cell r="E683">
            <v>26</v>
          </cell>
        </row>
        <row r="684">
          <cell r="A684" t="str">
            <v>AUG 2014</v>
          </cell>
          <cell r="C684" t="str">
            <v>KUUM_499</v>
          </cell>
          <cell r="E684">
            <v>25</v>
          </cell>
        </row>
        <row r="685">
          <cell r="A685" t="str">
            <v>AUG 2014</v>
          </cell>
          <cell r="C685" t="str">
            <v>Result</v>
          </cell>
          <cell r="E685">
            <v>171446</v>
          </cell>
        </row>
        <row r="686">
          <cell r="A686" t="str">
            <v>SEP 2014</v>
          </cell>
          <cell r="C686" t="str">
            <v>KTUM_406</v>
          </cell>
          <cell r="E686">
            <v>2</v>
          </cell>
        </row>
        <row r="687">
          <cell r="A687" t="str">
            <v>SEP 2014</v>
          </cell>
          <cell r="C687" t="str">
            <v>KTUM_428</v>
          </cell>
          <cell r="E687">
            <v>1</v>
          </cell>
        </row>
        <row r="688">
          <cell r="A688" t="str">
            <v>SEP 2014</v>
          </cell>
          <cell r="C688" t="str">
            <v>KUUM_360</v>
          </cell>
          <cell r="E688">
            <v>172</v>
          </cell>
        </row>
        <row r="689">
          <cell r="A689" t="str">
            <v>SEP 2014</v>
          </cell>
          <cell r="C689" t="str">
            <v>KUUM_361</v>
          </cell>
          <cell r="E689">
            <v>26</v>
          </cell>
        </row>
        <row r="690">
          <cell r="A690" t="str">
            <v>SEP 2014</v>
          </cell>
          <cell r="C690" t="str">
            <v>KUUM_362</v>
          </cell>
          <cell r="E690">
            <v>40</v>
          </cell>
        </row>
        <row r="691">
          <cell r="A691" t="str">
            <v>SEP 2014</v>
          </cell>
          <cell r="C691" t="str">
            <v>KUUM_363</v>
          </cell>
          <cell r="E691">
            <v>5</v>
          </cell>
        </row>
        <row r="692">
          <cell r="A692" t="str">
            <v>SEP 2014</v>
          </cell>
          <cell r="C692" t="str">
            <v>KUUM_364</v>
          </cell>
          <cell r="E692">
            <v>1</v>
          </cell>
        </row>
        <row r="693">
          <cell r="A693" t="str">
            <v>SEP 2014</v>
          </cell>
          <cell r="C693" t="str">
            <v>KUUM_365</v>
          </cell>
          <cell r="E693">
            <v>5</v>
          </cell>
        </row>
        <row r="694">
          <cell r="A694" t="str">
            <v>SEP 2014</v>
          </cell>
          <cell r="C694" t="str">
            <v>KUUM_366</v>
          </cell>
          <cell r="E694">
            <v>10</v>
          </cell>
        </row>
        <row r="695">
          <cell r="A695" t="str">
            <v>SEP 2014</v>
          </cell>
          <cell r="C695" t="str">
            <v>KUUM_367</v>
          </cell>
          <cell r="E695">
            <v>24</v>
          </cell>
        </row>
        <row r="696">
          <cell r="A696" t="str">
            <v>SEP 2014</v>
          </cell>
          <cell r="C696" t="str">
            <v>KUUM_368</v>
          </cell>
          <cell r="E696">
            <v>1</v>
          </cell>
        </row>
        <row r="697">
          <cell r="A697" t="str">
            <v>SEP 2014</v>
          </cell>
          <cell r="C697" t="str">
            <v>KUUM_370</v>
          </cell>
          <cell r="E697">
            <v>16</v>
          </cell>
        </row>
        <row r="698">
          <cell r="A698" t="str">
            <v>SEP 2014</v>
          </cell>
          <cell r="C698" t="str">
            <v>KUUM_372</v>
          </cell>
          <cell r="E698">
            <v>1</v>
          </cell>
        </row>
        <row r="699">
          <cell r="A699" t="str">
            <v>SEP 2014</v>
          </cell>
          <cell r="C699" t="str">
            <v>KUUM_373</v>
          </cell>
          <cell r="E699">
            <v>19</v>
          </cell>
        </row>
        <row r="700">
          <cell r="A700" t="str">
            <v>SEP 2014</v>
          </cell>
          <cell r="C700" t="str">
            <v>KUUM_374</v>
          </cell>
          <cell r="E700">
            <v>4</v>
          </cell>
        </row>
        <row r="701">
          <cell r="A701" t="str">
            <v>SEP 2014</v>
          </cell>
          <cell r="C701" t="str">
            <v>KUUM_375</v>
          </cell>
          <cell r="E701">
            <v>3</v>
          </cell>
        </row>
        <row r="702">
          <cell r="A702" t="str">
            <v>SEP 2014</v>
          </cell>
          <cell r="C702" t="str">
            <v>KUUM_376</v>
          </cell>
          <cell r="E702">
            <v>2</v>
          </cell>
        </row>
        <row r="703">
          <cell r="A703" t="str">
            <v>SEP 2014</v>
          </cell>
          <cell r="C703" t="str">
            <v>KUUM_377</v>
          </cell>
          <cell r="E703">
            <v>49</v>
          </cell>
        </row>
        <row r="704">
          <cell r="A704" t="str">
            <v>SEP 2014</v>
          </cell>
          <cell r="C704" t="str">
            <v>KUUM_378</v>
          </cell>
          <cell r="E704">
            <v>2</v>
          </cell>
        </row>
        <row r="705">
          <cell r="A705" t="str">
            <v>SEP 2014</v>
          </cell>
          <cell r="C705" t="str">
            <v>KUUM_401</v>
          </cell>
          <cell r="E705">
            <v>50</v>
          </cell>
        </row>
        <row r="706">
          <cell r="A706" t="str">
            <v>SEP 2014</v>
          </cell>
          <cell r="C706" t="str">
            <v>KUUM_404</v>
          </cell>
          <cell r="E706">
            <v>7165</v>
          </cell>
        </row>
        <row r="707">
          <cell r="A707" t="str">
            <v>SEP 2014</v>
          </cell>
          <cell r="C707" t="str">
            <v>KUUM_409</v>
          </cell>
          <cell r="E707">
            <v>134</v>
          </cell>
        </row>
        <row r="708">
          <cell r="A708" t="str">
            <v>SEP 2014</v>
          </cell>
          <cell r="C708" t="str">
            <v>KUUM_410</v>
          </cell>
          <cell r="E708">
            <v>236</v>
          </cell>
        </row>
        <row r="709">
          <cell r="A709" t="str">
            <v>SEP 2014</v>
          </cell>
          <cell r="C709" t="str">
            <v>KUUM_411</v>
          </cell>
          <cell r="E709">
            <v>142</v>
          </cell>
        </row>
        <row r="710">
          <cell r="A710" t="str">
            <v>SEP 2014</v>
          </cell>
          <cell r="C710" t="str">
            <v>KUUM_412</v>
          </cell>
          <cell r="E710">
            <v>28</v>
          </cell>
        </row>
        <row r="711">
          <cell r="A711" t="str">
            <v>SEP 2014</v>
          </cell>
          <cell r="C711" t="str">
            <v>KUUM_413</v>
          </cell>
          <cell r="E711">
            <v>95</v>
          </cell>
        </row>
        <row r="712">
          <cell r="A712" t="str">
            <v>SEP 2014</v>
          </cell>
          <cell r="C712" t="str">
            <v>KUUM_414</v>
          </cell>
          <cell r="E712">
            <v>21</v>
          </cell>
        </row>
        <row r="713">
          <cell r="A713" t="str">
            <v>SEP 2014</v>
          </cell>
          <cell r="C713" t="str">
            <v>KUUM_415</v>
          </cell>
          <cell r="E713">
            <v>10</v>
          </cell>
        </row>
        <row r="714">
          <cell r="A714" t="str">
            <v>SEP 2014</v>
          </cell>
          <cell r="C714" t="str">
            <v>KUUM_420</v>
          </cell>
          <cell r="E714">
            <v>448</v>
          </cell>
        </row>
        <row r="715">
          <cell r="A715" t="str">
            <v>SEP 2014</v>
          </cell>
          <cell r="C715" t="str">
            <v>KUUM_421</v>
          </cell>
          <cell r="E715">
            <v>5</v>
          </cell>
        </row>
        <row r="716">
          <cell r="A716" t="str">
            <v>SEP 2014</v>
          </cell>
          <cell r="C716" t="str">
            <v>KUUM_422</v>
          </cell>
          <cell r="E716">
            <v>680</v>
          </cell>
        </row>
        <row r="717">
          <cell r="A717" t="str">
            <v>SEP 2014</v>
          </cell>
          <cell r="C717" t="str">
            <v>KUUM_424</v>
          </cell>
          <cell r="E717">
            <v>134</v>
          </cell>
        </row>
        <row r="718">
          <cell r="A718" t="str">
            <v>SEP 2014</v>
          </cell>
          <cell r="C718" t="str">
            <v>KUUM_425</v>
          </cell>
          <cell r="E718">
            <v>2</v>
          </cell>
        </row>
        <row r="719">
          <cell r="A719" t="str">
            <v>SEP 2014</v>
          </cell>
          <cell r="C719" t="str">
            <v>KUUM_426</v>
          </cell>
          <cell r="E719">
            <v>161</v>
          </cell>
        </row>
        <row r="720">
          <cell r="A720" t="str">
            <v>SEP 2014</v>
          </cell>
          <cell r="C720" t="str">
            <v>KUUM_428</v>
          </cell>
          <cell r="E720">
            <v>34809</v>
          </cell>
        </row>
        <row r="721">
          <cell r="A721" t="str">
            <v>SEP 2014</v>
          </cell>
          <cell r="C721" t="str">
            <v>KUUM_430</v>
          </cell>
          <cell r="E721">
            <v>1086</v>
          </cell>
        </row>
        <row r="722">
          <cell r="A722" t="str">
            <v>SEP 2014</v>
          </cell>
          <cell r="C722" t="str">
            <v>KUUM_434</v>
          </cell>
          <cell r="E722">
            <v>8</v>
          </cell>
        </row>
        <row r="723">
          <cell r="A723" t="str">
            <v>SEP 2014</v>
          </cell>
          <cell r="C723" t="str">
            <v>KUUM_440</v>
          </cell>
          <cell r="E723">
            <v>2</v>
          </cell>
        </row>
        <row r="724">
          <cell r="A724" t="str">
            <v>SEP 2014</v>
          </cell>
          <cell r="C724" t="str">
            <v>KUUM_446</v>
          </cell>
          <cell r="E724">
            <v>1037</v>
          </cell>
        </row>
        <row r="725">
          <cell r="A725" t="str">
            <v>SEP 2014</v>
          </cell>
          <cell r="C725" t="str">
            <v>KUUM_447</v>
          </cell>
          <cell r="E725">
            <v>728</v>
          </cell>
        </row>
        <row r="726">
          <cell r="A726" t="str">
            <v>SEP 2014</v>
          </cell>
          <cell r="C726" t="str">
            <v>KUUM_448</v>
          </cell>
          <cell r="E726">
            <v>1561</v>
          </cell>
        </row>
        <row r="727">
          <cell r="A727" t="str">
            <v>SEP 2014</v>
          </cell>
          <cell r="C727" t="str">
            <v>KUUM_450</v>
          </cell>
          <cell r="E727">
            <v>614</v>
          </cell>
        </row>
        <row r="728">
          <cell r="A728" t="str">
            <v>SEP 2014</v>
          </cell>
          <cell r="C728" t="str">
            <v>KUUM_451</v>
          </cell>
          <cell r="E728">
            <v>4843</v>
          </cell>
        </row>
        <row r="729">
          <cell r="A729" t="str">
            <v>SEP 2014</v>
          </cell>
          <cell r="C729" t="str">
            <v>KUUM_452</v>
          </cell>
          <cell r="E729">
            <v>993</v>
          </cell>
        </row>
        <row r="730">
          <cell r="A730" t="str">
            <v>SEP 2014</v>
          </cell>
          <cell r="C730" t="str">
            <v>KUUM_454</v>
          </cell>
          <cell r="E730">
            <v>142</v>
          </cell>
        </row>
        <row r="731">
          <cell r="A731" t="str">
            <v>SEP 2014</v>
          </cell>
          <cell r="C731" t="str">
            <v>KUUM_455</v>
          </cell>
          <cell r="E731">
            <v>991</v>
          </cell>
        </row>
        <row r="732">
          <cell r="A732" t="str">
            <v>SEP 2014</v>
          </cell>
          <cell r="C732" t="str">
            <v>KUUM_456</v>
          </cell>
          <cell r="E732">
            <v>135</v>
          </cell>
        </row>
        <row r="733">
          <cell r="A733" t="str">
            <v>SEP 2014</v>
          </cell>
          <cell r="C733" t="str">
            <v>KUUM_457</v>
          </cell>
          <cell r="E733">
            <v>440</v>
          </cell>
        </row>
        <row r="734">
          <cell r="A734" t="str">
            <v>SEP 2014</v>
          </cell>
          <cell r="C734" t="str">
            <v>KUUM_458</v>
          </cell>
          <cell r="E734">
            <v>1450</v>
          </cell>
        </row>
        <row r="735">
          <cell r="A735" t="str">
            <v>SEP 2014</v>
          </cell>
          <cell r="C735" t="str">
            <v>KUUM_459</v>
          </cell>
          <cell r="E735">
            <v>216</v>
          </cell>
        </row>
        <row r="736">
          <cell r="A736" t="str">
            <v>SEP 2014</v>
          </cell>
          <cell r="C736" t="str">
            <v>KUUM_460</v>
          </cell>
          <cell r="E736">
            <v>26</v>
          </cell>
        </row>
        <row r="737">
          <cell r="A737" t="str">
            <v>SEP 2014</v>
          </cell>
          <cell r="C737" t="str">
            <v>KUUM_461</v>
          </cell>
          <cell r="E737">
            <v>6648</v>
          </cell>
        </row>
        <row r="738">
          <cell r="A738" t="str">
            <v>SEP 2014</v>
          </cell>
          <cell r="C738" t="str">
            <v>KUUM_462</v>
          </cell>
          <cell r="E738">
            <v>7031</v>
          </cell>
        </row>
        <row r="739">
          <cell r="A739" t="str">
            <v>SEP 2014</v>
          </cell>
          <cell r="C739" t="str">
            <v>KUUM_463</v>
          </cell>
          <cell r="E739">
            <v>19635</v>
          </cell>
        </row>
        <row r="740">
          <cell r="A740" t="str">
            <v>SEP 2014</v>
          </cell>
          <cell r="C740" t="str">
            <v>KUUM_464</v>
          </cell>
          <cell r="E740">
            <v>7192</v>
          </cell>
        </row>
        <row r="741">
          <cell r="A741" t="str">
            <v>SEP 2014</v>
          </cell>
          <cell r="C741" t="str">
            <v>KUUM_465</v>
          </cell>
          <cell r="E741">
            <v>2703</v>
          </cell>
        </row>
        <row r="742">
          <cell r="A742" t="str">
            <v>SEP 2014</v>
          </cell>
          <cell r="C742" t="str">
            <v>KUUM_466</v>
          </cell>
          <cell r="E742">
            <v>828</v>
          </cell>
        </row>
        <row r="743">
          <cell r="A743" t="str">
            <v>SEP 2014</v>
          </cell>
          <cell r="C743" t="str">
            <v>KUUM_467</v>
          </cell>
          <cell r="E743">
            <v>1210</v>
          </cell>
        </row>
        <row r="744">
          <cell r="A744" t="str">
            <v>SEP 2014</v>
          </cell>
          <cell r="C744" t="str">
            <v>KUUM_468</v>
          </cell>
          <cell r="E744">
            <v>3809</v>
          </cell>
        </row>
        <row r="745">
          <cell r="A745" t="str">
            <v>SEP 2014</v>
          </cell>
          <cell r="C745" t="str">
            <v>KUUM_469</v>
          </cell>
          <cell r="E745">
            <v>283</v>
          </cell>
        </row>
        <row r="746">
          <cell r="A746" t="str">
            <v>SEP 2014</v>
          </cell>
          <cell r="C746" t="str">
            <v>KUUM_470</v>
          </cell>
          <cell r="E746">
            <v>68</v>
          </cell>
        </row>
        <row r="747">
          <cell r="A747" t="str">
            <v>SEP 2014</v>
          </cell>
          <cell r="C747" t="str">
            <v>KUUM_471</v>
          </cell>
          <cell r="E747">
            <v>3584</v>
          </cell>
        </row>
        <row r="748">
          <cell r="A748" t="str">
            <v>SEP 2014</v>
          </cell>
          <cell r="C748" t="str">
            <v>KUUM_472</v>
          </cell>
          <cell r="E748">
            <v>8387</v>
          </cell>
        </row>
        <row r="749">
          <cell r="A749" t="str">
            <v>SEP 2014</v>
          </cell>
          <cell r="C749" t="str">
            <v>KUUM_473</v>
          </cell>
          <cell r="E749">
            <v>3286</v>
          </cell>
        </row>
        <row r="750">
          <cell r="A750" t="str">
            <v>SEP 2014</v>
          </cell>
          <cell r="C750" t="str">
            <v>KUUM_474</v>
          </cell>
          <cell r="E750">
            <v>4908</v>
          </cell>
        </row>
        <row r="751">
          <cell r="A751" t="str">
            <v>SEP 2014</v>
          </cell>
          <cell r="C751" t="str">
            <v>KUUM_475</v>
          </cell>
          <cell r="E751">
            <v>470</v>
          </cell>
        </row>
        <row r="752">
          <cell r="A752" t="str">
            <v>SEP 2014</v>
          </cell>
          <cell r="C752" t="str">
            <v>KUUM_476</v>
          </cell>
          <cell r="E752">
            <v>4453</v>
          </cell>
        </row>
        <row r="753">
          <cell r="A753" t="str">
            <v>SEP 2014</v>
          </cell>
          <cell r="C753" t="str">
            <v>KUUM_477</v>
          </cell>
          <cell r="E753">
            <v>1032</v>
          </cell>
        </row>
        <row r="754">
          <cell r="A754" t="str">
            <v>SEP 2014</v>
          </cell>
          <cell r="C754" t="str">
            <v>KUUM_478</v>
          </cell>
          <cell r="E754">
            <v>1363</v>
          </cell>
        </row>
        <row r="755">
          <cell r="A755" t="str">
            <v>SEP 2014</v>
          </cell>
          <cell r="C755" t="str">
            <v>KUUM_479</v>
          </cell>
          <cell r="E755">
            <v>889</v>
          </cell>
        </row>
        <row r="756">
          <cell r="A756" t="str">
            <v>SEP 2014</v>
          </cell>
          <cell r="C756" t="str">
            <v>KUUM_487</v>
          </cell>
          <cell r="E756">
            <v>10610</v>
          </cell>
        </row>
        <row r="757">
          <cell r="A757" t="str">
            <v>SEP 2014</v>
          </cell>
          <cell r="C757" t="str">
            <v>KUUM_488</v>
          </cell>
          <cell r="E757">
            <v>6289</v>
          </cell>
        </row>
        <row r="758">
          <cell r="A758" t="str">
            <v>SEP 2014</v>
          </cell>
          <cell r="C758" t="str">
            <v>KUUM_489</v>
          </cell>
          <cell r="E758">
            <v>7972</v>
          </cell>
        </row>
        <row r="759">
          <cell r="A759" t="str">
            <v>SEP 2014</v>
          </cell>
          <cell r="C759" t="str">
            <v>KUUM_490</v>
          </cell>
          <cell r="E759">
            <v>56</v>
          </cell>
        </row>
        <row r="760">
          <cell r="A760" t="str">
            <v>SEP 2014</v>
          </cell>
          <cell r="C760" t="str">
            <v>KUUM_491</v>
          </cell>
          <cell r="E760">
            <v>311</v>
          </cell>
        </row>
        <row r="761">
          <cell r="A761" t="str">
            <v>SEP 2014</v>
          </cell>
          <cell r="C761" t="str">
            <v>KUUM_492</v>
          </cell>
          <cell r="E761">
            <v>2</v>
          </cell>
        </row>
        <row r="762">
          <cell r="A762" t="str">
            <v>SEP 2014</v>
          </cell>
          <cell r="C762" t="str">
            <v>KUUM_493</v>
          </cell>
          <cell r="E762">
            <v>48</v>
          </cell>
        </row>
        <row r="763">
          <cell r="A763" t="str">
            <v>SEP 2014</v>
          </cell>
          <cell r="C763" t="str">
            <v>KUUM_494</v>
          </cell>
          <cell r="E763">
            <v>191</v>
          </cell>
        </row>
        <row r="764">
          <cell r="A764" t="str">
            <v>SEP 2014</v>
          </cell>
          <cell r="C764" t="str">
            <v>KUUM_495</v>
          </cell>
          <cell r="E764">
            <v>612</v>
          </cell>
        </row>
        <row r="765">
          <cell r="A765" t="str">
            <v>SEP 2014</v>
          </cell>
          <cell r="C765" t="str">
            <v>KUUM_496</v>
          </cell>
          <cell r="E765">
            <v>159</v>
          </cell>
        </row>
        <row r="766">
          <cell r="A766" t="str">
            <v>SEP 2014</v>
          </cell>
          <cell r="C766" t="str">
            <v>KUUM_497</v>
          </cell>
          <cell r="E766">
            <v>7</v>
          </cell>
        </row>
        <row r="767">
          <cell r="A767" t="str">
            <v>SEP 2014</v>
          </cell>
          <cell r="C767" t="str">
            <v>KUUM_498</v>
          </cell>
          <cell r="E767">
            <v>20</v>
          </cell>
        </row>
        <row r="768">
          <cell r="A768" t="str">
            <v>SEP 2014</v>
          </cell>
          <cell r="C768" t="str">
            <v>KUUM_499</v>
          </cell>
          <cell r="E768">
            <v>19</v>
          </cell>
        </row>
        <row r="769">
          <cell r="A769" t="str">
            <v>SEP 2014</v>
          </cell>
          <cell r="C769" t="str">
            <v>Result</v>
          </cell>
          <cell r="E769">
            <v>162847</v>
          </cell>
        </row>
        <row r="770">
          <cell r="A770" t="str">
            <v>OCT 2014</v>
          </cell>
          <cell r="C770" t="str">
            <v>KTUM_406</v>
          </cell>
          <cell r="E770">
            <v>2</v>
          </cell>
        </row>
        <row r="771">
          <cell r="A771" t="str">
            <v>OCT 2014</v>
          </cell>
          <cell r="C771" t="str">
            <v>KTUM_428</v>
          </cell>
          <cell r="E771">
            <v>1</v>
          </cell>
        </row>
        <row r="772">
          <cell r="A772" t="str">
            <v>OCT 2014</v>
          </cell>
          <cell r="C772" t="str">
            <v>KUUM_360</v>
          </cell>
          <cell r="E772">
            <v>172</v>
          </cell>
        </row>
        <row r="773">
          <cell r="A773" t="str">
            <v>OCT 2014</v>
          </cell>
          <cell r="C773" t="str">
            <v>KUUM_361</v>
          </cell>
          <cell r="E773">
            <v>26</v>
          </cell>
        </row>
        <row r="774">
          <cell r="A774" t="str">
            <v>OCT 2014</v>
          </cell>
          <cell r="C774" t="str">
            <v>KUUM_362</v>
          </cell>
          <cell r="E774">
            <v>44</v>
          </cell>
        </row>
        <row r="775">
          <cell r="A775" t="str">
            <v>OCT 2014</v>
          </cell>
          <cell r="C775" t="str">
            <v>KUUM_363</v>
          </cell>
          <cell r="E775">
            <v>5</v>
          </cell>
        </row>
        <row r="776">
          <cell r="A776" t="str">
            <v>OCT 2014</v>
          </cell>
          <cell r="C776" t="str">
            <v>KUUM_364</v>
          </cell>
          <cell r="E776">
            <v>1</v>
          </cell>
        </row>
        <row r="777">
          <cell r="A777" t="str">
            <v>OCT 2014</v>
          </cell>
          <cell r="C777" t="str">
            <v>KUUM_365</v>
          </cell>
          <cell r="E777">
            <v>5</v>
          </cell>
        </row>
        <row r="778">
          <cell r="A778" t="str">
            <v>OCT 2014</v>
          </cell>
          <cell r="C778" t="str">
            <v>KUUM_366</v>
          </cell>
          <cell r="E778">
            <v>10</v>
          </cell>
        </row>
        <row r="779">
          <cell r="A779" t="str">
            <v>OCT 2014</v>
          </cell>
          <cell r="C779" t="str">
            <v>KUUM_367</v>
          </cell>
          <cell r="E779">
            <v>24</v>
          </cell>
        </row>
        <row r="780">
          <cell r="A780" t="str">
            <v>OCT 2014</v>
          </cell>
          <cell r="C780" t="str">
            <v>KUUM_368</v>
          </cell>
          <cell r="E780">
            <v>1</v>
          </cell>
        </row>
        <row r="781">
          <cell r="A781" t="str">
            <v>OCT 2014</v>
          </cell>
          <cell r="C781" t="str">
            <v>KUUM_370</v>
          </cell>
          <cell r="E781">
            <v>16</v>
          </cell>
        </row>
        <row r="782">
          <cell r="A782" t="str">
            <v>OCT 2014</v>
          </cell>
          <cell r="C782" t="str">
            <v>KUUM_372</v>
          </cell>
          <cell r="E782">
            <v>1</v>
          </cell>
        </row>
        <row r="783">
          <cell r="A783" t="str">
            <v>OCT 2014</v>
          </cell>
          <cell r="C783" t="str">
            <v>KUUM_373</v>
          </cell>
          <cell r="E783">
            <v>19</v>
          </cell>
        </row>
        <row r="784">
          <cell r="A784" t="str">
            <v>OCT 2014</v>
          </cell>
          <cell r="C784" t="str">
            <v>KUUM_374</v>
          </cell>
          <cell r="E784">
            <v>4</v>
          </cell>
        </row>
        <row r="785">
          <cell r="A785" t="str">
            <v>OCT 2014</v>
          </cell>
          <cell r="C785" t="str">
            <v>KUUM_375</v>
          </cell>
          <cell r="E785">
            <v>3</v>
          </cell>
        </row>
        <row r="786">
          <cell r="A786" t="str">
            <v>OCT 2014</v>
          </cell>
          <cell r="C786" t="str">
            <v>KUUM_376</v>
          </cell>
          <cell r="E786">
            <v>2</v>
          </cell>
        </row>
        <row r="787">
          <cell r="A787" t="str">
            <v>OCT 2014</v>
          </cell>
          <cell r="C787" t="str">
            <v>KUUM_377</v>
          </cell>
          <cell r="E787">
            <v>49</v>
          </cell>
        </row>
        <row r="788">
          <cell r="A788" t="str">
            <v>OCT 2014</v>
          </cell>
          <cell r="C788" t="str">
            <v>KUUM_378</v>
          </cell>
          <cell r="E788">
            <v>2</v>
          </cell>
        </row>
        <row r="789">
          <cell r="A789" t="str">
            <v>OCT 2014</v>
          </cell>
          <cell r="C789" t="str">
            <v>KUUM_401</v>
          </cell>
          <cell r="E789">
            <v>56</v>
          </cell>
        </row>
        <row r="790">
          <cell r="A790" t="str">
            <v>OCT 2014</v>
          </cell>
          <cell r="C790" t="str">
            <v>KUUM_404</v>
          </cell>
          <cell r="E790">
            <v>7155</v>
          </cell>
        </row>
        <row r="791">
          <cell r="A791" t="str">
            <v>OCT 2014</v>
          </cell>
          <cell r="C791" t="str">
            <v>KUUM_409</v>
          </cell>
          <cell r="E791">
            <v>134</v>
          </cell>
        </row>
        <row r="792">
          <cell r="A792" t="str">
            <v>OCT 2014</v>
          </cell>
          <cell r="C792" t="str">
            <v>KUUM_410</v>
          </cell>
          <cell r="E792">
            <v>236</v>
          </cell>
        </row>
        <row r="793">
          <cell r="A793" t="str">
            <v>OCT 2014</v>
          </cell>
          <cell r="C793" t="str">
            <v>KUUM_411</v>
          </cell>
          <cell r="E793">
            <v>142</v>
          </cell>
        </row>
        <row r="794">
          <cell r="A794" t="str">
            <v>OCT 2014</v>
          </cell>
          <cell r="C794" t="str">
            <v>KUUM_412</v>
          </cell>
          <cell r="E794">
            <v>28</v>
          </cell>
        </row>
        <row r="795">
          <cell r="A795" t="str">
            <v>OCT 2014</v>
          </cell>
          <cell r="C795" t="str">
            <v>KUUM_413</v>
          </cell>
          <cell r="E795">
            <v>95</v>
          </cell>
        </row>
        <row r="796">
          <cell r="A796" t="str">
            <v>OCT 2014</v>
          </cell>
          <cell r="C796" t="str">
            <v>KUUM_414</v>
          </cell>
          <cell r="E796">
            <v>21</v>
          </cell>
        </row>
        <row r="797">
          <cell r="A797" t="str">
            <v>OCT 2014</v>
          </cell>
          <cell r="C797" t="str">
            <v>KUUM_415</v>
          </cell>
          <cell r="E797">
            <v>10</v>
          </cell>
        </row>
        <row r="798">
          <cell r="A798" t="str">
            <v>OCT 2014</v>
          </cell>
          <cell r="C798" t="str">
            <v>KUUM_420</v>
          </cell>
          <cell r="E798">
            <v>468</v>
          </cell>
        </row>
        <row r="799">
          <cell r="A799" t="str">
            <v>OCT 2014</v>
          </cell>
          <cell r="C799" t="str">
            <v>KUUM_421</v>
          </cell>
          <cell r="E799">
            <v>5</v>
          </cell>
        </row>
        <row r="800">
          <cell r="A800" t="str">
            <v>OCT 2014</v>
          </cell>
          <cell r="C800" t="str">
            <v>KUUM_422</v>
          </cell>
          <cell r="E800">
            <v>676</v>
          </cell>
        </row>
        <row r="801">
          <cell r="A801" t="str">
            <v>OCT 2014</v>
          </cell>
          <cell r="C801" t="str">
            <v>KUUM_424</v>
          </cell>
          <cell r="E801">
            <v>120</v>
          </cell>
        </row>
        <row r="802">
          <cell r="A802" t="str">
            <v>OCT 2014</v>
          </cell>
          <cell r="C802" t="str">
            <v>KUUM_425</v>
          </cell>
          <cell r="E802">
            <v>2</v>
          </cell>
        </row>
        <row r="803">
          <cell r="A803" t="str">
            <v>OCT 2014</v>
          </cell>
          <cell r="C803" t="str">
            <v>KUUM_426</v>
          </cell>
          <cell r="E803">
            <v>162</v>
          </cell>
        </row>
        <row r="804">
          <cell r="A804" t="str">
            <v>OCT 2014</v>
          </cell>
          <cell r="C804" t="str">
            <v>KUUM_428</v>
          </cell>
          <cell r="E804">
            <v>34920</v>
          </cell>
        </row>
        <row r="805">
          <cell r="A805" t="str">
            <v>OCT 2014</v>
          </cell>
          <cell r="C805" t="str">
            <v>KUUM_430</v>
          </cell>
          <cell r="E805">
            <v>1146</v>
          </cell>
        </row>
        <row r="806">
          <cell r="C806" t="str">
            <v>KUUM_434</v>
          </cell>
          <cell r="E806">
            <v>16</v>
          </cell>
        </row>
        <row r="807">
          <cell r="A807" t="str">
            <v>OCT 2014</v>
          </cell>
          <cell r="C807" t="str">
            <v>KUUM_440</v>
          </cell>
          <cell r="E807">
            <v>2</v>
          </cell>
        </row>
        <row r="808">
          <cell r="A808" t="str">
            <v>OCT 2014</v>
          </cell>
          <cell r="C808" t="str">
            <v>KUUM_446</v>
          </cell>
          <cell r="E808">
            <v>1070</v>
          </cell>
        </row>
        <row r="809">
          <cell r="A809" t="str">
            <v>OCT 2014</v>
          </cell>
          <cell r="C809" t="str">
            <v>KUUM_447</v>
          </cell>
          <cell r="E809">
            <v>734</v>
          </cell>
        </row>
        <row r="810">
          <cell r="A810" t="str">
            <v>OCT 2014</v>
          </cell>
          <cell r="C810" t="str">
            <v>KUUM_448</v>
          </cell>
          <cell r="E810">
            <v>1606</v>
          </cell>
        </row>
        <row r="811">
          <cell r="A811" t="str">
            <v>OCT 2014</v>
          </cell>
          <cell r="C811" t="str">
            <v>KUUM_450</v>
          </cell>
          <cell r="E811">
            <v>614</v>
          </cell>
        </row>
        <row r="812">
          <cell r="A812" t="str">
            <v>OCT 2014</v>
          </cell>
          <cell r="C812" t="str">
            <v>KUUM_451</v>
          </cell>
          <cell r="E812">
            <v>5012</v>
          </cell>
        </row>
        <row r="813">
          <cell r="A813" t="str">
            <v>OCT 2014</v>
          </cell>
          <cell r="C813" t="str">
            <v>KUUM_452</v>
          </cell>
          <cell r="E813">
            <v>1038</v>
          </cell>
        </row>
        <row r="814">
          <cell r="A814" t="str">
            <v>OCT 2014</v>
          </cell>
          <cell r="C814" t="str">
            <v>KUUM_454</v>
          </cell>
          <cell r="E814">
            <v>124</v>
          </cell>
        </row>
        <row r="815">
          <cell r="A815" t="str">
            <v>OCT 2014</v>
          </cell>
          <cell r="C815" t="str">
            <v>KUUM_455</v>
          </cell>
          <cell r="E815">
            <v>1027</v>
          </cell>
        </row>
        <row r="816">
          <cell r="A816" t="str">
            <v>OCT 2014</v>
          </cell>
          <cell r="C816" t="str">
            <v>KUUM_456</v>
          </cell>
          <cell r="E816">
            <v>126</v>
          </cell>
        </row>
        <row r="817">
          <cell r="A817" t="str">
            <v>OCT 2014</v>
          </cell>
          <cell r="C817" t="str">
            <v>KUUM_457</v>
          </cell>
          <cell r="E817">
            <v>402</v>
          </cell>
        </row>
        <row r="818">
          <cell r="A818" t="str">
            <v>OCT 2014</v>
          </cell>
          <cell r="C818" t="str">
            <v>KUUM_458</v>
          </cell>
          <cell r="E818">
            <v>1593</v>
          </cell>
        </row>
        <row r="819">
          <cell r="A819" t="str">
            <v>OCT 2014</v>
          </cell>
          <cell r="C819" t="str">
            <v>KUUM_459</v>
          </cell>
          <cell r="E819">
            <v>246</v>
          </cell>
        </row>
        <row r="820">
          <cell r="A820" t="str">
            <v>OCT 2014</v>
          </cell>
          <cell r="C820" t="str">
            <v>KUUM_460</v>
          </cell>
          <cell r="E820">
            <v>-249</v>
          </cell>
        </row>
        <row r="821">
          <cell r="A821" t="str">
            <v>OCT 2014</v>
          </cell>
          <cell r="C821" t="str">
            <v>KUUM_461</v>
          </cell>
          <cell r="E821">
            <v>6467</v>
          </cell>
        </row>
        <row r="822">
          <cell r="A822" t="str">
            <v>OCT 2014</v>
          </cell>
          <cell r="C822" t="str">
            <v>KUUM_462</v>
          </cell>
          <cell r="E822">
            <v>9866</v>
          </cell>
        </row>
        <row r="823">
          <cell r="A823" t="str">
            <v>OCT 2014</v>
          </cell>
          <cell r="C823" t="str">
            <v>KUUM_463</v>
          </cell>
          <cell r="E823">
            <v>20336</v>
          </cell>
        </row>
        <row r="824">
          <cell r="A824" t="str">
            <v>OCT 2014</v>
          </cell>
          <cell r="C824" t="str">
            <v>KUUM_464</v>
          </cell>
          <cell r="E824">
            <v>7722</v>
          </cell>
        </row>
        <row r="825">
          <cell r="A825" t="str">
            <v>OCT 2014</v>
          </cell>
          <cell r="C825" t="str">
            <v>KUUM_465</v>
          </cell>
          <cell r="E825">
            <v>2855</v>
          </cell>
        </row>
        <row r="826">
          <cell r="A826" t="str">
            <v>OCT 2014</v>
          </cell>
          <cell r="C826" t="str">
            <v>KUUM_466</v>
          </cell>
          <cell r="E826">
            <v>804</v>
          </cell>
        </row>
        <row r="827">
          <cell r="A827" t="str">
            <v>OCT 2014</v>
          </cell>
          <cell r="C827" t="str">
            <v>KUUM_467</v>
          </cell>
          <cell r="E827">
            <v>1329</v>
          </cell>
        </row>
        <row r="828">
          <cell r="A828" t="str">
            <v>OCT 2014</v>
          </cell>
          <cell r="C828" t="str">
            <v>KUUM_468</v>
          </cell>
          <cell r="E828">
            <v>3982</v>
          </cell>
        </row>
        <row r="829">
          <cell r="A829" t="str">
            <v>OCT 2014</v>
          </cell>
          <cell r="C829" t="str">
            <v>KUUM_469</v>
          </cell>
          <cell r="E829">
            <v>291</v>
          </cell>
        </row>
        <row r="830">
          <cell r="A830" t="str">
            <v>OCT 2014</v>
          </cell>
          <cell r="C830" t="str">
            <v>KUUM_470</v>
          </cell>
          <cell r="E830">
            <v>-36</v>
          </cell>
        </row>
        <row r="831">
          <cell r="A831" t="str">
            <v>OCT 2014</v>
          </cell>
          <cell r="C831" t="str">
            <v>KUUM_471</v>
          </cell>
          <cell r="E831">
            <v>3400</v>
          </cell>
        </row>
        <row r="832">
          <cell r="A832" t="str">
            <v>OCT 2014</v>
          </cell>
          <cell r="C832" t="str">
            <v>KUUM_472</v>
          </cell>
          <cell r="E832">
            <v>8622</v>
          </cell>
        </row>
        <row r="833">
          <cell r="A833" t="str">
            <v>OCT 2014</v>
          </cell>
          <cell r="C833" t="str">
            <v>KUUM_473</v>
          </cell>
          <cell r="E833">
            <v>3232</v>
          </cell>
        </row>
        <row r="834">
          <cell r="A834" t="str">
            <v>OCT 2014</v>
          </cell>
          <cell r="C834" t="str">
            <v>KUUM_474</v>
          </cell>
          <cell r="E834">
            <v>5196</v>
          </cell>
        </row>
        <row r="835">
          <cell r="A835" t="str">
            <v>OCT 2014</v>
          </cell>
          <cell r="C835" t="str">
            <v>KUUM_475</v>
          </cell>
          <cell r="E835">
            <v>453</v>
          </cell>
        </row>
        <row r="836">
          <cell r="A836" t="str">
            <v>OCT 2014</v>
          </cell>
          <cell r="C836" t="str">
            <v>KUUM_476</v>
          </cell>
          <cell r="E836">
            <v>4554</v>
          </cell>
        </row>
        <row r="837">
          <cell r="A837" t="str">
            <v>OCT 2014</v>
          </cell>
          <cell r="C837" t="str">
            <v>KUUM_477</v>
          </cell>
          <cell r="E837">
            <v>1021</v>
          </cell>
        </row>
        <row r="838">
          <cell r="A838" t="str">
            <v>OCT 2014</v>
          </cell>
          <cell r="C838" t="str">
            <v>KUUM_478</v>
          </cell>
          <cell r="E838">
            <v>1391</v>
          </cell>
        </row>
        <row r="839">
          <cell r="A839" t="str">
            <v>OCT 2014</v>
          </cell>
          <cell r="C839" t="str">
            <v>KUUM_479</v>
          </cell>
          <cell r="E839">
            <v>999</v>
          </cell>
        </row>
        <row r="840">
          <cell r="A840" t="str">
            <v>OCT 2014</v>
          </cell>
          <cell r="C840" t="str">
            <v>KUUM_487</v>
          </cell>
          <cell r="E840">
            <v>10672</v>
          </cell>
        </row>
        <row r="841">
          <cell r="A841" t="str">
            <v>OCT 2014</v>
          </cell>
          <cell r="C841" t="str">
            <v>KUUM_488</v>
          </cell>
          <cell r="E841">
            <v>6331</v>
          </cell>
        </row>
        <row r="842">
          <cell r="A842" t="str">
            <v>OCT 2014</v>
          </cell>
          <cell r="C842" t="str">
            <v>KUUM_489</v>
          </cell>
          <cell r="E842">
            <v>8015</v>
          </cell>
        </row>
        <row r="843">
          <cell r="A843" t="str">
            <v>OCT 2014</v>
          </cell>
          <cell r="C843" t="str">
            <v>KUUM_490</v>
          </cell>
          <cell r="E843">
            <v>56</v>
          </cell>
        </row>
        <row r="844">
          <cell r="A844" t="str">
            <v>OCT 2014</v>
          </cell>
          <cell r="C844" t="str">
            <v>KUUM_491</v>
          </cell>
          <cell r="E844">
            <v>317</v>
          </cell>
        </row>
        <row r="845">
          <cell r="A845" t="str">
            <v>OCT 2014</v>
          </cell>
          <cell r="C845" t="str">
            <v>KUUM_492</v>
          </cell>
          <cell r="E845">
            <v>2</v>
          </cell>
        </row>
        <row r="846">
          <cell r="A846" t="str">
            <v>OCT 2014</v>
          </cell>
          <cell r="C846" t="str">
            <v>KUUM_493</v>
          </cell>
          <cell r="E846">
            <v>47</v>
          </cell>
        </row>
        <row r="847">
          <cell r="A847" t="str">
            <v>OCT 2014</v>
          </cell>
          <cell r="C847" t="str">
            <v>KUUM_494</v>
          </cell>
          <cell r="E847">
            <v>191</v>
          </cell>
        </row>
        <row r="848">
          <cell r="A848" t="str">
            <v>OCT 2014</v>
          </cell>
          <cell r="C848" t="str">
            <v>KUUM_495</v>
          </cell>
          <cell r="E848">
            <v>624</v>
          </cell>
        </row>
        <row r="849">
          <cell r="A849" t="str">
            <v>OCT 2014</v>
          </cell>
          <cell r="C849" t="str">
            <v>KUUM_496</v>
          </cell>
          <cell r="E849">
            <v>159</v>
          </cell>
        </row>
        <row r="850">
          <cell r="A850" t="str">
            <v>OCT 2014</v>
          </cell>
          <cell r="C850" t="str">
            <v>KUUM_497</v>
          </cell>
          <cell r="E850">
            <v>7</v>
          </cell>
        </row>
        <row r="851">
          <cell r="A851" t="str">
            <v>OCT 2014</v>
          </cell>
          <cell r="C851" t="str">
            <v>KUUM_498</v>
          </cell>
          <cell r="E851">
            <v>20</v>
          </cell>
        </row>
        <row r="852">
          <cell r="A852" t="str">
            <v>OCT 2014</v>
          </cell>
          <cell r="C852" t="str">
            <v>KUUM_499</v>
          </cell>
          <cell r="E852">
            <v>22</v>
          </cell>
        </row>
        <row r="853">
          <cell r="A853" t="str">
            <v>OCT 2014</v>
          </cell>
          <cell r="C853" t="str">
            <v>Result</v>
          </cell>
          <cell r="E853">
            <v>168068</v>
          </cell>
        </row>
        <row r="855">
          <cell r="A855" t="str">
            <v>NOV 2014</v>
          </cell>
          <cell r="C855" t="str">
            <v>KTUM_406</v>
          </cell>
          <cell r="E855">
            <v>2</v>
          </cell>
        </row>
        <row r="856">
          <cell r="A856" t="str">
            <v>NOV 2014</v>
          </cell>
          <cell r="C856" t="str">
            <v>KTUM_428</v>
          </cell>
          <cell r="E856">
            <v>1</v>
          </cell>
        </row>
        <row r="857">
          <cell r="A857" t="str">
            <v>NOV 2014</v>
          </cell>
          <cell r="C857" t="str">
            <v>KUUM_360</v>
          </cell>
          <cell r="E857">
            <v>172</v>
          </cell>
        </row>
        <row r="858">
          <cell r="A858" t="str">
            <v>NOV 2014</v>
          </cell>
          <cell r="C858" t="str">
            <v>KUUM_361</v>
          </cell>
          <cell r="E858">
            <v>26</v>
          </cell>
        </row>
        <row r="859">
          <cell r="A859" t="str">
            <v>NOV 2014</v>
          </cell>
          <cell r="C859" t="str">
            <v>KUUM_362</v>
          </cell>
          <cell r="E859">
            <v>44</v>
          </cell>
        </row>
        <row r="860">
          <cell r="A860" t="str">
            <v>NOV 2014</v>
          </cell>
          <cell r="C860" t="str">
            <v>KUUM_363</v>
          </cell>
          <cell r="E860">
            <v>5</v>
          </cell>
        </row>
        <row r="861">
          <cell r="A861" t="str">
            <v>NOV 2014</v>
          </cell>
          <cell r="C861" t="str">
            <v>KUUM_364</v>
          </cell>
          <cell r="E861">
            <v>1</v>
          </cell>
        </row>
        <row r="862">
          <cell r="A862" t="str">
            <v>NOV 2014</v>
          </cell>
          <cell r="C862" t="str">
            <v>KUUM_365</v>
          </cell>
          <cell r="E862">
            <v>5</v>
          </cell>
        </row>
        <row r="863">
          <cell r="A863" t="str">
            <v>NOV 2014</v>
          </cell>
          <cell r="C863" t="str">
            <v>KUUM_366</v>
          </cell>
          <cell r="E863">
            <v>10</v>
          </cell>
        </row>
        <row r="864">
          <cell r="A864" t="str">
            <v>NOV 2014</v>
          </cell>
          <cell r="C864" t="str">
            <v>KUUM_367</v>
          </cell>
          <cell r="E864">
            <v>24</v>
          </cell>
        </row>
        <row r="865">
          <cell r="A865" t="str">
            <v>NOV 2014</v>
          </cell>
          <cell r="C865" t="str">
            <v>KUUM_368</v>
          </cell>
          <cell r="E865">
            <v>1</v>
          </cell>
        </row>
        <row r="866">
          <cell r="A866" t="str">
            <v>NOV 2014</v>
          </cell>
          <cell r="C866" t="str">
            <v>KUUM_370</v>
          </cell>
          <cell r="E866">
            <v>16</v>
          </cell>
        </row>
        <row r="867">
          <cell r="A867" t="str">
            <v>NOV 2014</v>
          </cell>
          <cell r="C867" t="str">
            <v>KUUM_372</v>
          </cell>
          <cell r="E867">
            <v>1</v>
          </cell>
        </row>
        <row r="868">
          <cell r="A868" t="str">
            <v>NOV 2014</v>
          </cell>
          <cell r="C868" t="str">
            <v>KUUM_373</v>
          </cell>
          <cell r="E868">
            <v>19</v>
          </cell>
        </row>
        <row r="869">
          <cell r="A869" t="str">
            <v>NOV 2014</v>
          </cell>
          <cell r="C869" t="str">
            <v>KUUM_374</v>
          </cell>
          <cell r="E869">
            <v>4</v>
          </cell>
        </row>
        <row r="870">
          <cell r="A870" t="str">
            <v>NOV 2014</v>
          </cell>
          <cell r="C870" t="str">
            <v>KUUM_375</v>
          </cell>
          <cell r="E870">
            <v>3</v>
          </cell>
        </row>
        <row r="871">
          <cell r="A871" t="str">
            <v>NOV 2014</v>
          </cell>
          <cell r="C871" t="str">
            <v>KUUM_376</v>
          </cell>
          <cell r="E871">
            <v>2</v>
          </cell>
        </row>
        <row r="872">
          <cell r="A872" t="str">
            <v>NOV 2014</v>
          </cell>
          <cell r="C872" t="str">
            <v>KUUM_377</v>
          </cell>
          <cell r="E872">
            <v>49</v>
          </cell>
        </row>
        <row r="873">
          <cell r="A873" t="str">
            <v>NOV 2014</v>
          </cell>
          <cell r="C873" t="str">
            <v>KUUM_378</v>
          </cell>
          <cell r="E873">
            <v>2</v>
          </cell>
        </row>
        <row r="874">
          <cell r="A874" t="str">
            <v>NOV 2014</v>
          </cell>
          <cell r="C874" t="str">
            <v>KUUM_401</v>
          </cell>
          <cell r="E874">
            <v>45</v>
          </cell>
        </row>
        <row r="875">
          <cell r="A875" t="str">
            <v>NOV 2014</v>
          </cell>
          <cell r="C875" t="str">
            <v>KUUM_404</v>
          </cell>
          <cell r="E875">
            <v>7082</v>
          </cell>
        </row>
        <row r="876">
          <cell r="A876" t="str">
            <v>NOV 2014</v>
          </cell>
          <cell r="C876" t="str">
            <v>KUUM_409</v>
          </cell>
          <cell r="E876">
            <v>133</v>
          </cell>
        </row>
        <row r="877">
          <cell r="A877" t="str">
            <v>NOV 2014</v>
          </cell>
          <cell r="C877" t="str">
            <v>KUUM_410</v>
          </cell>
          <cell r="E877">
            <v>236</v>
          </cell>
        </row>
        <row r="878">
          <cell r="A878" t="str">
            <v>NOV 2014</v>
          </cell>
          <cell r="C878" t="str">
            <v>KUUM_411</v>
          </cell>
          <cell r="E878">
            <v>142</v>
          </cell>
        </row>
        <row r="879">
          <cell r="A879" t="str">
            <v>NOV 2014</v>
          </cell>
          <cell r="C879" t="str">
            <v>KUUM_412</v>
          </cell>
          <cell r="E879">
            <v>28</v>
          </cell>
        </row>
        <row r="880">
          <cell r="A880" t="str">
            <v>NOV 2014</v>
          </cell>
          <cell r="C880" t="str">
            <v>KUUM_413</v>
          </cell>
          <cell r="E880">
            <v>95</v>
          </cell>
        </row>
        <row r="881">
          <cell r="A881" t="str">
            <v>NOV 2014</v>
          </cell>
          <cell r="C881" t="str">
            <v>KUUM_414</v>
          </cell>
          <cell r="E881">
            <v>21</v>
          </cell>
        </row>
        <row r="882">
          <cell r="A882" t="str">
            <v>NOV 2014</v>
          </cell>
          <cell r="C882" t="str">
            <v>KUUM_415</v>
          </cell>
          <cell r="E882">
            <v>10</v>
          </cell>
        </row>
        <row r="883">
          <cell r="A883" t="str">
            <v>NOV 2014</v>
          </cell>
          <cell r="C883" t="str">
            <v>KUUM_420</v>
          </cell>
          <cell r="E883">
            <v>449</v>
          </cell>
        </row>
        <row r="884">
          <cell r="A884" t="str">
            <v>NOV 2014</v>
          </cell>
          <cell r="C884" t="str">
            <v>KUUM_421</v>
          </cell>
          <cell r="E884">
            <v>5</v>
          </cell>
        </row>
        <row r="885">
          <cell r="A885" t="str">
            <v>NOV 2014</v>
          </cell>
          <cell r="C885" t="str">
            <v>KUUM_422</v>
          </cell>
          <cell r="E885">
            <v>676</v>
          </cell>
        </row>
        <row r="886">
          <cell r="A886" t="str">
            <v>NOV 2014</v>
          </cell>
          <cell r="C886" t="str">
            <v>KUUM_424</v>
          </cell>
          <cell r="E886">
            <v>113</v>
          </cell>
        </row>
        <row r="887">
          <cell r="A887" t="str">
            <v>NOV 2014</v>
          </cell>
          <cell r="C887" t="str">
            <v>KUUM_425</v>
          </cell>
          <cell r="E887">
            <v>2</v>
          </cell>
        </row>
        <row r="888">
          <cell r="A888" t="str">
            <v>NOV 2014</v>
          </cell>
          <cell r="C888" t="str">
            <v>KUUM_426</v>
          </cell>
          <cell r="E888">
            <v>162</v>
          </cell>
        </row>
        <row r="889">
          <cell r="A889" t="str">
            <v>NOV 2014</v>
          </cell>
          <cell r="C889" t="str">
            <v>KUUM_428</v>
          </cell>
          <cell r="E889">
            <v>34807</v>
          </cell>
        </row>
        <row r="890">
          <cell r="A890" t="str">
            <v>NOV 2014</v>
          </cell>
          <cell r="C890" t="str">
            <v>KUUM_430</v>
          </cell>
          <cell r="E890">
            <v>1089</v>
          </cell>
        </row>
        <row r="891">
          <cell r="A891" t="str">
            <v>NOV 2014</v>
          </cell>
          <cell r="C891" t="str">
            <v>KUUM_434</v>
          </cell>
          <cell r="E891">
            <v>8</v>
          </cell>
        </row>
        <row r="892">
          <cell r="A892" t="str">
            <v>NOV 2014</v>
          </cell>
          <cell r="C892" t="str">
            <v>KUUM_440</v>
          </cell>
          <cell r="E892">
            <v>2</v>
          </cell>
        </row>
        <row r="893">
          <cell r="A893" t="str">
            <v>NOV 2014</v>
          </cell>
          <cell r="C893" t="str">
            <v>KUUM_446</v>
          </cell>
          <cell r="E893">
            <v>1035</v>
          </cell>
        </row>
        <row r="894">
          <cell r="A894" t="str">
            <v>NOV 2014</v>
          </cell>
          <cell r="C894" t="str">
            <v>KUUM_447</v>
          </cell>
          <cell r="E894">
            <v>728</v>
          </cell>
        </row>
        <row r="895">
          <cell r="A895" t="str">
            <v>NOV 2014</v>
          </cell>
          <cell r="C895" t="str">
            <v>KUUM_448</v>
          </cell>
          <cell r="E895">
            <v>1364</v>
          </cell>
        </row>
        <row r="896">
          <cell r="A896" t="str">
            <v>NOV 2014</v>
          </cell>
          <cell r="C896" t="str">
            <v>KUUM_450</v>
          </cell>
          <cell r="E896">
            <v>612</v>
          </cell>
        </row>
        <row r="897">
          <cell r="A897" t="str">
            <v>NOV 2014</v>
          </cell>
          <cell r="C897" t="str">
            <v>KUUM_451</v>
          </cell>
          <cell r="E897">
            <v>4820</v>
          </cell>
        </row>
        <row r="898">
          <cell r="A898" t="str">
            <v>NOV 2014</v>
          </cell>
          <cell r="C898" t="str">
            <v>KUUM_452</v>
          </cell>
          <cell r="E898">
            <v>1013</v>
          </cell>
        </row>
        <row r="899">
          <cell r="A899" t="str">
            <v>NOV 2014</v>
          </cell>
          <cell r="C899" t="str">
            <v>KUUM_454</v>
          </cell>
          <cell r="E899">
            <v>146</v>
          </cell>
        </row>
        <row r="900">
          <cell r="A900" t="str">
            <v>NOV 2014</v>
          </cell>
          <cell r="C900" t="str">
            <v>KUUM_455</v>
          </cell>
          <cell r="E900">
            <v>979</v>
          </cell>
        </row>
        <row r="901">
          <cell r="A901" t="str">
            <v>NOV 2014</v>
          </cell>
          <cell r="C901" t="str">
            <v>KUUM_456</v>
          </cell>
          <cell r="E901">
            <v>136</v>
          </cell>
        </row>
        <row r="902">
          <cell r="A902" t="str">
            <v>NOV 2014</v>
          </cell>
          <cell r="C902" t="str">
            <v>KUUM_457</v>
          </cell>
          <cell r="E902">
            <v>441</v>
          </cell>
        </row>
        <row r="903">
          <cell r="A903" t="str">
            <v>NOV 2014</v>
          </cell>
          <cell r="C903" t="str">
            <v>KUUM_458</v>
          </cell>
          <cell r="E903">
            <v>1355</v>
          </cell>
        </row>
        <row r="904">
          <cell r="A904" t="str">
            <v>NOV 2014</v>
          </cell>
          <cell r="C904" t="str">
            <v>KUUM_459</v>
          </cell>
          <cell r="E904">
            <v>226</v>
          </cell>
        </row>
        <row r="905">
          <cell r="A905" t="str">
            <v>NOV 2014</v>
          </cell>
          <cell r="C905" t="str">
            <v>KUUM_460</v>
          </cell>
          <cell r="E905">
            <v>26</v>
          </cell>
        </row>
        <row r="906">
          <cell r="A906" t="str">
            <v>NOV 2014</v>
          </cell>
          <cell r="C906" t="str">
            <v>KUUM_461</v>
          </cell>
          <cell r="E906">
            <v>6649</v>
          </cell>
        </row>
        <row r="907">
          <cell r="A907" t="str">
            <v>NOV 2014</v>
          </cell>
          <cell r="C907" t="str">
            <v>KUUM_462</v>
          </cell>
          <cell r="E907">
            <v>6814</v>
          </cell>
        </row>
        <row r="908">
          <cell r="A908" t="str">
            <v>NOV 2014</v>
          </cell>
          <cell r="C908" t="str">
            <v>KUUM_463</v>
          </cell>
          <cell r="E908">
            <v>19654</v>
          </cell>
        </row>
        <row r="909">
          <cell r="A909" t="str">
            <v>NOV 2014</v>
          </cell>
          <cell r="C909" t="str">
            <v>KUUM_464</v>
          </cell>
          <cell r="E909">
            <v>7025</v>
          </cell>
        </row>
        <row r="910">
          <cell r="A910" t="str">
            <v>NOV 2014</v>
          </cell>
          <cell r="C910" t="str">
            <v>KUUM_465</v>
          </cell>
          <cell r="E910">
            <v>2645</v>
          </cell>
        </row>
        <row r="911">
          <cell r="A911" t="str">
            <v>NOV 2014</v>
          </cell>
          <cell r="C911" t="str">
            <v>KUUM_466</v>
          </cell>
          <cell r="E911">
            <v>829</v>
          </cell>
        </row>
        <row r="912">
          <cell r="A912" t="str">
            <v>NOV 2014</v>
          </cell>
          <cell r="C912" t="str">
            <v>KUUM_467</v>
          </cell>
          <cell r="E912">
            <v>1213</v>
          </cell>
        </row>
        <row r="913">
          <cell r="A913" t="str">
            <v>NOV 2014</v>
          </cell>
          <cell r="C913" t="str">
            <v>KUUM_468</v>
          </cell>
          <cell r="E913">
            <v>3824</v>
          </cell>
        </row>
        <row r="914">
          <cell r="A914" t="str">
            <v>NOV 2014</v>
          </cell>
          <cell r="C914" t="str">
            <v>KUUM_469</v>
          </cell>
          <cell r="E914">
            <v>284</v>
          </cell>
        </row>
        <row r="915">
          <cell r="A915" t="str">
            <v>NOV 2014</v>
          </cell>
          <cell r="C915" t="str">
            <v>KUUM_470</v>
          </cell>
          <cell r="E915">
            <v>63</v>
          </cell>
        </row>
        <row r="916">
          <cell r="A916" t="str">
            <v>NOV 2014</v>
          </cell>
          <cell r="C916" t="str">
            <v>KUUM_471</v>
          </cell>
          <cell r="E916">
            <v>3585</v>
          </cell>
        </row>
        <row r="917">
          <cell r="A917" t="str">
            <v>NOV 2014</v>
          </cell>
          <cell r="C917" t="str">
            <v>KUUM_472</v>
          </cell>
          <cell r="E917">
            <v>8389</v>
          </cell>
        </row>
        <row r="918">
          <cell r="A918" t="str">
            <v>NOV 2014</v>
          </cell>
          <cell r="C918" t="str">
            <v>KUUM_473</v>
          </cell>
          <cell r="E918">
            <v>3296</v>
          </cell>
        </row>
        <row r="919">
          <cell r="A919" t="str">
            <v>NOV 2014</v>
          </cell>
          <cell r="C919" t="str">
            <v>KUUM_474</v>
          </cell>
          <cell r="E919">
            <v>4927</v>
          </cell>
        </row>
        <row r="920">
          <cell r="A920" t="str">
            <v>NOV 2014</v>
          </cell>
          <cell r="C920" t="str">
            <v>KUUM_475</v>
          </cell>
          <cell r="E920">
            <v>466</v>
          </cell>
        </row>
        <row r="921">
          <cell r="A921" t="str">
            <v>NOV 2014</v>
          </cell>
          <cell r="C921" t="str">
            <v>KUUM_476</v>
          </cell>
          <cell r="E921">
            <v>4462</v>
          </cell>
        </row>
        <row r="922">
          <cell r="A922" t="str">
            <v>NOV 2014</v>
          </cell>
          <cell r="C922" t="str">
            <v>KUUM_477</v>
          </cell>
          <cell r="E922">
            <v>1034</v>
          </cell>
        </row>
        <row r="923">
          <cell r="A923" t="str">
            <v>NOV 2014</v>
          </cell>
          <cell r="C923" t="str">
            <v>KUUM_478</v>
          </cell>
          <cell r="E923">
            <v>1369</v>
          </cell>
        </row>
        <row r="924">
          <cell r="A924" t="str">
            <v>NOV 2014</v>
          </cell>
          <cell r="C924" t="str">
            <v>KUUM_479</v>
          </cell>
          <cell r="E924">
            <v>917</v>
          </cell>
        </row>
        <row r="925">
          <cell r="A925" t="str">
            <v>NOV 2014</v>
          </cell>
          <cell r="C925" t="str">
            <v>KUUM_487</v>
          </cell>
          <cell r="E925">
            <v>10654</v>
          </cell>
        </row>
        <row r="926">
          <cell r="A926" t="str">
            <v>NOV 2014</v>
          </cell>
          <cell r="C926" t="str">
            <v>KUUM_488</v>
          </cell>
          <cell r="E926">
            <v>6274</v>
          </cell>
        </row>
        <row r="927">
          <cell r="A927" t="str">
            <v>NOV 2014</v>
          </cell>
          <cell r="C927" t="str">
            <v>KUUM_489</v>
          </cell>
          <cell r="E927">
            <v>7885</v>
          </cell>
        </row>
        <row r="928">
          <cell r="A928" t="str">
            <v>NOV 2014</v>
          </cell>
          <cell r="C928" t="str">
            <v>KUUM_490</v>
          </cell>
          <cell r="E928">
            <v>56</v>
          </cell>
        </row>
        <row r="929">
          <cell r="A929" t="str">
            <v>NOV 2014</v>
          </cell>
          <cell r="C929" t="str">
            <v>KUUM_491</v>
          </cell>
          <cell r="E929">
            <v>287</v>
          </cell>
        </row>
        <row r="930">
          <cell r="A930" t="str">
            <v>NOV 2014</v>
          </cell>
          <cell r="C930" t="str">
            <v>KUUM_492</v>
          </cell>
          <cell r="E930">
            <v>2</v>
          </cell>
        </row>
        <row r="931">
          <cell r="A931" t="str">
            <v>NOV 2014</v>
          </cell>
          <cell r="C931" t="str">
            <v>KUUM_493</v>
          </cell>
          <cell r="E931">
            <v>45</v>
          </cell>
        </row>
        <row r="932">
          <cell r="A932" t="str">
            <v>NOV 2014</v>
          </cell>
          <cell r="C932" t="str">
            <v>KUUM_494</v>
          </cell>
          <cell r="E932">
            <v>191</v>
          </cell>
        </row>
        <row r="933">
          <cell r="A933" t="str">
            <v>NOV 2014</v>
          </cell>
          <cell r="C933" t="str">
            <v>KUUM_495</v>
          </cell>
          <cell r="E933">
            <v>593</v>
          </cell>
        </row>
        <row r="934">
          <cell r="A934" t="str">
            <v>NOV 2014</v>
          </cell>
          <cell r="C934" t="str">
            <v>KUUM_496</v>
          </cell>
          <cell r="E934">
            <v>159</v>
          </cell>
        </row>
        <row r="935">
          <cell r="A935" t="str">
            <v>NOV 2014</v>
          </cell>
          <cell r="C935" t="str">
            <v>KUUM_497</v>
          </cell>
          <cell r="E935">
            <v>8</v>
          </cell>
        </row>
        <row r="936">
          <cell r="A936" t="str">
            <v>NOV 2014</v>
          </cell>
          <cell r="C936" t="str">
            <v>KUUM_498</v>
          </cell>
          <cell r="E936">
            <v>20</v>
          </cell>
        </row>
        <row r="937">
          <cell r="A937" t="str">
            <v>NOV 2014</v>
          </cell>
          <cell r="C937" t="str">
            <v>KUUM_499</v>
          </cell>
          <cell r="E937">
            <v>23</v>
          </cell>
        </row>
        <row r="938">
          <cell r="A938" t="str">
            <v>NOV 2014</v>
          </cell>
          <cell r="C938" t="str">
            <v>Result</v>
          </cell>
          <cell r="E938">
            <v>162012</v>
          </cell>
        </row>
        <row r="939">
          <cell r="A939" t="str">
            <v>DEC 2014</v>
          </cell>
          <cell r="C939" t="str">
            <v>KTUM_406</v>
          </cell>
        </row>
        <row r="940">
          <cell r="A940" t="str">
            <v>DEC 2014</v>
          </cell>
          <cell r="C940" t="str">
            <v>KTUM_428</v>
          </cell>
        </row>
        <row r="941">
          <cell r="A941" t="str">
            <v>DEC 2014</v>
          </cell>
          <cell r="C941" t="str">
            <v>KUUM_360</v>
          </cell>
          <cell r="E941">
            <v>172</v>
          </cell>
        </row>
        <row r="942">
          <cell r="A942" t="str">
            <v>DEC 2014</v>
          </cell>
          <cell r="C942" t="str">
            <v>KUUM_361</v>
          </cell>
          <cell r="E942">
            <v>26</v>
          </cell>
        </row>
        <row r="943">
          <cell r="A943" t="str">
            <v>DEC 2014</v>
          </cell>
          <cell r="C943" t="str">
            <v>KUUM_362</v>
          </cell>
          <cell r="E943">
            <v>44</v>
          </cell>
        </row>
        <row r="944">
          <cell r="A944" t="str">
            <v>DEC 2014</v>
          </cell>
          <cell r="C944" t="str">
            <v>KUUM_363</v>
          </cell>
          <cell r="E944">
            <v>5</v>
          </cell>
        </row>
        <row r="945">
          <cell r="A945" t="str">
            <v>DEC 2014</v>
          </cell>
          <cell r="C945" t="str">
            <v>KUUM_364</v>
          </cell>
          <cell r="E945">
            <v>1</v>
          </cell>
        </row>
        <row r="946">
          <cell r="A946" t="str">
            <v>DEC 2014</v>
          </cell>
          <cell r="C946" t="str">
            <v>KUUM_365</v>
          </cell>
          <cell r="E946">
            <v>5</v>
          </cell>
        </row>
        <row r="947">
          <cell r="A947" t="str">
            <v>DEC 2014</v>
          </cell>
          <cell r="C947" t="str">
            <v>KUUM_366</v>
          </cell>
          <cell r="E947">
            <v>10</v>
          </cell>
        </row>
        <row r="948">
          <cell r="A948" t="str">
            <v>DEC 2014</v>
          </cell>
          <cell r="C948" t="str">
            <v>KUUM_367</v>
          </cell>
          <cell r="E948">
            <v>24</v>
          </cell>
        </row>
        <row r="949">
          <cell r="A949" t="str">
            <v>DEC 2014</v>
          </cell>
          <cell r="C949" t="str">
            <v>KUUM_368</v>
          </cell>
          <cell r="E949">
            <v>1</v>
          </cell>
        </row>
        <row r="950">
          <cell r="A950" t="str">
            <v>DEC 2014</v>
          </cell>
          <cell r="C950" t="str">
            <v>KUUM_370</v>
          </cell>
          <cell r="E950">
            <v>16</v>
          </cell>
        </row>
        <row r="951">
          <cell r="A951" t="str">
            <v>DEC 2014</v>
          </cell>
          <cell r="C951" t="str">
            <v>KUUM_372</v>
          </cell>
          <cell r="E951">
            <v>1</v>
          </cell>
        </row>
        <row r="952">
          <cell r="A952" t="str">
            <v>DEC 2014</v>
          </cell>
          <cell r="C952" t="str">
            <v>KUUM_373</v>
          </cell>
          <cell r="E952">
            <v>19</v>
          </cell>
        </row>
        <row r="953">
          <cell r="A953" t="str">
            <v>DEC 2014</v>
          </cell>
          <cell r="C953" t="str">
            <v>KUUM_374</v>
          </cell>
          <cell r="E953">
            <v>4</v>
          </cell>
        </row>
        <row r="954">
          <cell r="A954" t="str">
            <v>DEC 2014</v>
          </cell>
          <cell r="C954" t="str">
            <v>KUUM_375</v>
          </cell>
          <cell r="E954">
            <v>3</v>
          </cell>
        </row>
        <row r="955">
          <cell r="A955" t="str">
            <v>DEC 2014</v>
          </cell>
          <cell r="C955" t="str">
            <v>KUUM_376</v>
          </cell>
          <cell r="E955">
            <v>2</v>
          </cell>
        </row>
        <row r="956">
          <cell r="A956" t="str">
            <v>DEC 2014</v>
          </cell>
          <cell r="C956" t="str">
            <v>KUUM_377</v>
          </cell>
          <cell r="E956">
            <v>52</v>
          </cell>
        </row>
        <row r="957">
          <cell r="A957" t="str">
            <v>DEC 2014</v>
          </cell>
          <cell r="C957" t="str">
            <v>KUUM_378</v>
          </cell>
          <cell r="E957">
            <v>2</v>
          </cell>
        </row>
        <row r="958">
          <cell r="A958" t="str">
            <v>DEC 2014</v>
          </cell>
          <cell r="C958" t="str">
            <v>KUUM_401</v>
          </cell>
          <cell r="E958">
            <v>51</v>
          </cell>
        </row>
        <row r="959">
          <cell r="A959" t="str">
            <v>DEC 2014</v>
          </cell>
          <cell r="C959" t="str">
            <v>KUUM_404</v>
          </cell>
          <cell r="E959">
            <v>7056</v>
          </cell>
        </row>
        <row r="960">
          <cell r="A960" t="str">
            <v>DEC 2014</v>
          </cell>
          <cell r="C960" t="str">
            <v>KUUM_407</v>
          </cell>
          <cell r="E960">
            <v>0</v>
          </cell>
        </row>
        <row r="961">
          <cell r="A961" t="str">
            <v>DEC 2014</v>
          </cell>
          <cell r="C961" t="str">
            <v>KUUM_409</v>
          </cell>
          <cell r="E961">
            <v>130</v>
          </cell>
        </row>
        <row r="962">
          <cell r="A962" t="str">
            <v>DEC 2014</v>
          </cell>
          <cell r="C962" t="str">
            <v>KUUM_410</v>
          </cell>
          <cell r="E962">
            <v>236</v>
          </cell>
        </row>
        <row r="963">
          <cell r="A963" t="str">
            <v>DEC 2014</v>
          </cell>
          <cell r="C963" t="str">
            <v>KUUM_411</v>
          </cell>
          <cell r="E963">
            <v>142</v>
          </cell>
        </row>
        <row r="964">
          <cell r="A964" t="str">
            <v>DEC 2014</v>
          </cell>
          <cell r="C964" t="str">
            <v>KUUM_412</v>
          </cell>
          <cell r="E964">
            <v>28</v>
          </cell>
        </row>
        <row r="965">
          <cell r="A965" t="str">
            <v>DEC 2014</v>
          </cell>
          <cell r="C965" t="str">
            <v>KUUM_413</v>
          </cell>
          <cell r="E965">
            <v>97</v>
          </cell>
        </row>
        <row r="966">
          <cell r="A966" t="str">
            <v>DEC 2014</v>
          </cell>
          <cell r="C966" t="str">
            <v>KUUM_414</v>
          </cell>
          <cell r="E966">
            <v>21</v>
          </cell>
        </row>
        <row r="967">
          <cell r="A967" t="str">
            <v>DEC 2014</v>
          </cell>
          <cell r="C967" t="str">
            <v>KUUM_415</v>
          </cell>
          <cell r="E967">
            <v>10</v>
          </cell>
        </row>
        <row r="968">
          <cell r="A968" t="str">
            <v>DEC 2014</v>
          </cell>
          <cell r="C968" t="str">
            <v>KUUM_420</v>
          </cell>
          <cell r="E968">
            <v>459</v>
          </cell>
        </row>
        <row r="969">
          <cell r="A969" t="str">
            <v>DEC 2014</v>
          </cell>
          <cell r="C969" t="str">
            <v>KUUM_421</v>
          </cell>
          <cell r="E969">
            <v>5</v>
          </cell>
        </row>
        <row r="970">
          <cell r="A970" t="str">
            <v>DEC 2014</v>
          </cell>
          <cell r="C970" t="str">
            <v>KUUM_422</v>
          </cell>
          <cell r="E970">
            <v>675</v>
          </cell>
        </row>
        <row r="971">
          <cell r="A971" t="str">
            <v>DEC 2014</v>
          </cell>
          <cell r="C971" t="str">
            <v>KUUM_424</v>
          </cell>
          <cell r="E971">
            <v>113</v>
          </cell>
        </row>
        <row r="972">
          <cell r="A972" t="str">
            <v>DEC 2014</v>
          </cell>
          <cell r="C972" t="str">
            <v>KUUM_425</v>
          </cell>
          <cell r="E972">
            <v>2</v>
          </cell>
        </row>
        <row r="973">
          <cell r="A973" t="str">
            <v>DEC 2014</v>
          </cell>
          <cell r="C973" t="str">
            <v>KUUM_426</v>
          </cell>
          <cell r="E973">
            <v>161</v>
          </cell>
        </row>
        <row r="974">
          <cell r="A974" t="str">
            <v>DEC 2014</v>
          </cell>
          <cell r="C974" t="str">
            <v>KUUM_428</v>
          </cell>
          <cell r="E974">
            <v>34938</v>
          </cell>
        </row>
        <row r="975">
          <cell r="A975" t="str">
            <v>DEC 2014</v>
          </cell>
          <cell r="C975" t="str">
            <v>KUUM_430</v>
          </cell>
          <cell r="E975">
            <v>1110</v>
          </cell>
        </row>
        <row r="976">
          <cell r="A976" t="str">
            <v>DEC 2014</v>
          </cell>
          <cell r="C976" t="str">
            <v>KUUM_434</v>
          </cell>
          <cell r="E976">
            <v>8</v>
          </cell>
        </row>
        <row r="977">
          <cell r="A977" t="str">
            <v>DEC 2014</v>
          </cell>
          <cell r="C977" t="str">
            <v>KUUM_440</v>
          </cell>
          <cell r="E977">
            <v>2</v>
          </cell>
        </row>
        <row r="978">
          <cell r="A978" t="str">
            <v>DEC 2014</v>
          </cell>
          <cell r="C978" t="str">
            <v>KUUM_446</v>
          </cell>
          <cell r="E978">
            <v>1049</v>
          </cell>
        </row>
        <row r="979">
          <cell r="A979" t="str">
            <v>DEC 2014</v>
          </cell>
          <cell r="C979" t="str">
            <v>KUUM_447</v>
          </cell>
          <cell r="E979">
            <v>730</v>
          </cell>
        </row>
        <row r="980">
          <cell r="A980" t="str">
            <v>DEC 2014</v>
          </cell>
          <cell r="C980" t="str">
            <v>KUUM_448</v>
          </cell>
          <cell r="E980">
            <v>1467</v>
          </cell>
        </row>
        <row r="981">
          <cell r="A981" t="str">
            <v>DEC 2014</v>
          </cell>
          <cell r="C981" t="str">
            <v>KUUM_450</v>
          </cell>
          <cell r="E981">
            <v>633</v>
          </cell>
        </row>
        <row r="982">
          <cell r="A982" t="str">
            <v>DEC 2014</v>
          </cell>
          <cell r="C982" t="str">
            <v>KUUM_451</v>
          </cell>
          <cell r="E982">
            <v>4830</v>
          </cell>
        </row>
        <row r="983">
          <cell r="A983" t="str">
            <v>DEC 2014</v>
          </cell>
          <cell r="C983" t="str">
            <v>KUUM_452</v>
          </cell>
          <cell r="E983">
            <v>1016</v>
          </cell>
        </row>
        <row r="984">
          <cell r="A984" t="str">
            <v>DEC 2014</v>
          </cell>
          <cell r="C984" t="str">
            <v>KUUM_454</v>
          </cell>
          <cell r="E984">
            <v>150</v>
          </cell>
        </row>
        <row r="985">
          <cell r="A985" t="str">
            <v>DEC 2014</v>
          </cell>
          <cell r="C985" t="str">
            <v>KUUM_455</v>
          </cell>
          <cell r="E985">
            <v>999</v>
          </cell>
        </row>
        <row r="986">
          <cell r="A986" t="str">
            <v>DEC 2014</v>
          </cell>
          <cell r="C986" t="str">
            <v>KUUM_456</v>
          </cell>
          <cell r="E986">
            <v>136</v>
          </cell>
        </row>
        <row r="987">
          <cell r="A987" t="str">
            <v>DEC 2014</v>
          </cell>
          <cell r="C987" t="str">
            <v>KUUM_457</v>
          </cell>
          <cell r="E987">
            <v>441</v>
          </cell>
        </row>
        <row r="988">
          <cell r="A988" t="str">
            <v>DEC 2014</v>
          </cell>
          <cell r="C988" t="str">
            <v>KUUM_458</v>
          </cell>
          <cell r="E988">
            <v>1465</v>
          </cell>
        </row>
        <row r="989">
          <cell r="A989" t="str">
            <v>DEC 2014</v>
          </cell>
          <cell r="C989" t="str">
            <v>KUUM_459</v>
          </cell>
          <cell r="E989">
            <v>223</v>
          </cell>
        </row>
        <row r="990">
          <cell r="A990" t="str">
            <v>DEC 2014</v>
          </cell>
          <cell r="C990" t="str">
            <v>KUUM_460</v>
          </cell>
          <cell r="E990">
            <v>26</v>
          </cell>
        </row>
        <row r="991">
          <cell r="A991" t="str">
            <v>DEC 2014</v>
          </cell>
          <cell r="C991" t="str">
            <v>KUUM_461</v>
          </cell>
          <cell r="E991">
            <v>6319</v>
          </cell>
        </row>
        <row r="992">
          <cell r="A992" t="str">
            <v>DEC 2014</v>
          </cell>
          <cell r="C992" t="str">
            <v>KUUM_462</v>
          </cell>
          <cell r="E992">
            <v>8398</v>
          </cell>
        </row>
        <row r="993">
          <cell r="A993" t="str">
            <v>DEC 2014</v>
          </cell>
          <cell r="C993" t="str">
            <v>KUUM_463</v>
          </cell>
          <cell r="E993">
            <v>19426</v>
          </cell>
        </row>
        <row r="994">
          <cell r="A994" t="str">
            <v>DEC 2014</v>
          </cell>
          <cell r="C994" t="str">
            <v>KUUM_464</v>
          </cell>
          <cell r="E994">
            <v>7215</v>
          </cell>
        </row>
        <row r="995">
          <cell r="A995" t="str">
            <v>DEC 2014</v>
          </cell>
          <cell r="C995" t="str">
            <v>KUUM_465</v>
          </cell>
          <cell r="E995">
            <v>2686</v>
          </cell>
        </row>
        <row r="996">
          <cell r="A996" t="str">
            <v>DEC 2014</v>
          </cell>
          <cell r="C996" t="str">
            <v>KUUM_466</v>
          </cell>
          <cell r="E996">
            <v>829</v>
          </cell>
        </row>
        <row r="997">
          <cell r="A997" t="str">
            <v>DEC 2014</v>
          </cell>
          <cell r="C997" t="str">
            <v>KUUM_467</v>
          </cell>
          <cell r="E997">
            <v>1300</v>
          </cell>
        </row>
        <row r="998">
          <cell r="A998" t="str">
            <v>DEC 2014</v>
          </cell>
          <cell r="C998" t="str">
            <v>KUUM_468</v>
          </cell>
          <cell r="E998">
            <v>3847</v>
          </cell>
        </row>
        <row r="999">
          <cell r="A999" t="str">
            <v>DEC 2014</v>
          </cell>
          <cell r="C999" t="str">
            <v>KUUM_469</v>
          </cell>
          <cell r="E999">
            <v>288</v>
          </cell>
        </row>
        <row r="1000">
          <cell r="A1000" t="str">
            <v>DEC 2014</v>
          </cell>
          <cell r="C1000" t="str">
            <v>KUUM_470</v>
          </cell>
          <cell r="E1000">
            <v>62</v>
          </cell>
        </row>
        <row r="1001">
          <cell r="A1001" t="str">
            <v>DEC 2014</v>
          </cell>
          <cell r="C1001" t="str">
            <v>KUUM_471</v>
          </cell>
          <cell r="E1001">
            <v>3583</v>
          </cell>
        </row>
        <row r="1002">
          <cell r="A1002" t="str">
            <v>DEC 2014</v>
          </cell>
          <cell r="C1002" t="str">
            <v>KUUM_472</v>
          </cell>
          <cell r="E1002">
            <v>8422</v>
          </cell>
        </row>
        <row r="1003">
          <cell r="A1003" t="str">
            <v>DEC 2014</v>
          </cell>
          <cell r="C1003" t="str">
            <v>KUUM_473</v>
          </cell>
          <cell r="E1003">
            <v>3244</v>
          </cell>
        </row>
        <row r="1004">
          <cell r="A1004" t="str">
            <v>DEC 2014</v>
          </cell>
          <cell r="C1004" t="str">
            <v>KUUM_474</v>
          </cell>
          <cell r="E1004">
            <v>4987</v>
          </cell>
        </row>
        <row r="1005">
          <cell r="A1005" t="str">
            <v>DEC 2014</v>
          </cell>
          <cell r="C1005" t="str">
            <v>KUUM_475</v>
          </cell>
          <cell r="E1005">
            <v>500</v>
          </cell>
        </row>
        <row r="1006">
          <cell r="A1006" t="str">
            <v>DEC 2014</v>
          </cell>
          <cell r="C1006" t="str">
            <v>KUUM_476</v>
          </cell>
          <cell r="E1006">
            <v>4463</v>
          </cell>
        </row>
        <row r="1007">
          <cell r="A1007" t="str">
            <v>DEC 2014</v>
          </cell>
          <cell r="C1007" t="str">
            <v>KUUM_477</v>
          </cell>
          <cell r="E1007">
            <v>1034</v>
          </cell>
        </row>
        <row r="1008">
          <cell r="A1008" t="str">
            <v>DEC 2014</v>
          </cell>
          <cell r="C1008" t="str">
            <v>KUUM_478</v>
          </cell>
          <cell r="E1008">
            <v>1363</v>
          </cell>
        </row>
        <row r="1009">
          <cell r="A1009" t="str">
            <v>DEC 2014</v>
          </cell>
          <cell r="C1009" t="str">
            <v>KUUM_479</v>
          </cell>
          <cell r="E1009">
            <v>921</v>
          </cell>
        </row>
        <row r="1010">
          <cell r="A1010" t="str">
            <v>DEC 2014</v>
          </cell>
          <cell r="C1010" t="str">
            <v>KUUM_487</v>
          </cell>
          <cell r="E1010">
            <v>10683</v>
          </cell>
        </row>
        <row r="1011">
          <cell r="A1011" t="str">
            <v>DEC 2014</v>
          </cell>
          <cell r="C1011" t="str">
            <v>KUUM_488</v>
          </cell>
          <cell r="E1011">
            <v>6293</v>
          </cell>
        </row>
        <row r="1012">
          <cell r="A1012" t="str">
            <v>DEC 2014</v>
          </cell>
          <cell r="C1012" t="str">
            <v>KUUM_489</v>
          </cell>
          <cell r="E1012">
            <v>7993</v>
          </cell>
        </row>
        <row r="1013">
          <cell r="A1013" t="str">
            <v>DEC 2014</v>
          </cell>
          <cell r="C1013" t="str">
            <v>KUUM_490</v>
          </cell>
          <cell r="E1013">
            <v>56</v>
          </cell>
        </row>
        <row r="1014">
          <cell r="A1014" t="str">
            <v>DEC 2014</v>
          </cell>
          <cell r="C1014" t="str">
            <v>KUUM_491</v>
          </cell>
          <cell r="E1014">
            <v>286</v>
          </cell>
        </row>
        <row r="1015">
          <cell r="A1015" t="str">
            <v>DEC 2014</v>
          </cell>
          <cell r="C1015" t="str">
            <v>KUUM_492</v>
          </cell>
          <cell r="E1015">
            <v>2</v>
          </cell>
        </row>
        <row r="1016">
          <cell r="A1016" t="str">
            <v>DEC 2014</v>
          </cell>
          <cell r="C1016" t="str">
            <v>KUUM_493</v>
          </cell>
          <cell r="E1016">
            <v>45</v>
          </cell>
        </row>
        <row r="1017">
          <cell r="A1017" t="str">
            <v>DEC 2014</v>
          </cell>
          <cell r="C1017" t="str">
            <v>KUUM_494</v>
          </cell>
          <cell r="E1017">
            <v>174</v>
          </cell>
        </row>
        <row r="1018">
          <cell r="A1018" t="str">
            <v>DEC 2014</v>
          </cell>
          <cell r="C1018" t="str">
            <v>KUUM_495</v>
          </cell>
          <cell r="E1018">
            <v>594</v>
          </cell>
        </row>
        <row r="1019">
          <cell r="A1019" t="str">
            <v>DEC 2014</v>
          </cell>
          <cell r="C1019" t="str">
            <v>KUUM_496</v>
          </cell>
          <cell r="E1019">
            <v>168</v>
          </cell>
        </row>
        <row r="1020">
          <cell r="A1020" t="str">
            <v>DEC 2014</v>
          </cell>
          <cell r="C1020" t="str">
            <v>KUUM_497</v>
          </cell>
          <cell r="E1020">
            <v>8</v>
          </cell>
        </row>
        <row r="1021">
          <cell r="A1021" t="str">
            <v>DEC 2014</v>
          </cell>
          <cell r="C1021" t="str">
            <v>KUUM_498</v>
          </cell>
          <cell r="E1021">
            <v>20</v>
          </cell>
        </row>
        <row r="1022">
          <cell r="A1022" t="str">
            <v>DEC 2014</v>
          </cell>
          <cell r="C1022" t="str">
            <v>KUUM_499</v>
          </cell>
          <cell r="E1022">
            <v>23</v>
          </cell>
        </row>
      </sheetData>
      <sheetData sheetId="23">
        <row r="3">
          <cell r="A3" t="str">
            <v>JAN 2015</v>
          </cell>
          <cell r="B3" t="str">
            <v>KTRSE020</v>
          </cell>
          <cell r="S3">
            <v>0</v>
          </cell>
          <cell r="T3">
            <v>0</v>
          </cell>
          <cell r="U3">
            <v>0</v>
          </cell>
        </row>
        <row r="4">
          <cell r="A4" t="str">
            <v>JAN 2015</v>
          </cell>
          <cell r="B4" t="str">
            <v>KTRSE030</v>
          </cell>
          <cell r="S4">
            <v>0</v>
          </cell>
          <cell r="T4">
            <v>0</v>
          </cell>
          <cell r="U4">
            <v>0</v>
          </cell>
        </row>
        <row r="5">
          <cell r="A5" t="str">
            <v>JAN 2015</v>
          </cell>
          <cell r="B5" t="str">
            <v>KTUM_406</v>
          </cell>
          <cell r="S5">
            <v>0</v>
          </cell>
          <cell r="T5">
            <v>0</v>
          </cell>
          <cell r="U5">
            <v>0</v>
          </cell>
        </row>
        <row r="6">
          <cell r="A6" t="str">
            <v>JAN 2015</v>
          </cell>
          <cell r="B6" t="str">
            <v>KTUM_428</v>
          </cell>
          <cell r="S6">
            <v>0</v>
          </cell>
          <cell r="T6">
            <v>0</v>
          </cell>
          <cell r="U6">
            <v>0</v>
          </cell>
        </row>
        <row r="7">
          <cell r="A7" t="str">
            <v>JAN 2015</v>
          </cell>
          <cell r="B7" t="str">
            <v>KUCIE000</v>
          </cell>
          <cell r="S7">
            <v>0</v>
          </cell>
          <cell r="T7">
            <v>0</v>
          </cell>
          <cell r="U7">
            <v>0</v>
          </cell>
        </row>
        <row r="8">
          <cell r="A8" t="str">
            <v>JAN 2015</v>
          </cell>
          <cell r="B8" t="str">
            <v>KUCIE550</v>
          </cell>
          <cell r="E8">
            <v>137626552</v>
          </cell>
          <cell r="F8">
            <v>24000</v>
          </cell>
          <cell r="L8">
            <v>0</v>
          </cell>
          <cell r="M8">
            <v>355465</v>
          </cell>
          <cell r="R8">
            <v>8176967</v>
          </cell>
          <cell r="S8">
            <v>5001349</v>
          </cell>
          <cell r="T8">
            <v>2374161</v>
          </cell>
          <cell r="U8">
            <v>421992</v>
          </cell>
        </row>
        <row r="9">
          <cell r="A9" t="str">
            <v>JAN 2015</v>
          </cell>
          <cell r="B9" t="str">
            <v>KUCIE561</v>
          </cell>
          <cell r="E9">
            <v>18555214</v>
          </cell>
          <cell r="F9">
            <v>36210</v>
          </cell>
          <cell r="L9">
            <v>19333</v>
          </cell>
          <cell r="M9">
            <v>47925</v>
          </cell>
          <cell r="R9">
            <v>1526173</v>
          </cell>
          <cell r="S9">
            <v>660937</v>
          </cell>
          <cell r="T9">
            <v>704874</v>
          </cell>
          <cell r="U9">
            <v>56894</v>
          </cell>
        </row>
        <row r="10">
          <cell r="A10" t="str">
            <v>JAN 2015</v>
          </cell>
          <cell r="B10" t="str">
            <v>KUCIE562</v>
          </cell>
          <cell r="E10">
            <v>185457207</v>
          </cell>
          <cell r="F10">
            <v>430650</v>
          </cell>
          <cell r="L10">
            <v>193234</v>
          </cell>
          <cell r="M10">
            <v>479004</v>
          </cell>
          <cell r="R10">
            <v>16222091</v>
          </cell>
          <cell r="S10">
            <v>6609694</v>
          </cell>
          <cell r="T10">
            <v>7940858</v>
          </cell>
          <cell r="U10">
            <v>568651</v>
          </cell>
        </row>
        <row r="11">
          <cell r="A11" t="str">
            <v>JAN 2015</v>
          </cell>
          <cell r="B11" t="str">
            <v>KUCIE563</v>
          </cell>
          <cell r="E11">
            <v>240245651</v>
          </cell>
          <cell r="F11">
            <v>15600</v>
          </cell>
          <cell r="L11">
            <v>250320</v>
          </cell>
          <cell r="M11">
            <v>620513</v>
          </cell>
          <cell r="R11">
            <v>14685964</v>
          </cell>
          <cell r="S11">
            <v>9045249</v>
          </cell>
          <cell r="T11">
            <v>4017639</v>
          </cell>
          <cell r="U11">
            <v>736644</v>
          </cell>
        </row>
        <row r="12">
          <cell r="A12" t="str">
            <v>JAN 2015</v>
          </cell>
          <cell r="B12" t="str">
            <v>KUCIE566</v>
          </cell>
          <cell r="S12">
            <v>0</v>
          </cell>
          <cell r="T12">
            <v>0</v>
          </cell>
          <cell r="U12">
            <v>0</v>
          </cell>
        </row>
        <row r="13">
          <cell r="A13" t="str">
            <v>JAN 2015</v>
          </cell>
          <cell r="B13" t="str">
            <v>KUCIE568</v>
          </cell>
          <cell r="S13">
            <v>0</v>
          </cell>
          <cell r="T13">
            <v>0</v>
          </cell>
          <cell r="U13">
            <v>0</v>
          </cell>
        </row>
        <row r="14">
          <cell r="A14" t="str">
            <v>JAN 2015</v>
          </cell>
          <cell r="B14" t="str">
            <v>KUCIE571</v>
          </cell>
          <cell r="E14">
            <v>100894110</v>
          </cell>
          <cell r="F14">
            <v>55500</v>
          </cell>
          <cell r="L14">
            <v>105125</v>
          </cell>
          <cell r="M14">
            <v>260592</v>
          </cell>
          <cell r="R14">
            <v>6645339</v>
          </cell>
          <cell r="S14">
            <v>3798664</v>
          </cell>
          <cell r="T14">
            <v>2116097</v>
          </cell>
          <cell r="U14">
            <v>309362</v>
          </cell>
        </row>
        <row r="15">
          <cell r="A15" t="str">
            <v>JAN 2015</v>
          </cell>
          <cell r="B15" t="str">
            <v>KUCIE572</v>
          </cell>
          <cell r="E15">
            <v>124209840</v>
          </cell>
          <cell r="F15">
            <v>91000</v>
          </cell>
          <cell r="L15">
            <v>129418</v>
          </cell>
          <cell r="M15">
            <v>320812</v>
          </cell>
          <cell r="R15">
            <v>8747310</v>
          </cell>
          <cell r="S15">
            <v>4686438</v>
          </cell>
          <cell r="T15">
            <v>3138789</v>
          </cell>
          <cell r="U15">
            <v>380853</v>
          </cell>
        </row>
        <row r="16">
          <cell r="A16" t="str">
            <v>JAN 2015</v>
          </cell>
          <cell r="B16" t="str">
            <v>KUCIE717</v>
          </cell>
          <cell r="S16">
            <v>0</v>
          </cell>
          <cell r="T16">
            <v>0</v>
          </cell>
          <cell r="U16">
            <v>0</v>
          </cell>
        </row>
        <row r="17">
          <cell r="A17" t="str">
            <v>JAN 2015</v>
          </cell>
          <cell r="B17" t="str">
            <v>KUCME000</v>
          </cell>
          <cell r="S17">
            <v>0</v>
          </cell>
          <cell r="T17">
            <v>0</v>
          </cell>
          <cell r="U17">
            <v>0</v>
          </cell>
        </row>
        <row r="18">
          <cell r="A18" t="str">
            <v>JAN 2015</v>
          </cell>
          <cell r="B18" t="str">
            <v>KUCME110</v>
          </cell>
          <cell r="E18">
            <v>74972451</v>
          </cell>
          <cell r="F18">
            <v>1268882</v>
          </cell>
          <cell r="L18">
            <v>78116</v>
          </cell>
          <cell r="M18">
            <v>193641</v>
          </cell>
          <cell r="R18">
            <v>8686729</v>
          </cell>
          <cell r="S18">
            <v>6916208</v>
          </cell>
          <cell r="T18">
            <v>0</v>
          </cell>
          <cell r="U18">
            <v>229881</v>
          </cell>
        </row>
        <row r="19">
          <cell r="A19" t="str">
            <v>JAN 2015</v>
          </cell>
          <cell r="B19" t="str">
            <v>KUCME112</v>
          </cell>
          <cell r="S19">
            <v>0</v>
          </cell>
          <cell r="T19">
            <v>0</v>
          </cell>
          <cell r="U19">
            <v>0</v>
          </cell>
        </row>
        <row r="20">
          <cell r="A20" t="str">
            <v>JAN 2015</v>
          </cell>
          <cell r="B20" t="str">
            <v>KUCME113</v>
          </cell>
          <cell r="E20">
            <v>110082107</v>
          </cell>
          <cell r="F20">
            <v>649106</v>
          </cell>
          <cell r="L20">
            <v>114698</v>
          </cell>
          <cell r="M20">
            <v>284323</v>
          </cell>
          <cell r="R20">
            <v>11540736</v>
          </cell>
          <cell r="S20">
            <v>10155075</v>
          </cell>
          <cell r="T20">
            <v>0</v>
          </cell>
          <cell r="U20">
            <v>337535</v>
          </cell>
        </row>
        <row r="21">
          <cell r="A21" t="str">
            <v>JAN 2015</v>
          </cell>
          <cell r="B21" t="str">
            <v>KUCME220</v>
          </cell>
          <cell r="E21">
            <v>781136</v>
          </cell>
          <cell r="F21">
            <v>7420</v>
          </cell>
          <cell r="L21">
            <v>814</v>
          </cell>
          <cell r="M21">
            <v>2018</v>
          </cell>
          <cell r="R21">
            <v>70763</v>
          </cell>
          <cell r="S21">
            <v>58117</v>
          </cell>
          <cell r="T21">
            <v>0</v>
          </cell>
          <cell r="U21">
            <v>2395</v>
          </cell>
        </row>
        <row r="22">
          <cell r="A22" t="str">
            <v>JAN 2015</v>
          </cell>
          <cell r="B22" t="str">
            <v>KUCME221</v>
          </cell>
          <cell r="S22">
            <v>0</v>
          </cell>
          <cell r="T22">
            <v>0</v>
          </cell>
          <cell r="U22">
            <v>0</v>
          </cell>
        </row>
        <row r="23">
          <cell r="A23" t="str">
            <v>JAN 2015</v>
          </cell>
          <cell r="B23" t="str">
            <v>KUCME223</v>
          </cell>
          <cell r="S23">
            <v>0</v>
          </cell>
          <cell r="T23">
            <v>0</v>
          </cell>
          <cell r="U23">
            <v>0</v>
          </cell>
        </row>
        <row r="24">
          <cell r="A24" t="str">
            <v>JAN 2015</v>
          </cell>
          <cell r="B24" t="str">
            <v>KUCME224</v>
          </cell>
          <cell r="E24">
            <v>14477984</v>
          </cell>
          <cell r="F24">
            <v>9030</v>
          </cell>
          <cell r="L24">
            <v>15085</v>
          </cell>
          <cell r="M24">
            <v>37394</v>
          </cell>
          <cell r="R24">
            <v>1183064</v>
          </cell>
          <cell r="S24">
            <v>1077162</v>
          </cell>
          <cell r="T24">
            <v>0</v>
          </cell>
          <cell r="U24">
            <v>44393</v>
          </cell>
        </row>
        <row r="25">
          <cell r="A25" t="str">
            <v>JAN 2015</v>
          </cell>
          <cell r="B25" t="str">
            <v>KUCME225</v>
          </cell>
          <cell r="S25">
            <v>0</v>
          </cell>
          <cell r="T25">
            <v>0</v>
          </cell>
          <cell r="U25">
            <v>0</v>
          </cell>
        </row>
        <row r="26">
          <cell r="A26" t="str">
            <v>JAN 2015</v>
          </cell>
          <cell r="B26" t="str">
            <v>KUCME226</v>
          </cell>
          <cell r="S26">
            <v>0</v>
          </cell>
          <cell r="T26">
            <v>0</v>
          </cell>
          <cell r="U26">
            <v>0</v>
          </cell>
        </row>
        <row r="27">
          <cell r="A27" t="str">
            <v>JAN 2015</v>
          </cell>
          <cell r="B27" t="str">
            <v>KUCME227</v>
          </cell>
          <cell r="S27">
            <v>0</v>
          </cell>
          <cell r="T27">
            <v>0</v>
          </cell>
          <cell r="U27">
            <v>0</v>
          </cell>
        </row>
        <row r="28">
          <cell r="A28" t="str">
            <v>JAN 2015</v>
          </cell>
          <cell r="B28" t="str">
            <v>KUCME290</v>
          </cell>
          <cell r="E28">
            <v>20895</v>
          </cell>
          <cell r="F28" t="str">
            <v>0</v>
          </cell>
          <cell r="M28">
            <v>54</v>
          </cell>
          <cell r="R28">
            <v>1451</v>
          </cell>
          <cell r="S28">
            <v>1333.1009999999999</v>
          </cell>
          <cell r="T28">
            <v>0</v>
          </cell>
          <cell r="U28">
            <v>64</v>
          </cell>
        </row>
        <row r="29">
          <cell r="A29" t="str">
            <v>JAN 2015</v>
          </cell>
          <cell r="B29" t="str">
            <v>KUCME291</v>
          </cell>
          <cell r="S29">
            <v>0</v>
          </cell>
          <cell r="T29">
            <v>0</v>
          </cell>
          <cell r="U29">
            <v>0</v>
          </cell>
        </row>
        <row r="30">
          <cell r="A30" t="str">
            <v>JAN 2015</v>
          </cell>
          <cell r="B30" t="str">
            <v>KUCME295</v>
          </cell>
          <cell r="E30">
            <v>122144</v>
          </cell>
          <cell r="F30">
            <v>2427.75</v>
          </cell>
          <cell r="M30">
            <v>315</v>
          </cell>
          <cell r="R30">
            <v>12862.75</v>
          </cell>
          <cell r="S30">
            <v>9745</v>
          </cell>
          <cell r="T30">
            <v>0</v>
          </cell>
          <cell r="U30">
            <v>375</v>
          </cell>
        </row>
        <row r="31">
          <cell r="A31" t="str">
            <v>JAN 2015</v>
          </cell>
          <cell r="B31" t="str">
            <v>KUCME297</v>
          </cell>
          <cell r="S31">
            <v>0</v>
          </cell>
          <cell r="T31">
            <v>0</v>
          </cell>
          <cell r="U31">
            <v>0</v>
          </cell>
        </row>
        <row r="32">
          <cell r="A32" t="str">
            <v>JAN 2015</v>
          </cell>
          <cell r="B32" t="str">
            <v>KUCME705</v>
          </cell>
          <cell r="S32">
            <v>0</v>
          </cell>
          <cell r="T32">
            <v>0</v>
          </cell>
          <cell r="U32">
            <v>0</v>
          </cell>
        </row>
        <row r="33">
          <cell r="A33" t="str">
            <v>JAN 2015</v>
          </cell>
          <cell r="B33" t="str">
            <v>KUCME707</v>
          </cell>
          <cell r="S33">
            <v>0</v>
          </cell>
          <cell r="T33">
            <v>0</v>
          </cell>
          <cell r="U33">
            <v>0</v>
          </cell>
        </row>
        <row r="34">
          <cell r="A34" t="str">
            <v>JAN 2015</v>
          </cell>
          <cell r="B34" t="str">
            <v>KUCME710</v>
          </cell>
          <cell r="S34">
            <v>0</v>
          </cell>
          <cell r="T34">
            <v>0</v>
          </cell>
          <cell r="U34">
            <v>0</v>
          </cell>
        </row>
        <row r="35">
          <cell r="A35" t="str">
            <v>JAN 2015</v>
          </cell>
          <cell r="B35" t="str">
            <v>KUCME713</v>
          </cell>
          <cell r="S35">
            <v>0</v>
          </cell>
          <cell r="T35">
            <v>0</v>
          </cell>
          <cell r="U35">
            <v>0</v>
          </cell>
        </row>
        <row r="36">
          <cell r="A36" t="str">
            <v>JAN 2015</v>
          </cell>
          <cell r="B36" t="str">
            <v>KUCME841</v>
          </cell>
          <cell r="S36">
            <v>0</v>
          </cell>
          <cell r="T36">
            <v>0</v>
          </cell>
          <cell r="U36">
            <v>0</v>
          </cell>
        </row>
        <row r="37">
          <cell r="A37" t="str">
            <v>JAN 2015</v>
          </cell>
          <cell r="B37" t="str">
            <v>KUCSR760</v>
          </cell>
          <cell r="P37">
            <v>-989829</v>
          </cell>
          <cell r="R37">
            <v>-989829</v>
          </cell>
          <cell r="S37">
            <v>0</v>
          </cell>
          <cell r="T37">
            <v>0</v>
          </cell>
          <cell r="U37">
            <v>0</v>
          </cell>
        </row>
        <row r="38">
          <cell r="A38" t="str">
            <v>JAN 2015</v>
          </cell>
          <cell r="B38" t="str">
            <v>KUCSR761</v>
          </cell>
          <cell r="S38">
            <v>0</v>
          </cell>
          <cell r="T38">
            <v>0</v>
          </cell>
          <cell r="U38">
            <v>0</v>
          </cell>
        </row>
        <row r="39">
          <cell r="A39" t="str">
            <v>JAN 2015</v>
          </cell>
          <cell r="B39" t="str">
            <v>KUCSR783</v>
          </cell>
          <cell r="S39">
            <v>0</v>
          </cell>
          <cell r="T39">
            <v>0</v>
          </cell>
          <cell r="U39">
            <v>0</v>
          </cell>
        </row>
        <row r="40">
          <cell r="A40" t="str">
            <v>JAN 2015</v>
          </cell>
          <cell r="B40" t="str">
            <v>KUCUE851</v>
          </cell>
          <cell r="S40">
            <v>0</v>
          </cell>
          <cell r="T40">
            <v>0</v>
          </cell>
          <cell r="U40">
            <v>0</v>
          </cell>
        </row>
        <row r="41">
          <cell r="A41" t="str">
            <v>JAN 2015</v>
          </cell>
          <cell r="B41" t="str">
            <v>KUCUE852</v>
          </cell>
          <cell r="S41">
            <v>0</v>
          </cell>
          <cell r="T41">
            <v>0</v>
          </cell>
          <cell r="U41">
            <v>0</v>
          </cell>
        </row>
        <row r="42">
          <cell r="A42" t="str">
            <v>JAN 2015</v>
          </cell>
          <cell r="B42" t="str">
            <v>KUINE730</v>
          </cell>
          <cell r="E42">
            <v>48922696</v>
          </cell>
          <cell r="F42">
            <v>750</v>
          </cell>
          <cell r="M42">
            <v>126359</v>
          </cell>
          <cell r="R42">
            <v>2592684</v>
          </cell>
          <cell r="S42">
            <v>1595369</v>
          </cell>
          <cell r="T42">
            <v>720199</v>
          </cell>
          <cell r="U42">
            <v>150007</v>
          </cell>
        </row>
        <row r="43">
          <cell r="A43" t="str">
            <v>JAN 2015</v>
          </cell>
          <cell r="B43" t="str">
            <v>KUMNE902</v>
          </cell>
          <cell r="S43">
            <v>0</v>
          </cell>
          <cell r="T43">
            <v>0</v>
          </cell>
          <cell r="U43">
            <v>0</v>
          </cell>
        </row>
        <row r="44">
          <cell r="A44" t="str">
            <v>JAN 2015</v>
          </cell>
          <cell r="B44" t="str">
            <v>KUMNE903</v>
          </cell>
          <cell r="S44">
            <v>0</v>
          </cell>
          <cell r="T44">
            <v>0</v>
          </cell>
          <cell r="U44">
            <v>0</v>
          </cell>
        </row>
        <row r="45">
          <cell r="A45" t="str">
            <v>JAN 2015</v>
          </cell>
          <cell r="B45" t="str">
            <v>KUMNE934</v>
          </cell>
          <cell r="S45">
            <v>0</v>
          </cell>
          <cell r="T45">
            <v>0</v>
          </cell>
          <cell r="U45">
            <v>0</v>
          </cell>
        </row>
        <row r="46">
          <cell r="A46" t="str">
            <v>JAN 2015</v>
          </cell>
          <cell r="B46" t="str">
            <v>KURSE000</v>
          </cell>
          <cell r="S46">
            <v>0</v>
          </cell>
          <cell r="T46">
            <v>0</v>
          </cell>
          <cell r="U46">
            <v>0</v>
          </cell>
        </row>
        <row r="47">
          <cell r="A47" t="str">
            <v>JAN 2015</v>
          </cell>
          <cell r="B47" t="str">
            <v>KURSE010</v>
          </cell>
          <cell r="E47">
            <v>736688064</v>
          </cell>
          <cell r="F47">
            <v>4602781</v>
          </cell>
          <cell r="L47">
            <v>767580</v>
          </cell>
          <cell r="M47">
            <v>1902737</v>
          </cell>
          <cell r="R47">
            <v>66581061</v>
          </cell>
          <cell r="S47">
            <v>57049123</v>
          </cell>
          <cell r="T47">
            <v>0</v>
          </cell>
          <cell r="U47">
            <v>2258840</v>
          </cell>
        </row>
        <row r="48">
          <cell r="A48" t="str">
            <v>JAN 2015</v>
          </cell>
          <cell r="B48" t="str">
            <v>KURSE020</v>
          </cell>
          <cell r="S48">
            <v>0</v>
          </cell>
          <cell r="T48">
            <v>0</v>
          </cell>
          <cell r="U48">
            <v>0</v>
          </cell>
        </row>
        <row r="49">
          <cell r="A49" t="str">
            <v>JAN 2015</v>
          </cell>
          <cell r="B49" t="str">
            <v>KURSE025</v>
          </cell>
          <cell r="S49">
            <v>0</v>
          </cell>
          <cell r="T49">
            <v>0</v>
          </cell>
          <cell r="U49">
            <v>0</v>
          </cell>
        </row>
        <row r="50">
          <cell r="A50" t="str">
            <v>JAN 2015</v>
          </cell>
          <cell r="B50" t="str">
            <v>KURSE040</v>
          </cell>
          <cell r="S50">
            <v>0</v>
          </cell>
          <cell r="T50">
            <v>0</v>
          </cell>
          <cell r="U50">
            <v>0</v>
          </cell>
        </row>
        <row r="51">
          <cell r="A51" t="str">
            <v>JAN 2015</v>
          </cell>
          <cell r="B51" t="str">
            <v>KURSE080</v>
          </cell>
          <cell r="S51">
            <v>0</v>
          </cell>
          <cell r="T51">
            <v>0</v>
          </cell>
          <cell r="U51">
            <v>0</v>
          </cell>
        </row>
        <row r="52">
          <cell r="A52" t="str">
            <v>JAN 2015</v>
          </cell>
          <cell r="B52" t="str">
            <v>KURSE715</v>
          </cell>
          <cell r="S52">
            <v>0</v>
          </cell>
          <cell r="T52">
            <v>0</v>
          </cell>
          <cell r="U52">
            <v>0</v>
          </cell>
        </row>
        <row r="53">
          <cell r="A53" t="str">
            <v>JAN 2015</v>
          </cell>
          <cell r="B53" t="str">
            <v>KUUM_000</v>
          </cell>
          <cell r="S53">
            <v>0</v>
          </cell>
          <cell r="T53">
            <v>0</v>
          </cell>
          <cell r="U53">
            <v>0</v>
          </cell>
        </row>
        <row r="54">
          <cell r="A54" t="str">
            <v>JAN 2015</v>
          </cell>
          <cell r="B54" t="str">
            <v>KUUM_360</v>
          </cell>
          <cell r="S54">
            <v>0</v>
          </cell>
          <cell r="T54">
            <v>0</v>
          </cell>
          <cell r="U54">
            <v>0</v>
          </cell>
        </row>
        <row r="55">
          <cell r="A55" t="str">
            <v>JAN 2015</v>
          </cell>
          <cell r="B55" t="str">
            <v>KUUM_361</v>
          </cell>
          <cell r="S55">
            <v>0</v>
          </cell>
          <cell r="T55">
            <v>0</v>
          </cell>
          <cell r="U55">
            <v>0</v>
          </cell>
        </row>
        <row r="56">
          <cell r="A56" t="str">
            <v>JAN 2015</v>
          </cell>
          <cell r="B56" t="str">
            <v>KUUM_362</v>
          </cell>
          <cell r="S56">
            <v>0</v>
          </cell>
          <cell r="T56">
            <v>0</v>
          </cell>
          <cell r="U56">
            <v>0</v>
          </cell>
        </row>
        <row r="57">
          <cell r="A57" t="str">
            <v>JAN 2015</v>
          </cell>
          <cell r="B57" t="str">
            <v>KUUM_363</v>
          </cell>
          <cell r="S57">
            <v>0</v>
          </cell>
          <cell r="T57">
            <v>0</v>
          </cell>
          <cell r="U57">
            <v>0</v>
          </cell>
        </row>
        <row r="58">
          <cell r="A58" t="str">
            <v>JAN 2015</v>
          </cell>
          <cell r="B58" t="str">
            <v>KUUM_364</v>
          </cell>
          <cell r="S58">
            <v>0</v>
          </cell>
          <cell r="T58">
            <v>0</v>
          </cell>
          <cell r="U58">
            <v>0</v>
          </cell>
        </row>
        <row r="59">
          <cell r="A59" t="str">
            <v>JAN 2015</v>
          </cell>
          <cell r="B59" t="str">
            <v>KUUM_365</v>
          </cell>
          <cell r="S59">
            <v>0</v>
          </cell>
          <cell r="T59">
            <v>0</v>
          </cell>
          <cell r="U59">
            <v>0</v>
          </cell>
        </row>
        <row r="60">
          <cell r="A60" t="str">
            <v>JAN 2015</v>
          </cell>
          <cell r="B60" t="str">
            <v>KUUM_366</v>
          </cell>
          <cell r="S60">
            <v>0</v>
          </cell>
          <cell r="T60">
            <v>0</v>
          </cell>
          <cell r="U60">
            <v>0</v>
          </cell>
        </row>
        <row r="61">
          <cell r="A61" t="str">
            <v>JAN 2015</v>
          </cell>
          <cell r="B61" t="str">
            <v>KUUM_367</v>
          </cell>
          <cell r="S61">
            <v>0</v>
          </cell>
          <cell r="T61">
            <v>0</v>
          </cell>
          <cell r="U61">
            <v>0</v>
          </cell>
        </row>
        <row r="62">
          <cell r="A62" t="str">
            <v>JAN 2015</v>
          </cell>
          <cell r="B62" t="str">
            <v>KUUM_368</v>
          </cell>
          <cell r="S62">
            <v>0</v>
          </cell>
          <cell r="T62">
            <v>0</v>
          </cell>
          <cell r="U62">
            <v>0</v>
          </cell>
        </row>
        <row r="63">
          <cell r="A63" t="str">
            <v>JAN 2015</v>
          </cell>
          <cell r="B63" t="str">
            <v>KUUM_370</v>
          </cell>
          <cell r="S63">
            <v>0</v>
          </cell>
          <cell r="T63">
            <v>0</v>
          </cell>
          <cell r="U63">
            <v>0</v>
          </cell>
        </row>
        <row r="64">
          <cell r="A64" t="str">
            <v>JAN 2015</v>
          </cell>
          <cell r="B64" t="str">
            <v>KUUM_372</v>
          </cell>
          <cell r="S64">
            <v>0</v>
          </cell>
          <cell r="T64">
            <v>0</v>
          </cell>
          <cell r="U64">
            <v>0</v>
          </cell>
        </row>
        <row r="65">
          <cell r="A65" t="str">
            <v>JAN 2015</v>
          </cell>
          <cell r="B65" t="str">
            <v>KUUM_373</v>
          </cell>
          <cell r="S65">
            <v>0</v>
          </cell>
          <cell r="T65">
            <v>0</v>
          </cell>
          <cell r="U65">
            <v>0</v>
          </cell>
        </row>
        <row r="66">
          <cell r="A66" t="str">
            <v>JAN 2015</v>
          </cell>
          <cell r="B66" t="str">
            <v>KUUM_374</v>
          </cell>
          <cell r="S66">
            <v>0</v>
          </cell>
          <cell r="T66">
            <v>0</v>
          </cell>
          <cell r="U66">
            <v>0</v>
          </cell>
        </row>
        <row r="67">
          <cell r="A67" t="str">
            <v>JAN 2015</v>
          </cell>
          <cell r="B67" t="str">
            <v>KUUM_375</v>
          </cell>
          <cell r="S67">
            <v>0</v>
          </cell>
          <cell r="T67">
            <v>0</v>
          </cell>
          <cell r="U67">
            <v>0</v>
          </cell>
        </row>
        <row r="68">
          <cell r="A68" t="str">
            <v>JAN 2015</v>
          </cell>
          <cell r="B68" t="str">
            <v>KUUM_376</v>
          </cell>
          <cell r="S68">
            <v>0</v>
          </cell>
          <cell r="T68">
            <v>0</v>
          </cell>
          <cell r="U68">
            <v>0</v>
          </cell>
        </row>
        <row r="69">
          <cell r="A69" t="str">
            <v>JAN 2015</v>
          </cell>
          <cell r="B69" t="str">
            <v>KUUM_377</v>
          </cell>
          <cell r="S69">
            <v>0</v>
          </cell>
          <cell r="T69">
            <v>0</v>
          </cell>
          <cell r="U69">
            <v>0</v>
          </cell>
        </row>
        <row r="70">
          <cell r="A70" t="str">
            <v>JAN 2015</v>
          </cell>
          <cell r="B70" t="str">
            <v>KUUM_378</v>
          </cell>
          <cell r="S70">
            <v>0</v>
          </cell>
          <cell r="T70">
            <v>0</v>
          </cell>
          <cell r="U70">
            <v>0</v>
          </cell>
        </row>
        <row r="71">
          <cell r="A71" t="str">
            <v>JAN 2015</v>
          </cell>
          <cell r="B71" t="str">
            <v>KUUM_401</v>
          </cell>
          <cell r="S71">
            <v>0</v>
          </cell>
          <cell r="T71">
            <v>0</v>
          </cell>
          <cell r="U71">
            <v>0</v>
          </cell>
        </row>
        <row r="72">
          <cell r="A72" t="str">
            <v>JAN 2015</v>
          </cell>
          <cell r="B72" t="str">
            <v>KUUM_404</v>
          </cell>
          <cell r="S72">
            <v>0</v>
          </cell>
          <cell r="T72">
            <v>0</v>
          </cell>
          <cell r="U72">
            <v>0</v>
          </cell>
        </row>
        <row r="73">
          <cell r="A73" t="str">
            <v>JAN 2015</v>
          </cell>
          <cell r="B73" t="str">
            <v>KUUM_409</v>
          </cell>
          <cell r="S73">
            <v>0</v>
          </cell>
          <cell r="T73">
            <v>0</v>
          </cell>
          <cell r="U73">
            <v>0</v>
          </cell>
        </row>
        <row r="74">
          <cell r="A74" t="str">
            <v>JAN 2015</v>
          </cell>
          <cell r="B74" t="str">
            <v>KUUM_410</v>
          </cell>
          <cell r="S74">
            <v>0</v>
          </cell>
          <cell r="T74">
            <v>0</v>
          </cell>
          <cell r="U74">
            <v>0</v>
          </cell>
        </row>
        <row r="75">
          <cell r="A75" t="str">
            <v>JAN 2015</v>
          </cell>
          <cell r="B75" t="str">
            <v>KUUM_411</v>
          </cell>
          <cell r="S75">
            <v>0</v>
          </cell>
          <cell r="T75">
            <v>0</v>
          </cell>
          <cell r="U75">
            <v>0</v>
          </cell>
        </row>
        <row r="76">
          <cell r="A76" t="str">
            <v>JAN 2015</v>
          </cell>
          <cell r="B76" t="str">
            <v>KUUM_412</v>
          </cell>
          <cell r="S76">
            <v>0</v>
          </cell>
          <cell r="T76">
            <v>0</v>
          </cell>
          <cell r="U76">
            <v>0</v>
          </cell>
        </row>
        <row r="77">
          <cell r="A77" t="str">
            <v>JAN 2015</v>
          </cell>
          <cell r="B77" t="str">
            <v>KUUM_413</v>
          </cell>
          <cell r="S77">
            <v>0</v>
          </cell>
          <cell r="T77">
            <v>0</v>
          </cell>
          <cell r="U77">
            <v>0</v>
          </cell>
        </row>
        <row r="78">
          <cell r="A78" t="str">
            <v>JAN 2015</v>
          </cell>
          <cell r="B78" t="str">
            <v>KUUM_414</v>
          </cell>
          <cell r="S78">
            <v>0</v>
          </cell>
          <cell r="T78">
            <v>0</v>
          </cell>
          <cell r="U78">
            <v>0</v>
          </cell>
        </row>
        <row r="79">
          <cell r="A79" t="str">
            <v>JAN 2015</v>
          </cell>
          <cell r="B79" t="str">
            <v>KUUM_415</v>
          </cell>
          <cell r="S79">
            <v>0</v>
          </cell>
          <cell r="T79">
            <v>0</v>
          </cell>
          <cell r="U79">
            <v>0</v>
          </cell>
        </row>
        <row r="80">
          <cell r="A80" t="str">
            <v>JAN 2015</v>
          </cell>
          <cell r="B80" t="str">
            <v>KUUM_420</v>
          </cell>
          <cell r="S80">
            <v>0</v>
          </cell>
          <cell r="T80">
            <v>0</v>
          </cell>
          <cell r="U80">
            <v>0</v>
          </cell>
        </row>
        <row r="81">
          <cell r="A81" t="str">
            <v>JAN 2015</v>
          </cell>
          <cell r="B81" t="str">
            <v>KUUM_421</v>
          </cell>
          <cell r="S81">
            <v>0</v>
          </cell>
          <cell r="T81">
            <v>0</v>
          </cell>
          <cell r="U81">
            <v>0</v>
          </cell>
        </row>
        <row r="82">
          <cell r="A82" t="str">
            <v>JAN 2015</v>
          </cell>
          <cell r="B82" t="str">
            <v>KUUM_422</v>
          </cell>
          <cell r="S82">
            <v>0</v>
          </cell>
          <cell r="T82">
            <v>0</v>
          </cell>
          <cell r="U82">
            <v>0</v>
          </cell>
        </row>
        <row r="83">
          <cell r="A83" t="str">
            <v>JAN 2015</v>
          </cell>
          <cell r="B83" t="str">
            <v>KUUM_424</v>
          </cell>
          <cell r="S83">
            <v>0</v>
          </cell>
          <cell r="T83">
            <v>0</v>
          </cell>
          <cell r="U83">
            <v>0</v>
          </cell>
        </row>
        <row r="84">
          <cell r="A84" t="str">
            <v>JAN 2015</v>
          </cell>
          <cell r="B84" t="str">
            <v>KUUM_425</v>
          </cell>
          <cell r="S84">
            <v>0</v>
          </cell>
          <cell r="T84">
            <v>0</v>
          </cell>
          <cell r="U84">
            <v>0</v>
          </cell>
        </row>
        <row r="85">
          <cell r="A85" t="str">
            <v>JAN 2015</v>
          </cell>
          <cell r="B85" t="str">
            <v>KUUM_426</v>
          </cell>
          <cell r="S85">
            <v>0</v>
          </cell>
          <cell r="T85">
            <v>0</v>
          </cell>
          <cell r="U85">
            <v>0</v>
          </cell>
        </row>
        <row r="86">
          <cell r="A86" t="str">
            <v>JAN 2015</v>
          </cell>
          <cell r="B86" t="str">
            <v>KUUM_428</v>
          </cell>
          <cell r="S86">
            <v>0</v>
          </cell>
          <cell r="T86">
            <v>0</v>
          </cell>
          <cell r="U86">
            <v>0</v>
          </cell>
        </row>
        <row r="87">
          <cell r="A87" t="str">
            <v>JAN 2015</v>
          </cell>
          <cell r="B87" t="str">
            <v>KUUM_430</v>
          </cell>
          <cell r="S87">
            <v>0</v>
          </cell>
          <cell r="T87">
            <v>0</v>
          </cell>
          <cell r="U87">
            <v>0</v>
          </cell>
        </row>
        <row r="88">
          <cell r="A88" t="str">
            <v>JAN 2015</v>
          </cell>
          <cell r="B88" t="str">
            <v>KUUM_434</v>
          </cell>
          <cell r="S88">
            <v>0</v>
          </cell>
          <cell r="T88">
            <v>0</v>
          </cell>
          <cell r="U88">
            <v>0</v>
          </cell>
        </row>
        <row r="89">
          <cell r="A89" t="str">
            <v>JAN 2015</v>
          </cell>
          <cell r="B89" t="str">
            <v>KUUM_440</v>
          </cell>
          <cell r="S89">
            <v>0</v>
          </cell>
          <cell r="T89">
            <v>0</v>
          </cell>
          <cell r="U89">
            <v>0</v>
          </cell>
        </row>
        <row r="90">
          <cell r="A90" t="str">
            <v>JAN 2015</v>
          </cell>
          <cell r="B90" t="str">
            <v>KUUM_446</v>
          </cell>
          <cell r="S90">
            <v>0</v>
          </cell>
          <cell r="T90">
            <v>0</v>
          </cell>
          <cell r="U90">
            <v>0</v>
          </cell>
        </row>
        <row r="91">
          <cell r="A91" t="str">
            <v>JAN 2015</v>
          </cell>
          <cell r="B91" t="str">
            <v>KUUM_447</v>
          </cell>
          <cell r="S91">
            <v>0</v>
          </cell>
          <cell r="T91">
            <v>0</v>
          </cell>
          <cell r="U91">
            <v>0</v>
          </cell>
        </row>
        <row r="92">
          <cell r="A92" t="str">
            <v>JAN 2015</v>
          </cell>
          <cell r="B92" t="str">
            <v>KUUM_448</v>
          </cell>
          <cell r="S92">
            <v>0</v>
          </cell>
          <cell r="T92">
            <v>0</v>
          </cell>
          <cell r="U92">
            <v>0</v>
          </cell>
        </row>
        <row r="93">
          <cell r="A93" t="str">
            <v>JAN 2015</v>
          </cell>
          <cell r="B93" t="str">
            <v>KUUM_450</v>
          </cell>
          <cell r="S93">
            <v>0</v>
          </cell>
          <cell r="T93">
            <v>0</v>
          </cell>
          <cell r="U93">
            <v>0</v>
          </cell>
        </row>
        <row r="94">
          <cell r="A94" t="str">
            <v>JAN 2015</v>
          </cell>
          <cell r="B94" t="str">
            <v>KUUM_451</v>
          </cell>
          <cell r="S94">
            <v>0</v>
          </cell>
          <cell r="T94">
            <v>0</v>
          </cell>
          <cell r="U94">
            <v>0</v>
          </cell>
        </row>
        <row r="95">
          <cell r="A95" t="str">
            <v>JAN 2015</v>
          </cell>
          <cell r="B95" t="str">
            <v>KUUM_452</v>
          </cell>
          <cell r="S95">
            <v>0</v>
          </cell>
          <cell r="T95">
            <v>0</v>
          </cell>
          <cell r="U95">
            <v>0</v>
          </cell>
        </row>
        <row r="96">
          <cell r="A96" t="str">
            <v>JAN 2015</v>
          </cell>
          <cell r="B96" t="str">
            <v>KUUM_454</v>
          </cell>
          <cell r="S96">
            <v>0</v>
          </cell>
          <cell r="T96">
            <v>0</v>
          </cell>
          <cell r="U96">
            <v>0</v>
          </cell>
        </row>
        <row r="97">
          <cell r="A97" t="str">
            <v>JAN 2015</v>
          </cell>
          <cell r="B97" t="str">
            <v>KUUM_455</v>
          </cell>
          <cell r="S97">
            <v>0</v>
          </cell>
          <cell r="T97">
            <v>0</v>
          </cell>
          <cell r="U97">
            <v>0</v>
          </cell>
        </row>
        <row r="98">
          <cell r="A98" t="str">
            <v>JAN 2015</v>
          </cell>
          <cell r="B98" t="str">
            <v>KUUM_456</v>
          </cell>
          <cell r="S98">
            <v>0</v>
          </cell>
          <cell r="T98">
            <v>0</v>
          </cell>
          <cell r="U98">
            <v>0</v>
          </cell>
        </row>
        <row r="99">
          <cell r="A99" t="str">
            <v>JAN 2015</v>
          </cell>
          <cell r="B99" t="str">
            <v>KUUM_457</v>
          </cell>
          <cell r="S99">
            <v>0</v>
          </cell>
          <cell r="T99">
            <v>0</v>
          </cell>
          <cell r="U99">
            <v>0</v>
          </cell>
        </row>
        <row r="100">
          <cell r="A100" t="str">
            <v>JAN 2015</v>
          </cell>
          <cell r="B100" t="str">
            <v>KUUM_458</v>
          </cell>
          <cell r="S100">
            <v>0</v>
          </cell>
          <cell r="T100">
            <v>0</v>
          </cell>
          <cell r="U100">
            <v>0</v>
          </cell>
        </row>
        <row r="101">
          <cell r="A101" t="str">
            <v>JAN 2015</v>
          </cell>
          <cell r="B101" t="str">
            <v>KUUM_459</v>
          </cell>
          <cell r="S101">
            <v>0</v>
          </cell>
          <cell r="T101">
            <v>0</v>
          </cell>
          <cell r="U101">
            <v>0</v>
          </cell>
        </row>
        <row r="102">
          <cell r="A102" t="str">
            <v>JAN 2015</v>
          </cell>
          <cell r="B102" t="str">
            <v>KUUM_460</v>
          </cell>
          <cell r="S102">
            <v>0</v>
          </cell>
          <cell r="T102">
            <v>0</v>
          </cell>
          <cell r="U102">
            <v>0</v>
          </cell>
        </row>
        <row r="103">
          <cell r="A103" t="str">
            <v>JAN 2015</v>
          </cell>
          <cell r="B103" t="str">
            <v>KUUM_461</v>
          </cell>
          <cell r="S103">
            <v>0</v>
          </cell>
          <cell r="T103">
            <v>0</v>
          </cell>
          <cell r="U103">
            <v>0</v>
          </cell>
        </row>
        <row r="104">
          <cell r="A104" t="str">
            <v>JAN 2015</v>
          </cell>
          <cell r="B104" t="str">
            <v>KUUM_462</v>
          </cell>
          <cell r="S104">
            <v>0</v>
          </cell>
          <cell r="T104">
            <v>0</v>
          </cell>
          <cell r="U104">
            <v>0</v>
          </cell>
        </row>
        <row r="105">
          <cell r="A105" t="str">
            <v>JAN 2015</v>
          </cell>
          <cell r="B105" t="str">
            <v>KUUM_463</v>
          </cell>
          <cell r="S105">
            <v>0</v>
          </cell>
          <cell r="T105">
            <v>0</v>
          </cell>
          <cell r="U105">
            <v>0</v>
          </cell>
        </row>
        <row r="106">
          <cell r="A106" t="str">
            <v>JAN 2015</v>
          </cell>
          <cell r="B106" t="str">
            <v>KUUM_464</v>
          </cell>
          <cell r="S106">
            <v>0</v>
          </cell>
          <cell r="T106">
            <v>0</v>
          </cell>
          <cell r="U106">
            <v>0</v>
          </cell>
        </row>
        <row r="107">
          <cell r="A107" t="str">
            <v>JAN 2015</v>
          </cell>
          <cell r="B107" t="str">
            <v>KUUM_465</v>
          </cell>
          <cell r="S107">
            <v>0</v>
          </cell>
          <cell r="T107">
            <v>0</v>
          </cell>
          <cell r="U107">
            <v>0</v>
          </cell>
        </row>
        <row r="108">
          <cell r="A108" t="str">
            <v>JAN 2015</v>
          </cell>
          <cell r="B108" t="str">
            <v>KUUM_465CU</v>
          </cell>
          <cell r="S108">
            <v>0</v>
          </cell>
          <cell r="T108">
            <v>0</v>
          </cell>
          <cell r="U108">
            <v>0</v>
          </cell>
        </row>
        <row r="109">
          <cell r="A109" t="str">
            <v>JAN 2015</v>
          </cell>
          <cell r="B109" t="str">
            <v>KUUM_466</v>
          </cell>
          <cell r="S109">
            <v>0</v>
          </cell>
          <cell r="T109">
            <v>0</v>
          </cell>
          <cell r="U109">
            <v>0</v>
          </cell>
        </row>
        <row r="110">
          <cell r="A110" t="str">
            <v>JAN 2015</v>
          </cell>
          <cell r="B110" t="str">
            <v>KUUM_467</v>
          </cell>
          <cell r="S110">
            <v>0</v>
          </cell>
          <cell r="T110">
            <v>0</v>
          </cell>
          <cell r="U110">
            <v>0</v>
          </cell>
        </row>
        <row r="111">
          <cell r="A111" t="str">
            <v>JAN 2015</v>
          </cell>
          <cell r="B111" t="str">
            <v>KUUM_468</v>
          </cell>
          <cell r="S111">
            <v>0</v>
          </cell>
          <cell r="T111">
            <v>0</v>
          </cell>
          <cell r="U111">
            <v>0</v>
          </cell>
        </row>
        <row r="112">
          <cell r="A112" t="str">
            <v>JAN 2015</v>
          </cell>
          <cell r="B112" t="str">
            <v>KUUM_469</v>
          </cell>
          <cell r="S112">
            <v>0</v>
          </cell>
          <cell r="T112">
            <v>0</v>
          </cell>
          <cell r="U112">
            <v>0</v>
          </cell>
        </row>
        <row r="113">
          <cell r="A113" t="str">
            <v>JAN 2015</v>
          </cell>
          <cell r="B113" t="str">
            <v>KUUM_470</v>
          </cell>
          <cell r="S113">
            <v>0</v>
          </cell>
          <cell r="T113">
            <v>0</v>
          </cell>
          <cell r="U113">
            <v>0</v>
          </cell>
        </row>
        <row r="114">
          <cell r="A114" t="str">
            <v>JAN 2015</v>
          </cell>
          <cell r="B114" t="str">
            <v>KUUM_471</v>
          </cell>
          <cell r="S114">
            <v>0</v>
          </cell>
          <cell r="T114">
            <v>0</v>
          </cell>
          <cell r="U114">
            <v>0</v>
          </cell>
        </row>
        <row r="115">
          <cell r="A115" t="str">
            <v>JAN 2015</v>
          </cell>
          <cell r="B115" t="str">
            <v>KUUM_472</v>
          </cell>
          <cell r="S115">
            <v>0</v>
          </cell>
          <cell r="T115">
            <v>0</v>
          </cell>
          <cell r="U115">
            <v>0</v>
          </cell>
        </row>
        <row r="116">
          <cell r="A116" t="str">
            <v>JAN 2015</v>
          </cell>
          <cell r="B116" t="str">
            <v>KUUM_473</v>
          </cell>
          <cell r="S116">
            <v>0</v>
          </cell>
          <cell r="T116">
            <v>0</v>
          </cell>
          <cell r="U116">
            <v>0</v>
          </cell>
        </row>
        <row r="117">
          <cell r="A117" t="str">
            <v>JAN 2015</v>
          </cell>
          <cell r="B117" t="str">
            <v>KUUM_474</v>
          </cell>
          <cell r="S117">
            <v>0</v>
          </cell>
          <cell r="T117">
            <v>0</v>
          </cell>
          <cell r="U117">
            <v>0</v>
          </cell>
        </row>
        <row r="118">
          <cell r="A118" t="str">
            <v>JAN 2015</v>
          </cell>
          <cell r="B118" t="str">
            <v>KUUM_475</v>
          </cell>
          <cell r="S118">
            <v>0</v>
          </cell>
          <cell r="T118">
            <v>0</v>
          </cell>
          <cell r="U118">
            <v>0</v>
          </cell>
        </row>
        <row r="119">
          <cell r="A119" t="str">
            <v>JAN 2015</v>
          </cell>
          <cell r="B119" t="str">
            <v>KUUM_476</v>
          </cell>
          <cell r="S119">
            <v>0</v>
          </cell>
          <cell r="T119">
            <v>0</v>
          </cell>
          <cell r="U119">
            <v>0</v>
          </cell>
        </row>
        <row r="120">
          <cell r="A120" t="str">
            <v>JAN 2015</v>
          </cell>
          <cell r="B120" t="str">
            <v>KUUM_477</v>
          </cell>
          <cell r="S120">
            <v>0</v>
          </cell>
          <cell r="T120">
            <v>0</v>
          </cell>
          <cell r="U120">
            <v>0</v>
          </cell>
        </row>
        <row r="121">
          <cell r="A121" t="str">
            <v>JAN 2015</v>
          </cell>
          <cell r="B121" t="str">
            <v>KUUM_478</v>
          </cell>
          <cell r="S121">
            <v>0</v>
          </cell>
          <cell r="T121">
            <v>0</v>
          </cell>
          <cell r="U121">
            <v>0</v>
          </cell>
        </row>
        <row r="122">
          <cell r="A122" t="str">
            <v>JAN 2015</v>
          </cell>
          <cell r="B122" t="str">
            <v>KUUM_479</v>
          </cell>
          <cell r="S122">
            <v>0</v>
          </cell>
          <cell r="T122">
            <v>0</v>
          </cell>
          <cell r="U122">
            <v>0</v>
          </cell>
        </row>
        <row r="123">
          <cell r="A123" t="str">
            <v>JAN 2015</v>
          </cell>
          <cell r="B123" t="str">
            <v>KUUM_487</v>
          </cell>
          <cell r="S123">
            <v>0</v>
          </cell>
          <cell r="T123">
            <v>0</v>
          </cell>
          <cell r="U123">
            <v>0</v>
          </cell>
        </row>
        <row r="124">
          <cell r="A124" t="str">
            <v>JAN 2015</v>
          </cell>
          <cell r="B124" t="str">
            <v>KUUM_488</v>
          </cell>
          <cell r="S124">
            <v>0</v>
          </cell>
          <cell r="T124">
            <v>0</v>
          </cell>
          <cell r="U124">
            <v>0</v>
          </cell>
        </row>
        <row r="125">
          <cell r="A125" t="str">
            <v>JAN 2015</v>
          </cell>
          <cell r="B125" t="str">
            <v>KUUM_489</v>
          </cell>
          <cell r="S125">
            <v>0</v>
          </cell>
          <cell r="T125">
            <v>0</v>
          </cell>
          <cell r="U125">
            <v>0</v>
          </cell>
        </row>
        <row r="126">
          <cell r="A126" t="str">
            <v>JAN 2015</v>
          </cell>
          <cell r="B126" t="str">
            <v>KUUM_490</v>
          </cell>
          <cell r="S126">
            <v>0</v>
          </cell>
          <cell r="T126">
            <v>0</v>
          </cell>
          <cell r="U126">
            <v>0</v>
          </cell>
        </row>
        <row r="127">
          <cell r="A127" t="str">
            <v>JAN 2015</v>
          </cell>
          <cell r="B127" t="str">
            <v>KUUM_491</v>
          </cell>
          <cell r="S127">
            <v>0</v>
          </cell>
          <cell r="T127">
            <v>0</v>
          </cell>
          <cell r="U127">
            <v>0</v>
          </cell>
        </row>
        <row r="128">
          <cell r="A128" t="str">
            <v>JAN 2015</v>
          </cell>
          <cell r="B128" t="str">
            <v>KUUM_492</v>
          </cell>
          <cell r="S128">
            <v>0</v>
          </cell>
          <cell r="T128">
            <v>0</v>
          </cell>
          <cell r="U128">
            <v>0</v>
          </cell>
        </row>
        <row r="129">
          <cell r="A129" t="str">
            <v>JAN 2015</v>
          </cell>
          <cell r="B129" t="str">
            <v>KUUM_493</v>
          </cell>
          <cell r="S129">
            <v>0</v>
          </cell>
          <cell r="T129">
            <v>0</v>
          </cell>
          <cell r="U129">
            <v>0</v>
          </cell>
        </row>
        <row r="130">
          <cell r="A130" t="str">
            <v>JAN 2015</v>
          </cell>
          <cell r="B130" t="str">
            <v>KUUM_494</v>
          </cell>
          <cell r="S130">
            <v>0</v>
          </cell>
          <cell r="T130">
            <v>0</v>
          </cell>
          <cell r="U130">
            <v>0</v>
          </cell>
        </row>
        <row r="131">
          <cell r="A131" t="str">
            <v>JAN 2015</v>
          </cell>
          <cell r="B131" t="str">
            <v>KUUM_495</v>
          </cell>
          <cell r="S131">
            <v>0</v>
          </cell>
          <cell r="T131">
            <v>0</v>
          </cell>
          <cell r="U131">
            <v>0</v>
          </cell>
        </row>
        <row r="132">
          <cell r="A132" t="str">
            <v>JAN 2015</v>
          </cell>
          <cell r="B132" t="str">
            <v>KUUM_496</v>
          </cell>
          <cell r="S132">
            <v>0</v>
          </cell>
          <cell r="T132">
            <v>0</v>
          </cell>
          <cell r="U132">
            <v>0</v>
          </cell>
        </row>
        <row r="133">
          <cell r="A133" t="str">
            <v>JAN 2015</v>
          </cell>
          <cell r="B133" t="str">
            <v>KUUM_497</v>
          </cell>
          <cell r="S133">
            <v>0</v>
          </cell>
          <cell r="T133">
            <v>0</v>
          </cell>
          <cell r="U133">
            <v>0</v>
          </cell>
        </row>
        <row r="134">
          <cell r="A134" t="str">
            <v>JAN 2015</v>
          </cell>
          <cell r="B134" t="str">
            <v>KUUM_498</v>
          </cell>
          <cell r="S134">
            <v>0</v>
          </cell>
          <cell r="T134">
            <v>0</v>
          </cell>
          <cell r="U134">
            <v>0</v>
          </cell>
        </row>
        <row r="135">
          <cell r="A135" t="str">
            <v>JAN 2015</v>
          </cell>
          <cell r="B135" t="str">
            <v>KUUM_499</v>
          </cell>
          <cell r="S135">
            <v>0</v>
          </cell>
          <cell r="T135">
            <v>0</v>
          </cell>
          <cell r="U135">
            <v>0</v>
          </cell>
        </row>
        <row r="136">
          <cell r="A136" t="str">
            <v>JAN 2015</v>
          </cell>
          <cell r="B136" t="str">
            <v>ODL</v>
          </cell>
          <cell r="E136">
            <v>12776614</v>
          </cell>
          <cell r="M136">
            <v>33000</v>
          </cell>
          <cell r="R136">
            <v>2192431.25</v>
          </cell>
          <cell r="S136">
            <v>2120256.25</v>
          </cell>
          <cell r="T136">
            <v>0</v>
          </cell>
          <cell r="U136">
            <v>39175</v>
          </cell>
        </row>
        <row r="137">
          <cell r="A137" t="str">
            <v>JAN 2015</v>
          </cell>
          <cell r="B137" t="str">
            <v>KUUM_825</v>
          </cell>
          <cell r="S137">
            <v>0</v>
          </cell>
          <cell r="T137">
            <v>0</v>
          </cell>
          <cell r="U137">
            <v>0</v>
          </cell>
        </row>
        <row r="138">
          <cell r="A138" t="str">
            <v>JAN 2015</v>
          </cell>
          <cell r="B138" t="str">
            <v>KUUM_826</v>
          </cell>
          <cell r="S138">
            <v>0</v>
          </cell>
          <cell r="T138">
            <v>0</v>
          </cell>
          <cell r="U138">
            <v>0</v>
          </cell>
        </row>
        <row r="139">
          <cell r="A139" t="str">
            <v>JAN 2015</v>
          </cell>
          <cell r="B139" t="str">
            <v>KUUM_827</v>
          </cell>
          <cell r="S139">
            <v>0</v>
          </cell>
          <cell r="T139">
            <v>0</v>
          </cell>
          <cell r="U139">
            <v>0</v>
          </cell>
        </row>
        <row r="140">
          <cell r="A140" t="str">
            <v>JAN 2015</v>
          </cell>
          <cell r="B140" t="str">
            <v>KUUM_828</v>
          </cell>
          <cell r="S140">
            <v>0</v>
          </cell>
          <cell r="T140">
            <v>0</v>
          </cell>
          <cell r="U140">
            <v>0</v>
          </cell>
        </row>
        <row r="141">
          <cell r="A141" t="str">
            <v>JAN 2015</v>
          </cell>
          <cell r="B141" t="str">
            <v>KUUM_829</v>
          </cell>
          <cell r="S141">
            <v>0</v>
          </cell>
          <cell r="T141">
            <v>0</v>
          </cell>
          <cell r="U141">
            <v>0</v>
          </cell>
        </row>
        <row r="142">
          <cell r="A142" t="str">
            <v>JAN 2015</v>
          </cell>
          <cell r="B142" t="str">
            <v>ODRSE010</v>
          </cell>
          <cell r="S142">
            <v>0</v>
          </cell>
          <cell r="T142">
            <v>0</v>
          </cell>
          <cell r="U142">
            <v>0</v>
          </cell>
        </row>
        <row r="143">
          <cell r="A143" t="str">
            <v>JAN 2015</v>
          </cell>
          <cell r="B143" t="str">
            <v>ODRSE020</v>
          </cell>
          <cell r="S143">
            <v>0</v>
          </cell>
          <cell r="T143">
            <v>0</v>
          </cell>
          <cell r="U143">
            <v>0</v>
          </cell>
        </row>
        <row r="144">
          <cell r="A144" t="str">
            <v>JAN 2015</v>
          </cell>
          <cell r="B144" t="str">
            <v>Result</v>
          </cell>
        </row>
        <row r="145">
          <cell r="E145" t="str">
            <v>KWH</v>
          </cell>
          <cell r="F145" t="str">
            <v>Customer  Charge</v>
          </cell>
          <cell r="L145" t="str">
            <v>DSM</v>
          </cell>
          <cell r="M145" t="str">
            <v>FAC</v>
          </cell>
          <cell r="P145" t="str">
            <v>Curtailable Serv. Rider</v>
          </cell>
          <cell r="Q145" t="str">
            <v>MSR</v>
          </cell>
          <cell r="R145" t="str">
            <v>Revenue Amount</v>
          </cell>
          <cell r="S145" t="e">
            <v>#VALUE!</v>
          </cell>
          <cell r="T145" t="e">
            <v>#VALUE!</v>
          </cell>
          <cell r="U145" t="e">
            <v>#VALUE!</v>
          </cell>
        </row>
        <row r="146">
          <cell r="A146" t="str">
            <v>Revenue Period</v>
          </cell>
          <cell r="B146" t="str">
            <v>Rate Category</v>
          </cell>
          <cell r="E146" t="str">
            <v>KWH</v>
          </cell>
          <cell r="F146" t="str">
            <v>$</v>
          </cell>
          <cell r="L146" t="str">
            <v>$</v>
          </cell>
          <cell r="M146" t="str">
            <v>$</v>
          </cell>
          <cell r="P146" t="str">
            <v>$</v>
          </cell>
          <cell r="Q146" t="str">
            <v>$</v>
          </cell>
          <cell r="R146" t="str">
            <v>$</v>
          </cell>
          <cell r="S146" t="e">
            <v>#VALUE!</v>
          </cell>
          <cell r="T146" t="e">
            <v>#VALUE!</v>
          </cell>
          <cell r="U146" t="e">
            <v>#VALUE!</v>
          </cell>
        </row>
        <row r="147">
          <cell r="A147" t="str">
            <v>FEB 2015</v>
          </cell>
          <cell r="B147" t="str">
            <v>KTRSE020</v>
          </cell>
          <cell r="S147">
            <v>0</v>
          </cell>
          <cell r="T147">
            <v>0</v>
          </cell>
          <cell r="U147">
            <v>0</v>
          </cell>
        </row>
        <row r="148">
          <cell r="A148" t="str">
            <v>FEB 2015</v>
          </cell>
          <cell r="B148" t="str">
            <v>KTRSE030</v>
          </cell>
          <cell r="S148">
            <v>0</v>
          </cell>
          <cell r="T148">
            <v>0</v>
          </cell>
          <cell r="U148">
            <v>0</v>
          </cell>
        </row>
        <row r="149">
          <cell r="A149" t="str">
            <v>FEB 2015</v>
          </cell>
          <cell r="B149" t="str">
            <v>KTUM_406</v>
          </cell>
          <cell r="S149">
            <v>0</v>
          </cell>
          <cell r="T149">
            <v>0</v>
          </cell>
          <cell r="U149">
            <v>0</v>
          </cell>
        </row>
        <row r="150">
          <cell r="A150" t="str">
            <v>FEB 2015</v>
          </cell>
          <cell r="B150" t="str">
            <v>KTUM_428</v>
          </cell>
          <cell r="S150">
            <v>0</v>
          </cell>
          <cell r="T150">
            <v>0</v>
          </cell>
          <cell r="U150">
            <v>0</v>
          </cell>
        </row>
        <row r="151">
          <cell r="A151" t="str">
            <v>FEB 2015</v>
          </cell>
          <cell r="B151" t="str">
            <v>KUCIE000</v>
          </cell>
          <cell r="S151">
            <v>0</v>
          </cell>
          <cell r="T151">
            <v>0</v>
          </cell>
          <cell r="U151">
            <v>0</v>
          </cell>
        </row>
        <row r="152">
          <cell r="A152" t="str">
            <v>FEB 2015</v>
          </cell>
          <cell r="B152" t="str">
            <v>KUCIE550</v>
          </cell>
          <cell r="E152">
            <v>135917399</v>
          </cell>
          <cell r="F152">
            <v>24000</v>
          </cell>
          <cell r="L152">
            <v>0</v>
          </cell>
          <cell r="M152">
            <v>252664</v>
          </cell>
          <cell r="R152">
            <v>8114631</v>
          </cell>
          <cell r="S152">
            <v>4939238</v>
          </cell>
          <cell r="T152">
            <v>2411646</v>
          </cell>
          <cell r="U152">
            <v>487082</v>
          </cell>
        </row>
        <row r="153">
          <cell r="A153" t="str">
            <v>FEB 2015</v>
          </cell>
          <cell r="B153" t="str">
            <v>KUCIE561</v>
          </cell>
          <cell r="E153">
            <v>18264518</v>
          </cell>
          <cell r="F153">
            <v>35870</v>
          </cell>
          <cell r="L153">
            <v>20803</v>
          </cell>
          <cell r="M153">
            <v>33953</v>
          </cell>
          <cell r="R153">
            <v>1512771</v>
          </cell>
          <cell r="S153">
            <v>650582</v>
          </cell>
          <cell r="T153">
            <v>706109</v>
          </cell>
          <cell r="U153">
            <v>65454</v>
          </cell>
        </row>
        <row r="154">
          <cell r="A154" t="str">
            <v>FEB 2015</v>
          </cell>
          <cell r="B154" t="str">
            <v>KUCIE562</v>
          </cell>
          <cell r="E154">
            <v>170418565</v>
          </cell>
          <cell r="F154">
            <v>429300</v>
          </cell>
          <cell r="L154">
            <v>194103</v>
          </cell>
          <cell r="M154">
            <v>316800</v>
          </cell>
          <cell r="R154">
            <v>14952968</v>
          </cell>
          <cell r="S154">
            <v>6073718</v>
          </cell>
          <cell r="T154">
            <v>7328324</v>
          </cell>
          <cell r="U154">
            <v>610723</v>
          </cell>
        </row>
        <row r="155">
          <cell r="A155" t="str">
            <v>FEB 2015</v>
          </cell>
          <cell r="B155" t="str">
            <v>KUCIE563</v>
          </cell>
          <cell r="E155">
            <v>240582096</v>
          </cell>
          <cell r="F155">
            <v>15600</v>
          </cell>
          <cell r="L155">
            <v>274018</v>
          </cell>
          <cell r="M155">
            <v>447231</v>
          </cell>
          <cell r="R155">
            <v>14869863</v>
          </cell>
          <cell r="S155">
            <v>9057916</v>
          </cell>
          <cell r="T155">
            <v>4212932</v>
          </cell>
          <cell r="U155">
            <v>862165</v>
          </cell>
        </row>
        <row r="156">
          <cell r="A156" t="str">
            <v>FEB 2015</v>
          </cell>
          <cell r="B156" t="str">
            <v>KUCIE566</v>
          </cell>
          <cell r="S156">
            <v>0</v>
          </cell>
          <cell r="T156">
            <v>0</v>
          </cell>
          <cell r="U156">
            <v>0</v>
          </cell>
        </row>
        <row r="157">
          <cell r="A157" t="str">
            <v>FEB 2015</v>
          </cell>
          <cell r="B157" t="str">
            <v>KUCIE568</v>
          </cell>
          <cell r="S157">
            <v>0</v>
          </cell>
          <cell r="T157">
            <v>0</v>
          </cell>
          <cell r="U157">
            <v>0</v>
          </cell>
        </row>
        <row r="158">
          <cell r="A158" t="str">
            <v>FEB 2015</v>
          </cell>
          <cell r="B158" t="str">
            <v>KUCIE571</v>
          </cell>
          <cell r="E158">
            <v>101352085</v>
          </cell>
          <cell r="F158">
            <v>56100</v>
          </cell>
          <cell r="L158">
            <v>115438</v>
          </cell>
          <cell r="M158">
            <v>188409</v>
          </cell>
          <cell r="R158">
            <v>6696730</v>
          </cell>
          <cell r="S158">
            <v>3815906</v>
          </cell>
          <cell r="T158">
            <v>2157665</v>
          </cell>
          <cell r="U158">
            <v>363212</v>
          </cell>
        </row>
        <row r="159">
          <cell r="A159" t="str">
            <v>FEB 2015</v>
          </cell>
          <cell r="B159" t="str">
            <v>KUCIE572</v>
          </cell>
          <cell r="E159">
            <v>118321752</v>
          </cell>
          <cell r="F159">
            <v>91200</v>
          </cell>
          <cell r="L159">
            <v>134766</v>
          </cell>
          <cell r="M159">
            <v>219955</v>
          </cell>
          <cell r="R159">
            <v>8306777</v>
          </cell>
          <cell r="S159">
            <v>4464280</v>
          </cell>
          <cell r="T159">
            <v>2972551</v>
          </cell>
          <cell r="U159">
            <v>424025</v>
          </cell>
        </row>
        <row r="160">
          <cell r="A160" t="str">
            <v>FEB 2015</v>
          </cell>
          <cell r="B160" t="str">
            <v>KUCIE717</v>
          </cell>
          <cell r="S160">
            <v>0</v>
          </cell>
          <cell r="T160">
            <v>0</v>
          </cell>
          <cell r="U160">
            <v>0</v>
          </cell>
        </row>
        <row r="161">
          <cell r="A161" t="str">
            <v>FEB 2015</v>
          </cell>
          <cell r="B161" t="str">
            <v>KUCME000</v>
          </cell>
          <cell r="S161">
            <v>0</v>
          </cell>
          <cell r="T161">
            <v>0</v>
          </cell>
          <cell r="U161">
            <v>0</v>
          </cell>
        </row>
        <row r="162">
          <cell r="A162" t="str">
            <v>FEB 2015</v>
          </cell>
          <cell r="B162" t="str">
            <v>KUCME110</v>
          </cell>
          <cell r="E162">
            <v>68740240</v>
          </cell>
          <cell r="F162">
            <v>1269037</v>
          </cell>
          <cell r="L162">
            <v>78294</v>
          </cell>
          <cell r="M162">
            <v>127785</v>
          </cell>
          <cell r="R162">
            <v>8062745</v>
          </cell>
          <cell r="S162">
            <v>6341288</v>
          </cell>
          <cell r="T162">
            <v>0</v>
          </cell>
          <cell r="U162">
            <v>246342</v>
          </cell>
        </row>
        <row r="163">
          <cell r="A163" t="str">
            <v>FEB 2015</v>
          </cell>
          <cell r="B163" t="str">
            <v>KUCME112</v>
          </cell>
          <cell r="S163">
            <v>0</v>
          </cell>
          <cell r="T163">
            <v>0</v>
          </cell>
          <cell r="U163">
            <v>0</v>
          </cell>
        </row>
        <row r="164">
          <cell r="A164" t="str">
            <v>FEB 2015</v>
          </cell>
          <cell r="B164" t="str">
            <v>KUCME113</v>
          </cell>
          <cell r="E164">
            <v>100614272</v>
          </cell>
          <cell r="F164">
            <v>649185</v>
          </cell>
          <cell r="L164">
            <v>114598</v>
          </cell>
          <cell r="M164">
            <v>187037</v>
          </cell>
          <cell r="R164">
            <v>10593054</v>
          </cell>
          <cell r="S164">
            <v>9281667</v>
          </cell>
          <cell r="T164">
            <v>0</v>
          </cell>
          <cell r="U164">
            <v>360568</v>
          </cell>
        </row>
        <row r="165">
          <cell r="A165" t="str">
            <v>FEB 2015</v>
          </cell>
          <cell r="B165" t="str">
            <v>KUCME220</v>
          </cell>
          <cell r="E165">
            <v>753729</v>
          </cell>
          <cell r="F165">
            <v>7420</v>
          </cell>
          <cell r="L165">
            <v>858</v>
          </cell>
          <cell r="M165">
            <v>1401</v>
          </cell>
          <cell r="R165">
            <v>68458</v>
          </cell>
          <cell r="S165">
            <v>56077</v>
          </cell>
          <cell r="T165">
            <v>0</v>
          </cell>
          <cell r="U165">
            <v>2701</v>
          </cell>
        </row>
        <row r="166">
          <cell r="A166" t="str">
            <v>FEB 2015</v>
          </cell>
          <cell r="B166" t="str">
            <v>KUCME221</v>
          </cell>
          <cell r="S166">
            <v>0</v>
          </cell>
          <cell r="T166">
            <v>0</v>
          </cell>
          <cell r="U166">
            <v>0</v>
          </cell>
        </row>
        <row r="167">
          <cell r="A167" t="str">
            <v>FEB 2015</v>
          </cell>
          <cell r="B167" t="str">
            <v>KUCME223</v>
          </cell>
          <cell r="S167">
            <v>0</v>
          </cell>
          <cell r="T167">
            <v>0</v>
          </cell>
          <cell r="U167">
            <v>0</v>
          </cell>
        </row>
        <row r="168">
          <cell r="A168" t="str">
            <v>FEB 2015</v>
          </cell>
          <cell r="B168" t="str">
            <v>KUCME224</v>
          </cell>
          <cell r="E168">
            <v>13970009</v>
          </cell>
          <cell r="F168">
            <v>9030</v>
          </cell>
          <cell r="L168">
            <v>15912</v>
          </cell>
          <cell r="M168">
            <v>25970</v>
          </cell>
          <cell r="R168">
            <v>1140344</v>
          </cell>
          <cell r="S168">
            <v>1039369</v>
          </cell>
          <cell r="T168">
            <v>0</v>
          </cell>
          <cell r="U168">
            <v>50064</v>
          </cell>
        </row>
        <row r="169">
          <cell r="A169" t="str">
            <v>FEB 2015</v>
          </cell>
          <cell r="B169" t="str">
            <v>KUCME225</v>
          </cell>
          <cell r="S169">
            <v>0</v>
          </cell>
          <cell r="T169">
            <v>0</v>
          </cell>
          <cell r="U169">
            <v>0</v>
          </cell>
        </row>
        <row r="170">
          <cell r="A170" t="str">
            <v>FEB 2015</v>
          </cell>
          <cell r="B170" t="str">
            <v>KUCME226</v>
          </cell>
          <cell r="S170">
            <v>0</v>
          </cell>
          <cell r="T170">
            <v>0</v>
          </cell>
          <cell r="U170">
            <v>0</v>
          </cell>
        </row>
        <row r="171">
          <cell r="A171" t="str">
            <v>FEB 2015</v>
          </cell>
          <cell r="B171" t="str">
            <v>KUCME227</v>
          </cell>
          <cell r="S171">
            <v>0</v>
          </cell>
          <cell r="T171">
            <v>0</v>
          </cell>
          <cell r="U171">
            <v>0</v>
          </cell>
        </row>
        <row r="172">
          <cell r="A172" t="str">
            <v>FEB 2015</v>
          </cell>
          <cell r="B172" t="str">
            <v>KUCME290</v>
          </cell>
          <cell r="E172">
            <v>12268</v>
          </cell>
          <cell r="M172">
            <v>23</v>
          </cell>
          <cell r="R172">
            <v>850</v>
          </cell>
          <cell r="S172">
            <v>782.69839999999999</v>
          </cell>
          <cell r="T172">
            <v>0</v>
          </cell>
          <cell r="U172">
            <v>44</v>
          </cell>
        </row>
        <row r="173">
          <cell r="A173" t="str">
            <v>FEB 2015</v>
          </cell>
          <cell r="B173" t="str">
            <v>KUCME291</v>
          </cell>
          <cell r="S173">
            <v>0</v>
          </cell>
          <cell r="T173">
            <v>0</v>
          </cell>
          <cell r="U173">
            <v>0</v>
          </cell>
        </row>
        <row r="174">
          <cell r="A174" t="str">
            <v>FEB 2015</v>
          </cell>
          <cell r="B174" t="str">
            <v>KUCME295</v>
          </cell>
          <cell r="E174">
            <v>109851</v>
          </cell>
          <cell r="F174">
            <v>2427.75</v>
          </cell>
          <cell r="M174">
            <v>204</v>
          </cell>
          <cell r="R174">
            <v>11788.75</v>
          </cell>
          <cell r="S174">
            <v>8764</v>
          </cell>
          <cell r="T174">
            <v>0</v>
          </cell>
          <cell r="U174">
            <v>393</v>
          </cell>
        </row>
        <row r="175">
          <cell r="A175" t="str">
            <v>FEB 2015</v>
          </cell>
          <cell r="B175" t="str">
            <v>KUCME297</v>
          </cell>
          <cell r="S175">
            <v>0</v>
          </cell>
          <cell r="T175">
            <v>0</v>
          </cell>
          <cell r="U175">
            <v>0</v>
          </cell>
        </row>
        <row r="176">
          <cell r="A176" t="str">
            <v>FEB 2015</v>
          </cell>
          <cell r="B176" t="str">
            <v>KUCME705</v>
          </cell>
          <cell r="S176">
            <v>0</v>
          </cell>
          <cell r="T176">
            <v>0</v>
          </cell>
          <cell r="U176">
            <v>0</v>
          </cell>
        </row>
        <row r="177">
          <cell r="A177" t="str">
            <v>FEB 2015</v>
          </cell>
          <cell r="B177" t="str">
            <v>KUCME707</v>
          </cell>
          <cell r="S177">
            <v>0</v>
          </cell>
          <cell r="T177">
            <v>0</v>
          </cell>
          <cell r="U177">
            <v>0</v>
          </cell>
        </row>
        <row r="178">
          <cell r="A178" t="str">
            <v>FEB 2015</v>
          </cell>
          <cell r="B178" t="str">
            <v>KUCME710</v>
          </cell>
          <cell r="S178">
            <v>0</v>
          </cell>
          <cell r="T178">
            <v>0</v>
          </cell>
          <cell r="U178">
            <v>0</v>
          </cell>
        </row>
        <row r="179">
          <cell r="A179" t="str">
            <v>FEB 2015</v>
          </cell>
          <cell r="B179" t="str">
            <v>KUCME713</v>
          </cell>
          <cell r="S179">
            <v>0</v>
          </cell>
          <cell r="T179">
            <v>0</v>
          </cell>
          <cell r="U179">
            <v>0</v>
          </cell>
        </row>
        <row r="180">
          <cell r="A180" t="str">
            <v>FEB 2015</v>
          </cell>
          <cell r="B180" t="str">
            <v>KUCME841</v>
          </cell>
          <cell r="S180">
            <v>0</v>
          </cell>
          <cell r="T180">
            <v>0</v>
          </cell>
          <cell r="U180">
            <v>0</v>
          </cell>
        </row>
        <row r="181">
          <cell r="A181" t="str">
            <v>FEB 2015</v>
          </cell>
          <cell r="B181" t="str">
            <v>KUCSR760</v>
          </cell>
          <cell r="P181">
            <v>-989829</v>
          </cell>
          <cell r="R181">
            <v>-989829</v>
          </cell>
          <cell r="S181">
            <v>0</v>
          </cell>
          <cell r="T181">
            <v>0</v>
          </cell>
          <cell r="U181">
            <v>0</v>
          </cell>
        </row>
        <row r="182">
          <cell r="A182" t="str">
            <v>FEB 2015</v>
          </cell>
          <cell r="B182" t="str">
            <v>KUCSR761</v>
          </cell>
          <cell r="S182">
            <v>0</v>
          </cell>
          <cell r="T182">
            <v>0</v>
          </cell>
          <cell r="U182">
            <v>0</v>
          </cell>
        </row>
        <row r="183">
          <cell r="A183" t="str">
            <v>FEB 2015</v>
          </cell>
          <cell r="B183" t="str">
            <v>KUCSR781</v>
          </cell>
          <cell r="S183">
            <v>0</v>
          </cell>
          <cell r="T183">
            <v>0</v>
          </cell>
          <cell r="U183">
            <v>0</v>
          </cell>
        </row>
        <row r="184">
          <cell r="A184" t="str">
            <v>FEB 2015</v>
          </cell>
          <cell r="B184" t="str">
            <v>KUCSR783</v>
          </cell>
          <cell r="S184">
            <v>0</v>
          </cell>
          <cell r="T184">
            <v>0</v>
          </cell>
          <cell r="U184">
            <v>0</v>
          </cell>
        </row>
        <row r="185">
          <cell r="A185" t="str">
            <v>FEB 2015</v>
          </cell>
          <cell r="B185" t="str">
            <v>KUCUE851</v>
          </cell>
          <cell r="S185">
            <v>0</v>
          </cell>
          <cell r="T185">
            <v>0</v>
          </cell>
          <cell r="U185">
            <v>0</v>
          </cell>
        </row>
        <row r="186">
          <cell r="A186" t="str">
            <v>FEB 2015</v>
          </cell>
          <cell r="B186" t="str">
            <v>KUCUE852</v>
          </cell>
          <cell r="S186">
            <v>0</v>
          </cell>
          <cell r="T186">
            <v>0</v>
          </cell>
          <cell r="U186">
            <v>0</v>
          </cell>
        </row>
        <row r="187">
          <cell r="A187" t="str">
            <v>FEB 2015</v>
          </cell>
          <cell r="B187" t="str">
            <v>KUINE730</v>
          </cell>
          <cell r="E187">
            <v>46508169</v>
          </cell>
          <cell r="F187">
            <v>750</v>
          </cell>
          <cell r="M187">
            <v>86457</v>
          </cell>
          <cell r="R187">
            <v>2490707</v>
          </cell>
          <cell r="S187">
            <v>1516631</v>
          </cell>
          <cell r="T187">
            <v>720199</v>
          </cell>
          <cell r="U187">
            <v>166670</v>
          </cell>
        </row>
        <row r="188">
          <cell r="A188" t="str">
            <v>FEB 2015</v>
          </cell>
          <cell r="B188" t="str">
            <v>KUMNE902</v>
          </cell>
          <cell r="S188">
            <v>0</v>
          </cell>
          <cell r="T188">
            <v>0</v>
          </cell>
          <cell r="U188">
            <v>0</v>
          </cell>
        </row>
        <row r="189">
          <cell r="A189" t="str">
            <v>FEB 2015</v>
          </cell>
          <cell r="B189" t="str">
            <v>KUMNE903</v>
          </cell>
          <cell r="S189">
            <v>0</v>
          </cell>
          <cell r="T189">
            <v>0</v>
          </cell>
          <cell r="U189">
            <v>0</v>
          </cell>
        </row>
        <row r="190">
          <cell r="A190" t="str">
            <v>FEB 2015</v>
          </cell>
          <cell r="B190" t="str">
            <v>KUMNE934</v>
          </cell>
          <cell r="S190">
            <v>0</v>
          </cell>
          <cell r="T190">
            <v>0</v>
          </cell>
          <cell r="U190">
            <v>0</v>
          </cell>
        </row>
        <row r="191">
          <cell r="A191" t="str">
            <v>FEB 2015</v>
          </cell>
          <cell r="B191" t="str">
            <v>KURSE000</v>
          </cell>
          <cell r="S191">
            <v>0</v>
          </cell>
          <cell r="T191">
            <v>0</v>
          </cell>
          <cell r="U191">
            <v>0</v>
          </cell>
        </row>
        <row r="192">
          <cell r="A192" t="str">
            <v>FEB 2015</v>
          </cell>
          <cell r="B192" t="str">
            <v>KURSE010</v>
          </cell>
          <cell r="E192">
            <v>671792006</v>
          </cell>
          <cell r="F192">
            <v>4604842</v>
          </cell>
          <cell r="L192">
            <v>765157</v>
          </cell>
          <cell r="M192">
            <v>1248831</v>
          </cell>
          <cell r="R192">
            <v>61049879</v>
          </cell>
          <cell r="S192">
            <v>52023573</v>
          </cell>
          <cell r="T192">
            <v>0</v>
          </cell>
          <cell r="U192">
            <v>2407476</v>
          </cell>
        </row>
        <row r="193">
          <cell r="A193" t="str">
            <v>FEB 2015</v>
          </cell>
          <cell r="B193" t="str">
            <v>KURSE020</v>
          </cell>
          <cell r="S193">
            <v>0</v>
          </cell>
          <cell r="T193">
            <v>0</v>
          </cell>
          <cell r="U193">
            <v>0</v>
          </cell>
        </row>
        <row r="194">
          <cell r="A194" t="str">
            <v>FEB 2015</v>
          </cell>
          <cell r="B194" t="str">
            <v>KURSE025</v>
          </cell>
          <cell r="S194">
            <v>0</v>
          </cell>
          <cell r="T194">
            <v>0</v>
          </cell>
          <cell r="U194">
            <v>0</v>
          </cell>
        </row>
        <row r="195">
          <cell r="A195" t="str">
            <v>FEB 2015</v>
          </cell>
          <cell r="B195" t="str">
            <v>KURSE040</v>
          </cell>
          <cell r="S195">
            <v>0</v>
          </cell>
          <cell r="T195">
            <v>0</v>
          </cell>
          <cell r="U195">
            <v>0</v>
          </cell>
        </row>
        <row r="196">
          <cell r="A196" t="str">
            <v>FEB 2015</v>
          </cell>
          <cell r="B196" t="str">
            <v>KURSE080</v>
          </cell>
          <cell r="S196">
            <v>0</v>
          </cell>
          <cell r="T196">
            <v>0</v>
          </cell>
          <cell r="U196">
            <v>0</v>
          </cell>
        </row>
        <row r="197">
          <cell r="A197" t="str">
            <v>FEB 2015</v>
          </cell>
          <cell r="B197" t="str">
            <v>KURSE715</v>
          </cell>
          <cell r="S197">
            <v>0</v>
          </cell>
          <cell r="T197">
            <v>0</v>
          </cell>
          <cell r="U197">
            <v>0</v>
          </cell>
        </row>
        <row r="198">
          <cell r="A198" t="str">
            <v>FEB 2015</v>
          </cell>
          <cell r="B198" t="str">
            <v>KUUM_000</v>
          </cell>
          <cell r="S198">
            <v>0</v>
          </cell>
          <cell r="T198">
            <v>0</v>
          </cell>
          <cell r="U198">
            <v>0</v>
          </cell>
        </row>
        <row r="199">
          <cell r="A199" t="str">
            <v>FEB 2015</v>
          </cell>
          <cell r="B199" t="str">
            <v>KUUM_360</v>
          </cell>
          <cell r="S199">
            <v>0</v>
          </cell>
          <cell r="T199">
            <v>0</v>
          </cell>
          <cell r="U199">
            <v>0</v>
          </cell>
        </row>
        <row r="200">
          <cell r="A200" t="str">
            <v>FEB 2015</v>
          </cell>
          <cell r="B200" t="str">
            <v>KUUM_361</v>
          </cell>
          <cell r="S200">
            <v>0</v>
          </cell>
          <cell r="T200">
            <v>0</v>
          </cell>
          <cell r="U200">
            <v>0</v>
          </cell>
        </row>
        <row r="201">
          <cell r="A201" t="str">
            <v>FEB 2015</v>
          </cell>
          <cell r="B201" t="str">
            <v>KUUM_362</v>
          </cell>
          <cell r="S201">
            <v>0</v>
          </cell>
          <cell r="T201">
            <v>0</v>
          </cell>
          <cell r="U201">
            <v>0</v>
          </cell>
        </row>
        <row r="202">
          <cell r="A202" t="str">
            <v>FEB 2015</v>
          </cell>
          <cell r="B202" t="str">
            <v>KUUM_363</v>
          </cell>
          <cell r="S202">
            <v>0</v>
          </cell>
          <cell r="T202">
            <v>0</v>
          </cell>
          <cell r="U202">
            <v>0</v>
          </cell>
        </row>
        <row r="203">
          <cell r="A203" t="str">
            <v>FEB 2015</v>
          </cell>
          <cell r="B203" t="str">
            <v>KUUM_364</v>
          </cell>
          <cell r="S203">
            <v>0</v>
          </cell>
          <cell r="T203">
            <v>0</v>
          </cell>
          <cell r="U203">
            <v>0</v>
          </cell>
        </row>
        <row r="204">
          <cell r="A204" t="str">
            <v>FEB 2015</v>
          </cell>
          <cell r="B204" t="str">
            <v>KUUM_365</v>
          </cell>
          <cell r="S204">
            <v>0</v>
          </cell>
          <cell r="T204">
            <v>0</v>
          </cell>
          <cell r="U204">
            <v>0</v>
          </cell>
        </row>
        <row r="205">
          <cell r="A205" t="str">
            <v>FEB 2015</v>
          </cell>
          <cell r="B205" t="str">
            <v>KUUM_366</v>
          </cell>
          <cell r="S205">
            <v>0</v>
          </cell>
          <cell r="T205">
            <v>0</v>
          </cell>
          <cell r="U205">
            <v>0</v>
          </cell>
        </row>
        <row r="206">
          <cell r="A206" t="str">
            <v>FEB 2015</v>
          </cell>
          <cell r="B206" t="str">
            <v>KUUM_367</v>
          </cell>
          <cell r="S206">
            <v>0</v>
          </cell>
          <cell r="T206">
            <v>0</v>
          </cell>
          <cell r="U206">
            <v>0</v>
          </cell>
        </row>
        <row r="207">
          <cell r="A207" t="str">
            <v>FEB 2015</v>
          </cell>
          <cell r="B207" t="str">
            <v>KUUM_368</v>
          </cell>
          <cell r="S207">
            <v>0</v>
          </cell>
          <cell r="T207">
            <v>0</v>
          </cell>
          <cell r="U207">
            <v>0</v>
          </cell>
        </row>
        <row r="208">
          <cell r="A208" t="str">
            <v>FEB 2015</v>
          </cell>
          <cell r="B208" t="str">
            <v>KUUM_370</v>
          </cell>
          <cell r="S208">
            <v>0</v>
          </cell>
          <cell r="T208">
            <v>0</v>
          </cell>
          <cell r="U208">
            <v>0</v>
          </cell>
        </row>
        <row r="209">
          <cell r="A209" t="str">
            <v>FEB 2015</v>
          </cell>
          <cell r="B209" t="str">
            <v>KUUM_372</v>
          </cell>
          <cell r="S209">
            <v>0</v>
          </cell>
          <cell r="T209">
            <v>0</v>
          </cell>
          <cell r="U209">
            <v>0</v>
          </cell>
        </row>
        <row r="210">
          <cell r="A210" t="str">
            <v>FEB 2015</v>
          </cell>
          <cell r="B210" t="str">
            <v>KUUM_373</v>
          </cell>
          <cell r="S210">
            <v>0</v>
          </cell>
          <cell r="T210">
            <v>0</v>
          </cell>
          <cell r="U210">
            <v>0</v>
          </cell>
        </row>
        <row r="211">
          <cell r="A211" t="str">
            <v>FEB 2015</v>
          </cell>
          <cell r="B211" t="str">
            <v>KUUM_374</v>
          </cell>
          <cell r="S211">
            <v>0</v>
          </cell>
          <cell r="T211">
            <v>0</v>
          </cell>
          <cell r="U211">
            <v>0</v>
          </cell>
        </row>
        <row r="212">
          <cell r="A212" t="str">
            <v>FEB 2015</v>
          </cell>
          <cell r="B212" t="str">
            <v>KUUM_375</v>
          </cell>
          <cell r="S212">
            <v>0</v>
          </cell>
          <cell r="T212">
            <v>0</v>
          </cell>
          <cell r="U212">
            <v>0</v>
          </cell>
        </row>
        <row r="213">
          <cell r="A213" t="str">
            <v>FEB 2015</v>
          </cell>
          <cell r="B213" t="str">
            <v>KUUM_376</v>
          </cell>
          <cell r="S213">
            <v>0</v>
          </cell>
          <cell r="T213">
            <v>0</v>
          </cell>
          <cell r="U213">
            <v>0</v>
          </cell>
        </row>
        <row r="214">
          <cell r="A214" t="str">
            <v>FEB 2015</v>
          </cell>
          <cell r="B214" t="str">
            <v>KUUM_377</v>
          </cell>
          <cell r="S214">
            <v>0</v>
          </cell>
          <cell r="T214">
            <v>0</v>
          </cell>
          <cell r="U214">
            <v>0</v>
          </cell>
        </row>
        <row r="215">
          <cell r="A215" t="str">
            <v>FEB 2015</v>
          </cell>
          <cell r="B215" t="str">
            <v>KUUM_378</v>
          </cell>
          <cell r="S215">
            <v>0</v>
          </cell>
          <cell r="T215">
            <v>0</v>
          </cell>
          <cell r="U215">
            <v>0</v>
          </cell>
        </row>
        <row r="216">
          <cell r="A216" t="str">
            <v>FEB 2015</v>
          </cell>
          <cell r="B216" t="str">
            <v>KUUM_401</v>
          </cell>
          <cell r="S216">
            <v>0</v>
          </cell>
          <cell r="T216">
            <v>0</v>
          </cell>
          <cell r="U216">
            <v>0</v>
          </cell>
        </row>
        <row r="217">
          <cell r="A217" t="str">
            <v>FEB 2015</v>
          </cell>
          <cell r="B217" t="str">
            <v>KUUM_404</v>
          </cell>
          <cell r="S217">
            <v>0</v>
          </cell>
          <cell r="T217">
            <v>0</v>
          </cell>
          <cell r="U217">
            <v>0</v>
          </cell>
        </row>
        <row r="218">
          <cell r="A218" t="str">
            <v>FEB 2015</v>
          </cell>
          <cell r="B218" t="str">
            <v>KUUM_409</v>
          </cell>
          <cell r="S218">
            <v>0</v>
          </cell>
          <cell r="T218">
            <v>0</v>
          </cell>
          <cell r="U218">
            <v>0</v>
          </cell>
        </row>
        <row r="219">
          <cell r="A219" t="str">
            <v>FEB 2015</v>
          </cell>
          <cell r="B219" t="str">
            <v>KUUM_410</v>
          </cell>
          <cell r="S219">
            <v>0</v>
          </cell>
          <cell r="T219">
            <v>0</v>
          </cell>
          <cell r="U219">
            <v>0</v>
          </cell>
        </row>
        <row r="220">
          <cell r="A220" t="str">
            <v>FEB 2015</v>
          </cell>
          <cell r="B220" t="str">
            <v>KUUM_411</v>
          </cell>
          <cell r="S220">
            <v>0</v>
          </cell>
          <cell r="T220">
            <v>0</v>
          </cell>
          <cell r="U220">
            <v>0</v>
          </cell>
        </row>
        <row r="221">
          <cell r="A221" t="str">
            <v>FEB 2015</v>
          </cell>
          <cell r="B221" t="str">
            <v>KUUM_412</v>
          </cell>
          <cell r="S221">
            <v>0</v>
          </cell>
          <cell r="T221">
            <v>0</v>
          </cell>
          <cell r="U221">
            <v>0</v>
          </cell>
        </row>
        <row r="222">
          <cell r="A222" t="str">
            <v>FEB 2015</v>
          </cell>
          <cell r="B222" t="str">
            <v>KUUM_413</v>
          </cell>
          <cell r="S222">
            <v>0</v>
          </cell>
          <cell r="T222">
            <v>0</v>
          </cell>
          <cell r="U222">
            <v>0</v>
          </cell>
        </row>
        <row r="223">
          <cell r="A223" t="str">
            <v>FEB 2015</v>
          </cell>
          <cell r="B223" t="str">
            <v>KUUM_414</v>
          </cell>
          <cell r="S223">
            <v>0</v>
          </cell>
          <cell r="T223">
            <v>0</v>
          </cell>
          <cell r="U223">
            <v>0</v>
          </cell>
        </row>
        <row r="224">
          <cell r="A224" t="str">
            <v>FEB 2015</v>
          </cell>
          <cell r="B224" t="str">
            <v>KUUM_415</v>
          </cell>
          <cell r="S224">
            <v>0</v>
          </cell>
          <cell r="T224">
            <v>0</v>
          </cell>
          <cell r="U224">
            <v>0</v>
          </cell>
        </row>
        <row r="225">
          <cell r="A225" t="str">
            <v>FEB 2015</v>
          </cell>
          <cell r="B225" t="str">
            <v>KUUM_420</v>
          </cell>
          <cell r="S225">
            <v>0</v>
          </cell>
          <cell r="T225">
            <v>0</v>
          </cell>
          <cell r="U225">
            <v>0</v>
          </cell>
        </row>
        <row r="226">
          <cell r="A226" t="str">
            <v>FEB 2015</v>
          </cell>
          <cell r="B226" t="str">
            <v>KUUM_421</v>
          </cell>
          <cell r="S226">
            <v>0</v>
          </cell>
          <cell r="T226">
            <v>0</v>
          </cell>
          <cell r="U226">
            <v>0</v>
          </cell>
        </row>
        <row r="227">
          <cell r="A227" t="str">
            <v>FEB 2015</v>
          </cell>
          <cell r="B227" t="str">
            <v>KUUM_422</v>
          </cell>
          <cell r="S227">
            <v>0</v>
          </cell>
          <cell r="T227">
            <v>0</v>
          </cell>
          <cell r="U227">
            <v>0</v>
          </cell>
        </row>
        <row r="228">
          <cell r="A228" t="str">
            <v>FEB 2015</v>
          </cell>
          <cell r="B228" t="str">
            <v>KUUM_424</v>
          </cell>
          <cell r="S228">
            <v>0</v>
          </cell>
          <cell r="T228">
            <v>0</v>
          </cell>
          <cell r="U228">
            <v>0</v>
          </cell>
        </row>
        <row r="229">
          <cell r="A229" t="str">
            <v>FEB 2015</v>
          </cell>
          <cell r="B229" t="str">
            <v>KUUM_425</v>
          </cell>
          <cell r="S229">
            <v>0</v>
          </cell>
          <cell r="T229">
            <v>0</v>
          </cell>
          <cell r="U229">
            <v>0</v>
          </cell>
        </row>
        <row r="230">
          <cell r="A230" t="str">
            <v>FEB 2015</v>
          </cell>
          <cell r="B230" t="str">
            <v>KUUM_426</v>
          </cell>
          <cell r="S230">
            <v>0</v>
          </cell>
          <cell r="T230">
            <v>0</v>
          </cell>
          <cell r="U230">
            <v>0</v>
          </cell>
        </row>
        <row r="231">
          <cell r="A231" t="str">
            <v>FEB 2015</v>
          </cell>
          <cell r="B231" t="str">
            <v>KUUM_428</v>
          </cell>
          <cell r="S231">
            <v>0</v>
          </cell>
          <cell r="T231">
            <v>0</v>
          </cell>
          <cell r="U231">
            <v>0</v>
          </cell>
        </row>
        <row r="232">
          <cell r="A232" t="str">
            <v>FEB 2015</v>
          </cell>
          <cell r="B232" t="str">
            <v>KUUM_430</v>
          </cell>
          <cell r="S232">
            <v>0</v>
          </cell>
          <cell r="T232">
            <v>0</v>
          </cell>
          <cell r="U232">
            <v>0</v>
          </cell>
        </row>
        <row r="233">
          <cell r="A233" t="str">
            <v>FEB 2015</v>
          </cell>
          <cell r="B233" t="str">
            <v>KUUM_434</v>
          </cell>
          <cell r="S233">
            <v>0</v>
          </cell>
          <cell r="T233">
            <v>0</v>
          </cell>
          <cell r="U233">
            <v>0</v>
          </cell>
        </row>
        <row r="234">
          <cell r="A234" t="str">
            <v>FEB 2015</v>
          </cell>
          <cell r="B234" t="str">
            <v>KUUM_440</v>
          </cell>
          <cell r="S234">
            <v>0</v>
          </cell>
          <cell r="T234">
            <v>0</v>
          </cell>
          <cell r="U234">
            <v>0</v>
          </cell>
        </row>
        <row r="235">
          <cell r="A235" t="str">
            <v>FEB 2015</v>
          </cell>
          <cell r="B235" t="str">
            <v>KUUM_446</v>
          </cell>
          <cell r="S235">
            <v>0</v>
          </cell>
          <cell r="T235">
            <v>0</v>
          </cell>
          <cell r="U235">
            <v>0</v>
          </cell>
        </row>
        <row r="236">
          <cell r="A236" t="str">
            <v>FEB 2015</v>
          </cell>
          <cell r="B236" t="str">
            <v>KUUM_447</v>
          </cell>
          <cell r="S236">
            <v>0</v>
          </cell>
          <cell r="T236">
            <v>0</v>
          </cell>
          <cell r="U236">
            <v>0</v>
          </cell>
        </row>
        <row r="237">
          <cell r="A237" t="str">
            <v>FEB 2015</v>
          </cell>
          <cell r="B237" t="str">
            <v>KUUM_448</v>
          </cell>
          <cell r="S237">
            <v>0</v>
          </cell>
          <cell r="T237">
            <v>0</v>
          </cell>
          <cell r="U237">
            <v>0</v>
          </cell>
        </row>
        <row r="238">
          <cell r="A238" t="str">
            <v>FEB 2015</v>
          </cell>
          <cell r="B238" t="str">
            <v>KUUM_450</v>
          </cell>
          <cell r="S238">
            <v>0</v>
          </cell>
          <cell r="T238">
            <v>0</v>
          </cell>
          <cell r="U238">
            <v>0</v>
          </cell>
        </row>
        <row r="239">
          <cell r="A239" t="str">
            <v>FEB 2015</v>
          </cell>
          <cell r="B239" t="str">
            <v>KUUM_451</v>
          </cell>
          <cell r="S239">
            <v>0</v>
          </cell>
          <cell r="T239">
            <v>0</v>
          </cell>
          <cell r="U239">
            <v>0</v>
          </cell>
        </row>
        <row r="240">
          <cell r="A240" t="str">
            <v>FEB 2015</v>
          </cell>
          <cell r="B240" t="str">
            <v>KUUM_452</v>
          </cell>
          <cell r="S240">
            <v>0</v>
          </cell>
          <cell r="T240">
            <v>0</v>
          </cell>
          <cell r="U240">
            <v>0</v>
          </cell>
        </row>
        <row r="241">
          <cell r="A241" t="str">
            <v>FEB 2015</v>
          </cell>
          <cell r="B241" t="str">
            <v>KUUM_454</v>
          </cell>
          <cell r="S241">
            <v>0</v>
          </cell>
          <cell r="T241">
            <v>0</v>
          </cell>
          <cell r="U241">
            <v>0</v>
          </cell>
        </row>
        <row r="242">
          <cell r="A242" t="str">
            <v>FEB 2015</v>
          </cell>
          <cell r="B242" t="str">
            <v>KUUM_455</v>
          </cell>
          <cell r="S242">
            <v>0</v>
          </cell>
          <cell r="T242">
            <v>0</v>
          </cell>
          <cell r="U242">
            <v>0</v>
          </cell>
        </row>
        <row r="243">
          <cell r="A243" t="str">
            <v>FEB 2015</v>
          </cell>
          <cell r="B243" t="str">
            <v>KUUM_456</v>
          </cell>
          <cell r="S243">
            <v>0</v>
          </cell>
          <cell r="T243">
            <v>0</v>
          </cell>
          <cell r="U243">
            <v>0</v>
          </cell>
        </row>
        <row r="244">
          <cell r="A244" t="str">
            <v>FEB 2015</v>
          </cell>
          <cell r="B244" t="str">
            <v>KUUM_457</v>
          </cell>
          <cell r="S244">
            <v>0</v>
          </cell>
          <cell r="T244">
            <v>0</v>
          </cell>
          <cell r="U244">
            <v>0</v>
          </cell>
        </row>
        <row r="245">
          <cell r="A245" t="str">
            <v>FEB 2015</v>
          </cell>
          <cell r="B245" t="str">
            <v>KUUM_458</v>
          </cell>
          <cell r="S245">
            <v>0</v>
          </cell>
          <cell r="T245">
            <v>0</v>
          </cell>
          <cell r="U245">
            <v>0</v>
          </cell>
        </row>
        <row r="246">
          <cell r="A246" t="str">
            <v>FEB 2015</v>
          </cell>
          <cell r="B246" t="str">
            <v>KUUM_459</v>
          </cell>
          <cell r="S246">
            <v>0</v>
          </cell>
          <cell r="T246">
            <v>0</v>
          </cell>
          <cell r="U246">
            <v>0</v>
          </cell>
        </row>
        <row r="247">
          <cell r="A247" t="str">
            <v>FEB 2015</v>
          </cell>
          <cell r="B247" t="str">
            <v>KUUM_460</v>
          </cell>
          <cell r="S247">
            <v>0</v>
          </cell>
          <cell r="T247">
            <v>0</v>
          </cell>
          <cell r="U247">
            <v>0</v>
          </cell>
        </row>
        <row r="248">
          <cell r="A248" t="str">
            <v>FEB 2015</v>
          </cell>
          <cell r="B248" t="str">
            <v>KUUM_461</v>
          </cell>
          <cell r="S248">
            <v>0</v>
          </cell>
          <cell r="T248">
            <v>0</v>
          </cell>
          <cell r="U248">
            <v>0</v>
          </cell>
        </row>
        <row r="249">
          <cell r="A249" t="str">
            <v>FEB 2015</v>
          </cell>
          <cell r="B249" t="str">
            <v>KUUM_462</v>
          </cell>
          <cell r="S249">
            <v>0</v>
          </cell>
          <cell r="T249">
            <v>0</v>
          </cell>
          <cell r="U249">
            <v>0</v>
          </cell>
        </row>
        <row r="250">
          <cell r="A250" t="str">
            <v>FEB 2015</v>
          </cell>
          <cell r="B250" t="str">
            <v>KUUM_463</v>
          </cell>
          <cell r="S250">
            <v>0</v>
          </cell>
          <cell r="T250">
            <v>0</v>
          </cell>
          <cell r="U250">
            <v>0</v>
          </cell>
        </row>
        <row r="251">
          <cell r="A251" t="str">
            <v>FEB 2015</v>
          </cell>
          <cell r="B251" t="str">
            <v>KUUM_464</v>
          </cell>
          <cell r="S251">
            <v>0</v>
          </cell>
          <cell r="T251">
            <v>0</v>
          </cell>
          <cell r="U251">
            <v>0</v>
          </cell>
        </row>
        <row r="252">
          <cell r="A252" t="str">
            <v>FEB 2015</v>
          </cell>
          <cell r="B252" t="str">
            <v>KUUM_465</v>
          </cell>
          <cell r="S252">
            <v>0</v>
          </cell>
          <cell r="T252">
            <v>0</v>
          </cell>
          <cell r="U252">
            <v>0</v>
          </cell>
        </row>
        <row r="253">
          <cell r="A253" t="str">
            <v>FEB 2015</v>
          </cell>
          <cell r="B253" t="str">
            <v>KUUM_465CU</v>
          </cell>
          <cell r="S253">
            <v>0</v>
          </cell>
          <cell r="T253">
            <v>0</v>
          </cell>
          <cell r="U253">
            <v>0</v>
          </cell>
        </row>
        <row r="254">
          <cell r="A254" t="str">
            <v>FEB 2015</v>
          </cell>
          <cell r="B254" t="str">
            <v>KUUM_466</v>
          </cell>
          <cell r="S254">
            <v>0</v>
          </cell>
          <cell r="T254">
            <v>0</v>
          </cell>
          <cell r="U254">
            <v>0</v>
          </cell>
        </row>
        <row r="255">
          <cell r="A255" t="str">
            <v>FEB 2015</v>
          </cell>
          <cell r="B255" t="str">
            <v>KUUM_467</v>
          </cell>
          <cell r="S255">
            <v>0</v>
          </cell>
          <cell r="T255">
            <v>0</v>
          </cell>
          <cell r="U255">
            <v>0</v>
          </cell>
        </row>
        <row r="256">
          <cell r="A256" t="str">
            <v>FEB 2015</v>
          </cell>
          <cell r="B256" t="str">
            <v>KUUM_468</v>
          </cell>
          <cell r="S256">
            <v>0</v>
          </cell>
          <cell r="T256">
            <v>0</v>
          </cell>
          <cell r="U256">
            <v>0</v>
          </cell>
        </row>
        <row r="257">
          <cell r="A257" t="str">
            <v>FEB 2015</v>
          </cell>
          <cell r="B257" t="str">
            <v>KUUM_469</v>
          </cell>
          <cell r="S257">
            <v>0</v>
          </cell>
          <cell r="T257">
            <v>0</v>
          </cell>
          <cell r="U257">
            <v>0</v>
          </cell>
        </row>
        <row r="258">
          <cell r="A258" t="str">
            <v>FEB 2015</v>
          </cell>
          <cell r="B258" t="str">
            <v>KUUM_470</v>
          </cell>
          <cell r="S258">
            <v>0</v>
          </cell>
          <cell r="T258">
            <v>0</v>
          </cell>
          <cell r="U258">
            <v>0</v>
          </cell>
        </row>
        <row r="259">
          <cell r="A259" t="str">
            <v>FEB 2015</v>
          </cell>
          <cell r="B259" t="str">
            <v>KUUM_471</v>
          </cell>
          <cell r="S259">
            <v>0</v>
          </cell>
          <cell r="T259">
            <v>0</v>
          </cell>
          <cell r="U259">
            <v>0</v>
          </cell>
        </row>
        <row r="260">
          <cell r="A260" t="str">
            <v>FEB 2015</v>
          </cell>
          <cell r="B260" t="str">
            <v>KUUM_472</v>
          </cell>
          <cell r="S260">
            <v>0</v>
          </cell>
          <cell r="T260">
            <v>0</v>
          </cell>
          <cell r="U260">
            <v>0</v>
          </cell>
        </row>
        <row r="261">
          <cell r="A261" t="str">
            <v>FEB 2015</v>
          </cell>
          <cell r="B261" t="str">
            <v>KUUM_473</v>
          </cell>
          <cell r="S261">
            <v>0</v>
          </cell>
          <cell r="T261">
            <v>0</v>
          </cell>
          <cell r="U261">
            <v>0</v>
          </cell>
        </row>
        <row r="262">
          <cell r="A262" t="str">
            <v>FEB 2015</v>
          </cell>
          <cell r="B262" t="str">
            <v>KUUM_474</v>
          </cell>
          <cell r="S262">
            <v>0</v>
          </cell>
          <cell r="T262">
            <v>0</v>
          </cell>
          <cell r="U262">
            <v>0</v>
          </cell>
        </row>
        <row r="263">
          <cell r="A263" t="str">
            <v>FEB 2015</v>
          </cell>
          <cell r="B263" t="str">
            <v>KUUM_475</v>
          </cell>
          <cell r="S263">
            <v>0</v>
          </cell>
          <cell r="T263">
            <v>0</v>
          </cell>
          <cell r="U263">
            <v>0</v>
          </cell>
        </row>
        <row r="264">
          <cell r="A264" t="str">
            <v>FEB 2015</v>
          </cell>
          <cell r="B264" t="str">
            <v>KUUM_476</v>
          </cell>
          <cell r="S264">
            <v>0</v>
          </cell>
          <cell r="T264">
            <v>0</v>
          </cell>
          <cell r="U264">
            <v>0</v>
          </cell>
        </row>
        <row r="265">
          <cell r="A265" t="str">
            <v>FEB 2015</v>
          </cell>
          <cell r="B265" t="str">
            <v>KUUM_477</v>
          </cell>
          <cell r="S265">
            <v>0</v>
          </cell>
          <cell r="T265">
            <v>0</v>
          </cell>
          <cell r="U265">
            <v>0</v>
          </cell>
        </row>
        <row r="266">
          <cell r="A266" t="str">
            <v>FEB 2015</v>
          </cell>
          <cell r="B266" t="str">
            <v>KUUM_478</v>
          </cell>
          <cell r="S266">
            <v>0</v>
          </cell>
          <cell r="T266">
            <v>0</v>
          </cell>
          <cell r="U266">
            <v>0</v>
          </cell>
        </row>
        <row r="267">
          <cell r="A267" t="str">
            <v>FEB 2015</v>
          </cell>
          <cell r="B267" t="str">
            <v>KUUM_479</v>
          </cell>
          <cell r="S267">
            <v>0</v>
          </cell>
          <cell r="T267">
            <v>0</v>
          </cell>
          <cell r="U267">
            <v>0</v>
          </cell>
        </row>
        <row r="268">
          <cell r="A268" t="str">
            <v>FEB 2015</v>
          </cell>
          <cell r="B268" t="str">
            <v>KUUM_487</v>
          </cell>
          <cell r="S268">
            <v>0</v>
          </cell>
          <cell r="T268">
            <v>0</v>
          </cell>
          <cell r="U268">
            <v>0</v>
          </cell>
        </row>
        <row r="269">
          <cell r="A269" t="str">
            <v>FEB 2015</v>
          </cell>
          <cell r="B269" t="str">
            <v>KUUM_488</v>
          </cell>
          <cell r="S269">
            <v>0</v>
          </cell>
          <cell r="T269">
            <v>0</v>
          </cell>
          <cell r="U269">
            <v>0</v>
          </cell>
        </row>
        <row r="270">
          <cell r="A270" t="str">
            <v>FEB 2015</v>
          </cell>
          <cell r="B270" t="str">
            <v>KUUM_489</v>
          </cell>
          <cell r="S270">
            <v>0</v>
          </cell>
          <cell r="T270">
            <v>0</v>
          </cell>
          <cell r="U270">
            <v>0</v>
          </cell>
        </row>
        <row r="271">
          <cell r="A271" t="str">
            <v>FEB 2015</v>
          </cell>
          <cell r="B271" t="str">
            <v>KUUM_490</v>
          </cell>
          <cell r="S271">
            <v>0</v>
          </cell>
          <cell r="T271">
            <v>0</v>
          </cell>
          <cell r="U271">
            <v>0</v>
          </cell>
        </row>
        <row r="272">
          <cell r="A272" t="str">
            <v>FEB 2015</v>
          </cell>
          <cell r="B272" t="str">
            <v>KUUM_491</v>
          </cell>
          <cell r="S272">
            <v>0</v>
          </cell>
          <cell r="T272">
            <v>0</v>
          </cell>
          <cell r="U272">
            <v>0</v>
          </cell>
        </row>
        <row r="273">
          <cell r="A273" t="str">
            <v>FEB 2015</v>
          </cell>
          <cell r="B273" t="str">
            <v>KUUM_492</v>
          </cell>
          <cell r="S273">
            <v>0</v>
          </cell>
          <cell r="T273">
            <v>0</v>
          </cell>
          <cell r="U273">
            <v>0</v>
          </cell>
        </row>
        <row r="274">
          <cell r="A274" t="str">
            <v>FEB 2015</v>
          </cell>
          <cell r="B274" t="str">
            <v>KUUM_493</v>
          </cell>
          <cell r="S274">
            <v>0</v>
          </cell>
          <cell r="T274">
            <v>0</v>
          </cell>
          <cell r="U274">
            <v>0</v>
          </cell>
        </row>
        <row r="275">
          <cell r="A275" t="str">
            <v>FEB 2015</v>
          </cell>
          <cell r="B275" t="str">
            <v>KUUM_494</v>
          </cell>
          <cell r="S275">
            <v>0</v>
          </cell>
          <cell r="T275">
            <v>0</v>
          </cell>
          <cell r="U275">
            <v>0</v>
          </cell>
        </row>
        <row r="276">
          <cell r="A276" t="str">
            <v>FEB 2015</v>
          </cell>
          <cell r="B276" t="str">
            <v>KUUM_495</v>
          </cell>
          <cell r="S276">
            <v>0</v>
          </cell>
          <cell r="T276">
            <v>0</v>
          </cell>
          <cell r="U276">
            <v>0</v>
          </cell>
        </row>
        <row r="277">
          <cell r="A277" t="str">
            <v>FEB 2015</v>
          </cell>
          <cell r="B277" t="str">
            <v>KUUM_496</v>
          </cell>
          <cell r="S277">
            <v>0</v>
          </cell>
          <cell r="T277">
            <v>0</v>
          </cell>
          <cell r="U277">
            <v>0</v>
          </cell>
        </row>
        <row r="278">
          <cell r="A278" t="str">
            <v>FEB 2015</v>
          </cell>
          <cell r="B278" t="str">
            <v>KUUM_497</v>
          </cell>
          <cell r="S278">
            <v>0</v>
          </cell>
          <cell r="T278">
            <v>0</v>
          </cell>
          <cell r="U278">
            <v>0</v>
          </cell>
        </row>
        <row r="279">
          <cell r="A279" t="str">
            <v>FEB 2015</v>
          </cell>
          <cell r="B279" t="str">
            <v>KUUM_498</v>
          </cell>
          <cell r="S279">
            <v>0</v>
          </cell>
          <cell r="T279">
            <v>0</v>
          </cell>
          <cell r="U279">
            <v>0</v>
          </cell>
        </row>
        <row r="280">
          <cell r="A280" t="str">
            <v>FEB 2015</v>
          </cell>
          <cell r="B280" t="str">
            <v>KUUM_499</v>
          </cell>
          <cell r="S280">
            <v>0</v>
          </cell>
          <cell r="T280">
            <v>0</v>
          </cell>
          <cell r="U280">
            <v>0</v>
          </cell>
        </row>
        <row r="281">
          <cell r="A281" t="str">
            <v>FEB 2015</v>
          </cell>
          <cell r="B281" t="str">
            <v>ODL</v>
          </cell>
          <cell r="E281">
            <v>9690520</v>
          </cell>
          <cell r="M281">
            <v>18014</v>
          </cell>
          <cell r="R281">
            <v>2147435.25</v>
          </cell>
          <cell r="S281">
            <v>2094693.25</v>
          </cell>
          <cell r="T281">
            <v>0</v>
          </cell>
          <cell r="U281">
            <v>34728</v>
          </cell>
        </row>
        <row r="282">
          <cell r="A282" t="str">
            <v>FEB 2015</v>
          </cell>
          <cell r="B282" t="str">
            <v>KUUM_825</v>
          </cell>
          <cell r="S282">
            <v>0</v>
          </cell>
          <cell r="T282">
            <v>0</v>
          </cell>
          <cell r="U282">
            <v>0</v>
          </cell>
        </row>
        <row r="283">
          <cell r="A283" t="str">
            <v>FEB 2015</v>
          </cell>
          <cell r="B283" t="str">
            <v>KUUM_826</v>
          </cell>
          <cell r="S283">
            <v>0</v>
          </cell>
          <cell r="T283">
            <v>0</v>
          </cell>
          <cell r="U283">
            <v>0</v>
          </cell>
        </row>
        <row r="284">
          <cell r="A284" t="str">
            <v>FEB 2015</v>
          </cell>
          <cell r="B284" t="str">
            <v>KUUM_827</v>
          </cell>
          <cell r="S284">
            <v>0</v>
          </cell>
          <cell r="T284">
            <v>0</v>
          </cell>
          <cell r="U284">
            <v>0</v>
          </cell>
        </row>
        <row r="285">
          <cell r="A285" t="str">
            <v>FEB 2015</v>
          </cell>
          <cell r="B285" t="str">
            <v>KUUM_828</v>
          </cell>
          <cell r="S285">
            <v>0</v>
          </cell>
          <cell r="T285">
            <v>0</v>
          </cell>
          <cell r="U285">
            <v>0</v>
          </cell>
        </row>
        <row r="286">
          <cell r="A286" t="str">
            <v>FEB 2015</v>
          </cell>
          <cell r="B286" t="str">
            <v>KUUM_829</v>
          </cell>
          <cell r="S286">
            <v>0</v>
          </cell>
          <cell r="T286">
            <v>0</v>
          </cell>
          <cell r="U286">
            <v>0</v>
          </cell>
        </row>
        <row r="287">
          <cell r="A287" t="str">
            <v>FEB 2015</v>
          </cell>
          <cell r="B287" t="str">
            <v>ODRSE020</v>
          </cell>
          <cell r="S287">
            <v>0</v>
          </cell>
          <cell r="T287">
            <v>0</v>
          </cell>
          <cell r="U287">
            <v>0</v>
          </cell>
        </row>
        <row r="288">
          <cell r="A288" t="str">
            <v>FEB 2015</v>
          </cell>
          <cell r="B288" t="str">
            <v>Result</v>
          </cell>
          <cell r="S288">
            <v>0</v>
          </cell>
          <cell r="T288">
            <v>0</v>
          </cell>
          <cell r="U288">
            <v>0</v>
          </cell>
        </row>
        <row r="289">
          <cell r="A289" t="str">
            <v>MAR 2014</v>
          </cell>
          <cell r="B289" t="str">
            <v>KTRSE020</v>
          </cell>
          <cell r="E289">
            <v>9249</v>
          </cell>
          <cell r="F289">
            <v>25.5</v>
          </cell>
          <cell r="R289">
            <v>654.89</v>
          </cell>
          <cell r="S289">
            <v>629.39</v>
          </cell>
          <cell r="T289">
            <v>0</v>
          </cell>
          <cell r="U289">
            <v>0</v>
          </cell>
        </row>
        <row r="290">
          <cell r="A290" t="str">
            <v>MAR 2014</v>
          </cell>
          <cell r="B290" t="str">
            <v>KTRSE030</v>
          </cell>
          <cell r="E290">
            <v>1008</v>
          </cell>
          <cell r="F290">
            <v>8.5</v>
          </cell>
          <cell r="R290">
            <v>77.09</v>
          </cell>
          <cell r="S290">
            <v>68.59</v>
          </cell>
          <cell r="T290">
            <v>0</v>
          </cell>
          <cell r="U290">
            <v>0</v>
          </cell>
        </row>
        <row r="291">
          <cell r="A291" t="str">
            <v>MAR 2014</v>
          </cell>
          <cell r="B291" t="str">
            <v>KTUM_406</v>
          </cell>
          <cell r="E291">
            <v>136</v>
          </cell>
          <cell r="R291">
            <v>19.04</v>
          </cell>
          <cell r="S291">
            <v>19.04</v>
          </cell>
          <cell r="T291">
            <v>0</v>
          </cell>
          <cell r="U291">
            <v>0</v>
          </cell>
        </row>
        <row r="292">
          <cell r="A292" t="str">
            <v>MAR 2014</v>
          </cell>
          <cell r="B292" t="str">
            <v>KTUM_428</v>
          </cell>
          <cell r="E292">
            <v>38</v>
          </cell>
          <cell r="R292">
            <v>6.9</v>
          </cell>
          <cell r="S292">
            <v>6.9</v>
          </cell>
          <cell r="T292">
            <v>0</v>
          </cell>
          <cell r="U292">
            <v>0</v>
          </cell>
        </row>
        <row r="293">
          <cell r="A293" t="str">
            <v>MAR 2014</v>
          </cell>
          <cell r="B293" t="str">
            <v>KUCIE000</v>
          </cell>
          <cell r="S293">
            <v>0</v>
          </cell>
          <cell r="T293">
            <v>0</v>
          </cell>
          <cell r="U293">
            <v>0</v>
          </cell>
        </row>
        <row r="294">
          <cell r="A294" t="str">
            <v>MAR 2014</v>
          </cell>
          <cell r="B294" t="str">
            <v>KUCIE550</v>
          </cell>
          <cell r="E294">
            <v>142624745</v>
          </cell>
          <cell r="F294">
            <v>24000</v>
          </cell>
          <cell r="L294">
            <v>0</v>
          </cell>
          <cell r="M294">
            <v>444989.2</v>
          </cell>
          <cell r="R294">
            <v>8180321.9400000004</v>
          </cell>
          <cell r="S294">
            <v>5182983.24</v>
          </cell>
          <cell r="T294">
            <v>2430956.79</v>
          </cell>
          <cell r="U294">
            <v>97392.71</v>
          </cell>
        </row>
        <row r="295">
          <cell r="A295" t="str">
            <v>MAR 2014</v>
          </cell>
          <cell r="B295" t="str">
            <v>KUCIE561</v>
          </cell>
          <cell r="E295">
            <v>4760587</v>
          </cell>
          <cell r="F295">
            <v>25561.119999999999</v>
          </cell>
          <cell r="L295">
            <v>2698.4</v>
          </cell>
          <cell r="M295">
            <v>14638.05</v>
          </cell>
          <cell r="R295">
            <v>431600.77</v>
          </cell>
          <cell r="S295">
            <v>169581.47999999998</v>
          </cell>
          <cell r="T295">
            <v>211206.22</v>
          </cell>
          <cell r="U295">
            <v>7915.5</v>
          </cell>
        </row>
        <row r="296">
          <cell r="A296" t="str">
            <v>MAR 2014</v>
          </cell>
          <cell r="B296" t="str">
            <v>KUCIE562</v>
          </cell>
          <cell r="E296">
            <v>140054129</v>
          </cell>
          <cell r="F296">
            <v>440488.91</v>
          </cell>
          <cell r="L296">
            <v>89204.479999999996</v>
          </cell>
          <cell r="M296">
            <v>393260.33</v>
          </cell>
          <cell r="R296">
            <v>12040448.68</v>
          </cell>
          <cell r="S296">
            <v>4991529</v>
          </cell>
          <cell r="T296">
            <v>5886525.21</v>
          </cell>
          <cell r="U296">
            <v>239440.75</v>
          </cell>
        </row>
        <row r="297">
          <cell r="A297" t="str">
            <v>MAR 2014</v>
          </cell>
          <cell r="B297" t="str">
            <v>KUCIE563</v>
          </cell>
          <cell r="E297">
            <v>232867680</v>
          </cell>
          <cell r="F297">
            <v>15900.01</v>
          </cell>
          <cell r="L297">
            <v>26139.65</v>
          </cell>
          <cell r="M297">
            <v>427727.97</v>
          </cell>
          <cell r="R297">
            <v>13605439.189999999</v>
          </cell>
          <cell r="S297">
            <v>8767468.1600000001</v>
          </cell>
          <cell r="T297">
            <v>4073781.4699999997</v>
          </cell>
          <cell r="U297">
            <v>294421.93</v>
          </cell>
        </row>
        <row r="298">
          <cell r="A298" t="str">
            <v>MAR 2014</v>
          </cell>
          <cell r="B298" t="str">
            <v>KUCIE566</v>
          </cell>
          <cell r="E298">
            <v>23388127</v>
          </cell>
          <cell r="F298">
            <v>13260.02</v>
          </cell>
          <cell r="L298">
            <v>8161.97</v>
          </cell>
          <cell r="M298">
            <v>55958.06</v>
          </cell>
          <cell r="R298">
            <v>1693917.87</v>
          </cell>
          <cell r="S298">
            <v>833085.04</v>
          </cell>
          <cell r="T298">
            <v>748518.94</v>
          </cell>
          <cell r="U298">
            <v>34933.839999999997</v>
          </cell>
        </row>
        <row r="299">
          <cell r="A299" t="str">
            <v>MAR 2014</v>
          </cell>
          <cell r="B299" t="str">
            <v>KUCIE568</v>
          </cell>
          <cell r="E299">
            <v>61291912</v>
          </cell>
          <cell r="F299">
            <v>36429.629999999997</v>
          </cell>
          <cell r="L299">
            <v>25379.53</v>
          </cell>
          <cell r="M299">
            <v>174792.26</v>
          </cell>
          <cell r="R299">
            <v>4584437.2699999996</v>
          </cell>
          <cell r="S299">
            <v>2184443.73</v>
          </cell>
          <cell r="T299">
            <v>2083672.0799999998</v>
          </cell>
          <cell r="U299">
            <v>79720.039999999994</v>
          </cell>
        </row>
        <row r="300">
          <cell r="A300" t="str">
            <v>MAR 2014</v>
          </cell>
          <cell r="B300" t="str">
            <v>KUCIE571</v>
          </cell>
          <cell r="E300">
            <v>101888912</v>
          </cell>
          <cell r="F300">
            <v>47100.04</v>
          </cell>
          <cell r="L300">
            <v>18170.41</v>
          </cell>
          <cell r="M300">
            <v>282905</v>
          </cell>
          <cell r="R300">
            <v>6471219.1600000001</v>
          </cell>
          <cell r="S300">
            <v>3836117.58</v>
          </cell>
          <cell r="T300">
            <v>2182287.08</v>
          </cell>
          <cell r="U300">
            <v>104639.05</v>
          </cell>
        </row>
        <row r="301">
          <cell r="A301" t="str">
            <v>MAR 2014</v>
          </cell>
          <cell r="B301" t="str">
            <v>KUCIE572</v>
          </cell>
          <cell r="E301">
            <v>95043163</v>
          </cell>
          <cell r="F301">
            <v>80372.149999999994</v>
          </cell>
          <cell r="L301">
            <v>35913.519999999997</v>
          </cell>
          <cell r="M301">
            <v>262013.89</v>
          </cell>
          <cell r="R301">
            <v>6586713.71</v>
          </cell>
          <cell r="S301">
            <v>3585978.77</v>
          </cell>
          <cell r="T301">
            <v>2507664.85</v>
          </cell>
          <cell r="U301">
            <v>114770.53</v>
          </cell>
        </row>
        <row r="302">
          <cell r="A302" t="str">
            <v>MAR 2014</v>
          </cell>
          <cell r="B302" t="str">
            <v>KUCIE717</v>
          </cell>
          <cell r="E302">
            <v>30480</v>
          </cell>
          <cell r="F302">
            <v>90</v>
          </cell>
          <cell r="L302">
            <v>20.420000000000002</v>
          </cell>
          <cell r="M302">
            <v>95.1</v>
          </cell>
          <cell r="R302">
            <v>3743.73</v>
          </cell>
          <cell r="S302">
            <v>1086.31</v>
          </cell>
          <cell r="T302">
            <v>2377.3199999999997</v>
          </cell>
          <cell r="U302">
            <v>74.58</v>
          </cell>
        </row>
        <row r="303">
          <cell r="A303" t="str">
            <v>MAR 2014</v>
          </cell>
          <cell r="B303" t="str">
            <v>KUCME000</v>
          </cell>
          <cell r="S303">
            <v>0</v>
          </cell>
          <cell r="T303">
            <v>0</v>
          </cell>
          <cell r="U303">
            <v>0</v>
          </cell>
        </row>
        <row r="304">
          <cell r="A304" t="str">
            <v>MAR 2014</v>
          </cell>
          <cell r="B304" t="str">
            <v>KUCME110</v>
          </cell>
          <cell r="E304">
            <v>79298124</v>
          </cell>
          <cell r="F304">
            <v>1296298.28</v>
          </cell>
          <cell r="L304">
            <v>185042.08</v>
          </cell>
          <cell r="M304">
            <v>231242.35</v>
          </cell>
          <cell r="Q304">
            <v>-0.03</v>
          </cell>
          <cell r="R304">
            <v>9230206.7899999991</v>
          </cell>
          <cell r="S304">
            <v>7317033.7800000003</v>
          </cell>
          <cell r="T304">
            <v>0</v>
          </cell>
          <cell r="U304">
            <v>200590.33000000002</v>
          </cell>
        </row>
        <row r="305">
          <cell r="A305" t="str">
            <v>MAR 2014</v>
          </cell>
          <cell r="B305" t="str">
            <v>KUCME112</v>
          </cell>
          <cell r="E305">
            <v>10785</v>
          </cell>
          <cell r="F305">
            <v>1220</v>
          </cell>
          <cell r="L305">
            <v>25.69</v>
          </cell>
          <cell r="M305">
            <v>25.82</v>
          </cell>
          <cell r="R305">
            <v>2337.5500000000002</v>
          </cell>
          <cell r="S305">
            <v>994.94</v>
          </cell>
          <cell r="T305">
            <v>0</v>
          </cell>
          <cell r="U305">
            <v>71.099999999999994</v>
          </cell>
        </row>
        <row r="306">
          <cell r="A306" t="str">
            <v>MAR 2014</v>
          </cell>
          <cell r="B306" t="str">
            <v>KUCME113</v>
          </cell>
          <cell r="E306">
            <v>90277924</v>
          </cell>
          <cell r="F306">
            <v>602098.47</v>
          </cell>
          <cell r="L306">
            <v>200258.05</v>
          </cell>
          <cell r="M306">
            <v>263314.77</v>
          </cell>
          <cell r="Q306">
            <v>0</v>
          </cell>
          <cell r="R306">
            <v>9594552.8699999992</v>
          </cell>
          <cell r="S306">
            <v>8328172.9900000002</v>
          </cell>
          <cell r="T306">
            <v>0</v>
          </cell>
          <cell r="U306">
            <v>200708.59</v>
          </cell>
        </row>
        <row r="307">
          <cell r="A307" t="str">
            <v>MAR 2014</v>
          </cell>
          <cell r="B307" t="str">
            <v>KUCME220</v>
          </cell>
          <cell r="E307">
            <v>1056710</v>
          </cell>
          <cell r="F307">
            <v>6693.36</v>
          </cell>
          <cell r="L307">
            <v>929.8</v>
          </cell>
          <cell r="M307">
            <v>2017.71</v>
          </cell>
          <cell r="R307">
            <v>90561.31</v>
          </cell>
          <cell r="S307">
            <v>78619.199999999997</v>
          </cell>
          <cell r="T307">
            <v>0</v>
          </cell>
          <cell r="U307">
            <v>2301.2399999999998</v>
          </cell>
        </row>
        <row r="308">
          <cell r="A308" t="str">
            <v>MAR 2014</v>
          </cell>
          <cell r="B308" t="str">
            <v>KUCME221</v>
          </cell>
          <cell r="E308">
            <v>1002360</v>
          </cell>
          <cell r="F308">
            <v>100</v>
          </cell>
          <cell r="L308">
            <v>882.07</v>
          </cell>
          <cell r="M308">
            <v>-1463.44</v>
          </cell>
          <cell r="R308">
            <v>78285.509999999995</v>
          </cell>
          <cell r="S308">
            <v>74575.579999999987</v>
          </cell>
          <cell r="T308">
            <v>0</v>
          </cell>
          <cell r="U308">
            <v>4191.3</v>
          </cell>
        </row>
        <row r="309">
          <cell r="A309" t="str">
            <v>MAR 2014</v>
          </cell>
          <cell r="B309" t="str">
            <v>KUCME223</v>
          </cell>
          <cell r="E309">
            <v>738803</v>
          </cell>
          <cell r="F309">
            <v>2380</v>
          </cell>
          <cell r="L309">
            <v>650.12</v>
          </cell>
          <cell r="M309">
            <v>2120.14</v>
          </cell>
          <cell r="R309">
            <v>61210.07</v>
          </cell>
          <cell r="S309">
            <v>54966.97</v>
          </cell>
          <cell r="T309">
            <v>0</v>
          </cell>
          <cell r="U309">
            <v>1092.8399999999999</v>
          </cell>
        </row>
        <row r="310">
          <cell r="A310" t="str">
            <v>MAR 2014</v>
          </cell>
          <cell r="B310" t="str">
            <v>KUCME224</v>
          </cell>
          <cell r="E310">
            <v>386800</v>
          </cell>
          <cell r="F310">
            <v>160.78</v>
          </cell>
          <cell r="L310">
            <v>340.38</v>
          </cell>
          <cell r="M310">
            <v>651.73</v>
          </cell>
          <cell r="R310">
            <v>30774.37</v>
          </cell>
          <cell r="S310">
            <v>28777.919999999998</v>
          </cell>
          <cell r="T310">
            <v>0</v>
          </cell>
          <cell r="U310">
            <v>843.56</v>
          </cell>
        </row>
        <row r="311">
          <cell r="A311" t="str">
            <v>MAR 2014</v>
          </cell>
          <cell r="B311" t="str">
            <v>KUCME225</v>
          </cell>
          <cell r="E311">
            <v>3073152</v>
          </cell>
          <cell r="F311">
            <v>3360</v>
          </cell>
          <cell r="L311">
            <v>2704.36</v>
          </cell>
          <cell r="M311">
            <v>6919.33</v>
          </cell>
          <cell r="R311">
            <v>247259.34</v>
          </cell>
          <cell r="S311">
            <v>228642.49000000002</v>
          </cell>
          <cell r="T311">
            <v>0</v>
          </cell>
          <cell r="U311">
            <v>5633.16</v>
          </cell>
        </row>
        <row r="312">
          <cell r="A312" t="str">
            <v>MAR 2014</v>
          </cell>
          <cell r="B312" t="str">
            <v>KUCME226</v>
          </cell>
          <cell r="E312">
            <v>65903</v>
          </cell>
          <cell r="F312">
            <v>380</v>
          </cell>
          <cell r="L312">
            <v>57.99</v>
          </cell>
          <cell r="M312">
            <v>102.57</v>
          </cell>
          <cell r="R312">
            <v>5603.14</v>
          </cell>
          <cell r="S312">
            <v>4903.18</v>
          </cell>
          <cell r="T312">
            <v>0</v>
          </cell>
          <cell r="U312">
            <v>159.4</v>
          </cell>
        </row>
        <row r="313">
          <cell r="A313" t="str">
            <v>MAR 2014</v>
          </cell>
          <cell r="B313" t="str">
            <v>KUCME227</v>
          </cell>
          <cell r="E313">
            <v>10563612</v>
          </cell>
          <cell r="F313">
            <v>3500.01</v>
          </cell>
          <cell r="L313">
            <v>9295.9500000000007</v>
          </cell>
          <cell r="M313">
            <v>20208.25</v>
          </cell>
          <cell r="R313">
            <v>840417.69</v>
          </cell>
          <cell r="S313">
            <v>785932.74000000011</v>
          </cell>
          <cell r="T313">
            <v>0</v>
          </cell>
          <cell r="U313">
            <v>21480.74</v>
          </cell>
        </row>
        <row r="314">
          <cell r="A314" t="str">
            <v>MAR 2014</v>
          </cell>
          <cell r="B314" t="str">
            <v>KUCME290</v>
          </cell>
          <cell r="E314">
            <v>13174</v>
          </cell>
          <cell r="M314">
            <v>41.1</v>
          </cell>
          <cell r="R314">
            <v>895.71</v>
          </cell>
          <cell r="S314">
            <v>840.5</v>
          </cell>
          <cell r="T314">
            <v>0</v>
          </cell>
          <cell r="U314">
            <v>14.11</v>
          </cell>
        </row>
        <row r="315">
          <cell r="A315" t="str">
            <v>MAR 2014</v>
          </cell>
          <cell r="B315" t="str">
            <v>KUCME291</v>
          </cell>
          <cell r="E315">
            <v>3647</v>
          </cell>
          <cell r="M315">
            <v>-5.32</v>
          </cell>
          <cell r="R315">
            <v>240.23</v>
          </cell>
          <cell r="S315">
            <v>232.68</v>
          </cell>
          <cell r="T315">
            <v>0</v>
          </cell>
          <cell r="U315">
            <v>12.87</v>
          </cell>
        </row>
        <row r="316">
          <cell r="A316" t="str">
            <v>MAR 2014</v>
          </cell>
          <cell r="B316" t="str">
            <v>KUCME295</v>
          </cell>
          <cell r="E316">
            <v>95222</v>
          </cell>
          <cell r="F316">
            <v>1537.25</v>
          </cell>
          <cell r="M316">
            <v>45.46</v>
          </cell>
          <cell r="R316">
            <v>9537.83</v>
          </cell>
          <cell r="S316">
            <v>7595.89</v>
          </cell>
          <cell r="T316">
            <v>0</v>
          </cell>
          <cell r="U316">
            <v>359.23</v>
          </cell>
        </row>
        <row r="317">
          <cell r="A317" t="str">
            <v>MAR 2014</v>
          </cell>
          <cell r="B317" t="str">
            <v>KUCME297</v>
          </cell>
          <cell r="E317">
            <v>14416</v>
          </cell>
          <cell r="F317">
            <v>884</v>
          </cell>
          <cell r="M317">
            <v>46.24</v>
          </cell>
          <cell r="R317">
            <v>2113.44</v>
          </cell>
          <cell r="S317">
            <v>1150.56</v>
          </cell>
          <cell r="T317">
            <v>0</v>
          </cell>
          <cell r="U317">
            <v>32.64</v>
          </cell>
        </row>
        <row r="318">
          <cell r="A318" t="str">
            <v>MAR 2014</v>
          </cell>
          <cell r="B318" t="str">
            <v>KUCME705</v>
          </cell>
          <cell r="R318">
            <v>0</v>
          </cell>
          <cell r="S318">
            <v>0</v>
          </cell>
          <cell r="T318">
            <v>0</v>
          </cell>
          <cell r="U318">
            <v>0</v>
          </cell>
        </row>
        <row r="319">
          <cell r="A319" t="str">
            <v>MAR 2014</v>
          </cell>
          <cell r="B319" t="str">
            <v>KUCME707</v>
          </cell>
          <cell r="R319">
            <v>0</v>
          </cell>
          <cell r="S319">
            <v>0</v>
          </cell>
          <cell r="T319">
            <v>0</v>
          </cell>
          <cell r="U319">
            <v>0</v>
          </cell>
        </row>
        <row r="320">
          <cell r="A320" t="str">
            <v>MAR 2014</v>
          </cell>
          <cell r="B320" t="str">
            <v>KUCME710</v>
          </cell>
          <cell r="E320">
            <v>13921</v>
          </cell>
          <cell r="F320">
            <v>160</v>
          </cell>
          <cell r="L320">
            <v>33.14</v>
          </cell>
          <cell r="M320">
            <v>43.43</v>
          </cell>
          <cell r="R320">
            <v>1550.56</v>
          </cell>
          <cell r="S320">
            <v>1284.21</v>
          </cell>
          <cell r="T320">
            <v>0</v>
          </cell>
          <cell r="U320">
            <v>29.78</v>
          </cell>
        </row>
        <row r="321">
          <cell r="A321" t="str">
            <v>MAR 2014</v>
          </cell>
          <cell r="B321" t="str">
            <v>KUCME713</v>
          </cell>
          <cell r="E321">
            <v>13200</v>
          </cell>
          <cell r="F321">
            <v>70</v>
          </cell>
          <cell r="L321">
            <v>6.47</v>
          </cell>
          <cell r="M321">
            <v>41.19</v>
          </cell>
          <cell r="R321">
            <v>1360.63</v>
          </cell>
          <cell r="S321">
            <v>1217.7</v>
          </cell>
          <cell r="T321">
            <v>0</v>
          </cell>
          <cell r="U321">
            <v>25.27</v>
          </cell>
        </row>
        <row r="322">
          <cell r="A322" t="str">
            <v>MAR 2014</v>
          </cell>
          <cell r="B322" t="str">
            <v>KUCME841</v>
          </cell>
          <cell r="S322">
            <v>0</v>
          </cell>
          <cell r="T322">
            <v>0</v>
          </cell>
          <cell r="U322">
            <v>0</v>
          </cell>
        </row>
        <row r="323">
          <cell r="A323" t="str">
            <v>MAR 2014</v>
          </cell>
          <cell r="B323" t="str">
            <v>KUCSR760</v>
          </cell>
          <cell r="P323">
            <v>-986248.39</v>
          </cell>
          <cell r="R323">
            <v>-986248.39</v>
          </cell>
          <cell r="S323">
            <v>0</v>
          </cell>
          <cell r="T323">
            <v>0</v>
          </cell>
          <cell r="U323">
            <v>0</v>
          </cell>
        </row>
        <row r="324">
          <cell r="A324" t="str">
            <v>MAR 2014</v>
          </cell>
          <cell r="B324" t="str">
            <v>KUCSR761</v>
          </cell>
          <cell r="P324">
            <v>-32627.83</v>
          </cell>
          <cell r="R324">
            <v>-32627.83</v>
          </cell>
          <cell r="S324">
            <v>0</v>
          </cell>
          <cell r="T324">
            <v>0</v>
          </cell>
          <cell r="U324">
            <v>0</v>
          </cell>
        </row>
        <row r="325">
          <cell r="A325" t="str">
            <v>MAR 2014</v>
          </cell>
          <cell r="B325" t="str">
            <v>KUCSR781</v>
          </cell>
          <cell r="P325">
            <v>-22530.73</v>
          </cell>
          <cell r="R325">
            <v>-22530.73</v>
          </cell>
          <cell r="S325">
            <v>0</v>
          </cell>
          <cell r="T325">
            <v>0</v>
          </cell>
          <cell r="U325">
            <v>0</v>
          </cell>
        </row>
        <row r="326">
          <cell r="A326" t="str">
            <v>MAR 2014</v>
          </cell>
          <cell r="B326" t="str">
            <v>KUCSR783</v>
          </cell>
          <cell r="P326">
            <v>-8800</v>
          </cell>
          <cell r="R326">
            <v>-8800</v>
          </cell>
          <cell r="S326">
            <v>0</v>
          </cell>
          <cell r="T326">
            <v>0</v>
          </cell>
          <cell r="U326">
            <v>0</v>
          </cell>
        </row>
        <row r="327">
          <cell r="A327" t="str">
            <v>MAR 2014</v>
          </cell>
          <cell r="B327" t="str">
            <v>KUCUE851</v>
          </cell>
          <cell r="S327">
            <v>0</v>
          </cell>
          <cell r="T327">
            <v>0</v>
          </cell>
          <cell r="U327">
            <v>0</v>
          </cell>
        </row>
        <row r="328">
          <cell r="A328" t="str">
            <v>MAR 2014</v>
          </cell>
          <cell r="B328" t="str">
            <v>KUCUE852</v>
          </cell>
          <cell r="S328">
            <v>0</v>
          </cell>
          <cell r="T328">
            <v>0</v>
          </cell>
          <cell r="U328">
            <v>0</v>
          </cell>
        </row>
        <row r="329">
          <cell r="A329" t="str">
            <v>MAR 2014</v>
          </cell>
          <cell r="B329" t="str">
            <v>KUINE730</v>
          </cell>
          <cell r="E329">
            <v>50976000</v>
          </cell>
          <cell r="F329">
            <v>750</v>
          </cell>
          <cell r="M329">
            <v>159045.12</v>
          </cell>
          <cell r="R329">
            <v>2513332.5099999998</v>
          </cell>
          <cell r="S329">
            <v>1662327.3599999999</v>
          </cell>
          <cell r="T329">
            <v>667489.39</v>
          </cell>
          <cell r="U329">
            <v>23720.639999999999</v>
          </cell>
        </row>
        <row r="330">
          <cell r="A330" t="str">
            <v>MAR 2014</v>
          </cell>
          <cell r="B330" t="str">
            <v>KUMNE902</v>
          </cell>
          <cell r="E330">
            <v>47137600</v>
          </cell>
          <cell r="M330">
            <v>256899.92</v>
          </cell>
          <cell r="R330">
            <v>3078502.62</v>
          </cell>
          <cell r="S330">
            <v>1420270.03</v>
          </cell>
          <cell r="T330">
            <v>1270337.68</v>
          </cell>
          <cell r="U330">
            <v>0</v>
          </cell>
        </row>
        <row r="331">
          <cell r="A331" t="str">
            <v>MAR 2014</v>
          </cell>
          <cell r="B331" t="str">
            <v>KUMNE903</v>
          </cell>
          <cell r="E331">
            <v>108909478</v>
          </cell>
          <cell r="M331">
            <v>588111.18000000005</v>
          </cell>
          <cell r="R331">
            <v>7341327.7800000003</v>
          </cell>
          <cell r="S331">
            <v>3275332.75</v>
          </cell>
          <cell r="T331">
            <v>3136095.38</v>
          </cell>
          <cell r="U331">
            <v>0</v>
          </cell>
        </row>
        <row r="332">
          <cell r="A332" t="str">
            <v>MAR 2014</v>
          </cell>
          <cell r="B332" t="str">
            <v>KUMNE934</v>
          </cell>
          <cell r="E332">
            <v>6330347</v>
          </cell>
          <cell r="M332">
            <v>34183.870000000003</v>
          </cell>
          <cell r="R332">
            <v>359056.6</v>
          </cell>
          <cell r="S332">
            <v>190378.22</v>
          </cell>
          <cell r="T332">
            <v>113210.92</v>
          </cell>
          <cell r="U332">
            <v>0</v>
          </cell>
        </row>
        <row r="333">
          <cell r="A333" t="str">
            <v>MAR 2014</v>
          </cell>
          <cell r="B333" t="str">
            <v>KURSE000</v>
          </cell>
          <cell r="S333">
            <v>0</v>
          </cell>
          <cell r="T333">
            <v>0</v>
          </cell>
          <cell r="U333">
            <v>0</v>
          </cell>
        </row>
        <row r="334">
          <cell r="A334" t="str">
            <v>MAR 2014</v>
          </cell>
          <cell r="B334" t="str">
            <v>KURSE010</v>
          </cell>
          <cell r="E334">
            <v>267454258</v>
          </cell>
          <cell r="F334">
            <v>2455490.5699999998</v>
          </cell>
          <cell r="L334">
            <v>933244.21</v>
          </cell>
          <cell r="M334">
            <v>833458.87</v>
          </cell>
          <cell r="Q334">
            <v>0.02</v>
          </cell>
          <cell r="R334">
            <v>25332309.75</v>
          </cell>
          <cell r="S334">
            <v>20710420.390000001</v>
          </cell>
          <cell r="T334">
            <v>0</v>
          </cell>
          <cell r="U334">
            <v>399695.69</v>
          </cell>
        </row>
        <row r="335">
          <cell r="A335" t="str">
            <v>MAR 2014</v>
          </cell>
          <cell r="B335" t="str">
            <v>KURSE020</v>
          </cell>
          <cell r="E335">
            <v>389789599</v>
          </cell>
          <cell r="F335">
            <v>2086374.15</v>
          </cell>
          <cell r="L335">
            <v>1360354.12</v>
          </cell>
          <cell r="M335">
            <v>1211791.57</v>
          </cell>
          <cell r="Q335">
            <v>0</v>
          </cell>
          <cell r="R335">
            <v>35404469.329999998</v>
          </cell>
          <cell r="S335">
            <v>30185240.590000004</v>
          </cell>
          <cell r="T335">
            <v>0</v>
          </cell>
          <cell r="U335">
            <v>560708.9</v>
          </cell>
        </row>
        <row r="336">
          <cell r="A336" t="str">
            <v>MAR 2014</v>
          </cell>
          <cell r="B336" t="str">
            <v>KURSE025</v>
          </cell>
          <cell r="E336">
            <v>547519</v>
          </cell>
          <cell r="F336">
            <v>2662.8</v>
          </cell>
          <cell r="L336">
            <v>1910.82</v>
          </cell>
          <cell r="M336">
            <v>1474.96</v>
          </cell>
          <cell r="R336">
            <v>49389.19</v>
          </cell>
          <cell r="S336">
            <v>42399.820000000007</v>
          </cell>
          <cell r="T336">
            <v>0</v>
          </cell>
          <cell r="U336">
            <v>940.79</v>
          </cell>
        </row>
        <row r="337">
          <cell r="A337" t="str">
            <v>MAR 2014</v>
          </cell>
          <cell r="B337" t="str">
            <v>KURSE040</v>
          </cell>
          <cell r="E337">
            <v>8611</v>
          </cell>
          <cell r="F337">
            <v>64.5</v>
          </cell>
          <cell r="L337">
            <v>30.05</v>
          </cell>
          <cell r="M337">
            <v>20.53</v>
          </cell>
          <cell r="R337">
            <v>771.77</v>
          </cell>
          <cell r="S337">
            <v>639.87</v>
          </cell>
          <cell r="T337">
            <v>0</v>
          </cell>
          <cell r="U337">
            <v>16.82</v>
          </cell>
        </row>
        <row r="338">
          <cell r="A338" t="str">
            <v>MAR 2014</v>
          </cell>
          <cell r="B338" t="str">
            <v>KURSE080</v>
          </cell>
          <cell r="E338">
            <v>132111</v>
          </cell>
          <cell r="F338">
            <v>526.75</v>
          </cell>
          <cell r="L338">
            <v>461.06</v>
          </cell>
          <cell r="M338">
            <v>384.71</v>
          </cell>
          <cell r="R338">
            <v>11808.66</v>
          </cell>
          <cell r="S338">
            <v>10230.67</v>
          </cell>
          <cell r="T338">
            <v>0</v>
          </cell>
          <cell r="U338">
            <v>205.47</v>
          </cell>
        </row>
        <row r="339">
          <cell r="A339" t="str">
            <v>MAR 2014</v>
          </cell>
          <cell r="B339" t="str">
            <v>KURSE715</v>
          </cell>
          <cell r="E339">
            <v>123913</v>
          </cell>
          <cell r="F339">
            <v>568.71</v>
          </cell>
          <cell r="L339">
            <v>432.46</v>
          </cell>
          <cell r="M339">
            <v>328.67</v>
          </cell>
          <cell r="R339">
            <v>11141.71</v>
          </cell>
          <cell r="S339">
            <v>9595.81</v>
          </cell>
          <cell r="T339">
            <v>0</v>
          </cell>
          <cell r="U339">
            <v>216.06</v>
          </cell>
        </row>
        <row r="340">
          <cell r="A340" t="str">
            <v>MAR 2014</v>
          </cell>
          <cell r="B340" t="str">
            <v>KUUM_000</v>
          </cell>
          <cell r="S340">
            <v>0</v>
          </cell>
          <cell r="T340">
            <v>0</v>
          </cell>
          <cell r="U340">
            <v>0</v>
          </cell>
        </row>
        <row r="341">
          <cell r="A341" t="str">
            <v>MAR 2014</v>
          </cell>
          <cell r="B341" t="str">
            <v>KUUM_360</v>
          </cell>
          <cell r="E341">
            <v>11853</v>
          </cell>
          <cell r="M341">
            <v>-16.059999999999999</v>
          </cell>
          <cell r="Q341">
            <v>0</v>
          </cell>
          <cell r="R341">
            <v>10380.18</v>
          </cell>
          <cell r="S341">
            <v>9848.74</v>
          </cell>
          <cell r="T341">
            <v>0</v>
          </cell>
          <cell r="U341">
            <v>547.5</v>
          </cell>
        </row>
        <row r="342">
          <cell r="A342" t="str">
            <v>MAR 2014</v>
          </cell>
          <cell r="B342" t="str">
            <v>KUUM_361</v>
          </cell>
          <cell r="E342">
            <v>1650</v>
          </cell>
          <cell r="M342">
            <v>-2.41</v>
          </cell>
          <cell r="Q342">
            <v>0</v>
          </cell>
          <cell r="R342">
            <v>2194.13</v>
          </cell>
          <cell r="S342">
            <v>2079</v>
          </cell>
          <cell r="T342">
            <v>0</v>
          </cell>
          <cell r="U342">
            <v>117.54</v>
          </cell>
        </row>
        <row r="343">
          <cell r="A343" t="str">
            <v>MAR 2014</v>
          </cell>
          <cell r="B343" t="str">
            <v>KUUM_362</v>
          </cell>
          <cell r="E343">
            <v>2317</v>
          </cell>
          <cell r="M343">
            <v>-3.38</v>
          </cell>
          <cell r="Q343">
            <v>0</v>
          </cell>
          <cell r="R343">
            <v>2712.46</v>
          </cell>
          <cell r="S343">
            <v>2570.54</v>
          </cell>
          <cell r="T343">
            <v>0</v>
          </cell>
          <cell r="U343">
            <v>145.30000000000001</v>
          </cell>
        </row>
        <row r="344">
          <cell r="A344" t="str">
            <v>MAR 2014</v>
          </cell>
          <cell r="B344" t="str">
            <v>KUUM_363</v>
          </cell>
          <cell r="E344">
            <v>325</v>
          </cell>
          <cell r="M344">
            <v>-0.47</v>
          </cell>
          <cell r="Q344">
            <v>0</v>
          </cell>
          <cell r="R344">
            <v>325.73</v>
          </cell>
          <cell r="S344">
            <v>308.75</v>
          </cell>
          <cell r="T344">
            <v>0</v>
          </cell>
          <cell r="U344">
            <v>17.45</v>
          </cell>
        </row>
        <row r="345">
          <cell r="A345" t="str">
            <v>MAR 2014</v>
          </cell>
          <cell r="B345" t="str">
            <v>KUUM_364</v>
          </cell>
          <cell r="E345">
            <v>65</v>
          </cell>
          <cell r="M345">
            <v>-0.09</v>
          </cell>
          <cell r="Q345">
            <v>0</v>
          </cell>
          <cell r="R345">
            <v>66.59</v>
          </cell>
          <cell r="S345">
            <v>63.11</v>
          </cell>
          <cell r="T345">
            <v>0</v>
          </cell>
          <cell r="U345">
            <v>3.57</v>
          </cell>
        </row>
        <row r="346">
          <cell r="A346" t="str">
            <v>MAR 2014</v>
          </cell>
          <cell r="B346" t="str">
            <v>KUUM_365</v>
          </cell>
          <cell r="E346">
            <v>327</v>
          </cell>
          <cell r="M346">
            <v>-0.48</v>
          </cell>
          <cell r="Q346">
            <v>0</v>
          </cell>
          <cell r="R346">
            <v>427.1</v>
          </cell>
          <cell r="S346">
            <v>404.7</v>
          </cell>
          <cell r="T346">
            <v>0</v>
          </cell>
          <cell r="U346">
            <v>22.88</v>
          </cell>
        </row>
        <row r="347">
          <cell r="A347" t="str">
            <v>MAR 2014</v>
          </cell>
          <cell r="B347" t="str">
            <v>KUUM_366</v>
          </cell>
          <cell r="E347">
            <v>587</v>
          </cell>
          <cell r="M347">
            <v>-0.86</v>
          </cell>
          <cell r="Q347">
            <v>0</v>
          </cell>
          <cell r="R347">
            <v>750.04</v>
          </cell>
          <cell r="S347">
            <v>710.73</v>
          </cell>
          <cell r="T347">
            <v>0</v>
          </cell>
          <cell r="U347">
            <v>40.17</v>
          </cell>
        </row>
        <row r="348">
          <cell r="A348" t="str">
            <v>MAR 2014</v>
          </cell>
          <cell r="B348" t="str">
            <v>KUUM_367</v>
          </cell>
          <cell r="E348">
            <v>1672</v>
          </cell>
          <cell r="M348">
            <v>-2.44</v>
          </cell>
          <cell r="Q348">
            <v>0</v>
          </cell>
          <cell r="R348">
            <v>1614.81</v>
          </cell>
          <cell r="S348">
            <v>1530.75</v>
          </cell>
          <cell r="T348">
            <v>0</v>
          </cell>
          <cell r="U348">
            <v>86.5</v>
          </cell>
        </row>
        <row r="349">
          <cell r="A349" t="str">
            <v>MAR 2014</v>
          </cell>
          <cell r="B349" t="str">
            <v>KUUM_368</v>
          </cell>
          <cell r="E349">
            <v>65</v>
          </cell>
          <cell r="M349">
            <v>-0.09</v>
          </cell>
          <cell r="Q349">
            <v>0</v>
          </cell>
          <cell r="R349">
            <v>59.8</v>
          </cell>
          <cell r="S349">
            <v>56.69</v>
          </cell>
          <cell r="T349">
            <v>0</v>
          </cell>
          <cell r="U349">
            <v>3.2</v>
          </cell>
        </row>
        <row r="350">
          <cell r="A350" t="str">
            <v>MAR 2014</v>
          </cell>
          <cell r="B350" t="str">
            <v>KUUM_370</v>
          </cell>
          <cell r="E350">
            <v>985</v>
          </cell>
          <cell r="M350">
            <v>-0.82</v>
          </cell>
          <cell r="Q350">
            <v>0</v>
          </cell>
          <cell r="R350">
            <v>1174.1300000000001</v>
          </cell>
          <cell r="S350">
            <v>1117.8</v>
          </cell>
          <cell r="T350">
            <v>0</v>
          </cell>
          <cell r="U350">
            <v>57.15</v>
          </cell>
        </row>
        <row r="351">
          <cell r="A351" t="str">
            <v>MAR 2014</v>
          </cell>
          <cell r="B351" t="str">
            <v>KUUM_372</v>
          </cell>
          <cell r="E351">
            <v>65</v>
          </cell>
          <cell r="M351">
            <v>-0.09</v>
          </cell>
          <cell r="Q351">
            <v>0</v>
          </cell>
          <cell r="R351">
            <v>86.86</v>
          </cell>
          <cell r="S351">
            <v>82.3</v>
          </cell>
          <cell r="T351">
            <v>0</v>
          </cell>
          <cell r="U351">
            <v>4.6500000000000004</v>
          </cell>
        </row>
        <row r="352">
          <cell r="A352" t="str">
            <v>MAR 2014</v>
          </cell>
          <cell r="B352" t="str">
            <v>KUUM_373</v>
          </cell>
          <cell r="E352">
            <v>1339</v>
          </cell>
          <cell r="M352">
            <v>-1.96</v>
          </cell>
          <cell r="Q352">
            <v>0</v>
          </cell>
          <cell r="R352">
            <v>1572.68</v>
          </cell>
          <cell r="S352">
            <v>1490.4</v>
          </cell>
          <cell r="T352">
            <v>0</v>
          </cell>
          <cell r="U352">
            <v>84.24</v>
          </cell>
        </row>
        <row r="353">
          <cell r="A353" t="str">
            <v>MAR 2014</v>
          </cell>
          <cell r="B353" t="str">
            <v>KUUM_374</v>
          </cell>
          <cell r="E353">
            <v>264</v>
          </cell>
          <cell r="M353">
            <v>-0.39</v>
          </cell>
          <cell r="Q353">
            <v>0</v>
          </cell>
          <cell r="R353">
            <v>320.29000000000002</v>
          </cell>
          <cell r="S353">
            <v>303.52</v>
          </cell>
          <cell r="T353">
            <v>0</v>
          </cell>
          <cell r="U353">
            <v>17.16</v>
          </cell>
        </row>
        <row r="354">
          <cell r="A354" t="str">
            <v>MAR 2014</v>
          </cell>
          <cell r="B354" t="str">
            <v>KUUM_375</v>
          </cell>
          <cell r="E354">
            <v>201</v>
          </cell>
          <cell r="M354">
            <v>-0.3</v>
          </cell>
          <cell r="Q354">
            <v>0</v>
          </cell>
          <cell r="R354">
            <v>250</v>
          </cell>
          <cell r="S354">
            <v>236.91</v>
          </cell>
          <cell r="T354">
            <v>0</v>
          </cell>
          <cell r="U354">
            <v>13.39</v>
          </cell>
        </row>
        <row r="355">
          <cell r="A355" t="str">
            <v>MAR 2014</v>
          </cell>
          <cell r="B355" t="str">
            <v>KUUM_376</v>
          </cell>
          <cell r="E355">
            <v>134</v>
          </cell>
          <cell r="M355">
            <v>-0.2</v>
          </cell>
          <cell r="Q355">
            <v>0</v>
          </cell>
          <cell r="R355">
            <v>163.05000000000001</v>
          </cell>
          <cell r="S355">
            <v>154.52000000000001</v>
          </cell>
          <cell r="T355">
            <v>0</v>
          </cell>
          <cell r="U355">
            <v>8.73</v>
          </cell>
        </row>
        <row r="356">
          <cell r="A356" t="str">
            <v>MAR 2014</v>
          </cell>
          <cell r="B356" t="str">
            <v>KUUM_377</v>
          </cell>
          <cell r="E356">
            <v>3393</v>
          </cell>
          <cell r="M356">
            <v>-4.95</v>
          </cell>
          <cell r="Q356">
            <v>0</v>
          </cell>
          <cell r="R356">
            <v>3453.75</v>
          </cell>
          <cell r="S356">
            <v>3273.69</v>
          </cell>
          <cell r="T356">
            <v>0</v>
          </cell>
          <cell r="U356">
            <v>185.01</v>
          </cell>
        </row>
        <row r="357">
          <cell r="A357" t="str">
            <v>MAR 2014</v>
          </cell>
          <cell r="B357" t="str">
            <v>KUUM_378</v>
          </cell>
          <cell r="E357">
            <v>140</v>
          </cell>
          <cell r="M357">
            <v>-0.2</v>
          </cell>
          <cell r="R357">
            <v>160.18</v>
          </cell>
          <cell r="S357">
            <v>151.80000000000001</v>
          </cell>
          <cell r="T357">
            <v>0</v>
          </cell>
          <cell r="U357">
            <v>8.58</v>
          </cell>
        </row>
        <row r="358">
          <cell r="A358" t="str">
            <v>MAR 2014</v>
          </cell>
          <cell r="B358" t="str">
            <v>KUUM_401</v>
          </cell>
          <cell r="E358">
            <v>1565</v>
          </cell>
          <cell r="M358">
            <v>3.24</v>
          </cell>
          <cell r="Q358">
            <v>0</v>
          </cell>
          <cell r="R358">
            <v>795.59</v>
          </cell>
          <cell r="S358">
            <v>772.72</v>
          </cell>
          <cell r="T358">
            <v>0</v>
          </cell>
          <cell r="U358">
            <v>19.63</v>
          </cell>
        </row>
        <row r="359">
          <cell r="A359" t="str">
            <v>MAR 2014</v>
          </cell>
          <cell r="B359" t="str">
            <v>KUUM_404</v>
          </cell>
          <cell r="E359">
            <v>530883</v>
          </cell>
          <cell r="M359">
            <v>1598.85</v>
          </cell>
          <cell r="Q359">
            <v>0</v>
          </cell>
          <cell r="R359">
            <v>79075.48</v>
          </cell>
          <cell r="S359">
            <v>76177.45</v>
          </cell>
          <cell r="T359">
            <v>0</v>
          </cell>
          <cell r="U359">
            <v>1299.18</v>
          </cell>
        </row>
        <row r="360">
          <cell r="A360" t="str">
            <v>MAR 2014</v>
          </cell>
          <cell r="B360" t="str">
            <v>KUUM_409</v>
          </cell>
          <cell r="E360">
            <v>23606</v>
          </cell>
          <cell r="M360">
            <v>54.68</v>
          </cell>
          <cell r="Q360">
            <v>0</v>
          </cell>
          <cell r="R360">
            <v>1768.11</v>
          </cell>
          <cell r="S360">
            <v>1674.53</v>
          </cell>
          <cell r="T360">
            <v>0</v>
          </cell>
          <cell r="U360">
            <v>38.9</v>
          </cell>
        </row>
        <row r="361">
          <cell r="A361" t="str">
            <v>MAR 2014</v>
          </cell>
          <cell r="B361" t="str">
            <v>KUUM_410</v>
          </cell>
          <cell r="E361">
            <v>5403</v>
          </cell>
          <cell r="M361">
            <v>16.86</v>
          </cell>
          <cell r="Q361">
            <v>0</v>
          </cell>
          <cell r="R361">
            <v>4957.3500000000004</v>
          </cell>
          <cell r="S361">
            <v>4862.41</v>
          </cell>
          <cell r="T361">
            <v>0</v>
          </cell>
          <cell r="U361">
            <v>78.08</v>
          </cell>
        </row>
        <row r="362">
          <cell r="A362" t="str">
            <v>MAR 2014</v>
          </cell>
          <cell r="B362" t="str">
            <v>KUUM_411</v>
          </cell>
          <cell r="E362">
            <v>4424</v>
          </cell>
          <cell r="M362">
            <v>13.79</v>
          </cell>
          <cell r="Q362">
            <v>0</v>
          </cell>
          <cell r="R362">
            <v>3163.7</v>
          </cell>
          <cell r="S362">
            <v>3100.1</v>
          </cell>
          <cell r="T362">
            <v>0</v>
          </cell>
          <cell r="U362">
            <v>49.81</v>
          </cell>
        </row>
        <row r="363">
          <cell r="A363" t="str">
            <v>MAR 2014</v>
          </cell>
          <cell r="B363" t="str">
            <v>KUUM_412</v>
          </cell>
          <cell r="E363">
            <v>908</v>
          </cell>
          <cell r="M363">
            <v>2.83</v>
          </cell>
          <cell r="Q363">
            <v>0</v>
          </cell>
          <cell r="R363">
            <v>880.21</v>
          </cell>
          <cell r="S363">
            <v>863.52</v>
          </cell>
          <cell r="T363">
            <v>0</v>
          </cell>
          <cell r="U363">
            <v>13.86</v>
          </cell>
        </row>
        <row r="364">
          <cell r="A364" t="str">
            <v>MAR 2014</v>
          </cell>
          <cell r="B364" t="str">
            <v>KUUM_413</v>
          </cell>
          <cell r="E364">
            <v>4171</v>
          </cell>
          <cell r="M364">
            <v>13</v>
          </cell>
          <cell r="Q364">
            <v>0</v>
          </cell>
          <cell r="R364">
            <v>3058.29</v>
          </cell>
          <cell r="S364">
            <v>2997.12</v>
          </cell>
          <cell r="T364">
            <v>0</v>
          </cell>
          <cell r="U364">
            <v>48.17</v>
          </cell>
        </row>
        <row r="365">
          <cell r="A365" t="str">
            <v>MAR 2014</v>
          </cell>
          <cell r="B365" t="str">
            <v>KUUM_414</v>
          </cell>
          <cell r="E365">
            <v>624</v>
          </cell>
          <cell r="M365">
            <v>-0.91</v>
          </cell>
          <cell r="Q365">
            <v>0</v>
          </cell>
          <cell r="R365">
            <v>683.33</v>
          </cell>
          <cell r="S365">
            <v>647.64</v>
          </cell>
          <cell r="T365">
            <v>0</v>
          </cell>
          <cell r="U365">
            <v>36.6</v>
          </cell>
        </row>
        <row r="366">
          <cell r="A366" t="str">
            <v>MAR 2014</v>
          </cell>
          <cell r="B366" t="str">
            <v>KUUM_415</v>
          </cell>
          <cell r="E366">
            <v>419</v>
          </cell>
          <cell r="M366">
            <v>-0.61</v>
          </cell>
          <cell r="Q366">
            <v>0</v>
          </cell>
          <cell r="R366">
            <v>329.23</v>
          </cell>
          <cell r="S366">
            <v>312.2</v>
          </cell>
          <cell r="T366">
            <v>0</v>
          </cell>
          <cell r="U366">
            <v>17.64</v>
          </cell>
        </row>
        <row r="367">
          <cell r="A367" t="str">
            <v>MAR 2014</v>
          </cell>
          <cell r="B367" t="str">
            <v>KUUM_420</v>
          </cell>
          <cell r="E367">
            <v>19728</v>
          </cell>
          <cell r="M367">
            <v>37.770000000000003</v>
          </cell>
          <cell r="Q367">
            <v>0</v>
          </cell>
          <cell r="R367">
            <v>7360.4</v>
          </cell>
          <cell r="S367">
            <v>7133.18</v>
          </cell>
          <cell r="T367">
            <v>0</v>
          </cell>
          <cell r="U367">
            <v>189.45</v>
          </cell>
        </row>
        <row r="368">
          <cell r="A368" t="str">
            <v>MAR 2014</v>
          </cell>
          <cell r="B368" t="str">
            <v>KUUM_421</v>
          </cell>
          <cell r="E368">
            <v>187</v>
          </cell>
          <cell r="M368">
            <v>7.0000000000000007E-2</v>
          </cell>
          <cell r="Q368">
            <v>0</v>
          </cell>
          <cell r="R368">
            <v>17.71</v>
          </cell>
          <cell r="S368">
            <v>16.95</v>
          </cell>
          <cell r="T368">
            <v>0</v>
          </cell>
          <cell r="U368">
            <v>0.69</v>
          </cell>
        </row>
        <row r="369">
          <cell r="A369" t="str">
            <v>MAR 2014</v>
          </cell>
          <cell r="B369" t="str">
            <v>KUUM_422</v>
          </cell>
          <cell r="E369">
            <v>49573</v>
          </cell>
          <cell r="M369">
            <v>96.88</v>
          </cell>
          <cell r="Q369">
            <v>0</v>
          </cell>
          <cell r="R369">
            <v>3252.65</v>
          </cell>
          <cell r="S369">
            <v>3074.43</v>
          </cell>
          <cell r="T369">
            <v>0</v>
          </cell>
          <cell r="U369">
            <v>81.34</v>
          </cell>
        </row>
        <row r="370">
          <cell r="A370" t="str">
            <v>MAR 2014</v>
          </cell>
          <cell r="B370" t="str">
            <v>KUUM_424</v>
          </cell>
          <cell r="E370">
            <v>8382</v>
          </cell>
          <cell r="M370">
            <v>-1.24</v>
          </cell>
          <cell r="Q370">
            <v>0</v>
          </cell>
          <cell r="R370">
            <v>494.34</v>
          </cell>
          <cell r="S370">
            <v>474.61</v>
          </cell>
          <cell r="T370">
            <v>0</v>
          </cell>
          <cell r="U370">
            <v>20.97</v>
          </cell>
        </row>
        <row r="371">
          <cell r="A371" t="str">
            <v>MAR 2014</v>
          </cell>
          <cell r="B371" t="str">
            <v>KUUM_425</v>
          </cell>
          <cell r="E371">
            <v>321</v>
          </cell>
          <cell r="M371">
            <v>1</v>
          </cell>
          <cell r="Q371">
            <v>0</v>
          </cell>
          <cell r="R371">
            <v>19.420000000000002</v>
          </cell>
          <cell r="S371">
            <v>18.12</v>
          </cell>
          <cell r="T371">
            <v>0</v>
          </cell>
          <cell r="U371">
            <v>0.3</v>
          </cell>
        </row>
        <row r="372">
          <cell r="A372" t="str">
            <v>MAR 2014</v>
          </cell>
          <cell r="B372" t="str">
            <v>KUUM_426</v>
          </cell>
          <cell r="E372">
            <v>4968</v>
          </cell>
          <cell r="M372">
            <v>15.25</v>
          </cell>
          <cell r="Q372">
            <v>0</v>
          </cell>
          <cell r="R372">
            <v>1294.2</v>
          </cell>
          <cell r="S372">
            <v>1258.5999999999999</v>
          </cell>
          <cell r="T372">
            <v>0</v>
          </cell>
          <cell r="U372">
            <v>20.350000000000001</v>
          </cell>
        </row>
        <row r="373">
          <cell r="A373" t="str">
            <v>MAR 2014</v>
          </cell>
          <cell r="B373" t="str">
            <v>KUUM_428</v>
          </cell>
          <cell r="E373">
            <v>1517873</v>
          </cell>
          <cell r="M373">
            <v>4688.09</v>
          </cell>
          <cell r="Q373">
            <v>0</v>
          </cell>
          <cell r="R373">
            <v>295372.25</v>
          </cell>
          <cell r="S373">
            <v>285893.11</v>
          </cell>
          <cell r="T373">
            <v>0</v>
          </cell>
          <cell r="U373">
            <v>4791.05</v>
          </cell>
        </row>
        <row r="374">
          <cell r="A374" t="str">
            <v>MAR 2014</v>
          </cell>
          <cell r="B374" t="str">
            <v>KUUM_430</v>
          </cell>
          <cell r="E374">
            <v>48915</v>
          </cell>
          <cell r="M374">
            <v>111.77</v>
          </cell>
          <cell r="Q374">
            <v>0</v>
          </cell>
          <cell r="R374">
            <v>26347.67</v>
          </cell>
          <cell r="S374">
            <v>25639.58</v>
          </cell>
          <cell r="T374">
            <v>0</v>
          </cell>
          <cell r="U374">
            <v>596.32000000000005</v>
          </cell>
        </row>
        <row r="375">
          <cell r="A375" t="str">
            <v>MAR 2014</v>
          </cell>
          <cell r="B375" t="str">
            <v>KUUM_434</v>
          </cell>
          <cell r="E375">
            <v>596</v>
          </cell>
          <cell r="M375">
            <v>-0.87</v>
          </cell>
          <cell r="Q375">
            <v>0</v>
          </cell>
          <cell r="R375">
            <v>39.97</v>
          </cell>
          <cell r="S375">
            <v>38.700000000000003</v>
          </cell>
          <cell r="T375">
            <v>0</v>
          </cell>
          <cell r="U375">
            <v>2.14</v>
          </cell>
        </row>
        <row r="376">
          <cell r="A376" t="str">
            <v>MAR 2014</v>
          </cell>
          <cell r="B376" t="str">
            <v>KUUM_440</v>
          </cell>
          <cell r="E376">
            <v>43</v>
          </cell>
          <cell r="M376">
            <v>0.13</v>
          </cell>
          <cell r="Q376">
            <v>0</v>
          </cell>
          <cell r="R376">
            <v>27.79</v>
          </cell>
          <cell r="S376">
            <v>27.22</v>
          </cell>
          <cell r="T376">
            <v>0</v>
          </cell>
          <cell r="U376">
            <v>0.44</v>
          </cell>
        </row>
        <row r="377">
          <cell r="A377" t="str">
            <v>MAR 2014</v>
          </cell>
          <cell r="B377" t="str">
            <v>KUUM_446</v>
          </cell>
          <cell r="E377">
            <v>81899</v>
          </cell>
          <cell r="M377">
            <v>186.19</v>
          </cell>
          <cell r="Q377">
            <v>0</v>
          </cell>
          <cell r="R377">
            <v>10790.59</v>
          </cell>
          <cell r="S377">
            <v>10358.200000000001</v>
          </cell>
          <cell r="T377">
            <v>0</v>
          </cell>
          <cell r="U377">
            <v>246.2</v>
          </cell>
        </row>
        <row r="378">
          <cell r="A378" t="str">
            <v>MAR 2014</v>
          </cell>
          <cell r="B378" t="str">
            <v>KUUM_447</v>
          </cell>
          <cell r="E378">
            <v>83963</v>
          </cell>
          <cell r="M378">
            <v>-107.03</v>
          </cell>
          <cell r="Q378">
            <v>0</v>
          </cell>
          <cell r="R378">
            <v>8725.41</v>
          </cell>
          <cell r="S378">
            <v>8378.27</v>
          </cell>
          <cell r="T378">
            <v>0</v>
          </cell>
          <cell r="U378">
            <v>454.17</v>
          </cell>
        </row>
        <row r="379">
          <cell r="A379" t="str">
            <v>MAR 2014</v>
          </cell>
          <cell r="B379" t="str">
            <v>KUUM_448</v>
          </cell>
          <cell r="E379">
            <v>245797</v>
          </cell>
          <cell r="M379">
            <v>299.07</v>
          </cell>
          <cell r="Q379">
            <v>0</v>
          </cell>
          <cell r="R379">
            <v>19895.07</v>
          </cell>
          <cell r="S379">
            <v>18980.72</v>
          </cell>
          <cell r="T379">
            <v>0</v>
          </cell>
          <cell r="U379">
            <v>615.28</v>
          </cell>
        </row>
        <row r="380">
          <cell r="A380" t="str">
            <v>MAR 2014</v>
          </cell>
          <cell r="B380" t="str">
            <v>KUUM_450</v>
          </cell>
          <cell r="E380">
            <v>35473</v>
          </cell>
          <cell r="M380">
            <v>105.4</v>
          </cell>
          <cell r="Q380">
            <v>0</v>
          </cell>
          <cell r="R380">
            <v>9709.11</v>
          </cell>
          <cell r="S380">
            <v>9439.2099999999991</v>
          </cell>
          <cell r="T380">
            <v>0</v>
          </cell>
          <cell r="U380">
            <v>164.5</v>
          </cell>
        </row>
        <row r="381">
          <cell r="A381" t="str">
            <v>MAR 2014</v>
          </cell>
          <cell r="B381" t="str">
            <v>KUUM_451</v>
          </cell>
          <cell r="E381">
            <v>641218</v>
          </cell>
          <cell r="M381">
            <v>1877.44</v>
          </cell>
          <cell r="Q381">
            <v>0</v>
          </cell>
          <cell r="R381">
            <v>107356.8</v>
          </cell>
          <cell r="S381">
            <v>103628.78</v>
          </cell>
          <cell r="T381">
            <v>0</v>
          </cell>
          <cell r="U381">
            <v>1850.58</v>
          </cell>
        </row>
        <row r="382">
          <cell r="A382" t="str">
            <v>MAR 2014</v>
          </cell>
          <cell r="B382" t="str">
            <v>KUUM_452</v>
          </cell>
          <cell r="E382">
            <v>399341</v>
          </cell>
          <cell r="M382">
            <v>1199.67</v>
          </cell>
          <cell r="Q382">
            <v>0</v>
          </cell>
          <cell r="R382">
            <v>45856.6</v>
          </cell>
          <cell r="S382">
            <v>43891.93</v>
          </cell>
          <cell r="T382">
            <v>0</v>
          </cell>
          <cell r="U382">
            <v>765</v>
          </cell>
        </row>
        <row r="383">
          <cell r="A383" t="str">
            <v>MAR 2014</v>
          </cell>
          <cell r="B383" t="str">
            <v>KUUM_454</v>
          </cell>
          <cell r="E383">
            <v>8051</v>
          </cell>
          <cell r="M383">
            <v>22.78</v>
          </cell>
          <cell r="Q383">
            <v>0</v>
          </cell>
          <cell r="R383">
            <v>2871.23</v>
          </cell>
          <cell r="S383">
            <v>2796.71</v>
          </cell>
          <cell r="T383">
            <v>0</v>
          </cell>
          <cell r="U383">
            <v>51.74</v>
          </cell>
        </row>
        <row r="384">
          <cell r="A384" t="str">
            <v>MAR 2014</v>
          </cell>
          <cell r="B384" t="str">
            <v>KUUM_455</v>
          </cell>
          <cell r="E384">
            <v>129998</v>
          </cell>
          <cell r="M384">
            <v>379.9</v>
          </cell>
          <cell r="Q384">
            <v>0</v>
          </cell>
          <cell r="R384">
            <v>26249.24</v>
          </cell>
          <cell r="S384">
            <v>25414.61</v>
          </cell>
          <cell r="T384">
            <v>0</v>
          </cell>
          <cell r="U384">
            <v>454.73</v>
          </cell>
        </row>
        <row r="385">
          <cell r="A385" t="str">
            <v>MAR 2014</v>
          </cell>
          <cell r="B385" t="str">
            <v>KUUM_456</v>
          </cell>
          <cell r="E385">
            <v>10881</v>
          </cell>
          <cell r="M385">
            <v>27.36</v>
          </cell>
          <cell r="Q385">
            <v>0</v>
          </cell>
          <cell r="R385">
            <v>1725.26</v>
          </cell>
          <cell r="S385">
            <v>1661.8</v>
          </cell>
          <cell r="T385">
            <v>0</v>
          </cell>
          <cell r="U385">
            <v>36.1</v>
          </cell>
        </row>
        <row r="386">
          <cell r="A386" t="str">
            <v>MAR 2014</v>
          </cell>
          <cell r="B386" t="str">
            <v>KUUM_457</v>
          </cell>
          <cell r="E386">
            <v>51367</v>
          </cell>
          <cell r="M386">
            <v>-74.510000000000005</v>
          </cell>
          <cell r="Q386">
            <v>0</v>
          </cell>
          <cell r="R386">
            <v>6317.62</v>
          </cell>
          <cell r="S386">
            <v>6054.23</v>
          </cell>
          <cell r="T386">
            <v>0</v>
          </cell>
          <cell r="U386">
            <v>337.9</v>
          </cell>
        </row>
        <row r="387">
          <cell r="A387" t="str">
            <v>MAR 2014</v>
          </cell>
          <cell r="B387" t="str">
            <v>KUUM_458</v>
          </cell>
          <cell r="E387">
            <v>248939</v>
          </cell>
          <cell r="M387">
            <v>-16.940000000000001</v>
          </cell>
          <cell r="Q387">
            <v>0</v>
          </cell>
          <cell r="R387">
            <v>23133.34</v>
          </cell>
          <cell r="S387">
            <v>22191.919999999998</v>
          </cell>
          <cell r="T387">
            <v>0</v>
          </cell>
          <cell r="U387">
            <v>958.36</v>
          </cell>
        </row>
        <row r="388">
          <cell r="A388" t="str">
            <v>MAR 2014</v>
          </cell>
          <cell r="B388" t="str">
            <v>KUUM_459</v>
          </cell>
          <cell r="E388">
            <v>84965</v>
          </cell>
          <cell r="M388">
            <v>257.16000000000003</v>
          </cell>
          <cell r="Q388">
            <v>0</v>
          </cell>
          <cell r="R388">
            <v>10839.01</v>
          </cell>
          <cell r="S388">
            <v>10402.89</v>
          </cell>
          <cell r="T388">
            <v>0</v>
          </cell>
          <cell r="U388">
            <v>178.96</v>
          </cell>
        </row>
        <row r="389">
          <cell r="A389" t="str">
            <v>MAR 2014</v>
          </cell>
          <cell r="B389" t="str">
            <v>KUUM_460</v>
          </cell>
          <cell r="E389">
            <v>1425</v>
          </cell>
          <cell r="M389">
            <v>1.46</v>
          </cell>
          <cell r="Q389">
            <v>0</v>
          </cell>
          <cell r="R389">
            <v>736.28</v>
          </cell>
          <cell r="S389">
            <v>711.33</v>
          </cell>
          <cell r="T389">
            <v>0</v>
          </cell>
          <cell r="U389">
            <v>23.49</v>
          </cell>
        </row>
        <row r="390">
          <cell r="A390" t="str">
            <v>MAR 2014</v>
          </cell>
          <cell r="B390" t="str">
            <v>KUUM_461</v>
          </cell>
          <cell r="E390">
            <v>151272</v>
          </cell>
          <cell r="M390">
            <v>274.32</v>
          </cell>
          <cell r="Q390">
            <v>0</v>
          </cell>
          <cell r="R390">
            <v>53947.24</v>
          </cell>
          <cell r="S390">
            <v>52242.84</v>
          </cell>
          <cell r="T390">
            <v>0</v>
          </cell>
          <cell r="U390">
            <v>1430.08</v>
          </cell>
        </row>
        <row r="391">
          <cell r="A391" t="str">
            <v>MAR 2014</v>
          </cell>
          <cell r="B391" t="str">
            <v>KUUM_462</v>
          </cell>
          <cell r="E391">
            <v>272657</v>
          </cell>
          <cell r="M391">
            <v>285.99</v>
          </cell>
          <cell r="Q391">
            <v>0</v>
          </cell>
          <cell r="R391">
            <v>79548.12</v>
          </cell>
          <cell r="S391">
            <v>76641.009999999995</v>
          </cell>
          <cell r="T391">
            <v>0</v>
          </cell>
          <cell r="U391">
            <v>2621.12</v>
          </cell>
        </row>
        <row r="392">
          <cell r="A392" t="str">
            <v>MAR 2014</v>
          </cell>
          <cell r="B392" t="str">
            <v>KUUM_463</v>
          </cell>
          <cell r="E392">
            <v>876292</v>
          </cell>
          <cell r="M392">
            <v>1894.74</v>
          </cell>
          <cell r="Q392">
            <v>0</v>
          </cell>
          <cell r="R392">
            <v>195186.63</v>
          </cell>
          <cell r="S392">
            <v>188691.96</v>
          </cell>
          <cell r="T392">
            <v>0</v>
          </cell>
          <cell r="U392">
            <v>4599.93</v>
          </cell>
        </row>
        <row r="393">
          <cell r="A393" t="str">
            <v>MAR 2014</v>
          </cell>
          <cell r="B393" t="str">
            <v>KUUM_464</v>
          </cell>
          <cell r="E393">
            <v>671063</v>
          </cell>
          <cell r="M393">
            <v>1446.36</v>
          </cell>
          <cell r="Q393">
            <v>0</v>
          </cell>
          <cell r="R393">
            <v>112288</v>
          </cell>
          <cell r="S393">
            <v>108184.62</v>
          </cell>
          <cell r="T393">
            <v>0</v>
          </cell>
          <cell r="U393">
            <v>2657.02</v>
          </cell>
        </row>
        <row r="394">
          <cell r="A394" t="str">
            <v>MAR 2014</v>
          </cell>
          <cell r="B394" t="str">
            <v>KUUM_465</v>
          </cell>
          <cell r="E394">
            <v>476796</v>
          </cell>
          <cell r="M394">
            <v>1233.17</v>
          </cell>
          <cell r="Q394">
            <v>0</v>
          </cell>
          <cell r="R394">
            <v>66533.2</v>
          </cell>
          <cell r="S394">
            <v>63970.46</v>
          </cell>
          <cell r="T394">
            <v>0</v>
          </cell>
          <cell r="U394">
            <v>1329.57</v>
          </cell>
        </row>
        <row r="395">
          <cell r="A395" t="str">
            <v>MAR 2014</v>
          </cell>
          <cell r="B395" t="str">
            <v>KUUM_465CU</v>
          </cell>
          <cell r="E395">
            <v>460</v>
          </cell>
          <cell r="S395">
            <v>0</v>
          </cell>
          <cell r="T395">
            <v>0</v>
          </cell>
          <cell r="U395">
            <v>0</v>
          </cell>
        </row>
        <row r="396">
          <cell r="A396" t="str">
            <v>MAR 2014</v>
          </cell>
          <cell r="B396" t="str">
            <v>KUUM_466</v>
          </cell>
          <cell r="E396">
            <v>19192</v>
          </cell>
          <cell r="M396">
            <v>39.81</v>
          </cell>
          <cell r="Q396">
            <v>0</v>
          </cell>
          <cell r="R396">
            <v>8505.15</v>
          </cell>
          <cell r="S396">
            <v>8253.9699999999993</v>
          </cell>
          <cell r="T396">
            <v>0</v>
          </cell>
          <cell r="U396">
            <v>211.37</v>
          </cell>
        </row>
        <row r="397">
          <cell r="A397" t="str">
            <v>MAR 2014</v>
          </cell>
          <cell r="B397" t="str">
            <v>KUUM_467</v>
          </cell>
          <cell r="E397">
            <v>40950</v>
          </cell>
          <cell r="M397">
            <v>82.74</v>
          </cell>
          <cell r="Q397">
            <v>0</v>
          </cell>
          <cell r="R397">
            <v>15052.8</v>
          </cell>
          <cell r="S397">
            <v>14593.35</v>
          </cell>
          <cell r="T397">
            <v>0</v>
          </cell>
          <cell r="U397">
            <v>376.71</v>
          </cell>
        </row>
        <row r="398">
          <cell r="A398" t="str">
            <v>MAR 2014</v>
          </cell>
          <cell r="B398" t="str">
            <v>KUUM_468</v>
          </cell>
          <cell r="E398">
            <v>170039</v>
          </cell>
          <cell r="M398">
            <v>489.43</v>
          </cell>
          <cell r="Q398">
            <v>0</v>
          </cell>
          <cell r="R398">
            <v>46169.2</v>
          </cell>
          <cell r="S398">
            <v>44858.07</v>
          </cell>
          <cell r="T398">
            <v>0</v>
          </cell>
          <cell r="U398">
            <v>821.7</v>
          </cell>
        </row>
        <row r="399">
          <cell r="A399" t="str">
            <v>MAR 2014</v>
          </cell>
          <cell r="B399" t="str">
            <v>KUUM_469</v>
          </cell>
          <cell r="E399">
            <v>36114</v>
          </cell>
          <cell r="M399">
            <v>107.51</v>
          </cell>
          <cell r="Q399">
            <v>0</v>
          </cell>
          <cell r="R399">
            <v>9822.32</v>
          </cell>
          <cell r="S399">
            <v>9548.4699999999993</v>
          </cell>
          <cell r="T399">
            <v>0</v>
          </cell>
          <cell r="U399">
            <v>166.34</v>
          </cell>
        </row>
        <row r="400">
          <cell r="A400" t="str">
            <v>MAR 2014</v>
          </cell>
          <cell r="B400" t="str">
            <v>KUUM_470</v>
          </cell>
          <cell r="E400">
            <v>23031</v>
          </cell>
          <cell r="M400">
            <v>71.87</v>
          </cell>
          <cell r="Q400">
            <v>0</v>
          </cell>
          <cell r="R400">
            <v>3497.2</v>
          </cell>
          <cell r="S400">
            <v>3370.25</v>
          </cell>
          <cell r="T400">
            <v>0</v>
          </cell>
          <cell r="U400">
            <v>55.08</v>
          </cell>
        </row>
        <row r="401">
          <cell r="A401" t="str">
            <v>MAR 2014</v>
          </cell>
          <cell r="B401" t="str">
            <v>KUUM_471</v>
          </cell>
          <cell r="E401">
            <v>85064</v>
          </cell>
          <cell r="M401">
            <v>-123.66</v>
          </cell>
          <cell r="Q401">
            <v>0</v>
          </cell>
          <cell r="R401">
            <v>40512.67</v>
          </cell>
          <cell r="S401">
            <v>38468.18</v>
          </cell>
          <cell r="T401">
            <v>0</v>
          </cell>
          <cell r="U401">
            <v>2168.15</v>
          </cell>
        </row>
        <row r="402">
          <cell r="A402" t="str">
            <v>MAR 2014</v>
          </cell>
          <cell r="B402" t="str">
            <v>KUUM_472</v>
          </cell>
          <cell r="E402">
            <v>280404</v>
          </cell>
          <cell r="M402">
            <v>-396.97</v>
          </cell>
          <cell r="Q402">
            <v>0</v>
          </cell>
          <cell r="R402">
            <v>106683.1</v>
          </cell>
          <cell r="S402">
            <v>101405.71</v>
          </cell>
          <cell r="T402">
            <v>0</v>
          </cell>
          <cell r="U402">
            <v>5674.36</v>
          </cell>
        </row>
        <row r="403">
          <cell r="A403" t="str">
            <v>MAR 2014</v>
          </cell>
          <cell r="B403" t="str">
            <v>KUUM_473</v>
          </cell>
          <cell r="E403">
            <v>148044</v>
          </cell>
          <cell r="M403">
            <v>31.92</v>
          </cell>
          <cell r="Q403">
            <v>0</v>
          </cell>
          <cell r="R403">
            <v>43529.27</v>
          </cell>
          <cell r="S403">
            <v>41792.629999999997</v>
          </cell>
          <cell r="T403">
            <v>0</v>
          </cell>
          <cell r="U403">
            <v>1704.72</v>
          </cell>
        </row>
        <row r="404">
          <cell r="A404" t="str">
            <v>MAR 2014</v>
          </cell>
          <cell r="B404" t="str">
            <v>KUUM_474</v>
          </cell>
          <cell r="E404">
            <v>470273</v>
          </cell>
          <cell r="M404">
            <v>122.95</v>
          </cell>
          <cell r="Q404">
            <v>0</v>
          </cell>
          <cell r="R404">
            <v>93662.03</v>
          </cell>
          <cell r="S404">
            <v>89892.31</v>
          </cell>
          <cell r="T404">
            <v>0</v>
          </cell>
          <cell r="U404">
            <v>3646.77</v>
          </cell>
        </row>
        <row r="405">
          <cell r="A405" t="str">
            <v>MAR 2014</v>
          </cell>
          <cell r="B405" t="str">
            <v>KUUM_475</v>
          </cell>
          <cell r="E405">
            <v>91504</v>
          </cell>
          <cell r="M405">
            <v>27.08</v>
          </cell>
          <cell r="Q405">
            <v>0</v>
          </cell>
          <cell r="R405">
            <v>13132.27</v>
          </cell>
          <cell r="S405">
            <v>12592.95</v>
          </cell>
          <cell r="T405">
            <v>0</v>
          </cell>
          <cell r="U405">
            <v>512.24</v>
          </cell>
        </row>
        <row r="406">
          <cell r="A406" t="str">
            <v>MAR 2014</v>
          </cell>
          <cell r="B406" t="str">
            <v>KUUM_476</v>
          </cell>
          <cell r="E406">
            <v>146577</v>
          </cell>
          <cell r="M406">
            <v>-211.17</v>
          </cell>
          <cell r="Q406">
            <v>0</v>
          </cell>
          <cell r="R406">
            <v>80818.66</v>
          </cell>
          <cell r="S406">
            <v>76713.509999999995</v>
          </cell>
          <cell r="T406">
            <v>0</v>
          </cell>
          <cell r="U406">
            <v>4316.32</v>
          </cell>
        </row>
        <row r="407">
          <cell r="A407" t="str">
            <v>MAR 2014</v>
          </cell>
          <cell r="B407" t="str">
            <v>KUUM_477</v>
          </cell>
          <cell r="E407">
            <v>46505</v>
          </cell>
          <cell r="M407">
            <v>31.31</v>
          </cell>
          <cell r="Q407">
            <v>0</v>
          </cell>
          <cell r="R407">
            <v>23148.92</v>
          </cell>
          <cell r="S407">
            <v>22291.11</v>
          </cell>
          <cell r="T407">
            <v>0</v>
          </cell>
          <cell r="U407">
            <v>826.5</v>
          </cell>
        </row>
        <row r="408">
          <cell r="A408" t="str">
            <v>MAR 2014</v>
          </cell>
          <cell r="B408" t="str">
            <v>KUUM_478</v>
          </cell>
          <cell r="E408">
            <v>127334</v>
          </cell>
          <cell r="M408">
            <v>141.29</v>
          </cell>
          <cell r="Q408">
            <v>0</v>
          </cell>
          <cell r="R408">
            <v>39518.620000000003</v>
          </cell>
          <cell r="S408">
            <v>38114.35</v>
          </cell>
          <cell r="T408">
            <v>0</v>
          </cell>
          <cell r="U408">
            <v>1262.98</v>
          </cell>
        </row>
        <row r="409">
          <cell r="A409" t="str">
            <v>MAR 2014</v>
          </cell>
          <cell r="B409" t="str">
            <v>KUUM_479</v>
          </cell>
          <cell r="E409">
            <v>162580</v>
          </cell>
          <cell r="M409">
            <v>406.73</v>
          </cell>
          <cell r="Q409">
            <v>0</v>
          </cell>
          <cell r="R409">
            <v>32789.919999999998</v>
          </cell>
          <cell r="S409">
            <v>31708.99</v>
          </cell>
          <cell r="T409">
            <v>0</v>
          </cell>
          <cell r="U409">
            <v>674.2</v>
          </cell>
        </row>
        <row r="410">
          <cell r="A410" t="str">
            <v>MAR 2014</v>
          </cell>
          <cell r="B410" t="str">
            <v>KUUM_487</v>
          </cell>
          <cell r="E410">
            <v>459228</v>
          </cell>
          <cell r="M410">
            <v>1413.96</v>
          </cell>
          <cell r="Q410">
            <v>0</v>
          </cell>
          <cell r="R410">
            <v>102657.07</v>
          </cell>
          <cell r="S410">
            <v>99560.83</v>
          </cell>
          <cell r="T410">
            <v>0</v>
          </cell>
          <cell r="U410">
            <v>1682.28</v>
          </cell>
        </row>
        <row r="411">
          <cell r="A411" t="str">
            <v>MAR 2014</v>
          </cell>
          <cell r="B411" t="str">
            <v>KUUM_488</v>
          </cell>
          <cell r="E411">
            <v>584387</v>
          </cell>
          <cell r="M411">
            <v>1686.49</v>
          </cell>
          <cell r="Q411">
            <v>0.05</v>
          </cell>
          <cell r="R411">
            <v>95592.4</v>
          </cell>
          <cell r="S411">
            <v>92213.95</v>
          </cell>
          <cell r="T411">
            <v>0</v>
          </cell>
          <cell r="U411">
            <v>1691.91</v>
          </cell>
        </row>
        <row r="412">
          <cell r="A412" t="str">
            <v>MAR 2014</v>
          </cell>
          <cell r="B412" t="str">
            <v>KUUM_489</v>
          </cell>
          <cell r="E412">
            <v>1375653</v>
          </cell>
          <cell r="M412">
            <v>3990.88</v>
          </cell>
          <cell r="Q412">
            <v>-0.09</v>
          </cell>
          <cell r="R412">
            <v>165953.16</v>
          </cell>
          <cell r="S412">
            <v>159076.07999999999</v>
          </cell>
          <cell r="T412">
            <v>0</v>
          </cell>
          <cell r="U412">
            <v>2886.29</v>
          </cell>
        </row>
        <row r="413">
          <cell r="A413" t="str">
            <v>MAR 2014</v>
          </cell>
          <cell r="B413" t="str">
            <v>KUUM_490</v>
          </cell>
          <cell r="E413">
            <v>3059</v>
          </cell>
          <cell r="M413">
            <v>9.3000000000000007</v>
          </cell>
          <cell r="Q413">
            <v>0</v>
          </cell>
          <cell r="R413">
            <v>921.68</v>
          </cell>
          <cell r="S413">
            <v>897.26</v>
          </cell>
          <cell r="T413">
            <v>0</v>
          </cell>
          <cell r="U413">
            <v>15.12</v>
          </cell>
        </row>
        <row r="414">
          <cell r="A414" t="str">
            <v>MAR 2014</v>
          </cell>
          <cell r="B414" t="str">
            <v>KUUM_491</v>
          </cell>
          <cell r="E414">
            <v>37676</v>
          </cell>
          <cell r="M414">
            <v>114.59</v>
          </cell>
          <cell r="Q414">
            <v>0</v>
          </cell>
          <cell r="R414">
            <v>6879.37</v>
          </cell>
          <cell r="S414">
            <v>6652.1</v>
          </cell>
          <cell r="T414">
            <v>0</v>
          </cell>
          <cell r="U414">
            <v>112.68</v>
          </cell>
        </row>
        <row r="415">
          <cell r="A415" t="str">
            <v>MAR 2014</v>
          </cell>
          <cell r="B415" t="str">
            <v>KUUM_492</v>
          </cell>
          <cell r="E415">
            <v>59</v>
          </cell>
          <cell r="M415">
            <v>0.18</v>
          </cell>
          <cell r="R415">
            <v>31.41</v>
          </cell>
          <cell r="S415">
            <v>30.74</v>
          </cell>
          <cell r="T415">
            <v>0</v>
          </cell>
          <cell r="U415">
            <v>0.49</v>
          </cell>
        </row>
        <row r="416">
          <cell r="A416" t="str">
            <v>MAR 2014</v>
          </cell>
          <cell r="B416" t="str">
            <v>KUUM_493</v>
          </cell>
          <cell r="E416">
            <v>16697</v>
          </cell>
          <cell r="M416">
            <v>52.11</v>
          </cell>
          <cell r="Q416">
            <v>0</v>
          </cell>
          <cell r="R416">
            <v>2049.48</v>
          </cell>
          <cell r="S416">
            <v>1965.1</v>
          </cell>
          <cell r="T416">
            <v>0</v>
          </cell>
          <cell r="U416">
            <v>32.270000000000003</v>
          </cell>
        </row>
        <row r="417">
          <cell r="A417" t="str">
            <v>MAR 2014</v>
          </cell>
          <cell r="B417" t="str">
            <v>KUUM_494</v>
          </cell>
          <cell r="E417">
            <v>9130</v>
          </cell>
          <cell r="M417">
            <v>20.51</v>
          </cell>
          <cell r="Q417">
            <v>0</v>
          </cell>
          <cell r="R417">
            <v>4898.8599999999997</v>
          </cell>
          <cell r="S417">
            <v>4766.16</v>
          </cell>
          <cell r="T417">
            <v>0</v>
          </cell>
          <cell r="U417">
            <v>112.19</v>
          </cell>
        </row>
        <row r="418">
          <cell r="A418" t="str">
            <v>MAR 2014</v>
          </cell>
          <cell r="B418" t="str">
            <v>KUUM_495</v>
          </cell>
          <cell r="E418">
            <v>77106</v>
          </cell>
          <cell r="M418">
            <v>236.96</v>
          </cell>
          <cell r="Q418">
            <v>0</v>
          </cell>
          <cell r="R418">
            <v>22323.53</v>
          </cell>
          <cell r="S418">
            <v>21726.67</v>
          </cell>
          <cell r="T418">
            <v>0</v>
          </cell>
          <cell r="U418">
            <v>359.9</v>
          </cell>
        </row>
        <row r="419">
          <cell r="A419" t="str">
            <v>MAR 2014</v>
          </cell>
          <cell r="B419" t="str">
            <v>KUUM_496</v>
          </cell>
          <cell r="E419">
            <v>60170</v>
          </cell>
          <cell r="M419">
            <v>171.7</v>
          </cell>
          <cell r="Q419">
            <v>0</v>
          </cell>
          <cell r="R419">
            <v>9541.4699999999993</v>
          </cell>
          <cell r="S419">
            <v>9198.6299999999992</v>
          </cell>
          <cell r="T419">
            <v>0</v>
          </cell>
          <cell r="U419">
            <v>171.14</v>
          </cell>
        </row>
        <row r="420">
          <cell r="A420" t="str">
            <v>MAR 2014</v>
          </cell>
          <cell r="B420" t="str">
            <v>KUUM_497</v>
          </cell>
          <cell r="E420">
            <v>532</v>
          </cell>
          <cell r="M420">
            <v>1.66</v>
          </cell>
          <cell r="R420">
            <v>202.36</v>
          </cell>
          <cell r="S420">
            <v>197.5</v>
          </cell>
          <cell r="T420">
            <v>0</v>
          </cell>
          <cell r="U420">
            <v>3.2</v>
          </cell>
        </row>
        <row r="421">
          <cell r="A421" t="str">
            <v>MAR 2014</v>
          </cell>
          <cell r="B421" t="str">
            <v>KUUM_498</v>
          </cell>
          <cell r="E421">
            <v>2673</v>
          </cell>
          <cell r="M421">
            <v>8.33</v>
          </cell>
          <cell r="R421">
            <v>548.57000000000005</v>
          </cell>
          <cell r="S421">
            <v>531.6</v>
          </cell>
          <cell r="T421">
            <v>0</v>
          </cell>
          <cell r="U421">
            <v>8.64</v>
          </cell>
        </row>
        <row r="422">
          <cell r="A422" t="str">
            <v>MAR 2014</v>
          </cell>
          <cell r="B422" t="str">
            <v>KUUM_499</v>
          </cell>
          <cell r="E422">
            <v>4223</v>
          </cell>
          <cell r="M422">
            <v>12.38</v>
          </cell>
          <cell r="R422">
            <v>537.44000000000005</v>
          </cell>
          <cell r="S422">
            <v>515.76</v>
          </cell>
          <cell r="T422">
            <v>0</v>
          </cell>
          <cell r="U422">
            <v>9.3000000000000007</v>
          </cell>
        </row>
        <row r="423">
          <cell r="A423" t="str">
            <v>MAR 2014</v>
          </cell>
          <cell r="B423" t="str">
            <v>KUUM_820</v>
          </cell>
          <cell r="R423">
            <v>125.7</v>
          </cell>
          <cell r="S423">
            <v>0</v>
          </cell>
          <cell r="T423">
            <v>0</v>
          </cell>
          <cell r="U423">
            <v>0</v>
          </cell>
        </row>
        <row r="424">
          <cell r="A424" t="str">
            <v>MAR 2014</v>
          </cell>
          <cell r="B424" t="str">
            <v>KUUM_825</v>
          </cell>
          <cell r="R424">
            <v>74646.720000000001</v>
          </cell>
          <cell r="S424">
            <v>0</v>
          </cell>
          <cell r="T424">
            <v>0</v>
          </cell>
          <cell r="U424">
            <v>0</v>
          </cell>
        </row>
        <row r="425">
          <cell r="A425" t="str">
            <v>MAR 2014</v>
          </cell>
          <cell r="B425" t="str">
            <v>KUUM_826</v>
          </cell>
          <cell r="R425">
            <v>9348.74</v>
          </cell>
          <cell r="S425">
            <v>0</v>
          </cell>
          <cell r="T425">
            <v>0</v>
          </cell>
          <cell r="U425">
            <v>0</v>
          </cell>
        </row>
        <row r="426">
          <cell r="A426" t="str">
            <v>MAR 2014</v>
          </cell>
          <cell r="B426" t="str">
            <v>KUUM_827</v>
          </cell>
          <cell r="F426">
            <v>27869</v>
          </cell>
          <cell r="R426">
            <v>27869</v>
          </cell>
          <cell r="S426">
            <v>0</v>
          </cell>
          <cell r="T426">
            <v>0</v>
          </cell>
          <cell r="U426">
            <v>0</v>
          </cell>
        </row>
        <row r="427">
          <cell r="A427" t="str">
            <v>MAR 2014</v>
          </cell>
          <cell r="B427" t="str">
            <v>KUUM_828</v>
          </cell>
          <cell r="R427">
            <v>31500.5</v>
          </cell>
          <cell r="S427">
            <v>0</v>
          </cell>
          <cell r="T427">
            <v>0</v>
          </cell>
          <cell r="U427">
            <v>0</v>
          </cell>
        </row>
        <row r="428">
          <cell r="A428" t="str">
            <v>MAR 2014</v>
          </cell>
          <cell r="B428" t="str">
            <v>KUUM_829</v>
          </cell>
          <cell r="R428">
            <v>0</v>
          </cell>
          <cell r="S428">
            <v>0</v>
          </cell>
          <cell r="T428">
            <v>0</v>
          </cell>
          <cell r="U428">
            <v>0</v>
          </cell>
        </row>
        <row r="429">
          <cell r="A429" t="str">
            <v>MAR 2014</v>
          </cell>
          <cell r="B429" t="str">
            <v>Result</v>
          </cell>
          <cell r="E429">
            <v>1871195387</v>
          </cell>
          <cell r="F429">
            <v>7176384.5099999998</v>
          </cell>
          <cell r="L429">
            <v>2902347.2</v>
          </cell>
          <cell r="M429">
            <v>5691878.4000000004</v>
          </cell>
          <cell r="P429">
            <v>-1050206.95</v>
          </cell>
          <cell r="Q429">
            <v>-0.05</v>
          </cell>
          <cell r="R429">
            <v>149196238.05999997</v>
          </cell>
          <cell r="S429">
            <v>106098717.92999999</v>
          </cell>
          <cell r="T429">
            <v>25314123.329999998</v>
          </cell>
          <cell r="U429">
            <v>2453304.98</v>
          </cell>
        </row>
        <row r="430">
          <cell r="A430" t="str">
            <v>APR 2014</v>
          </cell>
          <cell r="B430" t="str">
            <v>KTRSE020</v>
          </cell>
          <cell r="E430">
            <v>5412</v>
          </cell>
          <cell r="F430">
            <v>25.5</v>
          </cell>
          <cell r="R430">
            <v>393.79</v>
          </cell>
          <cell r="S430">
            <v>368.29</v>
          </cell>
          <cell r="T430">
            <v>0</v>
          </cell>
          <cell r="U430">
            <v>0</v>
          </cell>
        </row>
        <row r="431">
          <cell r="A431" t="str">
            <v>APR 2014</v>
          </cell>
          <cell r="B431" t="str">
            <v>KTRSE030</v>
          </cell>
          <cell r="E431">
            <v>870</v>
          </cell>
          <cell r="F431">
            <v>8.5</v>
          </cell>
          <cell r="R431">
            <v>67.7</v>
          </cell>
          <cell r="S431">
            <v>59.2</v>
          </cell>
          <cell r="T431">
            <v>0</v>
          </cell>
          <cell r="U431">
            <v>0</v>
          </cell>
        </row>
        <row r="432">
          <cell r="A432" t="str">
            <v>APR 2014</v>
          </cell>
          <cell r="B432" t="str">
            <v>KTUM_406</v>
          </cell>
          <cell r="E432">
            <v>128</v>
          </cell>
          <cell r="R432">
            <v>19.04</v>
          </cell>
          <cell r="S432">
            <v>19.04</v>
          </cell>
          <cell r="T432">
            <v>0</v>
          </cell>
          <cell r="U432">
            <v>0</v>
          </cell>
        </row>
        <row r="433">
          <cell r="A433" t="str">
            <v>APR 2014</v>
          </cell>
          <cell r="B433" t="str">
            <v>KTUM_428</v>
          </cell>
          <cell r="E433">
            <v>36</v>
          </cell>
          <cell r="R433">
            <v>6.9</v>
          </cell>
          <cell r="S433">
            <v>6.9</v>
          </cell>
          <cell r="T433">
            <v>0</v>
          </cell>
          <cell r="U433">
            <v>0</v>
          </cell>
        </row>
        <row r="434">
          <cell r="A434" t="str">
            <v>APR 2014</v>
          </cell>
          <cell r="B434" t="str">
            <v>KUCIE000</v>
          </cell>
          <cell r="S434">
            <v>0</v>
          </cell>
          <cell r="T434">
            <v>0</v>
          </cell>
          <cell r="U434">
            <v>0</v>
          </cell>
        </row>
        <row r="435">
          <cell r="A435" t="str">
            <v>APR 2014</v>
          </cell>
          <cell r="B435" t="str">
            <v>KUCIE550</v>
          </cell>
          <cell r="E435">
            <v>136741819</v>
          </cell>
          <cell r="F435">
            <v>24000</v>
          </cell>
          <cell r="L435">
            <v>0</v>
          </cell>
          <cell r="M435">
            <v>289892.65000000002</v>
          </cell>
          <cell r="R435">
            <v>7755710.4100000001</v>
          </cell>
          <cell r="S435">
            <v>4969197.71</v>
          </cell>
          <cell r="T435">
            <v>2400056.77</v>
          </cell>
          <cell r="U435">
            <v>72563.28</v>
          </cell>
        </row>
        <row r="436">
          <cell r="A436" t="str">
            <v>APR 2014</v>
          </cell>
          <cell r="B436" t="str">
            <v>KUCIE561</v>
          </cell>
          <cell r="E436">
            <v>3934684</v>
          </cell>
          <cell r="F436">
            <v>28220</v>
          </cell>
          <cell r="L436">
            <v>4477.97</v>
          </cell>
          <cell r="M436">
            <v>8385.57</v>
          </cell>
          <cell r="R436">
            <v>361738.85</v>
          </cell>
          <cell r="S436">
            <v>140153.54</v>
          </cell>
          <cell r="T436">
            <v>175575.4</v>
          </cell>
          <cell r="U436">
            <v>4926.37</v>
          </cell>
        </row>
        <row r="437">
          <cell r="A437" t="str">
            <v>APR 2014</v>
          </cell>
          <cell r="B437" t="str">
            <v>KUCIE562</v>
          </cell>
          <cell r="E437">
            <v>124118359</v>
          </cell>
          <cell r="F437">
            <v>432131.22</v>
          </cell>
          <cell r="L437">
            <v>156744.1</v>
          </cell>
          <cell r="M437">
            <v>270962.06</v>
          </cell>
          <cell r="Q437">
            <v>0</v>
          </cell>
          <cell r="R437">
            <v>11052981.220000001</v>
          </cell>
          <cell r="S437">
            <v>4423636.58</v>
          </cell>
          <cell r="T437">
            <v>5618780.75</v>
          </cell>
          <cell r="U437">
            <v>150726.51</v>
          </cell>
        </row>
        <row r="438">
          <cell r="A438" t="str">
            <v>APR 2014</v>
          </cell>
          <cell r="B438" t="str">
            <v>KUCIE563</v>
          </cell>
          <cell r="E438">
            <v>241833815</v>
          </cell>
          <cell r="F438">
            <v>16800.03</v>
          </cell>
          <cell r="L438">
            <v>30544.89</v>
          </cell>
          <cell r="M438">
            <v>580387.93000000005</v>
          </cell>
          <cell r="R438">
            <v>14150580.1</v>
          </cell>
          <cell r="S438">
            <v>9105043.129999999</v>
          </cell>
          <cell r="T438">
            <v>4270063.43</v>
          </cell>
          <cell r="U438">
            <v>147740.69</v>
          </cell>
        </row>
        <row r="439">
          <cell r="A439" t="str">
            <v>APR 2014</v>
          </cell>
          <cell r="B439" t="str">
            <v>KUCIE566</v>
          </cell>
          <cell r="E439">
            <v>21503273</v>
          </cell>
          <cell r="F439">
            <v>13277</v>
          </cell>
          <cell r="L439">
            <v>16713.34</v>
          </cell>
          <cell r="M439">
            <v>46937.31</v>
          </cell>
          <cell r="R439">
            <v>1557525.72</v>
          </cell>
          <cell r="S439">
            <v>765946.58</v>
          </cell>
          <cell r="T439">
            <v>695983.71</v>
          </cell>
          <cell r="U439">
            <v>18667.78</v>
          </cell>
        </row>
        <row r="440">
          <cell r="A440" t="str">
            <v>APR 2014</v>
          </cell>
          <cell r="B440" t="str">
            <v>KUCIE568</v>
          </cell>
          <cell r="E440">
            <v>55207646</v>
          </cell>
          <cell r="F440">
            <v>35666.769999999997</v>
          </cell>
          <cell r="L440">
            <v>43645.23</v>
          </cell>
          <cell r="M440">
            <v>119223.8</v>
          </cell>
          <cell r="R440">
            <v>4270390.1100000003</v>
          </cell>
          <cell r="S440">
            <v>1967600.52</v>
          </cell>
          <cell r="T440">
            <v>2050475.6</v>
          </cell>
          <cell r="U440">
            <v>53778.19</v>
          </cell>
        </row>
        <row r="441">
          <cell r="A441" t="str">
            <v>APR 2014</v>
          </cell>
          <cell r="B441" t="str">
            <v>KUCIE571</v>
          </cell>
          <cell r="E441">
            <v>93811383</v>
          </cell>
          <cell r="F441">
            <v>46900</v>
          </cell>
          <cell r="L441">
            <v>28638.71</v>
          </cell>
          <cell r="M441">
            <v>204333.35</v>
          </cell>
          <cell r="R441">
            <v>5980399.4400000004</v>
          </cell>
          <cell r="S441">
            <v>3531998.6</v>
          </cell>
          <cell r="T441">
            <v>2104120.85</v>
          </cell>
          <cell r="U441">
            <v>64407.93</v>
          </cell>
        </row>
        <row r="442">
          <cell r="A442" t="str">
            <v>APR 2014</v>
          </cell>
          <cell r="B442" t="str">
            <v>KUCIE572</v>
          </cell>
          <cell r="E442">
            <v>94643548</v>
          </cell>
          <cell r="F442">
            <v>85423.75</v>
          </cell>
          <cell r="L442">
            <v>68002.94</v>
          </cell>
          <cell r="M442">
            <v>209608.62</v>
          </cell>
          <cell r="R442">
            <v>6609133.8399999999</v>
          </cell>
          <cell r="S442">
            <v>3570901.14</v>
          </cell>
          <cell r="T442">
            <v>2597540.4900000002</v>
          </cell>
          <cell r="U442">
            <v>77656.899999999994</v>
          </cell>
        </row>
        <row r="443">
          <cell r="A443" t="str">
            <v>APR 2014</v>
          </cell>
          <cell r="B443" t="str">
            <v>KUCIE717</v>
          </cell>
          <cell r="E443">
            <v>23280</v>
          </cell>
          <cell r="F443">
            <v>90</v>
          </cell>
          <cell r="L443">
            <v>31.89</v>
          </cell>
          <cell r="M443">
            <v>49.35</v>
          </cell>
          <cell r="R443">
            <v>2635.02</v>
          </cell>
          <cell r="S443">
            <v>829.7</v>
          </cell>
          <cell r="T443">
            <v>1594.56</v>
          </cell>
          <cell r="U443">
            <v>39.520000000000003</v>
          </cell>
        </row>
        <row r="444">
          <cell r="A444" t="str">
            <v>APR 2014</v>
          </cell>
          <cell r="B444" t="str">
            <v>KUCME000</v>
          </cell>
          <cell r="S444">
            <v>0</v>
          </cell>
          <cell r="T444">
            <v>0</v>
          </cell>
          <cell r="U444">
            <v>0</v>
          </cell>
        </row>
        <row r="445">
          <cell r="A445" t="str">
            <v>APR 2014</v>
          </cell>
          <cell r="B445" t="str">
            <v>KUCME110</v>
          </cell>
          <cell r="E445">
            <v>59618393</v>
          </cell>
          <cell r="F445">
            <v>1300004.77</v>
          </cell>
          <cell r="L445">
            <v>172989.52</v>
          </cell>
          <cell r="M445">
            <v>130392.83</v>
          </cell>
          <cell r="Q445">
            <v>0</v>
          </cell>
          <cell r="R445">
            <v>7214866.2300000004</v>
          </cell>
          <cell r="S445">
            <v>5499831.0800000001</v>
          </cell>
          <cell r="T445">
            <v>0</v>
          </cell>
          <cell r="U445">
            <v>111648.03</v>
          </cell>
        </row>
        <row r="446">
          <cell r="A446" t="str">
            <v>APR 2014</v>
          </cell>
          <cell r="B446" t="str">
            <v>KUCME112</v>
          </cell>
          <cell r="E446">
            <v>10785</v>
          </cell>
          <cell r="F446">
            <v>1220</v>
          </cell>
          <cell r="L446">
            <v>31.33</v>
          </cell>
          <cell r="M446">
            <v>24.55</v>
          </cell>
          <cell r="R446">
            <v>2313.2199999999998</v>
          </cell>
          <cell r="S446">
            <v>994.94</v>
          </cell>
          <cell r="T446">
            <v>0</v>
          </cell>
          <cell r="U446">
            <v>42.4</v>
          </cell>
        </row>
        <row r="447">
          <cell r="A447" t="str">
            <v>APR 2014</v>
          </cell>
          <cell r="B447" t="str">
            <v>KUCME113</v>
          </cell>
          <cell r="E447">
            <v>76504036</v>
          </cell>
          <cell r="F447">
            <v>605590</v>
          </cell>
          <cell r="L447">
            <v>208112.8</v>
          </cell>
          <cell r="M447">
            <v>166066.01999999999</v>
          </cell>
          <cell r="Q447">
            <v>0</v>
          </cell>
          <cell r="R447">
            <v>8158367.6900000004</v>
          </cell>
          <cell r="S447">
            <v>7057249.6800000006</v>
          </cell>
          <cell r="T447">
            <v>0</v>
          </cell>
          <cell r="U447">
            <v>121349.19</v>
          </cell>
        </row>
        <row r="448">
          <cell r="A448" t="str">
            <v>APR 2014</v>
          </cell>
          <cell r="B448" t="str">
            <v>KUCME220</v>
          </cell>
          <cell r="E448">
            <v>669685</v>
          </cell>
          <cell r="F448">
            <v>6700.02</v>
          </cell>
          <cell r="L448">
            <v>752.05</v>
          </cell>
          <cell r="M448">
            <v>1624.36</v>
          </cell>
          <cell r="R448">
            <v>59685.22</v>
          </cell>
          <cell r="S448">
            <v>49824.57</v>
          </cell>
          <cell r="T448">
            <v>0</v>
          </cell>
          <cell r="U448">
            <v>784.22</v>
          </cell>
        </row>
        <row r="449">
          <cell r="A449" t="str">
            <v>APR 2014</v>
          </cell>
          <cell r="B449" t="str">
            <v>KUCME221</v>
          </cell>
          <cell r="E449">
            <v>-1002900</v>
          </cell>
          <cell r="F449">
            <v>140</v>
          </cell>
          <cell r="L449">
            <v>-882.25</v>
          </cell>
          <cell r="M449">
            <v>1468.27</v>
          </cell>
          <cell r="R449">
            <v>-78079.070000000007</v>
          </cell>
          <cell r="S449">
            <v>-74615.23</v>
          </cell>
          <cell r="T449">
            <v>0</v>
          </cell>
          <cell r="U449">
            <v>-4189.8599999999997</v>
          </cell>
        </row>
        <row r="450">
          <cell r="A450" t="str">
            <v>APR 2014</v>
          </cell>
          <cell r="B450" t="str">
            <v>KUCME223</v>
          </cell>
          <cell r="E450">
            <v>489126</v>
          </cell>
          <cell r="F450">
            <v>2380</v>
          </cell>
          <cell r="L450">
            <v>589.07000000000005</v>
          </cell>
          <cell r="M450">
            <v>1072.82</v>
          </cell>
          <cell r="R450">
            <v>40937.800000000003</v>
          </cell>
          <cell r="S450">
            <v>36391</v>
          </cell>
          <cell r="T450">
            <v>0</v>
          </cell>
          <cell r="U450">
            <v>504.91</v>
          </cell>
        </row>
        <row r="451">
          <cell r="A451" t="str">
            <v>APR 2014</v>
          </cell>
          <cell r="B451" t="str">
            <v>KUCME224</v>
          </cell>
          <cell r="E451">
            <v>246340</v>
          </cell>
          <cell r="F451">
            <v>140</v>
          </cell>
          <cell r="L451">
            <v>266.36</v>
          </cell>
          <cell r="M451">
            <v>626.92999999999995</v>
          </cell>
          <cell r="R451">
            <v>19628.52</v>
          </cell>
          <cell r="S451">
            <v>18327.690000000002</v>
          </cell>
          <cell r="T451">
            <v>0</v>
          </cell>
          <cell r="U451">
            <v>267.54000000000002</v>
          </cell>
        </row>
        <row r="452">
          <cell r="A452" t="str">
            <v>APR 2014</v>
          </cell>
          <cell r="B452" t="str">
            <v>KUCME225</v>
          </cell>
          <cell r="E452">
            <v>2369020</v>
          </cell>
          <cell r="F452">
            <v>3360</v>
          </cell>
          <cell r="L452">
            <v>2722.64</v>
          </cell>
          <cell r="M452">
            <v>5568.87</v>
          </cell>
          <cell r="R452">
            <v>190364.38</v>
          </cell>
          <cell r="S452">
            <v>176255.09</v>
          </cell>
          <cell r="T452">
            <v>0</v>
          </cell>
          <cell r="U452">
            <v>2457.7800000000002</v>
          </cell>
        </row>
        <row r="453">
          <cell r="A453" t="str">
            <v>APR 2014</v>
          </cell>
          <cell r="B453" t="str">
            <v>KUCME226</v>
          </cell>
          <cell r="E453">
            <v>54793</v>
          </cell>
          <cell r="F453">
            <v>380</v>
          </cell>
          <cell r="L453">
            <v>60.37</v>
          </cell>
          <cell r="M453">
            <v>136.19</v>
          </cell>
          <cell r="R453">
            <v>4716.33</v>
          </cell>
          <cell r="S453">
            <v>4076.58</v>
          </cell>
          <cell r="T453">
            <v>0</v>
          </cell>
          <cell r="U453">
            <v>63.19</v>
          </cell>
        </row>
        <row r="454">
          <cell r="A454" t="str">
            <v>APR 2014</v>
          </cell>
          <cell r="B454" t="str">
            <v>KUCME227</v>
          </cell>
          <cell r="E454">
            <v>8681308</v>
          </cell>
          <cell r="F454">
            <v>3479.48</v>
          </cell>
          <cell r="L454">
            <v>9825.2099999999991</v>
          </cell>
          <cell r="M454">
            <v>20840.939999999999</v>
          </cell>
          <cell r="R454">
            <v>689060.41</v>
          </cell>
          <cell r="S454">
            <v>645889.30000000005</v>
          </cell>
          <cell r="T454">
            <v>0</v>
          </cell>
          <cell r="U454">
            <v>9025.48</v>
          </cell>
        </row>
        <row r="455">
          <cell r="A455" t="str">
            <v>APR 2014</v>
          </cell>
          <cell r="B455" t="str">
            <v>KUCME290</v>
          </cell>
          <cell r="E455">
            <v>12161</v>
          </cell>
          <cell r="M455">
            <v>25.78</v>
          </cell>
          <cell r="R455">
            <v>811.43</v>
          </cell>
          <cell r="S455">
            <v>775.86999999999989</v>
          </cell>
          <cell r="T455">
            <v>0</v>
          </cell>
          <cell r="U455">
            <v>9.7799999999999994</v>
          </cell>
        </row>
        <row r="456">
          <cell r="A456" t="str">
            <v>APR 2014</v>
          </cell>
          <cell r="B456" t="str">
            <v>KUCME291</v>
          </cell>
          <cell r="E456">
            <v>3344</v>
          </cell>
          <cell r="M456">
            <v>10.43</v>
          </cell>
          <cell r="R456">
            <v>227.35</v>
          </cell>
          <cell r="S456">
            <v>213.34</v>
          </cell>
          <cell r="T456">
            <v>0</v>
          </cell>
          <cell r="U456">
            <v>3.58</v>
          </cell>
        </row>
        <row r="457">
          <cell r="A457" t="str">
            <v>APR 2014</v>
          </cell>
          <cell r="B457" t="str">
            <v>KUCME295</v>
          </cell>
          <cell r="E457">
            <v>90374</v>
          </cell>
          <cell r="F457">
            <v>1537.25</v>
          </cell>
          <cell r="M457">
            <v>245.36</v>
          </cell>
          <cell r="R457">
            <v>9122.74</v>
          </cell>
          <cell r="S457">
            <v>7209.99</v>
          </cell>
          <cell r="T457">
            <v>0</v>
          </cell>
          <cell r="U457">
            <v>130.13999999999999</v>
          </cell>
        </row>
        <row r="458">
          <cell r="A458" t="str">
            <v>APR 2014</v>
          </cell>
          <cell r="B458" t="str">
            <v>KUCME297</v>
          </cell>
          <cell r="E458">
            <v>14416</v>
          </cell>
          <cell r="F458">
            <v>884</v>
          </cell>
          <cell r="M458">
            <v>29.92</v>
          </cell>
          <cell r="R458">
            <v>2088.96</v>
          </cell>
          <cell r="S458">
            <v>1150.56</v>
          </cell>
          <cell r="T458">
            <v>0</v>
          </cell>
          <cell r="U458">
            <v>24.48</v>
          </cell>
        </row>
        <row r="459">
          <cell r="A459" t="str">
            <v>APR 2014</v>
          </cell>
          <cell r="B459" t="str">
            <v>KUCME705</v>
          </cell>
          <cell r="R459">
            <v>0</v>
          </cell>
          <cell r="S459">
            <v>0</v>
          </cell>
          <cell r="T459">
            <v>0</v>
          </cell>
          <cell r="U459">
            <v>0</v>
          </cell>
        </row>
        <row r="460">
          <cell r="A460" t="str">
            <v>APR 2014</v>
          </cell>
          <cell r="B460" t="str">
            <v>KUCME707</v>
          </cell>
          <cell r="R460">
            <v>0</v>
          </cell>
          <cell r="S460">
            <v>0</v>
          </cell>
          <cell r="T460">
            <v>0</v>
          </cell>
          <cell r="U460">
            <v>0</v>
          </cell>
        </row>
        <row r="461">
          <cell r="A461" t="str">
            <v>APR 2014</v>
          </cell>
          <cell r="B461" t="str">
            <v>KUCME710</v>
          </cell>
          <cell r="E461">
            <v>6767</v>
          </cell>
          <cell r="F461">
            <v>172.67</v>
          </cell>
          <cell r="L461">
            <v>20.309999999999999</v>
          </cell>
          <cell r="M461">
            <v>14.34</v>
          </cell>
          <cell r="R461">
            <v>844.7</v>
          </cell>
          <cell r="S461">
            <v>624.26</v>
          </cell>
          <cell r="T461">
            <v>0</v>
          </cell>
          <cell r="U461">
            <v>13.12</v>
          </cell>
        </row>
        <row r="462">
          <cell r="A462" t="str">
            <v>APR 2014</v>
          </cell>
          <cell r="B462" t="str">
            <v>KUCME713</v>
          </cell>
          <cell r="E462">
            <v>10840</v>
          </cell>
          <cell r="F462">
            <v>70</v>
          </cell>
          <cell r="L462">
            <v>4.5599999999999996</v>
          </cell>
          <cell r="M462">
            <v>22.98</v>
          </cell>
          <cell r="R462">
            <v>1113.5899999999999</v>
          </cell>
          <cell r="S462">
            <v>999.99</v>
          </cell>
          <cell r="T462">
            <v>0</v>
          </cell>
          <cell r="U462">
            <v>16.059999999999999</v>
          </cell>
        </row>
        <row r="463">
          <cell r="A463" t="str">
            <v>APR 2014</v>
          </cell>
          <cell r="B463" t="str">
            <v>KUCME841</v>
          </cell>
          <cell r="S463">
            <v>0</v>
          </cell>
          <cell r="T463">
            <v>0</v>
          </cell>
          <cell r="U463">
            <v>0</v>
          </cell>
        </row>
        <row r="464">
          <cell r="A464" t="str">
            <v>APR 2014</v>
          </cell>
          <cell r="B464" t="str">
            <v>KUCSR760</v>
          </cell>
          <cell r="P464">
            <v>-939315.26</v>
          </cell>
          <cell r="R464">
            <v>-939315.26</v>
          </cell>
          <cell r="S464">
            <v>0</v>
          </cell>
          <cell r="T464">
            <v>0</v>
          </cell>
          <cell r="U464">
            <v>0</v>
          </cell>
        </row>
        <row r="465">
          <cell r="A465" t="str">
            <v>APR 2014</v>
          </cell>
          <cell r="B465" t="str">
            <v>KUCSR761</v>
          </cell>
          <cell r="P465">
            <v>-29651.77</v>
          </cell>
          <cell r="R465">
            <v>-29651.77</v>
          </cell>
          <cell r="S465">
            <v>0</v>
          </cell>
          <cell r="T465">
            <v>0</v>
          </cell>
          <cell r="U465">
            <v>0</v>
          </cell>
        </row>
        <row r="466">
          <cell r="A466" t="str">
            <v>APR 2014</v>
          </cell>
          <cell r="B466" t="str">
            <v>KUCSR781</v>
          </cell>
          <cell r="P466">
            <v>-20814.2</v>
          </cell>
          <cell r="R466">
            <v>-20814.2</v>
          </cell>
          <cell r="S466">
            <v>0</v>
          </cell>
          <cell r="T466">
            <v>0</v>
          </cell>
          <cell r="U466">
            <v>0</v>
          </cell>
        </row>
        <row r="467">
          <cell r="A467" t="str">
            <v>APR 2014</v>
          </cell>
          <cell r="B467" t="str">
            <v>KUCSR783</v>
          </cell>
          <cell r="P467">
            <v>-8800</v>
          </cell>
          <cell r="R467">
            <v>-8800</v>
          </cell>
          <cell r="S467">
            <v>0</v>
          </cell>
          <cell r="T467">
            <v>0</v>
          </cell>
          <cell r="U467">
            <v>0</v>
          </cell>
        </row>
        <row r="468">
          <cell r="A468" t="str">
            <v>APR 2014</v>
          </cell>
          <cell r="B468" t="str">
            <v>KUCUE851</v>
          </cell>
          <cell r="S468">
            <v>0</v>
          </cell>
          <cell r="T468">
            <v>0</v>
          </cell>
          <cell r="U468">
            <v>0</v>
          </cell>
        </row>
        <row r="469">
          <cell r="A469" t="str">
            <v>APR 2014</v>
          </cell>
          <cell r="B469" t="str">
            <v>KUCUE852</v>
          </cell>
          <cell r="S469">
            <v>0</v>
          </cell>
          <cell r="T469">
            <v>0</v>
          </cell>
          <cell r="U469">
            <v>0</v>
          </cell>
        </row>
        <row r="470">
          <cell r="A470" t="str">
            <v>APR 2014</v>
          </cell>
          <cell r="B470" t="str">
            <v>KUINE730</v>
          </cell>
          <cell r="E470">
            <v>49896000</v>
          </cell>
          <cell r="F470">
            <v>750</v>
          </cell>
          <cell r="M470">
            <v>105779.52</v>
          </cell>
          <cell r="R470">
            <v>2535646.71</v>
          </cell>
          <cell r="S470">
            <v>1627108.56</v>
          </cell>
          <cell r="T470">
            <v>781615.86</v>
          </cell>
          <cell r="U470">
            <v>20392.77</v>
          </cell>
        </row>
        <row r="471">
          <cell r="A471" t="str">
            <v>APR 2014</v>
          </cell>
          <cell r="B471" t="str">
            <v>KUMNE902</v>
          </cell>
          <cell r="E471">
            <v>46354000</v>
          </cell>
          <cell r="M471">
            <v>295738.53000000003</v>
          </cell>
          <cell r="R471">
            <v>2945073.47</v>
          </cell>
          <cell r="S471">
            <v>1396659.93</v>
          </cell>
          <cell r="T471">
            <v>1137713.99</v>
          </cell>
          <cell r="U471">
            <v>0</v>
          </cell>
        </row>
        <row r="472">
          <cell r="A472" t="str">
            <v>APR 2014</v>
          </cell>
          <cell r="B472" t="str">
            <v>KUMNE903</v>
          </cell>
          <cell r="E472">
            <v>104332522</v>
          </cell>
          <cell r="M472">
            <v>659381.54</v>
          </cell>
          <cell r="R472">
            <v>6983342.8600000003</v>
          </cell>
          <cell r="S472">
            <v>3137685.84</v>
          </cell>
          <cell r="T472">
            <v>2875782.98</v>
          </cell>
          <cell r="U472">
            <v>0</v>
          </cell>
        </row>
        <row r="473">
          <cell r="A473" t="str">
            <v>APR 2014</v>
          </cell>
          <cell r="B473" t="str">
            <v>KUMNE934</v>
          </cell>
          <cell r="E473">
            <v>5600272</v>
          </cell>
          <cell r="M473">
            <v>35393.72</v>
          </cell>
          <cell r="R473">
            <v>322666.58</v>
          </cell>
          <cell r="S473">
            <v>168422.02</v>
          </cell>
          <cell r="T473">
            <v>99612.99</v>
          </cell>
          <cell r="U473">
            <v>0</v>
          </cell>
        </row>
        <row r="474">
          <cell r="A474" t="str">
            <v>APR 2014</v>
          </cell>
          <cell r="B474" t="str">
            <v>KURSE000</v>
          </cell>
          <cell r="S474">
            <v>0</v>
          </cell>
          <cell r="T474">
            <v>0</v>
          </cell>
          <cell r="U474">
            <v>0</v>
          </cell>
        </row>
        <row r="475">
          <cell r="A475" t="str">
            <v>APR 2014</v>
          </cell>
          <cell r="B475" t="str">
            <v>KURSE010</v>
          </cell>
          <cell r="E475">
            <v>189776294</v>
          </cell>
          <cell r="F475">
            <v>2451908.06</v>
          </cell>
          <cell r="L475">
            <v>747593.82</v>
          </cell>
          <cell r="M475">
            <v>402398.45</v>
          </cell>
          <cell r="Q475">
            <v>0</v>
          </cell>
          <cell r="R475">
            <v>18521187.219999999</v>
          </cell>
          <cell r="S475">
            <v>14695926.319999998</v>
          </cell>
          <cell r="T475">
            <v>0</v>
          </cell>
          <cell r="U475">
            <v>223360.57</v>
          </cell>
        </row>
        <row r="476">
          <cell r="A476" t="str">
            <v>APR 2014</v>
          </cell>
          <cell r="B476" t="str">
            <v>KURSE020</v>
          </cell>
          <cell r="E476">
            <v>235356677</v>
          </cell>
          <cell r="F476">
            <v>2083162.31</v>
          </cell>
          <cell r="L476">
            <v>927059.09</v>
          </cell>
          <cell r="M476">
            <v>499560.3</v>
          </cell>
          <cell r="R476">
            <v>22001056.550000001</v>
          </cell>
          <cell r="S476">
            <v>18225953.919999998</v>
          </cell>
          <cell r="T476">
            <v>0</v>
          </cell>
          <cell r="U476">
            <v>265320.93</v>
          </cell>
        </row>
        <row r="477">
          <cell r="A477" t="str">
            <v>APR 2014</v>
          </cell>
          <cell r="B477" t="str">
            <v>KURSE025</v>
          </cell>
          <cell r="E477">
            <v>458458</v>
          </cell>
          <cell r="F477">
            <v>2699.33</v>
          </cell>
          <cell r="L477">
            <v>1784.81</v>
          </cell>
          <cell r="M477">
            <v>1019.68</v>
          </cell>
          <cell r="R477">
            <v>41522.54</v>
          </cell>
          <cell r="S477">
            <v>35503.030000000006</v>
          </cell>
          <cell r="T477">
            <v>0</v>
          </cell>
          <cell r="U477">
            <v>515.69000000000005</v>
          </cell>
        </row>
        <row r="478">
          <cell r="A478" t="str">
            <v>APR 2014</v>
          </cell>
          <cell r="B478" t="str">
            <v>KURSE040</v>
          </cell>
          <cell r="E478">
            <v>5321</v>
          </cell>
          <cell r="F478">
            <v>53.75</v>
          </cell>
          <cell r="L478">
            <v>20.96</v>
          </cell>
          <cell r="M478">
            <v>11.28</v>
          </cell>
          <cell r="R478">
            <v>482.15</v>
          </cell>
          <cell r="S478">
            <v>390.35</v>
          </cell>
          <cell r="T478">
            <v>0</v>
          </cell>
          <cell r="U478">
            <v>5.81</v>
          </cell>
        </row>
        <row r="479">
          <cell r="A479" t="str">
            <v>APR 2014</v>
          </cell>
          <cell r="B479" t="str">
            <v>KURSE080</v>
          </cell>
          <cell r="E479">
            <v>79474</v>
          </cell>
          <cell r="F479">
            <v>526.75</v>
          </cell>
          <cell r="L479">
            <v>310.82</v>
          </cell>
          <cell r="M479">
            <v>173.7</v>
          </cell>
          <cell r="R479">
            <v>7254.86</v>
          </cell>
          <cell r="S479">
            <v>6154.4699999999993</v>
          </cell>
          <cell r="T479">
            <v>0</v>
          </cell>
          <cell r="U479">
            <v>89.12</v>
          </cell>
        </row>
        <row r="480">
          <cell r="A480" t="str">
            <v>APR 2014</v>
          </cell>
          <cell r="B480" t="str">
            <v>KURSE715</v>
          </cell>
          <cell r="E480">
            <v>52164</v>
          </cell>
          <cell r="F480">
            <v>559</v>
          </cell>
          <cell r="L480">
            <v>205.53</v>
          </cell>
          <cell r="M480">
            <v>110.58</v>
          </cell>
          <cell r="R480">
            <v>4974.6099999999997</v>
          </cell>
          <cell r="S480">
            <v>4039.57</v>
          </cell>
          <cell r="T480">
            <v>0</v>
          </cell>
          <cell r="U480">
            <v>59.93</v>
          </cell>
        </row>
        <row r="481">
          <cell r="A481" t="str">
            <v>APR 2014</v>
          </cell>
          <cell r="B481" t="str">
            <v>KUUM_000</v>
          </cell>
          <cell r="S481">
            <v>0</v>
          </cell>
          <cell r="T481">
            <v>0</v>
          </cell>
          <cell r="U481">
            <v>0</v>
          </cell>
        </row>
        <row r="482">
          <cell r="A482" t="str">
            <v>APR 2014</v>
          </cell>
          <cell r="B482" t="str">
            <v>KUUM_360</v>
          </cell>
          <cell r="E482">
            <v>11766</v>
          </cell>
          <cell r="M482">
            <v>36.49</v>
          </cell>
          <cell r="Q482">
            <v>0</v>
          </cell>
          <cell r="R482">
            <v>10042.549999999999</v>
          </cell>
          <cell r="S482">
            <v>9848.74</v>
          </cell>
          <cell r="T482">
            <v>0</v>
          </cell>
          <cell r="U482">
            <v>157.32</v>
          </cell>
        </row>
        <row r="483">
          <cell r="A483" t="str">
            <v>APR 2014</v>
          </cell>
          <cell r="B483" t="str">
            <v>KUUM_361</v>
          </cell>
          <cell r="E483">
            <v>1593</v>
          </cell>
          <cell r="M483">
            <v>4.97</v>
          </cell>
          <cell r="Q483">
            <v>0</v>
          </cell>
          <cell r="R483">
            <v>2117.33</v>
          </cell>
          <cell r="S483">
            <v>2079</v>
          </cell>
          <cell r="T483">
            <v>0</v>
          </cell>
          <cell r="U483">
            <v>33.36</v>
          </cell>
        </row>
        <row r="484">
          <cell r="A484" t="str">
            <v>APR 2014</v>
          </cell>
          <cell r="B484" t="str">
            <v>KUUM_362</v>
          </cell>
          <cell r="E484">
            <v>2273</v>
          </cell>
          <cell r="M484">
            <v>7.09</v>
          </cell>
          <cell r="Q484">
            <v>0</v>
          </cell>
          <cell r="R484">
            <v>2618.87</v>
          </cell>
          <cell r="S484">
            <v>2570.54</v>
          </cell>
          <cell r="T484">
            <v>0</v>
          </cell>
          <cell r="U484">
            <v>41.24</v>
          </cell>
        </row>
        <row r="485">
          <cell r="A485" t="str">
            <v>APR 2014</v>
          </cell>
          <cell r="B485" t="str">
            <v>KUUM_363</v>
          </cell>
          <cell r="E485">
            <v>296</v>
          </cell>
          <cell r="M485">
            <v>0.92</v>
          </cell>
          <cell r="Q485">
            <v>0</v>
          </cell>
          <cell r="R485">
            <v>314.62</v>
          </cell>
          <cell r="S485">
            <v>308.75</v>
          </cell>
          <cell r="T485">
            <v>0</v>
          </cell>
          <cell r="U485">
            <v>4.95</v>
          </cell>
        </row>
        <row r="486">
          <cell r="A486" t="str">
            <v>APR 2014</v>
          </cell>
          <cell r="B486" t="str">
            <v>KUUM_364</v>
          </cell>
          <cell r="E486">
            <v>59</v>
          </cell>
          <cell r="M486">
            <v>0.18</v>
          </cell>
          <cell r="Q486">
            <v>0</v>
          </cell>
          <cell r="R486">
            <v>64.3</v>
          </cell>
          <cell r="S486">
            <v>63.11</v>
          </cell>
          <cell r="T486">
            <v>0</v>
          </cell>
          <cell r="U486">
            <v>1.01</v>
          </cell>
        </row>
        <row r="487">
          <cell r="A487" t="str">
            <v>APR 2014</v>
          </cell>
          <cell r="B487" t="str">
            <v>KUUM_365</v>
          </cell>
          <cell r="E487">
            <v>305</v>
          </cell>
          <cell r="M487">
            <v>0.95</v>
          </cell>
          <cell r="Q487">
            <v>0</v>
          </cell>
          <cell r="R487">
            <v>412.14</v>
          </cell>
          <cell r="S487">
            <v>404.7</v>
          </cell>
          <cell r="T487">
            <v>0</v>
          </cell>
          <cell r="U487">
            <v>6.49</v>
          </cell>
        </row>
        <row r="488">
          <cell r="A488" t="str">
            <v>APR 2014</v>
          </cell>
          <cell r="B488" t="str">
            <v>KUUM_366</v>
          </cell>
          <cell r="E488">
            <v>541</v>
          </cell>
          <cell r="M488">
            <v>1.69</v>
          </cell>
          <cell r="Q488">
            <v>0</v>
          </cell>
          <cell r="R488">
            <v>723.82</v>
          </cell>
          <cell r="S488">
            <v>710.73</v>
          </cell>
          <cell r="T488">
            <v>0</v>
          </cell>
          <cell r="U488">
            <v>11.4</v>
          </cell>
        </row>
        <row r="489">
          <cell r="A489" t="str">
            <v>APR 2014</v>
          </cell>
          <cell r="B489" t="str">
            <v>KUUM_367</v>
          </cell>
          <cell r="E489">
            <v>1664</v>
          </cell>
          <cell r="M489">
            <v>5.18</v>
          </cell>
          <cell r="Q489">
            <v>0</v>
          </cell>
          <cell r="R489">
            <v>1560.5</v>
          </cell>
          <cell r="S489">
            <v>1530.75</v>
          </cell>
          <cell r="T489">
            <v>0</v>
          </cell>
          <cell r="U489">
            <v>24.57</v>
          </cell>
        </row>
        <row r="490">
          <cell r="A490" t="str">
            <v>APR 2014</v>
          </cell>
          <cell r="B490" t="str">
            <v>KUUM_368</v>
          </cell>
          <cell r="E490">
            <v>59</v>
          </cell>
          <cell r="M490">
            <v>0.18</v>
          </cell>
          <cell r="Q490">
            <v>0</v>
          </cell>
          <cell r="R490">
            <v>57.78</v>
          </cell>
          <cell r="S490">
            <v>56.69</v>
          </cell>
          <cell r="T490">
            <v>0</v>
          </cell>
          <cell r="U490">
            <v>0.91</v>
          </cell>
        </row>
        <row r="491">
          <cell r="A491" t="str">
            <v>APR 2014</v>
          </cell>
          <cell r="B491" t="str">
            <v>KUUM_370</v>
          </cell>
          <cell r="E491">
            <v>906</v>
          </cell>
          <cell r="M491">
            <v>2.72</v>
          </cell>
          <cell r="Q491">
            <v>0</v>
          </cell>
          <cell r="R491">
            <v>1137.8800000000001</v>
          </cell>
          <cell r="S491">
            <v>1117.8</v>
          </cell>
          <cell r="T491">
            <v>0</v>
          </cell>
          <cell r="U491">
            <v>17.36</v>
          </cell>
        </row>
        <row r="492">
          <cell r="A492" t="str">
            <v>APR 2014</v>
          </cell>
          <cell r="B492" t="str">
            <v>KUUM_372</v>
          </cell>
          <cell r="E492">
            <v>59</v>
          </cell>
          <cell r="M492">
            <v>0.18</v>
          </cell>
          <cell r="Q492">
            <v>0</v>
          </cell>
          <cell r="R492">
            <v>83.8</v>
          </cell>
          <cell r="S492">
            <v>82.3</v>
          </cell>
          <cell r="T492">
            <v>0</v>
          </cell>
          <cell r="U492">
            <v>1.32</v>
          </cell>
        </row>
        <row r="493">
          <cell r="A493" t="str">
            <v>APR 2014</v>
          </cell>
          <cell r="B493" t="str">
            <v>KUUM_373</v>
          </cell>
          <cell r="E493">
            <v>1356</v>
          </cell>
          <cell r="M493">
            <v>4.2300000000000004</v>
          </cell>
          <cell r="Q493">
            <v>0</v>
          </cell>
          <cell r="R493">
            <v>1518.54</v>
          </cell>
          <cell r="S493">
            <v>1490.4</v>
          </cell>
          <cell r="T493">
            <v>0</v>
          </cell>
          <cell r="U493">
            <v>23.91</v>
          </cell>
        </row>
        <row r="494">
          <cell r="A494" t="str">
            <v>APR 2014</v>
          </cell>
          <cell r="B494" t="str">
            <v>KUUM_374</v>
          </cell>
          <cell r="E494">
            <v>254</v>
          </cell>
          <cell r="M494">
            <v>0.79</v>
          </cell>
          <cell r="Q494">
            <v>0</v>
          </cell>
          <cell r="R494">
            <v>309.17</v>
          </cell>
          <cell r="S494">
            <v>303.52</v>
          </cell>
          <cell r="T494">
            <v>0</v>
          </cell>
          <cell r="U494">
            <v>4.8600000000000003</v>
          </cell>
        </row>
        <row r="495">
          <cell r="A495" t="str">
            <v>APR 2014</v>
          </cell>
          <cell r="B495" t="str">
            <v>KUUM_375</v>
          </cell>
          <cell r="E495">
            <v>204</v>
          </cell>
          <cell r="M495">
            <v>0.63</v>
          </cell>
          <cell r="Q495">
            <v>0</v>
          </cell>
          <cell r="R495">
            <v>241.34</v>
          </cell>
          <cell r="S495">
            <v>236.91</v>
          </cell>
          <cell r="T495">
            <v>0</v>
          </cell>
          <cell r="U495">
            <v>3.8</v>
          </cell>
        </row>
        <row r="496">
          <cell r="A496" t="str">
            <v>APR 2014</v>
          </cell>
          <cell r="B496" t="str">
            <v>KUUM_376</v>
          </cell>
          <cell r="E496">
            <v>136</v>
          </cell>
          <cell r="M496">
            <v>0.42</v>
          </cell>
          <cell r="Q496">
            <v>0</v>
          </cell>
          <cell r="R496">
            <v>157.41999999999999</v>
          </cell>
          <cell r="S496">
            <v>154.52000000000001</v>
          </cell>
          <cell r="T496">
            <v>0</v>
          </cell>
          <cell r="U496">
            <v>2.48</v>
          </cell>
        </row>
        <row r="497">
          <cell r="A497" t="str">
            <v>APR 2014</v>
          </cell>
          <cell r="B497" t="str">
            <v>KUUM_377</v>
          </cell>
          <cell r="E497">
            <v>3370</v>
          </cell>
          <cell r="M497">
            <v>10.52</v>
          </cell>
          <cell r="Q497">
            <v>0</v>
          </cell>
          <cell r="R497">
            <v>3336.75</v>
          </cell>
          <cell r="S497">
            <v>3273.69</v>
          </cell>
          <cell r="T497">
            <v>0</v>
          </cell>
          <cell r="U497">
            <v>52.54</v>
          </cell>
        </row>
        <row r="498">
          <cell r="A498" t="str">
            <v>APR 2014</v>
          </cell>
          <cell r="B498" t="str">
            <v>KUUM_378</v>
          </cell>
          <cell r="E498">
            <v>119</v>
          </cell>
          <cell r="M498">
            <v>0.37</v>
          </cell>
          <cell r="R498">
            <v>154.6</v>
          </cell>
          <cell r="S498">
            <v>151.80000000000001</v>
          </cell>
          <cell r="T498">
            <v>0</v>
          </cell>
          <cell r="U498">
            <v>2.4300000000000002</v>
          </cell>
        </row>
        <row r="499">
          <cell r="A499" t="str">
            <v>APR 2014</v>
          </cell>
          <cell r="B499" t="str">
            <v>KUUM_401</v>
          </cell>
          <cell r="E499">
            <v>1359</v>
          </cell>
          <cell r="M499">
            <v>3.23</v>
          </cell>
          <cell r="Q499">
            <v>0</v>
          </cell>
          <cell r="R499">
            <v>786.1</v>
          </cell>
          <cell r="S499">
            <v>772.72</v>
          </cell>
          <cell r="T499">
            <v>0</v>
          </cell>
          <cell r="U499">
            <v>10.15</v>
          </cell>
        </row>
        <row r="500">
          <cell r="A500" t="str">
            <v>APR 2014</v>
          </cell>
          <cell r="B500" t="str">
            <v>KUUM_404</v>
          </cell>
          <cell r="E500">
            <v>472181</v>
          </cell>
          <cell r="M500">
            <v>1019.41</v>
          </cell>
          <cell r="Q500">
            <v>0</v>
          </cell>
          <cell r="R500">
            <v>77568.87</v>
          </cell>
          <cell r="S500">
            <v>75614.23</v>
          </cell>
          <cell r="T500">
            <v>0</v>
          </cell>
          <cell r="U500">
            <v>935.23</v>
          </cell>
        </row>
        <row r="501">
          <cell r="A501" t="str">
            <v>APR 2014</v>
          </cell>
          <cell r="B501" t="str">
            <v>KUUM_409</v>
          </cell>
          <cell r="E501">
            <v>21137</v>
          </cell>
          <cell r="M501">
            <v>48.65</v>
          </cell>
          <cell r="Q501">
            <v>0</v>
          </cell>
          <cell r="R501">
            <v>1721.66</v>
          </cell>
          <cell r="S501">
            <v>1651.11</v>
          </cell>
          <cell r="T501">
            <v>0</v>
          </cell>
          <cell r="U501">
            <v>21.9</v>
          </cell>
        </row>
        <row r="502">
          <cell r="A502" t="str">
            <v>APR 2014</v>
          </cell>
          <cell r="B502" t="str">
            <v>KUUM_410</v>
          </cell>
          <cell r="E502">
            <v>4596</v>
          </cell>
          <cell r="M502">
            <v>9.73</v>
          </cell>
          <cell r="Q502">
            <v>0</v>
          </cell>
          <cell r="R502">
            <v>4931.6000000000004</v>
          </cell>
          <cell r="S502">
            <v>4862.3999999999996</v>
          </cell>
          <cell r="T502">
            <v>0</v>
          </cell>
          <cell r="U502">
            <v>59.47</v>
          </cell>
        </row>
        <row r="503">
          <cell r="A503" t="str">
            <v>APR 2014</v>
          </cell>
          <cell r="B503" t="str">
            <v>KUUM_411</v>
          </cell>
          <cell r="E503">
            <v>3889</v>
          </cell>
          <cell r="M503">
            <v>8.26</v>
          </cell>
          <cell r="Q503">
            <v>0</v>
          </cell>
          <cell r="R503">
            <v>3193.17</v>
          </cell>
          <cell r="S503">
            <v>3146.42</v>
          </cell>
          <cell r="T503">
            <v>0</v>
          </cell>
          <cell r="U503">
            <v>38.49</v>
          </cell>
        </row>
        <row r="504">
          <cell r="A504" t="str">
            <v>APR 2014</v>
          </cell>
          <cell r="B504" t="str">
            <v>KUUM_412</v>
          </cell>
          <cell r="E504">
            <v>752</v>
          </cell>
          <cell r="M504">
            <v>1.59</v>
          </cell>
          <cell r="Q504">
            <v>0</v>
          </cell>
          <cell r="R504">
            <v>875.66</v>
          </cell>
          <cell r="S504">
            <v>863.52</v>
          </cell>
          <cell r="T504">
            <v>0</v>
          </cell>
          <cell r="U504">
            <v>10.55</v>
          </cell>
        </row>
        <row r="505">
          <cell r="A505" t="str">
            <v>APR 2014</v>
          </cell>
          <cell r="B505" t="str">
            <v>KUUM_413</v>
          </cell>
          <cell r="E505">
            <v>3617</v>
          </cell>
          <cell r="M505">
            <v>7.66</v>
          </cell>
          <cell r="Q505">
            <v>0</v>
          </cell>
          <cell r="R505">
            <v>3041.44</v>
          </cell>
          <cell r="S505">
            <v>2997.12</v>
          </cell>
          <cell r="T505">
            <v>0</v>
          </cell>
          <cell r="U505">
            <v>36.659999999999997</v>
          </cell>
        </row>
        <row r="506">
          <cell r="A506" t="str">
            <v>APR 2014</v>
          </cell>
          <cell r="B506" t="str">
            <v>KUUM_414</v>
          </cell>
          <cell r="E506">
            <v>568</v>
          </cell>
          <cell r="M506">
            <v>1.78</v>
          </cell>
          <cell r="Q506">
            <v>0</v>
          </cell>
          <cell r="R506">
            <v>659.81</v>
          </cell>
          <cell r="S506">
            <v>647.64</v>
          </cell>
          <cell r="T506">
            <v>0</v>
          </cell>
          <cell r="U506">
            <v>10.39</v>
          </cell>
        </row>
        <row r="507">
          <cell r="A507" t="str">
            <v>APR 2014</v>
          </cell>
          <cell r="B507" t="str">
            <v>KUUM_415</v>
          </cell>
          <cell r="E507">
            <v>381</v>
          </cell>
          <cell r="M507">
            <v>1.19</v>
          </cell>
          <cell r="Q507">
            <v>0</v>
          </cell>
          <cell r="R507">
            <v>318.39999999999998</v>
          </cell>
          <cell r="S507">
            <v>312.2</v>
          </cell>
          <cell r="T507">
            <v>0</v>
          </cell>
          <cell r="U507">
            <v>5.01</v>
          </cell>
        </row>
        <row r="508">
          <cell r="A508" t="str">
            <v>APR 2014</v>
          </cell>
          <cell r="B508" t="str">
            <v>KUUM_420</v>
          </cell>
          <cell r="E508">
            <v>17721</v>
          </cell>
          <cell r="M508">
            <v>42.31</v>
          </cell>
          <cell r="Q508">
            <v>0</v>
          </cell>
          <cell r="R508">
            <v>7279.5</v>
          </cell>
          <cell r="S508">
            <v>7142.4</v>
          </cell>
          <cell r="T508">
            <v>0</v>
          </cell>
          <cell r="U508">
            <v>94.79</v>
          </cell>
        </row>
        <row r="509">
          <cell r="A509" t="str">
            <v>APR 2014</v>
          </cell>
          <cell r="B509" t="str">
            <v>KUUM_421</v>
          </cell>
          <cell r="E509">
            <v>182</v>
          </cell>
          <cell r="M509">
            <v>0.5</v>
          </cell>
          <cell r="Q509">
            <v>0</v>
          </cell>
          <cell r="R509">
            <v>17.7</v>
          </cell>
          <cell r="S509">
            <v>16.95</v>
          </cell>
          <cell r="T509">
            <v>0</v>
          </cell>
          <cell r="U509">
            <v>0.25</v>
          </cell>
        </row>
        <row r="510">
          <cell r="A510" t="str">
            <v>APR 2014</v>
          </cell>
          <cell r="B510" t="str">
            <v>KUUM_422</v>
          </cell>
          <cell r="E510">
            <v>44244</v>
          </cell>
          <cell r="M510">
            <v>105.31</v>
          </cell>
          <cell r="Q510">
            <v>0</v>
          </cell>
          <cell r="R510">
            <v>3212.17</v>
          </cell>
          <cell r="S510">
            <v>3065.12</v>
          </cell>
          <cell r="T510">
            <v>0</v>
          </cell>
          <cell r="U510">
            <v>41.74</v>
          </cell>
        </row>
        <row r="511">
          <cell r="A511" t="str">
            <v>APR 2014</v>
          </cell>
          <cell r="B511" t="str">
            <v>KUUM_424</v>
          </cell>
          <cell r="E511">
            <v>7032</v>
          </cell>
          <cell r="M511">
            <v>19.89</v>
          </cell>
          <cell r="Q511">
            <v>0</v>
          </cell>
          <cell r="R511">
            <v>467.44</v>
          </cell>
          <cell r="S511">
            <v>440.7</v>
          </cell>
          <cell r="T511">
            <v>0</v>
          </cell>
          <cell r="U511">
            <v>6.85</v>
          </cell>
        </row>
        <row r="512">
          <cell r="A512" t="str">
            <v>APR 2014</v>
          </cell>
          <cell r="B512" t="str">
            <v>KUUM_425</v>
          </cell>
          <cell r="E512">
            <v>283</v>
          </cell>
          <cell r="M512">
            <v>0.6</v>
          </cell>
          <cell r="Q512">
            <v>0</v>
          </cell>
          <cell r="R512">
            <v>18.940000000000001</v>
          </cell>
          <cell r="S512">
            <v>18.12</v>
          </cell>
          <cell r="T512">
            <v>0</v>
          </cell>
          <cell r="U512">
            <v>0.22</v>
          </cell>
        </row>
        <row r="513">
          <cell r="A513" t="str">
            <v>APR 2014</v>
          </cell>
          <cell r="B513" t="str">
            <v>KUUM_426</v>
          </cell>
          <cell r="E513">
            <v>4517</v>
          </cell>
          <cell r="M513">
            <v>9.92</v>
          </cell>
          <cell r="Q513">
            <v>0</v>
          </cell>
          <cell r="R513">
            <v>1298.06</v>
          </cell>
          <cell r="S513">
            <v>1272.74</v>
          </cell>
          <cell r="T513">
            <v>0</v>
          </cell>
          <cell r="U513">
            <v>15.4</v>
          </cell>
        </row>
        <row r="514">
          <cell r="A514" t="str">
            <v>APR 2014</v>
          </cell>
          <cell r="B514" t="str">
            <v>KUUM_428</v>
          </cell>
          <cell r="E514">
            <v>1360504</v>
          </cell>
          <cell r="M514">
            <v>2917.74</v>
          </cell>
          <cell r="Q514">
            <v>0</v>
          </cell>
          <cell r="R514">
            <v>292109.5</v>
          </cell>
          <cell r="S514">
            <v>285573.15000000002</v>
          </cell>
          <cell r="T514">
            <v>0</v>
          </cell>
          <cell r="U514">
            <v>3618.61</v>
          </cell>
        </row>
        <row r="515">
          <cell r="A515" t="str">
            <v>APR 2014</v>
          </cell>
          <cell r="B515" t="str">
            <v>KUUM_430</v>
          </cell>
          <cell r="E515">
            <v>44594</v>
          </cell>
          <cell r="M515">
            <v>103.02</v>
          </cell>
          <cell r="Q515">
            <v>0</v>
          </cell>
          <cell r="R515">
            <v>26398.47</v>
          </cell>
          <cell r="S515">
            <v>25960</v>
          </cell>
          <cell r="T515">
            <v>0</v>
          </cell>
          <cell r="U515">
            <v>335.45</v>
          </cell>
        </row>
        <row r="516">
          <cell r="A516" t="str">
            <v>APR 2014</v>
          </cell>
          <cell r="B516" t="str">
            <v>KUUM_434</v>
          </cell>
          <cell r="E516">
            <v>547</v>
          </cell>
          <cell r="M516">
            <v>1.7</v>
          </cell>
          <cell r="Q516">
            <v>0</v>
          </cell>
          <cell r="R516">
            <v>41.05</v>
          </cell>
          <cell r="S516">
            <v>38.700000000000003</v>
          </cell>
          <cell r="T516">
            <v>0</v>
          </cell>
          <cell r="U516">
            <v>0.65</v>
          </cell>
        </row>
        <row r="517">
          <cell r="A517" t="str">
            <v>APR 2014</v>
          </cell>
          <cell r="B517" t="str">
            <v>KUUM_440</v>
          </cell>
          <cell r="E517">
            <v>39</v>
          </cell>
          <cell r="M517">
            <v>0.08</v>
          </cell>
          <cell r="Q517">
            <v>0</v>
          </cell>
          <cell r="R517">
            <v>27.64</v>
          </cell>
          <cell r="S517">
            <v>27.22</v>
          </cell>
          <cell r="T517">
            <v>0</v>
          </cell>
          <cell r="U517">
            <v>0.34</v>
          </cell>
        </row>
        <row r="518">
          <cell r="A518" t="str">
            <v>APR 2014</v>
          </cell>
          <cell r="B518" t="str">
            <v>KUUM_446</v>
          </cell>
          <cell r="E518">
            <v>71543</v>
          </cell>
          <cell r="M518">
            <v>165.41</v>
          </cell>
          <cell r="Q518">
            <v>0</v>
          </cell>
          <cell r="R518">
            <v>10628.01</v>
          </cell>
          <cell r="S518">
            <v>10327.11</v>
          </cell>
          <cell r="T518">
            <v>0</v>
          </cell>
          <cell r="U518">
            <v>135.49</v>
          </cell>
        </row>
        <row r="519">
          <cell r="A519" t="str">
            <v>APR 2014</v>
          </cell>
          <cell r="B519" t="str">
            <v>KUUM_447</v>
          </cell>
          <cell r="E519">
            <v>71643</v>
          </cell>
          <cell r="M519">
            <v>220.74</v>
          </cell>
          <cell r="Q519">
            <v>0</v>
          </cell>
          <cell r="R519">
            <v>8756.7900000000009</v>
          </cell>
          <cell r="S519">
            <v>8399.44</v>
          </cell>
          <cell r="T519">
            <v>0</v>
          </cell>
          <cell r="U519">
            <v>136.61000000000001</v>
          </cell>
        </row>
        <row r="520">
          <cell r="A520" t="str">
            <v>APR 2014</v>
          </cell>
          <cell r="B520" t="str">
            <v>KUUM_448</v>
          </cell>
          <cell r="E520">
            <v>213646</v>
          </cell>
          <cell r="M520">
            <v>542.19000000000005</v>
          </cell>
          <cell r="Q520">
            <v>0</v>
          </cell>
          <cell r="R520">
            <v>19743.18</v>
          </cell>
          <cell r="S520">
            <v>18933.18</v>
          </cell>
          <cell r="T520">
            <v>0</v>
          </cell>
          <cell r="U520">
            <v>267.81</v>
          </cell>
        </row>
        <row r="521">
          <cell r="A521" t="str">
            <v>APR 2014</v>
          </cell>
          <cell r="B521" t="str">
            <v>KUUM_450</v>
          </cell>
          <cell r="E521">
            <v>31479</v>
          </cell>
          <cell r="M521">
            <v>68.2</v>
          </cell>
          <cell r="Q521">
            <v>0</v>
          </cell>
          <cell r="R521">
            <v>9568.8799999999992</v>
          </cell>
          <cell r="S521">
            <v>9382.68</v>
          </cell>
          <cell r="T521">
            <v>0</v>
          </cell>
          <cell r="U521">
            <v>118</v>
          </cell>
        </row>
        <row r="522">
          <cell r="A522" t="str">
            <v>APR 2014</v>
          </cell>
          <cell r="B522" t="str">
            <v>KUUM_451</v>
          </cell>
          <cell r="E522">
            <v>574590</v>
          </cell>
          <cell r="M522">
            <v>1240.08</v>
          </cell>
          <cell r="Q522">
            <v>0</v>
          </cell>
          <cell r="R522">
            <v>106159.11</v>
          </cell>
          <cell r="S522">
            <v>103621.66</v>
          </cell>
          <cell r="T522">
            <v>0</v>
          </cell>
          <cell r="U522">
            <v>1297.3699999999999</v>
          </cell>
        </row>
        <row r="523">
          <cell r="A523" t="str">
            <v>APR 2014</v>
          </cell>
          <cell r="B523" t="str">
            <v>KUUM_452</v>
          </cell>
          <cell r="E523">
            <v>357912</v>
          </cell>
          <cell r="M523">
            <v>767.93</v>
          </cell>
          <cell r="Q523">
            <v>0</v>
          </cell>
          <cell r="R523">
            <v>45392.68</v>
          </cell>
          <cell r="S523">
            <v>44072.25</v>
          </cell>
          <cell r="T523">
            <v>0</v>
          </cell>
          <cell r="U523">
            <v>552.5</v>
          </cell>
        </row>
        <row r="524">
          <cell r="A524" t="str">
            <v>APR 2014</v>
          </cell>
          <cell r="B524" t="str">
            <v>KUUM_454</v>
          </cell>
          <cell r="E524">
            <v>7191</v>
          </cell>
          <cell r="M524">
            <v>15.75</v>
          </cell>
          <cell r="Q524">
            <v>0</v>
          </cell>
          <cell r="R524">
            <v>2848.36</v>
          </cell>
          <cell r="S524">
            <v>2797.5</v>
          </cell>
          <cell r="T524">
            <v>0</v>
          </cell>
          <cell r="U524">
            <v>35.11</v>
          </cell>
        </row>
        <row r="525">
          <cell r="A525" t="str">
            <v>APR 2014</v>
          </cell>
          <cell r="B525" t="str">
            <v>KUUM_455</v>
          </cell>
          <cell r="E525">
            <v>113937</v>
          </cell>
          <cell r="M525">
            <v>246.75</v>
          </cell>
          <cell r="Q525">
            <v>0</v>
          </cell>
          <cell r="R525">
            <v>25634.33</v>
          </cell>
          <cell r="S525">
            <v>25075.24</v>
          </cell>
          <cell r="T525">
            <v>0</v>
          </cell>
          <cell r="U525">
            <v>312.33999999999997</v>
          </cell>
        </row>
        <row r="526">
          <cell r="A526" t="str">
            <v>APR 2014</v>
          </cell>
          <cell r="B526" t="str">
            <v>KUUM_456</v>
          </cell>
          <cell r="E526">
            <v>9167</v>
          </cell>
          <cell r="M526">
            <v>20.76</v>
          </cell>
          <cell r="Q526">
            <v>0</v>
          </cell>
          <cell r="R526">
            <v>1703.96</v>
          </cell>
          <cell r="S526">
            <v>1661.8</v>
          </cell>
          <cell r="T526">
            <v>0</v>
          </cell>
          <cell r="U526">
            <v>21.4</v>
          </cell>
        </row>
        <row r="527">
          <cell r="A527" t="str">
            <v>APR 2014</v>
          </cell>
          <cell r="B527" t="str">
            <v>KUUM_457</v>
          </cell>
          <cell r="E527">
            <v>43841</v>
          </cell>
          <cell r="M527">
            <v>136.69</v>
          </cell>
          <cell r="Q527">
            <v>0</v>
          </cell>
          <cell r="R527">
            <v>6287.75</v>
          </cell>
          <cell r="S527">
            <v>6052.08</v>
          </cell>
          <cell r="T527">
            <v>0</v>
          </cell>
          <cell r="U527">
            <v>98.98</v>
          </cell>
        </row>
        <row r="528">
          <cell r="A528" t="str">
            <v>APR 2014</v>
          </cell>
          <cell r="B528" t="str">
            <v>KUUM_458</v>
          </cell>
          <cell r="E528">
            <v>217321</v>
          </cell>
          <cell r="M528">
            <v>610.52</v>
          </cell>
          <cell r="Q528">
            <v>0</v>
          </cell>
          <cell r="R528">
            <v>23198.38</v>
          </cell>
          <cell r="S528">
            <v>22249.17</v>
          </cell>
          <cell r="T528">
            <v>0</v>
          </cell>
          <cell r="U528">
            <v>338.69</v>
          </cell>
        </row>
        <row r="529">
          <cell r="A529" t="str">
            <v>APR 2014</v>
          </cell>
          <cell r="B529" t="str">
            <v>KUUM_459</v>
          </cell>
          <cell r="E529">
            <v>76873</v>
          </cell>
          <cell r="M529">
            <v>164.45</v>
          </cell>
          <cell r="Q529">
            <v>0</v>
          </cell>
          <cell r="R529">
            <v>10764.86</v>
          </cell>
          <cell r="S529">
            <v>10469.76</v>
          </cell>
          <cell r="T529">
            <v>0</v>
          </cell>
          <cell r="U529">
            <v>130.65</v>
          </cell>
        </row>
        <row r="530">
          <cell r="A530" t="str">
            <v>APR 2014</v>
          </cell>
          <cell r="B530" t="str">
            <v>KUUM_460</v>
          </cell>
          <cell r="E530">
            <v>1296</v>
          </cell>
          <cell r="M530">
            <v>3.34</v>
          </cell>
          <cell r="Q530">
            <v>0</v>
          </cell>
          <cell r="R530">
            <v>719.03</v>
          </cell>
          <cell r="S530">
            <v>705.9</v>
          </cell>
          <cell r="T530">
            <v>0</v>
          </cell>
          <cell r="U530">
            <v>9.7899999999999991</v>
          </cell>
        </row>
        <row r="531">
          <cell r="A531" t="str">
            <v>APR 2014</v>
          </cell>
          <cell r="B531" t="str">
            <v>KUUM_461</v>
          </cell>
          <cell r="E531">
            <v>133527</v>
          </cell>
          <cell r="M531">
            <v>322.37</v>
          </cell>
          <cell r="Q531">
            <v>0</v>
          </cell>
          <cell r="R531">
            <v>53271.87</v>
          </cell>
          <cell r="S531">
            <v>52252.2</v>
          </cell>
          <cell r="T531">
            <v>0</v>
          </cell>
          <cell r="U531">
            <v>697.3</v>
          </cell>
        </row>
        <row r="532">
          <cell r="A532" t="str">
            <v>APR 2014</v>
          </cell>
          <cell r="B532" t="str">
            <v>KUUM_462</v>
          </cell>
          <cell r="E532">
            <v>238864</v>
          </cell>
          <cell r="M532">
            <v>615.82000000000005</v>
          </cell>
          <cell r="Q532">
            <v>0</v>
          </cell>
          <cell r="R532">
            <v>78337.289999999994</v>
          </cell>
          <cell r="S532">
            <v>76646.69</v>
          </cell>
          <cell r="T532">
            <v>0</v>
          </cell>
          <cell r="U532">
            <v>1074.78</v>
          </cell>
        </row>
        <row r="533">
          <cell r="A533" t="str">
            <v>APR 2014</v>
          </cell>
          <cell r="B533" t="str">
            <v>KUUM_463</v>
          </cell>
          <cell r="E533">
            <v>768695</v>
          </cell>
          <cell r="M533">
            <v>1801.76</v>
          </cell>
          <cell r="Q533">
            <v>0</v>
          </cell>
          <cell r="R533">
            <v>190486.89</v>
          </cell>
          <cell r="S533">
            <v>186256.84</v>
          </cell>
          <cell r="T533">
            <v>0</v>
          </cell>
          <cell r="U533">
            <v>2428.29</v>
          </cell>
        </row>
        <row r="534">
          <cell r="A534" t="str">
            <v>APR 2014</v>
          </cell>
          <cell r="B534" t="str">
            <v>KUUM_464</v>
          </cell>
          <cell r="E534">
            <v>591568</v>
          </cell>
          <cell r="M534">
            <v>1386.33</v>
          </cell>
          <cell r="Q534">
            <v>0</v>
          </cell>
          <cell r="R534">
            <v>110506.03</v>
          </cell>
          <cell r="S534">
            <v>107697.51</v>
          </cell>
          <cell r="T534">
            <v>0</v>
          </cell>
          <cell r="U534">
            <v>1422.19</v>
          </cell>
        </row>
        <row r="535">
          <cell r="A535" t="str">
            <v>APR 2014</v>
          </cell>
          <cell r="B535" t="str">
            <v>KUUM_465</v>
          </cell>
          <cell r="E535">
            <v>422257</v>
          </cell>
          <cell r="M535">
            <v>945.57</v>
          </cell>
          <cell r="Q535">
            <v>0</v>
          </cell>
          <cell r="R535">
            <v>65778.36</v>
          </cell>
          <cell r="S535">
            <v>64013.37</v>
          </cell>
          <cell r="T535">
            <v>0</v>
          </cell>
          <cell r="U535">
            <v>819.42</v>
          </cell>
        </row>
        <row r="536">
          <cell r="A536" t="str">
            <v>APR 2014</v>
          </cell>
          <cell r="B536" t="str">
            <v>KUUM_465CU</v>
          </cell>
          <cell r="E536">
            <v>459</v>
          </cell>
          <cell r="S536">
            <v>0</v>
          </cell>
          <cell r="T536">
            <v>0</v>
          </cell>
          <cell r="U536">
            <v>0</v>
          </cell>
        </row>
        <row r="537">
          <cell r="A537" t="str">
            <v>APR 2014</v>
          </cell>
          <cell r="B537" t="str">
            <v>KUUM_466</v>
          </cell>
          <cell r="E537">
            <v>16723</v>
          </cell>
          <cell r="M537">
            <v>39.549999999999997</v>
          </cell>
          <cell r="Q537">
            <v>0</v>
          </cell>
          <cell r="R537">
            <v>8363.17</v>
          </cell>
          <cell r="S537">
            <v>8215.48</v>
          </cell>
          <cell r="T537">
            <v>0</v>
          </cell>
          <cell r="U537">
            <v>108.14</v>
          </cell>
        </row>
        <row r="538">
          <cell r="A538" t="str">
            <v>APR 2014</v>
          </cell>
          <cell r="B538" t="str">
            <v>KUUM_467</v>
          </cell>
          <cell r="E538">
            <v>36448</v>
          </cell>
          <cell r="M538">
            <v>86.5</v>
          </cell>
          <cell r="Q538">
            <v>0</v>
          </cell>
          <cell r="R538">
            <v>14908.8</v>
          </cell>
          <cell r="S538">
            <v>14629.25</v>
          </cell>
          <cell r="T538">
            <v>0</v>
          </cell>
          <cell r="U538">
            <v>193.05</v>
          </cell>
        </row>
        <row r="539">
          <cell r="A539" t="str">
            <v>APR 2014</v>
          </cell>
          <cell r="B539" t="str">
            <v>KUUM_468</v>
          </cell>
          <cell r="E539">
            <v>152011</v>
          </cell>
          <cell r="M539">
            <v>331.89</v>
          </cell>
          <cell r="Q539">
            <v>0</v>
          </cell>
          <cell r="R539">
            <v>45755.7</v>
          </cell>
          <cell r="S539">
            <v>44861.72</v>
          </cell>
          <cell r="T539">
            <v>0</v>
          </cell>
          <cell r="U539">
            <v>562.09</v>
          </cell>
        </row>
        <row r="540">
          <cell r="A540" t="str">
            <v>APR 2014</v>
          </cell>
          <cell r="B540" t="str">
            <v>KUUM_469</v>
          </cell>
          <cell r="E540">
            <v>33107</v>
          </cell>
          <cell r="M540">
            <v>71.739999999999995</v>
          </cell>
          <cell r="Q540">
            <v>0</v>
          </cell>
          <cell r="R540">
            <v>9924.4500000000007</v>
          </cell>
          <cell r="S540">
            <v>9731.41</v>
          </cell>
          <cell r="T540">
            <v>0</v>
          </cell>
          <cell r="U540">
            <v>121.3</v>
          </cell>
        </row>
        <row r="541">
          <cell r="A541" t="str">
            <v>APR 2014</v>
          </cell>
          <cell r="B541" t="str">
            <v>KUUM_470</v>
          </cell>
          <cell r="E541">
            <v>21414</v>
          </cell>
          <cell r="M541">
            <v>45.39</v>
          </cell>
          <cell r="Q541">
            <v>0</v>
          </cell>
          <cell r="R541">
            <v>3457.31</v>
          </cell>
          <cell r="S541">
            <v>3370.26</v>
          </cell>
          <cell r="T541">
            <v>0</v>
          </cell>
          <cell r="U541">
            <v>41.66</v>
          </cell>
        </row>
        <row r="542">
          <cell r="A542" t="str">
            <v>APR 2014</v>
          </cell>
          <cell r="B542" t="str">
            <v>KUUM_471</v>
          </cell>
          <cell r="E542">
            <v>72368</v>
          </cell>
          <cell r="M542">
            <v>225.69</v>
          </cell>
          <cell r="Q542">
            <v>0</v>
          </cell>
          <cell r="R542">
            <v>39300.74</v>
          </cell>
          <cell r="S542">
            <v>38456.339999999997</v>
          </cell>
          <cell r="T542">
            <v>0</v>
          </cell>
          <cell r="U542">
            <v>618.71</v>
          </cell>
        </row>
        <row r="543">
          <cell r="A543" t="str">
            <v>APR 2014</v>
          </cell>
          <cell r="B543" t="str">
            <v>KUUM_472</v>
          </cell>
          <cell r="E543">
            <v>238682</v>
          </cell>
          <cell r="M543">
            <v>742.27</v>
          </cell>
          <cell r="Q543">
            <v>0</v>
          </cell>
          <cell r="R543">
            <v>103786.78</v>
          </cell>
          <cell r="S543">
            <v>101414</v>
          </cell>
          <cell r="T543">
            <v>0</v>
          </cell>
          <cell r="U543">
            <v>1630.51</v>
          </cell>
        </row>
        <row r="544">
          <cell r="A544" t="str">
            <v>APR 2014</v>
          </cell>
          <cell r="B544" t="str">
            <v>KUUM_473</v>
          </cell>
          <cell r="E544">
            <v>129425</v>
          </cell>
          <cell r="M544">
            <v>354.88</v>
          </cell>
          <cell r="Q544">
            <v>0</v>
          </cell>
          <cell r="R544">
            <v>42683.58</v>
          </cell>
          <cell r="S544">
            <v>41717.360000000001</v>
          </cell>
          <cell r="T544">
            <v>0</v>
          </cell>
          <cell r="U544">
            <v>611.34</v>
          </cell>
        </row>
        <row r="545">
          <cell r="A545" t="str">
            <v>APR 2014</v>
          </cell>
          <cell r="B545" t="str">
            <v>KUUM_474</v>
          </cell>
          <cell r="E545">
            <v>407328</v>
          </cell>
          <cell r="M545">
            <v>1114.51</v>
          </cell>
          <cell r="Q545">
            <v>0</v>
          </cell>
          <cell r="R545">
            <v>92394.28</v>
          </cell>
          <cell r="S545">
            <v>89957.47</v>
          </cell>
          <cell r="T545">
            <v>0</v>
          </cell>
          <cell r="U545">
            <v>1322.3</v>
          </cell>
        </row>
        <row r="546">
          <cell r="A546" t="str">
            <v>APR 2014</v>
          </cell>
          <cell r="B546" t="str">
            <v>KUUM_475</v>
          </cell>
          <cell r="E546">
            <v>78787</v>
          </cell>
          <cell r="M546">
            <v>216.23</v>
          </cell>
          <cell r="Q546">
            <v>0</v>
          </cell>
          <cell r="R546">
            <v>12999.39</v>
          </cell>
          <cell r="S546">
            <v>12596.9</v>
          </cell>
          <cell r="T546">
            <v>0</v>
          </cell>
          <cell r="U546">
            <v>186.26</v>
          </cell>
        </row>
        <row r="547">
          <cell r="A547" t="str">
            <v>APR 2014</v>
          </cell>
          <cell r="B547" t="str">
            <v>KUUM_476</v>
          </cell>
          <cell r="E547">
            <v>124839</v>
          </cell>
          <cell r="M547">
            <v>388.97</v>
          </cell>
          <cell r="Q547">
            <v>0</v>
          </cell>
          <cell r="R547">
            <v>78317.78</v>
          </cell>
          <cell r="S547">
            <v>76696.710000000006</v>
          </cell>
          <cell r="T547">
            <v>0</v>
          </cell>
          <cell r="U547">
            <v>1232.0999999999999</v>
          </cell>
        </row>
        <row r="548">
          <cell r="A548" t="str">
            <v>APR 2014</v>
          </cell>
          <cell r="B548" t="str">
            <v>KUUM_477</v>
          </cell>
          <cell r="E548">
            <v>40276</v>
          </cell>
          <cell r="M548">
            <v>106.74</v>
          </cell>
          <cell r="Q548">
            <v>0</v>
          </cell>
          <cell r="R548">
            <v>22627.52</v>
          </cell>
          <cell r="S548">
            <v>22204.61</v>
          </cell>
          <cell r="T548">
            <v>0</v>
          </cell>
          <cell r="U548">
            <v>316.17</v>
          </cell>
        </row>
        <row r="549">
          <cell r="A549" t="str">
            <v>APR 2014</v>
          </cell>
          <cell r="B549" t="str">
            <v>KUUM_478</v>
          </cell>
          <cell r="E549">
            <v>111040</v>
          </cell>
          <cell r="M549">
            <v>284.08999999999997</v>
          </cell>
          <cell r="Q549">
            <v>0</v>
          </cell>
          <cell r="R549">
            <v>38864.39</v>
          </cell>
          <cell r="S549">
            <v>38049.68</v>
          </cell>
          <cell r="T549">
            <v>0</v>
          </cell>
          <cell r="U549">
            <v>530.62</v>
          </cell>
        </row>
        <row r="550">
          <cell r="A550" t="str">
            <v>APR 2014</v>
          </cell>
          <cell r="B550" t="str">
            <v>KUUM_479</v>
          </cell>
          <cell r="E550">
            <v>142763</v>
          </cell>
          <cell r="M550">
            <v>321.07</v>
          </cell>
          <cell r="Q550">
            <v>0</v>
          </cell>
          <cell r="R550">
            <v>32189.97</v>
          </cell>
          <cell r="S550">
            <v>31466.21</v>
          </cell>
          <cell r="T550">
            <v>0</v>
          </cell>
          <cell r="U550">
            <v>402.69</v>
          </cell>
        </row>
        <row r="551">
          <cell r="A551" t="str">
            <v>APR 2014</v>
          </cell>
          <cell r="B551" t="str">
            <v>KUUM_487</v>
          </cell>
          <cell r="E551">
            <v>413239</v>
          </cell>
          <cell r="M551">
            <v>886.89</v>
          </cell>
          <cell r="Q551">
            <v>0</v>
          </cell>
          <cell r="R551">
            <v>101721.23</v>
          </cell>
          <cell r="S551">
            <v>99614.8</v>
          </cell>
          <cell r="T551">
            <v>0</v>
          </cell>
          <cell r="U551">
            <v>1219.54</v>
          </cell>
        </row>
        <row r="552">
          <cell r="A552" t="str">
            <v>APR 2014</v>
          </cell>
          <cell r="B552" t="str">
            <v>KUUM_488</v>
          </cell>
          <cell r="E552">
            <v>512569</v>
          </cell>
          <cell r="M552">
            <v>1103.8499999999999</v>
          </cell>
          <cell r="Q552">
            <v>0</v>
          </cell>
          <cell r="R552">
            <v>92724.47</v>
          </cell>
          <cell r="S552">
            <v>90475.08</v>
          </cell>
          <cell r="T552">
            <v>0</v>
          </cell>
          <cell r="U552">
            <v>1145.54</v>
          </cell>
        </row>
        <row r="553">
          <cell r="A553" t="str">
            <v>APR 2014</v>
          </cell>
          <cell r="B553" t="str">
            <v>KUUM_489</v>
          </cell>
          <cell r="E553">
            <v>1248214</v>
          </cell>
          <cell r="M553">
            <v>2735.78</v>
          </cell>
          <cell r="Q553">
            <v>0</v>
          </cell>
          <cell r="R553">
            <v>166170.45000000001</v>
          </cell>
          <cell r="S553">
            <v>161411.22</v>
          </cell>
          <cell r="T553">
            <v>0</v>
          </cell>
          <cell r="U553">
            <v>2023.45</v>
          </cell>
        </row>
        <row r="554">
          <cell r="A554" t="str">
            <v>APR 2014</v>
          </cell>
          <cell r="B554" t="str">
            <v>KUUM_490</v>
          </cell>
          <cell r="E554">
            <v>2776</v>
          </cell>
          <cell r="M554">
            <v>5.95</v>
          </cell>
          <cell r="Q554">
            <v>0</v>
          </cell>
          <cell r="R554">
            <v>914.29</v>
          </cell>
          <cell r="S554">
            <v>897.26</v>
          </cell>
          <cell r="T554">
            <v>0</v>
          </cell>
          <cell r="U554">
            <v>11.08</v>
          </cell>
        </row>
        <row r="555">
          <cell r="A555" t="str">
            <v>APR 2014</v>
          </cell>
          <cell r="B555" t="str">
            <v>KUUM_491</v>
          </cell>
          <cell r="E555">
            <v>33049</v>
          </cell>
          <cell r="M555">
            <v>71.12</v>
          </cell>
          <cell r="Q555">
            <v>0</v>
          </cell>
          <cell r="R555">
            <v>6683.08</v>
          </cell>
          <cell r="S555">
            <v>6530.75</v>
          </cell>
          <cell r="T555">
            <v>0</v>
          </cell>
          <cell r="U555">
            <v>81.209999999999994</v>
          </cell>
        </row>
        <row r="556">
          <cell r="A556" t="str">
            <v>APR 2014</v>
          </cell>
          <cell r="B556" t="str">
            <v>KUUM_492</v>
          </cell>
          <cell r="E556">
            <v>51</v>
          </cell>
          <cell r="M556">
            <v>0.11</v>
          </cell>
          <cell r="R556">
            <v>31.23</v>
          </cell>
          <cell r="S556">
            <v>30.74</v>
          </cell>
          <cell r="T556">
            <v>0</v>
          </cell>
          <cell r="U556">
            <v>0.38</v>
          </cell>
        </row>
        <row r="557">
          <cell r="A557" t="str">
            <v>APR 2014</v>
          </cell>
          <cell r="B557" t="str">
            <v>KUUM_493</v>
          </cell>
          <cell r="E557">
            <v>14638</v>
          </cell>
          <cell r="M557">
            <v>31.03</v>
          </cell>
          <cell r="Q557">
            <v>0</v>
          </cell>
          <cell r="R557">
            <v>2020.51</v>
          </cell>
          <cell r="S557">
            <v>1965.1</v>
          </cell>
          <cell r="T557">
            <v>0</v>
          </cell>
          <cell r="U557">
            <v>24.38</v>
          </cell>
        </row>
        <row r="558">
          <cell r="A558" t="str">
            <v>APR 2014</v>
          </cell>
          <cell r="B558" t="str">
            <v>KUUM_494</v>
          </cell>
          <cell r="E558">
            <v>8108</v>
          </cell>
          <cell r="M558">
            <v>18.809999999999999</v>
          </cell>
          <cell r="Q558">
            <v>0</v>
          </cell>
          <cell r="R558">
            <v>4846.7</v>
          </cell>
          <cell r="S558">
            <v>4766.16</v>
          </cell>
          <cell r="T558">
            <v>0</v>
          </cell>
          <cell r="U558">
            <v>61.73</v>
          </cell>
        </row>
        <row r="559">
          <cell r="A559" t="str">
            <v>APR 2014</v>
          </cell>
          <cell r="B559" t="str">
            <v>KUUM_495</v>
          </cell>
          <cell r="E559">
            <v>68106</v>
          </cell>
          <cell r="M559">
            <v>145.09</v>
          </cell>
          <cell r="Q559">
            <v>0</v>
          </cell>
          <cell r="R559">
            <v>21817.74</v>
          </cell>
          <cell r="S559">
            <v>21408.84</v>
          </cell>
          <cell r="T559">
            <v>0</v>
          </cell>
          <cell r="U559">
            <v>263.81</v>
          </cell>
        </row>
        <row r="560">
          <cell r="A560" t="str">
            <v>APR 2014</v>
          </cell>
          <cell r="B560" t="str">
            <v>KUUM_496</v>
          </cell>
          <cell r="E560">
            <v>52698</v>
          </cell>
          <cell r="M560">
            <v>115.14</v>
          </cell>
          <cell r="Q560">
            <v>0</v>
          </cell>
          <cell r="R560">
            <v>9307.0300000000007</v>
          </cell>
          <cell r="S560">
            <v>9077.5400000000009</v>
          </cell>
          <cell r="T560">
            <v>0</v>
          </cell>
          <cell r="U560">
            <v>114.35</v>
          </cell>
        </row>
        <row r="561">
          <cell r="A561" t="str">
            <v>APR 2014</v>
          </cell>
          <cell r="B561" t="str">
            <v>KUUM_497</v>
          </cell>
          <cell r="E561">
            <v>369</v>
          </cell>
          <cell r="M561">
            <v>0.78</v>
          </cell>
          <cell r="R561">
            <v>156.16999999999999</v>
          </cell>
          <cell r="S561">
            <v>153.5</v>
          </cell>
          <cell r="T561">
            <v>0</v>
          </cell>
          <cell r="U561">
            <v>1.89</v>
          </cell>
        </row>
        <row r="562">
          <cell r="A562" t="str">
            <v>APR 2014</v>
          </cell>
          <cell r="B562" t="str">
            <v>KUUM_498</v>
          </cell>
          <cell r="E562">
            <v>573</v>
          </cell>
          <cell r="M562">
            <v>3.38</v>
          </cell>
          <cell r="R562">
            <v>213.56</v>
          </cell>
          <cell r="S562">
            <v>212.64</v>
          </cell>
          <cell r="T562">
            <v>0</v>
          </cell>
          <cell r="U562">
            <v>-2.46</v>
          </cell>
        </row>
        <row r="563">
          <cell r="A563" t="str">
            <v>APR 2014</v>
          </cell>
          <cell r="B563" t="str">
            <v>KUUM_499</v>
          </cell>
          <cell r="E563">
            <v>3606</v>
          </cell>
          <cell r="M563">
            <v>7.82</v>
          </cell>
          <cell r="R563">
            <v>530.05999999999995</v>
          </cell>
          <cell r="S563">
            <v>515.76</v>
          </cell>
          <cell r="T563">
            <v>0</v>
          </cell>
          <cell r="U563">
            <v>6.48</v>
          </cell>
        </row>
        <row r="564">
          <cell r="A564" t="str">
            <v>APR 2014</v>
          </cell>
          <cell r="B564" t="str">
            <v>KUUM_820</v>
          </cell>
          <cell r="R564">
            <v>121.42</v>
          </cell>
          <cell r="S564">
            <v>0</v>
          </cell>
          <cell r="T564">
            <v>0</v>
          </cell>
          <cell r="U564">
            <v>0</v>
          </cell>
        </row>
        <row r="565">
          <cell r="A565" t="str">
            <v>APR 2014</v>
          </cell>
          <cell r="B565" t="str">
            <v>KUUM_825</v>
          </cell>
          <cell r="R565">
            <v>85292.25</v>
          </cell>
          <cell r="S565">
            <v>0</v>
          </cell>
          <cell r="T565">
            <v>0</v>
          </cell>
          <cell r="U565">
            <v>0</v>
          </cell>
        </row>
        <row r="566">
          <cell r="A566" t="str">
            <v>APR 2014</v>
          </cell>
          <cell r="B566" t="str">
            <v>KUUM_826</v>
          </cell>
          <cell r="R566">
            <v>9336.5</v>
          </cell>
          <cell r="S566">
            <v>0</v>
          </cell>
          <cell r="T566">
            <v>0</v>
          </cell>
          <cell r="U566">
            <v>0</v>
          </cell>
        </row>
        <row r="567">
          <cell r="A567" t="str">
            <v>APR 2014</v>
          </cell>
          <cell r="B567" t="str">
            <v>KUUM_827</v>
          </cell>
          <cell r="F567">
            <v>27869</v>
          </cell>
          <cell r="R567">
            <v>27869</v>
          </cell>
          <cell r="S567">
            <v>0</v>
          </cell>
          <cell r="T567">
            <v>0</v>
          </cell>
          <cell r="U567">
            <v>0</v>
          </cell>
        </row>
        <row r="568">
          <cell r="A568" t="str">
            <v>APR 2014</v>
          </cell>
          <cell r="B568" t="str">
            <v>KUUM_828</v>
          </cell>
          <cell r="R568">
            <v>31590.38</v>
          </cell>
          <cell r="S568">
            <v>0</v>
          </cell>
          <cell r="T568">
            <v>0</v>
          </cell>
          <cell r="U568">
            <v>0</v>
          </cell>
        </row>
        <row r="569">
          <cell r="A569" t="str">
            <v>APR 2014</v>
          </cell>
          <cell r="B569" t="str">
            <v>KUUM_829</v>
          </cell>
          <cell r="R569">
            <v>0</v>
          </cell>
          <cell r="S569">
            <v>0</v>
          </cell>
          <cell r="T569">
            <v>0</v>
          </cell>
          <cell r="U569">
            <v>0</v>
          </cell>
        </row>
        <row r="570">
          <cell r="A570" t="str">
            <v>APR 2014</v>
          </cell>
          <cell r="B570" t="str">
            <v>Result</v>
          </cell>
          <cell r="E570">
            <v>1561436042</v>
          </cell>
          <cell r="F570">
            <v>7176129.1600000001</v>
          </cell>
          <cell r="L570">
            <v>2420266.0699999998</v>
          </cell>
          <cell r="M570">
            <v>4080628.54</v>
          </cell>
          <cell r="P570">
            <v>-998581.23</v>
          </cell>
          <cell r="Q570">
            <v>0</v>
          </cell>
          <cell r="R570">
            <v>122747374.23999999</v>
          </cell>
          <cell r="S570">
            <v>83318651.229999989</v>
          </cell>
          <cell r="T570">
            <v>24808917.379999999</v>
          </cell>
          <cell r="U570">
            <v>1370759.17</v>
          </cell>
        </row>
        <row r="571">
          <cell r="A571" t="str">
            <v>MAY 2014</v>
          </cell>
          <cell r="B571" t="str">
            <v>KTRSE020</v>
          </cell>
          <cell r="E571">
            <v>3610</v>
          </cell>
          <cell r="F571">
            <v>25.5</v>
          </cell>
          <cell r="R571">
            <v>271.17</v>
          </cell>
          <cell r="S571">
            <v>245.67</v>
          </cell>
          <cell r="T571">
            <v>0</v>
          </cell>
          <cell r="U571">
            <v>0</v>
          </cell>
        </row>
        <row r="572">
          <cell r="A572" t="str">
            <v>MAY 2014</v>
          </cell>
          <cell r="B572" t="str">
            <v>KTRSE030</v>
          </cell>
          <cell r="E572">
            <v>712</v>
          </cell>
          <cell r="F572">
            <v>8.5</v>
          </cell>
          <cell r="R572">
            <v>56.95</v>
          </cell>
          <cell r="S572">
            <v>48.45</v>
          </cell>
          <cell r="T572">
            <v>0</v>
          </cell>
          <cell r="U572">
            <v>0</v>
          </cell>
        </row>
        <row r="573">
          <cell r="A573" t="str">
            <v>MAY 2014</v>
          </cell>
          <cell r="B573" t="str">
            <v>KTUM_406</v>
          </cell>
          <cell r="E573">
            <v>122</v>
          </cell>
          <cell r="R573">
            <v>19.04</v>
          </cell>
          <cell r="S573">
            <v>19.04</v>
          </cell>
          <cell r="T573">
            <v>0</v>
          </cell>
          <cell r="U573">
            <v>0</v>
          </cell>
        </row>
        <row r="574">
          <cell r="A574" t="str">
            <v>MAY 2014</v>
          </cell>
          <cell r="B574" t="str">
            <v>KTUM_428</v>
          </cell>
          <cell r="E574">
            <v>35</v>
          </cell>
          <cell r="R574">
            <v>6.9</v>
          </cell>
          <cell r="S574">
            <v>6.9</v>
          </cell>
          <cell r="T574">
            <v>0</v>
          </cell>
          <cell r="U574">
            <v>0</v>
          </cell>
        </row>
        <row r="575">
          <cell r="A575" t="str">
            <v>MAY 2014</v>
          </cell>
          <cell r="B575" t="str">
            <v>KUCIE000</v>
          </cell>
          <cell r="S575">
            <v>0</v>
          </cell>
          <cell r="T575">
            <v>0</v>
          </cell>
          <cell r="U575">
            <v>0</v>
          </cell>
        </row>
        <row r="576">
          <cell r="A576" t="str">
            <v>MAY 2014</v>
          </cell>
          <cell r="B576" t="str">
            <v>KUCIE550</v>
          </cell>
          <cell r="E576">
            <v>130974212</v>
          </cell>
          <cell r="F576">
            <v>23250</v>
          </cell>
          <cell r="L576">
            <v>0</v>
          </cell>
          <cell r="M576">
            <v>467577.93</v>
          </cell>
          <cell r="R576">
            <v>7714880.5499999998</v>
          </cell>
          <cell r="S576">
            <v>4759602.87</v>
          </cell>
          <cell r="T576">
            <v>2337818.02</v>
          </cell>
          <cell r="U576">
            <v>126631.73</v>
          </cell>
        </row>
        <row r="577">
          <cell r="A577" t="str">
            <v>MAY 2014</v>
          </cell>
          <cell r="B577" t="str">
            <v>KUCIE561</v>
          </cell>
          <cell r="E577">
            <v>3773412</v>
          </cell>
          <cell r="F577">
            <v>28741.33</v>
          </cell>
          <cell r="L577">
            <v>4308.25</v>
          </cell>
          <cell r="M577">
            <v>13351.27</v>
          </cell>
          <cell r="R577">
            <v>415193.84</v>
          </cell>
          <cell r="S577">
            <v>134408.95000000001</v>
          </cell>
          <cell r="T577">
            <v>223804.38</v>
          </cell>
          <cell r="U577">
            <v>10579.66</v>
          </cell>
        </row>
        <row r="578">
          <cell r="A578" t="str">
            <v>MAY 2014</v>
          </cell>
          <cell r="B578" t="str">
            <v>KUCIE562</v>
          </cell>
          <cell r="E578">
            <v>131600041</v>
          </cell>
          <cell r="F578">
            <v>435123.01</v>
          </cell>
          <cell r="L578">
            <v>171778.66</v>
          </cell>
          <cell r="M578">
            <v>459689.01</v>
          </cell>
          <cell r="Q578">
            <v>0</v>
          </cell>
          <cell r="R578">
            <v>12589348.060000001</v>
          </cell>
          <cell r="S578">
            <v>4690225.4000000004</v>
          </cell>
          <cell r="T578">
            <v>6534474.71</v>
          </cell>
          <cell r="U578">
            <v>298057.27</v>
          </cell>
        </row>
        <row r="579">
          <cell r="A579" t="str">
            <v>MAY 2014</v>
          </cell>
          <cell r="B579" t="str">
            <v>KUCIE563</v>
          </cell>
          <cell r="E579">
            <v>242154160</v>
          </cell>
          <cell r="F579">
            <v>15600</v>
          </cell>
          <cell r="L579">
            <v>58861.77</v>
          </cell>
          <cell r="M579">
            <v>766500.86</v>
          </cell>
          <cell r="R579">
            <v>14331366.640000001</v>
          </cell>
          <cell r="S579">
            <v>9117104.1400000006</v>
          </cell>
          <cell r="T579">
            <v>4162434.36</v>
          </cell>
          <cell r="U579">
            <v>210865.51</v>
          </cell>
        </row>
        <row r="580">
          <cell r="A580" t="str">
            <v>MAY 2014</v>
          </cell>
          <cell r="B580" t="str">
            <v>KUCIE566</v>
          </cell>
          <cell r="E580">
            <v>19948394</v>
          </cell>
          <cell r="F580">
            <v>12531.93</v>
          </cell>
          <cell r="L580">
            <v>15993.13</v>
          </cell>
          <cell r="M580">
            <v>70271.72</v>
          </cell>
          <cell r="R580">
            <v>1566481.4</v>
          </cell>
          <cell r="S580">
            <v>710561.83</v>
          </cell>
          <cell r="T580">
            <v>724662.84</v>
          </cell>
          <cell r="U580">
            <v>32459.95</v>
          </cell>
        </row>
        <row r="581">
          <cell r="A581" t="str">
            <v>MAY 2014</v>
          </cell>
          <cell r="B581" t="str">
            <v>KUCIE568</v>
          </cell>
          <cell r="E581">
            <v>58274936</v>
          </cell>
          <cell r="F581">
            <v>35490.54</v>
          </cell>
          <cell r="L581">
            <v>47317.46</v>
          </cell>
          <cell r="M581">
            <v>204609.42</v>
          </cell>
          <cell r="R581">
            <v>4888359.59</v>
          </cell>
          <cell r="S581">
            <v>2076918.7200000002</v>
          </cell>
          <cell r="T581">
            <v>2416307.4</v>
          </cell>
          <cell r="U581">
            <v>107716.05</v>
          </cell>
        </row>
        <row r="582">
          <cell r="A582" t="str">
            <v>MAY 2014</v>
          </cell>
          <cell r="B582" t="str">
            <v>KUCIE571</v>
          </cell>
          <cell r="E582">
            <v>100192153</v>
          </cell>
          <cell r="F582">
            <v>47424.83</v>
          </cell>
          <cell r="L582">
            <v>34399.67</v>
          </cell>
          <cell r="M582">
            <v>348386.84</v>
          </cell>
          <cell r="R582">
            <v>6563082.1799999997</v>
          </cell>
          <cell r="S582">
            <v>3772234.6100000003</v>
          </cell>
          <cell r="T582">
            <v>2243397.38</v>
          </cell>
          <cell r="U582">
            <v>117238.85</v>
          </cell>
        </row>
        <row r="583">
          <cell r="A583" t="str">
            <v>MAY 2014</v>
          </cell>
          <cell r="B583" t="str">
            <v>KUCIE572</v>
          </cell>
          <cell r="E583">
            <v>100848428</v>
          </cell>
          <cell r="F583">
            <v>86853.34</v>
          </cell>
          <cell r="L583">
            <v>78124.67</v>
          </cell>
          <cell r="M583">
            <v>348165.93</v>
          </cell>
          <cell r="R583">
            <v>7248238.5499999998</v>
          </cell>
          <cell r="S583">
            <v>3805011.24</v>
          </cell>
          <cell r="T583">
            <v>2789990.2600000002</v>
          </cell>
          <cell r="U583">
            <v>140093.10999999999</v>
          </cell>
        </row>
        <row r="584">
          <cell r="A584" t="str">
            <v>MAY 2014</v>
          </cell>
          <cell r="B584" t="str">
            <v>KUCIE717</v>
          </cell>
          <cell r="E584">
            <v>25360</v>
          </cell>
          <cell r="F584">
            <v>90</v>
          </cell>
          <cell r="L584">
            <v>34.74</v>
          </cell>
          <cell r="M584">
            <v>90.54</v>
          </cell>
          <cell r="R584">
            <v>2718.47</v>
          </cell>
          <cell r="S584">
            <v>903.82999999999993</v>
          </cell>
          <cell r="T584">
            <v>1530</v>
          </cell>
          <cell r="U584">
            <v>69.36</v>
          </cell>
        </row>
        <row r="585">
          <cell r="A585" t="str">
            <v>MAY 2014</v>
          </cell>
          <cell r="B585" t="str">
            <v>KUCME000</v>
          </cell>
          <cell r="S585">
            <v>0</v>
          </cell>
          <cell r="T585">
            <v>0</v>
          </cell>
          <cell r="U585">
            <v>0</v>
          </cell>
        </row>
        <row r="586">
          <cell r="A586" t="str">
            <v>MAY 2014</v>
          </cell>
          <cell r="B586" t="str">
            <v>KUCME110</v>
          </cell>
          <cell r="E586">
            <v>55154602</v>
          </cell>
          <cell r="F586">
            <v>1304055.55</v>
          </cell>
          <cell r="L586">
            <v>161367.62</v>
          </cell>
          <cell r="M586">
            <v>193332.21</v>
          </cell>
          <cell r="Q586">
            <v>0</v>
          </cell>
          <cell r="R586">
            <v>6931656.7999999998</v>
          </cell>
          <cell r="S586">
            <v>5088524.32</v>
          </cell>
          <cell r="T586">
            <v>0</v>
          </cell>
          <cell r="U586">
            <v>184377.09999999998</v>
          </cell>
        </row>
        <row r="587">
          <cell r="A587" t="str">
            <v>MAY 2014</v>
          </cell>
          <cell r="B587" t="str">
            <v>KUCME112</v>
          </cell>
          <cell r="E587">
            <v>10785</v>
          </cell>
          <cell r="F587">
            <v>1220</v>
          </cell>
          <cell r="L587">
            <v>32.39</v>
          </cell>
          <cell r="M587">
            <v>36.01</v>
          </cell>
          <cell r="R587">
            <v>2352.61</v>
          </cell>
          <cell r="S587">
            <v>994.94</v>
          </cell>
          <cell r="T587">
            <v>0</v>
          </cell>
          <cell r="U587">
            <v>69.27</v>
          </cell>
        </row>
        <row r="588">
          <cell r="A588" t="str">
            <v>MAY 2014</v>
          </cell>
          <cell r="B588" t="str">
            <v>KUCME113</v>
          </cell>
          <cell r="E588">
            <v>77641848</v>
          </cell>
          <cell r="F588">
            <v>598760.28</v>
          </cell>
          <cell r="L588">
            <v>215386.72</v>
          </cell>
          <cell r="M588">
            <v>272025.24</v>
          </cell>
          <cell r="Q588">
            <v>0</v>
          </cell>
          <cell r="R588">
            <v>8462013.4800000004</v>
          </cell>
          <cell r="S588">
            <v>7162453.6100000003</v>
          </cell>
          <cell r="T588">
            <v>0</v>
          </cell>
          <cell r="U588">
            <v>213387.63</v>
          </cell>
        </row>
        <row r="589">
          <cell r="A589" t="str">
            <v>MAY 2014</v>
          </cell>
          <cell r="B589" t="str">
            <v>KUCME220</v>
          </cell>
          <cell r="E589">
            <v>428919</v>
          </cell>
          <cell r="F589">
            <v>6666</v>
          </cell>
          <cell r="L589">
            <v>527.57000000000005</v>
          </cell>
          <cell r="M589">
            <v>1354.62</v>
          </cell>
          <cell r="R589">
            <v>41242.01</v>
          </cell>
          <cell r="S589">
            <v>31911.590000000004</v>
          </cell>
          <cell r="T589">
            <v>0</v>
          </cell>
          <cell r="U589">
            <v>782.23</v>
          </cell>
        </row>
        <row r="590">
          <cell r="A590" t="str">
            <v>MAY 2014</v>
          </cell>
          <cell r="B590" t="str">
            <v>KUCME221</v>
          </cell>
          <cell r="E590">
            <v>900</v>
          </cell>
          <cell r="F590">
            <v>140</v>
          </cell>
          <cell r="L590">
            <v>1.1100000000000001</v>
          </cell>
          <cell r="M590">
            <v>3.21</v>
          </cell>
          <cell r="R590">
            <v>215.52</v>
          </cell>
          <cell r="S590">
            <v>66.960000000000008</v>
          </cell>
          <cell r="T590">
            <v>0</v>
          </cell>
          <cell r="U590">
            <v>4.24</v>
          </cell>
        </row>
        <row r="591">
          <cell r="A591" t="str">
            <v>MAY 2014</v>
          </cell>
          <cell r="B591" t="str">
            <v>KUCME223</v>
          </cell>
          <cell r="E591">
            <v>353566</v>
          </cell>
          <cell r="F591">
            <v>2345</v>
          </cell>
          <cell r="L591">
            <v>434.89</v>
          </cell>
          <cell r="M591">
            <v>1232.3800000000001</v>
          </cell>
          <cell r="R591">
            <v>30963.61</v>
          </cell>
          <cell r="S591">
            <v>26305.280000000002</v>
          </cell>
          <cell r="T591">
            <v>0</v>
          </cell>
          <cell r="U591">
            <v>646.05999999999995</v>
          </cell>
        </row>
        <row r="592">
          <cell r="A592" t="str">
            <v>MAY 2014</v>
          </cell>
          <cell r="B592" t="str">
            <v>KUCME224</v>
          </cell>
          <cell r="E592">
            <v>244540</v>
          </cell>
          <cell r="F592">
            <v>140</v>
          </cell>
          <cell r="L592">
            <v>300.77999999999997</v>
          </cell>
          <cell r="M592">
            <v>747.29</v>
          </cell>
          <cell r="R592">
            <v>19740.580000000002</v>
          </cell>
          <cell r="S592">
            <v>18193.77</v>
          </cell>
          <cell r="T592">
            <v>0</v>
          </cell>
          <cell r="U592">
            <v>358.74</v>
          </cell>
        </row>
        <row r="593">
          <cell r="A593" t="str">
            <v>MAY 2014</v>
          </cell>
          <cell r="B593" t="str">
            <v>KUCME225</v>
          </cell>
          <cell r="E593">
            <v>2129140</v>
          </cell>
          <cell r="F593">
            <v>3360</v>
          </cell>
          <cell r="L593">
            <v>2618.89</v>
          </cell>
          <cell r="M593">
            <v>6984.13</v>
          </cell>
          <cell r="R593">
            <v>174796.72</v>
          </cell>
          <cell r="S593">
            <v>158407.99000000002</v>
          </cell>
          <cell r="T593">
            <v>0</v>
          </cell>
          <cell r="U593">
            <v>3425.71</v>
          </cell>
        </row>
        <row r="594">
          <cell r="A594" t="str">
            <v>MAY 2014</v>
          </cell>
          <cell r="B594" t="str">
            <v>KUCME226</v>
          </cell>
          <cell r="E594">
            <v>45091</v>
          </cell>
          <cell r="F594">
            <v>380</v>
          </cell>
          <cell r="L594">
            <v>55.46</v>
          </cell>
          <cell r="M594">
            <v>134.54</v>
          </cell>
          <cell r="R594">
            <v>3995.8</v>
          </cell>
          <cell r="S594">
            <v>3354.79</v>
          </cell>
          <cell r="T594">
            <v>0</v>
          </cell>
          <cell r="U594">
            <v>71.010000000000005</v>
          </cell>
        </row>
        <row r="595">
          <cell r="A595" t="str">
            <v>MAY 2014</v>
          </cell>
          <cell r="B595" t="str">
            <v>KUCME227</v>
          </cell>
          <cell r="E595">
            <v>8359304</v>
          </cell>
          <cell r="F595">
            <v>3465</v>
          </cell>
          <cell r="L595">
            <v>10281.93</v>
          </cell>
          <cell r="M595">
            <v>27037.7</v>
          </cell>
          <cell r="R595">
            <v>675763.63</v>
          </cell>
          <cell r="S595">
            <v>621932.25</v>
          </cell>
          <cell r="T595">
            <v>0</v>
          </cell>
          <cell r="U595">
            <v>13046.75</v>
          </cell>
        </row>
        <row r="596">
          <cell r="A596" t="str">
            <v>MAY 2014</v>
          </cell>
          <cell r="B596" t="str">
            <v>KUCME290</v>
          </cell>
          <cell r="E596">
            <v>9255</v>
          </cell>
          <cell r="M596">
            <v>33.04</v>
          </cell>
          <cell r="R596">
            <v>637.16</v>
          </cell>
          <cell r="S596">
            <v>590.46999999999991</v>
          </cell>
          <cell r="T596">
            <v>0</v>
          </cell>
          <cell r="U596">
            <v>13.65</v>
          </cell>
        </row>
        <row r="597">
          <cell r="A597" t="str">
            <v>MAY 2014</v>
          </cell>
          <cell r="B597" t="str">
            <v>KUCME291</v>
          </cell>
          <cell r="E597">
            <v>3338</v>
          </cell>
          <cell r="M597">
            <v>7.08</v>
          </cell>
          <cell r="R597">
            <v>222.72</v>
          </cell>
          <cell r="S597">
            <v>212.95999999999998</v>
          </cell>
          <cell r="T597">
            <v>0</v>
          </cell>
          <cell r="U597">
            <v>2.68</v>
          </cell>
        </row>
        <row r="598">
          <cell r="A598" t="str">
            <v>MAY 2014</v>
          </cell>
          <cell r="B598" t="str">
            <v>KUCME295</v>
          </cell>
          <cell r="E598">
            <v>89696</v>
          </cell>
          <cell r="F598">
            <v>1545.38</v>
          </cell>
          <cell r="M598">
            <v>246.27</v>
          </cell>
          <cell r="R598">
            <v>9094.0400000000009</v>
          </cell>
          <cell r="S598">
            <v>7156.03</v>
          </cell>
          <cell r="T598">
            <v>0</v>
          </cell>
          <cell r="U598">
            <v>146.36000000000001</v>
          </cell>
        </row>
        <row r="599">
          <cell r="A599" t="str">
            <v>MAY 2014</v>
          </cell>
          <cell r="B599" t="str">
            <v>KUCME297</v>
          </cell>
          <cell r="E599">
            <v>14416</v>
          </cell>
          <cell r="F599">
            <v>884</v>
          </cell>
          <cell r="M599">
            <v>51.68</v>
          </cell>
          <cell r="R599">
            <v>2132.48</v>
          </cell>
          <cell r="S599">
            <v>1150.56</v>
          </cell>
          <cell r="T599">
            <v>0</v>
          </cell>
          <cell r="U599">
            <v>46.24</v>
          </cell>
        </row>
        <row r="600">
          <cell r="A600" t="str">
            <v>MAY 2014</v>
          </cell>
          <cell r="B600" t="str">
            <v>KUCME705</v>
          </cell>
          <cell r="R600">
            <v>0</v>
          </cell>
          <cell r="S600">
            <v>0</v>
          </cell>
          <cell r="T600">
            <v>0</v>
          </cell>
          <cell r="U600">
            <v>0</v>
          </cell>
        </row>
        <row r="601">
          <cell r="A601" t="str">
            <v>MAY 2014</v>
          </cell>
          <cell r="B601" t="str">
            <v>KUCME707</v>
          </cell>
          <cell r="R601">
            <v>0</v>
          </cell>
          <cell r="S601">
            <v>0</v>
          </cell>
          <cell r="T601">
            <v>0</v>
          </cell>
          <cell r="U601">
            <v>0</v>
          </cell>
        </row>
        <row r="602">
          <cell r="A602" t="str">
            <v>MAY 2014</v>
          </cell>
          <cell r="B602" t="str">
            <v>KUCME710</v>
          </cell>
          <cell r="E602">
            <v>3336</v>
          </cell>
          <cell r="F602">
            <v>149.33000000000001</v>
          </cell>
          <cell r="L602">
            <v>10.02</v>
          </cell>
          <cell r="M602">
            <v>11.91</v>
          </cell>
          <cell r="R602">
            <v>493.09</v>
          </cell>
          <cell r="S602">
            <v>307.74</v>
          </cell>
          <cell r="T602">
            <v>0</v>
          </cell>
          <cell r="U602">
            <v>14.09</v>
          </cell>
        </row>
        <row r="603">
          <cell r="A603" t="str">
            <v>MAY 2014</v>
          </cell>
          <cell r="B603" t="str">
            <v>KUCME713</v>
          </cell>
          <cell r="E603">
            <v>10160</v>
          </cell>
          <cell r="F603">
            <v>70</v>
          </cell>
          <cell r="L603">
            <v>4.8</v>
          </cell>
          <cell r="M603">
            <v>36.270000000000003</v>
          </cell>
          <cell r="R603">
            <v>1075.6199999999999</v>
          </cell>
          <cell r="S603">
            <v>937.2600000000001</v>
          </cell>
          <cell r="T603">
            <v>0</v>
          </cell>
          <cell r="U603">
            <v>27.29</v>
          </cell>
        </row>
        <row r="604">
          <cell r="A604" t="str">
            <v>MAY 2014</v>
          </cell>
          <cell r="B604" t="str">
            <v>KUCME841</v>
          </cell>
          <cell r="S604">
            <v>0</v>
          </cell>
          <cell r="T604">
            <v>0</v>
          </cell>
          <cell r="U604">
            <v>0</v>
          </cell>
        </row>
        <row r="605">
          <cell r="A605" t="str">
            <v>MAY 2014</v>
          </cell>
          <cell r="B605" t="str">
            <v>KUCSR760</v>
          </cell>
          <cell r="P605">
            <v>-1007646.75</v>
          </cell>
          <cell r="R605">
            <v>-1007646.75</v>
          </cell>
          <cell r="S605">
            <v>0</v>
          </cell>
          <cell r="T605">
            <v>0</v>
          </cell>
          <cell r="U605">
            <v>0</v>
          </cell>
        </row>
        <row r="606">
          <cell r="A606" t="str">
            <v>MAY 2014</v>
          </cell>
          <cell r="B606" t="str">
            <v>KUCSR761</v>
          </cell>
          <cell r="P606">
            <v>-29673.38</v>
          </cell>
          <cell r="R606">
            <v>-29673.38</v>
          </cell>
          <cell r="S606">
            <v>0</v>
          </cell>
          <cell r="T606">
            <v>0</v>
          </cell>
          <cell r="U606">
            <v>0</v>
          </cell>
        </row>
        <row r="607">
          <cell r="A607" t="str">
            <v>MAY 2014</v>
          </cell>
          <cell r="B607" t="str">
            <v>KUCSR781</v>
          </cell>
          <cell r="P607">
            <v>-25585.08</v>
          </cell>
          <cell r="R607">
            <v>-25585.08</v>
          </cell>
          <cell r="S607">
            <v>0</v>
          </cell>
          <cell r="T607">
            <v>0</v>
          </cell>
          <cell r="U607">
            <v>0</v>
          </cell>
        </row>
        <row r="608">
          <cell r="A608" t="str">
            <v>MAY 2014</v>
          </cell>
          <cell r="B608" t="str">
            <v>KUCSR783</v>
          </cell>
          <cell r="P608">
            <v>-8800</v>
          </cell>
          <cell r="R608">
            <v>-8800</v>
          </cell>
          <cell r="S608">
            <v>0</v>
          </cell>
          <cell r="T608">
            <v>0</v>
          </cell>
          <cell r="U608">
            <v>0</v>
          </cell>
        </row>
        <row r="609">
          <cell r="A609" t="str">
            <v>MAY 2014</v>
          </cell>
          <cell r="B609" t="str">
            <v>KUCUE851</v>
          </cell>
          <cell r="S609">
            <v>0</v>
          </cell>
          <cell r="T609">
            <v>0</v>
          </cell>
          <cell r="U609">
            <v>0</v>
          </cell>
        </row>
        <row r="610">
          <cell r="A610" t="str">
            <v>MAY 2014</v>
          </cell>
          <cell r="B610" t="str">
            <v>KUCUE852</v>
          </cell>
          <cell r="S610">
            <v>0</v>
          </cell>
          <cell r="T610">
            <v>0</v>
          </cell>
          <cell r="U610">
            <v>0</v>
          </cell>
        </row>
        <row r="611">
          <cell r="A611" t="str">
            <v>MAY 2014</v>
          </cell>
          <cell r="B611" t="str">
            <v>KUINE730</v>
          </cell>
          <cell r="E611">
            <v>47520000</v>
          </cell>
          <cell r="F611">
            <v>750</v>
          </cell>
          <cell r="M611">
            <v>169646.4</v>
          </cell>
          <cell r="R611">
            <v>2579529.79</v>
          </cell>
          <cell r="S611">
            <v>1549627.2</v>
          </cell>
          <cell r="T611">
            <v>821593.87</v>
          </cell>
          <cell r="U611">
            <v>37912.32</v>
          </cell>
        </row>
        <row r="612">
          <cell r="A612" t="str">
            <v>MAY 2014</v>
          </cell>
          <cell r="B612" t="str">
            <v>KUMNE902</v>
          </cell>
          <cell r="E612">
            <v>40618400</v>
          </cell>
          <cell r="M612">
            <v>321291.53999999998</v>
          </cell>
          <cell r="R612">
            <v>2624809.9900000002</v>
          </cell>
          <cell r="S612">
            <v>1223498.68</v>
          </cell>
          <cell r="T612">
            <v>977495.85</v>
          </cell>
          <cell r="U612">
            <v>0</v>
          </cell>
        </row>
        <row r="613">
          <cell r="A613" t="str">
            <v>MAY 2014</v>
          </cell>
          <cell r="B613" t="str">
            <v>KUMNE903</v>
          </cell>
          <cell r="E613">
            <v>84130837</v>
          </cell>
          <cell r="M613">
            <v>659585.76</v>
          </cell>
          <cell r="R613">
            <v>5681109.8099999996</v>
          </cell>
          <cell r="S613">
            <v>2529894.48</v>
          </cell>
          <cell r="T613">
            <v>2244820.81</v>
          </cell>
          <cell r="U613">
            <v>0</v>
          </cell>
        </row>
        <row r="614">
          <cell r="A614" t="str">
            <v>MAY 2014</v>
          </cell>
          <cell r="B614" t="str">
            <v>KUMNE934</v>
          </cell>
          <cell r="E614">
            <v>3624683</v>
          </cell>
          <cell r="M614">
            <v>28417.51</v>
          </cell>
          <cell r="R614">
            <v>186374.3</v>
          </cell>
          <cell r="S614">
            <v>108997.56</v>
          </cell>
          <cell r="T614">
            <v>35447.660000000003</v>
          </cell>
          <cell r="U614">
            <v>0</v>
          </cell>
        </row>
        <row r="615">
          <cell r="A615" t="str">
            <v>MAY 2014</v>
          </cell>
          <cell r="B615" t="str">
            <v>KURSE000</v>
          </cell>
          <cell r="S615">
            <v>0</v>
          </cell>
          <cell r="T615">
            <v>0</v>
          </cell>
          <cell r="U615">
            <v>0</v>
          </cell>
        </row>
        <row r="616">
          <cell r="A616" t="str">
            <v>MAY 2014</v>
          </cell>
          <cell r="B616" t="str">
            <v>KURSE010</v>
          </cell>
          <cell r="E616">
            <v>175043396</v>
          </cell>
          <cell r="F616">
            <v>2451000.14</v>
          </cell>
          <cell r="L616">
            <v>689596.62</v>
          </cell>
          <cell r="M616">
            <v>624516.57999999996</v>
          </cell>
          <cell r="Q616">
            <v>0</v>
          </cell>
          <cell r="R616">
            <v>17699288.760000002</v>
          </cell>
          <cell r="S616">
            <v>13554974.51</v>
          </cell>
          <cell r="T616">
            <v>0</v>
          </cell>
          <cell r="U616">
            <v>379200.91</v>
          </cell>
        </row>
        <row r="617">
          <cell r="A617" t="str">
            <v>MAY 2014</v>
          </cell>
          <cell r="B617" t="str">
            <v>KURSE020</v>
          </cell>
          <cell r="E617">
            <v>176531151</v>
          </cell>
          <cell r="F617">
            <v>2079789.08</v>
          </cell>
          <cell r="L617">
            <v>695562.89</v>
          </cell>
          <cell r="M617">
            <v>629855.61</v>
          </cell>
          <cell r="Q617">
            <v>0</v>
          </cell>
          <cell r="R617">
            <v>17449454.399999999</v>
          </cell>
          <cell r="S617">
            <v>13670628.050000001</v>
          </cell>
          <cell r="T617">
            <v>0</v>
          </cell>
          <cell r="U617">
            <v>373618.77</v>
          </cell>
        </row>
        <row r="618">
          <cell r="A618" t="str">
            <v>MAY 2014</v>
          </cell>
          <cell r="B618" t="str">
            <v>KURSE025</v>
          </cell>
          <cell r="E618">
            <v>403406</v>
          </cell>
          <cell r="F618">
            <v>2612.25</v>
          </cell>
          <cell r="L618">
            <v>1589.33</v>
          </cell>
          <cell r="M618">
            <v>1426.09</v>
          </cell>
          <cell r="R618">
            <v>37666.959999999999</v>
          </cell>
          <cell r="S618">
            <v>31239.800000000003</v>
          </cell>
          <cell r="T618">
            <v>0</v>
          </cell>
          <cell r="U618">
            <v>799.49</v>
          </cell>
        </row>
        <row r="619">
          <cell r="A619" t="str">
            <v>MAY 2014</v>
          </cell>
          <cell r="B619" t="str">
            <v>KURSE040</v>
          </cell>
          <cell r="E619">
            <v>3953</v>
          </cell>
          <cell r="F619">
            <v>53.75</v>
          </cell>
          <cell r="L619">
            <v>15.58</v>
          </cell>
          <cell r="M619">
            <v>14.11</v>
          </cell>
          <cell r="R619">
            <v>371.15</v>
          </cell>
          <cell r="S619">
            <v>279.77</v>
          </cell>
          <cell r="T619">
            <v>0</v>
          </cell>
          <cell r="U619">
            <v>7.94</v>
          </cell>
        </row>
        <row r="620">
          <cell r="A620" t="str">
            <v>MAY 2014</v>
          </cell>
          <cell r="B620" t="str">
            <v>KURSE080</v>
          </cell>
          <cell r="E620">
            <v>61280</v>
          </cell>
          <cell r="F620">
            <v>548.25</v>
          </cell>
          <cell r="L620">
            <v>241.44</v>
          </cell>
          <cell r="M620">
            <v>211.25</v>
          </cell>
          <cell r="R620">
            <v>5867.87</v>
          </cell>
          <cell r="S620">
            <v>4745.5</v>
          </cell>
          <cell r="T620">
            <v>0</v>
          </cell>
          <cell r="U620">
            <v>121.43</v>
          </cell>
        </row>
        <row r="621">
          <cell r="A621" t="str">
            <v>MAY 2014</v>
          </cell>
          <cell r="B621" t="str">
            <v>KURSE715</v>
          </cell>
          <cell r="E621">
            <v>33790</v>
          </cell>
          <cell r="F621">
            <v>561.51</v>
          </cell>
          <cell r="L621">
            <v>133.12</v>
          </cell>
          <cell r="M621">
            <v>120.61</v>
          </cell>
          <cell r="R621">
            <v>3507.13</v>
          </cell>
          <cell r="S621">
            <v>2616.66</v>
          </cell>
          <cell r="T621">
            <v>0</v>
          </cell>
          <cell r="U621">
            <v>75.23</v>
          </cell>
        </row>
        <row r="622">
          <cell r="A622" t="str">
            <v>MAY 2014</v>
          </cell>
          <cell r="B622" t="str">
            <v>KUUM_000</v>
          </cell>
          <cell r="S622">
            <v>0</v>
          </cell>
          <cell r="T622">
            <v>0</v>
          </cell>
          <cell r="U622">
            <v>0</v>
          </cell>
        </row>
        <row r="623">
          <cell r="A623" t="str">
            <v>MAY 2014</v>
          </cell>
          <cell r="B623" t="str">
            <v>KUUM_360</v>
          </cell>
          <cell r="E623">
            <v>9961</v>
          </cell>
          <cell r="M623">
            <v>21.42</v>
          </cell>
          <cell r="Q623">
            <v>0</v>
          </cell>
          <cell r="R623">
            <v>9992.73</v>
          </cell>
          <cell r="S623">
            <v>9848.74</v>
          </cell>
          <cell r="T623">
            <v>0</v>
          </cell>
          <cell r="U623">
            <v>122.57</v>
          </cell>
        </row>
        <row r="624">
          <cell r="A624" t="str">
            <v>MAY 2014</v>
          </cell>
          <cell r="B624" t="str">
            <v>KUUM_361</v>
          </cell>
          <cell r="E624">
            <v>1427</v>
          </cell>
          <cell r="M624">
            <v>3.04</v>
          </cell>
          <cell r="Q624">
            <v>0</v>
          </cell>
          <cell r="R624">
            <v>2107.42</v>
          </cell>
          <cell r="S624">
            <v>2079</v>
          </cell>
          <cell r="T624">
            <v>0</v>
          </cell>
          <cell r="U624">
            <v>25.38</v>
          </cell>
        </row>
        <row r="625">
          <cell r="A625" t="str">
            <v>MAY 2014</v>
          </cell>
          <cell r="B625" t="str">
            <v>KUUM_362</v>
          </cell>
          <cell r="E625">
            <v>1982</v>
          </cell>
          <cell r="M625">
            <v>4.2</v>
          </cell>
          <cell r="Q625">
            <v>0</v>
          </cell>
          <cell r="R625">
            <v>2606.15</v>
          </cell>
          <cell r="S625">
            <v>2570.54</v>
          </cell>
          <cell r="T625">
            <v>0</v>
          </cell>
          <cell r="U625">
            <v>31.41</v>
          </cell>
        </row>
        <row r="626">
          <cell r="A626" t="str">
            <v>MAY 2014</v>
          </cell>
          <cell r="B626" t="str">
            <v>KUUM_363</v>
          </cell>
          <cell r="E626">
            <v>295</v>
          </cell>
          <cell r="M626">
            <v>0.63</v>
          </cell>
          <cell r="Q626">
            <v>0</v>
          </cell>
          <cell r="R626">
            <v>313.14999999999998</v>
          </cell>
          <cell r="S626">
            <v>308.75</v>
          </cell>
          <cell r="T626">
            <v>0</v>
          </cell>
          <cell r="U626">
            <v>3.77</v>
          </cell>
        </row>
        <row r="627">
          <cell r="A627" t="str">
            <v>MAY 2014</v>
          </cell>
          <cell r="B627" t="str">
            <v>KUUM_364</v>
          </cell>
          <cell r="E627">
            <v>59</v>
          </cell>
          <cell r="M627">
            <v>0.13</v>
          </cell>
          <cell r="Q627">
            <v>0</v>
          </cell>
          <cell r="R627">
            <v>64.010000000000005</v>
          </cell>
          <cell r="S627">
            <v>63.11</v>
          </cell>
          <cell r="T627">
            <v>0</v>
          </cell>
          <cell r="U627">
            <v>0.77</v>
          </cell>
        </row>
        <row r="628">
          <cell r="A628" t="str">
            <v>MAY 2014</v>
          </cell>
          <cell r="B628" t="str">
            <v>KUUM_365</v>
          </cell>
          <cell r="E628">
            <v>292</v>
          </cell>
          <cell r="M628">
            <v>0.62</v>
          </cell>
          <cell r="Q628">
            <v>0</v>
          </cell>
          <cell r="R628">
            <v>410.27</v>
          </cell>
          <cell r="S628">
            <v>404.7</v>
          </cell>
          <cell r="T628">
            <v>0</v>
          </cell>
          <cell r="U628">
            <v>4.95</v>
          </cell>
        </row>
        <row r="629">
          <cell r="A629" t="str">
            <v>MAY 2014</v>
          </cell>
          <cell r="B629" t="str">
            <v>KUUM_366</v>
          </cell>
          <cell r="E629">
            <v>528</v>
          </cell>
          <cell r="M629">
            <v>1.1200000000000001</v>
          </cell>
          <cell r="Q629">
            <v>0</v>
          </cell>
          <cell r="R629">
            <v>720.53</v>
          </cell>
          <cell r="S629">
            <v>710.73</v>
          </cell>
          <cell r="T629">
            <v>0</v>
          </cell>
          <cell r="U629">
            <v>8.68</v>
          </cell>
        </row>
        <row r="630">
          <cell r="A630" t="str">
            <v>MAY 2014</v>
          </cell>
          <cell r="B630" t="str">
            <v>KUUM_367</v>
          </cell>
          <cell r="E630">
            <v>1420</v>
          </cell>
          <cell r="M630">
            <v>3.02</v>
          </cell>
          <cell r="Q630">
            <v>0</v>
          </cell>
          <cell r="R630">
            <v>1552.48</v>
          </cell>
          <cell r="S630">
            <v>1530.75</v>
          </cell>
          <cell r="T630">
            <v>0</v>
          </cell>
          <cell r="U630">
            <v>18.71</v>
          </cell>
        </row>
        <row r="631">
          <cell r="A631" t="str">
            <v>MAY 2014</v>
          </cell>
          <cell r="B631" t="str">
            <v>KUUM_368</v>
          </cell>
          <cell r="E631">
            <v>59</v>
          </cell>
          <cell r="M631">
            <v>0.13</v>
          </cell>
          <cell r="Q631">
            <v>0</v>
          </cell>
          <cell r="R631">
            <v>57.51</v>
          </cell>
          <cell r="S631">
            <v>56.69</v>
          </cell>
          <cell r="T631">
            <v>0</v>
          </cell>
          <cell r="U631">
            <v>0.69</v>
          </cell>
        </row>
        <row r="632">
          <cell r="A632" t="str">
            <v>MAY 2014</v>
          </cell>
          <cell r="B632" t="str">
            <v>KUUM_370</v>
          </cell>
          <cell r="E632">
            <v>860</v>
          </cell>
          <cell r="M632">
            <v>1.97</v>
          </cell>
          <cell r="Q632">
            <v>0</v>
          </cell>
          <cell r="R632">
            <v>1134.8800000000001</v>
          </cell>
          <cell r="S632">
            <v>1117.8</v>
          </cell>
          <cell r="T632">
            <v>0</v>
          </cell>
          <cell r="U632">
            <v>15.11</v>
          </cell>
        </row>
        <row r="633">
          <cell r="A633" t="str">
            <v>MAY 2014</v>
          </cell>
          <cell r="B633" t="str">
            <v>KUUM_372</v>
          </cell>
          <cell r="E633">
            <v>59</v>
          </cell>
          <cell r="M633">
            <v>0.13</v>
          </cell>
          <cell r="Q633">
            <v>0</v>
          </cell>
          <cell r="R633">
            <v>83.44</v>
          </cell>
          <cell r="S633">
            <v>82.3</v>
          </cell>
          <cell r="T633">
            <v>0</v>
          </cell>
          <cell r="U633">
            <v>1.01</v>
          </cell>
        </row>
        <row r="634">
          <cell r="A634" t="str">
            <v>MAY 2014</v>
          </cell>
          <cell r="B634" t="str">
            <v>KUUM_373</v>
          </cell>
          <cell r="E634">
            <v>1112</v>
          </cell>
          <cell r="M634">
            <v>2.36</v>
          </cell>
          <cell r="Q634">
            <v>0</v>
          </cell>
          <cell r="R634">
            <v>1510.97</v>
          </cell>
          <cell r="S634">
            <v>1490.4</v>
          </cell>
          <cell r="T634">
            <v>0</v>
          </cell>
          <cell r="U634">
            <v>18.21</v>
          </cell>
        </row>
        <row r="635">
          <cell r="A635" t="str">
            <v>MAY 2014</v>
          </cell>
          <cell r="B635" t="str">
            <v>KUUM_374</v>
          </cell>
          <cell r="E635">
            <v>229</v>
          </cell>
          <cell r="M635">
            <v>0.49</v>
          </cell>
          <cell r="Q635">
            <v>0</v>
          </cell>
          <cell r="R635">
            <v>307.70999999999998</v>
          </cell>
          <cell r="S635">
            <v>303.52</v>
          </cell>
          <cell r="T635">
            <v>0</v>
          </cell>
          <cell r="U635">
            <v>3.7</v>
          </cell>
        </row>
        <row r="636">
          <cell r="A636" t="str">
            <v>MAY 2014</v>
          </cell>
          <cell r="B636" t="str">
            <v>KUUM_375</v>
          </cell>
          <cell r="E636">
            <v>167</v>
          </cell>
          <cell r="M636">
            <v>0.36</v>
          </cell>
          <cell r="Q636">
            <v>0</v>
          </cell>
          <cell r="R636">
            <v>240.16</v>
          </cell>
          <cell r="S636">
            <v>236.91</v>
          </cell>
          <cell r="T636">
            <v>0</v>
          </cell>
          <cell r="U636">
            <v>2.89</v>
          </cell>
        </row>
        <row r="637">
          <cell r="A637" t="str">
            <v>MAY 2014</v>
          </cell>
          <cell r="B637" t="str">
            <v>KUUM_376</v>
          </cell>
          <cell r="E637">
            <v>111</v>
          </cell>
          <cell r="M637">
            <v>0.24</v>
          </cell>
          <cell r="Q637">
            <v>0</v>
          </cell>
          <cell r="R637">
            <v>156.65</v>
          </cell>
          <cell r="S637">
            <v>154.52000000000001</v>
          </cell>
          <cell r="T637">
            <v>0</v>
          </cell>
          <cell r="U637">
            <v>1.89</v>
          </cell>
        </row>
        <row r="638">
          <cell r="A638" t="str">
            <v>MAY 2014</v>
          </cell>
          <cell r="B638" t="str">
            <v>KUUM_377</v>
          </cell>
          <cell r="E638">
            <v>2869</v>
          </cell>
          <cell r="M638">
            <v>6.09</v>
          </cell>
          <cell r="Q638">
            <v>0</v>
          </cell>
          <cell r="R638">
            <v>3319.8</v>
          </cell>
          <cell r="S638">
            <v>3273.69</v>
          </cell>
          <cell r="T638">
            <v>0</v>
          </cell>
          <cell r="U638">
            <v>40.020000000000003</v>
          </cell>
        </row>
        <row r="639">
          <cell r="A639" t="str">
            <v>MAY 2014</v>
          </cell>
          <cell r="B639" t="str">
            <v>KUUM_378</v>
          </cell>
          <cell r="E639">
            <v>111</v>
          </cell>
          <cell r="M639">
            <v>0.24</v>
          </cell>
          <cell r="R639">
            <v>153.88999999999999</v>
          </cell>
          <cell r="S639">
            <v>151.80000000000001</v>
          </cell>
          <cell r="T639">
            <v>0</v>
          </cell>
          <cell r="U639">
            <v>1.85</v>
          </cell>
        </row>
        <row r="640">
          <cell r="A640" t="str">
            <v>MAY 2014</v>
          </cell>
          <cell r="B640" t="str">
            <v>KUUM_401</v>
          </cell>
          <cell r="E640">
            <v>1267</v>
          </cell>
          <cell r="M640">
            <v>4.05</v>
          </cell>
          <cell r="Q640">
            <v>0</v>
          </cell>
          <cell r="R640">
            <v>792.04</v>
          </cell>
          <cell r="S640">
            <v>772.72</v>
          </cell>
          <cell r="T640">
            <v>0</v>
          </cell>
          <cell r="U640">
            <v>15.27</v>
          </cell>
        </row>
        <row r="641">
          <cell r="A641" t="str">
            <v>MAY 2014</v>
          </cell>
          <cell r="B641" t="str">
            <v>KUUM_404</v>
          </cell>
          <cell r="E641">
            <v>424496</v>
          </cell>
          <cell r="M641">
            <v>1510.18</v>
          </cell>
          <cell r="Q641">
            <v>0</v>
          </cell>
          <cell r="R641">
            <v>77761.570000000007</v>
          </cell>
          <cell r="S641">
            <v>74592.94</v>
          </cell>
          <cell r="T641">
            <v>0</v>
          </cell>
          <cell r="U641">
            <v>1658.45</v>
          </cell>
        </row>
        <row r="642">
          <cell r="A642" t="str">
            <v>MAY 2014</v>
          </cell>
          <cell r="B642" t="str">
            <v>KUUM_409</v>
          </cell>
          <cell r="E642">
            <v>19685</v>
          </cell>
          <cell r="M642">
            <v>65</v>
          </cell>
          <cell r="Q642">
            <v>0</v>
          </cell>
          <cell r="R642">
            <v>1750.95</v>
          </cell>
          <cell r="S642">
            <v>1651.11</v>
          </cell>
          <cell r="T642">
            <v>0</v>
          </cell>
          <cell r="U642">
            <v>34.840000000000003</v>
          </cell>
        </row>
        <row r="643">
          <cell r="A643" t="str">
            <v>MAY 2014</v>
          </cell>
          <cell r="B643" t="str">
            <v>KUUM_410</v>
          </cell>
          <cell r="E643">
            <v>4220</v>
          </cell>
          <cell r="M643">
            <v>15.05</v>
          </cell>
          <cell r="Q643">
            <v>0</v>
          </cell>
          <cell r="R643">
            <v>4984.26</v>
          </cell>
          <cell r="S643">
            <v>4862.3999999999996</v>
          </cell>
          <cell r="T643">
            <v>0</v>
          </cell>
          <cell r="U643">
            <v>106.81</v>
          </cell>
        </row>
        <row r="644">
          <cell r="A644" t="str">
            <v>MAY 2014</v>
          </cell>
          <cell r="B644" t="str">
            <v>KUUM_411</v>
          </cell>
          <cell r="E644">
            <v>3617</v>
          </cell>
          <cell r="M644">
            <v>12.92</v>
          </cell>
          <cell r="Q644">
            <v>0</v>
          </cell>
          <cell r="R644">
            <v>3290.43</v>
          </cell>
          <cell r="S644">
            <v>3207</v>
          </cell>
          <cell r="T644">
            <v>0</v>
          </cell>
          <cell r="U644">
            <v>70.510000000000005</v>
          </cell>
        </row>
        <row r="645">
          <cell r="A645" t="str">
            <v>MAY 2014</v>
          </cell>
          <cell r="B645" t="str">
            <v>KUUM_412</v>
          </cell>
          <cell r="E645">
            <v>697</v>
          </cell>
          <cell r="M645">
            <v>2.4900000000000002</v>
          </cell>
          <cell r="Q645">
            <v>0</v>
          </cell>
          <cell r="R645">
            <v>884.98</v>
          </cell>
          <cell r="S645">
            <v>863.52</v>
          </cell>
          <cell r="T645">
            <v>0</v>
          </cell>
          <cell r="U645">
            <v>18.97</v>
          </cell>
        </row>
        <row r="646">
          <cell r="A646" t="str">
            <v>MAY 2014</v>
          </cell>
          <cell r="B646" t="str">
            <v>KUUM_413</v>
          </cell>
          <cell r="E646">
            <v>3357</v>
          </cell>
          <cell r="M646">
            <v>11.99</v>
          </cell>
          <cell r="Q646">
            <v>0</v>
          </cell>
          <cell r="R646">
            <v>3075</v>
          </cell>
          <cell r="S646">
            <v>2997.12</v>
          </cell>
          <cell r="T646">
            <v>0</v>
          </cell>
          <cell r="U646">
            <v>65.89</v>
          </cell>
        </row>
        <row r="647">
          <cell r="A647" t="str">
            <v>MAY 2014</v>
          </cell>
          <cell r="B647" t="str">
            <v>KUUM_414</v>
          </cell>
          <cell r="E647">
            <v>566</v>
          </cell>
          <cell r="M647">
            <v>1.2</v>
          </cell>
          <cell r="Q647">
            <v>0</v>
          </cell>
          <cell r="R647">
            <v>656.76</v>
          </cell>
          <cell r="S647">
            <v>647.64</v>
          </cell>
          <cell r="T647">
            <v>0</v>
          </cell>
          <cell r="U647">
            <v>7.92</v>
          </cell>
        </row>
        <row r="648">
          <cell r="A648" t="str">
            <v>MAY 2014</v>
          </cell>
          <cell r="B648" t="str">
            <v>KUUM_415</v>
          </cell>
          <cell r="E648">
            <v>380</v>
          </cell>
          <cell r="M648">
            <v>0.81</v>
          </cell>
          <cell r="Q648">
            <v>0</v>
          </cell>
          <cell r="R648">
            <v>316.83</v>
          </cell>
          <cell r="S648">
            <v>312.2</v>
          </cell>
          <cell r="T648">
            <v>0</v>
          </cell>
          <cell r="U648">
            <v>3.82</v>
          </cell>
        </row>
        <row r="649">
          <cell r="A649" t="str">
            <v>MAY 2014</v>
          </cell>
          <cell r="B649" t="str">
            <v>KUUM_420</v>
          </cell>
          <cell r="E649">
            <v>16149</v>
          </cell>
          <cell r="M649">
            <v>51.08</v>
          </cell>
          <cell r="Q649">
            <v>0</v>
          </cell>
          <cell r="R649">
            <v>7309.05</v>
          </cell>
          <cell r="S649">
            <v>7118.85</v>
          </cell>
          <cell r="T649">
            <v>0</v>
          </cell>
          <cell r="U649">
            <v>139.12</v>
          </cell>
        </row>
        <row r="650">
          <cell r="A650" t="str">
            <v>MAY 2014</v>
          </cell>
          <cell r="B650" t="str">
            <v>KUUM_421</v>
          </cell>
          <cell r="E650">
            <v>152</v>
          </cell>
          <cell r="M650">
            <v>0.41</v>
          </cell>
          <cell r="Q650">
            <v>0</v>
          </cell>
          <cell r="R650">
            <v>17.649999999999999</v>
          </cell>
          <cell r="S650">
            <v>16.95</v>
          </cell>
          <cell r="T650">
            <v>0</v>
          </cell>
          <cell r="U650">
            <v>0.28999999999999998</v>
          </cell>
        </row>
        <row r="651">
          <cell r="A651" t="str">
            <v>MAY 2014</v>
          </cell>
          <cell r="B651" t="str">
            <v>KUUM_422</v>
          </cell>
          <cell r="E651">
            <v>39662</v>
          </cell>
          <cell r="M651">
            <v>126.38</v>
          </cell>
          <cell r="Q651">
            <v>0</v>
          </cell>
          <cell r="R651">
            <v>3243.25</v>
          </cell>
          <cell r="S651">
            <v>3054.81</v>
          </cell>
          <cell r="T651">
            <v>0</v>
          </cell>
          <cell r="U651">
            <v>62.06</v>
          </cell>
        </row>
        <row r="652">
          <cell r="A652" t="str">
            <v>MAY 2014</v>
          </cell>
          <cell r="B652" t="str">
            <v>KUUM_424</v>
          </cell>
          <cell r="E652">
            <v>4825</v>
          </cell>
          <cell r="M652">
            <v>13.04</v>
          </cell>
          <cell r="Q652">
            <v>0</v>
          </cell>
          <cell r="R652">
            <v>337.15</v>
          </cell>
          <cell r="S652">
            <v>318.66000000000003</v>
          </cell>
          <cell r="T652">
            <v>0</v>
          </cell>
          <cell r="U652">
            <v>5.45</v>
          </cell>
        </row>
        <row r="653">
          <cell r="A653" t="str">
            <v>MAY 2014</v>
          </cell>
          <cell r="B653" t="str">
            <v>KUUM_425</v>
          </cell>
          <cell r="E653">
            <v>279</v>
          </cell>
          <cell r="M653">
            <v>0.99</v>
          </cell>
          <cell r="Q653">
            <v>0</v>
          </cell>
          <cell r="R653">
            <v>19.53</v>
          </cell>
          <cell r="S653">
            <v>18.12</v>
          </cell>
          <cell r="T653">
            <v>0</v>
          </cell>
          <cell r="U653">
            <v>0.42</v>
          </cell>
        </row>
        <row r="654">
          <cell r="A654" t="str">
            <v>MAY 2014</v>
          </cell>
          <cell r="B654" t="str">
            <v>KUUM_426</v>
          </cell>
          <cell r="E654">
            <v>4106</v>
          </cell>
          <cell r="M654">
            <v>14.75</v>
          </cell>
          <cell r="Q654">
            <v>0</v>
          </cell>
          <cell r="R654">
            <v>1298.3599999999999</v>
          </cell>
          <cell r="S654">
            <v>1256.53</v>
          </cell>
          <cell r="T654">
            <v>0</v>
          </cell>
          <cell r="U654">
            <v>27.08</v>
          </cell>
        </row>
        <row r="655">
          <cell r="A655" t="str">
            <v>MAY 2014</v>
          </cell>
          <cell r="B655" t="str">
            <v>KUUM_428</v>
          </cell>
          <cell r="E655">
            <v>1236726</v>
          </cell>
          <cell r="M655">
            <v>4341.84</v>
          </cell>
          <cell r="Q655">
            <v>0</v>
          </cell>
          <cell r="R655">
            <v>295756.84000000003</v>
          </cell>
          <cell r="S655">
            <v>285222.11</v>
          </cell>
          <cell r="T655">
            <v>0</v>
          </cell>
          <cell r="U655">
            <v>6192.89</v>
          </cell>
        </row>
        <row r="656">
          <cell r="A656" t="str">
            <v>MAY 2014</v>
          </cell>
          <cell r="B656" t="str">
            <v>KUUM_430</v>
          </cell>
          <cell r="E656">
            <v>40922</v>
          </cell>
          <cell r="M656">
            <v>134.83000000000001</v>
          </cell>
          <cell r="Q656">
            <v>0</v>
          </cell>
          <cell r="R656">
            <v>26666.87</v>
          </cell>
          <cell r="S656">
            <v>26004</v>
          </cell>
          <cell r="T656">
            <v>0</v>
          </cell>
          <cell r="U656">
            <v>528.04</v>
          </cell>
        </row>
        <row r="657">
          <cell r="A657" t="str">
            <v>MAY 2014</v>
          </cell>
          <cell r="B657" t="str">
            <v>KUUM_434</v>
          </cell>
          <cell r="E657">
            <v>327</v>
          </cell>
          <cell r="M657">
            <v>0.69</v>
          </cell>
          <cell r="Q657">
            <v>0</v>
          </cell>
          <cell r="R657">
            <v>24.2</v>
          </cell>
          <cell r="S657">
            <v>23.22</v>
          </cell>
          <cell r="T657">
            <v>0</v>
          </cell>
          <cell r="U657">
            <v>0.28999999999999998</v>
          </cell>
        </row>
        <row r="658">
          <cell r="A658" t="str">
            <v>MAY 2014</v>
          </cell>
          <cell r="B658" t="str">
            <v>KUUM_440</v>
          </cell>
          <cell r="E658">
            <v>34</v>
          </cell>
          <cell r="M658">
            <v>0.12</v>
          </cell>
          <cell r="Q658">
            <v>0</v>
          </cell>
          <cell r="R658">
            <v>27.94</v>
          </cell>
          <cell r="S658">
            <v>27.22</v>
          </cell>
          <cell r="T658">
            <v>0</v>
          </cell>
          <cell r="U658">
            <v>0.6</v>
          </cell>
        </row>
        <row r="659">
          <cell r="A659" t="str">
            <v>MAY 2014</v>
          </cell>
          <cell r="B659" t="str">
            <v>KUUM_446</v>
          </cell>
          <cell r="E659">
            <v>66536</v>
          </cell>
          <cell r="M659">
            <v>217.84</v>
          </cell>
          <cell r="Q659">
            <v>0</v>
          </cell>
          <cell r="R659">
            <v>10754.65</v>
          </cell>
          <cell r="S659">
            <v>10324.799999999999</v>
          </cell>
          <cell r="T659">
            <v>0</v>
          </cell>
          <cell r="U659">
            <v>212.01</v>
          </cell>
        </row>
        <row r="660">
          <cell r="A660" t="str">
            <v>MAY 2014</v>
          </cell>
          <cell r="B660" t="str">
            <v>KUUM_447</v>
          </cell>
          <cell r="E660">
            <v>66765</v>
          </cell>
          <cell r="M660">
            <v>145.25</v>
          </cell>
          <cell r="Q660">
            <v>0</v>
          </cell>
          <cell r="R660">
            <v>8616.7900000000009</v>
          </cell>
          <cell r="S660">
            <v>8364.34</v>
          </cell>
          <cell r="T660">
            <v>0</v>
          </cell>
          <cell r="U660">
            <v>107.2</v>
          </cell>
        </row>
        <row r="661">
          <cell r="A661" t="str">
            <v>MAY 2014</v>
          </cell>
          <cell r="B661" t="str">
            <v>KUUM_448</v>
          </cell>
          <cell r="E661">
            <v>202882</v>
          </cell>
          <cell r="M661">
            <v>601.08000000000004</v>
          </cell>
          <cell r="Q661">
            <v>0</v>
          </cell>
          <cell r="R661">
            <v>19826.13</v>
          </cell>
          <cell r="S661">
            <v>18874.169999999998</v>
          </cell>
          <cell r="T661">
            <v>0</v>
          </cell>
          <cell r="U661">
            <v>350.88</v>
          </cell>
        </row>
        <row r="662">
          <cell r="A662" t="str">
            <v>MAY 2014</v>
          </cell>
          <cell r="B662" t="str">
            <v>KUUM_450</v>
          </cell>
          <cell r="E662">
            <v>29418</v>
          </cell>
          <cell r="M662">
            <v>103.44</v>
          </cell>
          <cell r="Q662">
            <v>0</v>
          </cell>
          <cell r="R662">
            <v>9852.5499999999993</v>
          </cell>
          <cell r="S662">
            <v>9539.89</v>
          </cell>
          <cell r="T662">
            <v>0</v>
          </cell>
          <cell r="U662">
            <v>209.22</v>
          </cell>
        </row>
        <row r="663">
          <cell r="A663" t="str">
            <v>MAY 2014</v>
          </cell>
          <cell r="B663" t="str">
            <v>KUUM_451</v>
          </cell>
          <cell r="E663">
            <v>532466</v>
          </cell>
          <cell r="M663">
            <v>1869.12</v>
          </cell>
          <cell r="Q663">
            <v>0</v>
          </cell>
          <cell r="R663">
            <v>109104.37</v>
          </cell>
          <cell r="S663">
            <v>104938.45</v>
          </cell>
          <cell r="T663">
            <v>0</v>
          </cell>
          <cell r="U663">
            <v>2296.8000000000002</v>
          </cell>
        </row>
        <row r="664">
          <cell r="A664" t="str">
            <v>MAY 2014</v>
          </cell>
          <cell r="B664" t="str">
            <v>KUUM_452</v>
          </cell>
          <cell r="E664">
            <v>325327</v>
          </cell>
          <cell r="M664">
            <v>1149</v>
          </cell>
          <cell r="Q664">
            <v>0</v>
          </cell>
          <cell r="R664">
            <v>45969.36</v>
          </cell>
          <cell r="S664">
            <v>43845.88</v>
          </cell>
          <cell r="T664">
            <v>0</v>
          </cell>
          <cell r="U664">
            <v>974.48</v>
          </cell>
        </row>
        <row r="665">
          <cell r="A665" t="str">
            <v>MAY 2014</v>
          </cell>
          <cell r="B665" t="str">
            <v>KUUM_454</v>
          </cell>
          <cell r="E665">
            <v>6671</v>
          </cell>
          <cell r="M665">
            <v>23.2</v>
          </cell>
          <cell r="Q665">
            <v>0</v>
          </cell>
          <cell r="R665">
            <v>2887.66</v>
          </cell>
          <cell r="S665">
            <v>2804.34</v>
          </cell>
          <cell r="T665">
            <v>0</v>
          </cell>
          <cell r="U665">
            <v>60.12</v>
          </cell>
        </row>
        <row r="666">
          <cell r="A666" t="str">
            <v>MAY 2014</v>
          </cell>
          <cell r="B666" t="str">
            <v>KUUM_455</v>
          </cell>
          <cell r="E666">
            <v>108538</v>
          </cell>
          <cell r="M666">
            <v>379.79</v>
          </cell>
          <cell r="Q666">
            <v>0</v>
          </cell>
          <cell r="R666">
            <v>26905.03</v>
          </cell>
          <cell r="S666">
            <v>25959.66</v>
          </cell>
          <cell r="T666">
            <v>0</v>
          </cell>
          <cell r="U666">
            <v>565.58000000000004</v>
          </cell>
        </row>
        <row r="667">
          <cell r="A667" t="str">
            <v>MAY 2014</v>
          </cell>
          <cell r="B667" t="str">
            <v>KUUM_456</v>
          </cell>
          <cell r="E667">
            <v>8667</v>
          </cell>
          <cell r="M667">
            <v>29.04</v>
          </cell>
          <cell r="Q667">
            <v>0</v>
          </cell>
          <cell r="R667">
            <v>1725.65</v>
          </cell>
          <cell r="S667">
            <v>1661.8</v>
          </cell>
          <cell r="T667">
            <v>0</v>
          </cell>
          <cell r="U667">
            <v>34.81</v>
          </cell>
        </row>
        <row r="668">
          <cell r="A668" t="str">
            <v>MAY 2014</v>
          </cell>
          <cell r="B668" t="str">
            <v>KUUM_457</v>
          </cell>
          <cell r="E668">
            <v>41184</v>
          </cell>
          <cell r="M668">
            <v>87.44</v>
          </cell>
          <cell r="Q668">
            <v>0</v>
          </cell>
          <cell r="R668">
            <v>6214.56</v>
          </cell>
          <cell r="S668">
            <v>6052.08</v>
          </cell>
          <cell r="T668">
            <v>0</v>
          </cell>
          <cell r="U668">
            <v>75.040000000000006</v>
          </cell>
        </row>
        <row r="669">
          <cell r="A669" t="str">
            <v>MAY 2014</v>
          </cell>
          <cell r="B669" t="str">
            <v>KUUM_458</v>
          </cell>
          <cell r="E669">
            <v>203596</v>
          </cell>
          <cell r="M669">
            <v>521.57000000000005</v>
          </cell>
          <cell r="Q669">
            <v>0</v>
          </cell>
          <cell r="R669">
            <v>23054.400000000001</v>
          </cell>
          <cell r="S669">
            <v>22185.22</v>
          </cell>
          <cell r="T669">
            <v>0</v>
          </cell>
          <cell r="U669">
            <v>347.61</v>
          </cell>
        </row>
        <row r="670">
          <cell r="A670" t="str">
            <v>MAY 2014</v>
          </cell>
          <cell r="B670" t="str">
            <v>KUUM_459</v>
          </cell>
          <cell r="E670">
            <v>69200</v>
          </cell>
          <cell r="M670">
            <v>245.12</v>
          </cell>
          <cell r="Q670">
            <v>0</v>
          </cell>
          <cell r="R670">
            <v>10884.23</v>
          </cell>
          <cell r="S670">
            <v>10407.44</v>
          </cell>
          <cell r="T670">
            <v>0</v>
          </cell>
          <cell r="U670">
            <v>231.67</v>
          </cell>
        </row>
        <row r="671">
          <cell r="A671" t="str">
            <v>MAY 2014</v>
          </cell>
          <cell r="B671" t="str">
            <v>KUUM_460</v>
          </cell>
          <cell r="E671">
            <v>1151</v>
          </cell>
          <cell r="M671">
            <v>3.38</v>
          </cell>
          <cell r="Q671">
            <v>0</v>
          </cell>
          <cell r="R671">
            <v>721.9</v>
          </cell>
          <cell r="S671">
            <v>705.9</v>
          </cell>
          <cell r="T671">
            <v>0</v>
          </cell>
          <cell r="U671">
            <v>12.62</v>
          </cell>
        </row>
        <row r="672">
          <cell r="A672" t="str">
            <v>MAY 2014</v>
          </cell>
          <cell r="B672" t="str">
            <v>KUUM_461</v>
          </cell>
          <cell r="E672">
            <v>124739</v>
          </cell>
          <cell r="M672">
            <v>392.27</v>
          </cell>
          <cell r="Q672">
            <v>0</v>
          </cell>
          <cell r="R672">
            <v>53622.54</v>
          </cell>
          <cell r="S672">
            <v>52220.94</v>
          </cell>
          <cell r="T672">
            <v>0</v>
          </cell>
          <cell r="U672">
            <v>1009.33</v>
          </cell>
        </row>
        <row r="673">
          <cell r="A673" t="str">
            <v>MAY 2014</v>
          </cell>
          <cell r="B673" t="str">
            <v>KUUM_462</v>
          </cell>
          <cell r="E673">
            <v>223648</v>
          </cell>
          <cell r="M673">
            <v>647.91999999999996</v>
          </cell>
          <cell r="Q673">
            <v>0</v>
          </cell>
          <cell r="R673">
            <v>78656.59</v>
          </cell>
          <cell r="S673">
            <v>76651.97</v>
          </cell>
          <cell r="T673">
            <v>0</v>
          </cell>
          <cell r="U673">
            <v>1356.7</v>
          </cell>
        </row>
        <row r="674">
          <cell r="A674" t="str">
            <v>MAY 2014</v>
          </cell>
          <cell r="B674" t="str">
            <v>KUUM_463</v>
          </cell>
          <cell r="E674">
            <v>693781</v>
          </cell>
          <cell r="M674">
            <v>2274.92</v>
          </cell>
          <cell r="Q674">
            <v>0</v>
          </cell>
          <cell r="R674">
            <v>188467.61</v>
          </cell>
          <cell r="S674">
            <v>182480.28</v>
          </cell>
          <cell r="T674">
            <v>0</v>
          </cell>
          <cell r="U674">
            <v>3712.41</v>
          </cell>
        </row>
        <row r="675">
          <cell r="A675" t="str">
            <v>MAY 2014</v>
          </cell>
          <cell r="B675" t="str">
            <v>KUUM_464</v>
          </cell>
          <cell r="E675">
            <v>549134</v>
          </cell>
          <cell r="M675">
            <v>1776.95</v>
          </cell>
          <cell r="Q675">
            <v>0</v>
          </cell>
          <cell r="R675">
            <v>112552.77</v>
          </cell>
          <cell r="S675">
            <v>108590</v>
          </cell>
          <cell r="T675">
            <v>0</v>
          </cell>
          <cell r="U675">
            <v>2185.8200000000002</v>
          </cell>
        </row>
        <row r="676">
          <cell r="A676" t="str">
            <v>MAY 2014</v>
          </cell>
          <cell r="B676" t="str">
            <v>KUUM_465</v>
          </cell>
          <cell r="E676">
            <v>390816</v>
          </cell>
          <cell r="M676">
            <v>1322.78</v>
          </cell>
          <cell r="Q676">
            <v>0</v>
          </cell>
          <cell r="R676">
            <v>66853.47</v>
          </cell>
          <cell r="S676">
            <v>64172.78</v>
          </cell>
          <cell r="T676">
            <v>0</v>
          </cell>
          <cell r="U676">
            <v>1357.91</v>
          </cell>
        </row>
        <row r="677">
          <cell r="A677" t="str">
            <v>MAY 2014</v>
          </cell>
          <cell r="B677" t="str">
            <v>KUUM_465CU</v>
          </cell>
          <cell r="E677">
            <v>386</v>
          </cell>
          <cell r="S677">
            <v>0</v>
          </cell>
          <cell r="T677">
            <v>0</v>
          </cell>
          <cell r="U677">
            <v>0</v>
          </cell>
        </row>
        <row r="678">
          <cell r="A678" t="str">
            <v>MAY 2014</v>
          </cell>
          <cell r="B678" t="str">
            <v>KUUM_466</v>
          </cell>
          <cell r="E678">
            <v>15497</v>
          </cell>
          <cell r="M678">
            <v>49.67</v>
          </cell>
          <cell r="Q678">
            <v>0</v>
          </cell>
          <cell r="R678">
            <v>8447.49</v>
          </cell>
          <cell r="S678">
            <v>8235.36</v>
          </cell>
          <cell r="T678">
            <v>0</v>
          </cell>
          <cell r="U678">
            <v>162.46</v>
          </cell>
        </row>
        <row r="679">
          <cell r="A679" t="str">
            <v>MAY 2014</v>
          </cell>
          <cell r="B679" t="str">
            <v>KUUM_467</v>
          </cell>
          <cell r="E679">
            <v>33707</v>
          </cell>
          <cell r="M679">
            <v>107.57</v>
          </cell>
          <cell r="Q679">
            <v>0</v>
          </cell>
          <cell r="R679">
            <v>15066.02</v>
          </cell>
          <cell r="S679">
            <v>14669.46</v>
          </cell>
          <cell r="T679">
            <v>0</v>
          </cell>
          <cell r="U679">
            <v>288.99</v>
          </cell>
        </row>
        <row r="680">
          <cell r="A680" t="str">
            <v>MAY 2014</v>
          </cell>
          <cell r="B680" t="str">
            <v>KUUM_468</v>
          </cell>
          <cell r="E680">
            <v>139149</v>
          </cell>
          <cell r="M680">
            <v>483.04</v>
          </cell>
          <cell r="Q680">
            <v>0</v>
          </cell>
          <cell r="R680">
            <v>46368.86</v>
          </cell>
          <cell r="S680">
            <v>44917.89</v>
          </cell>
          <cell r="T680">
            <v>0</v>
          </cell>
          <cell r="U680">
            <v>967.93</v>
          </cell>
        </row>
        <row r="681">
          <cell r="A681" t="str">
            <v>MAY 2014</v>
          </cell>
          <cell r="B681" t="str">
            <v>KUUM_469</v>
          </cell>
          <cell r="E681">
            <v>30191</v>
          </cell>
          <cell r="M681">
            <v>105.74</v>
          </cell>
          <cell r="Q681">
            <v>0</v>
          </cell>
          <cell r="R681">
            <v>10048.32</v>
          </cell>
          <cell r="S681">
            <v>9731.4</v>
          </cell>
          <cell r="T681">
            <v>0</v>
          </cell>
          <cell r="U681">
            <v>211.18</v>
          </cell>
        </row>
        <row r="682">
          <cell r="A682" t="str">
            <v>MAY 2014</v>
          </cell>
          <cell r="B682" t="str">
            <v>KUUM_470</v>
          </cell>
          <cell r="E682">
            <v>18805</v>
          </cell>
          <cell r="M682">
            <v>67.14</v>
          </cell>
          <cell r="Q682">
            <v>0</v>
          </cell>
          <cell r="R682">
            <v>3512.66</v>
          </cell>
          <cell r="S682">
            <v>3370.25</v>
          </cell>
          <cell r="T682">
            <v>0</v>
          </cell>
          <cell r="U682">
            <v>75.27</v>
          </cell>
        </row>
        <row r="683">
          <cell r="A683" t="str">
            <v>MAY 2014</v>
          </cell>
          <cell r="B683" t="str">
            <v>KUUM_471</v>
          </cell>
          <cell r="E683">
            <v>67777</v>
          </cell>
          <cell r="M683">
            <v>143.81</v>
          </cell>
          <cell r="Q683">
            <v>0</v>
          </cell>
          <cell r="R683">
            <v>39071.589999999997</v>
          </cell>
          <cell r="S683">
            <v>38456.339999999997</v>
          </cell>
          <cell r="T683">
            <v>0</v>
          </cell>
          <cell r="U683">
            <v>471.44</v>
          </cell>
        </row>
        <row r="684">
          <cell r="A684" t="str">
            <v>MAY 2014</v>
          </cell>
          <cell r="B684" t="str">
            <v>KUUM_472</v>
          </cell>
          <cell r="E684">
            <v>223370</v>
          </cell>
          <cell r="M684">
            <v>476.78</v>
          </cell>
          <cell r="Q684">
            <v>0</v>
          </cell>
          <cell r="R684">
            <v>103125.43</v>
          </cell>
          <cell r="S684">
            <v>101395.6</v>
          </cell>
          <cell r="T684">
            <v>0</v>
          </cell>
          <cell r="U684">
            <v>1253.05</v>
          </cell>
        </row>
        <row r="685">
          <cell r="A685" t="str">
            <v>MAY 2014</v>
          </cell>
          <cell r="B685" t="str">
            <v>KUUM_473</v>
          </cell>
          <cell r="E685">
            <v>118945</v>
          </cell>
          <cell r="M685">
            <v>316.35000000000002</v>
          </cell>
          <cell r="Q685">
            <v>0</v>
          </cell>
          <cell r="R685">
            <v>42507.24</v>
          </cell>
          <cell r="S685">
            <v>41522.339999999997</v>
          </cell>
          <cell r="T685">
            <v>0</v>
          </cell>
          <cell r="U685">
            <v>668.55</v>
          </cell>
        </row>
        <row r="686">
          <cell r="A686" t="str">
            <v>MAY 2014</v>
          </cell>
          <cell r="B686" t="str">
            <v>KUUM_474</v>
          </cell>
          <cell r="E686">
            <v>378907</v>
          </cell>
          <cell r="M686">
            <v>1011.61</v>
          </cell>
          <cell r="Q686">
            <v>0</v>
          </cell>
          <cell r="R686">
            <v>92525.96</v>
          </cell>
          <cell r="S686">
            <v>90056.12</v>
          </cell>
          <cell r="T686">
            <v>0</v>
          </cell>
          <cell r="U686">
            <v>1458.23</v>
          </cell>
        </row>
        <row r="687">
          <cell r="A687" t="str">
            <v>MAY 2014</v>
          </cell>
          <cell r="B687" t="str">
            <v>KUUM_475</v>
          </cell>
          <cell r="E687">
            <v>74515</v>
          </cell>
          <cell r="M687">
            <v>198.01</v>
          </cell>
          <cell r="Q687">
            <v>0</v>
          </cell>
          <cell r="R687">
            <v>12999.21</v>
          </cell>
          <cell r="S687">
            <v>12596.9</v>
          </cell>
          <cell r="T687">
            <v>0</v>
          </cell>
          <cell r="U687">
            <v>204.3</v>
          </cell>
        </row>
        <row r="688">
          <cell r="A688" t="str">
            <v>MAY 2014</v>
          </cell>
          <cell r="B688" t="str">
            <v>KUUM_476</v>
          </cell>
          <cell r="E688">
            <v>116639</v>
          </cell>
          <cell r="M688">
            <v>247.97</v>
          </cell>
          <cell r="Q688">
            <v>0</v>
          </cell>
          <cell r="R688">
            <v>77809.66</v>
          </cell>
          <cell r="S688">
            <v>76620.61</v>
          </cell>
          <cell r="T688">
            <v>0</v>
          </cell>
          <cell r="U688">
            <v>941.08</v>
          </cell>
        </row>
        <row r="689">
          <cell r="A689" t="str">
            <v>MAY 2014</v>
          </cell>
          <cell r="B689" t="str">
            <v>KUUM_477</v>
          </cell>
          <cell r="E689">
            <v>37197</v>
          </cell>
          <cell r="M689">
            <v>104.36</v>
          </cell>
          <cell r="Q689">
            <v>0</v>
          </cell>
          <cell r="R689">
            <v>22539.57</v>
          </cell>
          <cell r="S689">
            <v>22060.44</v>
          </cell>
          <cell r="T689">
            <v>0</v>
          </cell>
          <cell r="U689">
            <v>374.77</v>
          </cell>
        </row>
        <row r="690">
          <cell r="A690" t="str">
            <v>MAY 2014</v>
          </cell>
          <cell r="B690" t="str">
            <v>KUUM_478</v>
          </cell>
          <cell r="E690">
            <v>102574</v>
          </cell>
          <cell r="M690">
            <v>301.06</v>
          </cell>
          <cell r="Q690">
            <v>0</v>
          </cell>
          <cell r="R690">
            <v>38833.160000000003</v>
          </cell>
          <cell r="S690">
            <v>37853.800000000003</v>
          </cell>
          <cell r="T690">
            <v>0</v>
          </cell>
          <cell r="U690">
            <v>678.3</v>
          </cell>
        </row>
        <row r="691">
          <cell r="A691" t="str">
            <v>MAY 2014</v>
          </cell>
          <cell r="B691" t="str">
            <v>KUUM_479</v>
          </cell>
          <cell r="E691">
            <v>131393</v>
          </cell>
          <cell r="M691">
            <v>443.36</v>
          </cell>
          <cell r="Q691">
            <v>0</v>
          </cell>
          <cell r="R691">
            <v>32478.97</v>
          </cell>
          <cell r="S691">
            <v>31377.89</v>
          </cell>
          <cell r="T691">
            <v>0</v>
          </cell>
          <cell r="U691">
            <v>657.72</v>
          </cell>
        </row>
        <row r="692">
          <cell r="A692" t="str">
            <v>MAY 2014</v>
          </cell>
          <cell r="B692" t="str">
            <v>KUUM_487</v>
          </cell>
          <cell r="E692">
            <v>377034</v>
          </cell>
          <cell r="M692">
            <v>1320.7</v>
          </cell>
          <cell r="Q692">
            <v>0</v>
          </cell>
          <cell r="R692">
            <v>103312.14</v>
          </cell>
          <cell r="S692">
            <v>99785.89</v>
          </cell>
          <cell r="T692">
            <v>0</v>
          </cell>
          <cell r="U692">
            <v>2205.5500000000002</v>
          </cell>
        </row>
        <row r="693">
          <cell r="A693" t="str">
            <v>MAY 2014</v>
          </cell>
          <cell r="B693" t="str">
            <v>KUUM_488</v>
          </cell>
          <cell r="E693">
            <v>467243</v>
          </cell>
          <cell r="M693">
            <v>1643.81</v>
          </cell>
          <cell r="Q693">
            <v>0</v>
          </cell>
          <cell r="R693">
            <v>93730.1</v>
          </cell>
          <cell r="S693">
            <v>90121.58</v>
          </cell>
          <cell r="T693">
            <v>0</v>
          </cell>
          <cell r="U693">
            <v>1964.71</v>
          </cell>
        </row>
        <row r="694">
          <cell r="A694" t="str">
            <v>MAY 2014</v>
          </cell>
          <cell r="B694" t="str">
            <v>KUUM_489</v>
          </cell>
          <cell r="E694">
            <v>1154025</v>
          </cell>
          <cell r="M694">
            <v>4008.48</v>
          </cell>
          <cell r="Q694">
            <v>0</v>
          </cell>
          <cell r="R694">
            <v>169994.75</v>
          </cell>
          <cell r="S694">
            <v>162434.04</v>
          </cell>
          <cell r="T694">
            <v>0</v>
          </cell>
          <cell r="U694">
            <v>3552.23</v>
          </cell>
        </row>
        <row r="695">
          <cell r="A695" t="str">
            <v>MAY 2014</v>
          </cell>
          <cell r="B695" t="str">
            <v>KUUM_490</v>
          </cell>
          <cell r="E695">
            <v>2608</v>
          </cell>
          <cell r="M695">
            <v>9.24</v>
          </cell>
          <cell r="Q695">
            <v>0</v>
          </cell>
          <cell r="R695">
            <v>926.18</v>
          </cell>
          <cell r="S695">
            <v>897.26</v>
          </cell>
          <cell r="T695">
            <v>0</v>
          </cell>
          <cell r="U695">
            <v>19.68</v>
          </cell>
        </row>
        <row r="696">
          <cell r="A696" t="str">
            <v>MAY 2014</v>
          </cell>
          <cell r="B696" t="str">
            <v>KUUM_491</v>
          </cell>
          <cell r="E696">
            <v>30423</v>
          </cell>
          <cell r="M696">
            <v>107.23</v>
          </cell>
          <cell r="Q696">
            <v>0</v>
          </cell>
          <cell r="R696">
            <v>6718.74</v>
          </cell>
          <cell r="S696">
            <v>6469.35</v>
          </cell>
          <cell r="T696">
            <v>0</v>
          </cell>
          <cell r="U696">
            <v>142.16</v>
          </cell>
        </row>
        <row r="697">
          <cell r="A697" t="str">
            <v>MAY 2014</v>
          </cell>
          <cell r="B697" t="str">
            <v>KUUM_492</v>
          </cell>
          <cell r="E697">
            <v>45</v>
          </cell>
          <cell r="M697">
            <v>0.16</v>
          </cell>
          <cell r="R697">
            <v>31.58</v>
          </cell>
          <cell r="S697">
            <v>30.74</v>
          </cell>
          <cell r="T697">
            <v>0</v>
          </cell>
          <cell r="U697">
            <v>0.68</v>
          </cell>
        </row>
        <row r="698">
          <cell r="A698" t="str">
            <v>MAY 2014</v>
          </cell>
          <cell r="B698" t="str">
            <v>KUUM_493</v>
          </cell>
          <cell r="E698">
            <v>13934</v>
          </cell>
          <cell r="M698">
            <v>49.73</v>
          </cell>
          <cell r="Q698">
            <v>0</v>
          </cell>
          <cell r="R698">
            <v>2058.9499999999998</v>
          </cell>
          <cell r="S698">
            <v>1965.1</v>
          </cell>
          <cell r="T698">
            <v>0</v>
          </cell>
          <cell r="U698">
            <v>44.12</v>
          </cell>
        </row>
        <row r="699">
          <cell r="A699" t="str">
            <v>MAY 2014</v>
          </cell>
          <cell r="B699" t="str">
            <v>KUUM_494</v>
          </cell>
          <cell r="E699">
            <v>7629</v>
          </cell>
          <cell r="M699">
            <v>25.07</v>
          </cell>
          <cell r="Q699">
            <v>0</v>
          </cell>
          <cell r="R699">
            <v>4887.6000000000004</v>
          </cell>
          <cell r="S699">
            <v>4766.16</v>
          </cell>
          <cell r="T699">
            <v>0</v>
          </cell>
          <cell r="U699">
            <v>96.37</v>
          </cell>
        </row>
        <row r="700">
          <cell r="A700" t="str">
            <v>MAY 2014</v>
          </cell>
          <cell r="B700" t="str">
            <v>KUUM_495</v>
          </cell>
          <cell r="E700">
            <v>63234</v>
          </cell>
          <cell r="M700">
            <v>224.81</v>
          </cell>
          <cell r="Q700">
            <v>0</v>
          </cell>
          <cell r="R700">
            <v>22211.8</v>
          </cell>
          <cell r="S700">
            <v>21513.040000000001</v>
          </cell>
          <cell r="T700">
            <v>0</v>
          </cell>
          <cell r="U700">
            <v>473.95</v>
          </cell>
        </row>
        <row r="701">
          <cell r="A701" t="str">
            <v>MAY 2014</v>
          </cell>
          <cell r="B701" t="str">
            <v>KUUM_496</v>
          </cell>
          <cell r="E701">
            <v>48358</v>
          </cell>
          <cell r="M701">
            <v>168.27</v>
          </cell>
          <cell r="Q701">
            <v>0</v>
          </cell>
          <cell r="R701">
            <v>9387.27</v>
          </cell>
          <cell r="S701">
            <v>9022.86</v>
          </cell>
          <cell r="T701">
            <v>0</v>
          </cell>
          <cell r="U701">
            <v>196.14</v>
          </cell>
        </row>
        <row r="702">
          <cell r="A702" t="str">
            <v>MAY 2014</v>
          </cell>
          <cell r="B702" t="str">
            <v>KUUM_497</v>
          </cell>
          <cell r="E702">
            <v>325</v>
          </cell>
          <cell r="M702">
            <v>1.1499999999999999</v>
          </cell>
          <cell r="R702">
            <v>158.04</v>
          </cell>
          <cell r="S702">
            <v>153.5</v>
          </cell>
          <cell r="T702">
            <v>0</v>
          </cell>
          <cell r="U702">
            <v>3.39</v>
          </cell>
        </row>
        <row r="703">
          <cell r="A703" t="str">
            <v>MAY 2014</v>
          </cell>
          <cell r="B703" t="str">
            <v>KUUM_498</v>
          </cell>
          <cell r="E703">
            <v>1763</v>
          </cell>
          <cell r="M703">
            <v>6.31</v>
          </cell>
          <cell r="R703">
            <v>441.04</v>
          </cell>
          <cell r="S703">
            <v>425.28</v>
          </cell>
          <cell r="T703">
            <v>0</v>
          </cell>
          <cell r="U703">
            <v>9.4499999999999993</v>
          </cell>
        </row>
        <row r="704">
          <cell r="A704" t="str">
            <v>MAY 2014</v>
          </cell>
          <cell r="B704" t="str">
            <v>KUUM_499</v>
          </cell>
          <cell r="E704">
            <v>3265</v>
          </cell>
          <cell r="M704">
            <v>11.44</v>
          </cell>
          <cell r="R704">
            <v>538.54</v>
          </cell>
          <cell r="S704">
            <v>515.76</v>
          </cell>
          <cell r="T704">
            <v>0</v>
          </cell>
          <cell r="U704">
            <v>11.34</v>
          </cell>
        </row>
        <row r="705">
          <cell r="A705" t="str">
            <v>MAY 2014</v>
          </cell>
          <cell r="B705" t="str">
            <v>KUUM_820</v>
          </cell>
          <cell r="R705">
            <v>121.42</v>
          </cell>
          <cell r="S705">
            <v>0</v>
          </cell>
          <cell r="T705">
            <v>0</v>
          </cell>
          <cell r="U705">
            <v>0</v>
          </cell>
        </row>
        <row r="706">
          <cell r="A706" t="str">
            <v>MAY 2014</v>
          </cell>
          <cell r="B706" t="str">
            <v>KUUM_825</v>
          </cell>
          <cell r="R706">
            <v>80364.73</v>
          </cell>
          <cell r="S706">
            <v>0</v>
          </cell>
          <cell r="T706">
            <v>0</v>
          </cell>
          <cell r="U706">
            <v>0</v>
          </cell>
        </row>
        <row r="707">
          <cell r="A707" t="str">
            <v>MAY 2014</v>
          </cell>
          <cell r="B707" t="str">
            <v>KUUM_826</v>
          </cell>
          <cell r="R707">
            <v>9344.3700000000008</v>
          </cell>
          <cell r="S707">
            <v>0</v>
          </cell>
          <cell r="T707">
            <v>0</v>
          </cell>
          <cell r="U707">
            <v>0</v>
          </cell>
        </row>
        <row r="708">
          <cell r="A708" t="str">
            <v>MAY 2014</v>
          </cell>
          <cell r="B708" t="str">
            <v>KUUM_827</v>
          </cell>
          <cell r="F708">
            <v>30071.07</v>
          </cell>
          <cell r="R708">
            <v>30071.07</v>
          </cell>
          <cell r="S708">
            <v>0</v>
          </cell>
          <cell r="T708">
            <v>0</v>
          </cell>
          <cell r="U708">
            <v>0</v>
          </cell>
        </row>
        <row r="709">
          <cell r="A709" t="str">
            <v>MAY 2014</v>
          </cell>
          <cell r="B709" t="str">
            <v>KUUM_828</v>
          </cell>
          <cell r="R709">
            <v>31761.16</v>
          </cell>
          <cell r="S709">
            <v>0</v>
          </cell>
          <cell r="T709">
            <v>0</v>
          </cell>
          <cell r="U709">
            <v>0</v>
          </cell>
        </row>
        <row r="710">
          <cell r="A710" t="str">
            <v>MAY 2014</v>
          </cell>
          <cell r="B710" t="str">
            <v>KUUM_829</v>
          </cell>
          <cell r="R710">
            <v>0</v>
          </cell>
          <cell r="S710">
            <v>0</v>
          </cell>
          <cell r="T710">
            <v>0</v>
          </cell>
          <cell r="U710">
            <v>0</v>
          </cell>
        </row>
        <row r="711">
          <cell r="A711" t="str">
            <v>MAY 2014</v>
          </cell>
          <cell r="B711" t="str">
            <v>Result</v>
          </cell>
          <cell r="E711">
            <v>1469391832</v>
          </cell>
          <cell r="F711">
            <v>7173705.5700000003</v>
          </cell>
          <cell r="L711">
            <v>2188979.5099999998</v>
          </cell>
          <cell r="M711">
            <v>5646779.5499999998</v>
          </cell>
          <cell r="P711">
            <v>-1071705.21</v>
          </cell>
          <cell r="Q711">
            <v>0</v>
          </cell>
          <cell r="R711">
            <v>119213039.27</v>
          </cell>
          <cell r="S711">
            <v>76984390.349999994</v>
          </cell>
          <cell r="T711">
            <v>25513777.540000003</v>
          </cell>
          <cell r="U711">
            <v>2293340.21</v>
          </cell>
        </row>
        <row r="712">
          <cell r="A712" t="str">
            <v>JUN 2014</v>
          </cell>
          <cell r="B712" t="str">
            <v>KTRSE020</v>
          </cell>
          <cell r="E712">
            <v>3486</v>
          </cell>
          <cell r="F712">
            <v>25.5</v>
          </cell>
          <cell r="R712">
            <v>262.73</v>
          </cell>
          <cell r="S712">
            <v>237.23</v>
          </cell>
          <cell r="T712">
            <v>0</v>
          </cell>
          <cell r="U712">
            <v>0</v>
          </cell>
        </row>
        <row r="713">
          <cell r="A713" t="str">
            <v>JUN 2014</v>
          </cell>
          <cell r="B713" t="str">
            <v>KTRSE030</v>
          </cell>
          <cell r="E713">
            <v>760</v>
          </cell>
          <cell r="F713">
            <v>8.5</v>
          </cell>
          <cell r="R713">
            <v>60.22</v>
          </cell>
          <cell r="S713">
            <v>51.72</v>
          </cell>
          <cell r="T713">
            <v>0</v>
          </cell>
          <cell r="U713">
            <v>0</v>
          </cell>
        </row>
        <row r="714">
          <cell r="A714" t="str">
            <v>JUN 2014</v>
          </cell>
          <cell r="B714" t="str">
            <v>KTUM_406</v>
          </cell>
          <cell r="E714">
            <v>104</v>
          </cell>
          <cell r="R714">
            <v>19.04</v>
          </cell>
          <cell r="S714">
            <v>19.04</v>
          </cell>
          <cell r="T714">
            <v>0</v>
          </cell>
          <cell r="U714">
            <v>0</v>
          </cell>
        </row>
        <row r="715">
          <cell r="A715" t="str">
            <v>JUN 2014</v>
          </cell>
          <cell r="B715" t="str">
            <v>KTUM_428</v>
          </cell>
          <cell r="E715">
            <v>29</v>
          </cell>
          <cell r="R715">
            <v>6.9</v>
          </cell>
          <cell r="S715">
            <v>6.9</v>
          </cell>
          <cell r="T715">
            <v>0</v>
          </cell>
          <cell r="U715">
            <v>0</v>
          </cell>
        </row>
        <row r="716">
          <cell r="A716" t="str">
            <v>JUN 2014</v>
          </cell>
          <cell r="B716" t="str">
            <v>KUCIE000</v>
          </cell>
          <cell r="S716">
            <v>0</v>
          </cell>
          <cell r="T716">
            <v>0</v>
          </cell>
          <cell r="U716">
            <v>0</v>
          </cell>
        </row>
        <row r="717">
          <cell r="A717" t="str">
            <v>JUN 2014</v>
          </cell>
          <cell r="B717" t="str">
            <v>KUCIE550</v>
          </cell>
          <cell r="E717">
            <v>133910524</v>
          </cell>
          <cell r="F717">
            <v>24000</v>
          </cell>
          <cell r="L717">
            <v>0</v>
          </cell>
          <cell r="M717">
            <v>660142.5</v>
          </cell>
          <cell r="R717">
            <v>8152718.6699999999</v>
          </cell>
          <cell r="S717">
            <v>4866308.45</v>
          </cell>
          <cell r="T717">
            <v>2424992.5500000003</v>
          </cell>
          <cell r="U717">
            <v>177275.17</v>
          </cell>
        </row>
        <row r="718">
          <cell r="A718" t="str">
            <v>JUN 2014</v>
          </cell>
          <cell r="B718" t="str">
            <v>KUCIE561</v>
          </cell>
          <cell r="E718">
            <v>4570312</v>
          </cell>
          <cell r="F718">
            <v>28152</v>
          </cell>
          <cell r="L718">
            <v>5430.59</v>
          </cell>
          <cell r="M718">
            <v>22657.98</v>
          </cell>
          <cell r="R718">
            <v>477028.16</v>
          </cell>
          <cell r="S718">
            <v>162794.47999999998</v>
          </cell>
          <cell r="T718">
            <v>242151.79</v>
          </cell>
          <cell r="U718">
            <v>15841.32</v>
          </cell>
        </row>
        <row r="719">
          <cell r="A719" t="str">
            <v>JUN 2014</v>
          </cell>
          <cell r="B719" t="str">
            <v>KUCIE562</v>
          </cell>
          <cell r="E719">
            <v>148883695</v>
          </cell>
          <cell r="F719">
            <v>433991.66</v>
          </cell>
          <cell r="L719">
            <v>194605.49</v>
          </cell>
          <cell r="M719">
            <v>729694.57</v>
          </cell>
          <cell r="R719">
            <v>13883463.560000001</v>
          </cell>
          <cell r="S719">
            <v>5306214.6899999995</v>
          </cell>
          <cell r="T719">
            <v>6788656.8200000003</v>
          </cell>
          <cell r="U719">
            <v>430300.33</v>
          </cell>
        </row>
        <row r="720">
          <cell r="A720" t="str">
            <v>JUN 2014</v>
          </cell>
          <cell r="B720" t="str">
            <v>KUCIE563</v>
          </cell>
          <cell r="E720">
            <v>258255428</v>
          </cell>
          <cell r="F720">
            <v>16200</v>
          </cell>
          <cell r="L720">
            <v>63642.54</v>
          </cell>
          <cell r="M720">
            <v>1174837.7</v>
          </cell>
          <cell r="R720">
            <v>15672125.93</v>
          </cell>
          <cell r="S720">
            <v>9723316.8800000008</v>
          </cell>
          <cell r="T720">
            <v>4375095.3599999994</v>
          </cell>
          <cell r="U720">
            <v>319033.45</v>
          </cell>
        </row>
        <row r="721">
          <cell r="A721" t="str">
            <v>JUN 2014</v>
          </cell>
          <cell r="B721" t="str">
            <v>KUCIE566</v>
          </cell>
          <cell r="E721">
            <v>23110040</v>
          </cell>
          <cell r="F721">
            <v>13163.67</v>
          </cell>
          <cell r="L721">
            <v>18850.419999999998</v>
          </cell>
          <cell r="M721">
            <v>111619.31</v>
          </cell>
          <cell r="R721">
            <v>1860575.84</v>
          </cell>
          <cell r="S721">
            <v>823179.59</v>
          </cell>
          <cell r="T721">
            <v>841899.77</v>
          </cell>
          <cell r="U721">
            <v>51863.08</v>
          </cell>
        </row>
        <row r="722">
          <cell r="A722" t="str">
            <v>JUN 2014</v>
          </cell>
          <cell r="B722" t="str">
            <v>KUCIE568</v>
          </cell>
          <cell r="E722">
            <v>60748792</v>
          </cell>
          <cell r="F722">
            <v>34735.870000000003</v>
          </cell>
          <cell r="L722">
            <v>50940.480000000003</v>
          </cell>
          <cell r="M722">
            <v>298801.51</v>
          </cell>
          <cell r="R722">
            <v>5085007.07</v>
          </cell>
          <cell r="S722">
            <v>2165086.9500000002</v>
          </cell>
          <cell r="T722">
            <v>2387707.67</v>
          </cell>
          <cell r="U722">
            <v>147734.59</v>
          </cell>
        </row>
        <row r="723">
          <cell r="A723" t="str">
            <v>JUN 2014</v>
          </cell>
          <cell r="B723" t="str">
            <v>KUCIE571</v>
          </cell>
          <cell r="E723">
            <v>106841640</v>
          </cell>
          <cell r="F723">
            <v>46560</v>
          </cell>
          <cell r="L723">
            <v>37453.599999999999</v>
          </cell>
          <cell r="M723">
            <v>520315.37</v>
          </cell>
          <cell r="R723">
            <v>7088447.4299999997</v>
          </cell>
          <cell r="S723">
            <v>4022587.7700000005</v>
          </cell>
          <cell r="T723">
            <v>2293887.0700000003</v>
          </cell>
          <cell r="U723">
            <v>167643.62</v>
          </cell>
        </row>
        <row r="724">
          <cell r="A724" t="str">
            <v>JUN 2014</v>
          </cell>
          <cell r="B724" t="str">
            <v>KUCIE572</v>
          </cell>
          <cell r="E724">
            <v>114521799</v>
          </cell>
          <cell r="F724">
            <v>91888.33</v>
          </cell>
          <cell r="L724">
            <v>90860.2</v>
          </cell>
          <cell r="M724">
            <v>555064.85</v>
          </cell>
          <cell r="R724">
            <v>8283971.29</v>
          </cell>
          <cell r="S724">
            <v>4320907.57</v>
          </cell>
          <cell r="T724">
            <v>3012931.35</v>
          </cell>
          <cell r="U724">
            <v>212318.99</v>
          </cell>
        </row>
        <row r="725">
          <cell r="A725" t="str">
            <v>JUN 2014</v>
          </cell>
          <cell r="B725" t="str">
            <v>KUCIE717</v>
          </cell>
          <cell r="E725">
            <v>31680</v>
          </cell>
          <cell r="F725">
            <v>90</v>
          </cell>
          <cell r="L725">
            <v>43.4</v>
          </cell>
          <cell r="M725">
            <v>157.44999999999999</v>
          </cell>
          <cell r="R725">
            <v>3047.31</v>
          </cell>
          <cell r="S725">
            <v>1129.08</v>
          </cell>
          <cell r="T725">
            <v>1530</v>
          </cell>
          <cell r="U725">
            <v>97.38</v>
          </cell>
        </row>
        <row r="726">
          <cell r="A726" t="str">
            <v>JUN 2014</v>
          </cell>
          <cell r="B726" t="str">
            <v>KUCME000</v>
          </cell>
          <cell r="S726">
            <v>0</v>
          </cell>
          <cell r="T726">
            <v>0</v>
          </cell>
          <cell r="U726">
            <v>0</v>
          </cell>
        </row>
        <row r="727">
          <cell r="A727" t="str">
            <v>JUN 2014</v>
          </cell>
          <cell r="B727" t="str">
            <v>KUCME110</v>
          </cell>
          <cell r="E727">
            <v>59244758</v>
          </cell>
          <cell r="F727">
            <v>1283296.24</v>
          </cell>
          <cell r="L727">
            <v>173861</v>
          </cell>
          <cell r="M727">
            <v>290937.03000000003</v>
          </cell>
          <cell r="Q727">
            <v>0</v>
          </cell>
          <cell r="R727">
            <v>7481332.79</v>
          </cell>
          <cell r="S727">
            <v>5465338.75</v>
          </cell>
          <cell r="T727">
            <v>0</v>
          </cell>
          <cell r="U727">
            <v>267899.77</v>
          </cell>
        </row>
        <row r="728">
          <cell r="A728" t="str">
            <v>JUN 2014</v>
          </cell>
          <cell r="B728" t="str">
            <v>KUCME112</v>
          </cell>
          <cell r="E728">
            <v>10785</v>
          </cell>
          <cell r="F728">
            <v>1220</v>
          </cell>
          <cell r="L728">
            <v>32.39</v>
          </cell>
          <cell r="M728">
            <v>51.21</v>
          </cell>
          <cell r="R728">
            <v>2395.4499999999998</v>
          </cell>
          <cell r="S728">
            <v>994.94</v>
          </cell>
          <cell r="T728">
            <v>0</v>
          </cell>
          <cell r="U728">
            <v>96.91</v>
          </cell>
        </row>
        <row r="729">
          <cell r="A729" t="str">
            <v>JUN 2014</v>
          </cell>
          <cell r="B729" t="str">
            <v>KUCME113</v>
          </cell>
          <cell r="E729">
            <v>90852791</v>
          </cell>
          <cell r="F729">
            <v>643073.79</v>
          </cell>
          <cell r="L729">
            <v>250414.98</v>
          </cell>
          <cell r="M729">
            <v>447281.72</v>
          </cell>
          <cell r="Q729">
            <v>0</v>
          </cell>
          <cell r="R729">
            <v>10063740.5</v>
          </cell>
          <cell r="S729">
            <v>8381173.6699999999</v>
          </cell>
          <cell r="T729">
            <v>0</v>
          </cell>
          <cell r="U729">
            <v>341796.33999999997</v>
          </cell>
        </row>
        <row r="730">
          <cell r="A730" t="str">
            <v>JUN 2014</v>
          </cell>
          <cell r="B730" t="str">
            <v>KUCME220</v>
          </cell>
          <cell r="E730">
            <v>381270</v>
          </cell>
          <cell r="F730">
            <v>6717.29</v>
          </cell>
          <cell r="L730">
            <v>468.89</v>
          </cell>
          <cell r="M730">
            <v>1763.14</v>
          </cell>
          <cell r="R730">
            <v>38360.69</v>
          </cell>
          <cell r="S730">
            <v>28366.37</v>
          </cell>
          <cell r="T730">
            <v>0</v>
          </cell>
          <cell r="U730">
            <v>1045</v>
          </cell>
        </row>
        <row r="731">
          <cell r="A731" t="str">
            <v>JUN 2014</v>
          </cell>
          <cell r="B731" t="str">
            <v>KUCME221</v>
          </cell>
          <cell r="E731">
            <v>480</v>
          </cell>
          <cell r="F731">
            <v>100</v>
          </cell>
          <cell r="L731">
            <v>0.59</v>
          </cell>
          <cell r="M731">
            <v>2.39</v>
          </cell>
          <cell r="R731">
            <v>142.69</v>
          </cell>
          <cell r="S731">
            <v>35.71</v>
          </cell>
          <cell r="T731">
            <v>0</v>
          </cell>
          <cell r="U731">
            <v>4</v>
          </cell>
        </row>
        <row r="732">
          <cell r="A732" t="str">
            <v>JUN 2014</v>
          </cell>
          <cell r="B732" t="str">
            <v>KUCME223</v>
          </cell>
          <cell r="E732">
            <v>312915</v>
          </cell>
          <cell r="F732">
            <v>2380</v>
          </cell>
          <cell r="L732">
            <v>384.84</v>
          </cell>
          <cell r="M732">
            <v>1536.3</v>
          </cell>
          <cell r="R732">
            <v>28395.95</v>
          </cell>
          <cell r="S732">
            <v>23280.86</v>
          </cell>
          <cell r="T732">
            <v>0</v>
          </cell>
          <cell r="U732">
            <v>813.95</v>
          </cell>
        </row>
        <row r="733">
          <cell r="A733" t="str">
            <v>JUN 2014</v>
          </cell>
          <cell r="B733" t="str">
            <v>KUCME224</v>
          </cell>
          <cell r="E733">
            <v>222820</v>
          </cell>
          <cell r="F733">
            <v>140</v>
          </cell>
          <cell r="L733">
            <v>274.07</v>
          </cell>
          <cell r="M733">
            <v>998.63</v>
          </cell>
          <cell r="R733">
            <v>18478.919999999998</v>
          </cell>
          <cell r="S733">
            <v>16577.809999999998</v>
          </cell>
          <cell r="T733">
            <v>0</v>
          </cell>
          <cell r="U733">
            <v>488.41</v>
          </cell>
        </row>
        <row r="734">
          <cell r="A734" t="str">
            <v>JUN 2014</v>
          </cell>
          <cell r="B734" t="str">
            <v>KUCME225</v>
          </cell>
          <cell r="E734">
            <v>2077714</v>
          </cell>
          <cell r="F734">
            <v>3360</v>
          </cell>
          <cell r="L734">
            <v>2555.63</v>
          </cell>
          <cell r="M734">
            <v>9763.24</v>
          </cell>
          <cell r="R734">
            <v>175091.56</v>
          </cell>
          <cell r="S734">
            <v>154581.99</v>
          </cell>
          <cell r="T734">
            <v>0</v>
          </cell>
          <cell r="U734">
            <v>4830.7</v>
          </cell>
        </row>
        <row r="735">
          <cell r="A735" t="str">
            <v>JUN 2014</v>
          </cell>
          <cell r="B735" t="str">
            <v>KUCME226</v>
          </cell>
          <cell r="E735">
            <v>43228</v>
          </cell>
          <cell r="F735">
            <v>380</v>
          </cell>
          <cell r="L735">
            <v>53.17</v>
          </cell>
          <cell r="M735">
            <v>191.91</v>
          </cell>
          <cell r="R735">
            <v>3944.77</v>
          </cell>
          <cell r="S735">
            <v>3216.1699999999996</v>
          </cell>
          <cell r="T735">
            <v>0</v>
          </cell>
          <cell r="U735">
            <v>103.52</v>
          </cell>
        </row>
        <row r="736">
          <cell r="A736" t="str">
            <v>JUN 2014</v>
          </cell>
          <cell r="B736" t="str">
            <v>KUCME227</v>
          </cell>
          <cell r="E736">
            <v>8310128</v>
          </cell>
          <cell r="F736">
            <v>3465</v>
          </cell>
          <cell r="L736">
            <v>10221.43</v>
          </cell>
          <cell r="M736">
            <v>38491.199999999997</v>
          </cell>
          <cell r="R736">
            <v>689219.33</v>
          </cell>
          <cell r="S736">
            <v>618273.48</v>
          </cell>
          <cell r="T736">
            <v>0</v>
          </cell>
          <cell r="U736">
            <v>18768.22</v>
          </cell>
        </row>
        <row r="737">
          <cell r="A737" t="str">
            <v>JUN 2014</v>
          </cell>
          <cell r="B737" t="str">
            <v>KUCME290</v>
          </cell>
          <cell r="E737">
            <v>9877</v>
          </cell>
          <cell r="M737">
            <v>49.09</v>
          </cell>
          <cell r="R737">
            <v>699.55</v>
          </cell>
          <cell r="S737">
            <v>630.15</v>
          </cell>
          <cell r="T737">
            <v>0</v>
          </cell>
          <cell r="U737">
            <v>20.309999999999999</v>
          </cell>
        </row>
        <row r="738">
          <cell r="A738" t="str">
            <v>JUN 2014</v>
          </cell>
          <cell r="B738" t="str">
            <v>KUCME291</v>
          </cell>
          <cell r="E738">
            <v>2716</v>
          </cell>
          <cell r="M738">
            <v>9.6999999999999993</v>
          </cell>
          <cell r="R738">
            <v>186.99</v>
          </cell>
          <cell r="S738">
            <v>173.28</v>
          </cell>
          <cell r="T738">
            <v>0</v>
          </cell>
          <cell r="U738">
            <v>4.01</v>
          </cell>
        </row>
        <row r="739">
          <cell r="A739" t="str">
            <v>JUN 2014</v>
          </cell>
          <cell r="B739" t="str">
            <v>KUCME295</v>
          </cell>
          <cell r="E739">
            <v>91300</v>
          </cell>
          <cell r="F739">
            <v>1552.08</v>
          </cell>
          <cell r="M739">
            <v>383.3</v>
          </cell>
          <cell r="R739">
            <v>9453.7900000000009</v>
          </cell>
          <cell r="S739">
            <v>7283.94</v>
          </cell>
          <cell r="T739">
            <v>0</v>
          </cell>
          <cell r="U739">
            <v>234.47</v>
          </cell>
        </row>
        <row r="740">
          <cell r="A740" t="str">
            <v>JUN 2014</v>
          </cell>
          <cell r="B740" t="str">
            <v>KUCME297</v>
          </cell>
          <cell r="E740">
            <v>14416</v>
          </cell>
          <cell r="F740">
            <v>884</v>
          </cell>
          <cell r="M740">
            <v>70.72</v>
          </cell>
          <cell r="R740">
            <v>2167.84</v>
          </cell>
          <cell r="S740">
            <v>1150.56</v>
          </cell>
          <cell r="T740">
            <v>0</v>
          </cell>
          <cell r="U740">
            <v>62.56</v>
          </cell>
        </row>
        <row r="741">
          <cell r="A741" t="str">
            <v>JUN 2014</v>
          </cell>
          <cell r="B741" t="str">
            <v>KUCME705</v>
          </cell>
          <cell r="R741">
            <v>0</v>
          </cell>
          <cell r="S741">
            <v>0</v>
          </cell>
          <cell r="T741">
            <v>0</v>
          </cell>
          <cell r="U741">
            <v>0</v>
          </cell>
        </row>
        <row r="742">
          <cell r="A742" t="str">
            <v>JUN 2014</v>
          </cell>
          <cell r="B742" t="str">
            <v>KUCME707</v>
          </cell>
          <cell r="R742">
            <v>0</v>
          </cell>
          <cell r="S742">
            <v>0</v>
          </cell>
          <cell r="T742">
            <v>0</v>
          </cell>
          <cell r="U742">
            <v>0</v>
          </cell>
        </row>
        <row r="743">
          <cell r="A743" t="str">
            <v>JUN 2014</v>
          </cell>
          <cell r="B743" t="str">
            <v>KUCME710</v>
          </cell>
          <cell r="E743">
            <v>5304</v>
          </cell>
          <cell r="F743">
            <v>187.52</v>
          </cell>
          <cell r="L743">
            <v>15.9</v>
          </cell>
          <cell r="M743">
            <v>26.36</v>
          </cell>
          <cell r="R743">
            <v>747.08</v>
          </cell>
          <cell r="S743">
            <v>489.29999999999995</v>
          </cell>
          <cell r="T743">
            <v>0</v>
          </cell>
          <cell r="U743">
            <v>28</v>
          </cell>
        </row>
        <row r="744">
          <cell r="A744" t="str">
            <v>JUN 2014</v>
          </cell>
          <cell r="B744" t="str">
            <v>KUCME713</v>
          </cell>
          <cell r="E744">
            <v>11560</v>
          </cell>
          <cell r="F744">
            <v>70</v>
          </cell>
          <cell r="L744">
            <v>7.68</v>
          </cell>
          <cell r="M744">
            <v>57.45</v>
          </cell>
          <cell r="R744">
            <v>1243.57</v>
          </cell>
          <cell r="S744">
            <v>1066.4100000000001</v>
          </cell>
          <cell r="T744">
            <v>0</v>
          </cell>
          <cell r="U744">
            <v>42.03</v>
          </cell>
        </row>
        <row r="745">
          <cell r="A745" t="str">
            <v>JUN 2014</v>
          </cell>
          <cell r="B745" t="str">
            <v>KUCME841</v>
          </cell>
          <cell r="S745">
            <v>0</v>
          </cell>
          <cell r="T745">
            <v>0</v>
          </cell>
          <cell r="U745">
            <v>0</v>
          </cell>
        </row>
        <row r="746">
          <cell r="A746" t="str">
            <v>JUN 2014</v>
          </cell>
          <cell r="B746" t="str">
            <v>KUCSR760</v>
          </cell>
          <cell r="P746">
            <v>-997368.28</v>
          </cell>
          <cell r="R746">
            <v>-997368.28</v>
          </cell>
          <cell r="S746">
            <v>0</v>
          </cell>
          <cell r="T746">
            <v>0</v>
          </cell>
          <cell r="U746">
            <v>0</v>
          </cell>
        </row>
        <row r="747">
          <cell r="A747" t="str">
            <v>JUN 2014</v>
          </cell>
          <cell r="B747" t="str">
            <v>KUCSR761</v>
          </cell>
          <cell r="P747">
            <v>-32950.339999999997</v>
          </cell>
          <cell r="R747">
            <v>-32950.339999999997</v>
          </cell>
          <cell r="S747">
            <v>0</v>
          </cell>
          <cell r="T747">
            <v>0</v>
          </cell>
          <cell r="U747">
            <v>0</v>
          </cell>
        </row>
        <row r="748">
          <cell r="A748" t="str">
            <v>JUN 2014</v>
          </cell>
          <cell r="B748" t="str">
            <v>KUCSR780</v>
          </cell>
          <cell r="P748">
            <v>-27298.85</v>
          </cell>
          <cell r="R748">
            <v>-27298.85</v>
          </cell>
          <cell r="S748">
            <v>0</v>
          </cell>
          <cell r="T748">
            <v>0</v>
          </cell>
          <cell r="U748">
            <v>0</v>
          </cell>
        </row>
        <row r="749">
          <cell r="A749" t="str">
            <v>JUN 2014</v>
          </cell>
          <cell r="B749" t="str">
            <v>KUCSR781</v>
          </cell>
          <cell r="P749">
            <v>-25058.75</v>
          </cell>
          <cell r="R749">
            <v>-25058.75</v>
          </cell>
          <cell r="S749">
            <v>0</v>
          </cell>
          <cell r="T749">
            <v>0</v>
          </cell>
          <cell r="U749">
            <v>0</v>
          </cell>
        </row>
        <row r="750">
          <cell r="A750" t="str">
            <v>JUN 2014</v>
          </cell>
          <cell r="B750" t="str">
            <v>KUCSR783</v>
          </cell>
          <cell r="P750">
            <v>-8800</v>
          </cell>
          <cell r="R750">
            <v>-8800</v>
          </cell>
          <cell r="S750">
            <v>0</v>
          </cell>
          <cell r="T750">
            <v>0</v>
          </cell>
          <cell r="U750">
            <v>0</v>
          </cell>
        </row>
        <row r="751">
          <cell r="A751" t="str">
            <v>JUN 2014</v>
          </cell>
          <cell r="B751" t="str">
            <v>KUCUE851</v>
          </cell>
          <cell r="S751">
            <v>0</v>
          </cell>
          <cell r="T751">
            <v>0</v>
          </cell>
          <cell r="U751">
            <v>0</v>
          </cell>
        </row>
        <row r="752">
          <cell r="A752" t="str">
            <v>JUN 2014</v>
          </cell>
          <cell r="B752" t="str">
            <v>KUCUE852</v>
          </cell>
          <cell r="S752">
            <v>0</v>
          </cell>
          <cell r="T752">
            <v>0</v>
          </cell>
          <cell r="U752">
            <v>0</v>
          </cell>
        </row>
        <row r="753">
          <cell r="A753" t="str">
            <v>JUN 2014</v>
          </cell>
          <cell r="B753" t="str">
            <v>KUINE730</v>
          </cell>
          <cell r="E753">
            <v>48168000</v>
          </cell>
          <cell r="F753">
            <v>750</v>
          </cell>
          <cell r="M753">
            <v>239394.96</v>
          </cell>
          <cell r="R753">
            <v>2722890.85</v>
          </cell>
          <cell r="S753">
            <v>1570758.48</v>
          </cell>
          <cell r="T753">
            <v>858184.02999999991</v>
          </cell>
          <cell r="U753">
            <v>53803.38</v>
          </cell>
        </row>
        <row r="754">
          <cell r="A754" t="str">
            <v>JUN 2014</v>
          </cell>
          <cell r="B754" t="str">
            <v>KUMNE902</v>
          </cell>
          <cell r="E754">
            <v>47347200</v>
          </cell>
          <cell r="M754">
            <v>172817.28</v>
          </cell>
          <cell r="R754">
            <v>3101202.71</v>
          </cell>
          <cell r="S754">
            <v>1501813.94</v>
          </cell>
          <cell r="T754">
            <v>1281115.3500000001</v>
          </cell>
          <cell r="U754">
            <v>0</v>
          </cell>
        </row>
        <row r="755">
          <cell r="A755" t="str">
            <v>JUN 2014</v>
          </cell>
          <cell r="B755" t="str">
            <v>KUMNE903</v>
          </cell>
          <cell r="E755">
            <v>94802327</v>
          </cell>
          <cell r="M755">
            <v>343184.43</v>
          </cell>
          <cell r="R755">
            <v>6255512.4100000001</v>
          </cell>
          <cell r="S755">
            <v>3003650.57</v>
          </cell>
          <cell r="T755">
            <v>2619536.11</v>
          </cell>
          <cell r="U755">
            <v>0</v>
          </cell>
        </row>
        <row r="756">
          <cell r="A756" t="str">
            <v>JUN 2014</v>
          </cell>
          <cell r="B756" t="str">
            <v>KUMNE934</v>
          </cell>
          <cell r="E756">
            <v>4346551</v>
          </cell>
          <cell r="M756">
            <v>15734.51</v>
          </cell>
          <cell r="R756">
            <v>226050.14</v>
          </cell>
          <cell r="S756">
            <v>137713.07999999999</v>
          </cell>
          <cell r="T756">
            <v>57588.68</v>
          </cell>
          <cell r="U756">
            <v>0</v>
          </cell>
        </row>
        <row r="757">
          <cell r="A757" t="str">
            <v>JUN 2014</v>
          </cell>
          <cell r="B757" t="str">
            <v>KURSE000</v>
          </cell>
          <cell r="S757">
            <v>0</v>
          </cell>
          <cell r="T757">
            <v>0</v>
          </cell>
          <cell r="U757">
            <v>0</v>
          </cell>
        </row>
        <row r="758">
          <cell r="A758" t="str">
            <v>JUN 2014</v>
          </cell>
          <cell r="B758" t="str">
            <v>KURSE010</v>
          </cell>
          <cell r="E758">
            <v>234384000</v>
          </cell>
          <cell r="F758">
            <v>2451933.9900000002</v>
          </cell>
          <cell r="L758">
            <v>923469.63</v>
          </cell>
          <cell r="M758">
            <v>1164610.43</v>
          </cell>
          <cell r="R758">
            <v>23369015.309999999</v>
          </cell>
          <cell r="S758">
            <v>18150690.890000001</v>
          </cell>
          <cell r="T758">
            <v>0</v>
          </cell>
          <cell r="U758">
            <v>678310.37</v>
          </cell>
        </row>
        <row r="759">
          <cell r="A759" t="str">
            <v>JUN 2014</v>
          </cell>
          <cell r="B759" t="str">
            <v>KURSE020</v>
          </cell>
          <cell r="E759">
            <v>204298851</v>
          </cell>
          <cell r="F759">
            <v>2080114.31</v>
          </cell>
          <cell r="L759">
            <v>804939</v>
          </cell>
          <cell r="M759">
            <v>1014887.3</v>
          </cell>
          <cell r="Q759">
            <v>0</v>
          </cell>
          <cell r="R759">
            <v>20310217.149999999</v>
          </cell>
          <cell r="S759">
            <v>15820902.779999999</v>
          </cell>
          <cell r="T759">
            <v>0</v>
          </cell>
          <cell r="U759">
            <v>589373.76</v>
          </cell>
        </row>
        <row r="760">
          <cell r="A760" t="str">
            <v>JUN 2014</v>
          </cell>
          <cell r="B760" t="str">
            <v>KURSE025</v>
          </cell>
          <cell r="E760">
            <v>545440</v>
          </cell>
          <cell r="F760">
            <v>2637.56</v>
          </cell>
          <cell r="L760">
            <v>2148.25</v>
          </cell>
          <cell r="M760">
            <v>2630.64</v>
          </cell>
          <cell r="R760">
            <v>51106.64</v>
          </cell>
          <cell r="S760">
            <v>42238.829999999994</v>
          </cell>
          <cell r="T760">
            <v>0</v>
          </cell>
          <cell r="U760">
            <v>1451.36</v>
          </cell>
        </row>
        <row r="761">
          <cell r="A761" t="str">
            <v>JUN 2014</v>
          </cell>
          <cell r="B761" t="str">
            <v>KURSE040</v>
          </cell>
          <cell r="E761">
            <v>5189</v>
          </cell>
          <cell r="F761">
            <v>53.75</v>
          </cell>
          <cell r="L761">
            <v>20.43</v>
          </cell>
          <cell r="M761">
            <v>25.8</v>
          </cell>
          <cell r="R761">
            <v>479.03</v>
          </cell>
          <cell r="S761">
            <v>365.12999999999994</v>
          </cell>
          <cell r="T761">
            <v>0</v>
          </cell>
          <cell r="U761">
            <v>13.92</v>
          </cell>
        </row>
        <row r="762">
          <cell r="A762" t="str">
            <v>JUN 2014</v>
          </cell>
          <cell r="B762" t="str">
            <v>KURSE080</v>
          </cell>
          <cell r="E762">
            <v>70898</v>
          </cell>
          <cell r="F762">
            <v>537.5</v>
          </cell>
          <cell r="L762">
            <v>279.35000000000002</v>
          </cell>
          <cell r="M762">
            <v>348.02</v>
          </cell>
          <cell r="R762">
            <v>6852.02</v>
          </cell>
          <cell r="S762">
            <v>5490.36</v>
          </cell>
          <cell r="T762">
            <v>0</v>
          </cell>
          <cell r="U762">
            <v>196.79</v>
          </cell>
        </row>
        <row r="763">
          <cell r="A763" t="str">
            <v>JUN 2014</v>
          </cell>
          <cell r="B763" t="str">
            <v>KURSE715</v>
          </cell>
          <cell r="E763">
            <v>41147</v>
          </cell>
          <cell r="F763">
            <v>559</v>
          </cell>
          <cell r="L763">
            <v>162.11000000000001</v>
          </cell>
          <cell r="M763">
            <v>204.48</v>
          </cell>
          <cell r="R763">
            <v>4234.9399999999996</v>
          </cell>
          <cell r="S763">
            <v>3186.42</v>
          </cell>
          <cell r="T763">
            <v>0</v>
          </cell>
          <cell r="U763">
            <v>122.93</v>
          </cell>
        </row>
        <row r="764">
          <cell r="A764" t="str">
            <v>JUN 2014</v>
          </cell>
          <cell r="B764" t="str">
            <v>KUUM_000</v>
          </cell>
          <cell r="S764">
            <v>0</v>
          </cell>
          <cell r="T764">
            <v>0</v>
          </cell>
          <cell r="U764">
            <v>0</v>
          </cell>
        </row>
        <row r="765">
          <cell r="A765" t="str">
            <v>JUN 2014</v>
          </cell>
          <cell r="B765" t="str">
            <v>KUUM_360</v>
          </cell>
          <cell r="E765">
            <v>9125</v>
          </cell>
          <cell r="M765">
            <v>32.85</v>
          </cell>
          <cell r="Q765">
            <v>0</v>
          </cell>
          <cell r="R765">
            <v>10099.77</v>
          </cell>
          <cell r="S765">
            <v>9848.74</v>
          </cell>
          <cell r="T765">
            <v>0</v>
          </cell>
          <cell r="U765">
            <v>218.18</v>
          </cell>
        </row>
        <row r="766">
          <cell r="A766" t="str">
            <v>JUN 2014</v>
          </cell>
          <cell r="B766" t="str">
            <v>KUUM_361</v>
          </cell>
          <cell r="E766">
            <v>1265</v>
          </cell>
          <cell r="M766">
            <v>4.5199999999999996</v>
          </cell>
          <cell r="Q766">
            <v>0</v>
          </cell>
          <cell r="R766">
            <v>2129.15</v>
          </cell>
          <cell r="S766">
            <v>2079</v>
          </cell>
          <cell r="T766">
            <v>0</v>
          </cell>
          <cell r="U766">
            <v>45.63</v>
          </cell>
        </row>
        <row r="767">
          <cell r="A767" t="str">
            <v>JUN 2014</v>
          </cell>
          <cell r="B767" t="str">
            <v>KUUM_362</v>
          </cell>
          <cell r="E767">
            <v>1780</v>
          </cell>
          <cell r="M767">
            <v>6.35</v>
          </cell>
          <cell r="Q767">
            <v>0</v>
          </cell>
          <cell r="R767">
            <v>2633.33</v>
          </cell>
          <cell r="S767">
            <v>2570.54</v>
          </cell>
          <cell r="T767">
            <v>0</v>
          </cell>
          <cell r="U767">
            <v>56.44</v>
          </cell>
        </row>
        <row r="768">
          <cell r="A768" t="str">
            <v>JUN 2014</v>
          </cell>
          <cell r="B768" t="str">
            <v>KUUM_363</v>
          </cell>
          <cell r="E768">
            <v>248</v>
          </cell>
          <cell r="M768">
            <v>0.89</v>
          </cell>
          <cell r="Q768">
            <v>0</v>
          </cell>
          <cell r="R768">
            <v>316.42</v>
          </cell>
          <cell r="S768">
            <v>308.75</v>
          </cell>
          <cell r="T768">
            <v>0</v>
          </cell>
          <cell r="U768">
            <v>6.78</v>
          </cell>
        </row>
        <row r="769">
          <cell r="A769" t="str">
            <v>JUN 2014</v>
          </cell>
          <cell r="B769" t="str">
            <v>KUUM_364</v>
          </cell>
          <cell r="E769">
            <v>50</v>
          </cell>
          <cell r="M769">
            <v>0.18</v>
          </cell>
          <cell r="Q769">
            <v>0</v>
          </cell>
          <cell r="R769">
            <v>64.680000000000007</v>
          </cell>
          <cell r="S769">
            <v>63.11</v>
          </cell>
          <cell r="T769">
            <v>0</v>
          </cell>
          <cell r="U769">
            <v>1.39</v>
          </cell>
        </row>
        <row r="770">
          <cell r="A770" t="str">
            <v>JUN 2014</v>
          </cell>
          <cell r="B770" t="str">
            <v>KUUM_365</v>
          </cell>
          <cell r="E770">
            <v>250</v>
          </cell>
          <cell r="M770">
            <v>0.9</v>
          </cell>
          <cell r="Q770">
            <v>0</v>
          </cell>
          <cell r="R770">
            <v>414.49</v>
          </cell>
          <cell r="S770">
            <v>404.7</v>
          </cell>
          <cell r="T770">
            <v>0</v>
          </cell>
          <cell r="U770">
            <v>8.89</v>
          </cell>
        </row>
        <row r="771">
          <cell r="A771" t="str">
            <v>JUN 2014</v>
          </cell>
          <cell r="B771" t="str">
            <v>KUUM_366</v>
          </cell>
          <cell r="E771">
            <v>449</v>
          </cell>
          <cell r="M771">
            <v>1.61</v>
          </cell>
          <cell r="Q771">
            <v>0</v>
          </cell>
          <cell r="R771">
            <v>727.94</v>
          </cell>
          <cell r="S771">
            <v>710.73</v>
          </cell>
          <cell r="T771">
            <v>0</v>
          </cell>
          <cell r="U771">
            <v>15.6</v>
          </cell>
        </row>
        <row r="772">
          <cell r="A772" t="str">
            <v>JUN 2014</v>
          </cell>
          <cell r="B772" t="str">
            <v>KUUM_367</v>
          </cell>
          <cell r="E772">
            <v>1296</v>
          </cell>
          <cell r="M772">
            <v>4.63</v>
          </cell>
          <cell r="Q772">
            <v>0</v>
          </cell>
          <cell r="R772">
            <v>1569</v>
          </cell>
          <cell r="S772">
            <v>1530.75</v>
          </cell>
          <cell r="T772">
            <v>0</v>
          </cell>
          <cell r="U772">
            <v>33.619999999999997</v>
          </cell>
        </row>
        <row r="773">
          <cell r="A773" t="str">
            <v>JUN 2014</v>
          </cell>
          <cell r="B773" t="str">
            <v>KUUM_368</v>
          </cell>
          <cell r="E773">
            <v>50</v>
          </cell>
          <cell r="M773">
            <v>0.18</v>
          </cell>
          <cell r="Q773">
            <v>0</v>
          </cell>
          <cell r="R773">
            <v>58.12</v>
          </cell>
          <cell r="S773">
            <v>56.69</v>
          </cell>
          <cell r="T773">
            <v>0</v>
          </cell>
          <cell r="U773">
            <v>1.25</v>
          </cell>
        </row>
        <row r="774">
          <cell r="A774" t="str">
            <v>JUN 2014</v>
          </cell>
          <cell r="B774" t="str">
            <v>KUUM_370</v>
          </cell>
          <cell r="E774">
            <v>753</v>
          </cell>
          <cell r="M774">
            <v>2.83</v>
          </cell>
          <cell r="Q774">
            <v>0</v>
          </cell>
          <cell r="R774">
            <v>1146.3699999999999</v>
          </cell>
          <cell r="S774">
            <v>1117.8</v>
          </cell>
          <cell r="T774">
            <v>0</v>
          </cell>
          <cell r="U774">
            <v>25.74</v>
          </cell>
        </row>
        <row r="775">
          <cell r="A775" t="str">
            <v>JUN 2014</v>
          </cell>
          <cell r="B775" t="str">
            <v>KUUM_372</v>
          </cell>
          <cell r="E775">
            <v>50</v>
          </cell>
          <cell r="M775">
            <v>0.18</v>
          </cell>
          <cell r="Q775">
            <v>0</v>
          </cell>
          <cell r="R775">
            <v>84.29</v>
          </cell>
          <cell r="S775">
            <v>82.3</v>
          </cell>
          <cell r="T775">
            <v>0</v>
          </cell>
          <cell r="U775">
            <v>1.81</v>
          </cell>
        </row>
        <row r="776">
          <cell r="A776" t="str">
            <v>JUN 2014</v>
          </cell>
          <cell r="B776" t="str">
            <v>KUUM_373</v>
          </cell>
          <cell r="E776">
            <v>1037</v>
          </cell>
          <cell r="M776">
            <v>3.7</v>
          </cell>
          <cell r="Q776">
            <v>0</v>
          </cell>
          <cell r="R776">
            <v>1526.82</v>
          </cell>
          <cell r="S776">
            <v>1490.4</v>
          </cell>
          <cell r="T776">
            <v>0</v>
          </cell>
          <cell r="U776">
            <v>32.72</v>
          </cell>
        </row>
        <row r="777">
          <cell r="A777" t="str">
            <v>JUN 2014</v>
          </cell>
          <cell r="B777" t="str">
            <v>KUUM_374</v>
          </cell>
          <cell r="E777">
            <v>203</v>
          </cell>
          <cell r="M777">
            <v>0.72</v>
          </cell>
          <cell r="Q777">
            <v>0</v>
          </cell>
          <cell r="R777">
            <v>310.89999999999998</v>
          </cell>
          <cell r="S777">
            <v>303.52</v>
          </cell>
          <cell r="T777">
            <v>0</v>
          </cell>
          <cell r="U777">
            <v>6.66</v>
          </cell>
        </row>
        <row r="778">
          <cell r="A778" t="str">
            <v>JUN 2014</v>
          </cell>
          <cell r="B778" t="str">
            <v>KUUM_375</v>
          </cell>
          <cell r="E778">
            <v>156</v>
          </cell>
          <cell r="M778">
            <v>0.56000000000000005</v>
          </cell>
          <cell r="Q778">
            <v>0</v>
          </cell>
          <cell r="R778">
            <v>242.67</v>
          </cell>
          <cell r="S778">
            <v>236.91</v>
          </cell>
          <cell r="T778">
            <v>0</v>
          </cell>
          <cell r="U778">
            <v>5.2</v>
          </cell>
        </row>
        <row r="779">
          <cell r="A779" t="str">
            <v>JUN 2014</v>
          </cell>
          <cell r="B779" t="str">
            <v>KUUM_376</v>
          </cell>
          <cell r="E779">
            <v>104</v>
          </cell>
          <cell r="M779">
            <v>0.37</v>
          </cell>
          <cell r="Q779">
            <v>0</v>
          </cell>
          <cell r="R779">
            <v>158.28</v>
          </cell>
          <cell r="S779">
            <v>154.52000000000001</v>
          </cell>
          <cell r="T779">
            <v>0</v>
          </cell>
          <cell r="U779">
            <v>3.39</v>
          </cell>
        </row>
        <row r="780">
          <cell r="A780" t="str">
            <v>JUN 2014</v>
          </cell>
          <cell r="B780" t="str">
            <v>KUUM_377</v>
          </cell>
          <cell r="E780">
            <v>2622</v>
          </cell>
          <cell r="M780">
            <v>9.36</v>
          </cell>
          <cell r="Q780">
            <v>0</v>
          </cell>
          <cell r="R780">
            <v>3354.96</v>
          </cell>
          <cell r="S780">
            <v>3273.69</v>
          </cell>
          <cell r="T780">
            <v>0</v>
          </cell>
          <cell r="U780">
            <v>71.91</v>
          </cell>
        </row>
        <row r="781">
          <cell r="A781" t="str">
            <v>JUN 2014</v>
          </cell>
          <cell r="B781" t="str">
            <v>KUUM_378</v>
          </cell>
          <cell r="E781">
            <v>97</v>
          </cell>
          <cell r="M781">
            <v>0.35</v>
          </cell>
          <cell r="R781">
            <v>155.47999999999999</v>
          </cell>
          <cell r="S781">
            <v>151.80000000000001</v>
          </cell>
          <cell r="T781">
            <v>0</v>
          </cell>
          <cell r="U781">
            <v>3.33</v>
          </cell>
        </row>
        <row r="782">
          <cell r="A782" t="str">
            <v>JUN 2014</v>
          </cell>
          <cell r="B782" t="str">
            <v>KUUM_401</v>
          </cell>
          <cell r="E782">
            <v>1185</v>
          </cell>
          <cell r="M782">
            <v>5.52</v>
          </cell>
          <cell r="Q782">
            <v>0</v>
          </cell>
          <cell r="R782">
            <v>800.08</v>
          </cell>
          <cell r="S782">
            <v>772.72</v>
          </cell>
          <cell r="T782">
            <v>0</v>
          </cell>
          <cell r="U782">
            <v>21.84</v>
          </cell>
        </row>
        <row r="783">
          <cell r="A783" t="str">
            <v>JUN 2014</v>
          </cell>
          <cell r="B783" t="str">
            <v>KUUM_404</v>
          </cell>
          <cell r="E783">
            <v>397531</v>
          </cell>
          <cell r="M783">
            <v>1966.27</v>
          </cell>
          <cell r="Q783">
            <v>0</v>
          </cell>
          <cell r="R783">
            <v>79132.460000000006</v>
          </cell>
          <cell r="S783">
            <v>74898.91</v>
          </cell>
          <cell r="T783">
            <v>0</v>
          </cell>
          <cell r="U783">
            <v>2267.2800000000002</v>
          </cell>
        </row>
        <row r="784">
          <cell r="A784" t="str">
            <v>JUN 2014</v>
          </cell>
          <cell r="B784" t="str">
            <v>KUUM_409</v>
          </cell>
          <cell r="E784">
            <v>18054</v>
          </cell>
          <cell r="M784">
            <v>85.34</v>
          </cell>
          <cell r="Q784">
            <v>0</v>
          </cell>
          <cell r="R784">
            <v>1784.51</v>
          </cell>
          <cell r="S784">
            <v>1649.6</v>
          </cell>
          <cell r="T784">
            <v>0</v>
          </cell>
          <cell r="U784">
            <v>49.57</v>
          </cell>
        </row>
        <row r="785">
          <cell r="A785" t="str">
            <v>JUN 2014</v>
          </cell>
          <cell r="B785" t="str">
            <v>KUUM_410</v>
          </cell>
          <cell r="E785">
            <v>4041</v>
          </cell>
          <cell r="M785">
            <v>20.079999999999998</v>
          </cell>
          <cell r="Q785">
            <v>0</v>
          </cell>
          <cell r="R785">
            <v>5028.47</v>
          </cell>
          <cell r="S785">
            <v>4862.3999999999996</v>
          </cell>
          <cell r="T785">
            <v>0</v>
          </cell>
          <cell r="U785">
            <v>145.99</v>
          </cell>
        </row>
        <row r="786">
          <cell r="A786" t="str">
            <v>JUN 2014</v>
          </cell>
          <cell r="B786" t="str">
            <v>KUUM_411</v>
          </cell>
          <cell r="E786">
            <v>3441</v>
          </cell>
          <cell r="M786">
            <v>17.100000000000001</v>
          </cell>
          <cell r="Q786">
            <v>0</v>
          </cell>
          <cell r="R786">
            <v>3320.49</v>
          </cell>
          <cell r="S786">
            <v>3207</v>
          </cell>
          <cell r="T786">
            <v>0</v>
          </cell>
          <cell r="U786">
            <v>96.39</v>
          </cell>
        </row>
        <row r="787">
          <cell r="A787" t="str">
            <v>JUN 2014</v>
          </cell>
          <cell r="B787" t="str">
            <v>KUUM_412</v>
          </cell>
          <cell r="E787">
            <v>672</v>
          </cell>
          <cell r="M787">
            <v>3.34</v>
          </cell>
          <cell r="Q787">
            <v>0</v>
          </cell>
          <cell r="R787">
            <v>892.78</v>
          </cell>
          <cell r="S787">
            <v>863.52</v>
          </cell>
          <cell r="T787">
            <v>0</v>
          </cell>
          <cell r="U787">
            <v>25.92</v>
          </cell>
        </row>
        <row r="788">
          <cell r="A788" t="str">
            <v>JUN 2014</v>
          </cell>
          <cell r="B788" t="str">
            <v>KUUM_413</v>
          </cell>
          <cell r="E788">
            <v>3113</v>
          </cell>
          <cell r="M788">
            <v>15.48</v>
          </cell>
          <cell r="Q788">
            <v>0</v>
          </cell>
          <cell r="R788">
            <v>3102.67</v>
          </cell>
          <cell r="S788">
            <v>2997.12</v>
          </cell>
          <cell r="T788">
            <v>0</v>
          </cell>
          <cell r="U788">
            <v>90.07</v>
          </cell>
        </row>
        <row r="789">
          <cell r="A789" t="str">
            <v>JUN 2014</v>
          </cell>
          <cell r="B789" t="str">
            <v>KUUM_414</v>
          </cell>
          <cell r="E789">
            <v>476</v>
          </cell>
          <cell r="M789">
            <v>1.7</v>
          </cell>
          <cell r="Q789">
            <v>0</v>
          </cell>
          <cell r="R789">
            <v>663.56</v>
          </cell>
          <cell r="S789">
            <v>647.64</v>
          </cell>
          <cell r="T789">
            <v>0</v>
          </cell>
          <cell r="U789">
            <v>14.22</v>
          </cell>
        </row>
        <row r="790">
          <cell r="A790" t="str">
            <v>JUN 2014</v>
          </cell>
          <cell r="B790" t="str">
            <v>KUUM_415</v>
          </cell>
          <cell r="E790">
            <v>319</v>
          </cell>
          <cell r="M790">
            <v>1.1399999999999999</v>
          </cell>
          <cell r="Q790">
            <v>0</v>
          </cell>
          <cell r="R790">
            <v>320.2</v>
          </cell>
          <cell r="S790">
            <v>312.2</v>
          </cell>
          <cell r="T790">
            <v>0</v>
          </cell>
          <cell r="U790">
            <v>6.86</v>
          </cell>
        </row>
        <row r="791">
          <cell r="A791" t="str">
            <v>JUN 2014</v>
          </cell>
          <cell r="B791" t="str">
            <v>KUUM_420</v>
          </cell>
          <cell r="E791">
            <v>20804</v>
          </cell>
          <cell r="M791">
            <v>97.87</v>
          </cell>
          <cell r="Q791">
            <v>0</v>
          </cell>
          <cell r="R791">
            <v>9893.7800000000007</v>
          </cell>
          <cell r="S791">
            <v>9523.2000000000007</v>
          </cell>
          <cell r="T791">
            <v>0</v>
          </cell>
          <cell r="U791">
            <v>272.70999999999998</v>
          </cell>
        </row>
        <row r="792">
          <cell r="A792" t="str">
            <v>JUN 2014</v>
          </cell>
          <cell r="B792" t="str">
            <v>KUUM_421</v>
          </cell>
          <cell r="E792">
            <v>144</v>
          </cell>
          <cell r="M792">
            <v>0.57999999999999996</v>
          </cell>
          <cell r="Q792">
            <v>0</v>
          </cell>
          <cell r="R792">
            <v>17.98</v>
          </cell>
          <cell r="S792">
            <v>16.95</v>
          </cell>
          <cell r="T792">
            <v>0</v>
          </cell>
          <cell r="U792">
            <v>0.45</v>
          </cell>
        </row>
        <row r="793">
          <cell r="A793" t="str">
            <v>JUN 2014</v>
          </cell>
          <cell r="B793" t="str">
            <v>KUUM_422</v>
          </cell>
          <cell r="E793">
            <v>37585</v>
          </cell>
          <cell r="M793">
            <v>173.02</v>
          </cell>
          <cell r="Q793">
            <v>0</v>
          </cell>
          <cell r="R793">
            <v>3304</v>
          </cell>
          <cell r="S793">
            <v>3041.26</v>
          </cell>
          <cell r="T793">
            <v>0</v>
          </cell>
          <cell r="U793">
            <v>89.72</v>
          </cell>
        </row>
        <row r="794">
          <cell r="A794" t="str">
            <v>JUN 2014</v>
          </cell>
          <cell r="B794" t="str">
            <v>KUUM_424</v>
          </cell>
          <cell r="E794">
            <v>4264</v>
          </cell>
          <cell r="M794">
            <v>17.760000000000002</v>
          </cell>
          <cell r="Q794">
            <v>0</v>
          </cell>
          <cell r="R794">
            <v>344.48</v>
          </cell>
          <cell r="S794">
            <v>318.19</v>
          </cell>
          <cell r="T794">
            <v>0</v>
          </cell>
          <cell r="U794">
            <v>8.5299999999999994</v>
          </cell>
        </row>
        <row r="795">
          <cell r="A795" t="str">
            <v>JUN 2014</v>
          </cell>
          <cell r="B795" t="str">
            <v>KUUM_425</v>
          </cell>
          <cell r="E795">
            <v>239</v>
          </cell>
          <cell r="M795">
            <v>1.19</v>
          </cell>
          <cell r="Q795">
            <v>0</v>
          </cell>
          <cell r="R795">
            <v>19.89</v>
          </cell>
          <cell r="S795">
            <v>18.12</v>
          </cell>
          <cell r="T795">
            <v>0</v>
          </cell>
          <cell r="U795">
            <v>0.57999999999999996</v>
          </cell>
        </row>
        <row r="796">
          <cell r="A796" t="str">
            <v>JUN 2014</v>
          </cell>
          <cell r="B796" t="str">
            <v>KUUM_426</v>
          </cell>
          <cell r="E796">
            <v>3824</v>
          </cell>
          <cell r="M796">
            <v>18.809999999999999</v>
          </cell>
          <cell r="Q796">
            <v>0</v>
          </cell>
          <cell r="R796">
            <v>1331.59</v>
          </cell>
          <cell r="S796">
            <v>1273.48</v>
          </cell>
          <cell r="T796">
            <v>0</v>
          </cell>
          <cell r="U796">
            <v>39.299999999999997</v>
          </cell>
        </row>
        <row r="797">
          <cell r="A797" t="str">
            <v>JUN 2014</v>
          </cell>
          <cell r="B797" t="str">
            <v>KUUM_428</v>
          </cell>
          <cell r="E797">
            <v>1151916</v>
          </cell>
          <cell r="M797">
            <v>5617.02</v>
          </cell>
          <cell r="Q797">
            <v>0</v>
          </cell>
          <cell r="R797">
            <v>299575.96999999997</v>
          </cell>
          <cell r="S797">
            <v>285245.71000000002</v>
          </cell>
          <cell r="T797">
            <v>0</v>
          </cell>
          <cell r="U797">
            <v>8713.24</v>
          </cell>
        </row>
        <row r="798">
          <cell r="A798" t="str">
            <v>JUN 2014</v>
          </cell>
          <cell r="B798" t="str">
            <v>KUUM_430</v>
          </cell>
          <cell r="E798">
            <v>37577</v>
          </cell>
          <cell r="M798">
            <v>177.34</v>
          </cell>
          <cell r="Q798">
            <v>0</v>
          </cell>
          <cell r="R798">
            <v>26724.6</v>
          </cell>
          <cell r="S798">
            <v>25806</v>
          </cell>
          <cell r="T798">
            <v>0</v>
          </cell>
          <cell r="U798">
            <v>741.26</v>
          </cell>
        </row>
        <row r="799">
          <cell r="A799" t="str">
            <v>JUN 2014</v>
          </cell>
          <cell r="B799" t="str">
            <v>KUUM_434</v>
          </cell>
          <cell r="E799">
            <v>258</v>
          </cell>
          <cell r="M799">
            <v>0.92</v>
          </cell>
          <cell r="Q799">
            <v>0</v>
          </cell>
          <cell r="R799">
            <v>23.85</v>
          </cell>
          <cell r="S799">
            <v>22.42</v>
          </cell>
          <cell r="T799">
            <v>0</v>
          </cell>
          <cell r="U799">
            <v>0.51</v>
          </cell>
        </row>
        <row r="800">
          <cell r="A800" t="str">
            <v>JUN 2014</v>
          </cell>
          <cell r="B800" t="str">
            <v>KUUM_440</v>
          </cell>
          <cell r="E800">
            <v>33</v>
          </cell>
          <cell r="M800">
            <v>0.16</v>
          </cell>
          <cell r="Q800">
            <v>0</v>
          </cell>
          <cell r="R800">
            <v>28.2</v>
          </cell>
          <cell r="S800">
            <v>27.22</v>
          </cell>
          <cell r="T800">
            <v>0</v>
          </cell>
          <cell r="U800">
            <v>0.82</v>
          </cell>
        </row>
        <row r="801">
          <cell r="A801" t="str">
            <v>JUN 2014</v>
          </cell>
          <cell r="B801" t="str">
            <v>KUUM_446</v>
          </cell>
          <cell r="E801">
            <v>61894</v>
          </cell>
          <cell r="M801">
            <v>291.85000000000002</v>
          </cell>
          <cell r="Q801">
            <v>0</v>
          </cell>
          <cell r="R801">
            <v>10947.73</v>
          </cell>
          <cell r="S801">
            <v>10353.15</v>
          </cell>
          <cell r="T801">
            <v>0</v>
          </cell>
          <cell r="U801">
            <v>302.73</v>
          </cell>
        </row>
        <row r="802">
          <cell r="A802" t="str">
            <v>JUN 2014</v>
          </cell>
          <cell r="B802" t="str">
            <v>KUUM_447</v>
          </cell>
          <cell r="E802">
            <v>56270</v>
          </cell>
          <cell r="M802">
            <v>204.35</v>
          </cell>
          <cell r="Q802">
            <v>0</v>
          </cell>
          <cell r="R802">
            <v>8436.41</v>
          </cell>
          <cell r="S802">
            <v>8048.52</v>
          </cell>
          <cell r="T802">
            <v>0</v>
          </cell>
          <cell r="U802">
            <v>183.54</v>
          </cell>
        </row>
        <row r="803">
          <cell r="A803" t="str">
            <v>JUN 2014</v>
          </cell>
          <cell r="B803" t="str">
            <v>KUUM_448</v>
          </cell>
          <cell r="E803">
            <v>182292</v>
          </cell>
          <cell r="M803">
            <v>804</v>
          </cell>
          <cell r="Q803">
            <v>0</v>
          </cell>
          <cell r="R803">
            <v>20282.5</v>
          </cell>
          <cell r="S803">
            <v>18950.8</v>
          </cell>
          <cell r="T803">
            <v>0</v>
          </cell>
          <cell r="U803">
            <v>527.70000000000005</v>
          </cell>
        </row>
        <row r="804">
          <cell r="A804" t="str">
            <v>JUN 2014</v>
          </cell>
          <cell r="B804" t="str">
            <v>KUUM_450</v>
          </cell>
          <cell r="E804">
            <v>27252</v>
          </cell>
          <cell r="M804">
            <v>133.78</v>
          </cell>
          <cell r="Q804">
            <v>0</v>
          </cell>
          <cell r="R804">
            <v>9939.08</v>
          </cell>
          <cell r="S804">
            <v>9520.0300000000007</v>
          </cell>
          <cell r="T804">
            <v>0</v>
          </cell>
          <cell r="U804">
            <v>285.27</v>
          </cell>
        </row>
        <row r="805">
          <cell r="A805" t="str">
            <v>JUN 2014</v>
          </cell>
          <cell r="B805" t="str">
            <v>KUUM_451</v>
          </cell>
          <cell r="E805">
            <v>492479</v>
          </cell>
          <cell r="M805">
            <v>2418.4499999999998</v>
          </cell>
          <cell r="Q805">
            <v>0</v>
          </cell>
          <cell r="R805">
            <v>110238.97</v>
          </cell>
          <cell r="S805">
            <v>104649.61</v>
          </cell>
          <cell r="T805">
            <v>0</v>
          </cell>
          <cell r="U805">
            <v>3170.91</v>
          </cell>
        </row>
        <row r="806">
          <cell r="A806" t="str">
            <v>JUN 2014</v>
          </cell>
          <cell r="B806" t="str">
            <v>KUUM_452</v>
          </cell>
          <cell r="E806">
            <v>304174</v>
          </cell>
          <cell r="M806">
            <v>1501.37</v>
          </cell>
          <cell r="Q806">
            <v>0</v>
          </cell>
          <cell r="R806">
            <v>46865.99</v>
          </cell>
          <cell r="S806">
            <v>44012.41</v>
          </cell>
          <cell r="T806">
            <v>0</v>
          </cell>
          <cell r="U806">
            <v>1352.21</v>
          </cell>
        </row>
        <row r="807">
          <cell r="A807" t="str">
            <v>JUN 2014</v>
          </cell>
          <cell r="B807" t="str">
            <v>KUUM_454</v>
          </cell>
          <cell r="E807">
            <v>6119</v>
          </cell>
          <cell r="M807">
            <v>29.78</v>
          </cell>
          <cell r="Q807">
            <v>0</v>
          </cell>
          <cell r="R807">
            <v>2910.16</v>
          </cell>
          <cell r="S807">
            <v>2797.5</v>
          </cell>
          <cell r="T807">
            <v>0</v>
          </cell>
          <cell r="U807">
            <v>82.88</v>
          </cell>
        </row>
        <row r="808">
          <cell r="A808" t="str">
            <v>JUN 2014</v>
          </cell>
          <cell r="B808" t="str">
            <v>KUUM_455</v>
          </cell>
          <cell r="E808">
            <v>97919</v>
          </cell>
          <cell r="M808">
            <v>481.99</v>
          </cell>
          <cell r="Q808">
            <v>0</v>
          </cell>
          <cell r="R808">
            <v>26423.69</v>
          </cell>
          <cell r="S808">
            <v>25180.16</v>
          </cell>
          <cell r="T808">
            <v>0</v>
          </cell>
          <cell r="U808">
            <v>761.54</v>
          </cell>
        </row>
        <row r="809">
          <cell r="A809" t="str">
            <v>JUN 2014</v>
          </cell>
          <cell r="B809" t="str">
            <v>KUUM_456</v>
          </cell>
          <cell r="E809">
            <v>9161</v>
          </cell>
          <cell r="M809">
            <v>44.04</v>
          </cell>
          <cell r="Q809">
            <v>0</v>
          </cell>
          <cell r="R809">
            <v>1942.04</v>
          </cell>
          <cell r="S809">
            <v>1843.41</v>
          </cell>
          <cell r="T809">
            <v>0</v>
          </cell>
          <cell r="U809">
            <v>54.59</v>
          </cell>
        </row>
        <row r="810">
          <cell r="A810" t="str">
            <v>JUN 2014</v>
          </cell>
          <cell r="B810" t="str">
            <v>KUUM_457</v>
          </cell>
          <cell r="E810">
            <v>35797</v>
          </cell>
          <cell r="M810">
            <v>127.9</v>
          </cell>
          <cell r="Q810">
            <v>0</v>
          </cell>
          <cell r="R810">
            <v>6315.43</v>
          </cell>
          <cell r="S810">
            <v>6052.08</v>
          </cell>
          <cell r="T810">
            <v>0</v>
          </cell>
          <cell r="U810">
            <v>135.44999999999999</v>
          </cell>
        </row>
        <row r="811">
          <cell r="A811" t="str">
            <v>JUN 2014</v>
          </cell>
          <cell r="B811" t="str">
            <v>KUUM_458</v>
          </cell>
          <cell r="E811">
            <v>178050</v>
          </cell>
          <cell r="M811">
            <v>713.65</v>
          </cell>
          <cell r="Q811">
            <v>0</v>
          </cell>
          <cell r="R811">
            <v>23231.64</v>
          </cell>
          <cell r="S811">
            <v>21964.02</v>
          </cell>
          <cell r="T811">
            <v>0</v>
          </cell>
          <cell r="U811">
            <v>553.97</v>
          </cell>
        </row>
        <row r="812">
          <cell r="A812" t="str">
            <v>JUN 2014</v>
          </cell>
          <cell r="B812" t="str">
            <v>KUUM_459</v>
          </cell>
          <cell r="E812">
            <v>66115</v>
          </cell>
          <cell r="M812">
            <v>326.17</v>
          </cell>
          <cell r="Q812">
            <v>0</v>
          </cell>
          <cell r="R812">
            <v>11180.59</v>
          </cell>
          <cell r="S812">
            <v>10532.08</v>
          </cell>
          <cell r="T812">
            <v>0</v>
          </cell>
          <cell r="U812">
            <v>322.33999999999997</v>
          </cell>
        </row>
        <row r="813">
          <cell r="A813" t="str">
            <v>JUN 2014</v>
          </cell>
          <cell r="B813" t="str">
            <v>KUUM_460</v>
          </cell>
          <cell r="E813">
            <v>1118</v>
          </cell>
          <cell r="M813">
            <v>4.8499999999999996</v>
          </cell>
          <cell r="Q813">
            <v>0</v>
          </cell>
          <cell r="R813">
            <v>729.6</v>
          </cell>
          <cell r="S813">
            <v>705.9</v>
          </cell>
          <cell r="T813">
            <v>0</v>
          </cell>
          <cell r="U813">
            <v>18.850000000000001</v>
          </cell>
        </row>
        <row r="814">
          <cell r="A814" t="str">
            <v>JUN 2014</v>
          </cell>
          <cell r="B814" t="str">
            <v>KUUM_461</v>
          </cell>
          <cell r="E814">
            <v>113244</v>
          </cell>
          <cell r="M814">
            <v>518.41</v>
          </cell>
          <cell r="Q814">
            <v>0</v>
          </cell>
          <cell r="R814">
            <v>54230.85</v>
          </cell>
          <cell r="S814">
            <v>52252.2</v>
          </cell>
          <cell r="T814">
            <v>0</v>
          </cell>
          <cell r="U814">
            <v>1460.24</v>
          </cell>
        </row>
        <row r="815">
          <cell r="A815" t="str">
            <v>JUN 2014</v>
          </cell>
          <cell r="B815" t="str">
            <v>KUUM_462</v>
          </cell>
          <cell r="E815">
            <v>199542</v>
          </cell>
          <cell r="M815">
            <v>867.57</v>
          </cell>
          <cell r="Q815">
            <v>0</v>
          </cell>
          <cell r="R815">
            <v>78649.53</v>
          </cell>
          <cell r="S815">
            <v>75765.14</v>
          </cell>
          <cell r="T815">
            <v>0</v>
          </cell>
          <cell r="U815">
            <v>2016.82</v>
          </cell>
        </row>
        <row r="816">
          <cell r="A816" t="str">
            <v>JUN 2014</v>
          </cell>
          <cell r="B816" t="str">
            <v>KUUM_463</v>
          </cell>
          <cell r="E816">
            <v>675986</v>
          </cell>
          <cell r="M816">
            <v>3095.88</v>
          </cell>
          <cell r="Q816">
            <v>0</v>
          </cell>
          <cell r="R816">
            <v>201293.2</v>
          </cell>
          <cell r="S816">
            <v>192772.9</v>
          </cell>
          <cell r="T816">
            <v>0</v>
          </cell>
          <cell r="U816">
            <v>5424.42</v>
          </cell>
        </row>
        <row r="817">
          <cell r="A817" t="str">
            <v>JUN 2014</v>
          </cell>
          <cell r="B817" t="str">
            <v>KUUM_464</v>
          </cell>
          <cell r="E817">
            <v>502539</v>
          </cell>
          <cell r="M817">
            <v>2343.5</v>
          </cell>
          <cell r="Q817">
            <v>0</v>
          </cell>
          <cell r="R817">
            <v>113391.54</v>
          </cell>
          <cell r="S817">
            <v>107939</v>
          </cell>
          <cell r="T817">
            <v>0</v>
          </cell>
          <cell r="U817">
            <v>3109.04</v>
          </cell>
        </row>
        <row r="818">
          <cell r="A818" t="str">
            <v>JUN 2014</v>
          </cell>
          <cell r="B818" t="str">
            <v>KUUM_465</v>
          </cell>
          <cell r="E818">
            <v>361038</v>
          </cell>
          <cell r="M818">
            <v>1732.52</v>
          </cell>
          <cell r="Q818">
            <v>0</v>
          </cell>
          <cell r="R818">
            <v>67631.61</v>
          </cell>
          <cell r="S818">
            <v>63998.44</v>
          </cell>
          <cell r="T818">
            <v>0</v>
          </cell>
          <cell r="U818">
            <v>1900.65</v>
          </cell>
        </row>
        <row r="819">
          <cell r="A819" t="str">
            <v>JUN 2014</v>
          </cell>
          <cell r="B819" t="str">
            <v>KUUM_465CU</v>
          </cell>
          <cell r="E819">
            <v>352</v>
          </cell>
          <cell r="S819">
            <v>0</v>
          </cell>
          <cell r="T819">
            <v>0</v>
          </cell>
          <cell r="U819">
            <v>0</v>
          </cell>
        </row>
        <row r="820">
          <cell r="A820" t="str">
            <v>JUN 2014</v>
          </cell>
          <cell r="B820" t="str">
            <v>KUUM_466</v>
          </cell>
          <cell r="E820">
            <v>14462</v>
          </cell>
          <cell r="M820">
            <v>67.180000000000007</v>
          </cell>
          <cell r="Q820">
            <v>0</v>
          </cell>
          <cell r="R820">
            <v>8552.98</v>
          </cell>
          <cell r="S820">
            <v>8252.68</v>
          </cell>
          <cell r="T820">
            <v>0</v>
          </cell>
          <cell r="U820">
            <v>233.12</v>
          </cell>
        </row>
        <row r="821">
          <cell r="A821" t="str">
            <v>JUN 2014</v>
          </cell>
          <cell r="B821" t="str">
            <v>KUUM_467</v>
          </cell>
          <cell r="E821">
            <v>31452</v>
          </cell>
          <cell r="M821">
            <v>145.41</v>
          </cell>
          <cell r="Q821">
            <v>0</v>
          </cell>
          <cell r="R821">
            <v>15239.6</v>
          </cell>
          <cell r="S821">
            <v>14679.51</v>
          </cell>
          <cell r="T821">
            <v>0</v>
          </cell>
          <cell r="U821">
            <v>414.68</v>
          </cell>
        </row>
        <row r="822">
          <cell r="A822" t="str">
            <v>JUN 2014</v>
          </cell>
          <cell r="B822" t="str">
            <v>KUUM_468</v>
          </cell>
          <cell r="E822">
            <v>128481</v>
          </cell>
          <cell r="M822">
            <v>627.15</v>
          </cell>
          <cell r="Q822">
            <v>0</v>
          </cell>
          <cell r="R822">
            <v>46928.37</v>
          </cell>
          <cell r="S822">
            <v>44959.93</v>
          </cell>
          <cell r="T822">
            <v>0</v>
          </cell>
          <cell r="U822">
            <v>1341.29</v>
          </cell>
        </row>
        <row r="823">
          <cell r="A823" t="str">
            <v>JUN 2014</v>
          </cell>
          <cell r="B823" t="str">
            <v>KUUM_469</v>
          </cell>
          <cell r="E823">
            <v>28022</v>
          </cell>
          <cell r="M823">
            <v>137.38999999999999</v>
          </cell>
          <cell r="Q823">
            <v>0</v>
          </cell>
          <cell r="R823">
            <v>10166.01</v>
          </cell>
          <cell r="S823">
            <v>9736.92</v>
          </cell>
          <cell r="T823">
            <v>0</v>
          </cell>
          <cell r="U823">
            <v>291.7</v>
          </cell>
        </row>
        <row r="824">
          <cell r="A824" t="str">
            <v>JUN 2014</v>
          </cell>
          <cell r="B824" t="str">
            <v>KUUM_470</v>
          </cell>
          <cell r="E824">
            <v>17537</v>
          </cell>
          <cell r="M824">
            <v>87.17</v>
          </cell>
          <cell r="Q824">
            <v>0</v>
          </cell>
          <cell r="R824">
            <v>3560.81</v>
          </cell>
          <cell r="S824">
            <v>3370.25</v>
          </cell>
          <cell r="T824">
            <v>0</v>
          </cell>
          <cell r="U824">
            <v>103.39</v>
          </cell>
        </row>
        <row r="825">
          <cell r="A825" t="str">
            <v>JUN 2014</v>
          </cell>
          <cell r="B825" t="str">
            <v>KUUM_471</v>
          </cell>
          <cell r="E825">
            <v>59109</v>
          </cell>
          <cell r="M825">
            <v>211.13</v>
          </cell>
          <cell r="Q825">
            <v>0</v>
          </cell>
          <cell r="R825">
            <v>39514.71</v>
          </cell>
          <cell r="S825">
            <v>38456.339999999997</v>
          </cell>
          <cell r="T825">
            <v>0</v>
          </cell>
          <cell r="U825">
            <v>847.24</v>
          </cell>
        </row>
        <row r="826">
          <cell r="A826" t="str">
            <v>JUN 2014</v>
          </cell>
          <cell r="B826" t="str">
            <v>KUUM_472</v>
          </cell>
          <cell r="E826">
            <v>195755</v>
          </cell>
          <cell r="M826">
            <v>701.34</v>
          </cell>
          <cell r="Q826">
            <v>0</v>
          </cell>
          <cell r="R826">
            <v>104765.47</v>
          </cell>
          <cell r="S826">
            <v>101811.6</v>
          </cell>
          <cell r="T826">
            <v>0</v>
          </cell>
          <cell r="U826">
            <v>2252.5300000000002</v>
          </cell>
        </row>
        <row r="827">
          <cell r="A827" t="str">
            <v>JUN 2014</v>
          </cell>
          <cell r="B827" t="str">
            <v>KUUM_473</v>
          </cell>
          <cell r="E827">
            <v>106302</v>
          </cell>
          <cell r="M827">
            <v>437.26</v>
          </cell>
          <cell r="Q827">
            <v>0</v>
          </cell>
          <cell r="R827">
            <v>42962.879999999997</v>
          </cell>
          <cell r="S827">
            <v>41476.879999999997</v>
          </cell>
          <cell r="T827">
            <v>0</v>
          </cell>
          <cell r="U827">
            <v>1048.74</v>
          </cell>
        </row>
        <row r="828">
          <cell r="A828" t="str">
            <v>JUN 2014</v>
          </cell>
          <cell r="B828" t="str">
            <v>KUUM_474</v>
          </cell>
          <cell r="E828">
            <v>340071</v>
          </cell>
          <cell r="M828">
            <v>1403.04</v>
          </cell>
          <cell r="Q828">
            <v>0</v>
          </cell>
          <cell r="R828">
            <v>94132.13</v>
          </cell>
          <cell r="S828">
            <v>90427.41</v>
          </cell>
          <cell r="T828">
            <v>0</v>
          </cell>
          <cell r="U828">
            <v>2301.6799999999998</v>
          </cell>
        </row>
        <row r="829">
          <cell r="A829" t="str">
            <v>JUN 2014</v>
          </cell>
          <cell r="B829" t="str">
            <v>KUUM_475</v>
          </cell>
          <cell r="E829">
            <v>65574</v>
          </cell>
          <cell r="M829">
            <v>269.58</v>
          </cell>
          <cell r="Q829">
            <v>0</v>
          </cell>
          <cell r="R829">
            <v>13001.5</v>
          </cell>
          <cell r="S829">
            <v>12415.56</v>
          </cell>
          <cell r="T829">
            <v>0</v>
          </cell>
          <cell r="U829">
            <v>316.36</v>
          </cell>
        </row>
        <row r="830">
          <cell r="A830" t="str">
            <v>JUN 2014</v>
          </cell>
          <cell r="B830" t="str">
            <v>KUUM_476</v>
          </cell>
          <cell r="E830">
            <v>101832</v>
          </cell>
          <cell r="M830">
            <v>364.18</v>
          </cell>
          <cell r="Q830">
            <v>0</v>
          </cell>
          <cell r="R830">
            <v>78665.460000000006</v>
          </cell>
          <cell r="S830">
            <v>76612.77</v>
          </cell>
          <cell r="T830">
            <v>0</v>
          </cell>
          <cell r="U830">
            <v>1688.51</v>
          </cell>
        </row>
        <row r="831">
          <cell r="A831" t="str">
            <v>JUN 2014</v>
          </cell>
          <cell r="B831" t="str">
            <v>KUUM_477</v>
          </cell>
          <cell r="E831">
            <v>33657</v>
          </cell>
          <cell r="M831">
            <v>143.13</v>
          </cell>
          <cell r="Q831">
            <v>0</v>
          </cell>
          <cell r="R831">
            <v>22776.06</v>
          </cell>
          <cell r="S831">
            <v>22060.44</v>
          </cell>
          <cell r="T831">
            <v>0</v>
          </cell>
          <cell r="U831">
            <v>572.49</v>
          </cell>
        </row>
        <row r="832">
          <cell r="A832" t="str">
            <v>JUN 2014</v>
          </cell>
          <cell r="B832" t="str">
            <v>KUUM_478</v>
          </cell>
          <cell r="E832">
            <v>92710</v>
          </cell>
          <cell r="M832">
            <v>405.99</v>
          </cell>
          <cell r="Q832">
            <v>0</v>
          </cell>
          <cell r="R832">
            <v>39210.480000000003</v>
          </cell>
          <cell r="S832">
            <v>37792.019999999997</v>
          </cell>
          <cell r="T832">
            <v>0</v>
          </cell>
          <cell r="U832">
            <v>1012.47</v>
          </cell>
        </row>
        <row r="833">
          <cell r="A833" t="str">
            <v>JUN 2014</v>
          </cell>
          <cell r="B833" t="str">
            <v>KUUM_479</v>
          </cell>
          <cell r="E833">
            <v>120887</v>
          </cell>
          <cell r="M833">
            <v>579.66</v>
          </cell>
          <cell r="Q833">
            <v>0</v>
          </cell>
          <cell r="R833">
            <v>32679.47</v>
          </cell>
          <cell r="S833">
            <v>31181.38</v>
          </cell>
          <cell r="T833">
            <v>0</v>
          </cell>
          <cell r="U833">
            <v>918.43</v>
          </cell>
        </row>
        <row r="834">
          <cell r="A834" t="str">
            <v>JUN 2014</v>
          </cell>
          <cell r="B834" t="str">
            <v>KUUM_487</v>
          </cell>
          <cell r="E834">
            <v>350850</v>
          </cell>
          <cell r="M834">
            <v>1709.32</v>
          </cell>
          <cell r="Q834">
            <v>0</v>
          </cell>
          <cell r="R834">
            <v>104519.29</v>
          </cell>
          <cell r="S834">
            <v>99813.72</v>
          </cell>
          <cell r="T834">
            <v>0</v>
          </cell>
          <cell r="U834">
            <v>2996.25</v>
          </cell>
        </row>
        <row r="835">
          <cell r="A835" t="str">
            <v>JUN 2014</v>
          </cell>
          <cell r="B835" t="str">
            <v>KUUM_488</v>
          </cell>
          <cell r="E835">
            <v>433016</v>
          </cell>
          <cell r="M835">
            <v>2127.34</v>
          </cell>
          <cell r="Q835">
            <v>0</v>
          </cell>
          <cell r="R835">
            <v>94919.22</v>
          </cell>
          <cell r="S835">
            <v>90055.37</v>
          </cell>
          <cell r="T835">
            <v>0</v>
          </cell>
          <cell r="U835">
            <v>2736.51</v>
          </cell>
        </row>
        <row r="836">
          <cell r="A836" t="str">
            <v>JUN 2014</v>
          </cell>
          <cell r="B836" t="str">
            <v>KUUM_489</v>
          </cell>
          <cell r="E836">
            <v>1073293</v>
          </cell>
          <cell r="M836">
            <v>5234.46</v>
          </cell>
          <cell r="Q836">
            <v>0</v>
          </cell>
          <cell r="R836">
            <v>173037.77</v>
          </cell>
          <cell r="S836">
            <v>162860.66</v>
          </cell>
          <cell r="T836">
            <v>0</v>
          </cell>
          <cell r="U836">
            <v>4942.6499999999996</v>
          </cell>
        </row>
        <row r="837">
          <cell r="A837" t="str">
            <v>JUN 2014</v>
          </cell>
          <cell r="B837" t="str">
            <v>KUUM_490</v>
          </cell>
          <cell r="E837">
            <v>2307</v>
          </cell>
          <cell r="M837">
            <v>11.41</v>
          </cell>
          <cell r="Q837">
            <v>0</v>
          </cell>
          <cell r="R837">
            <v>935.72</v>
          </cell>
          <cell r="S837">
            <v>897.26</v>
          </cell>
          <cell r="T837">
            <v>0</v>
          </cell>
          <cell r="U837">
            <v>27.05</v>
          </cell>
        </row>
        <row r="838">
          <cell r="A838" t="str">
            <v>JUN 2014</v>
          </cell>
          <cell r="B838" t="str">
            <v>KUUM_491</v>
          </cell>
          <cell r="E838">
            <v>32617</v>
          </cell>
          <cell r="M838">
            <v>160.04</v>
          </cell>
          <cell r="Q838">
            <v>0</v>
          </cell>
          <cell r="R838">
            <v>7739.7</v>
          </cell>
          <cell r="S838">
            <v>7357.52</v>
          </cell>
          <cell r="T838">
            <v>0</v>
          </cell>
          <cell r="U838">
            <v>222.14</v>
          </cell>
        </row>
        <row r="839">
          <cell r="A839" t="str">
            <v>JUN 2014</v>
          </cell>
          <cell r="B839" t="str">
            <v>KUUM_492</v>
          </cell>
          <cell r="E839">
            <v>46</v>
          </cell>
          <cell r="M839">
            <v>0.23</v>
          </cell>
          <cell r="R839">
            <v>31.9</v>
          </cell>
          <cell r="S839">
            <v>30.74</v>
          </cell>
          <cell r="T839">
            <v>0</v>
          </cell>
          <cell r="U839">
            <v>0.93</v>
          </cell>
        </row>
        <row r="840">
          <cell r="A840" t="str">
            <v>JUN 2014</v>
          </cell>
          <cell r="B840" t="str">
            <v>KUUM_493</v>
          </cell>
          <cell r="E840">
            <v>12619</v>
          </cell>
          <cell r="M840">
            <v>62.71</v>
          </cell>
          <cell r="Q840">
            <v>0</v>
          </cell>
          <cell r="R840">
            <v>2088.4499999999998</v>
          </cell>
          <cell r="S840">
            <v>1965.1</v>
          </cell>
          <cell r="T840">
            <v>0</v>
          </cell>
          <cell r="U840">
            <v>60.64</v>
          </cell>
        </row>
        <row r="841">
          <cell r="A841" t="str">
            <v>JUN 2014</v>
          </cell>
          <cell r="B841" t="str">
            <v>KUUM_494</v>
          </cell>
          <cell r="E841">
            <v>6887</v>
          </cell>
          <cell r="M841">
            <v>32.39</v>
          </cell>
          <cell r="Q841">
            <v>0</v>
          </cell>
          <cell r="R841">
            <v>4934.93</v>
          </cell>
          <cell r="S841">
            <v>4766.16</v>
          </cell>
          <cell r="T841">
            <v>0</v>
          </cell>
          <cell r="U841">
            <v>136.38</v>
          </cell>
        </row>
        <row r="842">
          <cell r="A842" t="str">
            <v>JUN 2014</v>
          </cell>
          <cell r="B842" t="str">
            <v>KUUM_495</v>
          </cell>
          <cell r="E842">
            <v>61681</v>
          </cell>
          <cell r="M842">
            <v>304.88</v>
          </cell>
          <cell r="Q842">
            <v>0</v>
          </cell>
          <cell r="R842">
            <v>23403.439999999999</v>
          </cell>
          <cell r="S842">
            <v>22422.400000000001</v>
          </cell>
          <cell r="T842">
            <v>0</v>
          </cell>
          <cell r="U842">
            <v>676.16</v>
          </cell>
        </row>
        <row r="843">
          <cell r="A843" t="str">
            <v>JUN 2014</v>
          </cell>
          <cell r="B843" t="str">
            <v>KUUM_496</v>
          </cell>
          <cell r="E843">
            <v>45473</v>
          </cell>
          <cell r="M843">
            <v>222.07</v>
          </cell>
          <cell r="Q843">
            <v>0</v>
          </cell>
          <cell r="R843">
            <v>9517.0400000000009</v>
          </cell>
          <cell r="S843">
            <v>9022.86</v>
          </cell>
          <cell r="T843">
            <v>0</v>
          </cell>
          <cell r="U843">
            <v>272.11</v>
          </cell>
        </row>
        <row r="844">
          <cell r="A844" t="str">
            <v>JUN 2014</v>
          </cell>
          <cell r="B844" t="str">
            <v>KUUM_497</v>
          </cell>
          <cell r="E844">
            <v>323</v>
          </cell>
          <cell r="M844">
            <v>1.6</v>
          </cell>
          <cell r="R844">
            <v>159.74</v>
          </cell>
          <cell r="S844">
            <v>153.5</v>
          </cell>
          <cell r="T844">
            <v>0</v>
          </cell>
          <cell r="U844">
            <v>4.6399999999999997</v>
          </cell>
        </row>
        <row r="845">
          <cell r="A845" t="str">
            <v>JUN 2014</v>
          </cell>
          <cell r="B845" t="str">
            <v>KUUM_498</v>
          </cell>
          <cell r="E845">
            <v>3994</v>
          </cell>
          <cell r="M845">
            <v>19.86</v>
          </cell>
          <cell r="R845">
            <v>1016.9</v>
          </cell>
          <cell r="S845">
            <v>967.51</v>
          </cell>
          <cell r="T845">
            <v>0</v>
          </cell>
          <cell r="U845">
            <v>29.53</v>
          </cell>
        </row>
        <row r="846">
          <cell r="A846" t="str">
            <v>JUN 2014</v>
          </cell>
          <cell r="B846" t="str">
            <v>KUUM_499</v>
          </cell>
          <cell r="E846">
            <v>3193</v>
          </cell>
          <cell r="M846">
            <v>15.68</v>
          </cell>
          <cell r="R846">
            <v>547.15</v>
          </cell>
          <cell r="S846">
            <v>515.76</v>
          </cell>
          <cell r="T846">
            <v>0</v>
          </cell>
          <cell r="U846">
            <v>15.71</v>
          </cell>
        </row>
        <row r="847">
          <cell r="A847" t="str">
            <v>JUN 2014</v>
          </cell>
          <cell r="B847" t="str">
            <v>KUUM_820</v>
          </cell>
          <cell r="R847">
            <v>99.52</v>
          </cell>
          <cell r="S847">
            <v>0</v>
          </cell>
          <cell r="T847">
            <v>0</v>
          </cell>
          <cell r="U847">
            <v>0</v>
          </cell>
        </row>
        <row r="848">
          <cell r="A848" t="str">
            <v>JUN 2014</v>
          </cell>
          <cell r="B848" t="str">
            <v>KUUM_825</v>
          </cell>
          <cell r="R848">
            <v>83756.509999999995</v>
          </cell>
          <cell r="S848">
            <v>0</v>
          </cell>
          <cell r="T848">
            <v>0</v>
          </cell>
          <cell r="U848">
            <v>0</v>
          </cell>
        </row>
        <row r="849">
          <cell r="A849" t="str">
            <v>JUN 2014</v>
          </cell>
          <cell r="B849" t="str">
            <v>KUUM_826</v>
          </cell>
          <cell r="R849">
            <v>9347.67</v>
          </cell>
          <cell r="S849">
            <v>0</v>
          </cell>
          <cell r="T849">
            <v>0</v>
          </cell>
          <cell r="U849">
            <v>0</v>
          </cell>
        </row>
        <row r="850">
          <cell r="A850" t="str">
            <v>JUN 2014</v>
          </cell>
          <cell r="B850" t="str">
            <v>KUUM_827</v>
          </cell>
          <cell r="F850">
            <v>36126.76</v>
          </cell>
          <cell r="R850">
            <v>36126.76</v>
          </cell>
          <cell r="S850">
            <v>0</v>
          </cell>
          <cell r="T850">
            <v>0</v>
          </cell>
          <cell r="U850">
            <v>0</v>
          </cell>
        </row>
        <row r="851">
          <cell r="A851" t="str">
            <v>JUN 2014</v>
          </cell>
          <cell r="B851" t="str">
            <v>KUUM_828</v>
          </cell>
          <cell r="R851">
            <v>31845.41</v>
          </cell>
          <cell r="S851">
            <v>0</v>
          </cell>
          <cell r="T851">
            <v>0</v>
          </cell>
          <cell r="U851">
            <v>0</v>
          </cell>
        </row>
        <row r="852">
          <cell r="A852" t="str">
            <v>JUN 2014</v>
          </cell>
          <cell r="B852" t="str">
            <v>KUUM_829</v>
          </cell>
          <cell r="R852">
            <v>0</v>
          </cell>
          <cell r="S852">
            <v>0</v>
          </cell>
          <cell r="T852">
            <v>0</v>
          </cell>
          <cell r="U852">
            <v>0</v>
          </cell>
        </row>
        <row r="853">
          <cell r="A853" t="str">
            <v>JUN 2014</v>
          </cell>
          <cell r="B853" t="str">
            <v>ODCME110C</v>
          </cell>
          <cell r="E853">
            <v>0</v>
          </cell>
          <cell r="F853">
            <v>0</v>
          </cell>
          <cell r="R853">
            <v>0</v>
          </cell>
          <cell r="S853">
            <v>0</v>
          </cell>
          <cell r="T853">
            <v>0</v>
          </cell>
          <cell r="U853">
            <v>0</v>
          </cell>
        </row>
        <row r="854">
          <cell r="A854" t="str">
            <v>JUN 2014</v>
          </cell>
          <cell r="B854" t="str">
            <v>ODUM_428</v>
          </cell>
          <cell r="E854">
            <v>0</v>
          </cell>
          <cell r="M854">
            <v>0</v>
          </cell>
          <cell r="Q854">
            <v>0</v>
          </cell>
          <cell r="R854">
            <v>0</v>
          </cell>
          <cell r="S854">
            <v>0</v>
          </cell>
          <cell r="T854">
            <v>0</v>
          </cell>
          <cell r="U854">
            <v>0</v>
          </cell>
        </row>
        <row r="855">
          <cell r="A855" t="str">
            <v>JUN 2014</v>
          </cell>
          <cell r="B855" t="str">
            <v>Result</v>
          </cell>
          <cell r="E855">
            <v>1654918456</v>
          </cell>
          <cell r="F855">
            <v>7208354.3200000003</v>
          </cell>
          <cell r="L855">
            <v>2631136.06</v>
          </cell>
          <cell r="M855">
            <v>7858154.96</v>
          </cell>
          <cell r="P855">
            <v>-1091476.22</v>
          </cell>
          <cell r="Q855">
            <v>0</v>
          </cell>
          <cell r="R855">
            <v>136369801.62</v>
          </cell>
          <cell r="S855">
            <v>88462571.429999992</v>
          </cell>
          <cell r="T855">
            <v>27185276.550000001</v>
          </cell>
          <cell r="U855">
            <v>3541868.92</v>
          </cell>
        </row>
        <row r="856">
          <cell r="A856" t="str">
            <v>JUL 2014</v>
          </cell>
          <cell r="B856" t="str">
            <v>KTRSE020</v>
          </cell>
          <cell r="E856">
            <v>4703</v>
          </cell>
          <cell r="F856">
            <v>25.5</v>
          </cell>
          <cell r="R856">
            <v>345.54</v>
          </cell>
          <cell r="S856">
            <v>320.04000000000002</v>
          </cell>
          <cell r="T856">
            <v>0</v>
          </cell>
          <cell r="U856">
            <v>0</v>
          </cell>
        </row>
        <row r="857">
          <cell r="A857" t="str">
            <v>JUL 2014</v>
          </cell>
          <cell r="B857" t="str">
            <v>KTRSE030</v>
          </cell>
          <cell r="E857">
            <v>892</v>
          </cell>
          <cell r="F857">
            <v>8.5</v>
          </cell>
          <cell r="R857">
            <v>69.2</v>
          </cell>
          <cell r="S857">
            <v>60.7</v>
          </cell>
          <cell r="T857">
            <v>0</v>
          </cell>
          <cell r="U857">
            <v>0</v>
          </cell>
        </row>
        <row r="858">
          <cell r="A858" t="str">
            <v>JUL 2014</v>
          </cell>
          <cell r="B858" t="str">
            <v>KTUM_406</v>
          </cell>
          <cell r="E858">
            <v>108</v>
          </cell>
          <cell r="R858">
            <v>19.04</v>
          </cell>
          <cell r="S858">
            <v>19.04</v>
          </cell>
          <cell r="T858">
            <v>0</v>
          </cell>
          <cell r="U858">
            <v>0</v>
          </cell>
        </row>
        <row r="859">
          <cell r="A859" t="str">
            <v>JUL 2014</v>
          </cell>
          <cell r="B859" t="str">
            <v>KTUM_428</v>
          </cell>
          <cell r="E859">
            <v>31</v>
          </cell>
          <cell r="R859">
            <v>6.9</v>
          </cell>
          <cell r="S859">
            <v>6.9</v>
          </cell>
          <cell r="T859">
            <v>0</v>
          </cell>
          <cell r="U859">
            <v>0</v>
          </cell>
        </row>
        <row r="860">
          <cell r="A860" t="str">
            <v>JUL 2014</v>
          </cell>
          <cell r="B860" t="str">
            <v>KUCIE000</v>
          </cell>
          <cell r="S860">
            <v>0</v>
          </cell>
          <cell r="T860">
            <v>0</v>
          </cell>
          <cell r="U860">
            <v>0</v>
          </cell>
        </row>
        <row r="861">
          <cell r="A861" t="str">
            <v>JUL 2014</v>
          </cell>
          <cell r="B861" t="str">
            <v>KUCIE550</v>
          </cell>
          <cell r="E861">
            <v>123501495</v>
          </cell>
          <cell r="F861">
            <v>24750</v>
          </cell>
          <cell r="L861">
            <v>0</v>
          </cell>
          <cell r="M861">
            <v>316216.61</v>
          </cell>
          <cell r="R861">
            <v>7456348.0599999996</v>
          </cell>
          <cell r="S861">
            <v>4488044.33</v>
          </cell>
          <cell r="T861">
            <v>2432047.09</v>
          </cell>
          <cell r="U861">
            <v>195290.03</v>
          </cell>
        </row>
        <row r="862">
          <cell r="A862" t="str">
            <v>JUL 2014</v>
          </cell>
          <cell r="B862" t="str">
            <v>KUCIE561</v>
          </cell>
          <cell r="E862">
            <v>5416412</v>
          </cell>
          <cell r="F862">
            <v>28900</v>
          </cell>
          <cell r="L862">
            <v>6539.85</v>
          </cell>
          <cell r="M862">
            <v>14009.55</v>
          </cell>
          <cell r="R862">
            <v>523916.79999999999</v>
          </cell>
          <cell r="S862">
            <v>192932.6</v>
          </cell>
          <cell r="T862">
            <v>262249.07</v>
          </cell>
          <cell r="U862">
            <v>19285.73</v>
          </cell>
        </row>
        <row r="863">
          <cell r="A863" t="str">
            <v>JUL 2014</v>
          </cell>
          <cell r="B863" t="str">
            <v>KUCIE562</v>
          </cell>
          <cell r="E863">
            <v>157324850</v>
          </cell>
          <cell r="F863">
            <v>427091.13</v>
          </cell>
          <cell r="L863">
            <v>205935.17</v>
          </cell>
          <cell r="M863">
            <v>420948.33</v>
          </cell>
          <cell r="R863">
            <v>14017958.75</v>
          </cell>
          <cell r="S863">
            <v>5607058.1099999994</v>
          </cell>
          <cell r="T863">
            <v>6864302.0800000001</v>
          </cell>
          <cell r="U863">
            <v>492623.93</v>
          </cell>
        </row>
        <row r="864">
          <cell r="A864" t="str">
            <v>JUL 2014</v>
          </cell>
          <cell r="B864" t="str">
            <v>KUCIE563</v>
          </cell>
          <cell r="E864">
            <v>300636951</v>
          </cell>
          <cell r="F864">
            <v>17100</v>
          </cell>
          <cell r="L864">
            <v>67588.11</v>
          </cell>
          <cell r="M864">
            <v>980794.96</v>
          </cell>
          <cell r="R864">
            <v>18134657.539999999</v>
          </cell>
          <cell r="S864">
            <v>11318981.210000001</v>
          </cell>
          <cell r="T864">
            <v>5300402.79</v>
          </cell>
          <cell r="U864">
            <v>449790.47</v>
          </cell>
        </row>
        <row r="865">
          <cell r="A865" t="str">
            <v>JUL 2014</v>
          </cell>
          <cell r="B865" t="str">
            <v>KUCIE566</v>
          </cell>
          <cell r="E865">
            <v>19965688</v>
          </cell>
          <cell r="F865">
            <v>11489.57</v>
          </cell>
          <cell r="L865">
            <v>16639.88</v>
          </cell>
          <cell r="M865">
            <v>54567.24</v>
          </cell>
          <cell r="R865">
            <v>1548091.85</v>
          </cell>
          <cell r="S865">
            <v>711177.82</v>
          </cell>
          <cell r="T865">
            <v>704444.1</v>
          </cell>
          <cell r="U865">
            <v>49773.24</v>
          </cell>
        </row>
        <row r="866">
          <cell r="A866" t="str">
            <v>JUL 2014</v>
          </cell>
          <cell r="B866" t="str">
            <v>KUCIE568</v>
          </cell>
          <cell r="E866">
            <v>59633358</v>
          </cell>
          <cell r="F866">
            <v>33643.050000000003</v>
          </cell>
          <cell r="L866">
            <v>50241.26</v>
          </cell>
          <cell r="M866">
            <v>158438.25</v>
          </cell>
          <cell r="R866">
            <v>4721660.96</v>
          </cell>
          <cell r="S866">
            <v>2124149.25</v>
          </cell>
          <cell r="T866">
            <v>2200294.66</v>
          </cell>
          <cell r="U866">
            <v>154894.49</v>
          </cell>
        </row>
        <row r="867">
          <cell r="A867" t="str">
            <v>JUL 2014</v>
          </cell>
          <cell r="B867" t="str">
            <v>KUCIE571</v>
          </cell>
          <cell r="E867">
            <v>116046769</v>
          </cell>
          <cell r="F867">
            <v>50824.29</v>
          </cell>
          <cell r="L867">
            <v>45814.1</v>
          </cell>
          <cell r="M867">
            <v>316165.44</v>
          </cell>
          <cell r="R867">
            <v>7526298.1600000001</v>
          </cell>
          <cell r="S867">
            <v>4369160.9000000004</v>
          </cell>
          <cell r="T867">
            <v>2535858.3600000003</v>
          </cell>
          <cell r="U867">
            <v>208475.07</v>
          </cell>
        </row>
        <row r="868">
          <cell r="A868" t="str">
            <v>JUL 2014</v>
          </cell>
          <cell r="B868" t="str">
            <v>KUCIE572</v>
          </cell>
          <cell r="E868">
            <v>124772908</v>
          </cell>
          <cell r="F868">
            <v>95953.54</v>
          </cell>
          <cell r="L868">
            <v>98252.91</v>
          </cell>
          <cell r="M868">
            <v>343332.3</v>
          </cell>
          <cell r="R868">
            <v>8734832.5600000005</v>
          </cell>
          <cell r="S868">
            <v>4707682.01</v>
          </cell>
          <cell r="T868">
            <v>3230391.9299999997</v>
          </cell>
          <cell r="U868">
            <v>259219.87</v>
          </cell>
        </row>
        <row r="869">
          <cell r="A869" t="str">
            <v>JUL 2014</v>
          </cell>
          <cell r="B869" t="str">
            <v>KUCIE717</v>
          </cell>
          <cell r="E869">
            <v>33680</v>
          </cell>
          <cell r="F869">
            <v>90</v>
          </cell>
          <cell r="L869">
            <v>46.14</v>
          </cell>
          <cell r="M869">
            <v>86.22</v>
          </cell>
          <cell r="R869">
            <v>3062.29</v>
          </cell>
          <cell r="S869">
            <v>1200.3599999999999</v>
          </cell>
          <cell r="T869">
            <v>1530</v>
          </cell>
          <cell r="U869">
            <v>109.57</v>
          </cell>
        </row>
        <row r="870">
          <cell r="A870" t="str">
            <v>JUL 2014</v>
          </cell>
          <cell r="B870" t="str">
            <v>KUCME000</v>
          </cell>
          <cell r="S870">
            <v>0</v>
          </cell>
          <cell r="T870">
            <v>0</v>
          </cell>
          <cell r="U870">
            <v>0</v>
          </cell>
        </row>
        <row r="871">
          <cell r="A871" t="str">
            <v>JUL 2014</v>
          </cell>
          <cell r="B871" t="str">
            <v>KUCME110</v>
          </cell>
          <cell r="E871">
            <v>66109772</v>
          </cell>
          <cell r="F871">
            <v>1292009.06</v>
          </cell>
          <cell r="L871">
            <v>195287.45</v>
          </cell>
          <cell r="M871">
            <v>175473.96</v>
          </cell>
          <cell r="R871">
            <v>8088378.4900000002</v>
          </cell>
          <cell r="S871">
            <v>6098651.2999999998</v>
          </cell>
          <cell r="T871">
            <v>0</v>
          </cell>
          <cell r="U871">
            <v>326956.72000000003</v>
          </cell>
        </row>
        <row r="872">
          <cell r="A872" t="str">
            <v>JUL 2014</v>
          </cell>
          <cell r="B872" t="str">
            <v>KUCME112</v>
          </cell>
          <cell r="E872">
            <v>10885</v>
          </cell>
          <cell r="F872">
            <v>1240</v>
          </cell>
          <cell r="L872">
            <v>32.69</v>
          </cell>
          <cell r="M872">
            <v>32</v>
          </cell>
          <cell r="R872">
            <v>2420.96</v>
          </cell>
          <cell r="S872">
            <v>1004.1700000000001</v>
          </cell>
          <cell r="T872">
            <v>0</v>
          </cell>
          <cell r="U872">
            <v>112.1</v>
          </cell>
        </row>
        <row r="873">
          <cell r="A873" t="str">
            <v>JUL 2014</v>
          </cell>
          <cell r="B873" t="str">
            <v>KUCME113</v>
          </cell>
          <cell r="E873">
            <v>99447216</v>
          </cell>
          <cell r="F873">
            <v>647593.03</v>
          </cell>
          <cell r="L873">
            <v>279289.58</v>
          </cell>
          <cell r="M873">
            <v>262983.51</v>
          </cell>
          <cell r="R873">
            <v>10780671.33</v>
          </cell>
          <cell r="S873">
            <v>9174009.5800000001</v>
          </cell>
          <cell r="T873">
            <v>0</v>
          </cell>
          <cell r="U873">
            <v>416795.63</v>
          </cell>
        </row>
        <row r="874">
          <cell r="A874" t="str">
            <v>JUL 2014</v>
          </cell>
          <cell r="B874" t="str">
            <v>KUCME220</v>
          </cell>
          <cell r="E874">
            <v>370960</v>
          </cell>
          <cell r="F874">
            <v>6911.13</v>
          </cell>
          <cell r="L874">
            <v>456.2</v>
          </cell>
          <cell r="M874">
            <v>1133.47</v>
          </cell>
          <cell r="R874">
            <v>37277.410000000003</v>
          </cell>
          <cell r="S874">
            <v>27599.440000000002</v>
          </cell>
          <cell r="T874">
            <v>0</v>
          </cell>
          <cell r="U874">
            <v>1177.17</v>
          </cell>
        </row>
        <row r="875">
          <cell r="A875" t="str">
            <v>JUL 2014</v>
          </cell>
          <cell r="B875" t="str">
            <v>KUCME221</v>
          </cell>
          <cell r="E875">
            <v>360</v>
          </cell>
          <cell r="F875">
            <v>160</v>
          </cell>
          <cell r="L875">
            <v>0.44</v>
          </cell>
          <cell r="M875">
            <v>1.35</v>
          </cell>
          <cell r="R875">
            <v>194.68</v>
          </cell>
          <cell r="S875">
            <v>26.78</v>
          </cell>
          <cell r="T875">
            <v>0</v>
          </cell>
          <cell r="U875">
            <v>6.11</v>
          </cell>
        </row>
        <row r="876">
          <cell r="A876" t="str">
            <v>JUL 2014</v>
          </cell>
          <cell r="B876" t="str">
            <v>KUCME223</v>
          </cell>
          <cell r="E876">
            <v>293238</v>
          </cell>
          <cell r="F876">
            <v>2380</v>
          </cell>
          <cell r="L876">
            <v>360.68</v>
          </cell>
          <cell r="M876">
            <v>791.92</v>
          </cell>
          <cell r="R876">
            <v>26188.03</v>
          </cell>
          <cell r="S876">
            <v>21816.92</v>
          </cell>
          <cell r="T876">
            <v>0</v>
          </cell>
          <cell r="U876">
            <v>838.51</v>
          </cell>
        </row>
        <row r="877">
          <cell r="A877" t="str">
            <v>JUL 2014</v>
          </cell>
          <cell r="B877" t="str">
            <v>KUCME224</v>
          </cell>
          <cell r="E877">
            <v>219600</v>
          </cell>
          <cell r="F877">
            <v>140</v>
          </cell>
          <cell r="L877">
            <v>270.11</v>
          </cell>
          <cell r="M877">
            <v>766.06</v>
          </cell>
          <cell r="R877">
            <v>18074.349999999999</v>
          </cell>
          <cell r="S877">
            <v>16338.24</v>
          </cell>
          <cell r="T877">
            <v>0</v>
          </cell>
          <cell r="U877">
            <v>559.94000000000005</v>
          </cell>
        </row>
        <row r="878">
          <cell r="A878" t="str">
            <v>JUL 2014</v>
          </cell>
          <cell r="B878" t="str">
            <v>KUCME225</v>
          </cell>
          <cell r="E878">
            <v>1853513</v>
          </cell>
          <cell r="F878">
            <v>3465</v>
          </cell>
          <cell r="L878">
            <v>2279.84</v>
          </cell>
          <cell r="M878">
            <v>5609.99</v>
          </cell>
          <cell r="R878">
            <v>154125.81</v>
          </cell>
          <cell r="S878">
            <v>137901.36999999997</v>
          </cell>
          <cell r="T878">
            <v>0</v>
          </cell>
          <cell r="U878">
            <v>4869.6099999999997</v>
          </cell>
        </row>
        <row r="879">
          <cell r="A879" t="str">
            <v>JUL 2014</v>
          </cell>
          <cell r="B879" t="str">
            <v>KUCME226</v>
          </cell>
          <cell r="E879">
            <v>39934</v>
          </cell>
          <cell r="F879">
            <v>380</v>
          </cell>
          <cell r="L879">
            <v>49.12</v>
          </cell>
          <cell r="M879">
            <v>132.51</v>
          </cell>
          <cell r="R879">
            <v>3646.52</v>
          </cell>
          <cell r="S879">
            <v>2971.09</v>
          </cell>
          <cell r="T879">
            <v>0</v>
          </cell>
          <cell r="U879">
            <v>113.8</v>
          </cell>
        </row>
        <row r="880">
          <cell r="A880" t="str">
            <v>JUL 2014</v>
          </cell>
          <cell r="B880" t="str">
            <v>KUCME227</v>
          </cell>
          <cell r="E880">
            <v>7160624</v>
          </cell>
          <cell r="F880">
            <v>3500</v>
          </cell>
          <cell r="L880">
            <v>8807.57</v>
          </cell>
          <cell r="M880">
            <v>23155.13</v>
          </cell>
          <cell r="R880">
            <v>586583.31000000006</v>
          </cell>
          <cell r="S880">
            <v>532750.4</v>
          </cell>
          <cell r="T880">
            <v>0</v>
          </cell>
          <cell r="U880">
            <v>18370.21</v>
          </cell>
        </row>
        <row r="881">
          <cell r="A881" t="str">
            <v>JUL 2014</v>
          </cell>
          <cell r="B881" t="str">
            <v>KUCME290</v>
          </cell>
          <cell r="E881">
            <v>10809</v>
          </cell>
          <cell r="M881">
            <v>27.67</v>
          </cell>
          <cell r="R881">
            <v>741.17</v>
          </cell>
          <cell r="S881">
            <v>689.6099999999999</v>
          </cell>
          <cell r="T881">
            <v>0</v>
          </cell>
          <cell r="U881">
            <v>23.89</v>
          </cell>
        </row>
        <row r="882">
          <cell r="A882" t="str">
            <v>JUL 2014</v>
          </cell>
          <cell r="B882" t="str">
            <v>KUCME291</v>
          </cell>
          <cell r="E882">
            <v>2625</v>
          </cell>
          <cell r="M882">
            <v>13.05</v>
          </cell>
          <cell r="R882">
            <v>185.93</v>
          </cell>
          <cell r="S882">
            <v>167.48000000000002</v>
          </cell>
          <cell r="T882">
            <v>0</v>
          </cell>
          <cell r="U882">
            <v>5.4</v>
          </cell>
        </row>
        <row r="883">
          <cell r="A883" t="str">
            <v>JUL 2014</v>
          </cell>
          <cell r="B883" t="str">
            <v>KUCME295</v>
          </cell>
          <cell r="E883">
            <v>90764</v>
          </cell>
          <cell r="F883">
            <v>1553.5</v>
          </cell>
          <cell r="M883">
            <v>356.31</v>
          </cell>
          <cell r="R883">
            <v>9437.59</v>
          </cell>
          <cell r="S883">
            <v>7241.17</v>
          </cell>
          <cell r="T883">
            <v>0</v>
          </cell>
          <cell r="U883">
            <v>286.61</v>
          </cell>
        </row>
        <row r="884">
          <cell r="A884" t="str">
            <v>JUL 2014</v>
          </cell>
          <cell r="B884" t="str">
            <v>KUCME297</v>
          </cell>
          <cell r="E884">
            <v>14416</v>
          </cell>
          <cell r="F884">
            <v>884</v>
          </cell>
          <cell r="M884">
            <v>38.08</v>
          </cell>
          <cell r="R884">
            <v>2140.64</v>
          </cell>
          <cell r="S884">
            <v>1150.56</v>
          </cell>
          <cell r="T884">
            <v>0</v>
          </cell>
          <cell r="U884">
            <v>68</v>
          </cell>
        </row>
        <row r="885">
          <cell r="A885" t="str">
            <v>JUL 2014</v>
          </cell>
          <cell r="B885" t="str">
            <v>KUCME705</v>
          </cell>
          <cell r="R885">
            <v>0</v>
          </cell>
          <cell r="S885">
            <v>0</v>
          </cell>
          <cell r="T885">
            <v>0</v>
          </cell>
          <cell r="U885">
            <v>0</v>
          </cell>
        </row>
        <row r="886">
          <cell r="A886" t="str">
            <v>JUL 2014</v>
          </cell>
          <cell r="B886" t="str">
            <v>KUCME707</v>
          </cell>
          <cell r="R886">
            <v>0</v>
          </cell>
          <cell r="S886">
            <v>0</v>
          </cell>
          <cell r="T886">
            <v>0</v>
          </cell>
          <cell r="U886">
            <v>0</v>
          </cell>
        </row>
        <row r="887">
          <cell r="A887" t="str">
            <v>JUL 2014</v>
          </cell>
          <cell r="B887" t="str">
            <v>KUCME710</v>
          </cell>
          <cell r="E887">
            <v>5823</v>
          </cell>
          <cell r="F887">
            <v>200</v>
          </cell>
          <cell r="L887">
            <v>17.47</v>
          </cell>
          <cell r="M887">
            <v>14.89</v>
          </cell>
          <cell r="R887">
            <v>803.48</v>
          </cell>
          <cell r="S887">
            <v>537.16999999999996</v>
          </cell>
          <cell r="T887">
            <v>0</v>
          </cell>
          <cell r="U887">
            <v>33.950000000000003</v>
          </cell>
        </row>
        <row r="888">
          <cell r="A888" t="str">
            <v>JUL 2014</v>
          </cell>
          <cell r="B888" t="str">
            <v>KUCME713</v>
          </cell>
          <cell r="E888">
            <v>11880</v>
          </cell>
          <cell r="F888">
            <v>70</v>
          </cell>
          <cell r="L888">
            <v>9.1199999999999992</v>
          </cell>
          <cell r="M888">
            <v>30.41</v>
          </cell>
          <cell r="R888">
            <v>1253.5999999999999</v>
          </cell>
          <cell r="S888">
            <v>1095.93</v>
          </cell>
          <cell r="T888">
            <v>0</v>
          </cell>
          <cell r="U888">
            <v>48.14</v>
          </cell>
        </row>
        <row r="889">
          <cell r="A889" t="str">
            <v>JUL 2014</v>
          </cell>
          <cell r="B889" t="str">
            <v>KUCME841</v>
          </cell>
          <cell r="S889">
            <v>0</v>
          </cell>
          <cell r="T889">
            <v>0</v>
          </cell>
          <cell r="U889">
            <v>0</v>
          </cell>
        </row>
        <row r="890">
          <cell r="A890" t="str">
            <v>JUL 2014</v>
          </cell>
          <cell r="B890" t="str">
            <v>KUCSR760</v>
          </cell>
          <cell r="P890">
            <v>-977006.02</v>
          </cell>
          <cell r="R890">
            <v>-977006.02</v>
          </cell>
          <cell r="S890">
            <v>0</v>
          </cell>
          <cell r="T890">
            <v>0</v>
          </cell>
          <cell r="U890">
            <v>0</v>
          </cell>
        </row>
        <row r="891">
          <cell r="A891" t="str">
            <v>JUL 2014</v>
          </cell>
          <cell r="B891" t="str">
            <v>KUCSR761</v>
          </cell>
          <cell r="P891">
            <v>-33499.18</v>
          </cell>
          <cell r="R891">
            <v>-33499.18</v>
          </cell>
          <cell r="S891">
            <v>0</v>
          </cell>
          <cell r="T891">
            <v>0</v>
          </cell>
          <cell r="U891">
            <v>0</v>
          </cell>
        </row>
        <row r="892">
          <cell r="A892" t="str">
            <v>JUL 2014</v>
          </cell>
          <cell r="B892" t="str">
            <v>KUCSR780</v>
          </cell>
          <cell r="P892">
            <v>-26359.99</v>
          </cell>
          <cell r="R892">
            <v>-26359.99</v>
          </cell>
          <cell r="S892">
            <v>0</v>
          </cell>
          <cell r="T892">
            <v>0</v>
          </cell>
          <cell r="U892">
            <v>0</v>
          </cell>
        </row>
        <row r="893">
          <cell r="A893" t="str">
            <v>JUL 2014</v>
          </cell>
          <cell r="B893" t="str">
            <v>KUCSR781</v>
          </cell>
          <cell r="P893">
            <v>-28805.3</v>
          </cell>
          <cell r="R893">
            <v>-28805.3</v>
          </cell>
          <cell r="S893">
            <v>0</v>
          </cell>
          <cell r="T893">
            <v>0</v>
          </cell>
          <cell r="U893">
            <v>0</v>
          </cell>
        </row>
        <row r="894">
          <cell r="A894" t="str">
            <v>JUL 2014</v>
          </cell>
          <cell r="B894" t="str">
            <v>KUCSR783</v>
          </cell>
          <cell r="P894">
            <v>-8800</v>
          </cell>
          <cell r="R894">
            <v>-8800</v>
          </cell>
          <cell r="S894">
            <v>0</v>
          </cell>
          <cell r="T894">
            <v>0</v>
          </cell>
          <cell r="U894">
            <v>0</v>
          </cell>
        </row>
        <row r="895">
          <cell r="A895" t="str">
            <v>JUL 2014</v>
          </cell>
          <cell r="B895" t="str">
            <v>KUCUE851</v>
          </cell>
          <cell r="S895">
            <v>0</v>
          </cell>
          <cell r="T895">
            <v>0</v>
          </cell>
          <cell r="U895">
            <v>0</v>
          </cell>
        </row>
        <row r="896">
          <cell r="A896" t="str">
            <v>JUL 2014</v>
          </cell>
          <cell r="B896" t="str">
            <v>KUCUE852</v>
          </cell>
          <cell r="S896">
            <v>0</v>
          </cell>
          <cell r="T896">
            <v>0</v>
          </cell>
          <cell r="U896">
            <v>0</v>
          </cell>
        </row>
        <row r="897">
          <cell r="A897" t="str">
            <v>JUL 2014</v>
          </cell>
          <cell r="B897" t="str">
            <v>KUINE730</v>
          </cell>
          <cell r="E897">
            <v>42552000</v>
          </cell>
          <cell r="F897">
            <v>750</v>
          </cell>
          <cell r="M897">
            <v>108933.12</v>
          </cell>
          <cell r="R897">
            <v>2360277.67</v>
          </cell>
          <cell r="S897">
            <v>1387620.7200000002</v>
          </cell>
          <cell r="T897">
            <v>807107.6</v>
          </cell>
          <cell r="U897">
            <v>55866.23</v>
          </cell>
        </row>
        <row r="898">
          <cell r="A898" t="str">
            <v>JUL 2014</v>
          </cell>
          <cell r="B898" t="str">
            <v>KUMNE902</v>
          </cell>
          <cell r="E898">
            <v>53095200</v>
          </cell>
          <cell r="M898">
            <v>92385.64</v>
          </cell>
          <cell r="R898">
            <v>3385498.34</v>
          </cell>
          <cell r="S898">
            <v>1684167.12</v>
          </cell>
          <cell r="T898">
            <v>1444008.24</v>
          </cell>
          <cell r="U898">
            <v>0</v>
          </cell>
        </row>
        <row r="899">
          <cell r="A899" t="str">
            <v>JUL 2014</v>
          </cell>
          <cell r="B899" t="str">
            <v>KUMNE903</v>
          </cell>
          <cell r="E899">
            <v>107962188</v>
          </cell>
          <cell r="M899">
            <v>185694.96</v>
          </cell>
          <cell r="R899">
            <v>6898669.3899999997</v>
          </cell>
          <cell r="S899">
            <v>3420598.39</v>
          </cell>
          <cell r="T899">
            <v>2969463.24</v>
          </cell>
          <cell r="U899">
            <v>0</v>
          </cell>
        </row>
        <row r="900">
          <cell r="A900" t="str">
            <v>JUL 2014</v>
          </cell>
          <cell r="B900" t="str">
            <v>KUMNE934</v>
          </cell>
          <cell r="E900">
            <v>5287512</v>
          </cell>
          <cell r="M900">
            <v>9094.52</v>
          </cell>
          <cell r="R900">
            <v>281175.57</v>
          </cell>
          <cell r="S900">
            <v>167525.82999999999</v>
          </cell>
          <cell r="T900">
            <v>86643.46</v>
          </cell>
          <cell r="U900">
            <v>0</v>
          </cell>
        </row>
        <row r="901">
          <cell r="A901" t="str">
            <v>JUL 2014</v>
          </cell>
          <cell r="B901" t="str">
            <v>KURSE000</v>
          </cell>
          <cell r="S901">
            <v>0</v>
          </cell>
          <cell r="T901">
            <v>0</v>
          </cell>
          <cell r="U901">
            <v>0</v>
          </cell>
        </row>
        <row r="902">
          <cell r="A902" t="str">
            <v>JUL 2014</v>
          </cell>
          <cell r="B902" t="str">
            <v>KURSE010</v>
          </cell>
          <cell r="E902">
            <v>284511549</v>
          </cell>
          <cell r="F902">
            <v>2460225.0099999998</v>
          </cell>
          <cell r="L902">
            <v>1120972.8799999999</v>
          </cell>
          <cell r="M902">
            <v>729020.05</v>
          </cell>
          <cell r="R902">
            <v>27219896.449999999</v>
          </cell>
          <cell r="S902">
            <v>22032562.280000001</v>
          </cell>
          <cell r="T902">
            <v>0</v>
          </cell>
          <cell r="U902">
            <v>877116.23</v>
          </cell>
        </row>
        <row r="903">
          <cell r="A903" t="str">
            <v>JUL 2014</v>
          </cell>
          <cell r="B903" t="str">
            <v>KURSE020</v>
          </cell>
          <cell r="E903">
            <v>233586553</v>
          </cell>
          <cell r="F903">
            <v>2084033.16</v>
          </cell>
          <cell r="L903">
            <v>920335.74</v>
          </cell>
          <cell r="M903">
            <v>599035.05000000005</v>
          </cell>
          <cell r="R903">
            <v>22414545.370000001</v>
          </cell>
          <cell r="S903">
            <v>18088941.699999999</v>
          </cell>
          <cell r="T903">
            <v>0</v>
          </cell>
          <cell r="U903">
            <v>722199.72</v>
          </cell>
        </row>
        <row r="904">
          <cell r="A904" t="str">
            <v>JUL 2014</v>
          </cell>
          <cell r="B904" t="str">
            <v>KURSE025</v>
          </cell>
          <cell r="E904">
            <v>660157</v>
          </cell>
          <cell r="F904">
            <v>2652.02</v>
          </cell>
          <cell r="L904">
            <v>2601.0100000000002</v>
          </cell>
          <cell r="M904">
            <v>1809.86</v>
          </cell>
          <cell r="R904">
            <v>60108.4</v>
          </cell>
          <cell r="S904">
            <v>51122.6</v>
          </cell>
          <cell r="T904">
            <v>0</v>
          </cell>
          <cell r="U904">
            <v>1922.91</v>
          </cell>
        </row>
        <row r="905">
          <cell r="A905" t="str">
            <v>JUL 2014</v>
          </cell>
          <cell r="B905" t="str">
            <v>KURSE040</v>
          </cell>
          <cell r="E905">
            <v>6177</v>
          </cell>
          <cell r="F905">
            <v>61.99</v>
          </cell>
          <cell r="L905">
            <v>24.33</v>
          </cell>
          <cell r="M905">
            <v>15.8</v>
          </cell>
          <cell r="R905">
            <v>568.11</v>
          </cell>
          <cell r="S905">
            <v>447.68000000000006</v>
          </cell>
          <cell r="T905">
            <v>0</v>
          </cell>
          <cell r="U905">
            <v>18.309999999999999</v>
          </cell>
        </row>
        <row r="906">
          <cell r="A906" t="str">
            <v>JUL 2014</v>
          </cell>
          <cell r="B906" t="str">
            <v>KURSE080</v>
          </cell>
          <cell r="E906">
            <v>78022</v>
          </cell>
          <cell r="F906">
            <v>537.5</v>
          </cell>
          <cell r="L906">
            <v>307.39999999999998</v>
          </cell>
          <cell r="M906">
            <v>207.92</v>
          </cell>
          <cell r="R906">
            <v>7330.07</v>
          </cell>
          <cell r="S906">
            <v>6042.0399999999991</v>
          </cell>
          <cell r="T906">
            <v>0</v>
          </cell>
          <cell r="U906">
            <v>235.21</v>
          </cell>
        </row>
        <row r="907">
          <cell r="A907" t="str">
            <v>JUL 2014</v>
          </cell>
          <cell r="B907" t="str">
            <v>KURSE715</v>
          </cell>
          <cell r="E907">
            <v>49459</v>
          </cell>
          <cell r="F907">
            <v>585.42999999999995</v>
          </cell>
          <cell r="L907">
            <v>194.91</v>
          </cell>
          <cell r="M907">
            <v>126.85</v>
          </cell>
          <cell r="R907">
            <v>4895.04</v>
          </cell>
          <cell r="S907">
            <v>3830.11</v>
          </cell>
          <cell r="T907">
            <v>0</v>
          </cell>
          <cell r="U907">
            <v>157.74</v>
          </cell>
        </row>
        <row r="908">
          <cell r="A908" t="str">
            <v>JUL 2014</v>
          </cell>
          <cell r="B908" t="str">
            <v>KUUM_000</v>
          </cell>
          <cell r="S908">
            <v>0</v>
          </cell>
          <cell r="T908">
            <v>0</v>
          </cell>
          <cell r="U908">
            <v>0</v>
          </cell>
        </row>
        <row r="909">
          <cell r="A909" t="str">
            <v>JUL 2014</v>
          </cell>
          <cell r="B909" t="str">
            <v>KUUM_360</v>
          </cell>
          <cell r="E909">
            <v>8936</v>
          </cell>
          <cell r="M909">
            <v>43.96</v>
          </cell>
          <cell r="Q909">
            <v>0</v>
          </cell>
          <cell r="R909">
            <v>10189.25</v>
          </cell>
          <cell r="S909">
            <v>9848.74</v>
          </cell>
          <cell r="T909">
            <v>0</v>
          </cell>
          <cell r="U909">
            <v>296.55</v>
          </cell>
        </row>
        <row r="910">
          <cell r="A910" t="str">
            <v>JUL 2014</v>
          </cell>
          <cell r="B910" t="str">
            <v>KUUM_361</v>
          </cell>
          <cell r="E910">
            <v>1211</v>
          </cell>
          <cell r="M910">
            <v>6.01</v>
          </cell>
          <cell r="Q910">
            <v>0</v>
          </cell>
          <cell r="R910">
            <v>2147.37</v>
          </cell>
          <cell r="S910">
            <v>2079</v>
          </cell>
          <cell r="T910">
            <v>0</v>
          </cell>
          <cell r="U910">
            <v>62.36</v>
          </cell>
        </row>
        <row r="911">
          <cell r="A911" t="str">
            <v>JUL 2014</v>
          </cell>
          <cell r="B911" t="str">
            <v>KUUM_362</v>
          </cell>
          <cell r="E911">
            <v>1727</v>
          </cell>
          <cell r="M911">
            <v>8.58</v>
          </cell>
          <cell r="Q911">
            <v>0</v>
          </cell>
          <cell r="R911">
            <v>2656.24</v>
          </cell>
          <cell r="S911">
            <v>2570.54</v>
          </cell>
          <cell r="T911">
            <v>0</v>
          </cell>
          <cell r="U911">
            <v>77.12</v>
          </cell>
        </row>
        <row r="912">
          <cell r="A912" t="str">
            <v>JUL 2014</v>
          </cell>
          <cell r="B912" t="str">
            <v>KUUM_363</v>
          </cell>
          <cell r="E912">
            <v>226</v>
          </cell>
          <cell r="M912">
            <v>1.1200000000000001</v>
          </cell>
          <cell r="Q912">
            <v>0</v>
          </cell>
          <cell r="R912">
            <v>319.13</v>
          </cell>
          <cell r="S912">
            <v>308.75</v>
          </cell>
          <cell r="T912">
            <v>0</v>
          </cell>
          <cell r="U912">
            <v>9.26</v>
          </cell>
        </row>
        <row r="913">
          <cell r="A913" t="str">
            <v>JUL 2014</v>
          </cell>
          <cell r="B913" t="str">
            <v>KUUM_364</v>
          </cell>
          <cell r="E913">
            <v>45</v>
          </cell>
          <cell r="M913">
            <v>0.22</v>
          </cell>
          <cell r="Q913">
            <v>0</v>
          </cell>
          <cell r="R913">
            <v>65.22</v>
          </cell>
          <cell r="S913">
            <v>63.11</v>
          </cell>
          <cell r="T913">
            <v>0</v>
          </cell>
          <cell r="U913">
            <v>1.89</v>
          </cell>
        </row>
        <row r="914">
          <cell r="A914" t="str">
            <v>JUL 2014</v>
          </cell>
          <cell r="B914" t="str">
            <v>KUUM_365</v>
          </cell>
          <cell r="E914">
            <v>232</v>
          </cell>
          <cell r="M914">
            <v>1.1499999999999999</v>
          </cell>
          <cell r="Q914">
            <v>0</v>
          </cell>
          <cell r="R914">
            <v>417.99</v>
          </cell>
          <cell r="S914">
            <v>404.7</v>
          </cell>
          <cell r="T914">
            <v>0</v>
          </cell>
          <cell r="U914">
            <v>12.14</v>
          </cell>
        </row>
        <row r="915">
          <cell r="A915" t="str">
            <v>JUL 2014</v>
          </cell>
          <cell r="B915" t="str">
            <v>KUUM_366</v>
          </cell>
          <cell r="E915">
            <v>413</v>
          </cell>
          <cell r="M915">
            <v>2.0499999999999998</v>
          </cell>
          <cell r="Q915">
            <v>0</v>
          </cell>
          <cell r="R915">
            <v>734.09</v>
          </cell>
          <cell r="S915">
            <v>710.73</v>
          </cell>
          <cell r="T915">
            <v>0</v>
          </cell>
          <cell r="U915">
            <v>21.31</v>
          </cell>
        </row>
        <row r="916">
          <cell r="A916" t="str">
            <v>JUL 2014</v>
          </cell>
          <cell r="B916" t="str">
            <v>KUUM_367</v>
          </cell>
          <cell r="E916">
            <v>1253</v>
          </cell>
          <cell r="M916">
            <v>6.22</v>
          </cell>
          <cell r="Q916">
            <v>0</v>
          </cell>
          <cell r="R916">
            <v>1582.93</v>
          </cell>
          <cell r="S916">
            <v>1530.75</v>
          </cell>
          <cell r="T916">
            <v>0</v>
          </cell>
          <cell r="U916">
            <v>45.96</v>
          </cell>
        </row>
        <row r="917">
          <cell r="A917" t="str">
            <v>JUL 2014</v>
          </cell>
          <cell r="B917" t="str">
            <v>KUUM_368</v>
          </cell>
          <cell r="E917">
            <v>45</v>
          </cell>
          <cell r="M917">
            <v>0.22</v>
          </cell>
          <cell r="Q917">
            <v>0</v>
          </cell>
          <cell r="R917">
            <v>58.61</v>
          </cell>
          <cell r="S917">
            <v>56.69</v>
          </cell>
          <cell r="T917">
            <v>0</v>
          </cell>
          <cell r="U917">
            <v>1.7</v>
          </cell>
        </row>
        <row r="918">
          <cell r="A918" t="str">
            <v>JUL 2014</v>
          </cell>
          <cell r="B918" t="str">
            <v>KUUM_370</v>
          </cell>
          <cell r="E918">
            <v>699</v>
          </cell>
          <cell r="M918">
            <v>3.25</v>
          </cell>
          <cell r="Q918">
            <v>0</v>
          </cell>
          <cell r="R918">
            <v>1155.08</v>
          </cell>
          <cell r="S918">
            <v>1117.8</v>
          </cell>
          <cell r="T918">
            <v>0</v>
          </cell>
          <cell r="U918">
            <v>34.03</v>
          </cell>
        </row>
        <row r="919">
          <cell r="A919" t="str">
            <v>JUL 2014</v>
          </cell>
          <cell r="B919" t="str">
            <v>KUUM_372</v>
          </cell>
          <cell r="E919">
            <v>45</v>
          </cell>
          <cell r="M919">
            <v>0.22</v>
          </cell>
          <cell r="Q919">
            <v>0</v>
          </cell>
          <cell r="R919">
            <v>84.99</v>
          </cell>
          <cell r="S919">
            <v>82.3</v>
          </cell>
          <cell r="T919">
            <v>0</v>
          </cell>
          <cell r="U919">
            <v>2.4700000000000002</v>
          </cell>
        </row>
        <row r="920">
          <cell r="A920" t="str">
            <v>JUL 2014</v>
          </cell>
          <cell r="B920" t="str">
            <v>KUUM_373</v>
          </cell>
          <cell r="E920">
            <v>1021</v>
          </cell>
          <cell r="M920">
            <v>5.07</v>
          </cell>
          <cell r="Q920">
            <v>0</v>
          </cell>
          <cell r="R920">
            <v>1540.18</v>
          </cell>
          <cell r="S920">
            <v>1490.4</v>
          </cell>
          <cell r="T920">
            <v>0</v>
          </cell>
          <cell r="U920">
            <v>44.71</v>
          </cell>
        </row>
        <row r="921">
          <cell r="A921" t="str">
            <v>JUL 2014</v>
          </cell>
          <cell r="B921" t="str">
            <v>KUUM_374</v>
          </cell>
          <cell r="E921">
            <v>193</v>
          </cell>
          <cell r="M921">
            <v>0.96</v>
          </cell>
          <cell r="Q921">
            <v>0</v>
          </cell>
          <cell r="R921">
            <v>313.58</v>
          </cell>
          <cell r="S921">
            <v>303.52</v>
          </cell>
          <cell r="T921">
            <v>0</v>
          </cell>
          <cell r="U921">
            <v>9.1</v>
          </cell>
        </row>
        <row r="922">
          <cell r="A922" t="str">
            <v>JUL 2014</v>
          </cell>
          <cell r="B922" t="str">
            <v>KUUM_375</v>
          </cell>
          <cell r="E922">
            <v>153</v>
          </cell>
          <cell r="M922">
            <v>0.76</v>
          </cell>
          <cell r="Q922">
            <v>0</v>
          </cell>
          <cell r="R922">
            <v>244.78</v>
          </cell>
          <cell r="S922">
            <v>236.91</v>
          </cell>
          <cell r="T922">
            <v>0</v>
          </cell>
          <cell r="U922">
            <v>7.11</v>
          </cell>
        </row>
        <row r="923">
          <cell r="A923" t="str">
            <v>JUL 2014</v>
          </cell>
          <cell r="B923" t="str">
            <v>KUUM_376</v>
          </cell>
          <cell r="E923">
            <v>102</v>
          </cell>
          <cell r="M923">
            <v>0.51</v>
          </cell>
          <cell r="Q923">
            <v>0</v>
          </cell>
          <cell r="R923">
            <v>159.66999999999999</v>
          </cell>
          <cell r="S923">
            <v>154.52000000000001</v>
          </cell>
          <cell r="T923">
            <v>0</v>
          </cell>
          <cell r="U923">
            <v>4.6399999999999997</v>
          </cell>
        </row>
        <row r="924">
          <cell r="A924" t="str">
            <v>JUL 2014</v>
          </cell>
          <cell r="B924" t="str">
            <v>KUUM_377</v>
          </cell>
          <cell r="E924">
            <v>2546</v>
          </cell>
          <cell r="M924">
            <v>12.64</v>
          </cell>
          <cell r="Q924">
            <v>0</v>
          </cell>
          <cell r="R924">
            <v>3384.59</v>
          </cell>
          <cell r="S924">
            <v>3273.69</v>
          </cell>
          <cell r="T924">
            <v>0</v>
          </cell>
          <cell r="U924">
            <v>98.26</v>
          </cell>
        </row>
        <row r="925">
          <cell r="A925" t="str">
            <v>JUL 2014</v>
          </cell>
          <cell r="B925" t="str">
            <v>KUUM_378</v>
          </cell>
          <cell r="E925">
            <v>101</v>
          </cell>
          <cell r="M925">
            <v>0.5</v>
          </cell>
          <cell r="R925">
            <v>156.85</v>
          </cell>
          <cell r="S925">
            <v>151.80000000000001</v>
          </cell>
          <cell r="T925">
            <v>0</v>
          </cell>
          <cell r="U925">
            <v>4.55</v>
          </cell>
        </row>
        <row r="926">
          <cell r="A926" t="str">
            <v>JUL 2014</v>
          </cell>
          <cell r="B926" t="str">
            <v>KUUM_401</v>
          </cell>
          <cell r="E926">
            <v>1130</v>
          </cell>
          <cell r="M926">
            <v>3.5</v>
          </cell>
          <cell r="Q926">
            <v>0</v>
          </cell>
          <cell r="R926">
            <v>801.44</v>
          </cell>
          <cell r="S926">
            <v>772.72</v>
          </cell>
          <cell r="T926">
            <v>0</v>
          </cell>
          <cell r="U926">
            <v>25.22</v>
          </cell>
        </row>
        <row r="927">
          <cell r="A927" t="str">
            <v>JUL 2014</v>
          </cell>
          <cell r="B927" t="str">
            <v>KUUM_404</v>
          </cell>
          <cell r="E927">
            <v>386380</v>
          </cell>
          <cell r="M927">
            <v>1021.22</v>
          </cell>
          <cell r="Q927">
            <v>0</v>
          </cell>
          <cell r="R927">
            <v>77890.22</v>
          </cell>
          <cell r="S927">
            <v>74347.649999999994</v>
          </cell>
          <cell r="T927">
            <v>0</v>
          </cell>
          <cell r="U927">
            <v>2521.35</v>
          </cell>
        </row>
        <row r="928">
          <cell r="A928" t="str">
            <v>JUL 2014</v>
          </cell>
          <cell r="B928" t="str">
            <v>KUUM_409</v>
          </cell>
          <cell r="E928">
            <v>16975</v>
          </cell>
          <cell r="M928">
            <v>49.28</v>
          </cell>
          <cell r="Q928">
            <v>0</v>
          </cell>
          <cell r="R928">
            <v>1707.74</v>
          </cell>
          <cell r="S928">
            <v>1604.27</v>
          </cell>
          <cell r="T928">
            <v>0</v>
          </cell>
          <cell r="U928">
            <v>54.19</v>
          </cell>
        </row>
        <row r="929">
          <cell r="A929" t="str">
            <v>JUL 2014</v>
          </cell>
          <cell r="B929" t="str">
            <v>KUUM_410</v>
          </cell>
          <cell r="E929">
            <v>3695</v>
          </cell>
          <cell r="M929">
            <v>9.4600000000000009</v>
          </cell>
          <cell r="Q929">
            <v>0</v>
          </cell>
          <cell r="R929">
            <v>5034.09</v>
          </cell>
          <cell r="S929">
            <v>4862.3999999999996</v>
          </cell>
          <cell r="T929">
            <v>0</v>
          </cell>
          <cell r="U929">
            <v>162.22999999999999</v>
          </cell>
        </row>
        <row r="930">
          <cell r="A930" t="str">
            <v>JUL 2014</v>
          </cell>
          <cell r="B930" t="str">
            <v>KUUM_411</v>
          </cell>
          <cell r="E930">
            <v>3286</v>
          </cell>
          <cell r="M930">
            <v>8.4</v>
          </cell>
          <cell r="Q930">
            <v>0</v>
          </cell>
          <cell r="R930">
            <v>3322.46</v>
          </cell>
          <cell r="S930">
            <v>3207</v>
          </cell>
          <cell r="T930">
            <v>0</v>
          </cell>
          <cell r="U930">
            <v>107.06</v>
          </cell>
        </row>
        <row r="931">
          <cell r="A931" t="str">
            <v>JUL 2014</v>
          </cell>
          <cell r="B931" t="str">
            <v>KUUM_412</v>
          </cell>
          <cell r="E931">
            <v>578</v>
          </cell>
          <cell r="M931">
            <v>1.48</v>
          </cell>
          <cell r="Q931">
            <v>0</v>
          </cell>
          <cell r="R931">
            <v>893.8</v>
          </cell>
          <cell r="S931">
            <v>863.52</v>
          </cell>
          <cell r="T931">
            <v>0</v>
          </cell>
          <cell r="U931">
            <v>28.8</v>
          </cell>
        </row>
        <row r="932">
          <cell r="A932" t="str">
            <v>JUL 2014</v>
          </cell>
          <cell r="B932" t="str">
            <v>KUUM_413</v>
          </cell>
          <cell r="E932">
            <v>2948</v>
          </cell>
          <cell r="M932">
            <v>7.55</v>
          </cell>
          <cell r="Q932">
            <v>0</v>
          </cell>
          <cell r="R932">
            <v>3104.73</v>
          </cell>
          <cell r="S932">
            <v>2997.12</v>
          </cell>
          <cell r="T932">
            <v>0</v>
          </cell>
          <cell r="U932">
            <v>100.06</v>
          </cell>
        </row>
        <row r="933">
          <cell r="A933" t="str">
            <v>JUL 2014</v>
          </cell>
          <cell r="B933" t="str">
            <v>KUUM_414</v>
          </cell>
          <cell r="E933">
            <v>435</v>
          </cell>
          <cell r="M933">
            <v>2.16</v>
          </cell>
          <cell r="Q933">
            <v>0</v>
          </cell>
          <cell r="R933">
            <v>669.23</v>
          </cell>
          <cell r="S933">
            <v>647.64</v>
          </cell>
          <cell r="T933">
            <v>0</v>
          </cell>
          <cell r="U933">
            <v>19.43</v>
          </cell>
        </row>
        <row r="934">
          <cell r="A934" t="str">
            <v>JUL 2014</v>
          </cell>
          <cell r="B934" t="str">
            <v>KUUM_415</v>
          </cell>
          <cell r="E934">
            <v>292</v>
          </cell>
          <cell r="M934">
            <v>1.45</v>
          </cell>
          <cell r="Q934">
            <v>0</v>
          </cell>
          <cell r="R934">
            <v>323.02999999999997</v>
          </cell>
          <cell r="S934">
            <v>312.2</v>
          </cell>
          <cell r="T934">
            <v>0</v>
          </cell>
          <cell r="U934">
            <v>9.3800000000000008</v>
          </cell>
        </row>
        <row r="935">
          <cell r="A935" t="str">
            <v>JUL 2014</v>
          </cell>
          <cell r="B935" t="str">
            <v>KUUM_420</v>
          </cell>
          <cell r="E935">
            <v>15008</v>
          </cell>
          <cell r="M935">
            <v>47.53</v>
          </cell>
          <cell r="Q935">
            <v>0</v>
          </cell>
          <cell r="R935">
            <v>7613.32</v>
          </cell>
          <cell r="S935">
            <v>7326.72</v>
          </cell>
          <cell r="T935">
            <v>0</v>
          </cell>
          <cell r="U935">
            <v>239.07</v>
          </cell>
        </row>
        <row r="936">
          <cell r="A936" t="str">
            <v>JUL 2014</v>
          </cell>
          <cell r="B936" t="str">
            <v>KUUM_421</v>
          </cell>
          <cell r="E936">
            <v>139</v>
          </cell>
          <cell r="M936">
            <v>0.56000000000000005</v>
          </cell>
          <cell r="Q936">
            <v>0</v>
          </cell>
          <cell r="R936">
            <v>18.059999999999999</v>
          </cell>
          <cell r="S936">
            <v>16.95</v>
          </cell>
          <cell r="T936">
            <v>0</v>
          </cell>
          <cell r="U936">
            <v>0.55000000000000004</v>
          </cell>
        </row>
        <row r="937">
          <cell r="A937" t="str">
            <v>JUL 2014</v>
          </cell>
          <cell r="B937" t="str">
            <v>KUUM_422</v>
          </cell>
          <cell r="E937">
            <v>35602</v>
          </cell>
          <cell r="M937">
            <v>112.08</v>
          </cell>
          <cell r="Q937">
            <v>0</v>
          </cell>
          <cell r="R937">
            <v>3242.14</v>
          </cell>
          <cell r="S937">
            <v>3028.19</v>
          </cell>
          <cell r="T937">
            <v>0</v>
          </cell>
          <cell r="U937">
            <v>101.87</v>
          </cell>
        </row>
        <row r="938">
          <cell r="A938" t="str">
            <v>JUL 2014</v>
          </cell>
          <cell r="B938" t="str">
            <v>KUUM_424</v>
          </cell>
          <cell r="E938">
            <v>4235</v>
          </cell>
          <cell r="M938">
            <v>16.07</v>
          </cell>
          <cell r="Q938">
            <v>0</v>
          </cell>
          <cell r="R938">
            <v>359.26</v>
          </cell>
          <cell r="S938">
            <v>332.22</v>
          </cell>
          <cell r="T938">
            <v>0</v>
          </cell>
          <cell r="U938">
            <v>10.97</v>
          </cell>
        </row>
        <row r="939">
          <cell r="A939" t="str">
            <v>JUL 2014</v>
          </cell>
          <cell r="B939" t="str">
            <v>KUUM_425</v>
          </cell>
          <cell r="E939">
            <v>239</v>
          </cell>
          <cell r="M939">
            <v>0.61</v>
          </cell>
          <cell r="Q939">
            <v>0</v>
          </cell>
          <cell r="R939">
            <v>19.350000000000001</v>
          </cell>
          <cell r="S939">
            <v>18.12</v>
          </cell>
          <cell r="T939">
            <v>0</v>
          </cell>
          <cell r="U939">
            <v>0.62</v>
          </cell>
        </row>
        <row r="940">
          <cell r="A940" t="str">
            <v>JUL 2014</v>
          </cell>
          <cell r="B940" t="str">
            <v>KUUM_426</v>
          </cell>
          <cell r="E940">
            <v>3783</v>
          </cell>
          <cell r="M940">
            <v>9.76</v>
          </cell>
          <cell r="Q940">
            <v>0</v>
          </cell>
          <cell r="R940">
            <v>1326.03</v>
          </cell>
          <cell r="S940">
            <v>1273.48</v>
          </cell>
          <cell r="T940">
            <v>0</v>
          </cell>
          <cell r="U940">
            <v>42.79</v>
          </cell>
        </row>
        <row r="941">
          <cell r="A941" t="str">
            <v>JUL 2014</v>
          </cell>
          <cell r="B941" t="str">
            <v>KUUM_428</v>
          </cell>
          <cell r="E941">
            <v>1132128</v>
          </cell>
          <cell r="M941">
            <v>2886.05</v>
          </cell>
          <cell r="Q941">
            <v>0</v>
          </cell>
          <cell r="R941">
            <v>298072.40999999997</v>
          </cell>
          <cell r="S941">
            <v>285687.15999999997</v>
          </cell>
          <cell r="T941">
            <v>0</v>
          </cell>
          <cell r="U941">
            <v>9499.2000000000007</v>
          </cell>
        </row>
        <row r="942">
          <cell r="A942" t="str">
            <v>JUL 2014</v>
          </cell>
          <cell r="B942" t="str">
            <v>KUUM_430</v>
          </cell>
          <cell r="E942">
            <v>36690</v>
          </cell>
          <cell r="M942">
            <v>109.5</v>
          </cell>
          <cell r="Q942">
            <v>0</v>
          </cell>
          <cell r="R942">
            <v>26944.86</v>
          </cell>
          <cell r="S942">
            <v>25982</v>
          </cell>
          <cell r="T942">
            <v>0</v>
          </cell>
          <cell r="U942">
            <v>853.36</v>
          </cell>
        </row>
        <row r="943">
          <cell r="A943" t="str">
            <v>JUL 2014</v>
          </cell>
          <cell r="B943" t="str">
            <v>KUUM_434</v>
          </cell>
        </row>
        <row r="944">
          <cell r="A944" t="str">
            <v>JUL 2014</v>
          </cell>
          <cell r="B944" t="str">
            <v>KUUM_440</v>
          </cell>
          <cell r="E944">
            <v>33</v>
          </cell>
          <cell r="M944">
            <v>0.08</v>
          </cell>
          <cell r="Q944">
            <v>0</v>
          </cell>
          <cell r="R944">
            <v>28.2</v>
          </cell>
          <cell r="S944">
            <v>27.22</v>
          </cell>
          <cell r="T944">
            <v>0</v>
          </cell>
          <cell r="U944">
            <v>0.9</v>
          </cell>
        </row>
        <row r="945">
          <cell r="A945" t="str">
            <v>JUL 2014</v>
          </cell>
          <cell r="B945" t="str">
            <v>KUUM_446</v>
          </cell>
          <cell r="E945">
            <v>58497</v>
          </cell>
          <cell r="M945">
            <v>175.1</v>
          </cell>
          <cell r="Q945">
            <v>0</v>
          </cell>
          <cell r="R945">
            <v>10825.8</v>
          </cell>
          <cell r="S945">
            <v>10307.99</v>
          </cell>
          <cell r="T945">
            <v>0</v>
          </cell>
          <cell r="U945">
            <v>342.71</v>
          </cell>
        </row>
        <row r="946">
          <cell r="A946" t="str">
            <v>JUL 2014</v>
          </cell>
          <cell r="B946" t="str">
            <v>KUUM_447</v>
          </cell>
          <cell r="E946">
            <v>57967</v>
          </cell>
          <cell r="M946">
            <v>282.51</v>
          </cell>
          <cell r="Q946">
            <v>0</v>
          </cell>
          <cell r="R946">
            <v>8581.31</v>
          </cell>
          <cell r="S946">
            <v>8048.52</v>
          </cell>
          <cell r="T946">
            <v>0</v>
          </cell>
          <cell r="U946">
            <v>250.28</v>
          </cell>
        </row>
        <row r="947">
          <cell r="A947" t="str">
            <v>JUL 2014</v>
          </cell>
          <cell r="B947" t="str">
            <v>KUUM_448</v>
          </cell>
          <cell r="E947">
            <v>178431</v>
          </cell>
          <cell r="M947">
            <v>629.33000000000004</v>
          </cell>
          <cell r="Q947">
            <v>0</v>
          </cell>
          <cell r="R947">
            <v>20239.900000000001</v>
          </cell>
          <cell r="S947">
            <v>18984.32</v>
          </cell>
          <cell r="T947">
            <v>0</v>
          </cell>
          <cell r="U947">
            <v>626.25</v>
          </cell>
        </row>
        <row r="948">
          <cell r="A948" t="str">
            <v>JUL 2014</v>
          </cell>
          <cell r="B948" t="str">
            <v>KUUM_450</v>
          </cell>
          <cell r="E948">
            <v>26775</v>
          </cell>
          <cell r="M948">
            <v>70.709999999999994</v>
          </cell>
          <cell r="Q948">
            <v>0</v>
          </cell>
          <cell r="R948">
            <v>9982.25</v>
          </cell>
          <cell r="S948">
            <v>9590.27</v>
          </cell>
          <cell r="T948">
            <v>0</v>
          </cell>
          <cell r="U948">
            <v>321.27</v>
          </cell>
        </row>
        <row r="949">
          <cell r="A949" t="str">
            <v>JUL 2014</v>
          </cell>
          <cell r="B949" t="str">
            <v>KUUM_451</v>
          </cell>
          <cell r="E949">
            <v>488822</v>
          </cell>
          <cell r="M949">
            <v>1298.6500000000001</v>
          </cell>
          <cell r="Q949">
            <v>0</v>
          </cell>
          <cell r="R949">
            <v>110939.12</v>
          </cell>
          <cell r="S949">
            <v>106081.55</v>
          </cell>
          <cell r="T949">
            <v>0</v>
          </cell>
          <cell r="U949">
            <v>3558.92</v>
          </cell>
        </row>
        <row r="950">
          <cell r="A950" t="str">
            <v>JUL 2014</v>
          </cell>
          <cell r="B950" t="str">
            <v>KUUM_452</v>
          </cell>
          <cell r="E950">
            <v>297944</v>
          </cell>
          <cell r="M950">
            <v>782.28</v>
          </cell>
          <cell r="Q950">
            <v>0</v>
          </cell>
          <cell r="R950">
            <v>46460.47</v>
          </cell>
          <cell r="S950">
            <v>44185.18</v>
          </cell>
          <cell r="T950">
            <v>0</v>
          </cell>
          <cell r="U950">
            <v>1493.01</v>
          </cell>
        </row>
        <row r="951">
          <cell r="A951" t="str">
            <v>JUL 2014</v>
          </cell>
          <cell r="B951" t="str">
            <v>KUUM_454</v>
          </cell>
          <cell r="E951">
            <v>6013</v>
          </cell>
          <cell r="M951">
            <v>16.12</v>
          </cell>
          <cell r="Q951">
            <v>0</v>
          </cell>
          <cell r="R951">
            <v>2934</v>
          </cell>
          <cell r="S951">
            <v>2824.23</v>
          </cell>
          <cell r="T951">
            <v>0</v>
          </cell>
          <cell r="U951">
            <v>93.65</v>
          </cell>
        </row>
        <row r="952">
          <cell r="A952" t="str">
            <v>JUL 2014</v>
          </cell>
          <cell r="B952" t="str">
            <v>KUUM_455</v>
          </cell>
          <cell r="E952">
            <v>95717</v>
          </cell>
          <cell r="M952">
            <v>252.68</v>
          </cell>
          <cell r="Q952">
            <v>0</v>
          </cell>
          <cell r="R952">
            <v>26465.95</v>
          </cell>
          <cell r="S952">
            <v>25362.46</v>
          </cell>
          <cell r="T952">
            <v>0</v>
          </cell>
          <cell r="U952">
            <v>850.81</v>
          </cell>
        </row>
        <row r="953">
          <cell r="A953" t="str">
            <v>JUL 2014</v>
          </cell>
          <cell r="B953" t="str">
            <v>KUUM_456</v>
          </cell>
          <cell r="E953">
            <v>7634</v>
          </cell>
          <cell r="M953">
            <v>22.03</v>
          </cell>
          <cell r="Q953">
            <v>0</v>
          </cell>
          <cell r="R953">
            <v>1751.39</v>
          </cell>
          <cell r="S953">
            <v>1673.67</v>
          </cell>
          <cell r="T953">
            <v>0</v>
          </cell>
          <cell r="U953">
            <v>55.69</v>
          </cell>
        </row>
        <row r="954">
          <cell r="A954" t="str">
            <v>JUL 2014</v>
          </cell>
          <cell r="B954" t="str">
            <v>KUUM_457</v>
          </cell>
          <cell r="E954">
            <v>36923</v>
          </cell>
          <cell r="M954">
            <v>183.34</v>
          </cell>
          <cell r="Q954">
            <v>0</v>
          </cell>
          <cell r="R954">
            <v>6421.91</v>
          </cell>
          <cell r="S954">
            <v>6052.08</v>
          </cell>
          <cell r="T954">
            <v>0</v>
          </cell>
          <cell r="U954">
            <v>186.49</v>
          </cell>
        </row>
        <row r="955">
          <cell r="A955" t="str">
            <v>JUL 2014</v>
          </cell>
          <cell r="B955" t="str">
            <v>KUUM_458</v>
          </cell>
          <cell r="E955">
            <v>179254</v>
          </cell>
          <cell r="M955">
            <v>757.8</v>
          </cell>
          <cell r="Q955">
            <v>0</v>
          </cell>
          <cell r="R955">
            <v>23483.439999999999</v>
          </cell>
          <cell r="S955">
            <v>22020.92</v>
          </cell>
          <cell r="T955">
            <v>0</v>
          </cell>
          <cell r="U955">
            <v>704.72</v>
          </cell>
        </row>
        <row r="956">
          <cell r="A956" t="str">
            <v>JUL 2014</v>
          </cell>
          <cell r="B956" t="str">
            <v>KUUM_459</v>
          </cell>
          <cell r="E956">
            <v>63734</v>
          </cell>
          <cell r="M956">
            <v>165.82</v>
          </cell>
          <cell r="Q956">
            <v>0</v>
          </cell>
          <cell r="R956">
            <v>10892.34</v>
          </cell>
          <cell r="S956">
            <v>10376.280000000001</v>
          </cell>
          <cell r="T956">
            <v>0</v>
          </cell>
          <cell r="U956">
            <v>350.24</v>
          </cell>
        </row>
        <row r="957">
          <cell r="A957" t="str">
            <v>JUL 2014</v>
          </cell>
          <cell r="B957" t="str">
            <v>KUUM_460</v>
          </cell>
          <cell r="E957">
            <v>1043</v>
          </cell>
          <cell r="M957">
            <v>3.75</v>
          </cell>
          <cell r="Q957">
            <v>0</v>
          </cell>
          <cell r="R957">
            <v>732.27</v>
          </cell>
          <cell r="S957">
            <v>705.9</v>
          </cell>
          <cell r="T957">
            <v>0</v>
          </cell>
          <cell r="U957">
            <v>22.62</v>
          </cell>
        </row>
        <row r="958">
          <cell r="A958" t="str">
            <v>JUL 2014</v>
          </cell>
          <cell r="B958" t="str">
            <v>KUUM_461</v>
          </cell>
          <cell r="E958">
            <v>110015</v>
          </cell>
          <cell r="M958">
            <v>357.07</v>
          </cell>
          <cell r="Q958">
            <v>0</v>
          </cell>
          <cell r="R958">
            <v>54825.22</v>
          </cell>
          <cell r="S958">
            <v>52749.84</v>
          </cell>
          <cell r="T958">
            <v>0</v>
          </cell>
          <cell r="U958">
            <v>1718.31</v>
          </cell>
        </row>
        <row r="959">
          <cell r="A959" t="str">
            <v>JUL 2014</v>
          </cell>
          <cell r="B959" t="str">
            <v>KUUM_462</v>
          </cell>
          <cell r="E959">
            <v>197574</v>
          </cell>
          <cell r="M959">
            <v>718.24</v>
          </cell>
          <cell r="Q959">
            <v>0</v>
          </cell>
          <cell r="R959">
            <v>80881.52</v>
          </cell>
          <cell r="S959">
            <v>77671.539999999994</v>
          </cell>
          <cell r="T959">
            <v>0</v>
          </cell>
          <cell r="U959">
            <v>2491.7399999999998</v>
          </cell>
        </row>
        <row r="960">
          <cell r="A960" t="str">
            <v>JUL 2014</v>
          </cell>
          <cell r="B960" t="str">
            <v>KUUM_463</v>
          </cell>
          <cell r="E960">
            <v>653234</v>
          </cell>
          <cell r="M960">
            <v>2010.6</v>
          </cell>
          <cell r="Q960">
            <v>0</v>
          </cell>
          <cell r="R960">
            <v>200548.63</v>
          </cell>
          <cell r="S960">
            <v>192207.2</v>
          </cell>
          <cell r="T960">
            <v>0</v>
          </cell>
          <cell r="U960">
            <v>6330.83</v>
          </cell>
        </row>
        <row r="961">
          <cell r="A961" t="str">
            <v>JUL 2014</v>
          </cell>
          <cell r="B961" t="str">
            <v>KUUM_464</v>
          </cell>
          <cell r="E961">
            <v>499239</v>
          </cell>
          <cell r="M961">
            <v>1542.75</v>
          </cell>
          <cell r="Q961">
            <v>0</v>
          </cell>
          <cell r="R961">
            <v>115781.55</v>
          </cell>
          <cell r="S961">
            <v>110588.56</v>
          </cell>
          <cell r="T961">
            <v>0</v>
          </cell>
          <cell r="U961">
            <v>3650.24</v>
          </cell>
        </row>
        <row r="962">
          <cell r="A962" t="str">
            <v>JUL 2014</v>
          </cell>
          <cell r="B962" t="str">
            <v>KUUM_465</v>
          </cell>
          <cell r="E962">
            <v>350205</v>
          </cell>
          <cell r="M962">
            <v>998.08</v>
          </cell>
          <cell r="Q962">
            <v>0</v>
          </cell>
          <cell r="R962">
            <v>67073.02</v>
          </cell>
          <cell r="S962">
            <v>63940.62</v>
          </cell>
          <cell r="T962">
            <v>0</v>
          </cell>
          <cell r="U962">
            <v>2134.3200000000002</v>
          </cell>
        </row>
        <row r="963">
          <cell r="A963" t="str">
            <v>JUL 2014</v>
          </cell>
          <cell r="B963" t="str">
            <v>KUUM_465CU</v>
          </cell>
          <cell r="E963">
            <v>397</v>
          </cell>
          <cell r="S963">
            <v>0</v>
          </cell>
          <cell r="T963">
            <v>0</v>
          </cell>
          <cell r="U963">
            <v>0</v>
          </cell>
        </row>
        <row r="964">
          <cell r="A964" t="str">
            <v>JUL 2014</v>
          </cell>
          <cell r="B964" t="str">
            <v>KUUM_466</v>
          </cell>
          <cell r="E964">
            <v>15452</v>
          </cell>
          <cell r="M964">
            <v>47.06</v>
          </cell>
          <cell r="Q964">
            <v>0</v>
          </cell>
          <cell r="R964">
            <v>9952.4699999999993</v>
          </cell>
          <cell r="S964">
            <v>9591.14</v>
          </cell>
          <cell r="T964">
            <v>0</v>
          </cell>
          <cell r="U964">
            <v>314.27</v>
          </cell>
        </row>
        <row r="965">
          <cell r="A965" t="str">
            <v>JUL 2014</v>
          </cell>
          <cell r="B965" t="str">
            <v>KUUM_467</v>
          </cell>
          <cell r="E965">
            <v>32365</v>
          </cell>
          <cell r="M965">
            <v>99.71</v>
          </cell>
          <cell r="Q965">
            <v>0</v>
          </cell>
          <cell r="R965">
            <v>16538.93</v>
          </cell>
          <cell r="S965">
            <v>15918.06</v>
          </cell>
          <cell r="T965">
            <v>0</v>
          </cell>
          <cell r="U965">
            <v>521.16</v>
          </cell>
        </row>
        <row r="966">
          <cell r="A966" t="str">
            <v>JUL 2014</v>
          </cell>
          <cell r="B966" t="str">
            <v>KUUM_468</v>
          </cell>
          <cell r="E966">
            <v>127928</v>
          </cell>
          <cell r="M966">
            <v>345.26</v>
          </cell>
          <cell r="Q966">
            <v>0</v>
          </cell>
          <cell r="R966">
            <v>47610.7</v>
          </cell>
          <cell r="S966">
            <v>45740.69</v>
          </cell>
          <cell r="T966">
            <v>0</v>
          </cell>
          <cell r="U966">
            <v>1524.75</v>
          </cell>
        </row>
        <row r="967">
          <cell r="A967" t="str">
            <v>JUL 2014</v>
          </cell>
          <cell r="B967" t="str">
            <v>KUUM_469</v>
          </cell>
          <cell r="E967">
            <v>27128</v>
          </cell>
          <cell r="M967">
            <v>72.38</v>
          </cell>
          <cell r="Q967">
            <v>0</v>
          </cell>
          <cell r="R967">
            <v>10080.85</v>
          </cell>
          <cell r="S967">
            <v>9685.06</v>
          </cell>
          <cell r="T967">
            <v>0</v>
          </cell>
          <cell r="U967">
            <v>323.41000000000003</v>
          </cell>
        </row>
        <row r="968">
          <cell r="A968" t="str">
            <v>JUL 2014</v>
          </cell>
          <cell r="B968" t="str">
            <v>KUUM_470</v>
          </cell>
          <cell r="E968">
            <v>17949</v>
          </cell>
          <cell r="M968">
            <v>45.98</v>
          </cell>
          <cell r="Q968">
            <v>0</v>
          </cell>
          <cell r="R968">
            <v>3529.99</v>
          </cell>
          <cell r="S968">
            <v>3370.25</v>
          </cell>
          <cell r="T968">
            <v>0</v>
          </cell>
          <cell r="U968">
            <v>113.76</v>
          </cell>
        </row>
        <row r="969">
          <cell r="A969" t="str">
            <v>JUL 2014</v>
          </cell>
          <cell r="B969" t="str">
            <v>KUUM_471</v>
          </cell>
          <cell r="E969">
            <v>61139</v>
          </cell>
          <cell r="M969">
            <v>303.68</v>
          </cell>
          <cell r="Q969">
            <v>0</v>
          </cell>
          <cell r="R969">
            <v>39919.11</v>
          </cell>
          <cell r="S969">
            <v>38456.339999999997</v>
          </cell>
          <cell r="T969">
            <v>0</v>
          </cell>
          <cell r="U969">
            <v>1159.0899999999999</v>
          </cell>
        </row>
        <row r="970">
          <cell r="A970" t="str">
            <v>JUL 2014</v>
          </cell>
          <cell r="B970" t="str">
            <v>KUUM_472</v>
          </cell>
          <cell r="E970">
            <v>203179</v>
          </cell>
          <cell r="M970">
            <v>1005</v>
          </cell>
          <cell r="Q970">
            <v>0</v>
          </cell>
          <cell r="R970">
            <v>106233.08</v>
          </cell>
          <cell r="S970">
            <v>102140.54</v>
          </cell>
          <cell r="T970">
            <v>0</v>
          </cell>
          <cell r="U970">
            <v>3087.54</v>
          </cell>
        </row>
        <row r="971">
          <cell r="A971" t="str">
            <v>JUL 2014</v>
          </cell>
          <cell r="B971" t="str">
            <v>KUUM_473</v>
          </cell>
          <cell r="E971">
            <v>108566</v>
          </cell>
          <cell r="M971">
            <v>439.06</v>
          </cell>
          <cell r="Q971">
            <v>0</v>
          </cell>
          <cell r="R971">
            <v>43553.48</v>
          </cell>
          <cell r="S971">
            <v>41795.4</v>
          </cell>
          <cell r="T971">
            <v>0</v>
          </cell>
          <cell r="U971">
            <v>1319.02</v>
          </cell>
        </row>
        <row r="972">
          <cell r="A972" t="str">
            <v>JUL 2014</v>
          </cell>
          <cell r="B972" t="str">
            <v>KUUM_474</v>
          </cell>
          <cell r="E972">
            <v>344450</v>
          </cell>
          <cell r="M972">
            <v>1389.31</v>
          </cell>
          <cell r="Q972">
            <v>0</v>
          </cell>
          <cell r="R972">
            <v>95166.56</v>
          </cell>
          <cell r="S972">
            <v>90893.8</v>
          </cell>
          <cell r="T972">
            <v>0</v>
          </cell>
          <cell r="U972">
            <v>2883.45</v>
          </cell>
        </row>
        <row r="973">
          <cell r="A973" t="str">
            <v>JUL 2014</v>
          </cell>
          <cell r="B973" t="str">
            <v>KUUM_475</v>
          </cell>
          <cell r="E973">
            <v>64424</v>
          </cell>
          <cell r="M973">
            <v>262.04000000000002</v>
          </cell>
          <cell r="Q973">
            <v>0</v>
          </cell>
          <cell r="R973">
            <v>13149.73</v>
          </cell>
          <cell r="S973">
            <v>12489.94</v>
          </cell>
          <cell r="T973">
            <v>0</v>
          </cell>
          <cell r="U973">
            <v>397.75</v>
          </cell>
        </row>
        <row r="974">
          <cell r="A974" t="str">
            <v>JUL 2014</v>
          </cell>
          <cell r="B974" t="str">
            <v>KUUM_476</v>
          </cell>
          <cell r="E974">
            <v>105339</v>
          </cell>
          <cell r="M974">
            <v>522.52</v>
          </cell>
          <cell r="Q974">
            <v>0</v>
          </cell>
          <cell r="R974">
            <v>79481.679999999993</v>
          </cell>
          <cell r="S974">
            <v>76650.55</v>
          </cell>
          <cell r="T974">
            <v>0</v>
          </cell>
          <cell r="U974">
            <v>2308.61</v>
          </cell>
        </row>
        <row r="975">
          <cell r="A975" t="str">
            <v>JUL 2014</v>
          </cell>
          <cell r="B975" t="str">
            <v>KUUM_477</v>
          </cell>
          <cell r="E975">
            <v>33103</v>
          </cell>
          <cell r="M975">
            <v>127.04</v>
          </cell>
          <cell r="Q975">
            <v>0</v>
          </cell>
          <cell r="R975">
            <v>22922.45</v>
          </cell>
          <cell r="S975">
            <v>22094.52</v>
          </cell>
          <cell r="T975">
            <v>0</v>
          </cell>
          <cell r="U975">
            <v>700.89</v>
          </cell>
        </row>
        <row r="976">
          <cell r="A976" t="str">
            <v>JUL 2014</v>
          </cell>
          <cell r="B976" t="str">
            <v>KUUM_478</v>
          </cell>
          <cell r="E976">
            <v>91701</v>
          </cell>
          <cell r="M976">
            <v>331.3</v>
          </cell>
          <cell r="Q976">
            <v>0</v>
          </cell>
          <cell r="R976">
            <v>39393.14</v>
          </cell>
          <cell r="S976">
            <v>37845.760000000002</v>
          </cell>
          <cell r="T976">
            <v>0</v>
          </cell>
          <cell r="U976">
            <v>1216.08</v>
          </cell>
        </row>
        <row r="977">
          <cell r="A977" t="str">
            <v>JUL 2014</v>
          </cell>
          <cell r="B977" t="str">
            <v>KUUM_479</v>
          </cell>
          <cell r="E977">
            <v>118105</v>
          </cell>
          <cell r="M977">
            <v>338.44</v>
          </cell>
          <cell r="Q977">
            <v>0</v>
          </cell>
          <cell r="R977">
            <v>32654.14</v>
          </cell>
          <cell r="S977">
            <v>31276.32</v>
          </cell>
          <cell r="T977">
            <v>0</v>
          </cell>
          <cell r="U977">
            <v>1039.3800000000001</v>
          </cell>
        </row>
        <row r="978">
          <cell r="A978" t="str">
            <v>JUL 2014</v>
          </cell>
          <cell r="B978" t="str">
            <v>KUUM_487</v>
          </cell>
          <cell r="E978">
            <v>345044</v>
          </cell>
          <cell r="M978">
            <v>882.86</v>
          </cell>
          <cell r="Q978">
            <v>0</v>
          </cell>
          <cell r="R978">
            <v>104032.68</v>
          </cell>
          <cell r="S978">
            <v>99820.29</v>
          </cell>
          <cell r="T978">
            <v>0</v>
          </cell>
          <cell r="U978">
            <v>3329.53</v>
          </cell>
        </row>
        <row r="979">
          <cell r="A979" t="str">
            <v>JUL 2014</v>
          </cell>
          <cell r="B979" t="str">
            <v>KUUM_488</v>
          </cell>
          <cell r="E979">
            <v>425848</v>
          </cell>
          <cell r="M979">
            <v>1119.54</v>
          </cell>
          <cell r="Q979">
            <v>0</v>
          </cell>
          <cell r="R979">
            <v>94554.92</v>
          </cell>
          <cell r="S979">
            <v>90397.17</v>
          </cell>
          <cell r="T979">
            <v>0</v>
          </cell>
          <cell r="U979">
            <v>3038.21</v>
          </cell>
        </row>
        <row r="980">
          <cell r="A980" t="str">
            <v>JUL 2014</v>
          </cell>
          <cell r="B980" t="str">
            <v>KUUM_489</v>
          </cell>
          <cell r="E980">
            <v>1046275</v>
          </cell>
          <cell r="M980">
            <v>2822.67</v>
          </cell>
          <cell r="Q980">
            <v>0</v>
          </cell>
          <cell r="R980">
            <v>171245.28</v>
          </cell>
          <cell r="S980">
            <v>162930.23999999999</v>
          </cell>
          <cell r="T980">
            <v>0</v>
          </cell>
          <cell r="U980">
            <v>5492.37</v>
          </cell>
        </row>
        <row r="981">
          <cell r="A981" t="str">
            <v>JUL 2014</v>
          </cell>
          <cell r="B981" t="str">
            <v>KUUM_490</v>
          </cell>
          <cell r="E981">
            <v>2298</v>
          </cell>
          <cell r="M981">
            <v>5.98</v>
          </cell>
          <cell r="Q981">
            <v>0</v>
          </cell>
          <cell r="R981">
            <v>947.13</v>
          </cell>
          <cell r="S981">
            <v>910.67</v>
          </cell>
          <cell r="T981">
            <v>0</v>
          </cell>
          <cell r="U981">
            <v>30.48</v>
          </cell>
        </row>
        <row r="982">
          <cell r="A982" t="str">
            <v>JUL 2014</v>
          </cell>
          <cell r="B982" t="str">
            <v>KUUM_491</v>
          </cell>
          <cell r="E982">
            <v>26015</v>
          </cell>
          <cell r="M982">
            <v>60.53</v>
          </cell>
          <cell r="Q982">
            <v>0</v>
          </cell>
          <cell r="R982">
            <v>6547.23</v>
          </cell>
          <cell r="S982">
            <v>6274.17</v>
          </cell>
          <cell r="T982">
            <v>0</v>
          </cell>
          <cell r="U982">
            <v>212.53</v>
          </cell>
        </row>
        <row r="983">
          <cell r="A983" t="str">
            <v>JUL 2014</v>
          </cell>
          <cell r="B983" t="str">
            <v>KUUM_492</v>
          </cell>
          <cell r="E983">
            <v>44</v>
          </cell>
          <cell r="M983">
            <v>0.11</v>
          </cell>
          <cell r="R983">
            <v>31.88</v>
          </cell>
          <cell r="S983">
            <v>30.74</v>
          </cell>
          <cell r="T983">
            <v>0</v>
          </cell>
          <cell r="U983">
            <v>1.03</v>
          </cell>
        </row>
        <row r="984">
          <cell r="A984" t="str">
            <v>JUL 2014</v>
          </cell>
          <cell r="B984" t="str">
            <v>KUUM_493</v>
          </cell>
          <cell r="E984">
            <v>12411</v>
          </cell>
          <cell r="M984">
            <v>31.76</v>
          </cell>
          <cell r="Q984">
            <v>0</v>
          </cell>
          <cell r="R984">
            <v>2063.37</v>
          </cell>
          <cell r="S984">
            <v>1965.1</v>
          </cell>
          <cell r="T984">
            <v>0</v>
          </cell>
          <cell r="U984">
            <v>66.510000000000005</v>
          </cell>
        </row>
        <row r="985">
          <cell r="A985" t="str">
            <v>JUL 2014</v>
          </cell>
          <cell r="B985" t="str">
            <v>KUUM_494</v>
          </cell>
          <cell r="E985">
            <v>6776</v>
          </cell>
          <cell r="M985">
            <v>20.32</v>
          </cell>
          <cell r="Q985">
            <v>0</v>
          </cell>
          <cell r="R985">
            <v>5120.68</v>
          </cell>
          <cell r="S985">
            <v>4938.2700000000004</v>
          </cell>
          <cell r="T985">
            <v>0</v>
          </cell>
          <cell r="U985">
            <v>162.09</v>
          </cell>
        </row>
        <row r="986">
          <cell r="A986" t="str">
            <v>JUL 2014</v>
          </cell>
          <cell r="B986" t="str">
            <v>KUUM_495</v>
          </cell>
          <cell r="E986">
            <v>59891</v>
          </cell>
          <cell r="M986">
            <v>156.36000000000001</v>
          </cell>
          <cell r="Q986">
            <v>0</v>
          </cell>
          <cell r="R986">
            <v>23348.06</v>
          </cell>
          <cell r="S986">
            <v>22440.97</v>
          </cell>
          <cell r="T986">
            <v>0</v>
          </cell>
          <cell r="U986">
            <v>750.73</v>
          </cell>
        </row>
        <row r="987">
          <cell r="A987" t="str">
            <v>JUL 2014</v>
          </cell>
          <cell r="B987" t="str">
            <v>KUUM_496</v>
          </cell>
          <cell r="E987">
            <v>43809</v>
          </cell>
          <cell r="M987">
            <v>117.99</v>
          </cell>
          <cell r="Q987">
            <v>0</v>
          </cell>
          <cell r="R987">
            <v>9358.64</v>
          </cell>
          <cell r="S987">
            <v>8940.84</v>
          </cell>
          <cell r="T987">
            <v>0</v>
          </cell>
          <cell r="U987">
            <v>299.81</v>
          </cell>
        </row>
        <row r="988">
          <cell r="A988" t="str">
            <v>JUL 2014</v>
          </cell>
          <cell r="B988" t="str">
            <v>KUUM_497</v>
          </cell>
          <cell r="E988">
            <v>309</v>
          </cell>
          <cell r="M988">
            <v>0.79</v>
          </cell>
          <cell r="R988">
            <v>159.43</v>
          </cell>
          <cell r="S988">
            <v>153.5</v>
          </cell>
          <cell r="T988">
            <v>0</v>
          </cell>
          <cell r="U988">
            <v>5.14</v>
          </cell>
        </row>
        <row r="989">
          <cell r="A989" t="str">
            <v>JUL 2014</v>
          </cell>
          <cell r="B989" t="str">
            <v>KUUM_498</v>
          </cell>
          <cell r="E989">
            <v>1626</v>
          </cell>
          <cell r="M989">
            <v>4.16</v>
          </cell>
          <cell r="R989">
            <v>480.36</v>
          </cell>
          <cell r="S989">
            <v>460.72</v>
          </cell>
          <cell r="T989">
            <v>0</v>
          </cell>
          <cell r="U989">
            <v>15.48</v>
          </cell>
        </row>
        <row r="990">
          <cell r="A990" t="str">
            <v>JUL 2014</v>
          </cell>
          <cell r="B990" t="str">
            <v>KUUM_499</v>
          </cell>
          <cell r="E990">
            <v>3205</v>
          </cell>
          <cell r="M990">
            <v>8.52</v>
          </cell>
          <cell r="R990">
            <v>593.48</v>
          </cell>
          <cell r="S990">
            <v>565.9</v>
          </cell>
          <cell r="T990">
            <v>0</v>
          </cell>
          <cell r="U990">
            <v>19.059999999999999</v>
          </cell>
        </row>
        <row r="991">
          <cell r="A991" t="str">
            <v>JUL 2014</v>
          </cell>
          <cell r="B991" t="str">
            <v>KUUM_820</v>
          </cell>
          <cell r="R991">
            <v>105.27</v>
          </cell>
          <cell r="S991">
            <v>0</v>
          </cell>
          <cell r="T991">
            <v>0</v>
          </cell>
          <cell r="U991">
            <v>0</v>
          </cell>
        </row>
        <row r="992">
          <cell r="A992" t="str">
            <v>JUL 2014</v>
          </cell>
          <cell r="B992" t="str">
            <v>KUUM_825</v>
          </cell>
          <cell r="R992">
            <v>84983.37</v>
          </cell>
          <cell r="S992">
            <v>0</v>
          </cell>
          <cell r="T992">
            <v>0</v>
          </cell>
          <cell r="U992">
            <v>0</v>
          </cell>
        </row>
        <row r="993">
          <cell r="A993" t="str">
            <v>JUL 2014</v>
          </cell>
          <cell r="B993" t="str">
            <v>KUUM_826</v>
          </cell>
          <cell r="R993">
            <v>9354.7999999999993</v>
          </cell>
          <cell r="S993">
            <v>0</v>
          </cell>
          <cell r="T993">
            <v>0</v>
          </cell>
          <cell r="U993">
            <v>0</v>
          </cell>
        </row>
        <row r="994">
          <cell r="A994" t="str">
            <v>JUL 2014</v>
          </cell>
          <cell r="B994" t="str">
            <v>KUUM_827</v>
          </cell>
          <cell r="F994">
            <v>36126.76</v>
          </cell>
          <cell r="R994">
            <v>36126.76</v>
          </cell>
          <cell r="S994">
            <v>0</v>
          </cell>
          <cell r="T994">
            <v>0</v>
          </cell>
          <cell r="U994">
            <v>0</v>
          </cell>
        </row>
        <row r="995">
          <cell r="A995" t="str">
            <v>JUL 2014</v>
          </cell>
          <cell r="B995" t="str">
            <v>KUUM_828</v>
          </cell>
          <cell r="R995">
            <v>32051.98</v>
          </cell>
          <cell r="S995">
            <v>0</v>
          </cell>
          <cell r="T995">
            <v>0</v>
          </cell>
          <cell r="U995">
            <v>0</v>
          </cell>
        </row>
        <row r="996">
          <cell r="A996" t="str">
            <v>JUL 2014</v>
          </cell>
          <cell r="B996" t="str">
            <v>KUUM_829</v>
          </cell>
          <cell r="R996">
            <v>0</v>
          </cell>
          <cell r="S996">
            <v>0</v>
          </cell>
          <cell r="T996">
            <v>0</v>
          </cell>
          <cell r="U996">
            <v>0</v>
          </cell>
        </row>
        <row r="997">
          <cell r="A997" t="str">
            <v>JUL 2014</v>
          </cell>
          <cell r="B997" t="str">
            <v>Result</v>
          </cell>
          <cell r="E997">
            <v>1819065402</v>
          </cell>
          <cell r="F997">
            <v>7235333.1699999999</v>
          </cell>
          <cell r="L997">
            <v>3022353.96</v>
          </cell>
          <cell r="M997">
            <v>4826650.3899999997</v>
          </cell>
          <cell r="P997">
            <v>-1074470.49</v>
          </cell>
          <cell r="Q997">
            <v>0</v>
          </cell>
          <cell r="R997">
            <v>146333784.12</v>
          </cell>
          <cell r="S997">
            <v>98526441.560000002</v>
          </cell>
          <cell r="T997">
            <v>28838742.620000001</v>
          </cell>
          <cell r="U997">
            <v>4327268.9800000004</v>
          </cell>
        </row>
        <row r="998">
          <cell r="A998" t="str">
            <v>AUG 2014</v>
          </cell>
          <cell r="B998" t="str">
            <v>KTRSE020</v>
          </cell>
          <cell r="E998">
            <v>4498</v>
          </cell>
          <cell r="F998">
            <v>25.5</v>
          </cell>
          <cell r="R998">
            <v>331.59</v>
          </cell>
        </row>
        <row r="999">
          <cell r="A999" t="str">
            <v>AUG 2014</v>
          </cell>
          <cell r="B999" t="str">
            <v>KTRSE030</v>
          </cell>
          <cell r="E999">
            <v>954</v>
          </cell>
          <cell r="F999">
            <v>8.5</v>
          </cell>
          <cell r="R999">
            <v>73.42</v>
          </cell>
        </row>
        <row r="1000">
          <cell r="A1000" t="str">
            <v>AUG 2014</v>
          </cell>
          <cell r="B1000" t="str">
            <v>KTUM_406</v>
          </cell>
          <cell r="E1000">
            <v>122</v>
          </cell>
          <cell r="R1000">
            <v>19.04</v>
          </cell>
          <cell r="S1000">
            <v>19.04</v>
          </cell>
          <cell r="T1000">
            <v>0</v>
          </cell>
          <cell r="U1000">
            <v>0</v>
          </cell>
        </row>
        <row r="1001">
          <cell r="A1001" t="str">
            <v>AUG 2014</v>
          </cell>
          <cell r="B1001" t="str">
            <v>KTUM_428</v>
          </cell>
          <cell r="E1001">
            <v>34</v>
          </cell>
          <cell r="R1001">
            <v>6.9</v>
          </cell>
          <cell r="S1001">
            <v>6.9</v>
          </cell>
          <cell r="T1001">
            <v>0</v>
          </cell>
          <cell r="U1001">
            <v>0</v>
          </cell>
        </row>
        <row r="1002">
          <cell r="A1002" t="str">
            <v>AUG 2014</v>
          </cell>
          <cell r="B1002" t="str">
            <v>KUCIE000</v>
          </cell>
          <cell r="S1002">
            <v>0</v>
          </cell>
          <cell r="T1002">
            <v>0</v>
          </cell>
          <cell r="U1002">
            <v>0</v>
          </cell>
        </row>
        <row r="1003">
          <cell r="A1003" t="str">
            <v>AUG 2014</v>
          </cell>
          <cell r="B1003" t="str">
            <v>KUCIE550</v>
          </cell>
          <cell r="E1003">
            <v>139895327</v>
          </cell>
          <cell r="F1003">
            <v>24750</v>
          </cell>
          <cell r="L1003">
            <v>0</v>
          </cell>
          <cell r="M1003">
            <v>-107719.4</v>
          </cell>
          <cell r="R1003">
            <v>7672321.75</v>
          </cell>
          <cell r="S1003">
            <v>5083796.18</v>
          </cell>
          <cell r="T1003">
            <v>2473798.4499999997</v>
          </cell>
          <cell r="U1003">
            <v>197696.52</v>
          </cell>
        </row>
        <row r="1004">
          <cell r="A1004" t="str">
            <v>AUG 2014</v>
          </cell>
          <cell r="B1004" t="str">
            <v>KUCIE561</v>
          </cell>
          <cell r="E1004">
            <v>4805788</v>
          </cell>
          <cell r="F1004">
            <v>28118</v>
          </cell>
          <cell r="L1004">
            <v>5766.17</v>
          </cell>
          <cell r="M1004">
            <v>-3703.54</v>
          </cell>
          <cell r="R1004">
            <v>471372.63</v>
          </cell>
          <cell r="S1004">
            <v>171182.13999999998</v>
          </cell>
          <cell r="T1004">
            <v>252209.97999999998</v>
          </cell>
          <cell r="U1004">
            <v>17799.88</v>
          </cell>
        </row>
        <row r="1005">
          <cell r="A1005" t="str">
            <v>AUG 2014</v>
          </cell>
          <cell r="B1005" t="str">
            <v>KUCIE562</v>
          </cell>
          <cell r="E1005">
            <v>147959641</v>
          </cell>
          <cell r="F1005">
            <v>426361.04</v>
          </cell>
          <cell r="L1005">
            <v>193275.25</v>
          </cell>
          <cell r="M1005">
            <v>-90235.13</v>
          </cell>
          <cell r="R1005">
            <v>13012538.199999999</v>
          </cell>
          <cell r="S1005">
            <v>5273281.79</v>
          </cell>
          <cell r="T1005">
            <v>6741946.4900000002</v>
          </cell>
          <cell r="U1005">
            <v>467908.76</v>
          </cell>
        </row>
        <row r="1006">
          <cell r="A1006" t="str">
            <v>AUG 2014</v>
          </cell>
          <cell r="B1006" t="str">
            <v>KUCIE563</v>
          </cell>
          <cell r="E1006">
            <v>215552537</v>
          </cell>
          <cell r="F1006">
            <v>15900</v>
          </cell>
          <cell r="L1006">
            <v>66601.72</v>
          </cell>
          <cell r="M1006">
            <v>-31091.71</v>
          </cell>
          <cell r="R1006">
            <v>12314729.41</v>
          </cell>
          <cell r="S1006">
            <v>8115553.0299999993</v>
          </cell>
          <cell r="T1006">
            <v>3822071.27</v>
          </cell>
          <cell r="U1006">
            <v>325695.09999999998</v>
          </cell>
        </row>
        <row r="1007">
          <cell r="A1007" t="str">
            <v>AUG 2014</v>
          </cell>
          <cell r="B1007" t="str">
            <v>KUCIE566</v>
          </cell>
          <cell r="E1007">
            <v>16436798</v>
          </cell>
          <cell r="F1007">
            <v>10987.67</v>
          </cell>
          <cell r="L1007">
            <v>14968.85</v>
          </cell>
          <cell r="M1007">
            <v>-8088.71</v>
          </cell>
          <cell r="R1007">
            <v>1268682.92</v>
          </cell>
          <cell r="S1007">
            <v>585478.74</v>
          </cell>
          <cell r="T1007">
            <v>622849.69999999995</v>
          </cell>
          <cell r="U1007">
            <v>42486.67</v>
          </cell>
        </row>
        <row r="1008">
          <cell r="A1008" t="str">
            <v>AUG 2014</v>
          </cell>
          <cell r="B1008" t="str">
            <v>KUCIE568</v>
          </cell>
          <cell r="E1008">
            <v>50342019</v>
          </cell>
          <cell r="F1008">
            <v>32197.35</v>
          </cell>
          <cell r="L1008">
            <v>45483.8</v>
          </cell>
          <cell r="M1008">
            <v>-31864.98</v>
          </cell>
          <cell r="R1008">
            <v>4086083.68</v>
          </cell>
          <cell r="S1008">
            <v>1794189.63</v>
          </cell>
          <cell r="T1008">
            <v>2104948.64</v>
          </cell>
          <cell r="U1008">
            <v>141129.24</v>
          </cell>
        </row>
        <row r="1009">
          <cell r="A1009" t="str">
            <v>AUG 2014</v>
          </cell>
          <cell r="B1009" t="str">
            <v>KUCIE571</v>
          </cell>
          <cell r="E1009">
            <v>105815191</v>
          </cell>
          <cell r="F1009">
            <v>49480</v>
          </cell>
          <cell r="L1009">
            <v>37418.129999999997</v>
          </cell>
          <cell r="M1009">
            <v>-72549.38</v>
          </cell>
          <cell r="R1009">
            <v>6533072.7000000002</v>
          </cell>
          <cell r="S1009">
            <v>3983941.98</v>
          </cell>
          <cell r="T1009">
            <v>2347394.06</v>
          </cell>
          <cell r="U1009">
            <v>187387.91</v>
          </cell>
        </row>
        <row r="1010">
          <cell r="A1010" t="str">
            <v>AUG 2014</v>
          </cell>
          <cell r="B1010" t="str">
            <v>KUCIE572</v>
          </cell>
          <cell r="E1010">
            <v>117890588</v>
          </cell>
          <cell r="F1010">
            <v>98073.69</v>
          </cell>
          <cell r="L1010">
            <v>89636.18</v>
          </cell>
          <cell r="M1010">
            <v>-71551.86</v>
          </cell>
          <cell r="R1010">
            <v>7987772.1799999997</v>
          </cell>
          <cell r="S1010">
            <v>4448012.1000000006</v>
          </cell>
          <cell r="T1010">
            <v>3177398.48</v>
          </cell>
          <cell r="U1010">
            <v>246203.59</v>
          </cell>
        </row>
        <row r="1011">
          <cell r="A1011" t="str">
            <v>AUG 2014</v>
          </cell>
          <cell r="B1011" t="str">
            <v>KUCIE717</v>
          </cell>
          <cell r="E1011">
            <v>32640</v>
          </cell>
          <cell r="F1011">
            <v>90</v>
          </cell>
          <cell r="L1011">
            <v>44.72</v>
          </cell>
          <cell r="M1011">
            <v>-25.13</v>
          </cell>
          <cell r="R1011">
            <v>2955.05</v>
          </cell>
          <cell r="S1011">
            <v>1163.29</v>
          </cell>
          <cell r="T1011">
            <v>1574.37</v>
          </cell>
          <cell r="U1011">
            <v>107.8</v>
          </cell>
        </row>
        <row r="1012">
          <cell r="A1012" t="str">
            <v>AUG 2014</v>
          </cell>
          <cell r="B1012" t="str">
            <v>KUCME000</v>
          </cell>
          <cell r="S1012">
            <v>0</v>
          </cell>
          <cell r="T1012">
            <v>0</v>
          </cell>
          <cell r="U1012">
            <v>0</v>
          </cell>
        </row>
        <row r="1013">
          <cell r="A1013" t="str">
            <v>AUG 2014</v>
          </cell>
          <cell r="B1013" t="str">
            <v>KUCME110</v>
          </cell>
          <cell r="E1013">
            <v>61131589</v>
          </cell>
          <cell r="F1013">
            <v>1283500.77</v>
          </cell>
          <cell r="L1013">
            <v>180885.51</v>
          </cell>
          <cell r="M1013">
            <v>-38085.67</v>
          </cell>
          <cell r="Q1013">
            <v>0</v>
          </cell>
          <cell r="R1013">
            <v>7364763.2199999997</v>
          </cell>
          <cell r="S1013">
            <v>5639826.6299999999</v>
          </cell>
          <cell r="T1013">
            <v>0</v>
          </cell>
          <cell r="U1013">
            <v>298635.98</v>
          </cell>
        </row>
        <row r="1014">
          <cell r="A1014" t="str">
            <v>AUG 2014</v>
          </cell>
          <cell r="B1014" t="str">
            <v>KUCME112</v>
          </cell>
          <cell r="E1014">
            <v>10785</v>
          </cell>
          <cell r="F1014">
            <v>1220</v>
          </cell>
          <cell r="L1014">
            <v>32.39</v>
          </cell>
          <cell r="M1014">
            <v>-2.95</v>
          </cell>
          <cell r="R1014">
            <v>2353.0300000000002</v>
          </cell>
          <cell r="S1014">
            <v>994.94</v>
          </cell>
          <cell r="T1014">
            <v>0</v>
          </cell>
          <cell r="U1014">
            <v>108.65</v>
          </cell>
        </row>
        <row r="1015">
          <cell r="A1015" t="str">
            <v>AUG 2014</v>
          </cell>
          <cell r="B1015" t="str">
            <v>KUCME113</v>
          </cell>
          <cell r="E1015">
            <v>90576183</v>
          </cell>
          <cell r="F1015">
            <v>641342.6</v>
          </cell>
          <cell r="L1015">
            <v>252737.54</v>
          </cell>
          <cell r="M1015">
            <v>-61393.760000000002</v>
          </cell>
          <cell r="R1015">
            <v>9559545.2300000004</v>
          </cell>
          <cell r="S1015">
            <v>8355662.7599999998</v>
          </cell>
          <cell r="T1015">
            <v>0</v>
          </cell>
          <cell r="U1015">
            <v>371196.09</v>
          </cell>
        </row>
        <row r="1016">
          <cell r="A1016" t="str">
            <v>AUG 2014</v>
          </cell>
          <cell r="B1016" t="str">
            <v>KUCME220</v>
          </cell>
          <cell r="E1016">
            <v>361884</v>
          </cell>
          <cell r="F1016">
            <v>6520</v>
          </cell>
          <cell r="L1016">
            <v>445.1</v>
          </cell>
          <cell r="M1016">
            <v>-37.54</v>
          </cell>
          <cell r="R1016">
            <v>34946.050000000003</v>
          </cell>
          <cell r="S1016">
            <v>26924.059999999998</v>
          </cell>
          <cell r="T1016">
            <v>0</v>
          </cell>
          <cell r="U1016">
            <v>1094.43</v>
          </cell>
        </row>
        <row r="1017">
          <cell r="A1017" t="str">
            <v>AUG 2014</v>
          </cell>
          <cell r="B1017" t="str">
            <v>KUCME221</v>
          </cell>
          <cell r="E1017">
            <v>2100</v>
          </cell>
          <cell r="F1017">
            <v>120</v>
          </cell>
          <cell r="L1017">
            <v>2.58</v>
          </cell>
          <cell r="M1017">
            <v>-1.62</v>
          </cell>
          <cell r="R1017">
            <v>286.10000000000002</v>
          </cell>
          <cell r="S1017">
            <v>156.24</v>
          </cell>
          <cell r="T1017">
            <v>0</v>
          </cell>
          <cell r="U1017">
            <v>8.9</v>
          </cell>
        </row>
        <row r="1018">
          <cell r="A1018" t="str">
            <v>AUG 2014</v>
          </cell>
          <cell r="B1018" t="str">
            <v>KUCME223</v>
          </cell>
          <cell r="E1018">
            <v>298495</v>
          </cell>
          <cell r="F1018">
            <v>2345.0100000000002</v>
          </cell>
          <cell r="L1018">
            <v>367.2</v>
          </cell>
          <cell r="M1018">
            <v>-183.59</v>
          </cell>
          <cell r="R1018">
            <v>25532.32</v>
          </cell>
          <cell r="S1018">
            <v>22208.059999999998</v>
          </cell>
          <cell r="T1018">
            <v>0</v>
          </cell>
          <cell r="U1018">
            <v>795.64</v>
          </cell>
        </row>
        <row r="1019">
          <cell r="A1019" t="str">
            <v>AUG 2014</v>
          </cell>
          <cell r="B1019" t="str">
            <v>KUCME224</v>
          </cell>
          <cell r="E1019">
            <v>201220</v>
          </cell>
          <cell r="F1019">
            <v>140</v>
          </cell>
          <cell r="L1019">
            <v>247.5</v>
          </cell>
          <cell r="M1019">
            <v>83.82</v>
          </cell>
          <cell r="R1019">
            <v>15944.55</v>
          </cell>
          <cell r="S1019">
            <v>14970.769999999999</v>
          </cell>
          <cell r="T1019">
            <v>0</v>
          </cell>
          <cell r="U1019">
            <v>502.46</v>
          </cell>
        </row>
        <row r="1020">
          <cell r="A1020" t="str">
            <v>AUG 2014</v>
          </cell>
          <cell r="B1020" t="str">
            <v>KUCME225</v>
          </cell>
          <cell r="E1020">
            <v>1887520</v>
          </cell>
          <cell r="F1020">
            <v>3360.02</v>
          </cell>
          <cell r="L1020">
            <v>2321.66</v>
          </cell>
          <cell r="M1020">
            <v>-475.05</v>
          </cell>
          <cell r="R1020">
            <v>150341.95000000001</v>
          </cell>
          <cell r="S1020">
            <v>140431.48000000001</v>
          </cell>
          <cell r="T1020">
            <v>0</v>
          </cell>
          <cell r="U1020">
            <v>4703.84</v>
          </cell>
        </row>
        <row r="1021">
          <cell r="A1021" t="str">
            <v>AUG 2014</v>
          </cell>
          <cell r="B1021" t="str">
            <v>KUCME226</v>
          </cell>
          <cell r="E1021">
            <v>33989</v>
          </cell>
          <cell r="F1021">
            <v>380</v>
          </cell>
          <cell r="L1021">
            <v>41.81</v>
          </cell>
          <cell r="M1021">
            <v>16.04</v>
          </cell>
          <cell r="R1021">
            <v>3063.19</v>
          </cell>
          <cell r="S1021">
            <v>2528.77</v>
          </cell>
          <cell r="T1021">
            <v>0</v>
          </cell>
          <cell r="U1021">
            <v>96.57</v>
          </cell>
        </row>
        <row r="1022">
          <cell r="A1022" t="str">
            <v>AUG 2014</v>
          </cell>
          <cell r="B1022" t="str">
            <v>KUCME227</v>
          </cell>
          <cell r="E1022">
            <v>6945036</v>
          </cell>
          <cell r="F1022">
            <v>3465.02</v>
          </cell>
          <cell r="L1022">
            <v>8542.42</v>
          </cell>
          <cell r="M1022">
            <v>-316.44</v>
          </cell>
          <cell r="R1022">
            <v>545506.04</v>
          </cell>
          <cell r="S1022">
            <v>516710.68</v>
          </cell>
          <cell r="T1022">
            <v>0</v>
          </cell>
          <cell r="U1022">
            <v>17104.36</v>
          </cell>
        </row>
        <row r="1023">
          <cell r="A1023" t="str">
            <v>AUG 2014</v>
          </cell>
          <cell r="B1023" t="str">
            <v>KUCME290</v>
          </cell>
          <cell r="E1023">
            <v>10593</v>
          </cell>
          <cell r="M1023">
            <v>-8.16</v>
          </cell>
          <cell r="R1023">
            <v>689.1</v>
          </cell>
          <cell r="S1023">
            <v>675.83</v>
          </cell>
          <cell r="T1023">
            <v>0</v>
          </cell>
          <cell r="U1023">
            <v>21.43</v>
          </cell>
        </row>
        <row r="1024">
          <cell r="A1024" t="str">
            <v>AUG 2014</v>
          </cell>
          <cell r="B1024" t="str">
            <v>KUCME291</v>
          </cell>
          <cell r="E1024">
            <v>2792</v>
          </cell>
          <cell r="M1024">
            <v>7.15</v>
          </cell>
          <cell r="R1024">
            <v>191.45</v>
          </cell>
          <cell r="S1024">
            <v>178.12999999999997</v>
          </cell>
          <cell r="T1024">
            <v>0</v>
          </cell>
          <cell r="U1024">
            <v>6.17</v>
          </cell>
        </row>
        <row r="1025">
          <cell r="A1025" t="str">
            <v>AUG 2014</v>
          </cell>
          <cell r="B1025" t="str">
            <v>KUCME295</v>
          </cell>
          <cell r="E1025">
            <v>100946</v>
          </cell>
          <cell r="F1025">
            <v>1556.54</v>
          </cell>
          <cell r="M1025">
            <v>102.92</v>
          </cell>
          <cell r="R1025">
            <v>10031.26</v>
          </cell>
          <cell r="S1025">
            <v>8053.51</v>
          </cell>
          <cell r="T1025">
            <v>0</v>
          </cell>
          <cell r="U1025">
            <v>318.29000000000002</v>
          </cell>
        </row>
        <row r="1026">
          <cell r="A1026" t="str">
            <v>AUG 2014</v>
          </cell>
          <cell r="B1026" t="str">
            <v>KUCME297</v>
          </cell>
          <cell r="E1026">
            <v>14416</v>
          </cell>
          <cell r="F1026">
            <v>884</v>
          </cell>
          <cell r="M1026">
            <v>-10.88</v>
          </cell>
          <cell r="R1026">
            <v>2088.96</v>
          </cell>
          <cell r="S1026">
            <v>1150.56</v>
          </cell>
          <cell r="T1026">
            <v>0</v>
          </cell>
          <cell r="U1026">
            <v>65.28</v>
          </cell>
        </row>
        <row r="1027">
          <cell r="A1027" t="str">
            <v>AUG 2014</v>
          </cell>
          <cell r="B1027" t="str">
            <v>KUCME705</v>
          </cell>
          <cell r="R1027">
            <v>0</v>
          </cell>
          <cell r="S1027">
            <v>0</v>
          </cell>
          <cell r="T1027">
            <v>0</v>
          </cell>
          <cell r="U1027">
            <v>0</v>
          </cell>
        </row>
        <row r="1028">
          <cell r="A1028" t="str">
            <v>AUG 2014</v>
          </cell>
          <cell r="B1028" t="str">
            <v>KUCME707</v>
          </cell>
          <cell r="R1028">
            <v>0</v>
          </cell>
          <cell r="S1028">
            <v>0</v>
          </cell>
          <cell r="T1028">
            <v>0</v>
          </cell>
          <cell r="U1028">
            <v>0</v>
          </cell>
        </row>
        <row r="1029">
          <cell r="A1029" t="str">
            <v>AUG 2014</v>
          </cell>
          <cell r="B1029" t="str">
            <v>KUCME710</v>
          </cell>
          <cell r="E1029">
            <v>5785</v>
          </cell>
          <cell r="F1029">
            <v>201.43</v>
          </cell>
          <cell r="L1029">
            <v>17.36</v>
          </cell>
          <cell r="M1029">
            <v>-4.4400000000000004</v>
          </cell>
          <cell r="R1029">
            <v>780.71</v>
          </cell>
          <cell r="S1029">
            <v>533.66</v>
          </cell>
          <cell r="T1029">
            <v>0</v>
          </cell>
          <cell r="U1029">
            <v>32.700000000000003</v>
          </cell>
        </row>
        <row r="1030">
          <cell r="A1030" t="str">
            <v>AUG 2014</v>
          </cell>
          <cell r="B1030" t="str">
            <v>KUCME713</v>
          </cell>
          <cell r="E1030">
            <v>10120</v>
          </cell>
          <cell r="F1030">
            <v>70</v>
          </cell>
          <cell r="L1030">
            <v>7.44</v>
          </cell>
          <cell r="M1030">
            <v>-7.79</v>
          </cell>
          <cell r="R1030">
            <v>1043.3699999999999</v>
          </cell>
          <cell r="S1030">
            <v>933.57</v>
          </cell>
          <cell r="T1030">
            <v>0</v>
          </cell>
          <cell r="U1030">
            <v>40.15</v>
          </cell>
        </row>
        <row r="1031">
          <cell r="A1031" t="str">
            <v>AUG 2014</v>
          </cell>
          <cell r="B1031" t="str">
            <v>KUCSR760</v>
          </cell>
          <cell r="P1031">
            <v>-1013676.34</v>
          </cell>
          <cell r="R1031">
            <v>-1013676.34</v>
          </cell>
          <cell r="S1031">
            <v>0</v>
          </cell>
          <cell r="T1031">
            <v>0</v>
          </cell>
          <cell r="U1031">
            <v>0</v>
          </cell>
        </row>
        <row r="1032">
          <cell r="A1032" t="str">
            <v>AUG 2014</v>
          </cell>
          <cell r="B1032" t="str">
            <v>KUCSR780</v>
          </cell>
          <cell r="P1032">
            <v>-23449.66</v>
          </cell>
          <cell r="R1032">
            <v>-23449.66</v>
          </cell>
          <cell r="S1032">
            <v>0</v>
          </cell>
          <cell r="T1032">
            <v>0</v>
          </cell>
          <cell r="U1032">
            <v>0</v>
          </cell>
        </row>
        <row r="1033">
          <cell r="A1033" t="str">
            <v>AUG 2014</v>
          </cell>
          <cell r="B1033" t="str">
            <v>KUCSR781</v>
          </cell>
          <cell r="P1033">
            <v>-51492.4</v>
          </cell>
          <cell r="R1033">
            <v>-51492.4</v>
          </cell>
          <cell r="S1033">
            <v>0</v>
          </cell>
          <cell r="T1033">
            <v>0</v>
          </cell>
          <cell r="U1033">
            <v>0</v>
          </cell>
        </row>
        <row r="1034">
          <cell r="A1034" t="str">
            <v>AUG 2014</v>
          </cell>
          <cell r="B1034" t="str">
            <v>KUCSR783</v>
          </cell>
          <cell r="P1034">
            <v>-8800</v>
          </cell>
          <cell r="R1034">
            <v>-8800</v>
          </cell>
          <cell r="S1034">
            <v>0</v>
          </cell>
          <cell r="T1034">
            <v>0</v>
          </cell>
          <cell r="U1034">
            <v>0</v>
          </cell>
        </row>
        <row r="1035">
          <cell r="A1035" t="str">
            <v>AUG 2014</v>
          </cell>
          <cell r="B1035" t="str">
            <v>KUCUE851</v>
          </cell>
          <cell r="S1035">
            <v>0</v>
          </cell>
          <cell r="T1035">
            <v>0</v>
          </cell>
          <cell r="U1035">
            <v>0</v>
          </cell>
        </row>
        <row r="1036">
          <cell r="A1036" t="str">
            <v>AUG 2014</v>
          </cell>
          <cell r="B1036" t="str">
            <v>KUCUE852</v>
          </cell>
          <cell r="S1036">
            <v>0</v>
          </cell>
          <cell r="T1036">
            <v>0</v>
          </cell>
          <cell r="U1036">
            <v>0</v>
          </cell>
        </row>
        <row r="1037">
          <cell r="A1037" t="str">
            <v>AUG 2014</v>
          </cell>
          <cell r="B1037" t="str">
            <v>KUINE730</v>
          </cell>
          <cell r="E1037">
            <v>46872000</v>
          </cell>
          <cell r="F1037">
            <v>750</v>
          </cell>
          <cell r="M1037">
            <v>-36091.440000000002</v>
          </cell>
          <cell r="R1037">
            <v>2375484.42</v>
          </cell>
          <cell r="S1037">
            <v>1528495.92</v>
          </cell>
          <cell r="T1037">
            <v>826422.65</v>
          </cell>
          <cell r="U1037">
            <v>55907.29</v>
          </cell>
        </row>
        <row r="1038">
          <cell r="A1038" t="str">
            <v>AUG 2014</v>
          </cell>
          <cell r="B1038" t="str">
            <v>KUMNE902</v>
          </cell>
          <cell r="E1038">
            <v>18225600</v>
          </cell>
          <cell r="M1038">
            <v>41372.11</v>
          </cell>
          <cell r="R1038">
            <v>1133560.56</v>
          </cell>
          <cell r="S1038">
            <v>555909.96</v>
          </cell>
          <cell r="T1038">
            <v>484145.73</v>
          </cell>
          <cell r="U1038">
            <v>0</v>
          </cell>
        </row>
        <row r="1039">
          <cell r="A1039" t="str">
            <v>AUG 2014</v>
          </cell>
          <cell r="B1039" t="str">
            <v>KUMNE903</v>
          </cell>
          <cell r="E1039">
            <v>18343086</v>
          </cell>
          <cell r="M1039">
            <v>41271.94</v>
          </cell>
          <cell r="R1039">
            <v>1127315.6599999999</v>
          </cell>
          <cell r="S1039">
            <v>559066.07999999996</v>
          </cell>
          <cell r="T1039">
            <v>476554.88</v>
          </cell>
          <cell r="U1039">
            <v>0</v>
          </cell>
        </row>
        <row r="1040">
          <cell r="A1040" t="str">
            <v>AUG 2014</v>
          </cell>
          <cell r="B1040" t="str">
            <v>KUMNE912</v>
          </cell>
          <cell r="E1040">
            <v>34172000</v>
          </cell>
          <cell r="M1040">
            <v>77570.44</v>
          </cell>
          <cell r="R1040">
            <v>2202740.0499999998</v>
          </cell>
          <cell r="S1040">
            <v>1045394.7</v>
          </cell>
          <cell r="T1040">
            <v>968644.03</v>
          </cell>
          <cell r="U1040">
            <v>0</v>
          </cell>
        </row>
        <row r="1041">
          <cell r="A1041" t="str">
            <v>AUG 2014</v>
          </cell>
          <cell r="B1041" t="str">
            <v>KUMNE913</v>
          </cell>
          <cell r="E1041">
            <v>89895565</v>
          </cell>
          <cell r="M1041">
            <v>202265.02</v>
          </cell>
          <cell r="R1041">
            <v>5743655.8200000003</v>
          </cell>
          <cell r="S1041">
            <v>2747028.68</v>
          </cell>
          <cell r="T1041">
            <v>2522496.3199999998</v>
          </cell>
          <cell r="U1041">
            <v>0</v>
          </cell>
        </row>
        <row r="1042">
          <cell r="A1042" t="str">
            <v>AUG 2014</v>
          </cell>
          <cell r="B1042" t="str">
            <v>KUMNE934</v>
          </cell>
          <cell r="E1042">
            <v>5117932</v>
          </cell>
          <cell r="M1042">
            <v>11515.35</v>
          </cell>
          <cell r="R1042">
            <v>294483.03000000003</v>
          </cell>
          <cell r="S1042">
            <v>156393.76999999999</v>
          </cell>
          <cell r="T1042">
            <v>109087.06</v>
          </cell>
          <cell r="U1042">
            <v>0</v>
          </cell>
        </row>
        <row r="1043">
          <cell r="A1043" t="str">
            <v>AUG 2014</v>
          </cell>
          <cell r="B1043" t="str">
            <v>KURSE000</v>
          </cell>
          <cell r="S1043">
            <v>0</v>
          </cell>
          <cell r="T1043">
            <v>0</v>
          </cell>
          <cell r="U1043">
            <v>0</v>
          </cell>
        </row>
        <row r="1044">
          <cell r="A1044" t="str">
            <v>AUG 2014</v>
          </cell>
          <cell r="B1044" t="str">
            <v>KURSE010</v>
          </cell>
          <cell r="E1044">
            <v>248055650</v>
          </cell>
          <cell r="F1044">
            <v>2449598.9</v>
          </cell>
          <cell r="L1044">
            <v>977265.5</v>
          </cell>
          <cell r="M1044">
            <v>-190254.93</v>
          </cell>
          <cell r="Q1044">
            <v>0</v>
          </cell>
          <cell r="R1044">
            <v>23166237.93</v>
          </cell>
          <cell r="S1044">
            <v>19209064.210000001</v>
          </cell>
          <cell r="T1044">
            <v>0</v>
          </cell>
          <cell r="U1044">
            <v>720564.25</v>
          </cell>
        </row>
        <row r="1045">
          <cell r="A1045" t="str">
            <v>AUG 2014</v>
          </cell>
          <cell r="B1045" t="str">
            <v>KURSE020</v>
          </cell>
          <cell r="E1045">
            <v>207118409</v>
          </cell>
          <cell r="F1045">
            <v>2069374.3</v>
          </cell>
          <cell r="L1045">
            <v>816041.95</v>
          </cell>
          <cell r="M1045">
            <v>-158458.09</v>
          </cell>
          <cell r="R1045">
            <v>19368644.75</v>
          </cell>
          <cell r="S1045">
            <v>16039249.02</v>
          </cell>
          <cell r="T1045">
            <v>0</v>
          </cell>
          <cell r="U1045">
            <v>602437.56999999995</v>
          </cell>
        </row>
        <row r="1046">
          <cell r="A1046" t="str">
            <v>AUG 2014</v>
          </cell>
          <cell r="B1046" t="str">
            <v>KURSE025</v>
          </cell>
          <cell r="E1046">
            <v>511256</v>
          </cell>
          <cell r="F1046">
            <v>2637.7</v>
          </cell>
          <cell r="L1046">
            <v>2014.37</v>
          </cell>
          <cell r="M1046">
            <v>-355.03</v>
          </cell>
          <cell r="R1046">
            <v>45298.84</v>
          </cell>
          <cell r="S1046">
            <v>39591.730000000003</v>
          </cell>
          <cell r="T1046">
            <v>0</v>
          </cell>
          <cell r="U1046">
            <v>1410.07</v>
          </cell>
        </row>
        <row r="1047">
          <cell r="A1047" t="str">
            <v>AUG 2014</v>
          </cell>
          <cell r="B1047" t="str">
            <v>KURSE040</v>
          </cell>
          <cell r="E1047">
            <v>7241</v>
          </cell>
          <cell r="F1047">
            <v>75.25</v>
          </cell>
          <cell r="L1047">
            <v>28.53</v>
          </cell>
          <cell r="M1047">
            <v>-5.58</v>
          </cell>
          <cell r="R1047">
            <v>653.35</v>
          </cell>
          <cell r="S1047">
            <v>534.82999999999993</v>
          </cell>
          <cell r="T1047">
            <v>0</v>
          </cell>
          <cell r="U1047">
            <v>20.32</v>
          </cell>
        </row>
        <row r="1048">
          <cell r="A1048" t="str">
            <v>AUG 2014</v>
          </cell>
          <cell r="B1048" t="str">
            <v>KURSE080</v>
          </cell>
          <cell r="E1048">
            <v>70043</v>
          </cell>
          <cell r="F1048">
            <v>543.24</v>
          </cell>
          <cell r="L1048">
            <v>275.93</v>
          </cell>
          <cell r="M1048">
            <v>-45.27</v>
          </cell>
          <cell r="R1048">
            <v>6397.27</v>
          </cell>
          <cell r="S1048">
            <v>5424.13</v>
          </cell>
          <cell r="T1048">
            <v>0</v>
          </cell>
          <cell r="U1048">
            <v>199.24</v>
          </cell>
        </row>
        <row r="1049">
          <cell r="A1049" t="str">
            <v>AUG 2014</v>
          </cell>
          <cell r="B1049" t="str">
            <v>KURSE715</v>
          </cell>
          <cell r="E1049">
            <v>47697</v>
          </cell>
          <cell r="F1049">
            <v>610.70000000000005</v>
          </cell>
          <cell r="L1049">
            <v>187.93</v>
          </cell>
          <cell r="M1049">
            <v>-36.700000000000003</v>
          </cell>
          <cell r="R1049">
            <v>4598.68</v>
          </cell>
          <cell r="S1049">
            <v>3693.65</v>
          </cell>
          <cell r="T1049">
            <v>0</v>
          </cell>
          <cell r="U1049">
            <v>143.1</v>
          </cell>
        </row>
        <row r="1050">
          <cell r="A1050" t="str">
            <v>AUG 2014</v>
          </cell>
          <cell r="B1050" t="str">
            <v>KUUM_000</v>
          </cell>
          <cell r="S1050">
            <v>0</v>
          </cell>
          <cell r="T1050">
            <v>0</v>
          </cell>
          <cell r="U1050">
            <v>0</v>
          </cell>
        </row>
        <row r="1051">
          <cell r="A1051" t="str">
            <v>AUG 2014</v>
          </cell>
          <cell r="B1051" t="str">
            <v>KUUM_360</v>
          </cell>
          <cell r="E1051">
            <v>8494</v>
          </cell>
          <cell r="M1051">
            <v>21.1</v>
          </cell>
          <cell r="Q1051">
            <v>0</v>
          </cell>
          <cell r="R1051">
            <v>10198.24</v>
          </cell>
          <cell r="S1051">
            <v>9848.74</v>
          </cell>
          <cell r="T1051">
            <v>0</v>
          </cell>
          <cell r="U1051">
            <v>328.4</v>
          </cell>
        </row>
        <row r="1052">
          <cell r="A1052" t="str">
            <v>AUG 2014</v>
          </cell>
          <cell r="B1052" t="str">
            <v>KUUM_361</v>
          </cell>
          <cell r="E1052">
            <v>1220</v>
          </cell>
          <cell r="M1052">
            <v>3.11</v>
          </cell>
          <cell r="Q1052">
            <v>0</v>
          </cell>
          <cell r="R1052">
            <v>2151.4499999999998</v>
          </cell>
          <cell r="S1052">
            <v>2079</v>
          </cell>
          <cell r="T1052">
            <v>0</v>
          </cell>
          <cell r="U1052">
            <v>69.34</v>
          </cell>
        </row>
        <row r="1053">
          <cell r="A1053" t="str">
            <v>AUG 2014</v>
          </cell>
          <cell r="B1053" t="str">
            <v>KUUM_362</v>
          </cell>
          <cell r="E1053">
            <v>1689</v>
          </cell>
          <cell r="M1053">
            <v>4.33</v>
          </cell>
          <cell r="Q1053">
            <v>0</v>
          </cell>
          <cell r="R1053">
            <v>2660.62</v>
          </cell>
          <cell r="S1053">
            <v>2570.54</v>
          </cell>
          <cell r="T1053">
            <v>0</v>
          </cell>
          <cell r="U1053">
            <v>85.75</v>
          </cell>
        </row>
        <row r="1054">
          <cell r="A1054" t="str">
            <v>AUG 2014</v>
          </cell>
          <cell r="B1054" t="str">
            <v>KUUM_363</v>
          </cell>
          <cell r="E1054">
            <v>254</v>
          </cell>
          <cell r="M1054">
            <v>0.65</v>
          </cell>
          <cell r="Q1054">
            <v>0</v>
          </cell>
          <cell r="R1054">
            <v>319.7</v>
          </cell>
          <cell r="S1054">
            <v>308.75</v>
          </cell>
          <cell r="T1054">
            <v>0</v>
          </cell>
          <cell r="U1054">
            <v>10.3</v>
          </cell>
        </row>
        <row r="1055">
          <cell r="A1055" t="str">
            <v>AUG 2014</v>
          </cell>
          <cell r="B1055" t="str">
            <v>KUUM_364</v>
          </cell>
          <cell r="E1055">
            <v>51</v>
          </cell>
          <cell r="M1055">
            <v>0.13</v>
          </cell>
          <cell r="Q1055">
            <v>0</v>
          </cell>
          <cell r="R1055">
            <v>65.349999999999994</v>
          </cell>
          <cell r="S1055">
            <v>63.11</v>
          </cell>
          <cell r="T1055">
            <v>0</v>
          </cell>
          <cell r="U1055">
            <v>2.11</v>
          </cell>
        </row>
        <row r="1056">
          <cell r="A1056" t="str">
            <v>AUG 2014</v>
          </cell>
          <cell r="B1056" t="str">
            <v>KUUM_365</v>
          </cell>
          <cell r="E1056">
            <v>250</v>
          </cell>
          <cell r="M1056">
            <v>0.64</v>
          </cell>
          <cell r="Q1056">
            <v>0</v>
          </cell>
          <cell r="R1056">
            <v>418.84</v>
          </cell>
          <cell r="S1056">
            <v>404.7</v>
          </cell>
          <cell r="T1056">
            <v>0</v>
          </cell>
          <cell r="U1056">
            <v>13.5</v>
          </cell>
        </row>
        <row r="1057">
          <cell r="A1057" t="str">
            <v>AUG 2014</v>
          </cell>
          <cell r="B1057" t="str">
            <v>KUUM_366</v>
          </cell>
          <cell r="E1057">
            <v>454</v>
          </cell>
          <cell r="M1057">
            <v>1.1599999999999999</v>
          </cell>
          <cell r="Q1057">
            <v>0</v>
          </cell>
          <cell r="R1057">
            <v>735.59</v>
          </cell>
          <cell r="S1057">
            <v>710.73</v>
          </cell>
          <cell r="T1057">
            <v>0</v>
          </cell>
          <cell r="U1057">
            <v>23.7</v>
          </cell>
        </row>
        <row r="1058">
          <cell r="A1058" t="str">
            <v>AUG 2014</v>
          </cell>
          <cell r="B1058" t="str">
            <v>KUUM_367</v>
          </cell>
          <cell r="E1058">
            <v>1196</v>
          </cell>
          <cell r="M1058">
            <v>3.06</v>
          </cell>
          <cell r="Q1058">
            <v>0</v>
          </cell>
          <cell r="R1058">
            <v>1584.88</v>
          </cell>
          <cell r="S1058">
            <v>1530.75</v>
          </cell>
          <cell r="T1058">
            <v>0</v>
          </cell>
          <cell r="U1058">
            <v>51.07</v>
          </cell>
        </row>
        <row r="1059">
          <cell r="A1059" t="str">
            <v>AUG 2014</v>
          </cell>
          <cell r="B1059" t="str">
            <v>KUUM_368</v>
          </cell>
          <cell r="E1059">
            <v>51</v>
          </cell>
          <cell r="M1059">
            <v>0.13</v>
          </cell>
          <cell r="Q1059">
            <v>0</v>
          </cell>
          <cell r="R1059">
            <v>58.71</v>
          </cell>
          <cell r="S1059">
            <v>56.69</v>
          </cell>
          <cell r="T1059">
            <v>0</v>
          </cell>
          <cell r="U1059">
            <v>1.89</v>
          </cell>
        </row>
        <row r="1060">
          <cell r="A1060" t="str">
            <v>AUG 2014</v>
          </cell>
          <cell r="B1060" t="str">
            <v>KUUM_370</v>
          </cell>
          <cell r="E1060">
            <v>747</v>
          </cell>
          <cell r="M1060">
            <v>1.59</v>
          </cell>
          <cell r="Q1060">
            <v>0</v>
          </cell>
          <cell r="R1060">
            <v>1156.49</v>
          </cell>
          <cell r="S1060">
            <v>1117.8</v>
          </cell>
          <cell r="T1060">
            <v>0</v>
          </cell>
          <cell r="U1060">
            <v>37.1</v>
          </cell>
        </row>
        <row r="1061">
          <cell r="A1061" t="str">
            <v>AUG 2014</v>
          </cell>
          <cell r="B1061" t="str">
            <v>KUUM_372</v>
          </cell>
          <cell r="E1061">
            <v>51</v>
          </cell>
          <cell r="M1061">
            <v>0.13</v>
          </cell>
          <cell r="Q1061">
            <v>0</v>
          </cell>
          <cell r="R1061">
            <v>85.17</v>
          </cell>
          <cell r="S1061">
            <v>82.3</v>
          </cell>
          <cell r="T1061">
            <v>0</v>
          </cell>
          <cell r="U1061">
            <v>2.74</v>
          </cell>
        </row>
        <row r="1062">
          <cell r="A1062" t="str">
            <v>AUG 2014</v>
          </cell>
          <cell r="B1062" t="str">
            <v>KUUM_373</v>
          </cell>
          <cell r="E1062">
            <v>944</v>
          </cell>
          <cell r="M1062">
            <v>2.41</v>
          </cell>
          <cell r="Q1062">
            <v>0</v>
          </cell>
          <cell r="R1062">
            <v>1542.52</v>
          </cell>
          <cell r="S1062">
            <v>1490.4</v>
          </cell>
          <cell r="T1062">
            <v>0</v>
          </cell>
          <cell r="U1062">
            <v>49.71</v>
          </cell>
        </row>
        <row r="1063">
          <cell r="A1063" t="str">
            <v>AUG 2014</v>
          </cell>
          <cell r="B1063" t="str">
            <v>KUUM_374</v>
          </cell>
          <cell r="E1063">
            <v>196</v>
          </cell>
          <cell r="M1063">
            <v>0.5</v>
          </cell>
          <cell r="Q1063">
            <v>0</v>
          </cell>
          <cell r="R1063">
            <v>314.14</v>
          </cell>
          <cell r="S1063">
            <v>303.52</v>
          </cell>
          <cell r="T1063">
            <v>0</v>
          </cell>
          <cell r="U1063">
            <v>10.119999999999999</v>
          </cell>
        </row>
        <row r="1064">
          <cell r="A1064" t="str">
            <v>AUG 2014</v>
          </cell>
          <cell r="B1064" t="str">
            <v>KUUM_375</v>
          </cell>
          <cell r="E1064">
            <v>141</v>
          </cell>
          <cell r="M1064">
            <v>0.36</v>
          </cell>
          <cell r="Q1064">
            <v>0</v>
          </cell>
          <cell r="R1064">
            <v>245.17</v>
          </cell>
          <cell r="S1064">
            <v>236.91</v>
          </cell>
          <cell r="T1064">
            <v>0</v>
          </cell>
          <cell r="U1064">
            <v>7.9</v>
          </cell>
        </row>
        <row r="1065">
          <cell r="A1065" t="str">
            <v>AUG 2014</v>
          </cell>
          <cell r="B1065" t="str">
            <v>KUUM_376</v>
          </cell>
          <cell r="E1065">
            <v>94</v>
          </cell>
          <cell r="M1065">
            <v>0.24</v>
          </cell>
          <cell r="Q1065">
            <v>0</v>
          </cell>
          <cell r="R1065">
            <v>159.91</v>
          </cell>
          <cell r="S1065">
            <v>154.52000000000001</v>
          </cell>
          <cell r="T1065">
            <v>0</v>
          </cell>
          <cell r="U1065">
            <v>5.15</v>
          </cell>
        </row>
        <row r="1066">
          <cell r="A1066" t="str">
            <v>AUG 2014</v>
          </cell>
          <cell r="B1066" t="str">
            <v>KUUM_377</v>
          </cell>
          <cell r="E1066">
            <v>2445</v>
          </cell>
          <cell r="M1066">
            <v>6.26</v>
          </cell>
          <cell r="Q1066">
            <v>0</v>
          </cell>
          <cell r="R1066">
            <v>3389.18</v>
          </cell>
          <cell r="S1066">
            <v>3273.69</v>
          </cell>
          <cell r="T1066">
            <v>0</v>
          </cell>
          <cell r="U1066">
            <v>109.23</v>
          </cell>
        </row>
        <row r="1067">
          <cell r="A1067" t="str">
            <v>AUG 2014</v>
          </cell>
          <cell r="B1067" t="str">
            <v>KUUM_378</v>
          </cell>
          <cell r="E1067">
            <v>95</v>
          </cell>
          <cell r="M1067">
            <v>0.24</v>
          </cell>
          <cell r="R1067">
            <v>157.1</v>
          </cell>
          <cell r="S1067">
            <v>151.80000000000001</v>
          </cell>
          <cell r="T1067">
            <v>0</v>
          </cell>
          <cell r="U1067">
            <v>5.0599999999999996</v>
          </cell>
        </row>
        <row r="1068">
          <cell r="A1068" t="str">
            <v>AUG 2014</v>
          </cell>
          <cell r="B1068" t="str">
            <v>KUUM_401</v>
          </cell>
          <cell r="E1068">
            <v>1174</v>
          </cell>
          <cell r="M1068">
            <v>0.03</v>
          </cell>
          <cell r="Q1068">
            <v>0</v>
          </cell>
          <cell r="R1068">
            <v>797.77</v>
          </cell>
          <cell r="S1068">
            <v>772.72</v>
          </cell>
          <cell r="T1068">
            <v>0</v>
          </cell>
          <cell r="U1068">
            <v>25.02</v>
          </cell>
        </row>
        <row r="1069">
          <cell r="A1069" t="str">
            <v>AUG 2014</v>
          </cell>
          <cell r="B1069" t="str">
            <v>KUUM_404</v>
          </cell>
          <cell r="E1069">
            <v>392051</v>
          </cell>
          <cell r="M1069">
            <v>-270.58</v>
          </cell>
          <cell r="Q1069">
            <v>0</v>
          </cell>
          <cell r="R1069">
            <v>75973.81</v>
          </cell>
          <cell r="S1069">
            <v>73868.570000000007</v>
          </cell>
          <cell r="T1069">
            <v>0</v>
          </cell>
          <cell r="U1069">
            <v>2375.8200000000002</v>
          </cell>
        </row>
        <row r="1070">
          <cell r="A1070" t="str">
            <v>AUG 2014</v>
          </cell>
          <cell r="B1070" t="str">
            <v>KUUM_409</v>
          </cell>
          <cell r="E1070">
            <v>17675</v>
          </cell>
          <cell r="M1070">
            <v>-4.92</v>
          </cell>
          <cell r="Q1070">
            <v>0</v>
          </cell>
          <cell r="R1070">
            <v>1644.11</v>
          </cell>
          <cell r="S1070">
            <v>1597.63</v>
          </cell>
          <cell r="T1070">
            <v>0</v>
          </cell>
          <cell r="U1070">
            <v>51.4</v>
          </cell>
        </row>
        <row r="1071">
          <cell r="A1071" t="str">
            <v>AUG 2014</v>
          </cell>
          <cell r="B1071" t="str">
            <v>KUUM_410</v>
          </cell>
          <cell r="E1071">
            <v>3860</v>
          </cell>
          <cell r="M1071">
            <v>-2.97</v>
          </cell>
          <cell r="Q1071">
            <v>0</v>
          </cell>
          <cell r="R1071">
            <v>5015.42</v>
          </cell>
          <cell r="S1071">
            <v>4862.3999999999996</v>
          </cell>
          <cell r="T1071">
            <v>0</v>
          </cell>
          <cell r="U1071">
            <v>155.99</v>
          </cell>
        </row>
        <row r="1072">
          <cell r="A1072" t="str">
            <v>AUG 2014</v>
          </cell>
          <cell r="B1072" t="str">
            <v>KUUM_411</v>
          </cell>
          <cell r="E1072">
            <v>3320</v>
          </cell>
          <cell r="M1072">
            <v>-2.56</v>
          </cell>
          <cell r="Q1072">
            <v>0</v>
          </cell>
          <cell r="R1072">
            <v>3307.31</v>
          </cell>
          <cell r="S1072">
            <v>3207</v>
          </cell>
          <cell r="T1072">
            <v>0</v>
          </cell>
          <cell r="U1072">
            <v>102.87</v>
          </cell>
        </row>
        <row r="1073">
          <cell r="A1073" t="str">
            <v>AUG 2014</v>
          </cell>
          <cell r="B1073" t="str">
            <v>KUUM_412</v>
          </cell>
          <cell r="E1073">
            <v>614</v>
          </cell>
          <cell r="M1073">
            <v>-0.47</v>
          </cell>
          <cell r="Q1073">
            <v>0</v>
          </cell>
          <cell r="R1073">
            <v>890.75</v>
          </cell>
          <cell r="S1073">
            <v>863.52</v>
          </cell>
          <cell r="T1073">
            <v>0</v>
          </cell>
          <cell r="U1073">
            <v>27.7</v>
          </cell>
        </row>
        <row r="1074">
          <cell r="A1074" t="str">
            <v>AUG 2014</v>
          </cell>
          <cell r="B1074" t="str">
            <v>KUUM_413</v>
          </cell>
          <cell r="E1074">
            <v>2982</v>
          </cell>
          <cell r="M1074">
            <v>-2.2999999999999998</v>
          </cell>
          <cell r="Q1074">
            <v>0</v>
          </cell>
          <cell r="R1074">
            <v>3090.96</v>
          </cell>
          <cell r="S1074">
            <v>2997.12</v>
          </cell>
          <cell r="T1074">
            <v>0</v>
          </cell>
          <cell r="U1074">
            <v>96.14</v>
          </cell>
        </row>
        <row r="1075">
          <cell r="A1075" t="str">
            <v>AUG 2014</v>
          </cell>
          <cell r="B1075" t="str">
            <v>KUUM_414</v>
          </cell>
          <cell r="E1075">
            <v>490</v>
          </cell>
          <cell r="M1075">
            <v>1.25</v>
          </cell>
          <cell r="Q1075">
            <v>0</v>
          </cell>
          <cell r="R1075">
            <v>670.5</v>
          </cell>
          <cell r="S1075">
            <v>647.64</v>
          </cell>
          <cell r="T1075">
            <v>0</v>
          </cell>
          <cell r="U1075">
            <v>21.61</v>
          </cell>
        </row>
        <row r="1076">
          <cell r="A1076" t="str">
            <v>AUG 2014</v>
          </cell>
          <cell r="B1076" t="str">
            <v>KUUM_415</v>
          </cell>
          <cell r="E1076">
            <v>329</v>
          </cell>
          <cell r="M1076">
            <v>0.84</v>
          </cell>
          <cell r="Q1076">
            <v>0</v>
          </cell>
          <cell r="R1076">
            <v>323.45999999999998</v>
          </cell>
          <cell r="S1076">
            <v>312.2</v>
          </cell>
          <cell r="T1076">
            <v>0</v>
          </cell>
          <cell r="U1076">
            <v>10.42</v>
          </cell>
        </row>
        <row r="1077">
          <cell r="A1077" t="str">
            <v>AUG 2014</v>
          </cell>
          <cell r="B1077" t="str">
            <v>KUUM_420</v>
          </cell>
          <cell r="E1077">
            <v>16515</v>
          </cell>
          <cell r="M1077">
            <v>-0.05</v>
          </cell>
          <cell r="Q1077">
            <v>0</v>
          </cell>
          <cell r="R1077">
            <v>8348.68</v>
          </cell>
          <cell r="S1077">
            <v>8087.04</v>
          </cell>
          <cell r="T1077">
            <v>0</v>
          </cell>
          <cell r="U1077">
            <v>261.69</v>
          </cell>
        </row>
        <row r="1078">
          <cell r="A1078" t="str">
            <v>AUG 2014</v>
          </cell>
          <cell r="B1078" t="str">
            <v>KUUM_421</v>
          </cell>
          <cell r="E1078">
            <v>135</v>
          </cell>
          <cell r="M1078">
            <v>0.16</v>
          </cell>
          <cell r="Q1078">
            <v>0</v>
          </cell>
          <cell r="R1078">
            <v>17.68</v>
          </cell>
          <cell r="S1078">
            <v>16.95</v>
          </cell>
          <cell r="T1078">
            <v>0</v>
          </cell>
          <cell r="U1078">
            <v>0.56999999999999995</v>
          </cell>
        </row>
        <row r="1079">
          <cell r="A1079" t="str">
            <v>AUG 2014</v>
          </cell>
          <cell r="B1079" t="str">
            <v>KUUM_422</v>
          </cell>
          <cell r="E1079">
            <v>35590</v>
          </cell>
          <cell r="M1079">
            <v>1.91</v>
          </cell>
          <cell r="Q1079">
            <v>0</v>
          </cell>
          <cell r="R1079">
            <v>3128.28</v>
          </cell>
          <cell r="S1079">
            <v>3028.18</v>
          </cell>
          <cell r="T1079">
            <v>0</v>
          </cell>
          <cell r="U1079">
            <v>98.19</v>
          </cell>
        </row>
        <row r="1080">
          <cell r="A1080" t="str">
            <v>AUG 2014</v>
          </cell>
          <cell r="B1080" t="str">
            <v>KUUM_424</v>
          </cell>
          <cell r="E1080">
            <v>4022</v>
          </cell>
          <cell r="M1080">
            <v>3.22</v>
          </cell>
          <cell r="Q1080">
            <v>0</v>
          </cell>
          <cell r="R1080">
            <v>318.39999999999998</v>
          </cell>
          <cell r="S1080">
            <v>305.10000000000002</v>
          </cell>
          <cell r="T1080">
            <v>0</v>
          </cell>
          <cell r="U1080">
            <v>10.08</v>
          </cell>
        </row>
        <row r="1081">
          <cell r="A1081" t="str">
            <v>AUG 2014</v>
          </cell>
          <cell r="B1081" t="str">
            <v>KUUM_425</v>
          </cell>
          <cell r="E1081">
            <v>242</v>
          </cell>
          <cell r="M1081">
            <v>-0.19</v>
          </cell>
          <cell r="Q1081">
            <v>0</v>
          </cell>
          <cell r="R1081">
            <v>18.510000000000002</v>
          </cell>
          <cell r="S1081">
            <v>18.12</v>
          </cell>
          <cell r="T1081">
            <v>0</v>
          </cell>
          <cell r="U1081">
            <v>0.57999999999999996</v>
          </cell>
        </row>
        <row r="1082">
          <cell r="A1082" t="str">
            <v>AUG 2014</v>
          </cell>
          <cell r="B1082" t="str">
            <v>KUUM_426</v>
          </cell>
          <cell r="E1082">
            <v>3823</v>
          </cell>
          <cell r="M1082">
            <v>-3.31</v>
          </cell>
          <cell r="Q1082">
            <v>0</v>
          </cell>
          <cell r="R1082">
            <v>1300.73</v>
          </cell>
          <cell r="S1082">
            <v>1263.31</v>
          </cell>
          <cell r="T1082">
            <v>0</v>
          </cell>
          <cell r="U1082">
            <v>40.729999999999997</v>
          </cell>
        </row>
        <row r="1083">
          <cell r="A1083" t="str">
            <v>AUG 2014</v>
          </cell>
          <cell r="B1083" t="str">
            <v>KUUM_428</v>
          </cell>
          <cell r="E1083">
            <v>1152212</v>
          </cell>
          <cell r="M1083">
            <v>-814.57</v>
          </cell>
          <cell r="Q1083">
            <v>0</v>
          </cell>
          <cell r="R1083">
            <v>293343.11</v>
          </cell>
          <cell r="S1083">
            <v>285061.78999999998</v>
          </cell>
          <cell r="T1083">
            <v>0</v>
          </cell>
          <cell r="U1083">
            <v>9095.89</v>
          </cell>
        </row>
        <row r="1084">
          <cell r="A1084" t="str">
            <v>AUG 2014</v>
          </cell>
          <cell r="B1084" t="str">
            <v>KUUM_430</v>
          </cell>
          <cell r="E1084">
            <v>37148</v>
          </cell>
          <cell r="M1084">
            <v>-7.03</v>
          </cell>
          <cell r="Q1084">
            <v>0</v>
          </cell>
          <cell r="R1084">
            <v>26817.360000000001</v>
          </cell>
          <cell r="S1084">
            <v>25984.93</v>
          </cell>
          <cell r="T1084">
            <v>0</v>
          </cell>
          <cell r="U1084">
            <v>839.46</v>
          </cell>
        </row>
        <row r="1085">
          <cell r="A1085" t="str">
            <v>AUG 2014</v>
          </cell>
          <cell r="B1085" t="str">
            <v>KUUM_434</v>
          </cell>
        </row>
        <row r="1086">
          <cell r="A1086" t="str">
            <v>AUG 2014</v>
          </cell>
          <cell r="B1086" t="str">
            <v>KUUM_440</v>
          </cell>
          <cell r="E1086">
            <v>32</v>
          </cell>
          <cell r="M1086">
            <v>-0.02</v>
          </cell>
          <cell r="Q1086">
            <v>0</v>
          </cell>
          <cell r="R1086">
            <v>28.08</v>
          </cell>
          <cell r="S1086">
            <v>27.22</v>
          </cell>
          <cell r="T1086">
            <v>0</v>
          </cell>
          <cell r="U1086">
            <v>0.88</v>
          </cell>
        </row>
        <row r="1087">
          <cell r="A1087" t="str">
            <v>AUG 2014</v>
          </cell>
          <cell r="B1087" t="str">
            <v>KUUM_446</v>
          </cell>
          <cell r="E1087">
            <v>60417</v>
          </cell>
          <cell r="M1087">
            <v>-8.26</v>
          </cell>
          <cell r="Q1087">
            <v>0</v>
          </cell>
          <cell r="R1087">
            <v>10659.93</v>
          </cell>
          <cell r="S1087">
            <v>10334.36</v>
          </cell>
          <cell r="T1087">
            <v>0</v>
          </cell>
          <cell r="U1087">
            <v>333.83</v>
          </cell>
        </row>
        <row r="1088">
          <cell r="A1088" t="str">
            <v>AUG 2014</v>
          </cell>
          <cell r="B1088" t="str">
            <v>KUUM_447</v>
          </cell>
          <cell r="E1088">
            <v>54961</v>
          </cell>
          <cell r="M1088">
            <v>132.93</v>
          </cell>
          <cell r="Q1088">
            <v>0</v>
          </cell>
          <cell r="R1088">
            <v>8453.49</v>
          </cell>
          <cell r="S1088">
            <v>8048.52</v>
          </cell>
          <cell r="T1088">
            <v>0</v>
          </cell>
          <cell r="U1088">
            <v>272.04000000000002</v>
          </cell>
        </row>
        <row r="1089">
          <cell r="A1089" t="str">
            <v>AUG 2014</v>
          </cell>
          <cell r="B1089" t="str">
            <v>KUUM_448</v>
          </cell>
          <cell r="E1089">
            <v>180852</v>
          </cell>
          <cell r="M1089">
            <v>99.32</v>
          </cell>
          <cell r="Q1089">
            <v>0</v>
          </cell>
          <cell r="R1089">
            <v>19613.13</v>
          </cell>
          <cell r="S1089">
            <v>18894.75</v>
          </cell>
          <cell r="T1089">
            <v>0</v>
          </cell>
          <cell r="U1089">
            <v>619.05999999999995</v>
          </cell>
        </row>
        <row r="1090">
          <cell r="A1090" t="str">
            <v>AUG 2014</v>
          </cell>
          <cell r="B1090" t="str">
            <v>KUUM_450</v>
          </cell>
          <cell r="E1090">
            <v>27335</v>
          </cell>
          <cell r="M1090">
            <v>-18.12</v>
          </cell>
          <cell r="Q1090">
            <v>0</v>
          </cell>
          <cell r="R1090">
            <v>9904.27</v>
          </cell>
          <cell r="S1090">
            <v>9613.19</v>
          </cell>
          <cell r="T1090">
            <v>0</v>
          </cell>
          <cell r="U1090">
            <v>309.2</v>
          </cell>
        </row>
        <row r="1091">
          <cell r="A1091" t="str">
            <v>AUG 2014</v>
          </cell>
          <cell r="B1091" t="str">
            <v>KUUM_451</v>
          </cell>
          <cell r="E1091">
            <v>490727</v>
          </cell>
          <cell r="M1091">
            <v>-326.17</v>
          </cell>
          <cell r="Q1091">
            <v>0</v>
          </cell>
          <cell r="R1091">
            <v>107660.96</v>
          </cell>
          <cell r="S1091">
            <v>104632.57</v>
          </cell>
          <cell r="T1091">
            <v>0</v>
          </cell>
          <cell r="U1091">
            <v>3354.56</v>
          </cell>
        </row>
        <row r="1092">
          <cell r="A1092" t="str">
            <v>AUG 2014</v>
          </cell>
          <cell r="B1092" t="str">
            <v>KUUM_452</v>
          </cell>
          <cell r="E1092">
            <v>304154</v>
          </cell>
          <cell r="M1092">
            <v>-212.52</v>
          </cell>
          <cell r="Q1092">
            <v>0</v>
          </cell>
          <cell r="R1092">
            <v>45463.31</v>
          </cell>
          <cell r="S1092">
            <v>44261.41</v>
          </cell>
          <cell r="T1092">
            <v>0</v>
          </cell>
          <cell r="U1092">
            <v>1414.42</v>
          </cell>
        </row>
        <row r="1093">
          <cell r="A1093" t="str">
            <v>AUG 2014</v>
          </cell>
          <cell r="B1093" t="str">
            <v>KUUM_454</v>
          </cell>
          <cell r="E1093">
            <v>6068</v>
          </cell>
          <cell r="M1093">
            <v>-3.33</v>
          </cell>
          <cell r="Q1093">
            <v>0</v>
          </cell>
          <cell r="R1093">
            <v>2867.55</v>
          </cell>
          <cell r="S1093">
            <v>2781.34</v>
          </cell>
          <cell r="T1093">
            <v>0</v>
          </cell>
          <cell r="U1093">
            <v>89.54</v>
          </cell>
        </row>
        <row r="1094">
          <cell r="A1094" t="str">
            <v>AUG 2014</v>
          </cell>
          <cell r="B1094" t="str">
            <v>KUUM_455</v>
          </cell>
          <cell r="E1094">
            <v>96912</v>
          </cell>
          <cell r="M1094">
            <v>-64.08</v>
          </cell>
          <cell r="Q1094">
            <v>0</v>
          </cell>
          <cell r="R1094">
            <v>25985.51</v>
          </cell>
          <cell r="S1094">
            <v>25240.03</v>
          </cell>
          <cell r="T1094">
            <v>0</v>
          </cell>
          <cell r="U1094">
            <v>809.56</v>
          </cell>
        </row>
        <row r="1095">
          <cell r="A1095" t="str">
            <v>AUG 2014</v>
          </cell>
          <cell r="B1095" t="str">
            <v>KUUM_456</v>
          </cell>
          <cell r="E1095">
            <v>7748</v>
          </cell>
          <cell r="M1095">
            <v>-2.2999999999999998</v>
          </cell>
          <cell r="Q1095">
            <v>0</v>
          </cell>
          <cell r="R1095">
            <v>1725.3</v>
          </cell>
          <cell r="S1095">
            <v>1673.67</v>
          </cell>
          <cell r="T1095">
            <v>0</v>
          </cell>
          <cell r="U1095">
            <v>53.93</v>
          </cell>
        </row>
        <row r="1096">
          <cell r="A1096" t="str">
            <v>AUG 2014</v>
          </cell>
          <cell r="B1096" t="str">
            <v>KUUM_457</v>
          </cell>
          <cell r="E1096">
            <v>35114</v>
          </cell>
          <cell r="M1096">
            <v>89.62</v>
          </cell>
          <cell r="Q1096">
            <v>0</v>
          </cell>
          <cell r="R1096">
            <v>6346.2</v>
          </cell>
          <cell r="S1096">
            <v>6052.08</v>
          </cell>
          <cell r="T1096">
            <v>0</v>
          </cell>
          <cell r="U1096">
            <v>204.5</v>
          </cell>
        </row>
        <row r="1097">
          <cell r="A1097" t="str">
            <v>AUG 2014</v>
          </cell>
          <cell r="B1097" t="str">
            <v>KUUM_458</v>
          </cell>
          <cell r="E1097">
            <v>176567</v>
          </cell>
          <cell r="M1097">
            <v>264.06</v>
          </cell>
          <cell r="Q1097">
            <v>0</v>
          </cell>
          <cell r="R1097">
            <v>22938.43</v>
          </cell>
          <cell r="S1097">
            <v>21943.360000000001</v>
          </cell>
          <cell r="T1097">
            <v>0</v>
          </cell>
          <cell r="U1097">
            <v>731.01</v>
          </cell>
        </row>
        <row r="1098">
          <cell r="A1098" t="str">
            <v>AUG 2014</v>
          </cell>
          <cell r="B1098" t="str">
            <v>KUUM_459</v>
          </cell>
          <cell r="E1098">
            <v>64875</v>
          </cell>
          <cell r="M1098">
            <v>-48.27</v>
          </cell>
          <cell r="Q1098">
            <v>0</v>
          </cell>
          <cell r="R1098">
            <v>10616.96</v>
          </cell>
          <cell r="S1098">
            <v>10334.39</v>
          </cell>
          <cell r="T1098">
            <v>0</v>
          </cell>
          <cell r="U1098">
            <v>330.84</v>
          </cell>
        </row>
        <row r="1099">
          <cell r="A1099" t="str">
            <v>AUG 2014</v>
          </cell>
          <cell r="B1099" t="str">
            <v>KUUM_460</v>
          </cell>
          <cell r="E1099">
            <v>952</v>
          </cell>
          <cell r="M1099">
            <v>0.71</v>
          </cell>
          <cell r="Q1099">
            <v>0</v>
          </cell>
          <cell r="R1099">
            <v>665.88</v>
          </cell>
          <cell r="S1099">
            <v>644.11</v>
          </cell>
          <cell r="T1099">
            <v>0</v>
          </cell>
          <cell r="U1099">
            <v>21.06</v>
          </cell>
        </row>
        <row r="1100">
          <cell r="A1100" t="str">
            <v>AUG 2014</v>
          </cell>
          <cell r="B1100" t="str">
            <v>KUUM_461</v>
          </cell>
          <cell r="E1100">
            <v>113920</v>
          </cell>
          <cell r="M1100">
            <v>13.17</v>
          </cell>
          <cell r="Q1100">
            <v>0</v>
          </cell>
          <cell r="R1100">
            <v>53906.07</v>
          </cell>
          <cell r="S1100">
            <v>52199.89</v>
          </cell>
          <cell r="T1100">
            <v>0</v>
          </cell>
          <cell r="U1100">
            <v>1693.01</v>
          </cell>
        </row>
        <row r="1101">
          <cell r="A1101" t="str">
            <v>AUG 2014</v>
          </cell>
          <cell r="B1101" t="str">
            <v>KUUM_462</v>
          </cell>
          <cell r="E1101">
            <v>195970</v>
          </cell>
          <cell r="M1101">
            <v>133.13999999999999</v>
          </cell>
          <cell r="Q1101">
            <v>0</v>
          </cell>
          <cell r="R1101">
            <v>78929.89</v>
          </cell>
          <cell r="S1101">
            <v>76303.259999999995</v>
          </cell>
          <cell r="T1101">
            <v>0</v>
          </cell>
          <cell r="U1101">
            <v>2493.4899999999998</v>
          </cell>
        </row>
        <row r="1102">
          <cell r="A1102" t="str">
            <v>AUG 2014</v>
          </cell>
          <cell r="B1102" t="str">
            <v>KUUM_463</v>
          </cell>
          <cell r="E1102">
            <v>658361</v>
          </cell>
          <cell r="M1102">
            <v>-71.91</v>
          </cell>
          <cell r="Q1102">
            <v>0</v>
          </cell>
          <cell r="R1102">
            <v>195967.17</v>
          </cell>
          <cell r="S1102">
            <v>189899.72</v>
          </cell>
          <cell r="T1102">
            <v>0</v>
          </cell>
          <cell r="U1102">
            <v>6139.36</v>
          </cell>
        </row>
        <row r="1103">
          <cell r="A1103" t="str">
            <v>AUG 2014</v>
          </cell>
          <cell r="B1103" t="str">
            <v>KUUM_464</v>
          </cell>
          <cell r="E1103">
            <v>495786</v>
          </cell>
          <cell r="M1103">
            <v>-45.3</v>
          </cell>
          <cell r="Q1103">
            <v>0</v>
          </cell>
          <cell r="R1103">
            <v>112217.59</v>
          </cell>
          <cell r="S1103">
            <v>108743.17</v>
          </cell>
          <cell r="T1103">
            <v>0</v>
          </cell>
          <cell r="U1103">
            <v>3519.72</v>
          </cell>
        </row>
        <row r="1104">
          <cell r="A1104" t="str">
            <v>AUG 2014</v>
          </cell>
          <cell r="B1104" t="str">
            <v>KUUM_465</v>
          </cell>
          <cell r="E1104">
            <v>355398</v>
          </cell>
          <cell r="M1104">
            <v>-130.77000000000001</v>
          </cell>
          <cell r="Q1104">
            <v>0</v>
          </cell>
          <cell r="R1104">
            <v>65791.240000000005</v>
          </cell>
          <cell r="S1104">
            <v>63866.74</v>
          </cell>
          <cell r="T1104">
            <v>0</v>
          </cell>
          <cell r="U1104">
            <v>2055.27</v>
          </cell>
        </row>
        <row r="1105">
          <cell r="A1105" t="str">
            <v>AUG 2014</v>
          </cell>
          <cell r="B1105" t="str">
            <v>KUUM_465CU</v>
          </cell>
          <cell r="E1105">
            <v>393</v>
          </cell>
          <cell r="S1105">
            <v>0</v>
          </cell>
          <cell r="T1105">
            <v>0</v>
          </cell>
          <cell r="U1105">
            <v>0</v>
          </cell>
        </row>
        <row r="1106">
          <cell r="A1106" t="str">
            <v>AUG 2014</v>
          </cell>
          <cell r="B1106" t="str">
            <v>KUUM_466</v>
          </cell>
          <cell r="E1106">
            <v>13841</v>
          </cell>
          <cell r="M1106">
            <v>-7.43</v>
          </cell>
          <cell r="Q1106">
            <v>0</v>
          </cell>
          <cell r="R1106">
            <v>8492.11</v>
          </cell>
          <cell r="S1106">
            <v>8234.7199999999993</v>
          </cell>
          <cell r="T1106">
            <v>0</v>
          </cell>
          <cell r="U1106">
            <v>264.82</v>
          </cell>
        </row>
        <row r="1107">
          <cell r="A1107" t="str">
            <v>AUG 2014</v>
          </cell>
          <cell r="B1107" t="str">
            <v>KUUM_467</v>
          </cell>
          <cell r="E1107">
            <v>30487</v>
          </cell>
          <cell r="M1107">
            <v>-6.67</v>
          </cell>
          <cell r="Q1107">
            <v>0</v>
          </cell>
          <cell r="R1107">
            <v>15164.49</v>
          </cell>
          <cell r="S1107">
            <v>14696.7</v>
          </cell>
          <cell r="T1107">
            <v>0</v>
          </cell>
          <cell r="U1107">
            <v>474.46</v>
          </cell>
        </row>
        <row r="1108">
          <cell r="A1108" t="str">
            <v>AUG 2014</v>
          </cell>
          <cell r="B1108" t="str">
            <v>KUUM_468</v>
          </cell>
          <cell r="E1108">
            <v>126666</v>
          </cell>
          <cell r="M1108">
            <v>-75.72</v>
          </cell>
          <cell r="Q1108">
            <v>0</v>
          </cell>
          <cell r="R1108">
            <v>46433.63</v>
          </cell>
          <cell r="S1108">
            <v>45062.55</v>
          </cell>
          <cell r="T1108">
            <v>0</v>
          </cell>
          <cell r="U1108">
            <v>1446.8</v>
          </cell>
        </row>
        <row r="1109">
          <cell r="A1109" t="str">
            <v>AUG 2014</v>
          </cell>
          <cell r="B1109" t="str">
            <v>KUUM_469</v>
          </cell>
          <cell r="E1109">
            <v>27556</v>
          </cell>
          <cell r="M1109">
            <v>-17.21</v>
          </cell>
          <cell r="Q1109">
            <v>0</v>
          </cell>
          <cell r="R1109">
            <v>9958.19</v>
          </cell>
          <cell r="S1109">
            <v>9665.2099999999991</v>
          </cell>
          <cell r="T1109">
            <v>0</v>
          </cell>
          <cell r="U1109">
            <v>310.19</v>
          </cell>
        </row>
        <row r="1110">
          <cell r="A1110" t="str">
            <v>AUG 2014</v>
          </cell>
          <cell r="B1110" t="str">
            <v>KUUM_470</v>
          </cell>
          <cell r="E1110">
            <v>17715</v>
          </cell>
          <cell r="M1110">
            <v>-13.62</v>
          </cell>
          <cell r="Q1110">
            <v>0</v>
          </cell>
          <cell r="R1110">
            <v>3464.39</v>
          </cell>
          <cell r="S1110">
            <v>3370.25</v>
          </cell>
          <cell r="T1110">
            <v>0</v>
          </cell>
          <cell r="U1110">
            <v>107.76</v>
          </cell>
        </row>
        <row r="1111">
          <cell r="A1111" t="str">
            <v>AUG 2014</v>
          </cell>
          <cell r="B1111" t="str">
            <v>KUUM_471</v>
          </cell>
          <cell r="E1111">
            <v>57824</v>
          </cell>
          <cell r="M1111">
            <v>147.76</v>
          </cell>
          <cell r="Q1111">
            <v>0</v>
          </cell>
          <cell r="R1111">
            <v>39889.550000000003</v>
          </cell>
          <cell r="S1111">
            <v>38456.339999999997</v>
          </cell>
          <cell r="T1111">
            <v>0</v>
          </cell>
          <cell r="U1111">
            <v>1285.45</v>
          </cell>
        </row>
        <row r="1112">
          <cell r="A1112" t="str">
            <v>AUG 2014</v>
          </cell>
          <cell r="B1112" t="str">
            <v>KUUM_472</v>
          </cell>
          <cell r="E1112">
            <v>191984</v>
          </cell>
          <cell r="M1112">
            <v>485.02</v>
          </cell>
          <cell r="Q1112">
            <v>0</v>
          </cell>
          <cell r="R1112">
            <v>105997.99</v>
          </cell>
          <cell r="S1112">
            <v>102098.17</v>
          </cell>
          <cell r="T1112">
            <v>0</v>
          </cell>
          <cell r="U1112">
            <v>3414.8</v>
          </cell>
        </row>
        <row r="1113">
          <cell r="A1113" t="str">
            <v>AUG 2014</v>
          </cell>
          <cell r="B1113" t="str">
            <v>KUUM_473</v>
          </cell>
          <cell r="E1113">
            <v>105591</v>
          </cell>
          <cell r="M1113">
            <v>128.08000000000001</v>
          </cell>
          <cell r="Q1113">
            <v>0</v>
          </cell>
          <cell r="R1113">
            <v>43007.46</v>
          </cell>
          <cell r="S1113">
            <v>41512.5</v>
          </cell>
          <cell r="T1113">
            <v>0</v>
          </cell>
          <cell r="U1113">
            <v>1366.88</v>
          </cell>
        </row>
        <row r="1114">
          <cell r="A1114" t="str">
            <v>AUG 2014</v>
          </cell>
          <cell r="B1114" t="str">
            <v>KUUM_474</v>
          </cell>
          <cell r="E1114">
            <v>332928</v>
          </cell>
          <cell r="M1114">
            <v>404.09</v>
          </cell>
          <cell r="Q1114">
            <v>0</v>
          </cell>
          <cell r="R1114">
            <v>93580.55</v>
          </cell>
          <cell r="S1114">
            <v>90202.37</v>
          </cell>
          <cell r="T1114">
            <v>0</v>
          </cell>
          <cell r="U1114">
            <v>2974.09</v>
          </cell>
        </row>
        <row r="1115">
          <cell r="A1115" t="str">
            <v>AUG 2014</v>
          </cell>
          <cell r="B1115" t="str">
            <v>KUUM_475</v>
          </cell>
          <cell r="E1115">
            <v>63945</v>
          </cell>
          <cell r="M1115">
            <v>82.62</v>
          </cell>
          <cell r="Q1115">
            <v>0</v>
          </cell>
          <cell r="R1115">
            <v>12944.36</v>
          </cell>
          <cell r="S1115">
            <v>12450.14</v>
          </cell>
          <cell r="T1115">
            <v>0</v>
          </cell>
          <cell r="U1115">
            <v>411.6</v>
          </cell>
        </row>
        <row r="1116">
          <cell r="A1116" t="str">
            <v>AUG 2014</v>
          </cell>
          <cell r="B1116" t="str">
            <v>KUUM_476</v>
          </cell>
          <cell r="E1116">
            <v>100028</v>
          </cell>
          <cell r="M1116">
            <v>254.58</v>
          </cell>
          <cell r="Q1116">
            <v>0</v>
          </cell>
          <cell r="R1116">
            <v>79819.289999999994</v>
          </cell>
          <cell r="S1116">
            <v>76992.78</v>
          </cell>
          <cell r="T1116">
            <v>0</v>
          </cell>
          <cell r="U1116">
            <v>2571.9299999999998</v>
          </cell>
        </row>
        <row r="1117">
          <cell r="A1117" t="str">
            <v>AUG 2014</v>
          </cell>
          <cell r="B1117" t="str">
            <v>KUUM_477</v>
          </cell>
          <cell r="E1117">
            <v>32965</v>
          </cell>
          <cell r="M1117">
            <v>30.54</v>
          </cell>
          <cell r="Q1117">
            <v>0</v>
          </cell>
          <cell r="R1117">
            <v>22862.15</v>
          </cell>
          <cell r="S1117">
            <v>22107.279999999999</v>
          </cell>
          <cell r="T1117">
            <v>0</v>
          </cell>
          <cell r="U1117">
            <v>724.33</v>
          </cell>
        </row>
        <row r="1118">
          <cell r="A1118" t="str">
            <v>AUG 2014</v>
          </cell>
          <cell r="B1118" t="str">
            <v>KUUM_478</v>
          </cell>
          <cell r="E1118">
            <v>91132</v>
          </cell>
          <cell r="M1118">
            <v>56.29</v>
          </cell>
          <cell r="Q1118">
            <v>0</v>
          </cell>
          <cell r="R1118">
            <v>39082.46</v>
          </cell>
          <cell r="S1118">
            <v>37792.03</v>
          </cell>
          <cell r="T1118">
            <v>0</v>
          </cell>
          <cell r="U1118">
            <v>1234.1400000000001</v>
          </cell>
        </row>
        <row r="1119">
          <cell r="A1119" t="str">
            <v>AUG 2014</v>
          </cell>
          <cell r="B1119" t="str">
            <v>KUUM_479</v>
          </cell>
          <cell r="E1119">
            <v>120856</v>
          </cell>
          <cell r="M1119">
            <v>-45.72</v>
          </cell>
          <cell r="Q1119">
            <v>0</v>
          </cell>
          <cell r="R1119">
            <v>32394.46</v>
          </cell>
          <cell r="S1119">
            <v>31428.23</v>
          </cell>
          <cell r="T1119">
            <v>0</v>
          </cell>
          <cell r="U1119">
            <v>1011.95</v>
          </cell>
        </row>
        <row r="1120">
          <cell r="A1120" t="str">
            <v>AUG 2014</v>
          </cell>
          <cell r="B1120" t="str">
            <v>KUUM_487</v>
          </cell>
          <cell r="E1120">
            <v>350948</v>
          </cell>
          <cell r="M1120">
            <v>-243.49</v>
          </cell>
          <cell r="Q1120">
            <v>0</v>
          </cell>
          <cell r="R1120">
            <v>102575.93</v>
          </cell>
          <cell r="S1120">
            <v>99611.26</v>
          </cell>
          <cell r="T1120">
            <v>0</v>
          </cell>
          <cell r="U1120">
            <v>3208.16</v>
          </cell>
        </row>
        <row r="1121">
          <cell r="A1121" t="str">
            <v>AUG 2014</v>
          </cell>
          <cell r="B1121" t="str">
            <v>KUUM_488</v>
          </cell>
          <cell r="E1121">
            <v>432341</v>
          </cell>
          <cell r="M1121">
            <v>-285.77999999999997</v>
          </cell>
          <cell r="Q1121">
            <v>0</v>
          </cell>
          <cell r="R1121">
            <v>92438.44</v>
          </cell>
          <cell r="S1121">
            <v>89836.29</v>
          </cell>
          <cell r="T1121">
            <v>0</v>
          </cell>
          <cell r="U1121">
            <v>2887.93</v>
          </cell>
        </row>
        <row r="1122">
          <cell r="A1122" t="str">
            <v>AUG 2014</v>
          </cell>
          <cell r="B1122" t="str">
            <v>KUUM_489</v>
          </cell>
          <cell r="E1122">
            <v>1062610</v>
          </cell>
          <cell r="M1122">
            <v>-632.91999999999996</v>
          </cell>
          <cell r="Q1122">
            <v>0</v>
          </cell>
          <cell r="R1122">
            <v>166529.37</v>
          </cell>
          <cell r="S1122">
            <v>161978.04999999999</v>
          </cell>
          <cell r="T1122">
            <v>0</v>
          </cell>
          <cell r="U1122">
            <v>5184.24</v>
          </cell>
        </row>
        <row r="1123">
          <cell r="A1123" t="str">
            <v>AUG 2014</v>
          </cell>
          <cell r="B1123" t="str">
            <v>KUUM_490</v>
          </cell>
          <cell r="E1123">
            <v>2533</v>
          </cell>
          <cell r="M1123">
            <v>-1.8</v>
          </cell>
          <cell r="Q1123">
            <v>0</v>
          </cell>
          <cell r="R1123">
            <v>960.42</v>
          </cell>
          <cell r="S1123">
            <v>932.33</v>
          </cell>
          <cell r="T1123">
            <v>0</v>
          </cell>
          <cell r="U1123">
            <v>29.89</v>
          </cell>
        </row>
        <row r="1124">
          <cell r="A1124" t="str">
            <v>AUG 2014</v>
          </cell>
          <cell r="B1124" t="str">
            <v>KUUM_491</v>
          </cell>
          <cell r="E1124">
            <v>30179</v>
          </cell>
          <cell r="M1124">
            <v>-22.3</v>
          </cell>
          <cell r="Q1124">
            <v>0</v>
          </cell>
          <cell r="R1124">
            <v>7194.36</v>
          </cell>
          <cell r="S1124">
            <v>6992.84</v>
          </cell>
          <cell r="T1124">
            <v>0</v>
          </cell>
          <cell r="U1124">
            <v>223.82</v>
          </cell>
        </row>
        <row r="1125">
          <cell r="A1125" t="str">
            <v>AUG 2014</v>
          </cell>
          <cell r="B1125" t="str">
            <v>KUUM_492</v>
          </cell>
          <cell r="E1125">
            <v>45</v>
          </cell>
          <cell r="M1125">
            <v>-0.03</v>
          </cell>
          <cell r="R1125">
            <v>31.7</v>
          </cell>
          <cell r="S1125">
            <v>30.74</v>
          </cell>
          <cell r="T1125">
            <v>0</v>
          </cell>
          <cell r="U1125">
            <v>0.99</v>
          </cell>
        </row>
        <row r="1126">
          <cell r="A1126" t="str">
            <v>AUG 2014</v>
          </cell>
          <cell r="B1126" t="str">
            <v>KUUM_493</v>
          </cell>
          <cell r="E1126">
            <v>12493</v>
          </cell>
          <cell r="M1126">
            <v>-9.6300000000000008</v>
          </cell>
          <cell r="Q1126">
            <v>0</v>
          </cell>
          <cell r="R1126">
            <v>2018.26</v>
          </cell>
          <cell r="S1126">
            <v>1965.11</v>
          </cell>
          <cell r="T1126">
            <v>0</v>
          </cell>
          <cell r="U1126">
            <v>62.78</v>
          </cell>
        </row>
        <row r="1127">
          <cell r="A1127" t="str">
            <v>AUG 2014</v>
          </cell>
          <cell r="B1127" t="str">
            <v>KUUM_494</v>
          </cell>
          <cell r="E1127">
            <v>7557</v>
          </cell>
          <cell r="M1127">
            <v>-1.61</v>
          </cell>
          <cell r="Q1127">
            <v>0</v>
          </cell>
          <cell r="R1127">
            <v>5328.51</v>
          </cell>
          <cell r="S1127">
            <v>5163.34</v>
          </cell>
          <cell r="T1127">
            <v>0</v>
          </cell>
          <cell r="U1127">
            <v>166.78</v>
          </cell>
        </row>
        <row r="1128">
          <cell r="A1128" t="str">
            <v>AUG 2014</v>
          </cell>
          <cell r="B1128" t="str">
            <v>KUUM_495</v>
          </cell>
          <cell r="E1128">
            <v>60888</v>
          </cell>
          <cell r="M1128">
            <v>-46.28</v>
          </cell>
          <cell r="Q1128">
            <v>0</v>
          </cell>
          <cell r="R1128">
            <v>22909.71</v>
          </cell>
          <cell r="S1128">
            <v>22243.39</v>
          </cell>
          <cell r="T1128">
            <v>0</v>
          </cell>
          <cell r="U1128">
            <v>712.6</v>
          </cell>
        </row>
        <row r="1129">
          <cell r="A1129" t="str">
            <v>AUG 2014</v>
          </cell>
          <cell r="B1129" t="str">
            <v>KUUM_496</v>
          </cell>
          <cell r="E1129">
            <v>44986</v>
          </cell>
          <cell r="M1129">
            <v>-26</v>
          </cell>
          <cell r="Q1129">
            <v>0</v>
          </cell>
          <cell r="R1129">
            <v>9286.2999999999993</v>
          </cell>
          <cell r="S1129">
            <v>9022.86</v>
          </cell>
          <cell r="T1129">
            <v>0</v>
          </cell>
          <cell r="U1129">
            <v>289.44</v>
          </cell>
        </row>
        <row r="1130">
          <cell r="A1130" t="str">
            <v>AUG 2014</v>
          </cell>
          <cell r="B1130" t="str">
            <v>KUUM_497</v>
          </cell>
          <cell r="E1130">
            <v>478</v>
          </cell>
          <cell r="M1130">
            <v>-0.37</v>
          </cell>
          <cell r="R1130">
            <v>237.26</v>
          </cell>
          <cell r="S1130">
            <v>230.25</v>
          </cell>
          <cell r="T1130">
            <v>0</v>
          </cell>
          <cell r="U1130">
            <v>7.38</v>
          </cell>
        </row>
        <row r="1131">
          <cell r="A1131" t="str">
            <v>AUG 2014</v>
          </cell>
          <cell r="B1131" t="str">
            <v>KUUM_498</v>
          </cell>
          <cell r="E1131">
            <v>1698</v>
          </cell>
          <cell r="M1131">
            <v>-1.33</v>
          </cell>
          <cell r="R1131">
            <v>474.12</v>
          </cell>
          <cell r="S1131">
            <v>460.72</v>
          </cell>
          <cell r="T1131">
            <v>0</v>
          </cell>
          <cell r="U1131">
            <v>14.73</v>
          </cell>
        </row>
        <row r="1132">
          <cell r="A1132" t="str">
            <v>AUG 2014</v>
          </cell>
          <cell r="B1132" t="str">
            <v>KUUM_499</v>
          </cell>
          <cell r="E1132">
            <v>3854</v>
          </cell>
          <cell r="M1132">
            <v>-2.56</v>
          </cell>
          <cell r="R1132">
            <v>708.03</v>
          </cell>
          <cell r="S1132">
            <v>688.54</v>
          </cell>
          <cell r="T1132">
            <v>0</v>
          </cell>
          <cell r="U1132">
            <v>22.05</v>
          </cell>
        </row>
        <row r="1133">
          <cell r="A1133" t="str">
            <v>AUG 2014</v>
          </cell>
          <cell r="B1133" t="str">
            <v>KUUM_820</v>
          </cell>
          <cell r="R1133">
            <v>114.52</v>
          </cell>
          <cell r="S1133">
            <v>0</v>
          </cell>
          <cell r="T1133">
            <v>0</v>
          </cell>
          <cell r="U1133">
            <v>0</v>
          </cell>
        </row>
        <row r="1134">
          <cell r="A1134" t="str">
            <v>AUG 2014</v>
          </cell>
          <cell r="B1134" t="str">
            <v>KUUM_825</v>
          </cell>
          <cell r="R1134">
            <v>86916.54</v>
          </cell>
          <cell r="S1134">
            <v>0</v>
          </cell>
          <cell r="T1134">
            <v>0</v>
          </cell>
          <cell r="U1134">
            <v>0</v>
          </cell>
        </row>
        <row r="1135">
          <cell r="A1135" t="str">
            <v>AUG 2014</v>
          </cell>
          <cell r="B1135" t="str">
            <v>KUUM_826</v>
          </cell>
          <cell r="R1135">
            <v>9348.34</v>
          </cell>
          <cell r="S1135">
            <v>0</v>
          </cell>
          <cell r="T1135">
            <v>0</v>
          </cell>
          <cell r="U1135">
            <v>0</v>
          </cell>
        </row>
        <row r="1136">
          <cell r="A1136" t="str">
            <v>AUG 2014</v>
          </cell>
          <cell r="B1136" t="str">
            <v>KUUM_827</v>
          </cell>
          <cell r="F1136">
            <v>36126.76</v>
          </cell>
          <cell r="R1136">
            <v>36126.76</v>
          </cell>
          <cell r="S1136">
            <v>0</v>
          </cell>
          <cell r="T1136">
            <v>0</v>
          </cell>
          <cell r="U1136">
            <v>0</v>
          </cell>
        </row>
        <row r="1137">
          <cell r="A1137" t="str">
            <v>AUG 2014</v>
          </cell>
          <cell r="B1137" t="str">
            <v>KUUM_828</v>
          </cell>
          <cell r="R1137">
            <v>32036.639999999999</v>
          </cell>
          <cell r="S1137">
            <v>0</v>
          </cell>
          <cell r="T1137">
            <v>0</v>
          </cell>
          <cell r="U1137">
            <v>0</v>
          </cell>
        </row>
        <row r="1138">
          <cell r="A1138" t="str">
            <v>AUG 2014</v>
          </cell>
          <cell r="B1138" t="str">
            <v>KUUM_829</v>
          </cell>
          <cell r="R1138">
            <v>0</v>
          </cell>
          <cell r="S1138">
            <v>0</v>
          </cell>
          <cell r="T1138">
            <v>0</v>
          </cell>
          <cell r="U1138">
            <v>0</v>
          </cell>
        </row>
        <row r="1139">
          <cell r="A1139" t="str">
            <v>AUG 2014</v>
          </cell>
          <cell r="B1139" t="str">
            <v>Result</v>
          </cell>
          <cell r="E1139">
            <v>1637107293</v>
          </cell>
          <cell r="F1139">
            <v>7190813.9900000002</v>
          </cell>
          <cell r="L1139">
            <v>2694657.54</v>
          </cell>
          <cell r="M1139">
            <v>-529505.06999999995</v>
          </cell>
          <cell r="P1139">
            <v>-1097418.3999999999</v>
          </cell>
          <cell r="Q1139">
            <v>0</v>
          </cell>
          <cell r="R1139">
            <v>127796371.28</v>
          </cell>
          <cell r="S1139">
            <v>88204779.099999994</v>
          </cell>
          <cell r="T1139">
            <v>26931542.109999999</v>
          </cell>
          <cell r="U1139">
            <v>3770710.75</v>
          </cell>
        </row>
        <row r="1140">
          <cell r="A1140" t="str">
            <v>SEP 2014</v>
          </cell>
          <cell r="B1140" t="str">
            <v>KTRSE020</v>
          </cell>
          <cell r="S1140">
            <v>0</v>
          </cell>
          <cell r="T1140">
            <v>0</v>
          </cell>
          <cell r="U1140">
            <v>0</v>
          </cell>
        </row>
        <row r="1141">
          <cell r="A1141" t="str">
            <v>SEP 2014</v>
          </cell>
          <cell r="B1141" t="str">
            <v>KTRSE030</v>
          </cell>
          <cell r="S1141">
            <v>0</v>
          </cell>
          <cell r="T1141">
            <v>0</v>
          </cell>
          <cell r="U1141">
            <v>0</v>
          </cell>
        </row>
        <row r="1142">
          <cell r="A1142" t="str">
            <v>SEP 2014</v>
          </cell>
          <cell r="B1142" t="str">
            <v>KTUM_406</v>
          </cell>
          <cell r="S1142">
            <v>0</v>
          </cell>
          <cell r="T1142">
            <v>0</v>
          </cell>
          <cell r="U1142">
            <v>0</v>
          </cell>
        </row>
        <row r="1143">
          <cell r="A1143" t="str">
            <v>SEP 2014</v>
          </cell>
          <cell r="B1143" t="str">
            <v>KTUM_428</v>
          </cell>
          <cell r="S1143">
            <v>0</v>
          </cell>
          <cell r="T1143">
            <v>0</v>
          </cell>
          <cell r="U1143">
            <v>0</v>
          </cell>
        </row>
        <row r="1144">
          <cell r="A1144" t="str">
            <v>SEP 2014</v>
          </cell>
          <cell r="B1144" t="str">
            <v>KUCIE000</v>
          </cell>
          <cell r="S1144">
            <v>0</v>
          </cell>
          <cell r="T1144">
            <v>0</v>
          </cell>
          <cell r="U1144">
            <v>0</v>
          </cell>
        </row>
        <row r="1145">
          <cell r="A1145" t="str">
            <v>SEP 2014</v>
          </cell>
          <cell r="B1145" t="str">
            <v>KUCIE550</v>
          </cell>
          <cell r="E1145">
            <v>131381603</v>
          </cell>
          <cell r="F1145">
            <v>24000</v>
          </cell>
          <cell r="L1145">
            <v>0</v>
          </cell>
          <cell r="M1145">
            <v>-321151</v>
          </cell>
          <cell r="R1145">
            <v>7144619</v>
          </cell>
          <cell r="S1145">
            <v>4774407</v>
          </cell>
          <cell r="T1145">
            <v>2305782</v>
          </cell>
          <cell r="U1145">
            <v>361581</v>
          </cell>
        </row>
        <row r="1146">
          <cell r="A1146" t="str">
            <v>SEP 2014</v>
          </cell>
          <cell r="B1146" t="str">
            <v>KUCIE561</v>
          </cell>
          <cell r="E1146">
            <v>20027433</v>
          </cell>
          <cell r="F1146">
            <v>37230</v>
          </cell>
          <cell r="L1146">
            <v>43682</v>
          </cell>
          <cell r="M1146">
            <v>-48955</v>
          </cell>
          <cell r="R1146">
            <v>1706151</v>
          </cell>
          <cell r="S1146">
            <v>713377</v>
          </cell>
          <cell r="T1146">
            <v>905698</v>
          </cell>
          <cell r="U1146">
            <v>55118</v>
          </cell>
        </row>
        <row r="1147">
          <cell r="A1147" t="str">
            <v>SEP 2014</v>
          </cell>
          <cell r="B1147" t="str">
            <v>KUCIE562</v>
          </cell>
          <cell r="E1147">
            <v>213372347</v>
          </cell>
          <cell r="F1147">
            <v>436050</v>
          </cell>
          <cell r="L1147">
            <v>465389</v>
          </cell>
          <cell r="M1147">
            <v>-521570</v>
          </cell>
          <cell r="R1147">
            <v>19642661</v>
          </cell>
          <cell r="S1147">
            <v>7604590</v>
          </cell>
          <cell r="T1147">
            <v>11070970</v>
          </cell>
          <cell r="U1147">
            <v>587231</v>
          </cell>
        </row>
        <row r="1148">
          <cell r="A1148" t="str">
            <v>SEP 2014</v>
          </cell>
          <cell r="B1148" t="str">
            <v>KUCIE563</v>
          </cell>
          <cell r="E1148">
            <v>261037114</v>
          </cell>
          <cell r="F1148">
            <v>15600</v>
          </cell>
          <cell r="L1148">
            <v>569351</v>
          </cell>
          <cell r="M1148">
            <v>-638083</v>
          </cell>
          <cell r="R1148">
            <v>15001832</v>
          </cell>
          <cell r="S1148">
            <v>9828047</v>
          </cell>
          <cell r="T1148">
            <v>4508505</v>
          </cell>
          <cell r="U1148">
            <v>718411</v>
          </cell>
        </row>
        <row r="1149">
          <cell r="A1149" t="str">
            <v>SEP 2014</v>
          </cell>
          <cell r="B1149" t="str">
            <v>KUCIE566</v>
          </cell>
          <cell r="S1149">
            <v>0</v>
          </cell>
          <cell r="T1149">
            <v>0</v>
          </cell>
          <cell r="U1149">
            <v>0</v>
          </cell>
        </row>
        <row r="1150">
          <cell r="A1150" t="str">
            <v>SEP 2014</v>
          </cell>
          <cell r="B1150" t="str">
            <v>KUCIE568</v>
          </cell>
          <cell r="S1150">
            <v>0</v>
          </cell>
          <cell r="T1150">
            <v>0</v>
          </cell>
          <cell r="U1150">
            <v>0</v>
          </cell>
        </row>
        <row r="1151">
          <cell r="A1151" t="str">
            <v>SEP 2014</v>
          </cell>
          <cell r="B1151" t="str">
            <v>KUCIE571</v>
          </cell>
          <cell r="E1151">
            <v>109759335</v>
          </cell>
          <cell r="F1151">
            <v>53700</v>
          </cell>
          <cell r="L1151">
            <v>239397</v>
          </cell>
          <cell r="M1151">
            <v>-268297</v>
          </cell>
          <cell r="R1151">
            <v>6696673</v>
          </cell>
          <cell r="S1151">
            <v>4132439</v>
          </cell>
          <cell r="T1151">
            <v>2237361</v>
          </cell>
          <cell r="U1151">
            <v>302073</v>
          </cell>
        </row>
        <row r="1152">
          <cell r="A1152" t="str">
            <v>SEP 2014</v>
          </cell>
          <cell r="B1152" t="str">
            <v>KUCIE572</v>
          </cell>
          <cell r="E1152">
            <v>134322230</v>
          </cell>
          <cell r="F1152">
            <v>90200</v>
          </cell>
          <cell r="L1152">
            <v>292972</v>
          </cell>
          <cell r="M1152">
            <v>-328339</v>
          </cell>
          <cell r="R1152">
            <v>8985583</v>
          </cell>
          <cell r="S1152">
            <v>5067978</v>
          </cell>
          <cell r="T1152">
            <v>3493098</v>
          </cell>
          <cell r="U1152">
            <v>369674</v>
          </cell>
        </row>
        <row r="1153">
          <cell r="A1153" t="str">
            <v>SEP 2014</v>
          </cell>
          <cell r="B1153" t="str">
            <v>KUCIE717</v>
          </cell>
          <cell r="S1153">
            <v>0</v>
          </cell>
          <cell r="T1153">
            <v>0</v>
          </cell>
          <cell r="U1153">
            <v>0</v>
          </cell>
        </row>
        <row r="1154">
          <cell r="A1154" t="str">
            <v>SEP 2014</v>
          </cell>
          <cell r="B1154" t="str">
            <v>KUCME000</v>
          </cell>
          <cell r="S1154">
            <v>0</v>
          </cell>
          <cell r="T1154">
            <v>0</v>
          </cell>
          <cell r="U1154">
            <v>0</v>
          </cell>
        </row>
        <row r="1155">
          <cell r="A1155" t="str">
            <v>SEP 2014</v>
          </cell>
          <cell r="B1155" t="str">
            <v>KUCME110</v>
          </cell>
          <cell r="E1155">
            <v>67737296</v>
          </cell>
          <cell r="F1155">
            <v>1268262</v>
          </cell>
          <cell r="L1155">
            <v>147743</v>
          </cell>
          <cell r="M1155">
            <v>-165578</v>
          </cell>
          <cell r="R1155">
            <v>7685615</v>
          </cell>
          <cell r="S1155">
            <v>6248766</v>
          </cell>
          <cell r="T1155">
            <v>0</v>
          </cell>
          <cell r="U1155">
            <v>186423</v>
          </cell>
        </row>
        <row r="1156">
          <cell r="A1156" t="str">
            <v>SEP 2014</v>
          </cell>
          <cell r="B1156" t="str">
            <v>KUCME112</v>
          </cell>
          <cell r="S1156">
            <v>0</v>
          </cell>
          <cell r="T1156">
            <v>0</v>
          </cell>
          <cell r="U1156">
            <v>0</v>
          </cell>
        </row>
        <row r="1157">
          <cell r="A1157" t="str">
            <v>SEP 2014</v>
          </cell>
          <cell r="B1157" t="str">
            <v>KUCME113</v>
          </cell>
          <cell r="E1157">
            <v>98971337</v>
          </cell>
          <cell r="F1157">
            <v>648791</v>
          </cell>
          <cell r="L1157">
            <v>215868</v>
          </cell>
          <cell r="M1157">
            <v>-241927</v>
          </cell>
          <cell r="R1157">
            <v>10025221</v>
          </cell>
          <cell r="S1157">
            <v>9130106</v>
          </cell>
          <cell r="T1157">
            <v>0</v>
          </cell>
          <cell r="U1157">
            <v>272383</v>
          </cell>
        </row>
        <row r="1158">
          <cell r="A1158" t="str">
            <v>SEP 2014</v>
          </cell>
          <cell r="B1158" t="str">
            <v>KUCME220</v>
          </cell>
          <cell r="E1158">
            <v>584367</v>
          </cell>
          <cell r="F1158">
            <v>7440</v>
          </cell>
          <cell r="L1158">
            <v>1275</v>
          </cell>
          <cell r="M1158">
            <v>-1428</v>
          </cell>
          <cell r="R1158">
            <v>52371</v>
          </cell>
          <cell r="S1158">
            <v>43477</v>
          </cell>
          <cell r="T1158">
            <v>0</v>
          </cell>
          <cell r="U1158">
            <v>1608</v>
          </cell>
        </row>
        <row r="1159">
          <cell r="A1159" t="str">
            <v>SEP 2014</v>
          </cell>
          <cell r="B1159" t="str">
            <v>KUCME221</v>
          </cell>
          <cell r="S1159">
            <v>0</v>
          </cell>
          <cell r="T1159">
            <v>0</v>
          </cell>
          <cell r="U1159">
            <v>0</v>
          </cell>
        </row>
        <row r="1160">
          <cell r="A1160" t="str">
            <v>SEP 2014</v>
          </cell>
          <cell r="B1160" t="str">
            <v>KUCME223</v>
          </cell>
          <cell r="S1160">
            <v>0</v>
          </cell>
          <cell r="T1160">
            <v>0</v>
          </cell>
          <cell r="U1160">
            <v>0</v>
          </cell>
        </row>
        <row r="1161">
          <cell r="A1161" t="str">
            <v>SEP 2014</v>
          </cell>
          <cell r="B1161" t="str">
            <v>KUCME224</v>
          </cell>
          <cell r="E1161">
            <v>10830968</v>
          </cell>
          <cell r="F1161">
            <v>9065</v>
          </cell>
          <cell r="L1161">
            <v>23624</v>
          </cell>
          <cell r="M1161">
            <v>-26475</v>
          </cell>
          <cell r="R1161">
            <v>841846</v>
          </cell>
          <cell r="S1161">
            <v>805825</v>
          </cell>
          <cell r="T1161">
            <v>0</v>
          </cell>
          <cell r="U1161">
            <v>29808</v>
          </cell>
        </row>
        <row r="1162">
          <cell r="A1162" t="str">
            <v>SEP 2014</v>
          </cell>
          <cell r="B1162" t="str">
            <v>KUCME225</v>
          </cell>
          <cell r="S1162">
            <v>0</v>
          </cell>
          <cell r="T1162">
            <v>0</v>
          </cell>
          <cell r="U1162">
            <v>0</v>
          </cell>
        </row>
        <row r="1163">
          <cell r="A1163" t="str">
            <v>SEP 2014</v>
          </cell>
          <cell r="B1163" t="str">
            <v>KUCME226</v>
          </cell>
          <cell r="S1163">
            <v>0</v>
          </cell>
          <cell r="T1163">
            <v>0</v>
          </cell>
          <cell r="U1163">
            <v>0</v>
          </cell>
        </row>
        <row r="1164">
          <cell r="A1164" t="str">
            <v>SEP 2014</v>
          </cell>
          <cell r="B1164" t="str">
            <v>KUCME227</v>
          </cell>
          <cell r="S1164">
            <v>0</v>
          </cell>
          <cell r="T1164">
            <v>0</v>
          </cell>
          <cell r="U1164">
            <v>0</v>
          </cell>
        </row>
        <row r="1165">
          <cell r="A1165" t="str">
            <v>SEP 2014</v>
          </cell>
          <cell r="B1165" t="str">
            <v>KUCME290</v>
          </cell>
          <cell r="E1165">
            <v>14365</v>
          </cell>
          <cell r="M1165">
            <v>-35</v>
          </cell>
          <cell r="R1165">
            <v>921</v>
          </cell>
          <cell r="S1165">
            <v>916.48699999999997</v>
          </cell>
          <cell r="T1165">
            <v>0</v>
          </cell>
          <cell r="U1165">
            <v>40</v>
          </cell>
        </row>
        <row r="1166">
          <cell r="A1166" t="str">
            <v>SEP 2014</v>
          </cell>
          <cell r="B1166" t="str">
            <v>KUCME291</v>
          </cell>
          <cell r="S1166">
            <v>0</v>
          </cell>
          <cell r="T1166">
            <v>0</v>
          </cell>
          <cell r="U1166">
            <v>0</v>
          </cell>
        </row>
        <row r="1167">
          <cell r="A1167" t="str">
            <v>SEP 2014</v>
          </cell>
          <cell r="B1167" t="str">
            <v>KUCME295</v>
          </cell>
          <cell r="E1167">
            <v>103686</v>
          </cell>
          <cell r="F1167">
            <v>2427.75</v>
          </cell>
          <cell r="M1167">
            <v>-253</v>
          </cell>
          <cell r="R1167">
            <v>10731.75</v>
          </cell>
          <cell r="S1167">
            <v>8272</v>
          </cell>
          <cell r="T1167">
            <v>0</v>
          </cell>
          <cell r="U1167">
            <v>285</v>
          </cell>
        </row>
        <row r="1168">
          <cell r="A1168" t="str">
            <v>SEP 2014</v>
          </cell>
          <cell r="B1168" t="str">
            <v>KUCME297</v>
          </cell>
          <cell r="S1168">
            <v>0</v>
          </cell>
          <cell r="T1168">
            <v>0</v>
          </cell>
          <cell r="U1168">
            <v>0</v>
          </cell>
        </row>
        <row r="1169">
          <cell r="A1169" t="str">
            <v>SEP 2014</v>
          </cell>
          <cell r="B1169" t="str">
            <v>KUCME705</v>
          </cell>
          <cell r="S1169">
            <v>0</v>
          </cell>
          <cell r="T1169">
            <v>0</v>
          </cell>
          <cell r="U1169">
            <v>0</v>
          </cell>
        </row>
        <row r="1170">
          <cell r="A1170" t="str">
            <v>SEP 2014</v>
          </cell>
          <cell r="B1170" t="str">
            <v>KUCME707</v>
          </cell>
          <cell r="S1170">
            <v>0</v>
          </cell>
          <cell r="T1170">
            <v>0</v>
          </cell>
          <cell r="U1170">
            <v>0</v>
          </cell>
        </row>
        <row r="1171">
          <cell r="A1171" t="str">
            <v>SEP 2014</v>
          </cell>
          <cell r="B1171" t="str">
            <v>KUCME710</v>
          </cell>
          <cell r="S1171">
            <v>0</v>
          </cell>
          <cell r="T1171">
            <v>0</v>
          </cell>
          <cell r="U1171">
            <v>0</v>
          </cell>
        </row>
        <row r="1172">
          <cell r="A1172" t="str">
            <v>SEP 2014</v>
          </cell>
          <cell r="B1172" t="str">
            <v>KUCME713</v>
          </cell>
          <cell r="S1172">
            <v>0</v>
          </cell>
          <cell r="T1172">
            <v>0</v>
          </cell>
          <cell r="U1172">
            <v>0</v>
          </cell>
        </row>
        <row r="1173">
          <cell r="A1173" t="str">
            <v>SEP 2014</v>
          </cell>
          <cell r="B1173" t="str">
            <v>KUCME841</v>
          </cell>
          <cell r="S1173">
            <v>0</v>
          </cell>
          <cell r="T1173">
            <v>0</v>
          </cell>
          <cell r="U1173">
            <v>0</v>
          </cell>
        </row>
        <row r="1174">
          <cell r="A1174" t="str">
            <v>SEP 2014</v>
          </cell>
          <cell r="B1174" t="str">
            <v>KUCSR760</v>
          </cell>
          <cell r="P1174">
            <v>-989829</v>
          </cell>
          <cell r="R1174">
            <v>-989829</v>
          </cell>
          <cell r="S1174">
            <v>0</v>
          </cell>
          <cell r="T1174">
            <v>0</v>
          </cell>
          <cell r="U1174">
            <v>0</v>
          </cell>
        </row>
        <row r="1175">
          <cell r="A1175" t="str">
            <v>SEP 2014</v>
          </cell>
          <cell r="B1175" t="str">
            <v>KUCSR761</v>
          </cell>
          <cell r="S1175">
            <v>0</v>
          </cell>
          <cell r="T1175">
            <v>0</v>
          </cell>
          <cell r="U1175">
            <v>0</v>
          </cell>
        </row>
        <row r="1176">
          <cell r="A1176" t="str">
            <v>SEP 2014</v>
          </cell>
          <cell r="B1176" t="str">
            <v>KUCSR783</v>
          </cell>
          <cell r="S1176">
            <v>0</v>
          </cell>
          <cell r="T1176">
            <v>0</v>
          </cell>
          <cell r="U1176">
            <v>0</v>
          </cell>
        </row>
        <row r="1177">
          <cell r="A1177" t="str">
            <v>SEP 2014</v>
          </cell>
          <cell r="B1177" t="str">
            <v>KUCUE851</v>
          </cell>
          <cell r="S1177">
            <v>0</v>
          </cell>
          <cell r="T1177">
            <v>0</v>
          </cell>
          <cell r="U1177">
            <v>0</v>
          </cell>
        </row>
        <row r="1178">
          <cell r="A1178" t="str">
            <v>SEP 2014</v>
          </cell>
          <cell r="B1178" t="str">
            <v>KUCUE852</v>
          </cell>
          <cell r="S1178">
            <v>0</v>
          </cell>
          <cell r="T1178">
            <v>0</v>
          </cell>
          <cell r="U1178">
            <v>0</v>
          </cell>
        </row>
        <row r="1179">
          <cell r="A1179" t="str">
            <v>SEP 2014</v>
          </cell>
          <cell r="B1179" t="str">
            <v>KUINE730</v>
          </cell>
          <cell r="E1179">
            <v>45641536</v>
          </cell>
          <cell r="F1179">
            <v>750</v>
          </cell>
          <cell r="M1179">
            <v>-111567</v>
          </cell>
          <cell r="R1179">
            <v>2223365</v>
          </cell>
          <cell r="S1179">
            <v>1488370</v>
          </cell>
          <cell r="T1179">
            <v>720199</v>
          </cell>
          <cell r="U1179">
            <v>125612</v>
          </cell>
        </row>
        <row r="1180">
          <cell r="A1180" t="str">
            <v>SEP 2014</v>
          </cell>
          <cell r="B1180" t="str">
            <v>KUMNE902</v>
          </cell>
          <cell r="S1180">
            <v>0</v>
          </cell>
          <cell r="T1180">
            <v>0</v>
          </cell>
          <cell r="U1180">
            <v>0</v>
          </cell>
        </row>
        <row r="1181">
          <cell r="A1181" t="str">
            <v>SEP 2014</v>
          </cell>
          <cell r="B1181" t="str">
            <v>KUMNE903</v>
          </cell>
          <cell r="S1181">
            <v>0</v>
          </cell>
          <cell r="T1181">
            <v>0</v>
          </cell>
          <cell r="U1181">
            <v>0</v>
          </cell>
        </row>
        <row r="1182">
          <cell r="A1182" t="str">
            <v>SEP 2014</v>
          </cell>
          <cell r="B1182" t="str">
            <v>KUMNE934</v>
          </cell>
          <cell r="S1182">
            <v>0</v>
          </cell>
          <cell r="T1182">
            <v>0</v>
          </cell>
          <cell r="U1182">
            <v>0</v>
          </cell>
        </row>
        <row r="1183">
          <cell r="A1183" t="str">
            <v>SEP 2014</v>
          </cell>
          <cell r="B1183" t="str">
            <v>KURSE000</v>
          </cell>
          <cell r="S1183">
            <v>0</v>
          </cell>
          <cell r="T1183">
            <v>0</v>
          </cell>
          <cell r="U1183">
            <v>0</v>
          </cell>
        </row>
        <row r="1184">
          <cell r="A1184" t="str">
            <v>SEP 2014</v>
          </cell>
          <cell r="B1184" t="str">
            <v>KURSE010</v>
          </cell>
          <cell r="E1184">
            <v>515550084</v>
          </cell>
          <cell r="F1184">
            <v>4594535</v>
          </cell>
          <cell r="L1184">
            <v>1124472</v>
          </cell>
          <cell r="M1184">
            <v>-1260217</v>
          </cell>
          <cell r="R1184">
            <v>45801857</v>
          </cell>
          <cell r="S1184">
            <v>39924198</v>
          </cell>
          <cell r="T1184">
            <v>0</v>
          </cell>
          <cell r="U1184">
            <v>1418868</v>
          </cell>
        </row>
        <row r="1185">
          <cell r="A1185" t="str">
            <v>SEP 2014</v>
          </cell>
          <cell r="B1185" t="str">
            <v>KURSE020</v>
          </cell>
          <cell r="S1185">
            <v>0</v>
          </cell>
          <cell r="T1185">
            <v>0</v>
          </cell>
          <cell r="U1185">
            <v>0</v>
          </cell>
        </row>
        <row r="1186">
          <cell r="A1186" t="str">
            <v>SEP 2014</v>
          </cell>
          <cell r="B1186" t="str">
            <v>KURSE025</v>
          </cell>
          <cell r="S1186">
            <v>0</v>
          </cell>
          <cell r="T1186">
            <v>0</v>
          </cell>
          <cell r="U1186">
            <v>0</v>
          </cell>
        </row>
        <row r="1187">
          <cell r="A1187" t="str">
            <v>SEP 2014</v>
          </cell>
          <cell r="B1187" t="str">
            <v>KURSE040</v>
          </cell>
          <cell r="S1187">
            <v>0</v>
          </cell>
          <cell r="T1187">
            <v>0</v>
          </cell>
          <cell r="U1187">
            <v>0</v>
          </cell>
        </row>
        <row r="1188">
          <cell r="A1188" t="str">
            <v>SEP 2014</v>
          </cell>
          <cell r="B1188" t="str">
            <v>KURSE080</v>
          </cell>
          <cell r="S1188">
            <v>0</v>
          </cell>
          <cell r="T1188">
            <v>0</v>
          </cell>
          <cell r="U1188">
            <v>0</v>
          </cell>
        </row>
        <row r="1189">
          <cell r="A1189" t="str">
            <v>SEP 2014</v>
          </cell>
          <cell r="B1189" t="str">
            <v>KURSE715</v>
          </cell>
          <cell r="S1189">
            <v>0</v>
          </cell>
          <cell r="T1189">
            <v>0</v>
          </cell>
          <cell r="U1189">
            <v>0</v>
          </cell>
        </row>
        <row r="1190">
          <cell r="A1190" t="str">
            <v>SEP 2014</v>
          </cell>
          <cell r="B1190" t="str">
            <v>KUUM_000</v>
          </cell>
          <cell r="S1190">
            <v>0</v>
          </cell>
          <cell r="T1190">
            <v>0</v>
          </cell>
          <cell r="U1190">
            <v>0</v>
          </cell>
        </row>
        <row r="1191">
          <cell r="A1191" t="str">
            <v>SEP 2014</v>
          </cell>
          <cell r="B1191" t="str">
            <v>KUUM_360</v>
          </cell>
          <cell r="S1191">
            <v>0</v>
          </cell>
          <cell r="T1191">
            <v>0</v>
          </cell>
          <cell r="U1191">
            <v>0</v>
          </cell>
        </row>
        <row r="1192">
          <cell r="A1192" t="str">
            <v>SEP 2014</v>
          </cell>
          <cell r="B1192" t="str">
            <v>KUUM_361</v>
          </cell>
          <cell r="S1192">
            <v>0</v>
          </cell>
          <cell r="T1192">
            <v>0</v>
          </cell>
          <cell r="U1192">
            <v>0</v>
          </cell>
        </row>
        <row r="1193">
          <cell r="A1193" t="str">
            <v>SEP 2014</v>
          </cell>
          <cell r="B1193" t="str">
            <v>KUUM_362</v>
          </cell>
          <cell r="S1193">
            <v>0</v>
          </cell>
          <cell r="T1193">
            <v>0</v>
          </cell>
          <cell r="U1193">
            <v>0</v>
          </cell>
        </row>
        <row r="1194">
          <cell r="A1194" t="str">
            <v>SEP 2014</v>
          </cell>
          <cell r="B1194" t="str">
            <v>KUUM_363</v>
          </cell>
          <cell r="S1194">
            <v>0</v>
          </cell>
          <cell r="T1194">
            <v>0</v>
          </cell>
          <cell r="U1194">
            <v>0</v>
          </cell>
        </row>
        <row r="1195">
          <cell r="A1195" t="str">
            <v>SEP 2014</v>
          </cell>
          <cell r="B1195" t="str">
            <v>KUUM_364</v>
          </cell>
          <cell r="S1195">
            <v>0</v>
          </cell>
          <cell r="T1195">
            <v>0</v>
          </cell>
          <cell r="U1195">
            <v>0</v>
          </cell>
        </row>
        <row r="1196">
          <cell r="A1196" t="str">
            <v>SEP 2014</v>
          </cell>
          <cell r="B1196" t="str">
            <v>KUUM_365</v>
          </cell>
          <cell r="S1196">
            <v>0</v>
          </cell>
          <cell r="T1196">
            <v>0</v>
          </cell>
          <cell r="U1196">
            <v>0</v>
          </cell>
        </row>
        <row r="1197">
          <cell r="A1197" t="str">
            <v>SEP 2014</v>
          </cell>
          <cell r="B1197" t="str">
            <v>KUUM_366</v>
          </cell>
          <cell r="S1197">
            <v>0</v>
          </cell>
          <cell r="T1197">
            <v>0</v>
          </cell>
          <cell r="U1197">
            <v>0</v>
          </cell>
        </row>
        <row r="1198">
          <cell r="A1198" t="str">
            <v>SEP 2014</v>
          </cell>
          <cell r="B1198" t="str">
            <v>KUUM_367</v>
          </cell>
          <cell r="S1198">
            <v>0</v>
          </cell>
          <cell r="T1198">
            <v>0</v>
          </cell>
          <cell r="U1198">
            <v>0</v>
          </cell>
        </row>
        <row r="1199">
          <cell r="A1199" t="str">
            <v>SEP 2014</v>
          </cell>
          <cell r="B1199" t="str">
            <v>KUUM_368</v>
          </cell>
          <cell r="S1199">
            <v>0</v>
          </cell>
          <cell r="T1199">
            <v>0</v>
          </cell>
          <cell r="U1199">
            <v>0</v>
          </cell>
        </row>
        <row r="1200">
          <cell r="A1200" t="str">
            <v>SEP 2014</v>
          </cell>
          <cell r="B1200" t="str">
            <v>KUUM_370</v>
          </cell>
          <cell r="S1200">
            <v>0</v>
          </cell>
          <cell r="T1200">
            <v>0</v>
          </cell>
          <cell r="U1200">
            <v>0</v>
          </cell>
        </row>
        <row r="1201">
          <cell r="A1201" t="str">
            <v>SEP 2014</v>
          </cell>
          <cell r="B1201" t="str">
            <v>KUUM_372</v>
          </cell>
          <cell r="S1201">
            <v>0</v>
          </cell>
          <cell r="T1201">
            <v>0</v>
          </cell>
          <cell r="U1201">
            <v>0</v>
          </cell>
        </row>
        <row r="1202">
          <cell r="A1202" t="str">
            <v>SEP 2014</v>
          </cell>
          <cell r="B1202" t="str">
            <v>KUUM_373</v>
          </cell>
          <cell r="S1202">
            <v>0</v>
          </cell>
          <cell r="T1202">
            <v>0</v>
          </cell>
          <cell r="U1202">
            <v>0</v>
          </cell>
        </row>
        <row r="1203">
          <cell r="A1203" t="str">
            <v>SEP 2014</v>
          </cell>
          <cell r="B1203" t="str">
            <v>KUUM_374</v>
          </cell>
          <cell r="S1203">
            <v>0</v>
          </cell>
          <cell r="T1203">
            <v>0</v>
          </cell>
          <cell r="U1203">
            <v>0</v>
          </cell>
        </row>
        <row r="1204">
          <cell r="A1204" t="str">
            <v>SEP 2014</v>
          </cell>
          <cell r="B1204" t="str">
            <v>KUUM_375</v>
          </cell>
          <cell r="S1204">
            <v>0</v>
          </cell>
          <cell r="T1204">
            <v>0</v>
          </cell>
          <cell r="U1204">
            <v>0</v>
          </cell>
        </row>
        <row r="1205">
          <cell r="A1205" t="str">
            <v>SEP 2014</v>
          </cell>
          <cell r="B1205" t="str">
            <v>KUUM_376</v>
          </cell>
          <cell r="S1205">
            <v>0</v>
          </cell>
          <cell r="T1205">
            <v>0</v>
          </cell>
          <cell r="U1205">
            <v>0</v>
          </cell>
        </row>
        <row r="1206">
          <cell r="A1206" t="str">
            <v>SEP 2014</v>
          </cell>
          <cell r="B1206" t="str">
            <v>KUUM_377</v>
          </cell>
          <cell r="S1206">
            <v>0</v>
          </cell>
          <cell r="T1206">
            <v>0</v>
          </cell>
          <cell r="U1206">
            <v>0</v>
          </cell>
        </row>
        <row r="1207">
          <cell r="A1207" t="str">
            <v>SEP 2014</v>
          </cell>
          <cell r="B1207" t="str">
            <v>KUUM_378</v>
          </cell>
          <cell r="S1207">
            <v>0</v>
          </cell>
          <cell r="T1207">
            <v>0</v>
          </cell>
          <cell r="U1207">
            <v>0</v>
          </cell>
        </row>
        <row r="1208">
          <cell r="A1208" t="str">
            <v>SEP 2014</v>
          </cell>
          <cell r="B1208" t="str">
            <v>KUUM_401</v>
          </cell>
          <cell r="S1208">
            <v>0</v>
          </cell>
          <cell r="T1208">
            <v>0</v>
          </cell>
          <cell r="U1208">
            <v>0</v>
          </cell>
        </row>
        <row r="1209">
          <cell r="A1209" t="str">
            <v>SEP 2014</v>
          </cell>
          <cell r="B1209" t="str">
            <v>KUUM_404</v>
          </cell>
          <cell r="S1209">
            <v>0</v>
          </cell>
          <cell r="T1209">
            <v>0</v>
          </cell>
          <cell r="U1209">
            <v>0</v>
          </cell>
        </row>
        <row r="1210">
          <cell r="A1210" t="str">
            <v>SEP 2014</v>
          </cell>
          <cell r="B1210" t="str">
            <v>KUUM_409</v>
          </cell>
          <cell r="S1210">
            <v>0</v>
          </cell>
          <cell r="T1210">
            <v>0</v>
          </cell>
          <cell r="U1210">
            <v>0</v>
          </cell>
        </row>
        <row r="1211">
          <cell r="A1211" t="str">
            <v>SEP 2014</v>
          </cell>
          <cell r="B1211" t="str">
            <v>KUUM_410</v>
          </cell>
          <cell r="S1211">
            <v>0</v>
          </cell>
          <cell r="T1211">
            <v>0</v>
          </cell>
          <cell r="U1211">
            <v>0</v>
          </cell>
        </row>
        <row r="1212">
          <cell r="A1212" t="str">
            <v>SEP 2014</v>
          </cell>
          <cell r="B1212" t="str">
            <v>KUUM_411</v>
          </cell>
          <cell r="S1212">
            <v>0</v>
          </cell>
          <cell r="T1212">
            <v>0</v>
          </cell>
          <cell r="U1212">
            <v>0</v>
          </cell>
        </row>
        <row r="1213">
          <cell r="A1213" t="str">
            <v>SEP 2014</v>
          </cell>
          <cell r="B1213" t="str">
            <v>KUUM_412</v>
          </cell>
          <cell r="S1213">
            <v>0</v>
          </cell>
          <cell r="T1213">
            <v>0</v>
          </cell>
          <cell r="U1213">
            <v>0</v>
          </cell>
        </row>
        <row r="1214">
          <cell r="A1214" t="str">
            <v>SEP 2014</v>
          </cell>
          <cell r="B1214" t="str">
            <v>KUUM_413</v>
          </cell>
          <cell r="S1214">
            <v>0</v>
          </cell>
          <cell r="T1214">
            <v>0</v>
          </cell>
          <cell r="U1214">
            <v>0</v>
          </cell>
        </row>
        <row r="1215">
          <cell r="A1215" t="str">
            <v>SEP 2014</v>
          </cell>
          <cell r="B1215" t="str">
            <v>KUUM_414</v>
          </cell>
          <cell r="S1215">
            <v>0</v>
          </cell>
          <cell r="T1215">
            <v>0</v>
          </cell>
          <cell r="U1215">
            <v>0</v>
          </cell>
        </row>
        <row r="1216">
          <cell r="A1216" t="str">
            <v>SEP 2014</v>
          </cell>
          <cell r="B1216" t="str">
            <v>KUUM_415</v>
          </cell>
          <cell r="S1216">
            <v>0</v>
          </cell>
          <cell r="T1216">
            <v>0</v>
          </cell>
          <cell r="U1216">
            <v>0</v>
          </cell>
        </row>
        <row r="1217">
          <cell r="A1217" t="str">
            <v>SEP 2014</v>
          </cell>
          <cell r="B1217" t="str">
            <v>KUUM_420</v>
          </cell>
          <cell r="S1217">
            <v>0</v>
          </cell>
          <cell r="T1217">
            <v>0</v>
          </cell>
          <cell r="U1217">
            <v>0</v>
          </cell>
        </row>
        <row r="1218">
          <cell r="A1218" t="str">
            <v>SEP 2014</v>
          </cell>
          <cell r="B1218" t="str">
            <v>KUUM_421</v>
          </cell>
          <cell r="S1218">
            <v>0</v>
          </cell>
          <cell r="T1218">
            <v>0</v>
          </cell>
          <cell r="U1218">
            <v>0</v>
          </cell>
        </row>
        <row r="1219">
          <cell r="A1219" t="str">
            <v>SEP 2014</v>
          </cell>
          <cell r="B1219" t="str">
            <v>KUUM_422</v>
          </cell>
          <cell r="S1219">
            <v>0</v>
          </cell>
          <cell r="T1219">
            <v>0</v>
          </cell>
          <cell r="U1219">
            <v>0</v>
          </cell>
        </row>
        <row r="1220">
          <cell r="A1220" t="str">
            <v>SEP 2014</v>
          </cell>
          <cell r="B1220" t="str">
            <v>KUUM_424</v>
          </cell>
          <cell r="S1220">
            <v>0</v>
          </cell>
          <cell r="T1220">
            <v>0</v>
          </cell>
          <cell r="U1220">
            <v>0</v>
          </cell>
        </row>
        <row r="1221">
          <cell r="A1221" t="str">
            <v>SEP 2014</v>
          </cell>
          <cell r="B1221" t="str">
            <v>KUUM_425</v>
          </cell>
          <cell r="S1221">
            <v>0</v>
          </cell>
          <cell r="T1221">
            <v>0</v>
          </cell>
          <cell r="U1221">
            <v>0</v>
          </cell>
        </row>
        <row r="1222">
          <cell r="A1222" t="str">
            <v>SEP 2014</v>
          </cell>
          <cell r="B1222" t="str">
            <v>KUUM_426</v>
          </cell>
          <cell r="S1222">
            <v>0</v>
          </cell>
          <cell r="T1222">
            <v>0</v>
          </cell>
          <cell r="U1222">
            <v>0</v>
          </cell>
        </row>
        <row r="1223">
          <cell r="A1223" t="str">
            <v>SEP 2014</v>
          </cell>
          <cell r="B1223" t="str">
            <v>KUUM_428</v>
          </cell>
          <cell r="S1223">
            <v>0</v>
          </cell>
          <cell r="T1223">
            <v>0</v>
          </cell>
          <cell r="U1223">
            <v>0</v>
          </cell>
        </row>
        <row r="1224">
          <cell r="A1224" t="str">
            <v>SEP 2014</v>
          </cell>
          <cell r="B1224" t="str">
            <v>KUUM_430</v>
          </cell>
          <cell r="S1224">
            <v>0</v>
          </cell>
          <cell r="T1224">
            <v>0</v>
          </cell>
          <cell r="U1224">
            <v>0</v>
          </cell>
        </row>
        <row r="1225">
          <cell r="A1225" t="str">
            <v>SEP 2014</v>
          </cell>
          <cell r="B1225" t="str">
            <v>KUUM_434</v>
          </cell>
          <cell r="S1225">
            <v>0</v>
          </cell>
          <cell r="T1225">
            <v>0</v>
          </cell>
          <cell r="U1225">
            <v>0</v>
          </cell>
        </row>
        <row r="1226">
          <cell r="A1226" t="str">
            <v>SEP 2014</v>
          </cell>
          <cell r="B1226" t="str">
            <v>KUUM_440</v>
          </cell>
          <cell r="S1226">
            <v>0</v>
          </cell>
          <cell r="T1226">
            <v>0</v>
          </cell>
          <cell r="U1226">
            <v>0</v>
          </cell>
        </row>
        <row r="1227">
          <cell r="A1227" t="str">
            <v>SEP 2014</v>
          </cell>
          <cell r="B1227" t="str">
            <v>KUUM_446</v>
          </cell>
          <cell r="S1227">
            <v>0</v>
          </cell>
          <cell r="T1227">
            <v>0</v>
          </cell>
          <cell r="U1227">
            <v>0</v>
          </cell>
        </row>
        <row r="1228">
          <cell r="A1228" t="str">
            <v>SEP 2014</v>
          </cell>
          <cell r="B1228" t="str">
            <v>KUUM_447</v>
          </cell>
          <cell r="S1228">
            <v>0</v>
          </cell>
          <cell r="T1228">
            <v>0</v>
          </cell>
          <cell r="U1228">
            <v>0</v>
          </cell>
        </row>
        <row r="1229">
          <cell r="A1229" t="str">
            <v>SEP 2014</v>
          </cell>
          <cell r="B1229" t="str">
            <v>KUUM_448</v>
          </cell>
          <cell r="S1229">
            <v>0</v>
          </cell>
          <cell r="T1229">
            <v>0</v>
          </cell>
          <cell r="U1229">
            <v>0</v>
          </cell>
        </row>
        <row r="1230">
          <cell r="A1230" t="str">
            <v>SEP 2014</v>
          </cell>
          <cell r="B1230" t="str">
            <v>KUUM_450</v>
          </cell>
          <cell r="S1230">
            <v>0</v>
          </cell>
          <cell r="T1230">
            <v>0</v>
          </cell>
          <cell r="U1230">
            <v>0</v>
          </cell>
        </row>
        <row r="1231">
          <cell r="A1231" t="str">
            <v>SEP 2014</v>
          </cell>
          <cell r="B1231" t="str">
            <v>KUUM_451</v>
          </cell>
          <cell r="S1231">
            <v>0</v>
          </cell>
          <cell r="T1231">
            <v>0</v>
          </cell>
          <cell r="U1231">
            <v>0</v>
          </cell>
        </row>
        <row r="1232">
          <cell r="A1232" t="str">
            <v>SEP 2014</v>
          </cell>
          <cell r="B1232" t="str">
            <v>KUUM_452</v>
          </cell>
          <cell r="S1232">
            <v>0</v>
          </cell>
          <cell r="T1232">
            <v>0</v>
          </cell>
          <cell r="U1232">
            <v>0</v>
          </cell>
        </row>
        <row r="1233">
          <cell r="A1233" t="str">
            <v>SEP 2014</v>
          </cell>
          <cell r="B1233" t="str">
            <v>KUUM_454</v>
          </cell>
          <cell r="S1233">
            <v>0</v>
          </cell>
          <cell r="T1233">
            <v>0</v>
          </cell>
          <cell r="U1233">
            <v>0</v>
          </cell>
        </row>
        <row r="1234">
          <cell r="A1234" t="str">
            <v>SEP 2014</v>
          </cell>
          <cell r="B1234" t="str">
            <v>KUUM_455</v>
          </cell>
          <cell r="S1234">
            <v>0</v>
          </cell>
          <cell r="T1234">
            <v>0</v>
          </cell>
          <cell r="U1234">
            <v>0</v>
          </cell>
        </row>
        <row r="1235">
          <cell r="A1235" t="str">
            <v>SEP 2014</v>
          </cell>
          <cell r="B1235" t="str">
            <v>KUUM_456</v>
          </cell>
          <cell r="S1235">
            <v>0</v>
          </cell>
          <cell r="T1235">
            <v>0</v>
          </cell>
          <cell r="U1235">
            <v>0</v>
          </cell>
        </row>
        <row r="1236">
          <cell r="A1236" t="str">
            <v>SEP 2014</v>
          </cell>
          <cell r="B1236" t="str">
            <v>KUUM_457</v>
          </cell>
          <cell r="S1236">
            <v>0</v>
          </cell>
          <cell r="T1236">
            <v>0</v>
          </cell>
          <cell r="U1236">
            <v>0</v>
          </cell>
        </row>
        <row r="1237">
          <cell r="A1237" t="str">
            <v>SEP 2014</v>
          </cell>
          <cell r="B1237" t="str">
            <v>KUUM_458</v>
          </cell>
          <cell r="S1237">
            <v>0</v>
          </cell>
          <cell r="T1237">
            <v>0</v>
          </cell>
          <cell r="U1237">
            <v>0</v>
          </cell>
        </row>
        <row r="1238">
          <cell r="A1238" t="str">
            <v>SEP 2014</v>
          </cell>
          <cell r="B1238" t="str">
            <v>KUUM_459</v>
          </cell>
          <cell r="S1238">
            <v>0</v>
          </cell>
          <cell r="T1238">
            <v>0</v>
          </cell>
          <cell r="U1238">
            <v>0</v>
          </cell>
        </row>
        <row r="1239">
          <cell r="A1239" t="str">
            <v>SEP 2014</v>
          </cell>
          <cell r="B1239" t="str">
            <v>KUUM_460</v>
          </cell>
          <cell r="S1239">
            <v>0</v>
          </cell>
          <cell r="T1239">
            <v>0</v>
          </cell>
          <cell r="U1239">
            <v>0</v>
          </cell>
        </row>
        <row r="1240">
          <cell r="A1240" t="str">
            <v>SEP 2014</v>
          </cell>
          <cell r="B1240" t="str">
            <v>KUUM_461</v>
          </cell>
          <cell r="S1240">
            <v>0</v>
          </cell>
          <cell r="T1240">
            <v>0</v>
          </cell>
          <cell r="U1240">
            <v>0</v>
          </cell>
        </row>
        <row r="1241">
          <cell r="A1241" t="str">
            <v>SEP 2014</v>
          </cell>
          <cell r="B1241" t="str">
            <v>KUUM_462</v>
          </cell>
          <cell r="S1241">
            <v>0</v>
          </cell>
          <cell r="T1241">
            <v>0</v>
          </cell>
          <cell r="U1241">
            <v>0</v>
          </cell>
        </row>
        <row r="1242">
          <cell r="A1242" t="str">
            <v>SEP 2014</v>
          </cell>
          <cell r="B1242" t="str">
            <v>KUUM_463</v>
          </cell>
          <cell r="S1242">
            <v>0</v>
          </cell>
          <cell r="T1242">
            <v>0</v>
          </cell>
          <cell r="U1242">
            <v>0</v>
          </cell>
        </row>
        <row r="1243">
          <cell r="A1243" t="str">
            <v>SEP 2014</v>
          </cell>
          <cell r="B1243" t="str">
            <v>KUUM_464</v>
          </cell>
          <cell r="S1243">
            <v>0</v>
          </cell>
          <cell r="T1243">
            <v>0</v>
          </cell>
          <cell r="U1243">
            <v>0</v>
          </cell>
        </row>
        <row r="1244">
          <cell r="A1244" t="str">
            <v>SEP 2014</v>
          </cell>
          <cell r="B1244" t="str">
            <v>KUUM_465</v>
          </cell>
          <cell r="S1244">
            <v>0</v>
          </cell>
          <cell r="T1244">
            <v>0</v>
          </cell>
          <cell r="U1244">
            <v>0</v>
          </cell>
        </row>
        <row r="1245">
          <cell r="A1245" t="str">
            <v>SEP 2014</v>
          </cell>
          <cell r="B1245" t="str">
            <v>KUUM_465CU</v>
          </cell>
          <cell r="S1245">
            <v>0</v>
          </cell>
          <cell r="T1245">
            <v>0</v>
          </cell>
          <cell r="U1245">
            <v>0</v>
          </cell>
        </row>
        <row r="1246">
          <cell r="A1246" t="str">
            <v>SEP 2014</v>
          </cell>
          <cell r="B1246" t="str">
            <v>KUUM_466</v>
          </cell>
          <cell r="S1246">
            <v>0</v>
          </cell>
          <cell r="T1246">
            <v>0</v>
          </cell>
          <cell r="U1246">
            <v>0</v>
          </cell>
        </row>
        <row r="1247">
          <cell r="A1247" t="str">
            <v>SEP 2014</v>
          </cell>
          <cell r="B1247" t="str">
            <v>KUUM_467</v>
          </cell>
          <cell r="S1247">
            <v>0</v>
          </cell>
          <cell r="T1247">
            <v>0</v>
          </cell>
          <cell r="U1247">
            <v>0</v>
          </cell>
        </row>
        <row r="1248">
          <cell r="A1248" t="str">
            <v>SEP 2014</v>
          </cell>
          <cell r="B1248" t="str">
            <v>KUUM_468</v>
          </cell>
          <cell r="S1248">
            <v>0</v>
          </cell>
          <cell r="T1248">
            <v>0</v>
          </cell>
          <cell r="U1248">
            <v>0</v>
          </cell>
        </row>
        <row r="1249">
          <cell r="A1249" t="str">
            <v>SEP 2014</v>
          </cell>
          <cell r="B1249" t="str">
            <v>KUUM_469</v>
          </cell>
          <cell r="S1249">
            <v>0</v>
          </cell>
          <cell r="T1249">
            <v>0</v>
          </cell>
          <cell r="U1249">
            <v>0</v>
          </cell>
        </row>
        <row r="1250">
          <cell r="A1250" t="str">
            <v>SEP 2014</v>
          </cell>
          <cell r="B1250" t="str">
            <v>KUUM_470</v>
          </cell>
          <cell r="S1250">
            <v>0</v>
          </cell>
          <cell r="T1250">
            <v>0</v>
          </cell>
          <cell r="U1250">
            <v>0</v>
          </cell>
        </row>
        <row r="1251">
          <cell r="A1251" t="str">
            <v>SEP 2014</v>
          </cell>
          <cell r="B1251" t="str">
            <v>KUUM_471</v>
          </cell>
          <cell r="S1251">
            <v>0</v>
          </cell>
          <cell r="T1251">
            <v>0</v>
          </cell>
          <cell r="U1251">
            <v>0</v>
          </cell>
        </row>
        <row r="1252">
          <cell r="A1252" t="str">
            <v>SEP 2014</v>
          </cell>
          <cell r="B1252" t="str">
            <v>KUUM_472</v>
          </cell>
          <cell r="S1252">
            <v>0</v>
          </cell>
          <cell r="T1252">
            <v>0</v>
          </cell>
          <cell r="U1252">
            <v>0</v>
          </cell>
        </row>
        <row r="1253">
          <cell r="A1253" t="str">
            <v>SEP 2014</v>
          </cell>
          <cell r="B1253" t="str">
            <v>KUUM_473</v>
          </cell>
          <cell r="S1253">
            <v>0</v>
          </cell>
          <cell r="T1253">
            <v>0</v>
          </cell>
          <cell r="U1253">
            <v>0</v>
          </cell>
        </row>
        <row r="1254">
          <cell r="A1254" t="str">
            <v>SEP 2014</v>
          </cell>
          <cell r="B1254" t="str">
            <v>KUUM_474</v>
          </cell>
          <cell r="S1254">
            <v>0</v>
          </cell>
          <cell r="T1254">
            <v>0</v>
          </cell>
          <cell r="U1254">
            <v>0</v>
          </cell>
        </row>
        <row r="1255">
          <cell r="A1255" t="str">
            <v>SEP 2014</v>
          </cell>
          <cell r="B1255" t="str">
            <v>KUUM_475</v>
          </cell>
          <cell r="S1255">
            <v>0</v>
          </cell>
          <cell r="T1255">
            <v>0</v>
          </cell>
          <cell r="U1255">
            <v>0</v>
          </cell>
        </row>
        <row r="1256">
          <cell r="A1256" t="str">
            <v>SEP 2014</v>
          </cell>
          <cell r="B1256" t="str">
            <v>KUUM_476</v>
          </cell>
          <cell r="S1256">
            <v>0</v>
          </cell>
          <cell r="T1256">
            <v>0</v>
          </cell>
          <cell r="U1256">
            <v>0</v>
          </cell>
        </row>
        <row r="1257">
          <cell r="A1257" t="str">
            <v>SEP 2014</v>
          </cell>
          <cell r="B1257" t="str">
            <v>KUUM_477</v>
          </cell>
          <cell r="S1257">
            <v>0</v>
          </cell>
          <cell r="T1257">
            <v>0</v>
          </cell>
          <cell r="U1257">
            <v>0</v>
          </cell>
        </row>
        <row r="1258">
          <cell r="A1258" t="str">
            <v>SEP 2014</v>
          </cell>
          <cell r="B1258" t="str">
            <v>KUUM_478</v>
          </cell>
          <cell r="S1258">
            <v>0</v>
          </cell>
          <cell r="T1258">
            <v>0</v>
          </cell>
          <cell r="U1258">
            <v>0</v>
          </cell>
        </row>
        <row r="1259">
          <cell r="A1259" t="str">
            <v>SEP 2014</v>
          </cell>
          <cell r="B1259" t="str">
            <v>KUUM_479</v>
          </cell>
          <cell r="S1259">
            <v>0</v>
          </cell>
          <cell r="T1259">
            <v>0</v>
          </cell>
          <cell r="U1259">
            <v>0</v>
          </cell>
        </row>
        <row r="1260">
          <cell r="A1260" t="str">
            <v>SEP 2014</v>
          </cell>
          <cell r="B1260" t="str">
            <v>KUUM_487</v>
          </cell>
          <cell r="S1260">
            <v>0</v>
          </cell>
          <cell r="T1260">
            <v>0</v>
          </cell>
          <cell r="U1260">
            <v>0</v>
          </cell>
        </row>
        <row r="1261">
          <cell r="A1261" t="str">
            <v>SEP 2014</v>
          </cell>
          <cell r="B1261" t="str">
            <v>KUUM_488</v>
          </cell>
          <cell r="S1261">
            <v>0</v>
          </cell>
          <cell r="T1261">
            <v>0</v>
          </cell>
          <cell r="U1261">
            <v>0</v>
          </cell>
        </row>
        <row r="1262">
          <cell r="A1262" t="str">
            <v>SEP 2014</v>
          </cell>
          <cell r="B1262" t="str">
            <v>KUUM_489</v>
          </cell>
          <cell r="S1262">
            <v>0</v>
          </cell>
          <cell r="T1262">
            <v>0</v>
          </cell>
          <cell r="U1262">
            <v>0</v>
          </cell>
        </row>
        <row r="1263">
          <cell r="A1263" t="str">
            <v>SEP 2014</v>
          </cell>
          <cell r="B1263" t="str">
            <v>KUUM_490</v>
          </cell>
          <cell r="S1263">
            <v>0</v>
          </cell>
          <cell r="T1263">
            <v>0</v>
          </cell>
          <cell r="U1263">
            <v>0</v>
          </cell>
        </row>
        <row r="1264">
          <cell r="A1264" t="str">
            <v>SEP 2014</v>
          </cell>
          <cell r="B1264" t="str">
            <v>KUUM_491</v>
          </cell>
          <cell r="S1264">
            <v>0</v>
          </cell>
          <cell r="T1264">
            <v>0</v>
          </cell>
          <cell r="U1264">
            <v>0</v>
          </cell>
        </row>
        <row r="1265">
          <cell r="A1265" t="str">
            <v>SEP 2014</v>
          </cell>
          <cell r="B1265" t="str">
            <v>KUUM_492</v>
          </cell>
          <cell r="S1265">
            <v>0</v>
          </cell>
          <cell r="T1265">
            <v>0</v>
          </cell>
          <cell r="U1265">
            <v>0</v>
          </cell>
        </row>
        <row r="1266">
          <cell r="A1266" t="str">
            <v>SEP 2014</v>
          </cell>
          <cell r="B1266" t="str">
            <v>KUUM_493</v>
          </cell>
          <cell r="S1266">
            <v>0</v>
          </cell>
          <cell r="T1266">
            <v>0</v>
          </cell>
          <cell r="U1266">
            <v>0</v>
          </cell>
        </row>
        <row r="1267">
          <cell r="A1267" t="str">
            <v>SEP 2014</v>
          </cell>
          <cell r="B1267" t="str">
            <v>KUUM_494</v>
          </cell>
          <cell r="S1267">
            <v>0</v>
          </cell>
          <cell r="T1267">
            <v>0</v>
          </cell>
          <cell r="U1267">
            <v>0</v>
          </cell>
        </row>
        <row r="1268">
          <cell r="A1268" t="str">
            <v>SEP 2014</v>
          </cell>
          <cell r="B1268" t="str">
            <v>KUUM_495</v>
          </cell>
          <cell r="S1268">
            <v>0</v>
          </cell>
          <cell r="T1268">
            <v>0</v>
          </cell>
          <cell r="U1268">
            <v>0</v>
          </cell>
        </row>
        <row r="1269">
          <cell r="A1269" t="str">
            <v>SEP 2014</v>
          </cell>
          <cell r="B1269" t="str">
            <v>KUUM_496</v>
          </cell>
          <cell r="S1269">
            <v>0</v>
          </cell>
          <cell r="T1269">
            <v>0</v>
          </cell>
          <cell r="U1269">
            <v>0</v>
          </cell>
        </row>
        <row r="1270">
          <cell r="A1270" t="str">
            <v>SEP 2014</v>
          </cell>
          <cell r="B1270" t="str">
            <v>KUUM_497</v>
          </cell>
          <cell r="S1270">
            <v>0</v>
          </cell>
          <cell r="T1270">
            <v>0</v>
          </cell>
          <cell r="U1270">
            <v>0</v>
          </cell>
        </row>
        <row r="1271">
          <cell r="A1271" t="str">
            <v>SEP 2014</v>
          </cell>
          <cell r="B1271" t="str">
            <v>KUUM_498</v>
          </cell>
          <cell r="S1271">
            <v>0</v>
          </cell>
          <cell r="T1271">
            <v>0</v>
          </cell>
          <cell r="U1271">
            <v>0</v>
          </cell>
        </row>
        <row r="1272">
          <cell r="A1272" t="str">
            <v>SEP 2014</v>
          </cell>
          <cell r="B1272" t="str">
            <v>KUUM_499</v>
          </cell>
          <cell r="S1272">
            <v>0</v>
          </cell>
          <cell r="T1272">
            <v>0</v>
          </cell>
          <cell r="U1272">
            <v>0</v>
          </cell>
        </row>
        <row r="1273">
          <cell r="A1273" t="str">
            <v>SEP 2014</v>
          </cell>
          <cell r="B1273" t="str">
            <v>ODL</v>
          </cell>
          <cell r="E1273">
            <v>9717964</v>
          </cell>
          <cell r="M1273">
            <v>-23755</v>
          </cell>
          <cell r="R1273">
            <v>2029708.25</v>
          </cell>
          <cell r="S1273">
            <v>2026718.25</v>
          </cell>
          <cell r="T1273">
            <v>0</v>
          </cell>
          <cell r="U1273">
            <v>26745</v>
          </cell>
        </row>
        <row r="1274">
          <cell r="A1274" t="str">
            <v>SEP 2014</v>
          </cell>
          <cell r="B1274" t="str">
            <v>KUUM_825</v>
          </cell>
          <cell r="S1274">
            <v>0</v>
          </cell>
          <cell r="T1274">
            <v>0</v>
          </cell>
          <cell r="U1274">
            <v>0</v>
          </cell>
        </row>
        <row r="1275">
          <cell r="A1275" t="str">
            <v>SEP 2014</v>
          </cell>
          <cell r="B1275" t="str">
            <v>KUUM_826</v>
          </cell>
          <cell r="S1275">
            <v>0</v>
          </cell>
          <cell r="T1275">
            <v>0</v>
          </cell>
          <cell r="U1275">
            <v>0</v>
          </cell>
        </row>
        <row r="1276">
          <cell r="A1276" t="str">
            <v>SEP 2014</v>
          </cell>
          <cell r="B1276" t="str">
            <v>KUUM_827</v>
          </cell>
          <cell r="S1276">
            <v>0</v>
          </cell>
          <cell r="T1276">
            <v>0</v>
          </cell>
          <cell r="U1276">
            <v>0</v>
          </cell>
        </row>
        <row r="1277">
          <cell r="A1277" t="str">
            <v>SEP 2014</v>
          </cell>
          <cell r="B1277" t="str">
            <v>KUUM_828</v>
          </cell>
          <cell r="S1277">
            <v>0</v>
          </cell>
          <cell r="T1277">
            <v>0</v>
          </cell>
          <cell r="U1277">
            <v>0</v>
          </cell>
        </row>
        <row r="1278">
          <cell r="A1278" t="str">
            <v>SEP 2014</v>
          </cell>
          <cell r="B1278" t="str">
            <v>KUUM_829</v>
          </cell>
          <cell r="S1278">
            <v>0</v>
          </cell>
          <cell r="T1278">
            <v>0</v>
          </cell>
          <cell r="U1278">
            <v>0</v>
          </cell>
        </row>
        <row r="1279">
          <cell r="A1279" t="str">
            <v>SEP 2014</v>
          </cell>
          <cell r="B1279" t="str">
            <v>ODRSE010</v>
          </cell>
          <cell r="S1279">
            <v>0</v>
          </cell>
          <cell r="T1279">
            <v>0</v>
          </cell>
          <cell r="U1279">
            <v>0</v>
          </cell>
        </row>
        <row r="1280">
          <cell r="A1280" t="str">
            <v>SEP 2014</v>
          </cell>
          <cell r="B1280" t="str">
            <v>ODRSE020</v>
          </cell>
          <cell r="S1280">
            <v>0</v>
          </cell>
          <cell r="T1280">
            <v>0</v>
          </cell>
          <cell r="U1280">
            <v>0</v>
          </cell>
        </row>
        <row r="1281">
          <cell r="A1281" t="str">
            <v>SEP 2014</v>
          </cell>
          <cell r="B1281" t="str">
            <v>Result</v>
          </cell>
          <cell r="S1281">
            <v>0</v>
          </cell>
          <cell r="T1281">
            <v>0</v>
          </cell>
          <cell r="U1281">
            <v>0</v>
          </cell>
        </row>
        <row r="1282">
          <cell r="A1282" t="str">
            <v>OCT 2014</v>
          </cell>
          <cell r="B1282" t="str">
            <v>KTRSE020</v>
          </cell>
          <cell r="S1282">
            <v>0</v>
          </cell>
          <cell r="T1282">
            <v>0</v>
          </cell>
          <cell r="U1282">
            <v>0</v>
          </cell>
        </row>
        <row r="1283">
          <cell r="A1283" t="str">
            <v>OCT 2014</v>
          </cell>
          <cell r="B1283" t="str">
            <v>KTRSE030</v>
          </cell>
          <cell r="S1283">
            <v>0</v>
          </cell>
          <cell r="T1283">
            <v>0</v>
          </cell>
          <cell r="U1283">
            <v>0</v>
          </cell>
        </row>
        <row r="1284">
          <cell r="A1284" t="str">
            <v>OCT 2014</v>
          </cell>
          <cell r="B1284" t="str">
            <v>KTUM_406</v>
          </cell>
          <cell r="S1284">
            <v>0</v>
          </cell>
          <cell r="T1284">
            <v>0</v>
          </cell>
          <cell r="U1284">
            <v>0</v>
          </cell>
        </row>
        <row r="1285">
          <cell r="A1285" t="str">
            <v>OCT 2014</v>
          </cell>
          <cell r="B1285" t="str">
            <v>KTUM_428</v>
          </cell>
          <cell r="S1285">
            <v>0</v>
          </cell>
          <cell r="T1285">
            <v>0</v>
          </cell>
          <cell r="U1285">
            <v>0</v>
          </cell>
        </row>
        <row r="1286">
          <cell r="A1286" t="str">
            <v>OCT 2014</v>
          </cell>
          <cell r="B1286" t="str">
            <v>KUCIE000</v>
          </cell>
          <cell r="S1286">
            <v>0</v>
          </cell>
          <cell r="T1286">
            <v>0</v>
          </cell>
          <cell r="U1286">
            <v>0</v>
          </cell>
        </row>
        <row r="1287">
          <cell r="A1287" t="str">
            <v>OCT 2014</v>
          </cell>
          <cell r="B1287" t="str">
            <v>KUCIE550</v>
          </cell>
          <cell r="E1287">
            <v>126631031</v>
          </cell>
          <cell r="F1287">
            <v>24000</v>
          </cell>
          <cell r="L1287">
            <v>0</v>
          </cell>
          <cell r="M1287">
            <v>97442</v>
          </cell>
          <cell r="R1287">
            <v>7458749</v>
          </cell>
          <cell r="S1287">
            <v>4601771</v>
          </cell>
          <cell r="T1287">
            <v>2261401</v>
          </cell>
          <cell r="U1287">
            <v>474134</v>
          </cell>
        </row>
        <row r="1288">
          <cell r="A1288" t="str">
            <v>OCT 2014</v>
          </cell>
          <cell r="B1288" t="str">
            <v>KUCIE561</v>
          </cell>
          <cell r="E1288">
            <v>19115050</v>
          </cell>
          <cell r="F1288">
            <v>36890</v>
          </cell>
          <cell r="L1288">
            <v>32567</v>
          </cell>
          <cell r="M1288">
            <v>14709</v>
          </cell>
          <cell r="R1288">
            <v>1561172</v>
          </cell>
          <cell r="S1288">
            <v>680878</v>
          </cell>
          <cell r="T1288">
            <v>724557</v>
          </cell>
          <cell r="U1288">
            <v>71571</v>
          </cell>
        </row>
        <row r="1289">
          <cell r="A1289" t="str">
            <v>OCT 2014</v>
          </cell>
          <cell r="B1289" t="str">
            <v>KUCIE562</v>
          </cell>
          <cell r="E1289">
            <v>183801650</v>
          </cell>
          <cell r="F1289">
            <v>434700</v>
          </cell>
          <cell r="L1289">
            <v>313150</v>
          </cell>
          <cell r="M1289">
            <v>141434</v>
          </cell>
          <cell r="R1289">
            <v>15999173</v>
          </cell>
          <cell r="S1289">
            <v>6550691</v>
          </cell>
          <cell r="T1289">
            <v>7871003</v>
          </cell>
          <cell r="U1289">
            <v>688194</v>
          </cell>
        </row>
        <row r="1290">
          <cell r="A1290" t="str">
            <v>OCT 2014</v>
          </cell>
          <cell r="B1290" t="str">
            <v>KUCIE563</v>
          </cell>
          <cell r="E1290">
            <v>245605634</v>
          </cell>
          <cell r="F1290">
            <v>15600</v>
          </cell>
          <cell r="L1290">
            <v>418448</v>
          </cell>
          <cell r="M1290">
            <v>188992</v>
          </cell>
          <cell r="R1290">
            <v>15241038</v>
          </cell>
          <cell r="S1290">
            <v>9247052</v>
          </cell>
          <cell r="T1290">
            <v>4451344</v>
          </cell>
          <cell r="U1290">
            <v>919602</v>
          </cell>
        </row>
        <row r="1291">
          <cell r="A1291" t="str">
            <v>OCT 2014</v>
          </cell>
          <cell r="B1291" t="str">
            <v>KUCIE566</v>
          </cell>
          <cell r="S1291">
            <v>0</v>
          </cell>
          <cell r="T1291">
            <v>0</v>
          </cell>
          <cell r="U1291">
            <v>0</v>
          </cell>
        </row>
        <row r="1292">
          <cell r="A1292" t="str">
            <v>OCT 2014</v>
          </cell>
          <cell r="B1292" t="str">
            <v>KUCIE568</v>
          </cell>
          <cell r="S1292">
            <v>0</v>
          </cell>
          <cell r="T1292">
            <v>0</v>
          </cell>
          <cell r="U1292">
            <v>0</v>
          </cell>
        </row>
        <row r="1293">
          <cell r="A1293" t="str">
            <v>OCT 2014</v>
          </cell>
          <cell r="B1293" t="str">
            <v>KUCIE571</v>
          </cell>
          <cell r="E1293">
            <v>102999239</v>
          </cell>
          <cell r="F1293">
            <v>54300</v>
          </cell>
          <cell r="L1293">
            <v>175484</v>
          </cell>
          <cell r="M1293">
            <v>79257</v>
          </cell>
          <cell r="R1293">
            <v>6813939</v>
          </cell>
          <cell r="S1293">
            <v>3877921</v>
          </cell>
          <cell r="T1293">
            <v>2241325</v>
          </cell>
          <cell r="U1293">
            <v>385652</v>
          </cell>
        </row>
        <row r="1294">
          <cell r="A1294" t="str">
            <v>OCT 2014</v>
          </cell>
          <cell r="B1294" t="str">
            <v>KUCIE572</v>
          </cell>
          <cell r="E1294">
            <v>118237134</v>
          </cell>
          <cell r="F1294">
            <v>90400</v>
          </cell>
          <cell r="L1294">
            <v>201445</v>
          </cell>
          <cell r="M1294">
            <v>90983</v>
          </cell>
          <cell r="R1294">
            <v>8274147</v>
          </cell>
          <cell r="S1294">
            <v>4461087</v>
          </cell>
          <cell r="T1294">
            <v>2987526</v>
          </cell>
          <cell r="U1294">
            <v>442706</v>
          </cell>
        </row>
        <row r="1295">
          <cell r="A1295" t="str">
            <v>OCT 2014</v>
          </cell>
          <cell r="B1295" t="str">
            <v>KUCIE717</v>
          </cell>
          <cell r="S1295">
            <v>0</v>
          </cell>
          <cell r="T1295">
            <v>0</v>
          </cell>
          <cell r="U1295">
            <v>0</v>
          </cell>
        </row>
        <row r="1296">
          <cell r="A1296" t="str">
            <v>OCT 2014</v>
          </cell>
          <cell r="B1296" t="str">
            <v>KUCME000</v>
          </cell>
          <cell r="S1296">
            <v>0</v>
          </cell>
          <cell r="T1296">
            <v>0</v>
          </cell>
          <cell r="U1296">
            <v>0</v>
          </cell>
        </row>
        <row r="1297">
          <cell r="A1297" t="str">
            <v>OCT 2014</v>
          </cell>
          <cell r="B1297" t="str">
            <v>KUCME110</v>
          </cell>
          <cell r="E1297">
            <v>57186337</v>
          </cell>
          <cell r="F1297">
            <v>1268417</v>
          </cell>
          <cell r="L1297">
            <v>97431</v>
          </cell>
          <cell r="M1297">
            <v>44005</v>
          </cell>
          <cell r="R1297">
            <v>6899411</v>
          </cell>
          <cell r="S1297">
            <v>5275440</v>
          </cell>
          <cell r="T1297">
            <v>0</v>
          </cell>
          <cell r="U1297">
            <v>214118</v>
          </cell>
        </row>
        <row r="1298">
          <cell r="A1298" t="str">
            <v>OCT 2014</v>
          </cell>
          <cell r="B1298" t="str">
            <v>KUCME112</v>
          </cell>
          <cell r="S1298">
            <v>0</v>
          </cell>
          <cell r="T1298">
            <v>0</v>
          </cell>
          <cell r="U1298">
            <v>0</v>
          </cell>
        </row>
        <row r="1299">
          <cell r="A1299" t="str">
            <v>OCT 2014</v>
          </cell>
          <cell r="B1299" t="str">
            <v>KUCME113</v>
          </cell>
          <cell r="E1299">
            <v>83400407</v>
          </cell>
          <cell r="F1299">
            <v>648869</v>
          </cell>
          <cell r="L1299">
            <v>142093</v>
          </cell>
          <cell r="M1299">
            <v>64176</v>
          </cell>
          <cell r="R1299">
            <v>8861095</v>
          </cell>
          <cell r="S1299">
            <v>7693688</v>
          </cell>
          <cell r="T1299">
            <v>0</v>
          </cell>
          <cell r="U1299">
            <v>312270</v>
          </cell>
        </row>
        <row r="1300">
          <cell r="A1300" t="str">
            <v>OCT 2014</v>
          </cell>
          <cell r="B1300" t="str">
            <v>KUCME220</v>
          </cell>
          <cell r="E1300">
            <v>571422</v>
          </cell>
          <cell r="F1300">
            <v>7440</v>
          </cell>
          <cell r="L1300">
            <v>974</v>
          </cell>
          <cell r="M1300">
            <v>440</v>
          </cell>
          <cell r="R1300">
            <v>53507</v>
          </cell>
          <cell r="S1300">
            <v>42514</v>
          </cell>
          <cell r="T1300">
            <v>0</v>
          </cell>
          <cell r="U1300">
            <v>2140</v>
          </cell>
        </row>
        <row r="1301">
          <cell r="A1301" t="str">
            <v>OCT 2014</v>
          </cell>
          <cell r="B1301" t="str">
            <v>KUCME221</v>
          </cell>
          <cell r="S1301">
            <v>0</v>
          </cell>
          <cell r="T1301">
            <v>0</v>
          </cell>
          <cell r="U1301">
            <v>0</v>
          </cell>
        </row>
        <row r="1302">
          <cell r="A1302" t="str">
            <v>OCT 2014</v>
          </cell>
          <cell r="B1302" t="str">
            <v>KUCME223</v>
          </cell>
          <cell r="S1302">
            <v>0</v>
          </cell>
          <cell r="T1302">
            <v>0</v>
          </cell>
          <cell r="U1302">
            <v>0</v>
          </cell>
        </row>
        <row r="1303">
          <cell r="A1303" t="str">
            <v>OCT 2014</v>
          </cell>
          <cell r="B1303" t="str">
            <v>KUCME224</v>
          </cell>
          <cell r="E1303">
            <v>10591038</v>
          </cell>
          <cell r="F1303">
            <v>9065</v>
          </cell>
          <cell r="L1303">
            <v>18044</v>
          </cell>
          <cell r="M1303">
            <v>8150</v>
          </cell>
          <cell r="R1303">
            <v>862888</v>
          </cell>
          <cell r="S1303">
            <v>787974</v>
          </cell>
          <cell r="T1303">
            <v>0</v>
          </cell>
          <cell r="U1303">
            <v>39655</v>
          </cell>
        </row>
        <row r="1304">
          <cell r="A1304" t="str">
            <v>OCT 2014</v>
          </cell>
          <cell r="B1304" t="str">
            <v>KUCME225</v>
          </cell>
          <cell r="S1304">
            <v>0</v>
          </cell>
          <cell r="T1304">
            <v>0</v>
          </cell>
          <cell r="U1304">
            <v>0</v>
          </cell>
        </row>
        <row r="1305">
          <cell r="A1305" t="str">
            <v>OCT 2014</v>
          </cell>
          <cell r="B1305" t="str">
            <v>KUCME226</v>
          </cell>
          <cell r="S1305">
            <v>0</v>
          </cell>
          <cell r="T1305">
            <v>0</v>
          </cell>
          <cell r="U1305">
            <v>0</v>
          </cell>
        </row>
        <row r="1306">
          <cell r="A1306" t="str">
            <v>OCT 2014</v>
          </cell>
          <cell r="B1306" t="str">
            <v>KUCME227</v>
          </cell>
          <cell r="S1306">
            <v>0</v>
          </cell>
          <cell r="T1306">
            <v>0</v>
          </cell>
          <cell r="U1306">
            <v>0</v>
          </cell>
        </row>
        <row r="1307">
          <cell r="A1307" t="str">
            <v>OCT 2014</v>
          </cell>
          <cell r="B1307" t="str">
            <v>KUCME290</v>
          </cell>
          <cell r="E1307">
            <v>14105</v>
          </cell>
          <cell r="M1307">
            <v>11</v>
          </cell>
          <cell r="R1307">
            <v>964</v>
          </cell>
          <cell r="S1307">
            <v>899.89899999999989</v>
          </cell>
          <cell r="T1307">
            <v>0</v>
          </cell>
          <cell r="U1307">
            <v>53</v>
          </cell>
        </row>
        <row r="1308">
          <cell r="A1308" t="str">
            <v>OCT 2014</v>
          </cell>
          <cell r="B1308" t="str">
            <v>KUCME291</v>
          </cell>
          <cell r="S1308">
            <v>0</v>
          </cell>
          <cell r="T1308">
            <v>0</v>
          </cell>
          <cell r="U1308">
            <v>0</v>
          </cell>
        </row>
        <row r="1309">
          <cell r="A1309" t="str">
            <v>OCT 2014</v>
          </cell>
          <cell r="B1309" t="str">
            <v>KUCME295</v>
          </cell>
          <cell r="E1309">
            <v>97932</v>
          </cell>
          <cell r="F1309">
            <v>2427.75</v>
          </cell>
          <cell r="M1309">
            <v>75</v>
          </cell>
          <cell r="R1309">
            <v>10681.75</v>
          </cell>
          <cell r="S1309">
            <v>7813</v>
          </cell>
          <cell r="T1309">
            <v>0</v>
          </cell>
          <cell r="U1309">
            <v>366</v>
          </cell>
        </row>
        <row r="1310">
          <cell r="A1310" t="str">
            <v>OCT 2014</v>
          </cell>
          <cell r="B1310" t="str">
            <v>KUCME297</v>
          </cell>
          <cell r="S1310">
            <v>0</v>
          </cell>
          <cell r="T1310">
            <v>0</v>
          </cell>
          <cell r="U1310">
            <v>0</v>
          </cell>
        </row>
        <row r="1311">
          <cell r="A1311" t="str">
            <v>OCT 2014</v>
          </cell>
          <cell r="B1311" t="str">
            <v>KUCME705</v>
          </cell>
          <cell r="S1311">
            <v>0</v>
          </cell>
          <cell r="T1311">
            <v>0</v>
          </cell>
          <cell r="U1311">
            <v>0</v>
          </cell>
        </row>
        <row r="1312">
          <cell r="A1312" t="str">
            <v>OCT 2014</v>
          </cell>
          <cell r="B1312" t="str">
            <v>KUCME707</v>
          </cell>
          <cell r="S1312">
            <v>0</v>
          </cell>
          <cell r="T1312">
            <v>0</v>
          </cell>
          <cell r="U1312">
            <v>0</v>
          </cell>
        </row>
        <row r="1313">
          <cell r="A1313" t="str">
            <v>OCT 2014</v>
          </cell>
          <cell r="B1313" t="str">
            <v>KUCME710</v>
          </cell>
          <cell r="S1313">
            <v>0</v>
          </cell>
          <cell r="T1313">
            <v>0</v>
          </cell>
          <cell r="U1313">
            <v>0</v>
          </cell>
        </row>
        <row r="1314">
          <cell r="A1314" t="str">
            <v>OCT 2014</v>
          </cell>
          <cell r="B1314" t="str">
            <v>KUCME713</v>
          </cell>
          <cell r="S1314">
            <v>0</v>
          </cell>
          <cell r="T1314">
            <v>0</v>
          </cell>
          <cell r="U1314">
            <v>0</v>
          </cell>
        </row>
        <row r="1315">
          <cell r="A1315" t="str">
            <v>OCT 2014</v>
          </cell>
          <cell r="B1315" t="str">
            <v>KUCME841</v>
          </cell>
          <cell r="S1315">
            <v>0</v>
          </cell>
          <cell r="T1315">
            <v>0</v>
          </cell>
          <cell r="U1315">
            <v>0</v>
          </cell>
        </row>
        <row r="1316">
          <cell r="A1316" t="str">
            <v>OCT 2014</v>
          </cell>
          <cell r="B1316" t="str">
            <v>KUCSR760</v>
          </cell>
          <cell r="P1316">
            <v>-989829</v>
          </cell>
          <cell r="R1316">
            <v>-989829</v>
          </cell>
          <cell r="S1316">
            <v>0</v>
          </cell>
          <cell r="T1316">
            <v>0</v>
          </cell>
          <cell r="U1316">
            <v>0</v>
          </cell>
        </row>
        <row r="1317">
          <cell r="A1317" t="str">
            <v>OCT 2014</v>
          </cell>
          <cell r="B1317" t="str">
            <v>KUCSR761</v>
          </cell>
          <cell r="S1317">
            <v>0</v>
          </cell>
          <cell r="T1317">
            <v>0</v>
          </cell>
          <cell r="U1317">
            <v>0</v>
          </cell>
        </row>
        <row r="1318">
          <cell r="A1318" t="str">
            <v>OCT 2014</v>
          </cell>
          <cell r="B1318" t="str">
            <v>KUCSR783</v>
          </cell>
          <cell r="S1318">
            <v>0</v>
          </cell>
          <cell r="T1318">
            <v>0</v>
          </cell>
          <cell r="U1318">
            <v>0</v>
          </cell>
        </row>
        <row r="1319">
          <cell r="A1319" t="str">
            <v>OCT 2014</v>
          </cell>
          <cell r="B1319" t="str">
            <v>KUCUE851</v>
          </cell>
          <cell r="S1319">
            <v>0</v>
          </cell>
          <cell r="T1319">
            <v>0</v>
          </cell>
          <cell r="U1319">
            <v>0</v>
          </cell>
        </row>
        <row r="1320">
          <cell r="A1320" t="str">
            <v>OCT 2014</v>
          </cell>
          <cell r="B1320" t="str">
            <v>KUCUE852</v>
          </cell>
        </row>
        <row r="1321">
          <cell r="A1321" t="str">
            <v>OCT 2014</v>
          </cell>
          <cell r="B1321" t="str">
            <v>KUINE730</v>
          </cell>
          <cell r="E1321">
            <v>45507524</v>
          </cell>
          <cell r="F1321">
            <v>750</v>
          </cell>
          <cell r="M1321">
            <v>35018</v>
          </cell>
          <cell r="R1321">
            <v>2410357</v>
          </cell>
          <cell r="S1321">
            <v>1484001</v>
          </cell>
          <cell r="T1321">
            <v>720199</v>
          </cell>
          <cell r="U1321">
            <v>170390</v>
          </cell>
        </row>
        <row r="1322">
          <cell r="A1322" t="str">
            <v>OCT 2014</v>
          </cell>
          <cell r="B1322" t="str">
            <v>KUMNE902</v>
          </cell>
          <cell r="S1322">
            <v>0</v>
          </cell>
          <cell r="T1322">
            <v>0</v>
          </cell>
          <cell r="U1322">
            <v>0</v>
          </cell>
        </row>
        <row r="1323">
          <cell r="A1323" t="str">
            <v>OCT 2014</v>
          </cell>
          <cell r="B1323" t="str">
            <v>KUMNE903</v>
          </cell>
          <cell r="S1323">
            <v>0</v>
          </cell>
          <cell r="T1323">
            <v>0</v>
          </cell>
          <cell r="U1323">
            <v>0</v>
          </cell>
        </row>
        <row r="1324">
          <cell r="A1324" t="str">
            <v>OCT 2014</v>
          </cell>
          <cell r="B1324" t="str">
            <v>KUMNE934</v>
          </cell>
          <cell r="S1324">
            <v>0</v>
          </cell>
          <cell r="T1324">
            <v>0</v>
          </cell>
          <cell r="U1324">
            <v>0</v>
          </cell>
        </row>
        <row r="1325">
          <cell r="A1325" t="str">
            <v>OCT 2014</v>
          </cell>
          <cell r="B1325" t="str">
            <v>KURSE000</v>
          </cell>
          <cell r="S1325">
            <v>0</v>
          </cell>
          <cell r="T1325">
            <v>0</v>
          </cell>
          <cell r="U1325">
            <v>0</v>
          </cell>
        </row>
        <row r="1326">
          <cell r="A1326" t="str">
            <v>OCT 2014</v>
          </cell>
          <cell r="B1326" t="str">
            <v>KURSE010</v>
          </cell>
          <cell r="E1326">
            <v>379965026</v>
          </cell>
          <cell r="F1326">
            <v>4596597</v>
          </cell>
          <cell r="L1326">
            <v>647362</v>
          </cell>
          <cell r="M1326">
            <v>292381</v>
          </cell>
          <cell r="R1326">
            <v>36383504</v>
          </cell>
          <cell r="S1326">
            <v>29424492</v>
          </cell>
          <cell r="T1326">
            <v>0</v>
          </cell>
          <cell r="U1326">
            <v>1422673</v>
          </cell>
        </row>
        <row r="1327">
          <cell r="A1327" t="str">
            <v>OCT 2014</v>
          </cell>
          <cell r="B1327" t="str">
            <v>KURSE020</v>
          </cell>
          <cell r="S1327">
            <v>0</v>
          </cell>
          <cell r="T1327">
            <v>0</v>
          </cell>
          <cell r="U1327">
            <v>0</v>
          </cell>
        </row>
        <row r="1328">
          <cell r="A1328" t="str">
            <v>OCT 2014</v>
          </cell>
          <cell r="B1328" t="str">
            <v>KURSE025</v>
          </cell>
          <cell r="S1328">
            <v>0</v>
          </cell>
          <cell r="T1328">
            <v>0</v>
          </cell>
          <cell r="U1328">
            <v>0</v>
          </cell>
        </row>
        <row r="1329">
          <cell r="A1329" t="str">
            <v>OCT 2014</v>
          </cell>
          <cell r="B1329" t="str">
            <v>KURSE040</v>
          </cell>
          <cell r="S1329">
            <v>0</v>
          </cell>
          <cell r="T1329">
            <v>0</v>
          </cell>
          <cell r="U1329">
            <v>0</v>
          </cell>
        </row>
        <row r="1330">
          <cell r="A1330" t="str">
            <v>OCT 2014</v>
          </cell>
          <cell r="B1330" t="str">
            <v>KURSE080</v>
          </cell>
          <cell r="S1330">
            <v>0</v>
          </cell>
          <cell r="T1330">
            <v>0</v>
          </cell>
          <cell r="U1330">
            <v>0</v>
          </cell>
        </row>
        <row r="1331">
          <cell r="A1331" t="str">
            <v>OCT 2014</v>
          </cell>
          <cell r="B1331" t="str">
            <v>KURSE715</v>
          </cell>
          <cell r="S1331">
            <v>0</v>
          </cell>
          <cell r="T1331">
            <v>0</v>
          </cell>
          <cell r="U1331">
            <v>0</v>
          </cell>
        </row>
        <row r="1332">
          <cell r="A1332" t="str">
            <v>OCT 2014</v>
          </cell>
          <cell r="B1332" t="str">
            <v>KUUM_000</v>
          </cell>
          <cell r="S1332">
            <v>0</v>
          </cell>
          <cell r="T1332">
            <v>0</v>
          </cell>
          <cell r="U1332">
            <v>0</v>
          </cell>
        </row>
        <row r="1333">
          <cell r="A1333" t="str">
            <v>OCT 2014</v>
          </cell>
          <cell r="B1333" t="str">
            <v>KUUM_360</v>
          </cell>
          <cell r="S1333">
            <v>0</v>
          </cell>
          <cell r="T1333">
            <v>0</v>
          </cell>
          <cell r="U1333">
            <v>0</v>
          </cell>
        </row>
        <row r="1334">
          <cell r="A1334" t="str">
            <v>OCT 2014</v>
          </cell>
          <cell r="B1334" t="str">
            <v>KUUM_361</v>
          </cell>
          <cell r="S1334">
            <v>0</v>
          </cell>
          <cell r="T1334">
            <v>0</v>
          </cell>
          <cell r="U1334">
            <v>0</v>
          </cell>
        </row>
        <row r="1335">
          <cell r="A1335" t="str">
            <v>OCT 2014</v>
          </cell>
          <cell r="B1335" t="str">
            <v>KUUM_362</v>
          </cell>
          <cell r="S1335">
            <v>0</v>
          </cell>
          <cell r="T1335">
            <v>0</v>
          </cell>
          <cell r="U1335">
            <v>0</v>
          </cell>
        </row>
        <row r="1336">
          <cell r="A1336" t="str">
            <v>OCT 2014</v>
          </cell>
          <cell r="B1336" t="str">
            <v>KUUM_363</v>
          </cell>
          <cell r="S1336">
            <v>0</v>
          </cell>
          <cell r="T1336">
            <v>0</v>
          </cell>
          <cell r="U1336">
            <v>0</v>
          </cell>
        </row>
        <row r="1337">
          <cell r="A1337" t="str">
            <v>OCT 2014</v>
          </cell>
          <cell r="B1337" t="str">
            <v>KUUM_364</v>
          </cell>
          <cell r="S1337">
            <v>0</v>
          </cell>
          <cell r="T1337">
            <v>0</v>
          </cell>
          <cell r="U1337">
            <v>0</v>
          </cell>
        </row>
        <row r="1338">
          <cell r="A1338" t="str">
            <v>OCT 2014</v>
          </cell>
          <cell r="B1338" t="str">
            <v>KUUM_365</v>
          </cell>
          <cell r="S1338">
            <v>0</v>
          </cell>
          <cell r="T1338">
            <v>0</v>
          </cell>
          <cell r="U1338">
            <v>0</v>
          </cell>
        </row>
        <row r="1339">
          <cell r="A1339" t="str">
            <v>OCT 2014</v>
          </cell>
          <cell r="B1339" t="str">
            <v>KUUM_366</v>
          </cell>
          <cell r="S1339">
            <v>0</v>
          </cell>
          <cell r="T1339">
            <v>0</v>
          </cell>
          <cell r="U1339">
            <v>0</v>
          </cell>
        </row>
        <row r="1340">
          <cell r="A1340" t="str">
            <v>OCT 2014</v>
          </cell>
          <cell r="B1340" t="str">
            <v>KUUM_367</v>
          </cell>
          <cell r="S1340">
            <v>0</v>
          </cell>
          <cell r="T1340">
            <v>0</v>
          </cell>
          <cell r="U1340">
            <v>0</v>
          </cell>
        </row>
        <row r="1341">
          <cell r="A1341" t="str">
            <v>OCT 2014</v>
          </cell>
          <cell r="B1341" t="str">
            <v>KUUM_368</v>
          </cell>
          <cell r="S1341">
            <v>0</v>
          </cell>
          <cell r="T1341">
            <v>0</v>
          </cell>
          <cell r="U1341">
            <v>0</v>
          </cell>
        </row>
        <row r="1342">
          <cell r="A1342" t="str">
            <v>OCT 2014</v>
          </cell>
          <cell r="B1342" t="str">
            <v>KUUM_370</v>
          </cell>
          <cell r="S1342">
            <v>0</v>
          </cell>
          <cell r="T1342">
            <v>0</v>
          </cell>
          <cell r="U1342">
            <v>0</v>
          </cell>
        </row>
        <row r="1343">
          <cell r="A1343" t="str">
            <v>OCT 2014</v>
          </cell>
          <cell r="B1343" t="str">
            <v>KUUM_372</v>
          </cell>
          <cell r="S1343">
            <v>0</v>
          </cell>
          <cell r="T1343">
            <v>0</v>
          </cell>
          <cell r="U1343">
            <v>0</v>
          </cell>
        </row>
        <row r="1344">
          <cell r="A1344" t="str">
            <v>OCT 2014</v>
          </cell>
          <cell r="B1344" t="str">
            <v>KUUM_373</v>
          </cell>
          <cell r="S1344">
            <v>0</v>
          </cell>
          <cell r="T1344">
            <v>0</v>
          </cell>
          <cell r="U1344">
            <v>0</v>
          </cell>
        </row>
        <row r="1345">
          <cell r="A1345" t="str">
            <v>OCT 2014</v>
          </cell>
          <cell r="B1345" t="str">
            <v>KUUM_374</v>
          </cell>
          <cell r="S1345">
            <v>0</v>
          </cell>
          <cell r="T1345">
            <v>0</v>
          </cell>
          <cell r="U1345">
            <v>0</v>
          </cell>
        </row>
        <row r="1346">
          <cell r="A1346" t="str">
            <v>OCT 2014</v>
          </cell>
          <cell r="B1346" t="str">
            <v>KUUM_375</v>
          </cell>
          <cell r="S1346">
            <v>0</v>
          </cell>
          <cell r="T1346">
            <v>0</v>
          </cell>
          <cell r="U1346">
            <v>0</v>
          </cell>
        </row>
        <row r="1347">
          <cell r="A1347" t="str">
            <v>OCT 2014</v>
          </cell>
          <cell r="B1347" t="str">
            <v>KUUM_376</v>
          </cell>
          <cell r="S1347">
            <v>0</v>
          </cell>
          <cell r="T1347">
            <v>0</v>
          </cell>
          <cell r="U1347">
            <v>0</v>
          </cell>
        </row>
        <row r="1348">
          <cell r="A1348" t="str">
            <v>OCT 2014</v>
          </cell>
          <cell r="B1348" t="str">
            <v>KUUM_377</v>
          </cell>
          <cell r="S1348">
            <v>0</v>
          </cell>
          <cell r="T1348">
            <v>0</v>
          </cell>
          <cell r="U1348">
            <v>0</v>
          </cell>
        </row>
        <row r="1349">
          <cell r="A1349" t="str">
            <v>OCT 2014</v>
          </cell>
          <cell r="B1349" t="str">
            <v>KUUM_378</v>
          </cell>
          <cell r="S1349">
            <v>0</v>
          </cell>
          <cell r="T1349">
            <v>0</v>
          </cell>
          <cell r="U1349">
            <v>0</v>
          </cell>
        </row>
        <row r="1350">
          <cell r="A1350" t="str">
            <v>OCT 2014</v>
          </cell>
          <cell r="B1350" t="str">
            <v>KUUM_401</v>
          </cell>
          <cell r="S1350">
            <v>0</v>
          </cell>
          <cell r="T1350">
            <v>0</v>
          </cell>
          <cell r="U1350">
            <v>0</v>
          </cell>
        </row>
        <row r="1351">
          <cell r="A1351" t="str">
            <v>OCT 2014</v>
          </cell>
          <cell r="B1351" t="str">
            <v>KUUM_404</v>
          </cell>
          <cell r="S1351">
            <v>0</v>
          </cell>
          <cell r="T1351">
            <v>0</v>
          </cell>
          <cell r="U1351">
            <v>0</v>
          </cell>
        </row>
        <row r="1352">
          <cell r="A1352" t="str">
            <v>OCT 2014</v>
          </cell>
          <cell r="B1352" t="str">
            <v>KUUM_409</v>
          </cell>
          <cell r="S1352">
            <v>0</v>
          </cell>
          <cell r="T1352">
            <v>0</v>
          </cell>
          <cell r="U1352">
            <v>0</v>
          </cell>
        </row>
        <row r="1353">
          <cell r="A1353" t="str">
            <v>OCT 2014</v>
          </cell>
          <cell r="B1353" t="str">
            <v>KUUM_410</v>
          </cell>
          <cell r="S1353">
            <v>0</v>
          </cell>
          <cell r="T1353">
            <v>0</v>
          </cell>
          <cell r="U1353">
            <v>0</v>
          </cell>
        </row>
        <row r="1354">
          <cell r="A1354" t="str">
            <v>OCT 2014</v>
          </cell>
          <cell r="B1354" t="str">
            <v>KUUM_411</v>
          </cell>
          <cell r="S1354">
            <v>0</v>
          </cell>
          <cell r="T1354">
            <v>0</v>
          </cell>
          <cell r="U1354">
            <v>0</v>
          </cell>
        </row>
        <row r="1355">
          <cell r="A1355" t="str">
            <v>OCT 2014</v>
          </cell>
          <cell r="B1355" t="str">
            <v>KUUM_412</v>
          </cell>
          <cell r="S1355">
            <v>0</v>
          </cell>
          <cell r="T1355">
            <v>0</v>
          </cell>
          <cell r="U1355">
            <v>0</v>
          </cell>
        </row>
        <row r="1356">
          <cell r="A1356" t="str">
            <v>OCT 2014</v>
          </cell>
          <cell r="B1356" t="str">
            <v>KUUM_413</v>
          </cell>
          <cell r="S1356">
            <v>0</v>
          </cell>
          <cell r="T1356">
            <v>0</v>
          </cell>
          <cell r="U1356">
            <v>0</v>
          </cell>
        </row>
        <row r="1357">
          <cell r="A1357" t="str">
            <v>OCT 2014</v>
          </cell>
          <cell r="B1357" t="str">
            <v>KUUM_414</v>
          </cell>
          <cell r="S1357">
            <v>0</v>
          </cell>
          <cell r="T1357">
            <v>0</v>
          </cell>
          <cell r="U1357">
            <v>0</v>
          </cell>
        </row>
        <row r="1358">
          <cell r="A1358" t="str">
            <v>OCT 2014</v>
          </cell>
          <cell r="B1358" t="str">
            <v>KUUM_415</v>
          </cell>
          <cell r="S1358">
            <v>0</v>
          </cell>
          <cell r="T1358">
            <v>0</v>
          </cell>
          <cell r="U1358">
            <v>0</v>
          </cell>
        </row>
        <row r="1359">
          <cell r="A1359" t="str">
            <v>OCT 2014</v>
          </cell>
          <cell r="B1359" t="str">
            <v>KUUM_420</v>
          </cell>
          <cell r="S1359">
            <v>0</v>
          </cell>
          <cell r="T1359">
            <v>0</v>
          </cell>
          <cell r="U1359">
            <v>0</v>
          </cell>
        </row>
        <row r="1360">
          <cell r="A1360" t="str">
            <v>OCT 2014</v>
          </cell>
          <cell r="B1360" t="str">
            <v>KUUM_421</v>
          </cell>
          <cell r="S1360">
            <v>0</v>
          </cell>
          <cell r="T1360">
            <v>0</v>
          </cell>
          <cell r="U1360">
            <v>0</v>
          </cell>
        </row>
        <row r="1361">
          <cell r="A1361" t="str">
            <v>OCT 2014</v>
          </cell>
          <cell r="B1361" t="str">
            <v>KUUM_422</v>
          </cell>
          <cell r="S1361">
            <v>0</v>
          </cell>
          <cell r="T1361">
            <v>0</v>
          </cell>
          <cell r="U1361">
            <v>0</v>
          </cell>
        </row>
        <row r="1362">
          <cell r="A1362" t="str">
            <v>OCT 2014</v>
          </cell>
          <cell r="B1362" t="str">
            <v>KUUM_424</v>
          </cell>
          <cell r="S1362">
            <v>0</v>
          </cell>
          <cell r="T1362">
            <v>0</v>
          </cell>
          <cell r="U1362">
            <v>0</v>
          </cell>
        </row>
        <row r="1363">
          <cell r="A1363" t="str">
            <v>OCT 2014</v>
          </cell>
          <cell r="B1363" t="str">
            <v>KUUM_425</v>
          </cell>
          <cell r="S1363">
            <v>0</v>
          </cell>
          <cell r="T1363">
            <v>0</v>
          </cell>
          <cell r="U1363">
            <v>0</v>
          </cell>
        </row>
        <row r="1364">
          <cell r="A1364" t="str">
            <v>OCT 2014</v>
          </cell>
          <cell r="B1364" t="str">
            <v>KUUM_426</v>
          </cell>
          <cell r="S1364">
            <v>0</v>
          </cell>
          <cell r="T1364">
            <v>0</v>
          </cell>
          <cell r="U1364">
            <v>0</v>
          </cell>
        </row>
        <row r="1365">
          <cell r="A1365" t="str">
            <v>OCT 2014</v>
          </cell>
          <cell r="B1365" t="str">
            <v>KUUM_428</v>
          </cell>
          <cell r="S1365">
            <v>0</v>
          </cell>
          <cell r="T1365">
            <v>0</v>
          </cell>
          <cell r="U1365">
            <v>0</v>
          </cell>
        </row>
        <row r="1366">
          <cell r="A1366" t="str">
            <v>OCT 2014</v>
          </cell>
          <cell r="B1366" t="str">
            <v>KUUM_430</v>
          </cell>
          <cell r="S1366">
            <v>0</v>
          </cell>
          <cell r="T1366">
            <v>0</v>
          </cell>
          <cell r="U1366">
            <v>0</v>
          </cell>
        </row>
        <row r="1367">
          <cell r="A1367" t="str">
            <v>OCT 2014</v>
          </cell>
          <cell r="B1367" t="str">
            <v>KUUM_434</v>
          </cell>
          <cell r="S1367">
            <v>0</v>
          </cell>
          <cell r="T1367">
            <v>0</v>
          </cell>
          <cell r="U1367">
            <v>0</v>
          </cell>
        </row>
        <row r="1368">
          <cell r="A1368" t="str">
            <v>OCT 2014</v>
          </cell>
          <cell r="B1368" t="str">
            <v>KUUM_440</v>
          </cell>
          <cell r="S1368">
            <v>0</v>
          </cell>
          <cell r="T1368">
            <v>0</v>
          </cell>
          <cell r="U1368">
            <v>0</v>
          </cell>
        </row>
        <row r="1369">
          <cell r="A1369" t="str">
            <v>OCT 2014</v>
          </cell>
          <cell r="B1369" t="str">
            <v>KUUM_446</v>
          </cell>
          <cell r="S1369">
            <v>0</v>
          </cell>
          <cell r="T1369">
            <v>0</v>
          </cell>
          <cell r="U1369">
            <v>0</v>
          </cell>
        </row>
        <row r="1370">
          <cell r="A1370" t="str">
            <v>OCT 2014</v>
          </cell>
          <cell r="B1370" t="str">
            <v>KUUM_447</v>
          </cell>
          <cell r="S1370">
            <v>0</v>
          </cell>
          <cell r="T1370">
            <v>0</v>
          </cell>
          <cell r="U1370">
            <v>0</v>
          </cell>
        </row>
        <row r="1371">
          <cell r="A1371" t="str">
            <v>OCT 2014</v>
          </cell>
          <cell r="B1371" t="str">
            <v>KUUM_448</v>
          </cell>
          <cell r="S1371">
            <v>0</v>
          </cell>
          <cell r="T1371">
            <v>0</v>
          </cell>
          <cell r="U1371">
            <v>0</v>
          </cell>
        </row>
        <row r="1372">
          <cell r="A1372" t="str">
            <v>OCT 2014</v>
          </cell>
          <cell r="B1372" t="str">
            <v>KUUM_450</v>
          </cell>
          <cell r="S1372">
            <v>0</v>
          </cell>
          <cell r="T1372">
            <v>0</v>
          </cell>
          <cell r="U1372">
            <v>0</v>
          </cell>
        </row>
        <row r="1373">
          <cell r="A1373" t="str">
            <v>OCT 2014</v>
          </cell>
          <cell r="B1373" t="str">
            <v>KUUM_451</v>
          </cell>
          <cell r="S1373">
            <v>0</v>
          </cell>
          <cell r="T1373">
            <v>0</v>
          </cell>
          <cell r="U1373">
            <v>0</v>
          </cell>
        </row>
        <row r="1374">
          <cell r="A1374" t="str">
            <v>OCT 2014</v>
          </cell>
          <cell r="B1374" t="str">
            <v>KUUM_452</v>
          </cell>
          <cell r="S1374">
            <v>0</v>
          </cell>
          <cell r="T1374">
            <v>0</v>
          </cell>
          <cell r="U1374">
            <v>0</v>
          </cell>
        </row>
        <row r="1375">
          <cell r="A1375" t="str">
            <v>OCT 2014</v>
          </cell>
          <cell r="B1375" t="str">
            <v>KUUM_454</v>
          </cell>
          <cell r="S1375">
            <v>0</v>
          </cell>
          <cell r="T1375">
            <v>0</v>
          </cell>
          <cell r="U1375">
            <v>0</v>
          </cell>
        </row>
        <row r="1376">
          <cell r="A1376" t="str">
            <v>OCT 2014</v>
          </cell>
          <cell r="B1376" t="str">
            <v>KUUM_455</v>
          </cell>
          <cell r="S1376">
            <v>0</v>
          </cell>
          <cell r="T1376">
            <v>0</v>
          </cell>
          <cell r="U1376">
            <v>0</v>
          </cell>
        </row>
        <row r="1377">
          <cell r="A1377" t="str">
            <v>OCT 2014</v>
          </cell>
          <cell r="B1377" t="str">
            <v>KUUM_456</v>
          </cell>
          <cell r="S1377">
            <v>0</v>
          </cell>
          <cell r="T1377">
            <v>0</v>
          </cell>
          <cell r="U1377">
            <v>0</v>
          </cell>
        </row>
        <row r="1378">
          <cell r="A1378" t="str">
            <v>OCT 2014</v>
          </cell>
          <cell r="B1378" t="str">
            <v>KUUM_457</v>
          </cell>
          <cell r="S1378">
            <v>0</v>
          </cell>
          <cell r="T1378">
            <v>0</v>
          </cell>
          <cell r="U1378">
            <v>0</v>
          </cell>
        </row>
        <row r="1379">
          <cell r="A1379" t="str">
            <v>OCT 2014</v>
          </cell>
          <cell r="B1379" t="str">
            <v>KUUM_458</v>
          </cell>
          <cell r="S1379">
            <v>0</v>
          </cell>
          <cell r="T1379">
            <v>0</v>
          </cell>
          <cell r="U1379">
            <v>0</v>
          </cell>
        </row>
        <row r="1380">
          <cell r="A1380" t="str">
            <v>OCT 2014</v>
          </cell>
          <cell r="B1380" t="str">
            <v>KUUM_459</v>
          </cell>
          <cell r="S1380">
            <v>0</v>
          </cell>
          <cell r="T1380">
            <v>0</v>
          </cell>
          <cell r="U1380">
            <v>0</v>
          </cell>
        </row>
        <row r="1381">
          <cell r="A1381" t="str">
            <v>OCT 2014</v>
          </cell>
          <cell r="B1381" t="str">
            <v>KUUM_460</v>
          </cell>
          <cell r="S1381">
            <v>0</v>
          </cell>
          <cell r="T1381">
            <v>0</v>
          </cell>
          <cell r="U1381">
            <v>0</v>
          </cell>
        </row>
        <row r="1382">
          <cell r="A1382" t="str">
            <v>OCT 2014</v>
          </cell>
          <cell r="B1382" t="str">
            <v>KUUM_461</v>
          </cell>
          <cell r="S1382">
            <v>0</v>
          </cell>
          <cell r="T1382">
            <v>0</v>
          </cell>
          <cell r="U1382">
            <v>0</v>
          </cell>
        </row>
        <row r="1383">
          <cell r="A1383" t="str">
            <v>OCT 2014</v>
          </cell>
          <cell r="B1383" t="str">
            <v>KUUM_462</v>
          </cell>
          <cell r="S1383">
            <v>0</v>
          </cell>
          <cell r="T1383">
            <v>0</v>
          </cell>
          <cell r="U1383">
            <v>0</v>
          </cell>
        </row>
        <row r="1384">
          <cell r="A1384" t="str">
            <v>OCT 2014</v>
          </cell>
          <cell r="B1384" t="str">
            <v>KUUM_463</v>
          </cell>
          <cell r="S1384">
            <v>0</v>
          </cell>
          <cell r="T1384">
            <v>0</v>
          </cell>
          <cell r="U1384">
            <v>0</v>
          </cell>
        </row>
        <row r="1385">
          <cell r="A1385" t="str">
            <v>OCT 2014</v>
          </cell>
          <cell r="B1385" t="str">
            <v>KUUM_464</v>
          </cell>
          <cell r="S1385">
            <v>0</v>
          </cell>
          <cell r="T1385">
            <v>0</v>
          </cell>
          <cell r="U1385">
            <v>0</v>
          </cell>
        </row>
        <row r="1386">
          <cell r="A1386" t="str">
            <v>OCT 2014</v>
          </cell>
          <cell r="B1386" t="str">
            <v>KUUM_465</v>
          </cell>
          <cell r="S1386">
            <v>0</v>
          </cell>
          <cell r="T1386">
            <v>0</v>
          </cell>
          <cell r="U1386">
            <v>0</v>
          </cell>
        </row>
        <row r="1387">
          <cell r="A1387" t="str">
            <v>OCT 2014</v>
          </cell>
          <cell r="B1387" t="str">
            <v>KUUM_465CU</v>
          </cell>
          <cell r="S1387">
            <v>0</v>
          </cell>
          <cell r="T1387">
            <v>0</v>
          </cell>
          <cell r="U1387">
            <v>0</v>
          </cell>
        </row>
        <row r="1388">
          <cell r="A1388" t="str">
            <v>OCT 2014</v>
          </cell>
          <cell r="B1388" t="str">
            <v>KUUM_466</v>
          </cell>
          <cell r="S1388">
            <v>0</v>
          </cell>
          <cell r="T1388">
            <v>0</v>
          </cell>
          <cell r="U1388">
            <v>0</v>
          </cell>
        </row>
        <row r="1389">
          <cell r="A1389" t="str">
            <v>OCT 2014</v>
          </cell>
          <cell r="B1389" t="str">
            <v>KUUM_467</v>
          </cell>
          <cell r="S1389">
            <v>0</v>
          </cell>
          <cell r="T1389">
            <v>0</v>
          </cell>
          <cell r="U1389">
            <v>0</v>
          </cell>
        </row>
        <row r="1390">
          <cell r="A1390" t="str">
            <v>OCT 2014</v>
          </cell>
          <cell r="B1390" t="str">
            <v>KUUM_468</v>
          </cell>
          <cell r="S1390">
            <v>0</v>
          </cell>
          <cell r="T1390">
            <v>0</v>
          </cell>
          <cell r="U1390">
            <v>0</v>
          </cell>
        </row>
        <row r="1391">
          <cell r="A1391" t="str">
            <v>OCT 2014</v>
          </cell>
          <cell r="B1391" t="str">
            <v>KUUM_469</v>
          </cell>
          <cell r="S1391">
            <v>0</v>
          </cell>
          <cell r="T1391">
            <v>0</v>
          </cell>
          <cell r="U1391">
            <v>0</v>
          </cell>
        </row>
        <row r="1392">
          <cell r="A1392" t="str">
            <v>OCT 2014</v>
          </cell>
          <cell r="B1392" t="str">
            <v>KUUM_470</v>
          </cell>
          <cell r="S1392">
            <v>0</v>
          </cell>
          <cell r="T1392">
            <v>0</v>
          </cell>
          <cell r="U1392">
            <v>0</v>
          </cell>
        </row>
        <row r="1393">
          <cell r="A1393" t="str">
            <v>OCT 2014</v>
          </cell>
          <cell r="B1393" t="str">
            <v>KUUM_471</v>
          </cell>
          <cell r="S1393">
            <v>0</v>
          </cell>
          <cell r="T1393">
            <v>0</v>
          </cell>
          <cell r="U1393">
            <v>0</v>
          </cell>
        </row>
        <row r="1394">
          <cell r="A1394" t="str">
            <v>OCT 2014</v>
          </cell>
          <cell r="B1394" t="str">
            <v>KUUM_472</v>
          </cell>
          <cell r="S1394">
            <v>0</v>
          </cell>
          <cell r="T1394">
            <v>0</v>
          </cell>
          <cell r="U1394">
            <v>0</v>
          </cell>
        </row>
        <row r="1395">
          <cell r="A1395" t="str">
            <v>OCT 2014</v>
          </cell>
          <cell r="B1395" t="str">
            <v>KUUM_473</v>
          </cell>
          <cell r="S1395">
            <v>0</v>
          </cell>
          <cell r="T1395">
            <v>0</v>
          </cell>
          <cell r="U1395">
            <v>0</v>
          </cell>
        </row>
        <row r="1396">
          <cell r="A1396" t="str">
            <v>OCT 2014</v>
          </cell>
          <cell r="B1396" t="str">
            <v>KUUM_474</v>
          </cell>
          <cell r="S1396">
            <v>0</v>
          </cell>
          <cell r="T1396">
            <v>0</v>
          </cell>
          <cell r="U1396">
            <v>0</v>
          </cell>
        </row>
        <row r="1397">
          <cell r="A1397" t="str">
            <v>OCT 2014</v>
          </cell>
          <cell r="B1397" t="str">
            <v>KUUM_475</v>
          </cell>
          <cell r="S1397">
            <v>0</v>
          </cell>
          <cell r="T1397">
            <v>0</v>
          </cell>
          <cell r="U1397">
            <v>0</v>
          </cell>
        </row>
        <row r="1398">
          <cell r="A1398" t="str">
            <v>OCT 2014</v>
          </cell>
          <cell r="B1398" t="str">
            <v>KUUM_476</v>
          </cell>
          <cell r="S1398">
            <v>0</v>
          </cell>
          <cell r="T1398">
            <v>0</v>
          </cell>
          <cell r="U1398">
            <v>0</v>
          </cell>
        </row>
        <row r="1399">
          <cell r="A1399" t="str">
            <v>OCT 2014</v>
          </cell>
          <cell r="B1399" t="str">
            <v>KUUM_477</v>
          </cell>
          <cell r="S1399">
            <v>0</v>
          </cell>
          <cell r="T1399">
            <v>0</v>
          </cell>
          <cell r="U1399">
            <v>0</v>
          </cell>
        </row>
        <row r="1400">
          <cell r="A1400" t="str">
            <v>OCT 2014</v>
          </cell>
          <cell r="B1400" t="str">
            <v>KUUM_478</v>
          </cell>
          <cell r="S1400">
            <v>0</v>
          </cell>
          <cell r="T1400">
            <v>0</v>
          </cell>
          <cell r="U1400">
            <v>0</v>
          </cell>
        </row>
        <row r="1401">
          <cell r="A1401" t="str">
            <v>OCT 2014</v>
          </cell>
          <cell r="B1401" t="str">
            <v>KUUM_479</v>
          </cell>
          <cell r="S1401">
            <v>0</v>
          </cell>
          <cell r="T1401">
            <v>0</v>
          </cell>
          <cell r="U1401">
            <v>0</v>
          </cell>
        </row>
        <row r="1402">
          <cell r="A1402" t="str">
            <v>OCT 2014</v>
          </cell>
          <cell r="B1402" t="str">
            <v>KUUM_487</v>
          </cell>
          <cell r="S1402">
            <v>0</v>
          </cell>
          <cell r="T1402">
            <v>0</v>
          </cell>
          <cell r="U1402">
            <v>0</v>
          </cell>
        </row>
        <row r="1403">
          <cell r="A1403" t="str">
            <v>OCT 2014</v>
          </cell>
          <cell r="B1403" t="str">
            <v>KUUM_488</v>
          </cell>
          <cell r="S1403">
            <v>0</v>
          </cell>
          <cell r="T1403">
            <v>0</v>
          </cell>
          <cell r="U1403">
            <v>0</v>
          </cell>
        </row>
        <row r="1404">
          <cell r="A1404" t="str">
            <v>OCT 2014</v>
          </cell>
          <cell r="B1404" t="str">
            <v>KUUM_489</v>
          </cell>
          <cell r="S1404">
            <v>0</v>
          </cell>
          <cell r="T1404">
            <v>0</v>
          </cell>
          <cell r="U1404">
            <v>0</v>
          </cell>
        </row>
        <row r="1405">
          <cell r="A1405" t="str">
            <v>OCT 2014</v>
          </cell>
          <cell r="B1405" t="str">
            <v>KUUM_490</v>
          </cell>
          <cell r="S1405">
            <v>0</v>
          </cell>
          <cell r="T1405">
            <v>0</v>
          </cell>
          <cell r="U1405">
            <v>0</v>
          </cell>
        </row>
        <row r="1406">
          <cell r="A1406" t="str">
            <v>OCT 2014</v>
          </cell>
          <cell r="B1406" t="str">
            <v>KUUM_491</v>
          </cell>
          <cell r="S1406">
            <v>0</v>
          </cell>
          <cell r="T1406">
            <v>0</v>
          </cell>
          <cell r="U1406">
            <v>0</v>
          </cell>
        </row>
        <row r="1407">
          <cell r="A1407" t="str">
            <v>OCT 2014</v>
          </cell>
          <cell r="B1407" t="str">
            <v>KUUM_492</v>
          </cell>
          <cell r="S1407">
            <v>0</v>
          </cell>
          <cell r="T1407">
            <v>0</v>
          </cell>
          <cell r="U1407">
            <v>0</v>
          </cell>
        </row>
        <row r="1408">
          <cell r="A1408" t="str">
            <v>OCT 2014</v>
          </cell>
          <cell r="B1408" t="str">
            <v>KUUM_493</v>
          </cell>
          <cell r="S1408">
            <v>0</v>
          </cell>
          <cell r="T1408">
            <v>0</v>
          </cell>
          <cell r="U1408">
            <v>0</v>
          </cell>
        </row>
        <row r="1409">
          <cell r="A1409" t="str">
            <v>OCT 2014</v>
          </cell>
          <cell r="B1409" t="str">
            <v>KUUM_494</v>
          </cell>
          <cell r="S1409">
            <v>0</v>
          </cell>
          <cell r="T1409">
            <v>0</v>
          </cell>
          <cell r="U1409">
            <v>0</v>
          </cell>
        </row>
        <row r="1410">
          <cell r="A1410" t="str">
            <v>OCT 2014</v>
          </cell>
          <cell r="B1410" t="str">
            <v>KUUM_495</v>
          </cell>
          <cell r="S1410">
            <v>0</v>
          </cell>
          <cell r="T1410">
            <v>0</v>
          </cell>
          <cell r="U1410">
            <v>0</v>
          </cell>
        </row>
        <row r="1411">
          <cell r="A1411" t="str">
            <v>OCT 2014</v>
          </cell>
          <cell r="B1411" t="str">
            <v>KUUM_496</v>
          </cell>
          <cell r="S1411">
            <v>0</v>
          </cell>
          <cell r="T1411">
            <v>0</v>
          </cell>
          <cell r="U1411">
            <v>0</v>
          </cell>
        </row>
        <row r="1412">
          <cell r="A1412" t="str">
            <v>OCT 2014</v>
          </cell>
          <cell r="B1412" t="str">
            <v>KUUM_497</v>
          </cell>
          <cell r="S1412">
            <v>0</v>
          </cell>
          <cell r="T1412">
            <v>0</v>
          </cell>
          <cell r="U1412">
            <v>0</v>
          </cell>
        </row>
        <row r="1413">
          <cell r="A1413" t="str">
            <v>OCT 2014</v>
          </cell>
          <cell r="B1413" t="str">
            <v>KUUM_498</v>
          </cell>
          <cell r="S1413">
            <v>0</v>
          </cell>
          <cell r="T1413">
            <v>0</v>
          </cell>
          <cell r="U1413">
            <v>0</v>
          </cell>
        </row>
        <row r="1414">
          <cell r="A1414" t="str">
            <v>OCT 2014</v>
          </cell>
          <cell r="B1414" t="str">
            <v>KUUM_499</v>
          </cell>
          <cell r="S1414">
            <v>0</v>
          </cell>
          <cell r="T1414">
            <v>0</v>
          </cell>
          <cell r="U1414">
            <v>0</v>
          </cell>
        </row>
        <row r="1415">
          <cell r="A1415" t="str">
            <v>OCT 2014</v>
          </cell>
          <cell r="B1415" t="str">
            <v>ODL</v>
          </cell>
          <cell r="E1415">
            <v>10491976</v>
          </cell>
          <cell r="M1415">
            <v>8074</v>
          </cell>
          <cell r="R1415">
            <v>2130303.25</v>
          </cell>
          <cell r="S1415">
            <v>2082944.25</v>
          </cell>
          <cell r="T1415">
            <v>0</v>
          </cell>
          <cell r="U1415">
            <v>39285</v>
          </cell>
        </row>
        <row r="1416">
          <cell r="A1416" t="str">
            <v>OCT 2014</v>
          </cell>
          <cell r="B1416" t="str">
            <v>KUUM_825</v>
          </cell>
          <cell r="S1416">
            <v>0</v>
          </cell>
          <cell r="T1416">
            <v>0</v>
          </cell>
          <cell r="U1416">
            <v>0</v>
          </cell>
        </row>
        <row r="1417">
          <cell r="A1417" t="str">
            <v>OCT 2014</v>
          </cell>
          <cell r="B1417" t="str">
            <v>KUUM_826</v>
          </cell>
          <cell r="S1417">
            <v>0</v>
          </cell>
          <cell r="T1417">
            <v>0</v>
          </cell>
          <cell r="U1417">
            <v>0</v>
          </cell>
        </row>
        <row r="1418">
          <cell r="A1418" t="str">
            <v>OCT 2014</v>
          </cell>
          <cell r="B1418" t="str">
            <v>KUUM_827</v>
          </cell>
          <cell r="S1418">
            <v>0</v>
          </cell>
          <cell r="T1418">
            <v>0</v>
          </cell>
          <cell r="U1418">
            <v>0</v>
          </cell>
        </row>
        <row r="1419">
          <cell r="A1419" t="str">
            <v>OCT 2014</v>
          </cell>
          <cell r="B1419" t="str">
            <v>KUUM_828</v>
          </cell>
          <cell r="S1419">
            <v>0</v>
          </cell>
          <cell r="T1419">
            <v>0</v>
          </cell>
          <cell r="U1419">
            <v>0</v>
          </cell>
        </row>
        <row r="1420">
          <cell r="A1420" t="str">
            <v>OCT 2014</v>
          </cell>
          <cell r="B1420" t="str">
            <v>KUUM_829</v>
          </cell>
          <cell r="S1420">
            <v>0</v>
          </cell>
          <cell r="T1420">
            <v>0</v>
          </cell>
          <cell r="U1420">
            <v>0</v>
          </cell>
        </row>
        <row r="1421">
          <cell r="A1421" t="str">
            <v>OCT 2014</v>
          </cell>
          <cell r="B1421" t="str">
            <v>ODRSE010</v>
          </cell>
          <cell r="S1421">
            <v>0</v>
          </cell>
          <cell r="T1421">
            <v>0</v>
          </cell>
          <cell r="U1421">
            <v>0</v>
          </cell>
        </row>
        <row r="1422">
          <cell r="A1422" t="str">
            <v>OCT 2014</v>
          </cell>
          <cell r="B1422" t="str">
            <v>ODRSE020</v>
          </cell>
          <cell r="S1422">
            <v>0</v>
          </cell>
          <cell r="T1422">
            <v>0</v>
          </cell>
          <cell r="U1422">
            <v>0</v>
          </cell>
        </row>
        <row r="1423">
          <cell r="A1423" t="str">
            <v>OCT 2014</v>
          </cell>
          <cell r="B1423" t="str">
            <v>Result</v>
          </cell>
          <cell r="S1423">
            <v>0</v>
          </cell>
          <cell r="T1423">
            <v>0</v>
          </cell>
          <cell r="U1423">
            <v>0</v>
          </cell>
        </row>
        <row r="1424">
          <cell r="A1424" t="str">
            <v>NOV 2014</v>
          </cell>
          <cell r="B1424" t="str">
            <v>KTRSE020</v>
          </cell>
          <cell r="S1424">
            <v>0</v>
          </cell>
          <cell r="T1424">
            <v>0</v>
          </cell>
          <cell r="U1424">
            <v>0</v>
          </cell>
        </row>
        <row r="1425">
          <cell r="A1425" t="str">
            <v>NOV 2014</v>
          </cell>
          <cell r="B1425" t="str">
            <v>KTRSE030</v>
          </cell>
          <cell r="S1425">
            <v>0</v>
          </cell>
          <cell r="T1425">
            <v>0</v>
          </cell>
          <cell r="U1425">
            <v>0</v>
          </cell>
        </row>
        <row r="1426">
          <cell r="A1426" t="str">
            <v>NOV 2014</v>
          </cell>
          <cell r="B1426" t="str">
            <v>KTUM_406</v>
          </cell>
          <cell r="S1426">
            <v>0</v>
          </cell>
          <cell r="T1426">
            <v>0</v>
          </cell>
          <cell r="U1426">
            <v>0</v>
          </cell>
        </row>
        <row r="1427">
          <cell r="A1427" t="str">
            <v>NOV 2014</v>
          </cell>
          <cell r="B1427" t="str">
            <v>KTUM_428</v>
          </cell>
          <cell r="S1427">
            <v>0</v>
          </cell>
          <cell r="T1427">
            <v>0</v>
          </cell>
          <cell r="U1427">
            <v>0</v>
          </cell>
        </row>
        <row r="1428">
          <cell r="A1428" t="str">
            <v>NOV 2014</v>
          </cell>
          <cell r="B1428" t="str">
            <v>KUCIE000</v>
          </cell>
          <cell r="S1428">
            <v>0</v>
          </cell>
          <cell r="T1428">
            <v>0</v>
          </cell>
          <cell r="U1428">
            <v>0</v>
          </cell>
        </row>
        <row r="1429">
          <cell r="A1429" t="str">
            <v>NOV 2014</v>
          </cell>
          <cell r="B1429" t="str">
            <v>KUCIE550</v>
          </cell>
          <cell r="E1429">
            <v>129791083</v>
          </cell>
          <cell r="F1429">
            <v>24000</v>
          </cell>
          <cell r="L1429">
            <v>0</v>
          </cell>
          <cell r="M1429">
            <v>317934</v>
          </cell>
          <cell r="R1429">
            <v>7874306</v>
          </cell>
          <cell r="S1429">
            <v>4716608</v>
          </cell>
          <cell r="T1429">
            <v>2313842</v>
          </cell>
          <cell r="U1429">
            <v>501921</v>
          </cell>
        </row>
        <row r="1430">
          <cell r="A1430" t="str">
            <v>NOV 2014</v>
          </cell>
          <cell r="B1430" t="str">
            <v>KUCIE561</v>
          </cell>
          <cell r="E1430">
            <v>18873291</v>
          </cell>
          <cell r="F1430">
            <v>36720</v>
          </cell>
          <cell r="L1430">
            <v>38179</v>
          </cell>
          <cell r="M1430">
            <v>46232</v>
          </cell>
          <cell r="R1430">
            <v>1571456</v>
          </cell>
          <cell r="S1430">
            <v>672267</v>
          </cell>
          <cell r="T1430">
            <v>705073</v>
          </cell>
          <cell r="U1430">
            <v>72986</v>
          </cell>
        </row>
        <row r="1431">
          <cell r="A1431" t="str">
            <v>NOV 2014</v>
          </cell>
          <cell r="B1431" t="str">
            <v>KUCIE562</v>
          </cell>
          <cell r="E1431">
            <v>165279163</v>
          </cell>
          <cell r="F1431">
            <v>433350</v>
          </cell>
          <cell r="L1431">
            <v>334346</v>
          </cell>
          <cell r="M1431">
            <v>404865</v>
          </cell>
          <cell r="R1431">
            <v>14767504</v>
          </cell>
          <cell r="S1431">
            <v>5890549</v>
          </cell>
          <cell r="T1431">
            <v>7065235</v>
          </cell>
          <cell r="U1431">
            <v>639159</v>
          </cell>
        </row>
        <row r="1432">
          <cell r="A1432" t="str">
            <v>NOV 2014</v>
          </cell>
          <cell r="B1432" t="str">
            <v>KUCIE563</v>
          </cell>
          <cell r="E1432">
            <v>240299969</v>
          </cell>
          <cell r="F1432">
            <v>15600</v>
          </cell>
          <cell r="L1432">
            <v>486107</v>
          </cell>
          <cell r="M1432">
            <v>588635</v>
          </cell>
          <cell r="R1432">
            <v>15297703</v>
          </cell>
          <cell r="S1432">
            <v>9047294</v>
          </cell>
          <cell r="T1432">
            <v>4230792</v>
          </cell>
          <cell r="U1432">
            <v>929275</v>
          </cell>
        </row>
        <row r="1433">
          <cell r="A1433" t="str">
            <v>NOV 2014</v>
          </cell>
          <cell r="B1433" t="str">
            <v>KUCIE566</v>
          </cell>
          <cell r="S1433">
            <v>0</v>
          </cell>
          <cell r="T1433">
            <v>0</v>
          </cell>
          <cell r="U1433">
            <v>0</v>
          </cell>
        </row>
        <row r="1434">
          <cell r="A1434" t="str">
            <v>NOV 2014</v>
          </cell>
          <cell r="B1434" t="str">
            <v>KUCIE568</v>
          </cell>
          <cell r="S1434">
            <v>0</v>
          </cell>
          <cell r="T1434">
            <v>0</v>
          </cell>
          <cell r="U1434">
            <v>0</v>
          </cell>
        </row>
        <row r="1435">
          <cell r="A1435" t="str">
            <v>NOV 2014</v>
          </cell>
          <cell r="B1435" t="str">
            <v>KUCIE571</v>
          </cell>
          <cell r="E1435">
            <v>100603039</v>
          </cell>
          <cell r="F1435">
            <v>54600</v>
          </cell>
          <cell r="L1435">
            <v>203512</v>
          </cell>
          <cell r="M1435">
            <v>246436</v>
          </cell>
          <cell r="R1435">
            <v>6901479</v>
          </cell>
          <cell r="S1435">
            <v>3787705</v>
          </cell>
          <cell r="T1435">
            <v>2220181</v>
          </cell>
          <cell r="U1435">
            <v>389047</v>
          </cell>
        </row>
        <row r="1436">
          <cell r="A1436" t="str">
            <v>NOV 2014</v>
          </cell>
          <cell r="B1436" t="str">
            <v>KUCIE572</v>
          </cell>
          <cell r="E1436">
            <v>108841166</v>
          </cell>
          <cell r="F1436">
            <v>90600</v>
          </cell>
          <cell r="L1436">
            <v>220177</v>
          </cell>
          <cell r="M1436">
            <v>266616</v>
          </cell>
          <cell r="R1436">
            <v>7870699</v>
          </cell>
          <cell r="S1436">
            <v>4106578</v>
          </cell>
          <cell r="T1436">
            <v>2765825</v>
          </cell>
          <cell r="U1436">
            <v>420905</v>
          </cell>
        </row>
        <row r="1437">
          <cell r="A1437" t="str">
            <v>NOV 2014</v>
          </cell>
          <cell r="B1437" t="str">
            <v>KUCIE717</v>
          </cell>
          <cell r="S1437">
            <v>0</v>
          </cell>
          <cell r="T1437">
            <v>0</v>
          </cell>
          <cell r="U1437">
            <v>0</v>
          </cell>
        </row>
        <row r="1438">
          <cell r="A1438" t="str">
            <v>NOV 2014</v>
          </cell>
          <cell r="B1438" t="str">
            <v>KUCME000</v>
          </cell>
          <cell r="S1438">
            <v>0</v>
          </cell>
          <cell r="T1438">
            <v>0</v>
          </cell>
          <cell r="U1438">
            <v>0</v>
          </cell>
        </row>
        <row r="1439">
          <cell r="A1439" t="str">
            <v>NOV 2014</v>
          </cell>
          <cell r="B1439" t="str">
            <v>KUCME110</v>
          </cell>
          <cell r="E1439">
            <v>53225861</v>
          </cell>
          <cell r="F1439">
            <v>1268572</v>
          </cell>
          <cell r="L1439">
            <v>107672</v>
          </cell>
          <cell r="M1439">
            <v>130381</v>
          </cell>
          <cell r="R1439">
            <v>6622543</v>
          </cell>
          <cell r="S1439">
            <v>4910086</v>
          </cell>
          <cell r="T1439">
            <v>0</v>
          </cell>
          <cell r="U1439">
            <v>205832</v>
          </cell>
        </row>
        <row r="1440">
          <cell r="A1440" t="str">
            <v>NOV 2014</v>
          </cell>
          <cell r="B1440" t="str">
            <v>KUCME112</v>
          </cell>
          <cell r="S1440">
            <v>0</v>
          </cell>
          <cell r="T1440">
            <v>0</v>
          </cell>
          <cell r="U1440">
            <v>0</v>
          </cell>
        </row>
        <row r="1441">
          <cell r="A1441" t="str">
            <v>NOV 2014</v>
          </cell>
          <cell r="B1441" t="str">
            <v>KUCME113</v>
          </cell>
          <cell r="E1441">
            <v>77573970</v>
          </cell>
          <cell r="F1441">
            <v>648948</v>
          </cell>
          <cell r="L1441">
            <v>156926</v>
          </cell>
          <cell r="M1441">
            <v>190024</v>
          </cell>
          <cell r="R1441">
            <v>8452087</v>
          </cell>
          <cell r="S1441">
            <v>7156198</v>
          </cell>
          <cell r="T1441">
            <v>0</v>
          </cell>
          <cell r="U1441">
            <v>299990</v>
          </cell>
        </row>
        <row r="1442">
          <cell r="A1442" t="str">
            <v>NOV 2014</v>
          </cell>
          <cell r="B1442" t="str">
            <v>KUCME220</v>
          </cell>
          <cell r="E1442">
            <v>624557</v>
          </cell>
          <cell r="F1442">
            <v>7440</v>
          </cell>
          <cell r="L1442">
            <v>1263</v>
          </cell>
          <cell r="M1442">
            <v>1530</v>
          </cell>
          <cell r="R1442">
            <v>59116</v>
          </cell>
          <cell r="S1442">
            <v>46466</v>
          </cell>
          <cell r="T1442">
            <v>0</v>
          </cell>
          <cell r="U1442">
            <v>2415</v>
          </cell>
        </row>
        <row r="1443">
          <cell r="A1443" t="str">
            <v>NOV 2014</v>
          </cell>
          <cell r="B1443" t="str">
            <v>KUCME221</v>
          </cell>
          <cell r="S1443">
            <v>0</v>
          </cell>
          <cell r="T1443">
            <v>0</v>
          </cell>
          <cell r="U1443">
            <v>0</v>
          </cell>
        </row>
        <row r="1444">
          <cell r="A1444" t="str">
            <v>NOV 2014</v>
          </cell>
          <cell r="B1444" t="str">
            <v>KUCME223</v>
          </cell>
          <cell r="S1444">
            <v>0</v>
          </cell>
          <cell r="T1444">
            <v>0</v>
          </cell>
          <cell r="U1444">
            <v>0</v>
          </cell>
        </row>
        <row r="1445">
          <cell r="A1445" t="str">
            <v>NOV 2014</v>
          </cell>
          <cell r="B1445" t="str">
            <v>KUCME224</v>
          </cell>
          <cell r="E1445">
            <v>11575861</v>
          </cell>
          <cell r="F1445">
            <v>9030</v>
          </cell>
          <cell r="L1445">
            <v>23417</v>
          </cell>
          <cell r="M1445">
            <v>28356</v>
          </cell>
          <cell r="R1445">
            <v>966813</v>
          </cell>
          <cell r="S1445">
            <v>861244</v>
          </cell>
          <cell r="T1445">
            <v>0</v>
          </cell>
          <cell r="U1445">
            <v>44766</v>
          </cell>
        </row>
        <row r="1446">
          <cell r="A1446" t="str">
            <v>NOV 2014</v>
          </cell>
          <cell r="B1446" t="str">
            <v>KUCME225</v>
          </cell>
          <cell r="S1446">
            <v>0</v>
          </cell>
          <cell r="T1446">
            <v>0</v>
          </cell>
          <cell r="U1446">
            <v>0</v>
          </cell>
        </row>
        <row r="1447">
          <cell r="A1447" t="str">
            <v>NOV 2014</v>
          </cell>
          <cell r="B1447" t="str">
            <v>KUCME226</v>
          </cell>
          <cell r="S1447">
            <v>0</v>
          </cell>
          <cell r="T1447">
            <v>0</v>
          </cell>
          <cell r="U1447">
            <v>0</v>
          </cell>
        </row>
        <row r="1448">
          <cell r="A1448" t="str">
            <v>NOV 2014</v>
          </cell>
          <cell r="B1448" t="str">
            <v>KUCME227</v>
          </cell>
          <cell r="S1448">
            <v>0</v>
          </cell>
          <cell r="T1448">
            <v>0</v>
          </cell>
          <cell r="U1448">
            <v>0</v>
          </cell>
        </row>
        <row r="1449">
          <cell r="A1449" t="str">
            <v>NOV 2014</v>
          </cell>
          <cell r="B1449" t="str">
            <v>KUCME290</v>
          </cell>
          <cell r="E1449">
            <v>15644</v>
          </cell>
          <cell r="M1449">
            <v>38</v>
          </cell>
          <cell r="R1449">
            <v>1097</v>
          </cell>
          <cell r="S1449">
            <v>998.08719999999994</v>
          </cell>
          <cell r="T1449">
            <v>0</v>
          </cell>
          <cell r="U1449">
            <v>61</v>
          </cell>
        </row>
        <row r="1450">
          <cell r="A1450" t="str">
            <v>NOV 2014</v>
          </cell>
          <cell r="B1450" t="str">
            <v>KUCME291</v>
          </cell>
          <cell r="S1450">
            <v>0</v>
          </cell>
          <cell r="T1450">
            <v>0</v>
          </cell>
          <cell r="U1450">
            <v>0</v>
          </cell>
        </row>
        <row r="1451">
          <cell r="A1451" t="str">
            <v>NOV 2014</v>
          </cell>
          <cell r="B1451" t="str">
            <v>KUCME295</v>
          </cell>
          <cell r="E1451">
            <v>98259</v>
          </cell>
          <cell r="F1451">
            <v>2427.75</v>
          </cell>
          <cell r="M1451">
            <v>241</v>
          </cell>
          <cell r="R1451">
            <v>10887.75</v>
          </cell>
          <cell r="S1451">
            <v>7839</v>
          </cell>
          <cell r="T1451">
            <v>0</v>
          </cell>
          <cell r="U1451">
            <v>380</v>
          </cell>
        </row>
        <row r="1452">
          <cell r="A1452" t="str">
            <v>NOV 2014</v>
          </cell>
          <cell r="B1452" t="str">
            <v>KUCME297</v>
          </cell>
          <cell r="S1452">
            <v>0</v>
          </cell>
          <cell r="T1452">
            <v>0</v>
          </cell>
          <cell r="U1452">
            <v>0</v>
          </cell>
        </row>
        <row r="1453">
          <cell r="A1453" t="str">
            <v>NOV 2014</v>
          </cell>
          <cell r="B1453" t="str">
            <v>KUCME705</v>
          </cell>
          <cell r="S1453">
            <v>0</v>
          </cell>
          <cell r="T1453">
            <v>0</v>
          </cell>
          <cell r="U1453">
            <v>0</v>
          </cell>
        </row>
        <row r="1454">
          <cell r="A1454" t="str">
            <v>NOV 2014</v>
          </cell>
          <cell r="B1454" t="str">
            <v>KUCME707</v>
          </cell>
          <cell r="S1454">
            <v>0</v>
          </cell>
          <cell r="T1454">
            <v>0</v>
          </cell>
          <cell r="U1454">
            <v>0</v>
          </cell>
        </row>
        <row r="1455">
          <cell r="A1455" t="str">
            <v>NOV 2014</v>
          </cell>
          <cell r="B1455" t="str">
            <v>KUCME710</v>
          </cell>
          <cell r="S1455">
            <v>0</v>
          </cell>
          <cell r="T1455">
            <v>0</v>
          </cell>
          <cell r="U1455">
            <v>0</v>
          </cell>
        </row>
        <row r="1456">
          <cell r="A1456" t="str">
            <v>NOV 2014</v>
          </cell>
          <cell r="B1456" t="str">
            <v>KUCME713</v>
          </cell>
          <cell r="S1456">
            <v>0</v>
          </cell>
          <cell r="T1456">
            <v>0</v>
          </cell>
          <cell r="U1456">
            <v>0</v>
          </cell>
        </row>
        <row r="1457">
          <cell r="A1457" t="str">
            <v>NOV 2014</v>
          </cell>
          <cell r="B1457" t="str">
            <v>KUCSR760</v>
          </cell>
          <cell r="P1457">
            <v>-989829</v>
          </cell>
          <cell r="R1457">
            <v>-989829</v>
          </cell>
          <cell r="S1457">
            <v>0</v>
          </cell>
          <cell r="T1457">
            <v>0</v>
          </cell>
          <cell r="U1457">
            <v>0</v>
          </cell>
        </row>
        <row r="1458">
          <cell r="A1458" t="str">
            <v>NOV 2014</v>
          </cell>
          <cell r="B1458" t="str">
            <v>KUCSR761</v>
          </cell>
          <cell r="S1458">
            <v>0</v>
          </cell>
          <cell r="T1458">
            <v>0</v>
          </cell>
          <cell r="U1458">
            <v>0</v>
          </cell>
        </row>
        <row r="1459">
          <cell r="A1459" t="str">
            <v>NOV 2014</v>
          </cell>
          <cell r="B1459" t="str">
            <v>KUCSR783</v>
          </cell>
          <cell r="S1459">
            <v>0</v>
          </cell>
          <cell r="T1459">
            <v>0</v>
          </cell>
          <cell r="U1459">
            <v>0</v>
          </cell>
        </row>
        <row r="1460">
          <cell r="A1460" t="str">
            <v>NOV 2014</v>
          </cell>
          <cell r="B1460" t="str">
            <v>KUCUE851</v>
          </cell>
          <cell r="S1460">
            <v>0</v>
          </cell>
          <cell r="T1460">
            <v>0</v>
          </cell>
          <cell r="U1460">
            <v>0</v>
          </cell>
        </row>
        <row r="1461">
          <cell r="A1461" t="str">
            <v>NOV 2014</v>
          </cell>
          <cell r="B1461" t="str">
            <v>KUCUE852</v>
          </cell>
          <cell r="S1461">
            <v>0</v>
          </cell>
          <cell r="T1461">
            <v>0</v>
          </cell>
          <cell r="U1461">
            <v>0</v>
          </cell>
        </row>
        <row r="1462">
          <cell r="A1462" t="str">
            <v>NOV 2014</v>
          </cell>
          <cell r="B1462" t="str">
            <v>KUINE730</v>
          </cell>
          <cell r="E1462">
            <v>44497248</v>
          </cell>
          <cell r="F1462">
            <v>750</v>
          </cell>
          <cell r="M1462">
            <v>109000</v>
          </cell>
          <cell r="R1462">
            <v>2453082</v>
          </cell>
          <cell r="S1462">
            <v>1451055</v>
          </cell>
          <cell r="T1462">
            <v>720199</v>
          </cell>
          <cell r="U1462">
            <v>172077</v>
          </cell>
        </row>
        <row r="1463">
          <cell r="A1463" t="str">
            <v>NOV 2014</v>
          </cell>
          <cell r="B1463" t="str">
            <v>KUMNE902</v>
          </cell>
          <cell r="S1463">
            <v>0</v>
          </cell>
          <cell r="T1463">
            <v>0</v>
          </cell>
          <cell r="U1463">
            <v>0</v>
          </cell>
        </row>
        <row r="1464">
          <cell r="A1464" t="str">
            <v>NOV 2014</v>
          </cell>
          <cell r="B1464" t="str">
            <v>KUMNE903</v>
          </cell>
          <cell r="S1464">
            <v>0</v>
          </cell>
          <cell r="T1464">
            <v>0</v>
          </cell>
          <cell r="U1464">
            <v>0</v>
          </cell>
        </row>
        <row r="1465">
          <cell r="A1465" t="str">
            <v>NOV 2014</v>
          </cell>
          <cell r="B1465" t="str">
            <v>KUMNE934</v>
          </cell>
          <cell r="S1465">
            <v>0</v>
          </cell>
          <cell r="T1465">
            <v>0</v>
          </cell>
          <cell r="U1465">
            <v>0</v>
          </cell>
        </row>
        <row r="1466">
          <cell r="A1466" t="str">
            <v>NOV 2014</v>
          </cell>
          <cell r="B1466" t="str">
            <v>KURSE000</v>
          </cell>
          <cell r="S1466">
            <v>0</v>
          </cell>
          <cell r="T1466">
            <v>0</v>
          </cell>
          <cell r="U1466">
            <v>0</v>
          </cell>
        </row>
        <row r="1467">
          <cell r="A1467" t="str">
            <v>NOV 2014</v>
          </cell>
          <cell r="B1467" t="str">
            <v>KURSE010</v>
          </cell>
          <cell r="E1467">
            <v>412194813</v>
          </cell>
          <cell r="F1467">
            <v>4598658</v>
          </cell>
          <cell r="L1467">
            <v>833836</v>
          </cell>
          <cell r="M1467">
            <v>1009706</v>
          </cell>
          <cell r="R1467">
            <v>39956584</v>
          </cell>
          <cell r="S1467">
            <v>31920367</v>
          </cell>
          <cell r="T1467">
            <v>0</v>
          </cell>
          <cell r="U1467">
            <v>1594018</v>
          </cell>
        </row>
        <row r="1468">
          <cell r="A1468" t="str">
            <v>NOV 2014</v>
          </cell>
          <cell r="B1468" t="str">
            <v>KURSE020</v>
          </cell>
          <cell r="S1468">
            <v>0</v>
          </cell>
          <cell r="T1468">
            <v>0</v>
          </cell>
          <cell r="U1468">
            <v>0</v>
          </cell>
        </row>
        <row r="1469">
          <cell r="A1469" t="str">
            <v>NOV 2014</v>
          </cell>
          <cell r="B1469" t="str">
            <v>KURSE025</v>
          </cell>
          <cell r="S1469">
            <v>0</v>
          </cell>
          <cell r="T1469">
            <v>0</v>
          </cell>
          <cell r="U1469">
            <v>0</v>
          </cell>
        </row>
        <row r="1470">
          <cell r="A1470" t="str">
            <v>NOV 2014</v>
          </cell>
          <cell r="B1470" t="str">
            <v>KURSE040</v>
          </cell>
          <cell r="S1470">
            <v>0</v>
          </cell>
          <cell r="T1470">
            <v>0</v>
          </cell>
          <cell r="U1470">
            <v>0</v>
          </cell>
        </row>
        <row r="1471">
          <cell r="A1471" t="str">
            <v>NOV 2014</v>
          </cell>
          <cell r="B1471" t="str">
            <v>KURSE080</v>
          </cell>
          <cell r="S1471">
            <v>0</v>
          </cell>
          <cell r="T1471">
            <v>0</v>
          </cell>
          <cell r="U1471">
            <v>0</v>
          </cell>
        </row>
        <row r="1472">
          <cell r="A1472" t="str">
            <v>NOV 2014</v>
          </cell>
          <cell r="B1472" t="str">
            <v>KURSE715</v>
          </cell>
          <cell r="S1472">
            <v>0</v>
          </cell>
          <cell r="T1472">
            <v>0</v>
          </cell>
          <cell r="U1472">
            <v>0</v>
          </cell>
        </row>
        <row r="1473">
          <cell r="A1473" t="str">
            <v>NOV 2014</v>
          </cell>
          <cell r="B1473" t="str">
            <v>KUUM_000</v>
          </cell>
          <cell r="S1473">
            <v>0</v>
          </cell>
          <cell r="T1473">
            <v>0</v>
          </cell>
          <cell r="U1473">
            <v>0</v>
          </cell>
        </row>
        <row r="1474">
          <cell r="A1474" t="str">
            <v>NOV 2014</v>
          </cell>
          <cell r="B1474" t="str">
            <v>KUUM_360</v>
          </cell>
          <cell r="S1474">
            <v>0</v>
          </cell>
          <cell r="T1474">
            <v>0</v>
          </cell>
          <cell r="U1474">
            <v>0</v>
          </cell>
        </row>
        <row r="1475">
          <cell r="A1475" t="str">
            <v>NOV 2014</v>
          </cell>
          <cell r="B1475" t="str">
            <v>KUUM_361</v>
          </cell>
          <cell r="S1475">
            <v>0</v>
          </cell>
          <cell r="T1475">
            <v>0</v>
          </cell>
          <cell r="U1475">
            <v>0</v>
          </cell>
        </row>
        <row r="1476">
          <cell r="A1476" t="str">
            <v>NOV 2014</v>
          </cell>
          <cell r="B1476" t="str">
            <v>KUUM_362</v>
          </cell>
          <cell r="S1476">
            <v>0</v>
          </cell>
          <cell r="T1476">
            <v>0</v>
          </cell>
          <cell r="U1476">
            <v>0</v>
          </cell>
        </row>
        <row r="1477">
          <cell r="A1477" t="str">
            <v>NOV 2014</v>
          </cell>
          <cell r="B1477" t="str">
            <v>KUUM_363</v>
          </cell>
          <cell r="S1477">
            <v>0</v>
          </cell>
          <cell r="T1477">
            <v>0</v>
          </cell>
          <cell r="U1477">
            <v>0</v>
          </cell>
        </row>
        <row r="1478">
          <cell r="A1478" t="str">
            <v>NOV 2014</v>
          </cell>
          <cell r="B1478" t="str">
            <v>KUUM_364</v>
          </cell>
          <cell r="S1478">
            <v>0</v>
          </cell>
          <cell r="T1478">
            <v>0</v>
          </cell>
          <cell r="U1478">
            <v>0</v>
          </cell>
        </row>
        <row r="1479">
          <cell r="A1479" t="str">
            <v>NOV 2014</v>
          </cell>
          <cell r="B1479" t="str">
            <v>KUUM_365</v>
          </cell>
          <cell r="S1479">
            <v>0</v>
          </cell>
          <cell r="T1479">
            <v>0</v>
          </cell>
          <cell r="U1479">
            <v>0</v>
          </cell>
        </row>
        <row r="1480">
          <cell r="A1480" t="str">
            <v>NOV 2014</v>
          </cell>
          <cell r="B1480" t="str">
            <v>KUUM_366</v>
          </cell>
          <cell r="S1480">
            <v>0</v>
          </cell>
          <cell r="T1480">
            <v>0</v>
          </cell>
          <cell r="U1480">
            <v>0</v>
          </cell>
        </row>
        <row r="1481">
          <cell r="A1481" t="str">
            <v>NOV 2014</v>
          </cell>
          <cell r="B1481" t="str">
            <v>KUUM_367</v>
          </cell>
          <cell r="S1481">
            <v>0</v>
          </cell>
          <cell r="T1481">
            <v>0</v>
          </cell>
          <cell r="U1481">
            <v>0</v>
          </cell>
        </row>
        <row r="1482">
          <cell r="A1482" t="str">
            <v>NOV 2014</v>
          </cell>
          <cell r="B1482" t="str">
            <v>KUUM_368</v>
          </cell>
          <cell r="S1482">
            <v>0</v>
          </cell>
          <cell r="T1482">
            <v>0</v>
          </cell>
          <cell r="U1482">
            <v>0</v>
          </cell>
        </row>
        <row r="1483">
          <cell r="A1483" t="str">
            <v>NOV 2014</v>
          </cell>
          <cell r="B1483" t="str">
            <v>KUUM_370</v>
          </cell>
          <cell r="S1483">
            <v>0</v>
          </cell>
          <cell r="T1483">
            <v>0</v>
          </cell>
          <cell r="U1483">
            <v>0</v>
          </cell>
        </row>
        <row r="1484">
          <cell r="A1484" t="str">
            <v>NOV 2014</v>
          </cell>
          <cell r="B1484" t="str">
            <v>KUUM_372</v>
          </cell>
          <cell r="S1484">
            <v>0</v>
          </cell>
          <cell r="T1484">
            <v>0</v>
          </cell>
          <cell r="U1484">
            <v>0</v>
          </cell>
        </row>
        <row r="1485">
          <cell r="A1485" t="str">
            <v>NOV 2014</v>
          </cell>
          <cell r="B1485" t="str">
            <v>KUUM_373</v>
          </cell>
          <cell r="S1485">
            <v>0</v>
          </cell>
          <cell r="T1485">
            <v>0</v>
          </cell>
          <cell r="U1485">
            <v>0</v>
          </cell>
        </row>
        <row r="1486">
          <cell r="A1486" t="str">
            <v>NOV 2014</v>
          </cell>
          <cell r="B1486" t="str">
            <v>KUUM_374</v>
          </cell>
          <cell r="S1486">
            <v>0</v>
          </cell>
          <cell r="T1486">
            <v>0</v>
          </cell>
          <cell r="U1486">
            <v>0</v>
          </cell>
        </row>
        <row r="1487">
          <cell r="A1487" t="str">
            <v>NOV 2014</v>
          </cell>
          <cell r="B1487" t="str">
            <v>KUUM_375</v>
          </cell>
          <cell r="S1487">
            <v>0</v>
          </cell>
          <cell r="T1487">
            <v>0</v>
          </cell>
          <cell r="U1487">
            <v>0</v>
          </cell>
        </row>
        <row r="1488">
          <cell r="A1488" t="str">
            <v>NOV 2014</v>
          </cell>
          <cell r="B1488" t="str">
            <v>KUUM_376</v>
          </cell>
          <cell r="S1488">
            <v>0</v>
          </cell>
          <cell r="T1488">
            <v>0</v>
          </cell>
          <cell r="U1488">
            <v>0</v>
          </cell>
        </row>
        <row r="1489">
          <cell r="A1489" t="str">
            <v>NOV 2014</v>
          </cell>
          <cell r="B1489" t="str">
            <v>KUUM_377</v>
          </cell>
          <cell r="S1489">
            <v>0</v>
          </cell>
          <cell r="T1489">
            <v>0</v>
          </cell>
          <cell r="U1489">
            <v>0</v>
          </cell>
        </row>
        <row r="1490">
          <cell r="A1490" t="str">
            <v>NOV 2014</v>
          </cell>
          <cell r="B1490" t="str">
            <v>KUUM_378</v>
          </cell>
          <cell r="S1490">
            <v>0</v>
          </cell>
          <cell r="T1490">
            <v>0</v>
          </cell>
          <cell r="U1490">
            <v>0</v>
          </cell>
        </row>
        <row r="1491">
          <cell r="A1491" t="str">
            <v>NOV 2014</v>
          </cell>
          <cell r="B1491" t="str">
            <v>KUUM_401</v>
          </cell>
          <cell r="S1491">
            <v>0</v>
          </cell>
          <cell r="T1491">
            <v>0</v>
          </cell>
          <cell r="U1491">
            <v>0</v>
          </cell>
        </row>
        <row r="1492">
          <cell r="A1492" t="str">
            <v>NOV 2014</v>
          </cell>
          <cell r="B1492" t="str">
            <v>KUUM_404</v>
          </cell>
          <cell r="S1492">
            <v>0</v>
          </cell>
          <cell r="T1492">
            <v>0</v>
          </cell>
          <cell r="U1492">
            <v>0</v>
          </cell>
        </row>
        <row r="1493">
          <cell r="A1493" t="str">
            <v>NOV 2014</v>
          </cell>
          <cell r="B1493" t="str">
            <v>KUUM_409</v>
          </cell>
          <cell r="S1493">
            <v>0</v>
          </cell>
          <cell r="T1493">
            <v>0</v>
          </cell>
          <cell r="U1493">
            <v>0</v>
          </cell>
        </row>
        <row r="1494">
          <cell r="A1494" t="str">
            <v>NOV 2014</v>
          </cell>
          <cell r="B1494" t="str">
            <v>KUUM_410</v>
          </cell>
          <cell r="S1494">
            <v>0</v>
          </cell>
          <cell r="T1494">
            <v>0</v>
          </cell>
          <cell r="U1494">
            <v>0</v>
          </cell>
        </row>
        <row r="1495">
          <cell r="A1495" t="str">
            <v>NOV 2014</v>
          </cell>
          <cell r="B1495" t="str">
            <v>KUUM_411</v>
          </cell>
          <cell r="S1495">
            <v>0</v>
          </cell>
          <cell r="T1495">
            <v>0</v>
          </cell>
          <cell r="U1495">
            <v>0</v>
          </cell>
        </row>
        <row r="1496">
          <cell r="A1496" t="str">
            <v>NOV 2014</v>
          </cell>
          <cell r="B1496" t="str">
            <v>KUUM_412</v>
          </cell>
          <cell r="S1496">
            <v>0</v>
          </cell>
          <cell r="T1496">
            <v>0</v>
          </cell>
          <cell r="U1496">
            <v>0</v>
          </cell>
        </row>
        <row r="1497">
          <cell r="A1497" t="str">
            <v>NOV 2014</v>
          </cell>
          <cell r="B1497" t="str">
            <v>KUUM_413</v>
          </cell>
          <cell r="S1497">
            <v>0</v>
          </cell>
          <cell r="T1497">
            <v>0</v>
          </cell>
          <cell r="U1497">
            <v>0</v>
          </cell>
        </row>
        <row r="1498">
          <cell r="A1498" t="str">
            <v>NOV 2014</v>
          </cell>
          <cell r="B1498" t="str">
            <v>KUUM_414</v>
          </cell>
          <cell r="S1498">
            <v>0</v>
          </cell>
          <cell r="T1498">
            <v>0</v>
          </cell>
          <cell r="U1498">
            <v>0</v>
          </cell>
        </row>
        <row r="1499">
          <cell r="A1499" t="str">
            <v>NOV 2014</v>
          </cell>
          <cell r="B1499" t="str">
            <v>KUUM_415</v>
          </cell>
          <cell r="S1499">
            <v>0</v>
          </cell>
          <cell r="T1499">
            <v>0</v>
          </cell>
          <cell r="U1499">
            <v>0</v>
          </cell>
        </row>
        <row r="1500">
          <cell r="A1500" t="str">
            <v>NOV 2014</v>
          </cell>
          <cell r="B1500" t="str">
            <v>KUUM_420</v>
          </cell>
          <cell r="S1500">
            <v>0</v>
          </cell>
          <cell r="T1500">
            <v>0</v>
          </cell>
          <cell r="U1500">
            <v>0</v>
          </cell>
        </row>
        <row r="1501">
          <cell r="A1501" t="str">
            <v>NOV 2014</v>
          </cell>
          <cell r="B1501" t="str">
            <v>KUUM_421</v>
          </cell>
          <cell r="S1501">
            <v>0</v>
          </cell>
          <cell r="T1501">
            <v>0</v>
          </cell>
          <cell r="U1501">
            <v>0</v>
          </cell>
        </row>
        <row r="1502">
          <cell r="A1502" t="str">
            <v>NOV 2014</v>
          </cell>
          <cell r="B1502" t="str">
            <v>KUUM_422</v>
          </cell>
          <cell r="S1502">
            <v>0</v>
          </cell>
          <cell r="T1502">
            <v>0</v>
          </cell>
          <cell r="U1502">
            <v>0</v>
          </cell>
        </row>
        <row r="1503">
          <cell r="A1503" t="str">
            <v>NOV 2014</v>
          </cell>
          <cell r="B1503" t="str">
            <v>KUUM_424</v>
          </cell>
          <cell r="S1503">
            <v>0</v>
          </cell>
          <cell r="T1503">
            <v>0</v>
          </cell>
          <cell r="U1503">
            <v>0</v>
          </cell>
        </row>
        <row r="1504">
          <cell r="A1504" t="str">
            <v>NOV 2014</v>
          </cell>
          <cell r="B1504" t="str">
            <v>KUUM_425</v>
          </cell>
          <cell r="S1504">
            <v>0</v>
          </cell>
          <cell r="T1504">
            <v>0</v>
          </cell>
          <cell r="U1504">
            <v>0</v>
          </cell>
        </row>
        <row r="1505">
          <cell r="A1505" t="str">
            <v>NOV 2014</v>
          </cell>
          <cell r="B1505" t="str">
            <v>KUUM_426</v>
          </cell>
          <cell r="S1505">
            <v>0</v>
          </cell>
          <cell r="T1505">
            <v>0</v>
          </cell>
          <cell r="U1505">
            <v>0</v>
          </cell>
        </row>
        <row r="1506">
          <cell r="A1506" t="str">
            <v>NOV 2014</v>
          </cell>
          <cell r="B1506" t="str">
            <v>KUUM_428</v>
          </cell>
          <cell r="S1506">
            <v>0</v>
          </cell>
          <cell r="T1506">
            <v>0</v>
          </cell>
          <cell r="U1506">
            <v>0</v>
          </cell>
        </row>
        <row r="1507">
          <cell r="A1507" t="str">
            <v>NOV 2014</v>
          </cell>
          <cell r="B1507" t="str">
            <v>KUUM_430</v>
          </cell>
          <cell r="S1507">
            <v>0</v>
          </cell>
          <cell r="T1507">
            <v>0</v>
          </cell>
          <cell r="U1507">
            <v>0</v>
          </cell>
        </row>
        <row r="1508">
          <cell r="A1508" t="str">
            <v>NOV 2014</v>
          </cell>
          <cell r="B1508" t="str">
            <v>KUUM_434</v>
          </cell>
          <cell r="S1508">
            <v>0</v>
          </cell>
          <cell r="T1508">
            <v>0</v>
          </cell>
          <cell r="U1508">
            <v>0</v>
          </cell>
        </row>
        <row r="1509">
          <cell r="A1509" t="str">
            <v>NOV 2014</v>
          </cell>
          <cell r="B1509" t="str">
            <v>KUUM_440</v>
          </cell>
          <cell r="S1509">
            <v>0</v>
          </cell>
          <cell r="T1509">
            <v>0</v>
          </cell>
          <cell r="U1509">
            <v>0</v>
          </cell>
        </row>
        <row r="1510">
          <cell r="A1510" t="str">
            <v>NOV 2014</v>
          </cell>
          <cell r="B1510" t="str">
            <v>KUUM_446</v>
          </cell>
          <cell r="S1510">
            <v>0</v>
          </cell>
          <cell r="T1510">
            <v>0</v>
          </cell>
          <cell r="U1510">
            <v>0</v>
          </cell>
        </row>
        <row r="1511">
          <cell r="A1511" t="str">
            <v>NOV 2014</v>
          </cell>
          <cell r="B1511" t="str">
            <v>KUUM_447</v>
          </cell>
          <cell r="S1511">
            <v>0</v>
          </cell>
          <cell r="T1511">
            <v>0</v>
          </cell>
          <cell r="U1511">
            <v>0</v>
          </cell>
        </row>
        <row r="1512">
          <cell r="A1512" t="str">
            <v>NOV 2014</v>
          </cell>
          <cell r="B1512" t="str">
            <v>KUUM_448</v>
          </cell>
          <cell r="S1512">
            <v>0</v>
          </cell>
          <cell r="T1512">
            <v>0</v>
          </cell>
          <cell r="U1512">
            <v>0</v>
          </cell>
        </row>
        <row r="1513">
          <cell r="A1513" t="str">
            <v>NOV 2014</v>
          </cell>
          <cell r="B1513" t="str">
            <v>KUUM_450</v>
          </cell>
          <cell r="S1513">
            <v>0</v>
          </cell>
          <cell r="T1513">
            <v>0</v>
          </cell>
          <cell r="U1513">
            <v>0</v>
          </cell>
        </row>
        <row r="1514">
          <cell r="A1514" t="str">
            <v>NOV 2014</v>
          </cell>
          <cell r="B1514" t="str">
            <v>KUUM_451</v>
          </cell>
          <cell r="S1514">
            <v>0</v>
          </cell>
          <cell r="T1514">
            <v>0</v>
          </cell>
          <cell r="U1514">
            <v>0</v>
          </cell>
        </row>
        <row r="1515">
          <cell r="A1515" t="str">
            <v>NOV 2014</v>
          </cell>
          <cell r="B1515" t="str">
            <v>KUUM_452</v>
          </cell>
          <cell r="S1515">
            <v>0</v>
          </cell>
          <cell r="T1515">
            <v>0</v>
          </cell>
          <cell r="U1515">
            <v>0</v>
          </cell>
        </row>
        <row r="1516">
          <cell r="A1516" t="str">
            <v>NOV 2014</v>
          </cell>
          <cell r="B1516" t="str">
            <v>KUUM_454</v>
          </cell>
          <cell r="S1516">
            <v>0</v>
          </cell>
          <cell r="T1516">
            <v>0</v>
          </cell>
          <cell r="U1516">
            <v>0</v>
          </cell>
        </row>
        <row r="1517">
          <cell r="A1517" t="str">
            <v>NOV 2014</v>
          </cell>
          <cell r="B1517" t="str">
            <v>KUUM_455</v>
          </cell>
          <cell r="S1517">
            <v>0</v>
          </cell>
          <cell r="T1517">
            <v>0</v>
          </cell>
          <cell r="U1517">
            <v>0</v>
          </cell>
        </row>
        <row r="1518">
          <cell r="A1518" t="str">
            <v>NOV 2014</v>
          </cell>
          <cell r="B1518" t="str">
            <v>KUUM_456</v>
          </cell>
          <cell r="S1518">
            <v>0</v>
          </cell>
          <cell r="T1518">
            <v>0</v>
          </cell>
          <cell r="U1518">
            <v>0</v>
          </cell>
        </row>
        <row r="1519">
          <cell r="A1519" t="str">
            <v>NOV 2014</v>
          </cell>
          <cell r="B1519" t="str">
            <v>KUUM_457</v>
          </cell>
          <cell r="S1519">
            <v>0</v>
          </cell>
          <cell r="T1519">
            <v>0</v>
          </cell>
          <cell r="U1519">
            <v>0</v>
          </cell>
        </row>
        <row r="1520">
          <cell r="A1520" t="str">
            <v>NOV 2014</v>
          </cell>
          <cell r="B1520" t="str">
            <v>KUUM_458</v>
          </cell>
          <cell r="S1520">
            <v>0</v>
          </cell>
          <cell r="T1520">
            <v>0</v>
          </cell>
          <cell r="U1520">
            <v>0</v>
          </cell>
        </row>
        <row r="1521">
          <cell r="A1521" t="str">
            <v>NOV 2014</v>
          </cell>
          <cell r="B1521" t="str">
            <v>KUUM_459</v>
          </cell>
          <cell r="S1521">
            <v>0</v>
          </cell>
          <cell r="T1521">
            <v>0</v>
          </cell>
          <cell r="U1521">
            <v>0</v>
          </cell>
        </row>
        <row r="1522">
          <cell r="A1522" t="str">
            <v>NOV 2014</v>
          </cell>
          <cell r="B1522" t="str">
            <v>KUUM_460</v>
          </cell>
          <cell r="S1522">
            <v>0</v>
          </cell>
          <cell r="T1522">
            <v>0</v>
          </cell>
          <cell r="U1522">
            <v>0</v>
          </cell>
        </row>
        <row r="1523">
          <cell r="A1523" t="str">
            <v>NOV 2014</v>
          </cell>
          <cell r="B1523" t="str">
            <v>KUUM_461</v>
          </cell>
          <cell r="S1523">
            <v>0</v>
          </cell>
          <cell r="T1523">
            <v>0</v>
          </cell>
          <cell r="U1523">
            <v>0</v>
          </cell>
        </row>
        <row r="1524">
          <cell r="A1524" t="str">
            <v>NOV 2014</v>
          </cell>
          <cell r="B1524" t="str">
            <v>KUUM_462</v>
          </cell>
          <cell r="S1524">
            <v>0</v>
          </cell>
          <cell r="T1524">
            <v>0</v>
          </cell>
          <cell r="U1524">
            <v>0</v>
          </cell>
        </row>
        <row r="1525">
          <cell r="A1525" t="str">
            <v>NOV 2014</v>
          </cell>
          <cell r="B1525" t="str">
            <v>KUUM_463</v>
          </cell>
          <cell r="S1525">
            <v>0</v>
          </cell>
          <cell r="T1525">
            <v>0</v>
          </cell>
          <cell r="U1525">
            <v>0</v>
          </cell>
        </row>
        <row r="1526">
          <cell r="A1526" t="str">
            <v>NOV 2014</v>
          </cell>
          <cell r="B1526" t="str">
            <v>KUUM_464</v>
          </cell>
          <cell r="S1526">
            <v>0</v>
          </cell>
          <cell r="T1526">
            <v>0</v>
          </cell>
          <cell r="U1526">
            <v>0</v>
          </cell>
        </row>
        <row r="1527">
          <cell r="A1527" t="str">
            <v>NOV 2014</v>
          </cell>
          <cell r="B1527" t="str">
            <v>KUUM_465</v>
          </cell>
          <cell r="S1527">
            <v>0</v>
          </cell>
          <cell r="T1527">
            <v>0</v>
          </cell>
          <cell r="U1527">
            <v>0</v>
          </cell>
        </row>
        <row r="1528">
          <cell r="A1528" t="str">
            <v>NOV 2014</v>
          </cell>
          <cell r="B1528" t="str">
            <v>KUUM_465CU</v>
          </cell>
          <cell r="S1528">
            <v>0</v>
          </cell>
          <cell r="T1528">
            <v>0</v>
          </cell>
          <cell r="U1528">
            <v>0</v>
          </cell>
        </row>
        <row r="1529">
          <cell r="A1529" t="str">
            <v>NOV 2014</v>
          </cell>
          <cell r="B1529" t="str">
            <v>KUUM_466</v>
          </cell>
          <cell r="S1529">
            <v>0</v>
          </cell>
          <cell r="T1529">
            <v>0</v>
          </cell>
          <cell r="U1529">
            <v>0</v>
          </cell>
        </row>
        <row r="1530">
          <cell r="A1530" t="str">
            <v>NOV 2014</v>
          </cell>
          <cell r="B1530" t="str">
            <v>KUUM_467</v>
          </cell>
          <cell r="S1530">
            <v>0</v>
          </cell>
          <cell r="T1530">
            <v>0</v>
          </cell>
          <cell r="U1530">
            <v>0</v>
          </cell>
        </row>
        <row r="1531">
          <cell r="A1531" t="str">
            <v>NOV 2014</v>
          </cell>
          <cell r="B1531" t="str">
            <v>KUUM_468</v>
          </cell>
          <cell r="S1531">
            <v>0</v>
          </cell>
          <cell r="T1531">
            <v>0</v>
          </cell>
          <cell r="U1531">
            <v>0</v>
          </cell>
        </row>
        <row r="1532">
          <cell r="A1532" t="str">
            <v>NOV 2014</v>
          </cell>
          <cell r="B1532" t="str">
            <v>KUUM_469</v>
          </cell>
          <cell r="S1532">
            <v>0</v>
          </cell>
          <cell r="T1532">
            <v>0</v>
          </cell>
          <cell r="U1532">
            <v>0</v>
          </cell>
        </row>
        <row r="1533">
          <cell r="A1533" t="str">
            <v>NOV 2014</v>
          </cell>
          <cell r="B1533" t="str">
            <v>KUUM_470</v>
          </cell>
          <cell r="S1533">
            <v>0</v>
          </cell>
          <cell r="T1533">
            <v>0</v>
          </cell>
          <cell r="U1533">
            <v>0</v>
          </cell>
        </row>
        <row r="1534">
          <cell r="A1534" t="str">
            <v>NOV 2014</v>
          </cell>
          <cell r="B1534" t="str">
            <v>KUUM_471</v>
          </cell>
          <cell r="S1534">
            <v>0</v>
          </cell>
          <cell r="T1534">
            <v>0</v>
          </cell>
          <cell r="U1534">
            <v>0</v>
          </cell>
        </row>
        <row r="1535">
          <cell r="A1535" t="str">
            <v>NOV 2014</v>
          </cell>
          <cell r="B1535" t="str">
            <v>KUUM_472</v>
          </cell>
          <cell r="S1535">
            <v>0</v>
          </cell>
          <cell r="T1535">
            <v>0</v>
          </cell>
          <cell r="U1535">
            <v>0</v>
          </cell>
        </row>
        <row r="1536">
          <cell r="A1536" t="str">
            <v>NOV 2014</v>
          </cell>
          <cell r="B1536" t="str">
            <v>KUUM_473</v>
          </cell>
          <cell r="S1536">
            <v>0</v>
          </cell>
          <cell r="T1536">
            <v>0</v>
          </cell>
          <cell r="U1536">
            <v>0</v>
          </cell>
        </row>
        <row r="1537">
          <cell r="A1537" t="str">
            <v>NOV 2014</v>
          </cell>
          <cell r="B1537" t="str">
            <v>KUUM_474</v>
          </cell>
          <cell r="S1537">
            <v>0</v>
          </cell>
          <cell r="T1537">
            <v>0</v>
          </cell>
          <cell r="U1537">
            <v>0</v>
          </cell>
        </row>
        <row r="1538">
          <cell r="A1538" t="str">
            <v>NOV 2014</v>
          </cell>
          <cell r="B1538" t="str">
            <v>KUUM_475</v>
          </cell>
          <cell r="S1538">
            <v>0</v>
          </cell>
          <cell r="T1538">
            <v>0</v>
          </cell>
          <cell r="U1538">
            <v>0</v>
          </cell>
        </row>
        <row r="1539">
          <cell r="A1539" t="str">
            <v>NOV 2014</v>
          </cell>
          <cell r="B1539" t="str">
            <v>KUUM_476</v>
          </cell>
          <cell r="S1539">
            <v>0</v>
          </cell>
          <cell r="T1539">
            <v>0</v>
          </cell>
          <cell r="U1539">
            <v>0</v>
          </cell>
        </row>
        <row r="1540">
          <cell r="A1540" t="str">
            <v>NOV 2014</v>
          </cell>
          <cell r="B1540" t="str">
            <v>KUUM_477</v>
          </cell>
          <cell r="S1540">
            <v>0</v>
          </cell>
          <cell r="T1540">
            <v>0</v>
          </cell>
          <cell r="U1540">
            <v>0</v>
          </cell>
        </row>
        <row r="1541">
          <cell r="A1541" t="str">
            <v>NOV 2014</v>
          </cell>
          <cell r="B1541" t="str">
            <v>KUUM_478</v>
          </cell>
          <cell r="S1541">
            <v>0</v>
          </cell>
          <cell r="T1541">
            <v>0</v>
          </cell>
          <cell r="U1541">
            <v>0</v>
          </cell>
        </row>
        <row r="1542">
          <cell r="A1542" t="str">
            <v>NOV 2014</v>
          </cell>
          <cell r="B1542" t="str">
            <v>KUUM_479</v>
          </cell>
          <cell r="S1542">
            <v>0</v>
          </cell>
          <cell r="T1542">
            <v>0</v>
          </cell>
          <cell r="U1542">
            <v>0</v>
          </cell>
        </row>
        <row r="1543">
          <cell r="A1543" t="str">
            <v>NOV 2014</v>
          </cell>
          <cell r="B1543" t="str">
            <v>KUUM_487</v>
          </cell>
          <cell r="S1543">
            <v>0</v>
          </cell>
          <cell r="T1543">
            <v>0</v>
          </cell>
          <cell r="U1543">
            <v>0</v>
          </cell>
        </row>
        <row r="1544">
          <cell r="A1544" t="str">
            <v>NOV 2014</v>
          </cell>
          <cell r="B1544" t="str">
            <v>KUUM_488</v>
          </cell>
          <cell r="S1544">
            <v>0</v>
          </cell>
          <cell r="T1544">
            <v>0</v>
          </cell>
          <cell r="U1544">
            <v>0</v>
          </cell>
        </row>
        <row r="1545">
          <cell r="A1545" t="str">
            <v>NOV 2014</v>
          </cell>
          <cell r="B1545" t="str">
            <v>KUUM_489</v>
          </cell>
          <cell r="S1545">
            <v>0</v>
          </cell>
          <cell r="T1545">
            <v>0</v>
          </cell>
          <cell r="U1545">
            <v>0</v>
          </cell>
        </row>
        <row r="1546">
          <cell r="A1546" t="str">
            <v>NOV 2014</v>
          </cell>
          <cell r="B1546" t="str">
            <v>KUUM_490</v>
          </cell>
          <cell r="S1546">
            <v>0</v>
          </cell>
          <cell r="T1546">
            <v>0</v>
          </cell>
          <cell r="U1546">
            <v>0</v>
          </cell>
        </row>
        <row r="1547">
          <cell r="A1547" t="str">
            <v>NOV 2014</v>
          </cell>
          <cell r="B1547" t="str">
            <v>KUUM_491</v>
          </cell>
          <cell r="S1547">
            <v>0</v>
          </cell>
          <cell r="T1547">
            <v>0</v>
          </cell>
          <cell r="U1547">
            <v>0</v>
          </cell>
        </row>
        <row r="1548">
          <cell r="A1548" t="str">
            <v>NOV 2014</v>
          </cell>
          <cell r="B1548" t="str">
            <v>KUUM_492</v>
          </cell>
          <cell r="S1548">
            <v>0</v>
          </cell>
          <cell r="T1548">
            <v>0</v>
          </cell>
          <cell r="U1548">
            <v>0</v>
          </cell>
        </row>
        <row r="1549">
          <cell r="A1549" t="str">
            <v>NOV 2014</v>
          </cell>
          <cell r="B1549" t="str">
            <v>KUUM_493</v>
          </cell>
          <cell r="S1549">
            <v>0</v>
          </cell>
          <cell r="T1549">
            <v>0</v>
          </cell>
          <cell r="U1549">
            <v>0</v>
          </cell>
        </row>
        <row r="1550">
          <cell r="A1550" t="str">
            <v>NOV 2014</v>
          </cell>
          <cell r="B1550" t="str">
            <v>KUUM_494</v>
          </cell>
          <cell r="S1550">
            <v>0</v>
          </cell>
          <cell r="T1550">
            <v>0</v>
          </cell>
          <cell r="U1550">
            <v>0</v>
          </cell>
        </row>
        <row r="1551">
          <cell r="A1551" t="str">
            <v>NOV 2014</v>
          </cell>
          <cell r="B1551" t="str">
            <v>KUUM_495</v>
          </cell>
          <cell r="S1551">
            <v>0</v>
          </cell>
          <cell r="T1551">
            <v>0</v>
          </cell>
          <cell r="U1551">
            <v>0</v>
          </cell>
        </row>
        <row r="1552">
          <cell r="A1552" t="str">
            <v>NOV 2014</v>
          </cell>
          <cell r="B1552" t="str">
            <v>KUUM_496</v>
          </cell>
          <cell r="S1552">
            <v>0</v>
          </cell>
          <cell r="T1552">
            <v>0</v>
          </cell>
          <cell r="U1552">
            <v>0</v>
          </cell>
        </row>
        <row r="1553">
          <cell r="A1553" t="str">
            <v>NOV 2014</v>
          </cell>
          <cell r="B1553" t="str">
            <v>KUUM_497</v>
          </cell>
          <cell r="S1553">
            <v>0</v>
          </cell>
          <cell r="T1553">
            <v>0</v>
          </cell>
          <cell r="U1553">
            <v>0</v>
          </cell>
        </row>
        <row r="1554">
          <cell r="A1554" t="str">
            <v>NOV 2014</v>
          </cell>
          <cell r="B1554" t="str">
            <v>KUUM_498</v>
          </cell>
          <cell r="S1554">
            <v>0</v>
          </cell>
          <cell r="T1554">
            <v>0</v>
          </cell>
          <cell r="U1554">
            <v>0</v>
          </cell>
        </row>
        <row r="1555">
          <cell r="A1555" t="str">
            <v>NOV 2014</v>
          </cell>
          <cell r="B1555" t="str">
            <v>KUUM_499</v>
          </cell>
          <cell r="S1555">
            <v>0</v>
          </cell>
          <cell r="T1555">
            <v>0</v>
          </cell>
          <cell r="U1555">
            <v>0</v>
          </cell>
        </row>
        <row r="1556">
          <cell r="A1556" t="str">
            <v>NOV 2014</v>
          </cell>
          <cell r="B1556" t="str">
            <v>ODL</v>
          </cell>
          <cell r="E1556">
            <v>10215241</v>
          </cell>
          <cell r="M1556">
            <v>25023</v>
          </cell>
          <cell r="R1556">
            <v>2080592.25</v>
          </cell>
          <cell r="S1556">
            <v>2016066.25</v>
          </cell>
          <cell r="T1556">
            <v>0</v>
          </cell>
          <cell r="U1556">
            <v>39503</v>
          </cell>
        </row>
        <row r="1557">
          <cell r="A1557" t="str">
            <v>NOV 2014</v>
          </cell>
          <cell r="B1557" t="str">
            <v>KUUM_825</v>
          </cell>
          <cell r="S1557">
            <v>0</v>
          </cell>
          <cell r="T1557">
            <v>0</v>
          </cell>
          <cell r="U1557">
            <v>0</v>
          </cell>
        </row>
        <row r="1558">
          <cell r="A1558" t="str">
            <v>NOV 2014</v>
          </cell>
          <cell r="B1558" t="str">
            <v>KUUM_826</v>
          </cell>
          <cell r="S1558">
            <v>0</v>
          </cell>
          <cell r="T1558">
            <v>0</v>
          </cell>
          <cell r="U1558">
            <v>0</v>
          </cell>
        </row>
        <row r="1559">
          <cell r="A1559" t="str">
            <v>NOV 2014</v>
          </cell>
          <cell r="B1559" t="str">
            <v>KUUM_827</v>
          </cell>
          <cell r="S1559">
            <v>0</v>
          </cell>
          <cell r="T1559">
            <v>0</v>
          </cell>
          <cell r="U1559">
            <v>0</v>
          </cell>
        </row>
        <row r="1560">
          <cell r="A1560" t="str">
            <v>NOV 2014</v>
          </cell>
          <cell r="B1560" t="str">
            <v>KUUM_828</v>
          </cell>
          <cell r="S1560">
            <v>0</v>
          </cell>
          <cell r="T1560">
            <v>0</v>
          </cell>
          <cell r="U1560">
            <v>0</v>
          </cell>
        </row>
        <row r="1561">
          <cell r="A1561" t="str">
            <v>NOV 2014</v>
          </cell>
          <cell r="B1561" t="str">
            <v>KUUM_829</v>
          </cell>
          <cell r="S1561">
            <v>0</v>
          </cell>
          <cell r="T1561">
            <v>0</v>
          </cell>
          <cell r="U1561">
            <v>0</v>
          </cell>
        </row>
        <row r="1562">
          <cell r="A1562" t="str">
            <v>NOV 2014</v>
          </cell>
          <cell r="B1562" t="str">
            <v>ODRSE010</v>
          </cell>
          <cell r="S1562">
            <v>0</v>
          </cell>
          <cell r="T1562">
            <v>0</v>
          </cell>
          <cell r="U1562">
            <v>0</v>
          </cell>
        </row>
        <row r="1563">
          <cell r="A1563" t="str">
            <v>NOV 2014</v>
          </cell>
          <cell r="B1563" t="str">
            <v>ODRSE020</v>
          </cell>
          <cell r="S1563">
            <v>0</v>
          </cell>
          <cell r="T1563">
            <v>0</v>
          </cell>
          <cell r="U1563">
            <v>0</v>
          </cell>
        </row>
        <row r="1564">
          <cell r="A1564" t="str">
            <v>NOV 2014</v>
          </cell>
          <cell r="B1564" t="str">
            <v>Result</v>
          </cell>
          <cell r="S1564">
            <v>0</v>
          </cell>
          <cell r="T1564">
            <v>0</v>
          </cell>
          <cell r="U1564">
            <v>0</v>
          </cell>
        </row>
        <row r="1565">
          <cell r="A1565" t="str">
            <v>DEC 2014</v>
          </cell>
          <cell r="B1565" t="str">
            <v>KTRSE020</v>
          </cell>
          <cell r="S1565">
            <v>0</v>
          </cell>
          <cell r="T1565">
            <v>0</v>
          </cell>
          <cell r="U1565">
            <v>0</v>
          </cell>
        </row>
        <row r="1566">
          <cell r="A1566" t="str">
            <v>DEC 2014</v>
          </cell>
          <cell r="B1566" t="str">
            <v>KTRSE030</v>
          </cell>
          <cell r="S1566">
            <v>0</v>
          </cell>
          <cell r="T1566">
            <v>0</v>
          </cell>
          <cell r="U1566">
            <v>0</v>
          </cell>
        </row>
        <row r="1567">
          <cell r="A1567" t="str">
            <v>DEC 2014</v>
          </cell>
          <cell r="B1567" t="str">
            <v>KTUM_406</v>
          </cell>
          <cell r="S1567">
            <v>0</v>
          </cell>
          <cell r="T1567">
            <v>0</v>
          </cell>
          <cell r="U1567">
            <v>0</v>
          </cell>
        </row>
        <row r="1568">
          <cell r="A1568" t="str">
            <v>DEC 2014</v>
          </cell>
          <cell r="B1568" t="str">
            <v>KTUM_428</v>
          </cell>
          <cell r="S1568">
            <v>0</v>
          </cell>
          <cell r="T1568">
            <v>0</v>
          </cell>
          <cell r="U1568">
            <v>0</v>
          </cell>
        </row>
        <row r="1569">
          <cell r="A1569" t="str">
            <v>DEC 2014</v>
          </cell>
          <cell r="B1569" t="str">
            <v>KUCIE000</v>
          </cell>
          <cell r="S1569">
            <v>0</v>
          </cell>
          <cell r="T1569">
            <v>0</v>
          </cell>
          <cell r="U1569">
            <v>0</v>
          </cell>
        </row>
        <row r="1570">
          <cell r="A1570" t="str">
            <v>DEC 2014</v>
          </cell>
          <cell r="B1570" t="str">
            <v>KUCIE550</v>
          </cell>
          <cell r="E1570">
            <v>134177811</v>
          </cell>
          <cell r="F1570">
            <v>24000</v>
          </cell>
          <cell r="L1570">
            <v>0</v>
          </cell>
          <cell r="M1570">
            <v>484800</v>
          </cell>
          <cell r="R1570">
            <v>8183733</v>
          </cell>
          <cell r="S1570">
            <v>4876021</v>
          </cell>
          <cell r="T1570">
            <v>2372328</v>
          </cell>
          <cell r="U1570">
            <v>426583</v>
          </cell>
        </row>
        <row r="1571">
          <cell r="A1571" t="str">
            <v>DEC 2014</v>
          </cell>
          <cell r="B1571" t="str">
            <v>KUCIE561</v>
          </cell>
          <cell r="E1571">
            <v>18871437</v>
          </cell>
          <cell r="F1571">
            <v>36380</v>
          </cell>
          <cell r="L1571">
            <v>40132</v>
          </cell>
          <cell r="M1571">
            <v>68185</v>
          </cell>
          <cell r="R1571">
            <v>1580915</v>
          </cell>
          <cell r="S1571">
            <v>672201</v>
          </cell>
          <cell r="T1571">
            <v>704021</v>
          </cell>
          <cell r="U1571">
            <v>59997</v>
          </cell>
        </row>
        <row r="1572">
          <cell r="A1572" t="str">
            <v>DEC 2014</v>
          </cell>
          <cell r="B1572" t="str">
            <v>KUCIE562</v>
          </cell>
          <cell r="E1572">
            <v>178534635</v>
          </cell>
          <cell r="F1572">
            <v>432000</v>
          </cell>
          <cell r="L1572">
            <v>379668</v>
          </cell>
          <cell r="M1572">
            <v>645066</v>
          </cell>
          <cell r="R1572">
            <v>16011123</v>
          </cell>
          <cell r="S1572">
            <v>6362975</v>
          </cell>
          <cell r="T1572">
            <v>7623810</v>
          </cell>
          <cell r="U1572">
            <v>567604</v>
          </cell>
        </row>
        <row r="1573">
          <cell r="A1573" t="str">
            <v>DEC 2014</v>
          </cell>
          <cell r="B1573" t="str">
            <v>KUCIE563</v>
          </cell>
          <cell r="E1573">
            <v>240013581</v>
          </cell>
          <cell r="F1573">
            <v>15600</v>
          </cell>
          <cell r="L1573">
            <v>510408</v>
          </cell>
          <cell r="M1573">
            <v>867196</v>
          </cell>
          <cell r="R1573">
            <v>15384664</v>
          </cell>
          <cell r="S1573">
            <v>9036512</v>
          </cell>
          <cell r="T1573">
            <v>4191888</v>
          </cell>
          <cell r="U1573">
            <v>763060</v>
          </cell>
        </row>
        <row r="1574">
          <cell r="A1574" t="str">
            <v>DEC 2014</v>
          </cell>
          <cell r="B1574" t="str">
            <v>KUCIE566</v>
          </cell>
          <cell r="S1574">
            <v>0</v>
          </cell>
          <cell r="T1574">
            <v>0</v>
          </cell>
          <cell r="U1574">
            <v>0</v>
          </cell>
        </row>
        <row r="1575">
          <cell r="A1575" t="str">
            <v>DEC 2014</v>
          </cell>
          <cell r="B1575" t="str">
            <v>KUCIE568</v>
          </cell>
          <cell r="S1575">
            <v>0</v>
          </cell>
          <cell r="T1575">
            <v>0</v>
          </cell>
          <cell r="U1575">
            <v>0</v>
          </cell>
        </row>
        <row r="1576">
          <cell r="A1576" t="str">
            <v>DEC 2014</v>
          </cell>
          <cell r="B1576" t="str">
            <v>KUCIE571</v>
          </cell>
          <cell r="E1576">
            <v>100462503</v>
          </cell>
          <cell r="F1576">
            <v>55200</v>
          </cell>
          <cell r="L1576">
            <v>213642</v>
          </cell>
          <cell r="M1576">
            <v>362982</v>
          </cell>
          <cell r="R1576">
            <v>6840904</v>
          </cell>
          <cell r="S1576">
            <v>3782414</v>
          </cell>
          <cell r="T1576">
            <v>2107273</v>
          </cell>
          <cell r="U1576">
            <v>319394</v>
          </cell>
        </row>
        <row r="1577">
          <cell r="A1577" t="str">
            <v>DEC 2014</v>
          </cell>
          <cell r="B1577" t="str">
            <v>KUCIE572</v>
          </cell>
          <cell r="E1577">
            <v>117631384</v>
          </cell>
          <cell r="F1577">
            <v>90800</v>
          </cell>
          <cell r="L1577">
            <v>250153</v>
          </cell>
          <cell r="M1577">
            <v>425016</v>
          </cell>
          <cell r="R1577">
            <v>8568142</v>
          </cell>
          <cell r="S1577">
            <v>4438232</v>
          </cell>
          <cell r="T1577">
            <v>2989964</v>
          </cell>
          <cell r="U1577">
            <v>373978</v>
          </cell>
        </row>
        <row r="1578">
          <cell r="A1578" t="str">
            <v>DEC 2014</v>
          </cell>
          <cell r="B1578" t="str">
            <v>KUCIE717</v>
          </cell>
          <cell r="S1578">
            <v>0</v>
          </cell>
          <cell r="T1578">
            <v>0</v>
          </cell>
          <cell r="U1578">
            <v>0</v>
          </cell>
        </row>
        <row r="1579">
          <cell r="A1579" t="str">
            <v>DEC 2014</v>
          </cell>
          <cell r="B1579" t="str">
            <v>KUCME000</v>
          </cell>
          <cell r="S1579">
            <v>0</v>
          </cell>
          <cell r="T1579">
            <v>0</v>
          </cell>
          <cell r="U1579">
            <v>0</v>
          </cell>
        </row>
        <row r="1580">
          <cell r="A1580" t="str">
            <v>DEC 2014</v>
          </cell>
          <cell r="B1580" t="str">
            <v>KUCME110</v>
          </cell>
          <cell r="E1580">
            <v>65046378</v>
          </cell>
          <cell r="F1580">
            <v>1268727</v>
          </cell>
          <cell r="L1580">
            <v>138326</v>
          </cell>
          <cell r="M1580">
            <v>235020</v>
          </cell>
          <cell r="R1580">
            <v>7849400</v>
          </cell>
          <cell r="S1580">
            <v>6000528</v>
          </cell>
          <cell r="T1580">
            <v>0</v>
          </cell>
          <cell r="U1580">
            <v>206798</v>
          </cell>
        </row>
        <row r="1581">
          <cell r="A1581" t="str">
            <v>DEC 2014</v>
          </cell>
          <cell r="B1581" t="str">
            <v>KUCME112</v>
          </cell>
          <cell r="S1581">
            <v>0</v>
          </cell>
          <cell r="T1581">
            <v>0</v>
          </cell>
          <cell r="U1581">
            <v>0</v>
          </cell>
        </row>
        <row r="1582">
          <cell r="A1582" t="str">
            <v>DEC 2014</v>
          </cell>
          <cell r="B1582" t="str">
            <v>KUCME113</v>
          </cell>
          <cell r="E1582">
            <v>95315025</v>
          </cell>
          <cell r="F1582">
            <v>649027</v>
          </cell>
          <cell r="L1582">
            <v>202695</v>
          </cell>
          <cell r="M1582">
            <v>344384</v>
          </cell>
          <cell r="R1582">
            <v>10291946</v>
          </cell>
          <cell r="S1582">
            <v>8792812</v>
          </cell>
          <cell r="T1582">
            <v>0</v>
          </cell>
          <cell r="U1582">
            <v>303029</v>
          </cell>
        </row>
        <row r="1583">
          <cell r="A1583" t="str">
            <v>DEC 2014</v>
          </cell>
          <cell r="B1583" t="str">
            <v>KUCME220</v>
          </cell>
          <cell r="E1583">
            <v>706313</v>
          </cell>
          <cell r="F1583">
            <v>7420</v>
          </cell>
          <cell r="L1583">
            <v>1502</v>
          </cell>
          <cell r="M1583">
            <v>2552</v>
          </cell>
          <cell r="R1583">
            <v>66269</v>
          </cell>
          <cell r="S1583">
            <v>52550</v>
          </cell>
          <cell r="T1583">
            <v>0</v>
          </cell>
          <cell r="U1583">
            <v>2246</v>
          </cell>
        </row>
        <row r="1584">
          <cell r="A1584" t="str">
            <v>DEC 2014</v>
          </cell>
          <cell r="B1584" t="str">
            <v>KUCME221</v>
          </cell>
          <cell r="S1584">
            <v>0</v>
          </cell>
          <cell r="T1584">
            <v>0</v>
          </cell>
          <cell r="U1584">
            <v>0</v>
          </cell>
        </row>
        <row r="1585">
          <cell r="A1585" t="str">
            <v>DEC 2014</v>
          </cell>
          <cell r="B1585" t="str">
            <v>KUCME223</v>
          </cell>
          <cell r="S1585">
            <v>0</v>
          </cell>
          <cell r="T1585">
            <v>0</v>
          </cell>
          <cell r="U1585">
            <v>0</v>
          </cell>
        </row>
        <row r="1586">
          <cell r="A1586" t="str">
            <v>DEC 2014</v>
          </cell>
          <cell r="B1586" t="str">
            <v>KUCME224</v>
          </cell>
          <cell r="E1586">
            <v>13091164</v>
          </cell>
          <cell r="F1586">
            <v>8995</v>
          </cell>
          <cell r="L1586">
            <v>27839</v>
          </cell>
          <cell r="M1586">
            <v>47300</v>
          </cell>
          <cell r="R1586">
            <v>1099737</v>
          </cell>
          <cell r="S1586">
            <v>973982</v>
          </cell>
          <cell r="T1586">
            <v>0</v>
          </cell>
          <cell r="U1586">
            <v>41620</v>
          </cell>
        </row>
        <row r="1587">
          <cell r="A1587" t="str">
            <v>DEC 2014</v>
          </cell>
          <cell r="B1587" t="str">
            <v>KUCME225</v>
          </cell>
          <cell r="S1587">
            <v>0</v>
          </cell>
          <cell r="T1587">
            <v>0</v>
          </cell>
          <cell r="U1587">
            <v>0</v>
          </cell>
        </row>
        <row r="1588">
          <cell r="A1588" t="str">
            <v>DEC 2014</v>
          </cell>
          <cell r="B1588" t="str">
            <v>KUCME226</v>
          </cell>
          <cell r="S1588">
            <v>0</v>
          </cell>
          <cell r="T1588">
            <v>0</v>
          </cell>
          <cell r="U1588">
            <v>0</v>
          </cell>
        </row>
        <row r="1589">
          <cell r="A1589" t="str">
            <v>DEC 2014</v>
          </cell>
          <cell r="B1589" t="str">
            <v>KUCME227</v>
          </cell>
          <cell r="S1589">
            <v>0</v>
          </cell>
          <cell r="T1589">
            <v>0</v>
          </cell>
          <cell r="U1589">
            <v>0</v>
          </cell>
        </row>
        <row r="1590">
          <cell r="A1590" t="str">
            <v>DEC 2014</v>
          </cell>
          <cell r="B1590" t="str">
            <v>KUCME290</v>
          </cell>
          <cell r="E1590">
            <v>19258</v>
          </cell>
          <cell r="M1590">
            <v>70</v>
          </cell>
          <cell r="R1590">
            <v>1360</v>
          </cell>
          <cell r="S1590">
            <v>1228.6604</v>
          </cell>
          <cell r="T1590">
            <v>0</v>
          </cell>
          <cell r="U1590">
            <v>61</v>
          </cell>
        </row>
        <row r="1591">
          <cell r="A1591" t="str">
            <v>DEC 2014</v>
          </cell>
          <cell r="B1591" t="str">
            <v>KUCME291</v>
          </cell>
          <cell r="S1591">
            <v>0</v>
          </cell>
          <cell r="T1591">
            <v>0</v>
          </cell>
          <cell r="U1591">
            <v>0</v>
          </cell>
        </row>
        <row r="1592">
          <cell r="A1592" t="str">
            <v>DEC 2014</v>
          </cell>
          <cell r="B1592" t="str">
            <v>KUCME295</v>
          </cell>
          <cell r="E1592">
            <v>112853</v>
          </cell>
          <cell r="F1592">
            <v>2427.75</v>
          </cell>
          <cell r="M1592">
            <v>407</v>
          </cell>
          <cell r="R1592">
            <v>12196.75</v>
          </cell>
          <cell r="S1592">
            <v>9003</v>
          </cell>
          <cell r="T1592">
            <v>0</v>
          </cell>
          <cell r="U1592">
            <v>359</v>
          </cell>
        </row>
        <row r="1593">
          <cell r="A1593" t="str">
            <v>DEC 2014</v>
          </cell>
          <cell r="B1593" t="str">
            <v>KUCME297</v>
          </cell>
          <cell r="S1593">
            <v>0</v>
          </cell>
          <cell r="T1593">
            <v>0</v>
          </cell>
          <cell r="U1593">
            <v>0</v>
          </cell>
        </row>
        <row r="1594">
          <cell r="A1594" t="str">
            <v>DEC 2014</v>
          </cell>
          <cell r="B1594" t="str">
            <v>KUCME705</v>
          </cell>
          <cell r="S1594">
            <v>0</v>
          </cell>
          <cell r="T1594">
            <v>0</v>
          </cell>
          <cell r="U1594">
            <v>0</v>
          </cell>
        </row>
        <row r="1595">
          <cell r="A1595" t="str">
            <v>DEC 2014</v>
          </cell>
          <cell r="B1595" t="str">
            <v>KUCME707</v>
          </cell>
          <cell r="S1595">
            <v>0</v>
          </cell>
          <cell r="T1595">
            <v>0</v>
          </cell>
          <cell r="U1595">
            <v>0</v>
          </cell>
        </row>
        <row r="1596">
          <cell r="A1596" t="str">
            <v>DEC 2014</v>
          </cell>
          <cell r="B1596" t="str">
            <v>KUCME710</v>
          </cell>
          <cell r="S1596">
            <v>0</v>
          </cell>
          <cell r="T1596">
            <v>0</v>
          </cell>
          <cell r="U1596">
            <v>0</v>
          </cell>
        </row>
        <row r="1597">
          <cell r="A1597" t="str">
            <v>DEC 2014</v>
          </cell>
          <cell r="B1597" t="str">
            <v>KUCME713</v>
          </cell>
          <cell r="S1597">
            <v>0</v>
          </cell>
          <cell r="T1597">
            <v>0</v>
          </cell>
          <cell r="U1597">
            <v>0</v>
          </cell>
        </row>
        <row r="1598">
          <cell r="A1598" t="str">
            <v>DEC 2014</v>
          </cell>
          <cell r="B1598" t="str">
            <v>KUCME841</v>
          </cell>
          <cell r="S1598">
            <v>0</v>
          </cell>
          <cell r="T1598">
            <v>0</v>
          </cell>
          <cell r="U1598">
            <v>0</v>
          </cell>
        </row>
        <row r="1599">
          <cell r="A1599" t="str">
            <v>DEC 2014</v>
          </cell>
          <cell r="B1599" t="str">
            <v>KUCSR760</v>
          </cell>
          <cell r="P1599">
            <v>-989829</v>
          </cell>
          <cell r="R1599">
            <v>-989829</v>
          </cell>
          <cell r="S1599">
            <v>0</v>
          </cell>
          <cell r="T1599">
            <v>0</v>
          </cell>
          <cell r="U1599">
            <v>0</v>
          </cell>
        </row>
        <row r="1600">
          <cell r="A1600" t="str">
            <v>DEC 2014</v>
          </cell>
          <cell r="B1600" t="str">
            <v>KUCSR761</v>
          </cell>
          <cell r="S1600">
            <v>0</v>
          </cell>
          <cell r="T1600">
            <v>0</v>
          </cell>
          <cell r="U1600">
            <v>0</v>
          </cell>
        </row>
        <row r="1601">
          <cell r="A1601" t="str">
            <v>DEC 2014</v>
          </cell>
          <cell r="B1601" t="str">
            <v>KUCSR783</v>
          </cell>
          <cell r="S1601">
            <v>0</v>
          </cell>
          <cell r="T1601">
            <v>0</v>
          </cell>
          <cell r="U1601">
            <v>0</v>
          </cell>
        </row>
        <row r="1602">
          <cell r="A1602" t="str">
            <v>DEC 2014</v>
          </cell>
          <cell r="B1602" t="str">
            <v>KUCUE851</v>
          </cell>
          <cell r="S1602">
            <v>0</v>
          </cell>
          <cell r="T1602">
            <v>0</v>
          </cell>
          <cell r="U1602">
            <v>0</v>
          </cell>
        </row>
        <row r="1603">
          <cell r="A1603" t="str">
            <v>DEC 2014</v>
          </cell>
          <cell r="B1603" t="str">
            <v>KUCUE852</v>
          </cell>
          <cell r="S1603">
            <v>0</v>
          </cell>
          <cell r="T1603">
            <v>0</v>
          </cell>
          <cell r="U1603">
            <v>0</v>
          </cell>
        </row>
        <row r="1604">
          <cell r="A1604" t="str">
            <v>DEC 2014</v>
          </cell>
          <cell r="B1604" t="str">
            <v>KUINE730</v>
          </cell>
          <cell r="E1604">
            <v>48145895</v>
          </cell>
          <cell r="F1604">
            <v>750</v>
          </cell>
          <cell r="M1604">
            <v>173957</v>
          </cell>
          <cell r="R1604">
            <v>2618011</v>
          </cell>
          <cell r="S1604">
            <v>1570037</v>
          </cell>
          <cell r="T1604">
            <v>720199</v>
          </cell>
          <cell r="U1604">
            <v>153067</v>
          </cell>
        </row>
        <row r="1605">
          <cell r="A1605" t="str">
            <v>DEC 2014</v>
          </cell>
          <cell r="B1605" t="str">
            <v>KUMNE902</v>
          </cell>
          <cell r="S1605">
            <v>0</v>
          </cell>
          <cell r="T1605">
            <v>0</v>
          </cell>
          <cell r="U1605">
            <v>0</v>
          </cell>
        </row>
        <row r="1606">
          <cell r="A1606" t="str">
            <v>DEC 2014</v>
          </cell>
          <cell r="B1606" t="str">
            <v>KUMNE903</v>
          </cell>
          <cell r="S1606">
            <v>0</v>
          </cell>
          <cell r="T1606">
            <v>0</v>
          </cell>
          <cell r="U1606">
            <v>0</v>
          </cell>
        </row>
        <row r="1607">
          <cell r="A1607" t="str">
            <v>DEC 2014</v>
          </cell>
          <cell r="B1607" t="str">
            <v>KUMNE934</v>
          </cell>
          <cell r="S1607">
            <v>0</v>
          </cell>
          <cell r="T1607">
            <v>0</v>
          </cell>
          <cell r="U1607">
            <v>0</v>
          </cell>
        </row>
        <row r="1608">
          <cell r="A1608" t="str">
            <v>DEC 2014</v>
          </cell>
          <cell r="B1608" t="str">
            <v>KURSE000</v>
          </cell>
          <cell r="S1608">
            <v>0</v>
          </cell>
          <cell r="T1608">
            <v>0</v>
          </cell>
          <cell r="U1608">
            <v>0</v>
          </cell>
        </row>
        <row r="1609">
          <cell r="A1609" t="str">
            <v>DEC 2014</v>
          </cell>
          <cell r="B1609" t="str">
            <v>KURSE010</v>
          </cell>
          <cell r="E1609">
            <v>595382951</v>
          </cell>
          <cell r="F1609">
            <v>4600719</v>
          </cell>
          <cell r="L1609">
            <v>1266130</v>
          </cell>
          <cell r="M1609">
            <v>2151186</v>
          </cell>
          <cell r="R1609">
            <v>56017355</v>
          </cell>
          <cell r="S1609">
            <v>46106455</v>
          </cell>
          <cell r="T1609">
            <v>0</v>
          </cell>
          <cell r="U1609">
            <v>1892864</v>
          </cell>
        </row>
        <row r="1610">
          <cell r="A1610" t="str">
            <v>DEC 2014</v>
          </cell>
          <cell r="B1610" t="str">
            <v>KURSE020</v>
          </cell>
          <cell r="S1610">
            <v>0</v>
          </cell>
          <cell r="T1610">
            <v>0</v>
          </cell>
          <cell r="U1610">
            <v>0</v>
          </cell>
        </row>
        <row r="1611">
          <cell r="A1611" t="str">
            <v>DEC 2014</v>
          </cell>
          <cell r="B1611" t="str">
            <v>KURSE025</v>
          </cell>
          <cell r="S1611">
            <v>0</v>
          </cell>
          <cell r="T1611">
            <v>0</v>
          </cell>
          <cell r="U1611">
            <v>0</v>
          </cell>
        </row>
        <row r="1612">
          <cell r="A1612" t="str">
            <v>DEC 2014</v>
          </cell>
          <cell r="B1612" t="str">
            <v>KURSE040</v>
          </cell>
          <cell r="S1612">
            <v>0</v>
          </cell>
          <cell r="T1612">
            <v>0</v>
          </cell>
          <cell r="U1612">
            <v>0</v>
          </cell>
        </row>
        <row r="1613">
          <cell r="A1613" t="str">
            <v>DEC 2014</v>
          </cell>
          <cell r="B1613" t="str">
            <v>KURSE080</v>
          </cell>
          <cell r="S1613">
            <v>0</v>
          </cell>
          <cell r="T1613">
            <v>0</v>
          </cell>
          <cell r="U1613">
            <v>0</v>
          </cell>
        </row>
        <row r="1614">
          <cell r="A1614" t="str">
            <v>DEC 2014</v>
          </cell>
          <cell r="B1614" t="str">
            <v>KURSE715</v>
          </cell>
          <cell r="S1614">
            <v>0</v>
          </cell>
          <cell r="T1614">
            <v>0</v>
          </cell>
          <cell r="U1614">
            <v>0</v>
          </cell>
        </row>
        <row r="1615">
          <cell r="A1615" t="str">
            <v>DEC 2014</v>
          </cell>
          <cell r="B1615" t="str">
            <v>KUUM_000</v>
          </cell>
          <cell r="S1615">
            <v>0</v>
          </cell>
          <cell r="T1615">
            <v>0</v>
          </cell>
          <cell r="U1615">
            <v>0</v>
          </cell>
        </row>
        <row r="1616">
          <cell r="A1616" t="str">
            <v>DEC 2014</v>
          </cell>
          <cell r="B1616" t="str">
            <v>KUUM_360</v>
          </cell>
          <cell r="S1616">
            <v>0</v>
          </cell>
          <cell r="T1616">
            <v>0</v>
          </cell>
          <cell r="U1616">
            <v>0</v>
          </cell>
        </row>
        <row r="1617">
          <cell r="A1617" t="str">
            <v>DEC 2014</v>
          </cell>
          <cell r="B1617" t="str">
            <v>KUUM_361</v>
          </cell>
          <cell r="S1617">
            <v>0</v>
          </cell>
          <cell r="T1617">
            <v>0</v>
          </cell>
          <cell r="U1617">
            <v>0</v>
          </cell>
        </row>
        <row r="1618">
          <cell r="A1618" t="str">
            <v>DEC 2014</v>
          </cell>
          <cell r="B1618" t="str">
            <v>KUUM_362</v>
          </cell>
          <cell r="S1618">
            <v>0</v>
          </cell>
          <cell r="T1618">
            <v>0</v>
          </cell>
          <cell r="U1618">
            <v>0</v>
          </cell>
        </row>
        <row r="1619">
          <cell r="A1619" t="str">
            <v>DEC 2014</v>
          </cell>
          <cell r="B1619" t="str">
            <v>KUUM_363</v>
          </cell>
          <cell r="S1619">
            <v>0</v>
          </cell>
          <cell r="T1619">
            <v>0</v>
          </cell>
          <cell r="U1619">
            <v>0</v>
          </cell>
        </row>
        <row r="1620">
          <cell r="A1620" t="str">
            <v>DEC 2014</v>
          </cell>
          <cell r="B1620" t="str">
            <v>KUUM_364</v>
          </cell>
          <cell r="S1620">
            <v>0</v>
          </cell>
          <cell r="T1620">
            <v>0</v>
          </cell>
          <cell r="U1620">
            <v>0</v>
          </cell>
        </row>
        <row r="1621">
          <cell r="A1621" t="str">
            <v>DEC 2014</v>
          </cell>
          <cell r="B1621" t="str">
            <v>KUUM_365</v>
          </cell>
          <cell r="S1621">
            <v>0</v>
          </cell>
          <cell r="T1621">
            <v>0</v>
          </cell>
          <cell r="U1621">
            <v>0</v>
          </cell>
        </row>
        <row r="1622">
          <cell r="A1622" t="str">
            <v>DEC 2014</v>
          </cell>
          <cell r="B1622" t="str">
            <v>KUUM_366</v>
          </cell>
          <cell r="S1622">
            <v>0</v>
          </cell>
          <cell r="T1622">
            <v>0</v>
          </cell>
          <cell r="U1622">
            <v>0</v>
          </cell>
        </row>
        <row r="1623">
          <cell r="A1623" t="str">
            <v>DEC 2014</v>
          </cell>
          <cell r="B1623" t="str">
            <v>KUUM_367</v>
          </cell>
          <cell r="S1623">
            <v>0</v>
          </cell>
          <cell r="T1623">
            <v>0</v>
          </cell>
          <cell r="U1623">
            <v>0</v>
          </cell>
        </row>
        <row r="1624">
          <cell r="A1624" t="str">
            <v>DEC 2014</v>
          </cell>
          <cell r="B1624" t="str">
            <v>KUUM_368</v>
          </cell>
          <cell r="S1624">
            <v>0</v>
          </cell>
          <cell r="T1624">
            <v>0</v>
          </cell>
          <cell r="U1624">
            <v>0</v>
          </cell>
        </row>
        <row r="1625">
          <cell r="A1625" t="str">
            <v>DEC 2014</v>
          </cell>
          <cell r="B1625" t="str">
            <v>KUUM_370</v>
          </cell>
          <cell r="S1625">
            <v>0</v>
          </cell>
          <cell r="T1625">
            <v>0</v>
          </cell>
          <cell r="U1625">
            <v>0</v>
          </cell>
        </row>
        <row r="1626">
          <cell r="A1626" t="str">
            <v>DEC 2014</v>
          </cell>
          <cell r="B1626" t="str">
            <v>KUUM_372</v>
          </cell>
          <cell r="S1626">
            <v>0</v>
          </cell>
          <cell r="T1626">
            <v>0</v>
          </cell>
          <cell r="U1626">
            <v>0</v>
          </cell>
        </row>
        <row r="1627">
          <cell r="A1627" t="str">
            <v>DEC 2014</v>
          </cell>
          <cell r="B1627" t="str">
            <v>KUUM_373</v>
          </cell>
          <cell r="S1627">
            <v>0</v>
          </cell>
          <cell r="T1627">
            <v>0</v>
          </cell>
          <cell r="U1627">
            <v>0</v>
          </cell>
        </row>
        <row r="1628">
          <cell r="A1628" t="str">
            <v>DEC 2014</v>
          </cell>
          <cell r="B1628" t="str">
            <v>KUUM_374</v>
          </cell>
          <cell r="S1628">
            <v>0</v>
          </cell>
          <cell r="T1628">
            <v>0</v>
          </cell>
          <cell r="U1628">
            <v>0</v>
          </cell>
        </row>
        <row r="1629">
          <cell r="A1629" t="str">
            <v>DEC 2014</v>
          </cell>
          <cell r="B1629" t="str">
            <v>KUUM_375</v>
          </cell>
          <cell r="S1629">
            <v>0</v>
          </cell>
          <cell r="T1629">
            <v>0</v>
          </cell>
          <cell r="U1629">
            <v>0</v>
          </cell>
        </row>
        <row r="1630">
          <cell r="A1630" t="str">
            <v>DEC 2014</v>
          </cell>
          <cell r="B1630" t="str">
            <v>KUUM_376</v>
          </cell>
        </row>
        <row r="1631">
          <cell r="A1631" t="str">
            <v>DEC 2014</v>
          </cell>
          <cell r="B1631" t="str">
            <v>KUUM_377</v>
          </cell>
        </row>
        <row r="1632">
          <cell r="A1632" t="str">
            <v>DEC 2014</v>
          </cell>
          <cell r="B1632" t="str">
            <v>KUUM_378</v>
          </cell>
          <cell r="S1632">
            <v>0</v>
          </cell>
          <cell r="T1632">
            <v>0</v>
          </cell>
          <cell r="U1632">
            <v>0</v>
          </cell>
        </row>
        <row r="1633">
          <cell r="A1633" t="str">
            <v>DEC 2014</v>
          </cell>
          <cell r="B1633" t="str">
            <v>KUUM_401</v>
          </cell>
          <cell r="S1633">
            <v>0</v>
          </cell>
          <cell r="T1633">
            <v>0</v>
          </cell>
          <cell r="U1633">
            <v>0</v>
          </cell>
        </row>
        <row r="1634">
          <cell r="A1634" t="str">
            <v>DEC 2014</v>
          </cell>
          <cell r="B1634" t="str">
            <v>KUUM_404</v>
          </cell>
          <cell r="S1634">
            <v>0</v>
          </cell>
          <cell r="T1634">
            <v>0</v>
          </cell>
          <cell r="U1634">
            <v>0</v>
          </cell>
        </row>
        <row r="1635">
          <cell r="A1635" t="str">
            <v>DEC 2014</v>
          </cell>
          <cell r="B1635" t="str">
            <v>KUUM_409</v>
          </cell>
          <cell r="S1635">
            <v>0</v>
          </cell>
          <cell r="T1635">
            <v>0</v>
          </cell>
          <cell r="U1635">
            <v>0</v>
          </cell>
        </row>
        <row r="1636">
          <cell r="A1636" t="str">
            <v>DEC 2014</v>
          </cell>
          <cell r="B1636" t="str">
            <v>KUUM_410</v>
          </cell>
          <cell r="S1636">
            <v>0</v>
          </cell>
          <cell r="T1636">
            <v>0</v>
          </cell>
          <cell r="U1636">
            <v>0</v>
          </cell>
        </row>
        <row r="1637">
          <cell r="A1637" t="str">
            <v>DEC 2014</v>
          </cell>
          <cell r="B1637" t="str">
            <v>KUUM_411</v>
          </cell>
          <cell r="S1637">
            <v>0</v>
          </cell>
          <cell r="T1637">
            <v>0</v>
          </cell>
          <cell r="U1637">
            <v>0</v>
          </cell>
        </row>
        <row r="1638">
          <cell r="A1638" t="str">
            <v>DEC 2014</v>
          </cell>
          <cell r="B1638" t="str">
            <v>KUUM_412</v>
          </cell>
          <cell r="S1638">
            <v>0</v>
          </cell>
          <cell r="T1638">
            <v>0</v>
          </cell>
          <cell r="U1638">
            <v>0</v>
          </cell>
        </row>
        <row r="1639">
          <cell r="A1639" t="str">
            <v>DEC 2014</v>
          </cell>
          <cell r="B1639" t="str">
            <v>KUUM_413</v>
          </cell>
          <cell r="S1639">
            <v>0</v>
          </cell>
          <cell r="T1639">
            <v>0</v>
          </cell>
          <cell r="U1639">
            <v>0</v>
          </cell>
        </row>
        <row r="1640">
          <cell r="A1640" t="str">
            <v>DEC 2014</v>
          </cell>
          <cell r="B1640" t="str">
            <v>KUUM_414</v>
          </cell>
          <cell r="S1640">
            <v>0</v>
          </cell>
          <cell r="T1640">
            <v>0</v>
          </cell>
          <cell r="U1640">
            <v>0</v>
          </cell>
        </row>
        <row r="1641">
          <cell r="A1641" t="str">
            <v>DEC 2014</v>
          </cell>
          <cell r="B1641" t="str">
            <v>KUUM_415</v>
          </cell>
          <cell r="S1641">
            <v>0</v>
          </cell>
          <cell r="T1641">
            <v>0</v>
          </cell>
          <cell r="U1641">
            <v>0</v>
          </cell>
        </row>
        <row r="1642">
          <cell r="A1642" t="str">
            <v>DEC 2014</v>
          </cell>
          <cell r="B1642" t="str">
            <v>KUUM_420</v>
          </cell>
          <cell r="S1642">
            <v>0</v>
          </cell>
          <cell r="T1642">
            <v>0</v>
          </cell>
          <cell r="U1642">
            <v>0</v>
          </cell>
        </row>
        <row r="1643">
          <cell r="A1643" t="str">
            <v>DEC 2014</v>
          </cell>
          <cell r="B1643" t="str">
            <v>KUUM_421</v>
          </cell>
          <cell r="S1643">
            <v>0</v>
          </cell>
          <cell r="T1643">
            <v>0</v>
          </cell>
          <cell r="U1643">
            <v>0</v>
          </cell>
        </row>
        <row r="1644">
          <cell r="A1644" t="str">
            <v>DEC 2014</v>
          </cell>
          <cell r="B1644" t="str">
            <v>KUUM_422</v>
          </cell>
          <cell r="S1644">
            <v>0</v>
          </cell>
          <cell r="T1644">
            <v>0</v>
          </cell>
          <cell r="U1644">
            <v>0</v>
          </cell>
        </row>
        <row r="1645">
          <cell r="A1645" t="str">
            <v>DEC 2014</v>
          </cell>
          <cell r="B1645" t="str">
            <v>KUUM_424</v>
          </cell>
          <cell r="S1645">
            <v>0</v>
          </cell>
          <cell r="T1645">
            <v>0</v>
          </cell>
          <cell r="U1645">
            <v>0</v>
          </cell>
        </row>
        <row r="1646">
          <cell r="A1646" t="str">
            <v>DEC 2014</v>
          </cell>
          <cell r="B1646" t="str">
            <v>KUUM_425</v>
          </cell>
          <cell r="S1646">
            <v>0</v>
          </cell>
          <cell r="T1646">
            <v>0</v>
          </cell>
          <cell r="U1646">
            <v>0</v>
          </cell>
        </row>
        <row r="1647">
          <cell r="A1647" t="str">
            <v>DEC 2014</v>
          </cell>
          <cell r="B1647" t="str">
            <v>KUUM_426</v>
          </cell>
          <cell r="S1647">
            <v>0</v>
          </cell>
          <cell r="T1647">
            <v>0</v>
          </cell>
          <cell r="U1647">
            <v>0</v>
          </cell>
        </row>
        <row r="1648">
          <cell r="A1648" t="str">
            <v>DEC 2014</v>
          </cell>
          <cell r="B1648" t="str">
            <v>KUUM_428</v>
          </cell>
          <cell r="S1648">
            <v>0</v>
          </cell>
          <cell r="T1648">
            <v>0</v>
          </cell>
          <cell r="U1648">
            <v>0</v>
          </cell>
        </row>
        <row r="1649">
          <cell r="A1649" t="str">
            <v>DEC 2014</v>
          </cell>
          <cell r="B1649" t="str">
            <v>KUUM_430</v>
          </cell>
          <cell r="S1649">
            <v>0</v>
          </cell>
          <cell r="T1649">
            <v>0</v>
          </cell>
          <cell r="U1649">
            <v>0</v>
          </cell>
        </row>
        <row r="1650">
          <cell r="A1650" t="str">
            <v>DEC 2014</v>
          </cell>
          <cell r="B1650" t="str">
            <v>KUUM_434</v>
          </cell>
          <cell r="S1650">
            <v>0</v>
          </cell>
          <cell r="T1650">
            <v>0</v>
          </cell>
          <cell r="U1650">
            <v>0</v>
          </cell>
        </row>
        <row r="1651">
          <cell r="A1651" t="str">
            <v>DEC 2014</v>
          </cell>
          <cell r="B1651" t="str">
            <v>KUUM_440</v>
          </cell>
          <cell r="S1651">
            <v>0</v>
          </cell>
          <cell r="T1651">
            <v>0</v>
          </cell>
          <cell r="U1651">
            <v>0</v>
          </cell>
        </row>
        <row r="1652">
          <cell r="A1652" t="str">
            <v>DEC 2014</v>
          </cell>
          <cell r="B1652" t="str">
            <v>KUUM_446</v>
          </cell>
          <cell r="S1652">
            <v>0</v>
          </cell>
          <cell r="T1652">
            <v>0</v>
          </cell>
          <cell r="U1652">
            <v>0</v>
          </cell>
        </row>
        <row r="1653">
          <cell r="A1653" t="str">
            <v>DEC 2014</v>
          </cell>
          <cell r="B1653" t="str">
            <v>KUUM_447</v>
          </cell>
          <cell r="S1653">
            <v>0</v>
          </cell>
          <cell r="T1653">
            <v>0</v>
          </cell>
          <cell r="U1653">
            <v>0</v>
          </cell>
        </row>
        <row r="1654">
          <cell r="A1654" t="str">
            <v>DEC 2014</v>
          </cell>
          <cell r="B1654" t="str">
            <v>KUUM_448</v>
          </cell>
          <cell r="S1654">
            <v>0</v>
          </cell>
          <cell r="T1654">
            <v>0</v>
          </cell>
          <cell r="U1654">
            <v>0</v>
          </cell>
        </row>
        <row r="1655">
          <cell r="A1655" t="str">
            <v>DEC 2014</v>
          </cell>
          <cell r="B1655" t="str">
            <v>KUUM_450</v>
          </cell>
          <cell r="S1655">
            <v>0</v>
          </cell>
          <cell r="T1655">
            <v>0</v>
          </cell>
          <cell r="U1655">
            <v>0</v>
          </cell>
        </row>
        <row r="1656">
          <cell r="A1656" t="str">
            <v>DEC 2014</v>
          </cell>
          <cell r="B1656" t="str">
            <v>KUUM_451</v>
          </cell>
          <cell r="S1656">
            <v>0</v>
          </cell>
          <cell r="T1656">
            <v>0</v>
          </cell>
          <cell r="U1656">
            <v>0</v>
          </cell>
        </row>
        <row r="1657">
          <cell r="A1657" t="str">
            <v>DEC 2014</v>
          </cell>
          <cell r="B1657" t="str">
            <v>KUUM_452</v>
          </cell>
          <cell r="S1657">
            <v>0</v>
          </cell>
          <cell r="T1657">
            <v>0</v>
          </cell>
          <cell r="U1657">
            <v>0</v>
          </cell>
        </row>
        <row r="1658">
          <cell r="A1658" t="str">
            <v>DEC 2014</v>
          </cell>
          <cell r="B1658" t="str">
            <v>KUUM_454</v>
          </cell>
          <cell r="S1658">
            <v>0</v>
          </cell>
          <cell r="T1658">
            <v>0</v>
          </cell>
          <cell r="U1658">
            <v>0</v>
          </cell>
        </row>
        <row r="1659">
          <cell r="A1659" t="str">
            <v>DEC 2014</v>
          </cell>
          <cell r="B1659" t="str">
            <v>KUUM_455</v>
          </cell>
          <cell r="S1659">
            <v>0</v>
          </cell>
          <cell r="T1659">
            <v>0</v>
          </cell>
          <cell r="U1659">
            <v>0</v>
          </cell>
        </row>
        <row r="1660">
          <cell r="A1660" t="str">
            <v>DEC 2014</v>
          </cell>
          <cell r="B1660" t="str">
            <v>KUUM_456</v>
          </cell>
          <cell r="S1660">
            <v>0</v>
          </cell>
          <cell r="T1660">
            <v>0</v>
          </cell>
          <cell r="U1660">
            <v>0</v>
          </cell>
        </row>
        <row r="1661">
          <cell r="A1661" t="str">
            <v>DEC 2014</v>
          </cell>
          <cell r="B1661" t="str">
            <v>KUUM_457</v>
          </cell>
          <cell r="S1661">
            <v>0</v>
          </cell>
          <cell r="T1661">
            <v>0</v>
          </cell>
          <cell r="U1661">
            <v>0</v>
          </cell>
        </row>
        <row r="1662">
          <cell r="A1662" t="str">
            <v>DEC 2014</v>
          </cell>
          <cell r="B1662" t="str">
            <v>KUUM_458</v>
          </cell>
          <cell r="S1662">
            <v>0</v>
          </cell>
          <cell r="T1662">
            <v>0</v>
          </cell>
          <cell r="U1662">
            <v>0</v>
          </cell>
        </row>
        <row r="1663">
          <cell r="A1663" t="str">
            <v>DEC 2014</v>
          </cell>
          <cell r="B1663" t="str">
            <v>KUUM_459</v>
          </cell>
          <cell r="S1663">
            <v>0</v>
          </cell>
          <cell r="T1663">
            <v>0</v>
          </cell>
          <cell r="U1663">
            <v>0</v>
          </cell>
        </row>
        <row r="1664">
          <cell r="A1664" t="str">
            <v>DEC 2014</v>
          </cell>
          <cell r="B1664" t="str">
            <v>KUUM_460</v>
          </cell>
          <cell r="S1664">
            <v>0</v>
          </cell>
          <cell r="T1664">
            <v>0</v>
          </cell>
          <cell r="U1664">
            <v>0</v>
          </cell>
        </row>
        <row r="1665">
          <cell r="A1665" t="str">
            <v>DEC 2014</v>
          </cell>
          <cell r="B1665" t="str">
            <v>KUUM_461</v>
          </cell>
          <cell r="S1665">
            <v>0</v>
          </cell>
          <cell r="T1665">
            <v>0</v>
          </cell>
          <cell r="U1665">
            <v>0</v>
          </cell>
        </row>
        <row r="1666">
          <cell r="A1666" t="str">
            <v>DEC 2014</v>
          </cell>
          <cell r="B1666" t="str">
            <v>KUUM_462</v>
          </cell>
          <cell r="S1666">
            <v>0</v>
          </cell>
          <cell r="T1666">
            <v>0</v>
          </cell>
          <cell r="U1666">
            <v>0</v>
          </cell>
        </row>
        <row r="1667">
          <cell r="A1667" t="str">
            <v>DEC 2014</v>
          </cell>
          <cell r="B1667" t="str">
            <v>KUUM_463</v>
          </cell>
          <cell r="S1667">
            <v>0</v>
          </cell>
          <cell r="T1667">
            <v>0</v>
          </cell>
          <cell r="U1667">
            <v>0</v>
          </cell>
        </row>
        <row r="1668">
          <cell r="A1668" t="str">
            <v>DEC 2014</v>
          </cell>
          <cell r="B1668" t="str">
            <v>KUUM_464</v>
          </cell>
          <cell r="S1668">
            <v>0</v>
          </cell>
          <cell r="T1668">
            <v>0</v>
          </cell>
          <cell r="U1668">
            <v>0</v>
          </cell>
        </row>
        <row r="1669">
          <cell r="A1669" t="str">
            <v>DEC 2014</v>
          </cell>
          <cell r="B1669" t="str">
            <v>KUUM_465</v>
          </cell>
          <cell r="S1669">
            <v>0</v>
          </cell>
          <cell r="T1669">
            <v>0</v>
          </cell>
          <cell r="U1669">
            <v>0</v>
          </cell>
        </row>
        <row r="1670">
          <cell r="A1670" t="str">
            <v>DEC 2014</v>
          </cell>
          <cell r="B1670" t="str">
            <v>KUUM_465CU</v>
          </cell>
          <cell r="S1670">
            <v>0</v>
          </cell>
          <cell r="T1670">
            <v>0</v>
          </cell>
          <cell r="U1670">
            <v>0</v>
          </cell>
        </row>
        <row r="1671">
          <cell r="A1671" t="str">
            <v>DEC 2014</v>
          </cell>
          <cell r="B1671" t="str">
            <v>KUUM_466</v>
          </cell>
          <cell r="S1671">
            <v>0</v>
          </cell>
          <cell r="T1671">
            <v>0</v>
          </cell>
          <cell r="U1671">
            <v>0</v>
          </cell>
        </row>
        <row r="1672">
          <cell r="A1672" t="str">
            <v>DEC 2014</v>
          </cell>
          <cell r="B1672" t="str">
            <v>KUUM_467</v>
          </cell>
          <cell r="S1672">
            <v>0</v>
          </cell>
          <cell r="T1672">
            <v>0</v>
          </cell>
          <cell r="U1672">
            <v>0</v>
          </cell>
        </row>
        <row r="1673">
          <cell r="A1673" t="str">
            <v>DEC 2014</v>
          </cell>
          <cell r="B1673" t="str">
            <v>KUUM_468</v>
          </cell>
          <cell r="S1673">
            <v>0</v>
          </cell>
          <cell r="T1673">
            <v>0</v>
          </cell>
          <cell r="U1673">
            <v>0</v>
          </cell>
        </row>
        <row r="1674">
          <cell r="A1674" t="str">
            <v>DEC 2014</v>
          </cell>
          <cell r="B1674" t="str">
            <v>KUUM_469</v>
          </cell>
          <cell r="S1674">
            <v>0</v>
          </cell>
          <cell r="T1674">
            <v>0</v>
          </cell>
          <cell r="U1674">
            <v>0</v>
          </cell>
        </row>
        <row r="1675">
          <cell r="A1675" t="str">
            <v>DEC 2014</v>
          </cell>
          <cell r="B1675" t="str">
            <v>KUUM_470</v>
          </cell>
          <cell r="S1675">
            <v>0</v>
          </cell>
          <cell r="T1675">
            <v>0</v>
          </cell>
          <cell r="U1675">
            <v>0</v>
          </cell>
        </row>
        <row r="1676">
          <cell r="A1676" t="str">
            <v>DEC 2014</v>
          </cell>
          <cell r="B1676" t="str">
            <v>KUUM_471</v>
          </cell>
          <cell r="S1676">
            <v>0</v>
          </cell>
          <cell r="T1676">
            <v>0</v>
          </cell>
          <cell r="U1676">
            <v>0</v>
          </cell>
        </row>
        <row r="1677">
          <cell r="A1677" t="str">
            <v>DEC 2014</v>
          </cell>
          <cell r="B1677" t="str">
            <v>KUUM_472</v>
          </cell>
          <cell r="S1677">
            <v>0</v>
          </cell>
          <cell r="T1677">
            <v>0</v>
          </cell>
          <cell r="U1677">
            <v>0</v>
          </cell>
        </row>
        <row r="1678">
          <cell r="A1678" t="str">
            <v>DEC 2014</v>
          </cell>
          <cell r="B1678" t="str">
            <v>KUUM_473</v>
          </cell>
          <cell r="S1678">
            <v>0</v>
          </cell>
          <cell r="T1678">
            <v>0</v>
          </cell>
          <cell r="U1678">
            <v>0</v>
          </cell>
        </row>
        <row r="1679">
          <cell r="A1679" t="str">
            <v>DEC 2014</v>
          </cell>
          <cell r="B1679" t="str">
            <v>KUUM_474</v>
          </cell>
          <cell r="S1679">
            <v>0</v>
          </cell>
          <cell r="T1679">
            <v>0</v>
          </cell>
          <cell r="U1679">
            <v>0</v>
          </cell>
        </row>
        <row r="1680">
          <cell r="A1680" t="str">
            <v>DEC 2014</v>
          </cell>
          <cell r="B1680" t="str">
            <v>KUUM_475</v>
          </cell>
          <cell r="S1680">
            <v>0</v>
          </cell>
          <cell r="T1680">
            <v>0</v>
          </cell>
          <cell r="U1680">
            <v>0</v>
          </cell>
        </row>
        <row r="1681">
          <cell r="A1681" t="str">
            <v>DEC 2014</v>
          </cell>
          <cell r="B1681" t="str">
            <v>KUUM_476</v>
          </cell>
          <cell r="S1681">
            <v>0</v>
          </cell>
          <cell r="T1681">
            <v>0</v>
          </cell>
          <cell r="U1681">
            <v>0</v>
          </cell>
        </row>
        <row r="1682">
          <cell r="A1682" t="str">
            <v>DEC 2014</v>
          </cell>
          <cell r="B1682" t="str">
            <v>KUUM_477</v>
          </cell>
          <cell r="S1682">
            <v>0</v>
          </cell>
          <cell r="T1682">
            <v>0</v>
          </cell>
          <cell r="U1682">
            <v>0</v>
          </cell>
        </row>
        <row r="1683">
          <cell r="A1683" t="str">
            <v>DEC 2014</v>
          </cell>
          <cell r="B1683" t="str">
            <v>KUUM_478</v>
          </cell>
          <cell r="S1683">
            <v>0</v>
          </cell>
          <cell r="T1683">
            <v>0</v>
          </cell>
          <cell r="U1683">
            <v>0</v>
          </cell>
        </row>
        <row r="1684">
          <cell r="A1684" t="str">
            <v>DEC 2014</v>
          </cell>
          <cell r="B1684" t="str">
            <v>KUUM_479</v>
          </cell>
          <cell r="S1684">
            <v>0</v>
          </cell>
          <cell r="T1684">
            <v>0</v>
          </cell>
          <cell r="U1684">
            <v>0</v>
          </cell>
        </row>
        <row r="1685">
          <cell r="A1685" t="str">
            <v>DEC 2014</v>
          </cell>
          <cell r="B1685" t="str">
            <v>KUUM_487</v>
          </cell>
          <cell r="S1685">
            <v>0</v>
          </cell>
          <cell r="T1685">
            <v>0</v>
          </cell>
          <cell r="U1685">
            <v>0</v>
          </cell>
        </row>
        <row r="1686">
          <cell r="A1686" t="str">
            <v>DEC 2014</v>
          </cell>
          <cell r="B1686" t="str">
            <v>KUUM_488</v>
          </cell>
          <cell r="S1686">
            <v>0</v>
          </cell>
          <cell r="T1686">
            <v>0</v>
          </cell>
          <cell r="U1686">
            <v>0</v>
          </cell>
        </row>
        <row r="1687">
          <cell r="A1687" t="str">
            <v>DEC 2014</v>
          </cell>
          <cell r="B1687" t="str">
            <v>KUUM_489</v>
          </cell>
          <cell r="S1687">
            <v>0</v>
          </cell>
          <cell r="T1687">
            <v>0</v>
          </cell>
          <cell r="U1687">
            <v>0</v>
          </cell>
        </row>
        <row r="1688">
          <cell r="A1688" t="str">
            <v>DEC 2014</v>
          </cell>
          <cell r="B1688" t="str">
            <v>KUUM_490</v>
          </cell>
          <cell r="S1688">
            <v>0</v>
          </cell>
          <cell r="T1688">
            <v>0</v>
          </cell>
          <cell r="U1688">
            <v>0</v>
          </cell>
        </row>
        <row r="1689">
          <cell r="A1689" t="str">
            <v>DEC 2014</v>
          </cell>
          <cell r="B1689" t="str">
            <v>KUUM_491</v>
          </cell>
          <cell r="S1689">
            <v>0</v>
          </cell>
          <cell r="T1689">
            <v>0</v>
          </cell>
          <cell r="U1689">
            <v>0</v>
          </cell>
        </row>
        <row r="1690">
          <cell r="A1690" t="str">
            <v>DEC 2014</v>
          </cell>
          <cell r="B1690" t="str">
            <v>KUUM_492</v>
          </cell>
          <cell r="S1690">
            <v>0</v>
          </cell>
          <cell r="T1690">
            <v>0</v>
          </cell>
          <cell r="U1690">
            <v>0</v>
          </cell>
        </row>
        <row r="1691">
          <cell r="A1691" t="str">
            <v>DEC 2014</v>
          </cell>
          <cell r="B1691" t="str">
            <v>KUUM_493</v>
          </cell>
          <cell r="S1691">
            <v>0</v>
          </cell>
          <cell r="T1691">
            <v>0</v>
          </cell>
          <cell r="U1691">
            <v>0</v>
          </cell>
        </row>
        <row r="1692">
          <cell r="A1692" t="str">
            <v>DEC 2014</v>
          </cell>
          <cell r="B1692" t="str">
            <v>KUUM_494</v>
          </cell>
          <cell r="S1692">
            <v>0</v>
          </cell>
          <cell r="T1692">
            <v>0</v>
          </cell>
          <cell r="U1692">
            <v>0</v>
          </cell>
        </row>
        <row r="1693">
          <cell r="A1693" t="str">
            <v>DEC 2014</v>
          </cell>
          <cell r="B1693" t="str">
            <v>KUUM_495</v>
          </cell>
          <cell r="S1693">
            <v>0</v>
          </cell>
          <cell r="T1693">
            <v>0</v>
          </cell>
          <cell r="U1693">
            <v>0</v>
          </cell>
        </row>
        <row r="1694">
          <cell r="A1694" t="str">
            <v>DEC 2014</v>
          </cell>
          <cell r="B1694" t="str">
            <v>KUUM_496</v>
          </cell>
          <cell r="S1694">
            <v>0</v>
          </cell>
          <cell r="T1694">
            <v>0</v>
          </cell>
          <cell r="U1694">
            <v>0</v>
          </cell>
        </row>
        <row r="1695">
          <cell r="A1695" t="str">
            <v>DEC 2014</v>
          </cell>
          <cell r="B1695" t="str">
            <v>KUUM_497</v>
          </cell>
          <cell r="S1695">
            <v>0</v>
          </cell>
          <cell r="T1695">
            <v>0</v>
          </cell>
          <cell r="U1695">
            <v>0</v>
          </cell>
        </row>
        <row r="1696">
          <cell r="A1696" t="str">
            <v>DEC 2014</v>
          </cell>
          <cell r="B1696" t="str">
            <v>KUUM_498</v>
          </cell>
          <cell r="S1696">
            <v>0</v>
          </cell>
          <cell r="T1696">
            <v>0</v>
          </cell>
          <cell r="U1696">
            <v>0</v>
          </cell>
        </row>
        <row r="1697">
          <cell r="A1697" t="str">
            <v>DEC 2014</v>
          </cell>
          <cell r="B1697" t="str">
            <v>KUUM_499</v>
          </cell>
          <cell r="S1697">
            <v>0</v>
          </cell>
          <cell r="T1697">
            <v>0</v>
          </cell>
          <cell r="U1697">
            <v>0</v>
          </cell>
        </row>
        <row r="1698">
          <cell r="A1698" t="str">
            <v>DEC 2014</v>
          </cell>
          <cell r="B1698" t="str">
            <v>ODL</v>
          </cell>
          <cell r="E1698">
            <v>11589816</v>
          </cell>
          <cell r="M1698">
            <v>41876</v>
          </cell>
          <cell r="R1698">
            <v>2116769.25</v>
          </cell>
          <cell r="S1698">
            <v>2038046.25</v>
          </cell>
          <cell r="T1698">
            <v>0</v>
          </cell>
          <cell r="U1698">
            <v>36847</v>
          </cell>
        </row>
        <row r="1699">
          <cell r="A1699" t="str">
            <v>DEC 2014</v>
          </cell>
          <cell r="B1699" t="str">
            <v>KUUM_825</v>
          </cell>
          <cell r="S1699">
            <v>0</v>
          </cell>
          <cell r="T1699">
            <v>0</v>
          </cell>
          <cell r="U1699">
            <v>0</v>
          </cell>
        </row>
        <row r="1700">
          <cell r="A1700" t="str">
            <v>DEC 2014</v>
          </cell>
          <cell r="B1700" t="str">
            <v>KUUM_826</v>
          </cell>
          <cell r="S1700">
            <v>0</v>
          </cell>
          <cell r="T1700">
            <v>0</v>
          </cell>
          <cell r="U1700">
            <v>0</v>
          </cell>
        </row>
        <row r="1701">
          <cell r="A1701" t="str">
            <v>DEC 2014</v>
          </cell>
          <cell r="B1701" t="str">
            <v>KUUM_827</v>
          </cell>
          <cell r="S1701">
            <v>0</v>
          </cell>
          <cell r="T1701">
            <v>0</v>
          </cell>
          <cell r="U1701">
            <v>0</v>
          </cell>
        </row>
        <row r="1702">
          <cell r="A1702" t="str">
            <v>DEC 2014</v>
          </cell>
          <cell r="B1702" t="str">
            <v>KUUM_828</v>
          </cell>
          <cell r="S1702">
            <v>0</v>
          </cell>
          <cell r="T1702">
            <v>0</v>
          </cell>
          <cell r="U1702">
            <v>0</v>
          </cell>
        </row>
        <row r="1703">
          <cell r="A1703" t="str">
            <v>DEC 2014</v>
          </cell>
          <cell r="B1703" t="str">
            <v>KUUM_829</v>
          </cell>
          <cell r="S1703">
            <v>0</v>
          </cell>
          <cell r="T1703">
            <v>0</v>
          </cell>
          <cell r="U1703">
            <v>0</v>
          </cell>
        </row>
        <row r="1704">
          <cell r="A1704" t="str">
            <v>DEC 2014</v>
          </cell>
          <cell r="B1704" t="str">
            <v>ODRSE010</v>
          </cell>
          <cell r="S1704">
            <v>0</v>
          </cell>
          <cell r="T1704">
            <v>0</v>
          </cell>
          <cell r="U1704">
            <v>0</v>
          </cell>
        </row>
        <row r="1705">
          <cell r="A1705" t="str">
            <v>DEC 2014</v>
          </cell>
          <cell r="B1705" t="str">
            <v>ODRSE020</v>
          </cell>
          <cell r="S1705">
            <v>0</v>
          </cell>
          <cell r="T1705">
            <v>0</v>
          </cell>
          <cell r="U1705">
            <v>0</v>
          </cell>
        </row>
        <row r="1706">
          <cell r="A1706" t="str">
            <v>DEC 2014</v>
          </cell>
          <cell r="B1706" t="str">
            <v>Result</v>
          </cell>
          <cell r="S1706">
            <v>0</v>
          </cell>
          <cell r="T1706">
            <v>0</v>
          </cell>
          <cell r="U1706">
            <v>0</v>
          </cell>
        </row>
      </sheetData>
      <sheetData sheetId="24"/>
      <sheetData sheetId="2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workbookViewId="0"/>
  </sheetViews>
  <sheetFormatPr defaultRowHeight="12"/>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H414"/>
  <sheetViews>
    <sheetView workbookViewId="0">
      <selection activeCell="I19" sqref="I19"/>
    </sheetView>
  </sheetViews>
  <sheetFormatPr defaultRowHeight="12"/>
  <cols>
    <col min="1" max="1" width="6.83203125" customWidth="1"/>
    <col min="2" max="2" width="12.33203125" style="23" bestFit="1" customWidth="1"/>
    <col min="3" max="3" width="9.5" style="23" bestFit="1" customWidth="1"/>
    <col min="4" max="4" width="15" style="23" bestFit="1" customWidth="1"/>
    <col min="5" max="6" width="12.1640625" style="70" customWidth="1"/>
    <col min="7" max="7" width="11.33203125" style="23" customWidth="1"/>
    <col min="8" max="8" width="16" style="23" customWidth="1"/>
    <col min="9" max="9" width="18.6640625" customWidth="1"/>
    <col min="10" max="11" width="15.1640625" bestFit="1" customWidth="1"/>
    <col min="12" max="12" width="14.1640625" bestFit="1" customWidth="1"/>
    <col min="13" max="13" width="17" customWidth="1"/>
    <col min="14" max="14" width="15.83203125" bestFit="1" customWidth="1"/>
    <col min="15" max="15" width="15.1640625" bestFit="1" customWidth="1"/>
    <col min="17" max="17" width="19" bestFit="1" customWidth="1"/>
    <col min="18" max="18" width="18.5" customWidth="1"/>
    <col min="22" max="22" width="10.1640625" style="23" bestFit="1" customWidth="1"/>
    <col min="23" max="23" width="21.6640625" style="23" bestFit="1" customWidth="1"/>
    <col min="24" max="24" width="18.6640625" bestFit="1" customWidth="1"/>
    <col min="29" max="29" width="11.33203125" bestFit="1" customWidth="1"/>
  </cols>
  <sheetData>
    <row r="1" spans="1:30" s="68" customFormat="1" ht="68.25" customHeight="1">
      <c r="A1" s="63" t="s">
        <v>32</v>
      </c>
      <c r="B1" s="63" t="s">
        <v>62</v>
      </c>
      <c r="C1" s="63" t="s">
        <v>33</v>
      </c>
      <c r="D1" s="63" t="s">
        <v>52</v>
      </c>
      <c r="E1" s="71" t="s">
        <v>53</v>
      </c>
      <c r="F1" s="71" t="s">
        <v>1025</v>
      </c>
      <c r="G1" s="65" t="s">
        <v>35</v>
      </c>
      <c r="H1" s="64" t="s">
        <v>751</v>
      </c>
      <c r="I1" s="64" t="s">
        <v>135</v>
      </c>
      <c r="J1" s="65" t="s">
        <v>44</v>
      </c>
      <c r="K1" s="65" t="s">
        <v>45</v>
      </c>
      <c r="L1" s="66" t="s">
        <v>46</v>
      </c>
      <c r="M1" s="67" t="s">
        <v>713</v>
      </c>
      <c r="N1" s="63" t="s">
        <v>714</v>
      </c>
      <c r="O1" s="63" t="s">
        <v>715</v>
      </c>
      <c r="V1" t="s">
        <v>722</v>
      </c>
      <c r="W1" t="s">
        <v>723</v>
      </c>
      <c r="X1" t="s">
        <v>724</v>
      </c>
      <c r="AA1" s="68" t="s">
        <v>743</v>
      </c>
      <c r="AB1" s="68" t="s">
        <v>744</v>
      </c>
      <c r="AC1" s="68" t="s">
        <v>4</v>
      </c>
      <c r="AD1" s="68" t="s">
        <v>9</v>
      </c>
    </row>
    <row r="2" spans="1:30">
      <c r="A2" s="8">
        <v>1</v>
      </c>
      <c r="B2" s="14" t="str">
        <f t="shared" ref="B2:B65" si="0">TEXT(V2,"mmm yyyy")</f>
        <v>Jan 2015</v>
      </c>
      <c r="C2" s="24" t="str">
        <f t="shared" ref="C2:C65" si="1">AD2</f>
        <v>RLS</v>
      </c>
      <c r="D2" s="24" t="str">
        <f t="shared" ref="D2:D65" si="2">AC2</f>
        <v>LE_900POLE</v>
      </c>
      <c r="E2" s="73">
        <f t="shared" ref="E2:E33" si="3">SUMIFS(L_1051_Count_Total,L_1051_Revenue_Month,$B2,L_1051_RateCategory,$D2,L_1051_Light_Category,C2)</f>
        <v>1675</v>
      </c>
      <c r="F2" s="73">
        <v>0</v>
      </c>
      <c r="G2" s="11">
        <f>SUMIF(PoleRates!$E$4:$E$131,$W2,PoleRates!$F$4:$F$131)</f>
        <v>2.06</v>
      </c>
      <c r="H2" s="13">
        <f t="shared" ref="H2:H37" si="4">ROUND(($E2+F2)*$G2,2)</f>
        <v>3450.5</v>
      </c>
      <c r="I2" s="85">
        <v>0</v>
      </c>
      <c r="J2" s="13">
        <f t="shared" ref="J2:J43" si="5">SUM(H2:H2,I2:I2)</f>
        <v>3450.5</v>
      </c>
      <c r="K2" s="35">
        <f t="shared" ref="K2:K65" si="6">SUMIFS(L_1051_Revenue_Total,L_1051_Revenue_Month,$B2,L_1051_RateCategory,$D2,L_1051_Light_Category,C2)</f>
        <v>0</v>
      </c>
      <c r="L2" s="87">
        <f t="shared" ref="L2:L44" si="7">IF(AND(J2=0,K2=0),1,IF(J2=0,0,K2/J2))</f>
        <v>0</v>
      </c>
      <c r="M2" s="86">
        <f t="shared" ref="M2:M65" si="8">SUMIFS(L_1051_Revenue_Total,L_1051_Revenue_Month,$B2,L_1051_RateCategory,$D2,L_1051_Light_Category,C2)</f>
        <v>0</v>
      </c>
      <c r="N2" s="15">
        <f>J2</f>
        <v>3450.5</v>
      </c>
      <c r="O2" s="15">
        <f>ROUND(M2-N2,2)</f>
        <v>-3450.5</v>
      </c>
      <c r="V2" s="14">
        <f>MiscData!$A$5</f>
        <v>42035</v>
      </c>
      <c r="W2" s="8" t="str">
        <f t="shared" ref="W2:W31" si="9">CONCATENATE(AA2&amp;AC2)</f>
        <v>20140101LE_900POLE</v>
      </c>
      <c r="X2" s="12" t="str">
        <f t="shared" ref="X2:X31" si="10">CONCATENATE(AA2&amp;AD2)</f>
        <v>20140101RLS</v>
      </c>
      <c r="AA2">
        <f>MiscData!$X$5</f>
        <v>20140101</v>
      </c>
      <c r="AB2">
        <v>1</v>
      </c>
      <c r="AC2" t="str">
        <f>VLOOKUP(AB2,MiscData!$AF$5:$AG$22,2,FALSE)</f>
        <v>LE_900POLE</v>
      </c>
      <c r="AD2" t="str">
        <f>VLOOKUP(AB2,MiscData!$AF$5:$AH$22,3,FALSE)</f>
        <v>RLS</v>
      </c>
    </row>
    <row r="3" spans="1:30">
      <c r="A3" s="8">
        <f>A2+1</f>
        <v>2</v>
      </c>
      <c r="B3" s="14" t="str">
        <f t="shared" si="0"/>
        <v>Jan 2015</v>
      </c>
      <c r="C3" s="24" t="str">
        <f t="shared" si="1"/>
        <v xml:space="preserve">LS </v>
      </c>
      <c r="D3" s="24" t="str">
        <f t="shared" si="2"/>
        <v>LE_900POLE</v>
      </c>
      <c r="E3" s="73">
        <f t="shared" si="3"/>
        <v>5267</v>
      </c>
      <c r="F3" s="73">
        <v>0</v>
      </c>
      <c r="G3" s="11">
        <f>SUMIF(PoleRates!$E$4:$E$131,$W3,PoleRates!$F$4:$F$131)</f>
        <v>2.06</v>
      </c>
      <c r="H3" s="13">
        <f t="shared" si="4"/>
        <v>10850.02</v>
      </c>
      <c r="I3" s="85">
        <v>0</v>
      </c>
      <c r="J3" s="13">
        <f t="shared" si="5"/>
        <v>10850.02</v>
      </c>
      <c r="K3" s="35">
        <f t="shared" si="6"/>
        <v>0</v>
      </c>
      <c r="L3" s="87">
        <f t="shared" si="7"/>
        <v>0</v>
      </c>
      <c r="M3" s="86">
        <f t="shared" si="8"/>
        <v>0</v>
      </c>
      <c r="N3" s="15">
        <f t="shared" ref="N3:N67" si="11">J3</f>
        <v>10850.02</v>
      </c>
      <c r="O3" s="15">
        <f t="shared" ref="O3:O66" si="12">ROUND(M3-N3,2)</f>
        <v>-10850.02</v>
      </c>
      <c r="V3" s="14">
        <f>IF(AB3=1,IF(V2=MiscData!$F$1,EOMONTH(V2,-11),EOMONTH(V2,1)),V2)</f>
        <v>42035</v>
      </c>
      <c r="W3" s="8" t="str">
        <f t="shared" si="9"/>
        <v>20140101LE_900POLE</v>
      </c>
      <c r="X3" s="12" t="str">
        <f t="shared" si="10"/>
        <v xml:space="preserve">20140101LS </v>
      </c>
      <c r="AA3">
        <f>MiscData!$X$5</f>
        <v>20140101</v>
      </c>
      <c r="AB3">
        <f>IF(AB2+1&gt;MiscData!$AF$28,1,AB2+1)</f>
        <v>2</v>
      </c>
      <c r="AC3" t="str">
        <f>VLOOKUP(AB3,MiscData!$AF$5:$AG$28,2,FALSE)</f>
        <v>LE_900POLE</v>
      </c>
      <c r="AD3" t="str">
        <f>VLOOKUP(AB3,MiscData!$AF$5:$AH$28,3,FALSE)</f>
        <v xml:space="preserve">LS </v>
      </c>
    </row>
    <row r="4" spans="1:30">
      <c r="A4" s="8">
        <f t="shared" ref="A4:A66" si="13">A3+1</f>
        <v>3</v>
      </c>
      <c r="B4" s="14" t="str">
        <f t="shared" si="0"/>
        <v>Jan 2015</v>
      </c>
      <c r="C4" s="24" t="str">
        <f t="shared" si="1"/>
        <v>RLS</v>
      </c>
      <c r="D4" s="24" t="str">
        <f t="shared" si="2"/>
        <v>LE_901POLE</v>
      </c>
      <c r="E4" s="73">
        <f t="shared" si="3"/>
        <v>157</v>
      </c>
      <c r="F4" s="73">
        <v>0</v>
      </c>
      <c r="G4" s="11">
        <f>SUMIF(PoleRates!$E$4:$E$131,$W4,PoleRates!$F$4:$F$131)</f>
        <v>10.81</v>
      </c>
      <c r="H4" s="13">
        <f t="shared" si="4"/>
        <v>1697.17</v>
      </c>
      <c r="I4" s="85">
        <v>0</v>
      </c>
      <c r="J4" s="13">
        <f t="shared" si="5"/>
        <v>1697.17</v>
      </c>
      <c r="K4" s="35">
        <f t="shared" si="6"/>
        <v>0</v>
      </c>
      <c r="L4" s="87">
        <f t="shared" si="7"/>
        <v>0</v>
      </c>
      <c r="M4" s="86">
        <f t="shared" si="8"/>
        <v>0</v>
      </c>
      <c r="N4" s="15">
        <f t="shared" si="11"/>
        <v>1697.17</v>
      </c>
      <c r="O4" s="15">
        <f t="shared" si="12"/>
        <v>-1697.17</v>
      </c>
      <c r="V4" s="14">
        <f>IF(AB4=1,IF(V3=MiscData!$F$1,EOMONTH(V3,-11),EOMONTH(V3,1)),V3)</f>
        <v>42035</v>
      </c>
      <c r="W4" s="8" t="str">
        <f t="shared" si="9"/>
        <v>20140101LE_901POLE</v>
      </c>
      <c r="X4" s="12" t="str">
        <f t="shared" si="10"/>
        <v>20140101RLS</v>
      </c>
      <c r="AA4">
        <f>MiscData!$X$5</f>
        <v>20140101</v>
      </c>
      <c r="AB4">
        <f>IF(AB3+1&gt;MiscData!$AF$28,1,AB3+1)</f>
        <v>3</v>
      </c>
      <c r="AC4" t="str">
        <f>VLOOKUP(AB4,MiscData!$AF$5:$AG$28,2,FALSE)</f>
        <v>LE_901POLE</v>
      </c>
      <c r="AD4" t="str">
        <f>VLOOKUP(AB4,MiscData!$AF$5:$AH$28,3,FALSE)</f>
        <v>RLS</v>
      </c>
    </row>
    <row r="5" spans="1:30">
      <c r="A5" s="8">
        <f t="shared" si="13"/>
        <v>4</v>
      </c>
      <c r="B5" s="14" t="str">
        <f t="shared" si="0"/>
        <v>Jan 2015</v>
      </c>
      <c r="C5" s="24" t="str">
        <f t="shared" si="1"/>
        <v xml:space="preserve">LS </v>
      </c>
      <c r="D5" s="24" t="str">
        <f t="shared" si="2"/>
        <v>LE_901POLE</v>
      </c>
      <c r="E5" s="73">
        <f t="shared" si="3"/>
        <v>0</v>
      </c>
      <c r="F5" s="73">
        <v>0</v>
      </c>
      <c r="G5" s="11">
        <f>SUMIF(PoleRates!$E$4:$E$131,$W5,PoleRates!$F$4:$F$131)</f>
        <v>10.81</v>
      </c>
      <c r="H5" s="13">
        <f t="shared" si="4"/>
        <v>0</v>
      </c>
      <c r="I5" s="85">
        <v>0</v>
      </c>
      <c r="J5" s="13">
        <f t="shared" si="5"/>
        <v>0</v>
      </c>
      <c r="K5" s="35">
        <f t="shared" si="6"/>
        <v>0</v>
      </c>
      <c r="L5" s="87">
        <f t="shared" si="7"/>
        <v>1</v>
      </c>
      <c r="M5" s="86">
        <f t="shared" si="8"/>
        <v>0</v>
      </c>
      <c r="N5" s="15">
        <f t="shared" si="11"/>
        <v>0</v>
      </c>
      <c r="O5" s="15">
        <f t="shared" si="12"/>
        <v>0</v>
      </c>
      <c r="V5" s="14">
        <f>IF(AB5=1,IF(V4=MiscData!$F$1,EOMONTH(V4,-11),EOMONTH(V4,1)),V4)</f>
        <v>42035</v>
      </c>
      <c r="W5" s="8" t="str">
        <f t="shared" si="9"/>
        <v>20140101LE_901POLE</v>
      </c>
      <c r="X5" s="12" t="str">
        <f t="shared" si="10"/>
        <v xml:space="preserve">20140101LS </v>
      </c>
      <c r="AA5">
        <f>MiscData!$X$5</f>
        <v>20140101</v>
      </c>
      <c r="AB5">
        <f>IF(AB4+1&gt;MiscData!$AF$28,1,AB4+1)</f>
        <v>4</v>
      </c>
      <c r="AC5" t="str">
        <f>VLOOKUP(AB5,MiscData!$AF$5:$AG$28,2,FALSE)</f>
        <v>LE_901POLE</v>
      </c>
      <c r="AD5" t="str">
        <f>VLOOKUP(AB5,MiscData!$AF$5:$AH$28,3,FALSE)</f>
        <v xml:space="preserve">LS </v>
      </c>
    </row>
    <row r="6" spans="1:30">
      <c r="A6" s="8">
        <f t="shared" si="13"/>
        <v>5</v>
      </c>
      <c r="B6" s="14" t="str">
        <f t="shared" si="0"/>
        <v>Jan 2015</v>
      </c>
      <c r="C6" s="24" t="str">
        <f t="shared" si="1"/>
        <v>RLS</v>
      </c>
      <c r="D6" s="24" t="str">
        <f t="shared" si="2"/>
        <v>LE_902POLE</v>
      </c>
      <c r="E6" s="73">
        <f t="shared" si="3"/>
        <v>277</v>
      </c>
      <c r="F6" s="73">
        <v>0</v>
      </c>
      <c r="G6" s="11">
        <f>SUMIF(PoleRates!$E$4:$E$131,$W6,PoleRates!$F$4:$F$131)</f>
        <v>12.9</v>
      </c>
      <c r="H6" s="13">
        <f t="shared" si="4"/>
        <v>3573.3</v>
      </c>
      <c r="I6" s="85">
        <v>0</v>
      </c>
      <c r="J6" s="13">
        <f t="shared" si="5"/>
        <v>3573.3</v>
      </c>
      <c r="K6" s="35">
        <f t="shared" si="6"/>
        <v>0</v>
      </c>
      <c r="L6" s="87">
        <f t="shared" si="7"/>
        <v>0</v>
      </c>
      <c r="M6" s="86">
        <f t="shared" si="8"/>
        <v>0</v>
      </c>
      <c r="N6" s="15">
        <f t="shared" si="11"/>
        <v>3573.3</v>
      </c>
      <c r="O6" s="15">
        <f t="shared" si="12"/>
        <v>-3573.3</v>
      </c>
      <c r="V6" s="14">
        <f>IF(AB6=1,IF(V5=MiscData!$F$1,EOMONTH(V5,-11),EOMONTH(V5,1)),V5)</f>
        <v>42035</v>
      </c>
      <c r="W6" s="8" t="str">
        <f t="shared" si="9"/>
        <v>20140101LE_902POLE</v>
      </c>
      <c r="X6" s="12" t="str">
        <f t="shared" si="10"/>
        <v>20140101RLS</v>
      </c>
      <c r="AA6">
        <f>MiscData!$X$5</f>
        <v>20140101</v>
      </c>
      <c r="AB6">
        <f>IF(AB5+1&gt;MiscData!$AF$28,1,AB5+1)</f>
        <v>5</v>
      </c>
      <c r="AC6" t="str">
        <f>VLOOKUP(AB6,MiscData!$AF$5:$AG$28,2,FALSE)</f>
        <v>LE_902POLE</v>
      </c>
      <c r="AD6" t="str">
        <f>VLOOKUP(AB6,MiscData!$AF$5:$AH$28,3,FALSE)</f>
        <v>RLS</v>
      </c>
    </row>
    <row r="7" spans="1:30">
      <c r="A7" s="8">
        <f t="shared" si="13"/>
        <v>6</v>
      </c>
      <c r="B7" s="14" t="str">
        <f t="shared" si="0"/>
        <v>Jan 2015</v>
      </c>
      <c r="C7" s="24" t="str">
        <f t="shared" si="1"/>
        <v xml:space="preserve">LS </v>
      </c>
      <c r="D7" s="24" t="str">
        <f t="shared" si="2"/>
        <v>LE_902POLE</v>
      </c>
      <c r="E7" s="73">
        <f t="shared" si="3"/>
        <v>3</v>
      </c>
      <c r="F7" s="73">
        <v>0</v>
      </c>
      <c r="G7" s="11">
        <f>SUMIF(PoleRates!$E$4:$E$131,$W7,PoleRates!$F$4:$F$131)</f>
        <v>12.9</v>
      </c>
      <c r="H7" s="13">
        <f t="shared" si="4"/>
        <v>38.700000000000003</v>
      </c>
      <c r="I7" s="85">
        <v>0</v>
      </c>
      <c r="J7" s="13">
        <f t="shared" si="5"/>
        <v>38.700000000000003</v>
      </c>
      <c r="K7" s="35">
        <f t="shared" si="6"/>
        <v>0</v>
      </c>
      <c r="L7" s="87">
        <f t="shared" si="7"/>
        <v>0</v>
      </c>
      <c r="M7" s="86">
        <f t="shared" si="8"/>
        <v>0</v>
      </c>
      <c r="N7" s="15">
        <f t="shared" si="11"/>
        <v>38.700000000000003</v>
      </c>
      <c r="O7" s="15">
        <f t="shared" si="12"/>
        <v>-38.700000000000003</v>
      </c>
      <c r="V7" s="14">
        <f>IF(AB7=1,IF(V6=MiscData!$F$1,EOMONTH(V6,-11),EOMONTH(V6,1)),V6)</f>
        <v>42035</v>
      </c>
      <c r="W7" s="8" t="str">
        <f t="shared" si="9"/>
        <v>20140101LE_902POLE</v>
      </c>
      <c r="X7" s="12" t="str">
        <f t="shared" si="10"/>
        <v xml:space="preserve">20140101LS </v>
      </c>
      <c r="AA7">
        <f>MiscData!$X$5</f>
        <v>20140101</v>
      </c>
      <c r="AB7">
        <f>IF(AB6+1&gt;MiscData!$AF$28,1,AB6+1)</f>
        <v>6</v>
      </c>
      <c r="AC7" t="str">
        <f>VLOOKUP(AB7,MiscData!$AF$5:$AG$28,2,FALSE)</f>
        <v>LE_902POLE</v>
      </c>
      <c r="AD7" t="str">
        <f>VLOOKUP(AB7,MiscData!$AF$5:$AH$28,3,FALSE)</f>
        <v xml:space="preserve">LS </v>
      </c>
    </row>
    <row r="8" spans="1:30">
      <c r="A8" s="8">
        <f t="shared" si="13"/>
        <v>7</v>
      </c>
      <c r="B8" s="14" t="str">
        <f t="shared" si="0"/>
        <v>Jan 2015</v>
      </c>
      <c r="C8" s="24" t="str">
        <f t="shared" si="1"/>
        <v>RLS</v>
      </c>
      <c r="D8" s="24" t="str">
        <f t="shared" si="2"/>
        <v>LE_950BASE</v>
      </c>
      <c r="E8" s="73">
        <f t="shared" si="3"/>
        <v>77</v>
      </c>
      <c r="F8" s="73">
        <v>0</v>
      </c>
      <c r="G8" s="11">
        <f>SUMIF(PoleRates!$E$4:$E$131,$W8,PoleRates!$F$4:$F$131)</f>
        <v>3.47</v>
      </c>
      <c r="H8" s="13">
        <f t="shared" si="4"/>
        <v>267.19</v>
      </c>
      <c r="I8" s="85">
        <v>0</v>
      </c>
      <c r="J8" s="13">
        <f t="shared" si="5"/>
        <v>267.19</v>
      </c>
      <c r="K8" s="35">
        <f t="shared" si="6"/>
        <v>0</v>
      </c>
      <c r="L8" s="87">
        <f t="shared" si="7"/>
        <v>0</v>
      </c>
      <c r="M8" s="86">
        <f t="shared" si="8"/>
        <v>0</v>
      </c>
      <c r="N8" s="15">
        <f t="shared" si="11"/>
        <v>267.19</v>
      </c>
      <c r="O8" s="15">
        <f t="shared" si="12"/>
        <v>-267.19</v>
      </c>
      <c r="V8" s="14">
        <f>IF(AB8=1,IF(V7=MiscData!$F$1,EOMONTH(V7,-11),EOMONTH(V7,1)),V7)</f>
        <v>42035</v>
      </c>
      <c r="W8" s="8" t="str">
        <f t="shared" si="9"/>
        <v>20140101LE_950BASE</v>
      </c>
      <c r="X8" s="12" t="str">
        <f t="shared" si="10"/>
        <v>20140101RLS</v>
      </c>
      <c r="AA8">
        <f>MiscData!$X$5</f>
        <v>20140101</v>
      </c>
      <c r="AB8">
        <f>IF(AB7+1&gt;MiscData!$AF$28,1,AB7+1)</f>
        <v>7</v>
      </c>
      <c r="AC8" t="str">
        <f>VLOOKUP(AB8,MiscData!$AF$5:$AG$28,2,FALSE)</f>
        <v>LE_950BASE</v>
      </c>
      <c r="AD8" t="str">
        <f>VLOOKUP(AB8,MiscData!$AF$5:$AH$28,3,FALSE)</f>
        <v>RLS</v>
      </c>
    </row>
    <row r="9" spans="1:30">
      <c r="A9" s="8">
        <f t="shared" si="13"/>
        <v>8</v>
      </c>
      <c r="B9" s="14" t="str">
        <f t="shared" si="0"/>
        <v>Jan 2015</v>
      </c>
      <c r="C9" s="24" t="str">
        <f t="shared" si="1"/>
        <v xml:space="preserve">LS </v>
      </c>
      <c r="D9" s="24" t="str">
        <f t="shared" si="2"/>
        <v>LE_950BASE</v>
      </c>
      <c r="E9" s="73">
        <f t="shared" si="3"/>
        <v>13</v>
      </c>
      <c r="F9" s="73">
        <v>0</v>
      </c>
      <c r="G9" s="11">
        <f>SUMIF(PoleRates!$E$4:$E$131,$W9,PoleRates!$F$4:$F$131)</f>
        <v>3.47</v>
      </c>
      <c r="H9" s="13">
        <f t="shared" si="4"/>
        <v>45.11</v>
      </c>
      <c r="I9" s="85">
        <v>0</v>
      </c>
      <c r="J9" s="13">
        <f t="shared" si="5"/>
        <v>45.11</v>
      </c>
      <c r="K9" s="35">
        <f t="shared" si="6"/>
        <v>0</v>
      </c>
      <c r="L9" s="87">
        <f t="shared" si="7"/>
        <v>0</v>
      </c>
      <c r="M9" s="86">
        <f t="shared" si="8"/>
        <v>0</v>
      </c>
      <c r="N9" s="15">
        <f t="shared" si="11"/>
        <v>45.11</v>
      </c>
      <c r="O9" s="15">
        <f t="shared" si="12"/>
        <v>-45.11</v>
      </c>
      <c r="V9" s="14">
        <f>IF(AB9=1,IF(V8=MiscData!$F$1,EOMONTH(V8,-11),EOMONTH(V8,1)),V8)</f>
        <v>42035</v>
      </c>
      <c r="W9" s="8" t="str">
        <f t="shared" si="9"/>
        <v>20140101LE_950BASE</v>
      </c>
      <c r="X9" s="12" t="str">
        <f t="shared" si="10"/>
        <v xml:space="preserve">20140101LS </v>
      </c>
      <c r="AA9">
        <f>MiscData!$X$5</f>
        <v>20140101</v>
      </c>
      <c r="AB9">
        <f>IF(AB8+1&gt;MiscData!$AF$28,1,AB8+1)</f>
        <v>8</v>
      </c>
      <c r="AC9" t="str">
        <f>VLOOKUP(AB9,MiscData!$AF$5:$AG$28,2,FALSE)</f>
        <v>LE_950BASE</v>
      </c>
      <c r="AD9" t="str">
        <f>VLOOKUP(AB9,MiscData!$AF$5:$AH$28,3,FALSE)</f>
        <v xml:space="preserve">LS </v>
      </c>
    </row>
    <row r="10" spans="1:30">
      <c r="A10" s="8">
        <f t="shared" si="13"/>
        <v>9</v>
      </c>
      <c r="B10" s="14" t="str">
        <f t="shared" si="0"/>
        <v>Jan 2015</v>
      </c>
      <c r="C10" s="24" t="str">
        <f t="shared" si="1"/>
        <v>RLS</v>
      </c>
      <c r="D10" s="24" t="str">
        <f t="shared" si="2"/>
        <v>LE_951BASE</v>
      </c>
      <c r="E10" s="73">
        <f t="shared" si="3"/>
        <v>195</v>
      </c>
      <c r="F10" s="73">
        <v>0</v>
      </c>
      <c r="G10" s="11">
        <f>SUMIF(PoleRates!$E$4:$E$131,$W10,PoleRates!$F$4:$F$131)</f>
        <v>3.73</v>
      </c>
      <c r="H10" s="13">
        <f t="shared" si="4"/>
        <v>727.35</v>
      </c>
      <c r="I10" s="85">
        <v>0</v>
      </c>
      <c r="J10" s="13">
        <f t="shared" si="5"/>
        <v>727.35</v>
      </c>
      <c r="K10" s="35">
        <f t="shared" si="6"/>
        <v>0</v>
      </c>
      <c r="L10" s="87">
        <f t="shared" si="7"/>
        <v>0</v>
      </c>
      <c r="M10" s="86">
        <f t="shared" si="8"/>
        <v>0</v>
      </c>
      <c r="N10" s="15">
        <f t="shared" si="11"/>
        <v>727.35</v>
      </c>
      <c r="O10" s="15">
        <f t="shared" si="12"/>
        <v>-727.35</v>
      </c>
      <c r="V10" s="14">
        <f>IF(AB10=1,IF(V9=MiscData!$F$1,EOMONTH(V9,-11),EOMONTH(V9,1)),V9)</f>
        <v>42035</v>
      </c>
      <c r="W10" s="8" t="str">
        <f t="shared" si="9"/>
        <v>20140101LE_951BASE</v>
      </c>
      <c r="X10" s="12" t="str">
        <f t="shared" si="10"/>
        <v>20140101RLS</v>
      </c>
      <c r="AA10">
        <f>MiscData!$X$5</f>
        <v>20140101</v>
      </c>
      <c r="AB10">
        <f>IF(AB9+1&gt;MiscData!$AF$28,1,AB9+1)</f>
        <v>9</v>
      </c>
      <c r="AC10" t="str">
        <f>VLOOKUP(AB10,MiscData!$AF$5:$AG$28,2,FALSE)</f>
        <v>LE_951BASE</v>
      </c>
      <c r="AD10" t="str">
        <f>VLOOKUP(AB10,MiscData!$AF$5:$AH$28,3,FALSE)</f>
        <v>RLS</v>
      </c>
    </row>
    <row r="11" spans="1:30">
      <c r="A11" s="8">
        <f t="shared" si="13"/>
        <v>10</v>
      </c>
      <c r="B11" s="14" t="str">
        <f t="shared" si="0"/>
        <v>Jan 2015</v>
      </c>
      <c r="C11" s="24" t="str">
        <f t="shared" si="1"/>
        <v xml:space="preserve">LS </v>
      </c>
      <c r="D11" s="24" t="str">
        <f t="shared" si="2"/>
        <v>LE_951BASE</v>
      </c>
      <c r="E11" s="73">
        <f t="shared" si="3"/>
        <v>69</v>
      </c>
      <c r="F11" s="73">
        <v>0</v>
      </c>
      <c r="G11" s="11">
        <f>SUMIF(PoleRates!$E$4:$E$131,$W11,PoleRates!$F$4:$F$131)</f>
        <v>3.73</v>
      </c>
      <c r="H11" s="13">
        <f t="shared" si="4"/>
        <v>257.37</v>
      </c>
      <c r="I11" s="85">
        <v>0</v>
      </c>
      <c r="J11" s="13">
        <f t="shared" si="5"/>
        <v>257.37</v>
      </c>
      <c r="K11" s="35">
        <f t="shared" si="6"/>
        <v>0</v>
      </c>
      <c r="L11" s="87">
        <f t="shared" si="7"/>
        <v>0</v>
      </c>
      <c r="M11" s="86">
        <f t="shared" si="8"/>
        <v>0</v>
      </c>
      <c r="N11" s="15">
        <f t="shared" si="11"/>
        <v>257.37</v>
      </c>
      <c r="O11" s="15">
        <f t="shared" si="12"/>
        <v>-257.37</v>
      </c>
      <c r="V11" s="14">
        <f>IF(AB11=1,IF(V10=MiscData!$F$1,EOMONTH(V10,-11),EOMONTH(V10,1)),V10)</f>
        <v>42035</v>
      </c>
      <c r="W11" s="8" t="str">
        <f t="shared" si="9"/>
        <v>20140101LE_951BASE</v>
      </c>
      <c r="X11" s="12" t="str">
        <f t="shared" si="10"/>
        <v xml:space="preserve">20140101LS </v>
      </c>
      <c r="AA11">
        <f>MiscData!$X$5</f>
        <v>20140101</v>
      </c>
      <c r="AB11">
        <f>IF(AB10+1&gt;MiscData!$AF$28,1,AB10+1)</f>
        <v>10</v>
      </c>
      <c r="AC11" t="str">
        <f>VLOOKUP(AB11,MiscData!$AF$5:$AG$28,2,FALSE)</f>
        <v>LE_951BASE</v>
      </c>
      <c r="AD11" t="str">
        <f>VLOOKUP(AB11,MiscData!$AF$5:$AH$28,3,FALSE)</f>
        <v xml:space="preserve">LS </v>
      </c>
    </row>
    <row r="12" spans="1:30">
      <c r="A12" s="8">
        <f t="shared" si="13"/>
        <v>11</v>
      </c>
      <c r="B12" s="14" t="str">
        <f t="shared" si="0"/>
        <v>Jan 2015</v>
      </c>
      <c r="C12" s="24" t="str">
        <f t="shared" si="1"/>
        <v>RLS</v>
      </c>
      <c r="D12" s="24" t="str">
        <f t="shared" si="2"/>
        <v>LE_952BASE</v>
      </c>
      <c r="E12" s="73">
        <f t="shared" si="3"/>
        <v>0</v>
      </c>
      <c r="F12" s="73">
        <v>0</v>
      </c>
      <c r="G12" s="11">
        <f>SUMIF(PoleRates!$E$4:$E$131,$W12,PoleRates!$F$4:$F$131)</f>
        <v>3.56</v>
      </c>
      <c r="H12" s="13">
        <f t="shared" si="4"/>
        <v>0</v>
      </c>
      <c r="I12" s="85">
        <v>0</v>
      </c>
      <c r="J12" s="13">
        <f t="shared" si="5"/>
        <v>0</v>
      </c>
      <c r="K12" s="35">
        <f t="shared" si="6"/>
        <v>0</v>
      </c>
      <c r="L12" s="87">
        <f t="shared" si="7"/>
        <v>1</v>
      </c>
      <c r="M12" s="86">
        <f t="shared" si="8"/>
        <v>0</v>
      </c>
      <c r="N12" s="15">
        <f t="shared" si="11"/>
        <v>0</v>
      </c>
      <c r="O12" s="15">
        <f t="shared" si="12"/>
        <v>0</v>
      </c>
      <c r="V12" s="14">
        <f>IF(AB12=1,IF(V11=MiscData!$F$1,EOMONTH(V11,-11),EOMONTH(V11,1)),V11)</f>
        <v>42035</v>
      </c>
      <c r="W12" s="8" t="str">
        <f t="shared" si="9"/>
        <v>20140101LE_952BASE</v>
      </c>
      <c r="X12" s="12" t="str">
        <f t="shared" si="10"/>
        <v>20140101RLS</v>
      </c>
      <c r="AA12">
        <f>MiscData!$X$5</f>
        <v>20140101</v>
      </c>
      <c r="AB12">
        <f>IF(AB11+1&gt;MiscData!$AF$28,1,AB11+1)</f>
        <v>11</v>
      </c>
      <c r="AC12" t="str">
        <f>VLOOKUP(AB12,MiscData!$AF$5:$AG$28,2,FALSE)</f>
        <v>LE_952BASE</v>
      </c>
      <c r="AD12" t="str">
        <f>VLOOKUP(AB12,MiscData!$AF$5:$AH$28,3,FALSE)</f>
        <v>RLS</v>
      </c>
    </row>
    <row r="13" spans="1:30">
      <c r="A13" s="8">
        <f t="shared" si="13"/>
        <v>12</v>
      </c>
      <c r="B13" s="14" t="str">
        <f t="shared" si="0"/>
        <v>Jan 2015</v>
      </c>
      <c r="C13" s="24" t="str">
        <f t="shared" si="1"/>
        <v xml:space="preserve">LS </v>
      </c>
      <c r="D13" s="24" t="str">
        <f t="shared" si="2"/>
        <v>LE_952BASE</v>
      </c>
      <c r="E13" s="73">
        <f t="shared" si="3"/>
        <v>0</v>
      </c>
      <c r="F13" s="73">
        <v>0</v>
      </c>
      <c r="G13" s="11">
        <f>SUMIF(PoleRates!$E$4:$E$131,$W13,PoleRates!$F$4:$F$131)</f>
        <v>3.56</v>
      </c>
      <c r="H13" s="13">
        <f t="shared" si="4"/>
        <v>0</v>
      </c>
      <c r="I13" s="85">
        <v>0</v>
      </c>
      <c r="J13" s="13">
        <f t="shared" si="5"/>
        <v>0</v>
      </c>
      <c r="K13" s="35">
        <f t="shared" si="6"/>
        <v>0</v>
      </c>
      <c r="L13" s="87">
        <f t="shared" si="7"/>
        <v>1</v>
      </c>
      <c r="M13" s="86">
        <f t="shared" si="8"/>
        <v>0</v>
      </c>
      <c r="N13" s="15">
        <f t="shared" si="11"/>
        <v>0</v>
      </c>
      <c r="O13" s="15">
        <f t="shared" si="12"/>
        <v>0</v>
      </c>
      <c r="V13" s="14">
        <f>IF(AB13=1,IF(V12=MiscData!$F$1,EOMONTH(V12,-11),EOMONTH(V12,1)),V12)</f>
        <v>42035</v>
      </c>
      <c r="W13" s="8" t="str">
        <f t="shared" si="9"/>
        <v>20140101LE_952BASE</v>
      </c>
      <c r="X13" s="12" t="str">
        <f t="shared" si="10"/>
        <v xml:space="preserve">20140101LS </v>
      </c>
      <c r="AA13">
        <f>MiscData!$X$5</f>
        <v>20140101</v>
      </c>
      <c r="AB13">
        <f>IF(AB12+1&gt;MiscData!$AF$28,1,AB12+1)</f>
        <v>12</v>
      </c>
      <c r="AC13" t="str">
        <f>VLOOKUP(AB13,MiscData!$AF$5:$AG$28,2,FALSE)</f>
        <v>LE_952BASE</v>
      </c>
      <c r="AD13" t="str">
        <f>VLOOKUP(AB13,MiscData!$AF$5:$AH$28,3,FALSE)</f>
        <v xml:space="preserve">LS </v>
      </c>
    </row>
    <row r="14" spans="1:30">
      <c r="A14" s="8">
        <f t="shared" si="13"/>
        <v>13</v>
      </c>
      <c r="B14" s="14" t="str">
        <f t="shared" si="0"/>
        <v>Jan 2015</v>
      </c>
      <c r="C14" s="24" t="str">
        <f t="shared" si="1"/>
        <v>RLS</v>
      </c>
      <c r="D14" s="24" t="str">
        <f t="shared" si="2"/>
        <v>LE_953BASE</v>
      </c>
      <c r="E14" s="73">
        <f t="shared" si="3"/>
        <v>0</v>
      </c>
      <c r="F14" s="73">
        <v>0</v>
      </c>
      <c r="G14" s="11">
        <f>SUMIF(PoleRates!$E$4:$E$131,$W14,PoleRates!$F$4:$F$131)</f>
        <v>3.73</v>
      </c>
      <c r="H14" s="13">
        <f t="shared" si="4"/>
        <v>0</v>
      </c>
      <c r="I14" s="85">
        <v>0</v>
      </c>
      <c r="J14" s="13">
        <f t="shared" si="5"/>
        <v>0</v>
      </c>
      <c r="K14" s="35">
        <f t="shared" si="6"/>
        <v>0</v>
      </c>
      <c r="L14" s="87">
        <f>IF(AND(J14=0,K14=0),1,IF(J14=0,0,K14/J14))</f>
        <v>1</v>
      </c>
      <c r="M14" s="86">
        <f t="shared" si="8"/>
        <v>0</v>
      </c>
      <c r="N14" s="15">
        <f t="shared" si="11"/>
        <v>0</v>
      </c>
      <c r="O14" s="15">
        <f t="shared" si="12"/>
        <v>0</v>
      </c>
      <c r="Q14" s="191"/>
      <c r="R14" s="190"/>
      <c r="V14" s="14">
        <f>IF(AB14=1,IF(V13=MiscData!$F$1,EOMONTH(V13,-11),EOMONTH(V13,1)),V13)</f>
        <v>42035</v>
      </c>
      <c r="W14" s="8" t="str">
        <f t="shared" si="9"/>
        <v>20140101LE_953BASE</v>
      </c>
      <c r="X14" s="12" t="str">
        <f t="shared" si="10"/>
        <v>20140101RLS</v>
      </c>
      <c r="AA14">
        <f>MiscData!$X$5</f>
        <v>20140101</v>
      </c>
      <c r="AB14">
        <f>IF(AB13+1&gt;MiscData!$AF$28,1,AB13+1)</f>
        <v>13</v>
      </c>
      <c r="AC14" t="str">
        <f>VLOOKUP(AB14,MiscData!$AF$5:$AG$28,2,FALSE)</f>
        <v>LE_953BASE</v>
      </c>
      <c r="AD14" t="str">
        <f>VLOOKUP(AB14,MiscData!$AF$5:$AH$28,3,FALSE)</f>
        <v>RLS</v>
      </c>
    </row>
    <row r="15" spans="1:30">
      <c r="A15" s="8">
        <f t="shared" si="13"/>
        <v>14</v>
      </c>
      <c r="B15" s="14" t="str">
        <f t="shared" si="0"/>
        <v>Jan 2015</v>
      </c>
      <c r="C15" s="24" t="str">
        <f t="shared" si="1"/>
        <v xml:space="preserve">LS </v>
      </c>
      <c r="D15" s="24" t="str">
        <f t="shared" si="2"/>
        <v>LE_953BASE</v>
      </c>
      <c r="E15" s="73">
        <f t="shared" si="3"/>
        <v>0</v>
      </c>
      <c r="F15" s="73">
        <v>0</v>
      </c>
      <c r="G15" s="11">
        <f>SUMIF(PoleRates!$E$4:$E$131,$W15,PoleRates!$F$4:$F$131)</f>
        <v>3.73</v>
      </c>
      <c r="H15" s="13">
        <f t="shared" si="4"/>
        <v>0</v>
      </c>
      <c r="I15" s="85">
        <v>0</v>
      </c>
      <c r="J15" s="13">
        <f t="shared" si="5"/>
        <v>0</v>
      </c>
      <c r="K15" s="35">
        <f t="shared" si="6"/>
        <v>0</v>
      </c>
      <c r="L15" s="87">
        <f t="shared" si="7"/>
        <v>1</v>
      </c>
      <c r="M15" s="86">
        <f t="shared" si="8"/>
        <v>0</v>
      </c>
      <c r="N15" s="15">
        <f t="shared" si="11"/>
        <v>0</v>
      </c>
      <c r="O15" s="15">
        <f t="shared" si="12"/>
        <v>0</v>
      </c>
      <c r="V15" s="14">
        <f>IF(AB15=1,IF(V14=MiscData!$F$1,EOMONTH(V14,-11),EOMONTH(V14,1)),V14)</f>
        <v>42035</v>
      </c>
      <c r="W15" s="8" t="str">
        <f t="shared" si="9"/>
        <v>20140101LE_953BASE</v>
      </c>
      <c r="X15" s="12" t="str">
        <f t="shared" si="10"/>
        <v xml:space="preserve">20140101LS </v>
      </c>
      <c r="AA15">
        <f>MiscData!$X$5</f>
        <v>20140101</v>
      </c>
      <c r="AB15">
        <f>IF(AB14+1&gt;MiscData!$AF$28,1,AB14+1)</f>
        <v>14</v>
      </c>
      <c r="AC15" t="str">
        <f>VLOOKUP(AB15,MiscData!$AF$5:$AG$28,2,FALSE)</f>
        <v>LE_953BASE</v>
      </c>
      <c r="AD15" t="str">
        <f>VLOOKUP(AB15,MiscData!$AF$5:$AH$28,3,FALSE)</f>
        <v xml:space="preserve">LS </v>
      </c>
    </row>
    <row r="16" spans="1:30">
      <c r="A16" s="8">
        <f t="shared" si="13"/>
        <v>15</v>
      </c>
      <c r="B16" s="14" t="str">
        <f t="shared" si="0"/>
        <v>Jan 2015</v>
      </c>
      <c r="C16" s="24" t="str">
        <f t="shared" si="1"/>
        <v>RLS</v>
      </c>
      <c r="D16" s="24" t="str">
        <f t="shared" si="2"/>
        <v>LE_954BASE</v>
      </c>
      <c r="E16" s="73">
        <f t="shared" si="3"/>
        <v>0</v>
      </c>
      <c r="F16" s="73">
        <v>0</v>
      </c>
      <c r="G16" s="11">
        <f>SUMIF(PoleRates!$E$4:$E$131,$W16,PoleRates!$F$4:$F$131)</f>
        <v>3.47</v>
      </c>
      <c r="H16" s="13">
        <f t="shared" si="4"/>
        <v>0</v>
      </c>
      <c r="I16" s="85">
        <v>0</v>
      </c>
      <c r="J16" s="13">
        <f t="shared" si="5"/>
        <v>0</v>
      </c>
      <c r="K16" s="35">
        <f t="shared" si="6"/>
        <v>0</v>
      </c>
      <c r="L16" s="87">
        <f t="shared" si="7"/>
        <v>1</v>
      </c>
      <c r="M16" s="86">
        <f t="shared" si="8"/>
        <v>0</v>
      </c>
      <c r="N16" s="15">
        <f t="shared" si="11"/>
        <v>0</v>
      </c>
      <c r="O16" s="15">
        <f t="shared" si="12"/>
        <v>0</v>
      </c>
      <c r="V16" s="14">
        <f>IF(AB16=1,IF(V15=MiscData!$F$1,EOMONTH(V15,-11),EOMONTH(V15,1)),V15)</f>
        <v>42035</v>
      </c>
      <c r="W16" s="8" t="str">
        <f t="shared" si="9"/>
        <v>20140101LE_954BASE</v>
      </c>
      <c r="X16" s="12" t="str">
        <f t="shared" si="10"/>
        <v>20140101RLS</v>
      </c>
      <c r="AA16">
        <f>MiscData!$X$5</f>
        <v>20140101</v>
      </c>
      <c r="AB16">
        <f>IF(AB15+1&gt;MiscData!$AF$28,1,AB15+1)</f>
        <v>15</v>
      </c>
      <c r="AC16" t="str">
        <f>VLOOKUP(AB16,MiscData!$AF$5:$AG$28,2,FALSE)</f>
        <v>LE_954BASE</v>
      </c>
      <c r="AD16" t="str">
        <f>VLOOKUP(AB16,MiscData!$AF$5:$AH$28,3,FALSE)</f>
        <v>RLS</v>
      </c>
    </row>
    <row r="17" spans="1:30">
      <c r="A17" s="8">
        <f t="shared" si="13"/>
        <v>16</v>
      </c>
      <c r="B17" s="14" t="str">
        <f t="shared" si="0"/>
        <v>Jan 2015</v>
      </c>
      <c r="C17" s="24" t="str">
        <f t="shared" si="1"/>
        <v xml:space="preserve">LS </v>
      </c>
      <c r="D17" s="24" t="str">
        <f t="shared" si="2"/>
        <v>LE_954BASE</v>
      </c>
      <c r="E17" s="73">
        <f t="shared" si="3"/>
        <v>0</v>
      </c>
      <c r="F17" s="73">
        <v>0</v>
      </c>
      <c r="G17" s="11">
        <f>SUMIF(PoleRates!$E$4:$E$131,$W17,PoleRates!$F$4:$F$131)</f>
        <v>3.47</v>
      </c>
      <c r="H17" s="13">
        <f t="shared" si="4"/>
        <v>0</v>
      </c>
      <c r="I17" s="85">
        <v>0</v>
      </c>
      <c r="J17" s="13">
        <f t="shared" si="5"/>
        <v>0</v>
      </c>
      <c r="K17" s="35">
        <f t="shared" si="6"/>
        <v>0</v>
      </c>
      <c r="L17" s="87">
        <f t="shared" si="7"/>
        <v>1</v>
      </c>
      <c r="M17" s="86">
        <f t="shared" si="8"/>
        <v>0</v>
      </c>
      <c r="N17" s="15">
        <f t="shared" si="11"/>
        <v>0</v>
      </c>
      <c r="O17" s="15">
        <f t="shared" si="12"/>
        <v>0</v>
      </c>
      <c r="V17" s="14">
        <f>IF(AB17=1,IF(V16=MiscData!$F$1,EOMONTH(V16,-11),EOMONTH(V16,1)),V16)</f>
        <v>42035</v>
      </c>
      <c r="W17" s="8" t="str">
        <f t="shared" si="9"/>
        <v>20140101LE_954BASE</v>
      </c>
      <c r="X17" s="12" t="str">
        <f t="shared" si="10"/>
        <v xml:space="preserve">20140101LS </v>
      </c>
      <c r="AA17">
        <f>MiscData!$X$5</f>
        <v>20140101</v>
      </c>
      <c r="AB17">
        <f>IF(AB16+1&gt;MiscData!$AF$28,1,AB16+1)</f>
        <v>16</v>
      </c>
      <c r="AC17" t="str">
        <f>VLOOKUP(AB17,MiscData!$AF$5:$AG$28,2,FALSE)</f>
        <v>LE_954BASE</v>
      </c>
      <c r="AD17" t="str">
        <f>VLOOKUP(AB17,MiscData!$AF$5:$AH$28,3,FALSE)</f>
        <v xml:space="preserve">LS </v>
      </c>
    </row>
    <row r="18" spans="1:30">
      <c r="A18" s="8">
        <f t="shared" si="13"/>
        <v>17</v>
      </c>
      <c r="B18" s="14" t="str">
        <f t="shared" si="0"/>
        <v>Jan 2015</v>
      </c>
      <c r="C18" s="24" t="str">
        <f t="shared" si="1"/>
        <v>RLS</v>
      </c>
      <c r="D18" s="24" t="str">
        <f t="shared" si="2"/>
        <v>LE_955BASE</v>
      </c>
      <c r="E18" s="73">
        <f t="shared" si="3"/>
        <v>0</v>
      </c>
      <c r="F18" s="73">
        <v>0</v>
      </c>
      <c r="G18" s="11">
        <f>SUMIF(PoleRates!$E$4:$E$131,$W18,PoleRates!$F$4:$F$131)</f>
        <v>3.56</v>
      </c>
      <c r="H18" s="13">
        <f t="shared" si="4"/>
        <v>0</v>
      </c>
      <c r="I18" s="85">
        <v>0</v>
      </c>
      <c r="J18" s="13">
        <f t="shared" si="5"/>
        <v>0</v>
      </c>
      <c r="K18" s="35">
        <f t="shared" si="6"/>
        <v>0</v>
      </c>
      <c r="L18" s="87">
        <f t="shared" si="7"/>
        <v>1</v>
      </c>
      <c r="M18" s="86">
        <f t="shared" si="8"/>
        <v>0</v>
      </c>
      <c r="N18" s="15">
        <f t="shared" si="11"/>
        <v>0</v>
      </c>
      <c r="O18" s="15">
        <f t="shared" si="12"/>
        <v>0</v>
      </c>
      <c r="V18" s="14">
        <f>IF(AB18=1,IF(V17=MiscData!$F$1,EOMONTH(V17,-11),EOMONTH(V17,1)),V17)</f>
        <v>42035</v>
      </c>
      <c r="W18" s="8" t="str">
        <f t="shared" si="9"/>
        <v>20140101LE_955BASE</v>
      </c>
      <c r="X18" s="12" t="str">
        <f t="shared" si="10"/>
        <v>20140101RLS</v>
      </c>
      <c r="AA18">
        <f>MiscData!$X$5</f>
        <v>20140101</v>
      </c>
      <c r="AB18">
        <f>IF(AB17+1&gt;MiscData!$AF$28,1,AB17+1)</f>
        <v>17</v>
      </c>
      <c r="AC18" t="str">
        <f>VLOOKUP(AB18,MiscData!$AF$5:$AG$28,2,FALSE)</f>
        <v>LE_955BASE</v>
      </c>
      <c r="AD18" t="str">
        <f>VLOOKUP(AB18,MiscData!$AF$5:$AH$28,3,FALSE)</f>
        <v>RLS</v>
      </c>
    </row>
    <row r="19" spans="1:30">
      <c r="A19" s="8">
        <f t="shared" si="13"/>
        <v>18</v>
      </c>
      <c r="B19" s="14" t="str">
        <f t="shared" si="0"/>
        <v>Jan 2015</v>
      </c>
      <c r="C19" s="24" t="str">
        <f t="shared" si="1"/>
        <v xml:space="preserve">LS </v>
      </c>
      <c r="D19" s="24" t="str">
        <f t="shared" si="2"/>
        <v>LE_955BASE</v>
      </c>
      <c r="E19" s="73">
        <f t="shared" si="3"/>
        <v>0</v>
      </c>
      <c r="F19" s="73">
        <v>0</v>
      </c>
      <c r="G19" s="11">
        <f>SUMIF(PoleRates!$E$4:$E$131,$W19,PoleRates!$F$4:$F$131)</f>
        <v>3.56</v>
      </c>
      <c r="H19" s="13">
        <f t="shared" si="4"/>
        <v>0</v>
      </c>
      <c r="I19" s="85">
        <v>0</v>
      </c>
      <c r="J19" s="13">
        <f t="shared" si="5"/>
        <v>0</v>
      </c>
      <c r="K19" s="35">
        <f t="shared" si="6"/>
        <v>0</v>
      </c>
      <c r="L19" s="87">
        <f t="shared" si="7"/>
        <v>1</v>
      </c>
      <c r="M19" s="86">
        <f t="shared" si="8"/>
        <v>0</v>
      </c>
      <c r="N19" s="15">
        <f t="shared" si="11"/>
        <v>0</v>
      </c>
      <c r="O19" s="15">
        <f t="shared" si="12"/>
        <v>0</v>
      </c>
      <c r="V19" s="14">
        <f>IF(AB19=1,IF(V18=MiscData!$F$1,EOMONTH(V18,-11),EOMONTH(V18,1)),V18)</f>
        <v>42035</v>
      </c>
      <c r="W19" s="8" t="str">
        <f t="shared" si="9"/>
        <v>20140101LE_955BASE</v>
      </c>
      <c r="X19" s="12" t="str">
        <f t="shared" si="10"/>
        <v xml:space="preserve">20140101LS </v>
      </c>
      <c r="AA19">
        <f>MiscData!$X$5</f>
        <v>20140101</v>
      </c>
      <c r="AB19">
        <f>IF(AB18+1&gt;MiscData!$AF$28,1,AB18+1)</f>
        <v>18</v>
      </c>
      <c r="AC19" t="str">
        <f>VLOOKUP(AB19,MiscData!$AF$5:$AG$28,2,FALSE)</f>
        <v>LE_955BASE</v>
      </c>
      <c r="AD19" t="str">
        <f>VLOOKUP(AB19,MiscData!$AF$5:$AH$28,3,FALSE)</f>
        <v xml:space="preserve">LS </v>
      </c>
    </row>
    <row r="20" spans="1:30">
      <c r="A20" s="8">
        <f t="shared" si="13"/>
        <v>19</v>
      </c>
      <c r="B20" s="14" t="str">
        <f t="shared" si="0"/>
        <v>Jan 2015</v>
      </c>
      <c r="C20" s="24" t="str">
        <f t="shared" si="1"/>
        <v>RLS</v>
      </c>
      <c r="D20" s="24" t="str">
        <f t="shared" si="2"/>
        <v>LE_956BASE</v>
      </c>
      <c r="E20" s="73">
        <f t="shared" si="3"/>
        <v>239</v>
      </c>
      <c r="F20" s="73">
        <v>0</v>
      </c>
      <c r="G20" s="11">
        <f>SUMIF(PoleRates!$E$4:$E$131,$W20,PoleRates!$F$4:$F$131)</f>
        <v>3.56</v>
      </c>
      <c r="H20" s="13">
        <f t="shared" si="4"/>
        <v>850.84</v>
      </c>
      <c r="I20" s="85">
        <v>0</v>
      </c>
      <c r="J20" s="13">
        <f t="shared" si="5"/>
        <v>850.84</v>
      </c>
      <c r="K20" s="35">
        <f t="shared" si="6"/>
        <v>0</v>
      </c>
      <c r="L20" s="87">
        <f t="shared" si="7"/>
        <v>0</v>
      </c>
      <c r="M20" s="86">
        <f t="shared" si="8"/>
        <v>0</v>
      </c>
      <c r="N20" s="15">
        <f t="shared" si="11"/>
        <v>850.84</v>
      </c>
      <c r="O20" s="15">
        <f t="shared" si="12"/>
        <v>-850.84</v>
      </c>
      <c r="V20" s="14">
        <f>IF(AB20=1,IF(V19=MiscData!$F$1,EOMONTH(V19,-11),EOMONTH(V19,1)),V19)</f>
        <v>42035</v>
      </c>
      <c r="W20" s="8" t="str">
        <f t="shared" si="9"/>
        <v>20140101LE_956BASE</v>
      </c>
      <c r="X20" s="12" t="str">
        <f t="shared" si="10"/>
        <v>20140101RLS</v>
      </c>
      <c r="AA20">
        <f>MiscData!$X$5</f>
        <v>20140101</v>
      </c>
      <c r="AB20">
        <f>IF(AB19+1&gt;MiscData!$AF$28,1,AB19+1)</f>
        <v>19</v>
      </c>
      <c r="AC20" t="str">
        <f>VLOOKUP(AB20,MiscData!$AF$5:$AG$28,2,FALSE)</f>
        <v>LE_956BASE</v>
      </c>
      <c r="AD20" t="str">
        <f>VLOOKUP(AB20,MiscData!$AF$5:$AH$28,3,FALSE)</f>
        <v>RLS</v>
      </c>
    </row>
    <row r="21" spans="1:30">
      <c r="A21" s="8">
        <f t="shared" si="13"/>
        <v>20</v>
      </c>
      <c r="B21" s="14" t="str">
        <f t="shared" si="0"/>
        <v>Jan 2015</v>
      </c>
      <c r="C21" s="24" t="str">
        <f t="shared" si="1"/>
        <v xml:space="preserve">LS </v>
      </c>
      <c r="D21" s="24" t="str">
        <f t="shared" si="2"/>
        <v>LE_956BASE</v>
      </c>
      <c r="E21" s="73">
        <f t="shared" si="3"/>
        <v>307</v>
      </c>
      <c r="F21" s="73">
        <v>0</v>
      </c>
      <c r="G21" s="11">
        <f>SUMIF(PoleRates!$E$4:$E$131,$W21,PoleRates!$F$4:$F$131)</f>
        <v>3.56</v>
      </c>
      <c r="H21" s="13">
        <f t="shared" si="4"/>
        <v>1092.92</v>
      </c>
      <c r="I21" s="85">
        <v>0</v>
      </c>
      <c r="J21" s="13">
        <f t="shared" si="5"/>
        <v>1092.92</v>
      </c>
      <c r="K21" s="35">
        <f t="shared" si="6"/>
        <v>0</v>
      </c>
      <c r="L21" s="87">
        <f t="shared" si="7"/>
        <v>0</v>
      </c>
      <c r="M21" s="86">
        <f t="shared" si="8"/>
        <v>0</v>
      </c>
      <c r="N21" s="15">
        <f t="shared" si="11"/>
        <v>1092.92</v>
      </c>
      <c r="O21" s="15">
        <f t="shared" si="12"/>
        <v>-1092.92</v>
      </c>
      <c r="V21" s="14">
        <f>IF(AB21=1,IF(V20=MiscData!$F$1,EOMONTH(V20,-11),EOMONTH(V20,1)),V20)</f>
        <v>42035</v>
      </c>
      <c r="W21" s="8" t="str">
        <f t="shared" si="9"/>
        <v>20140101LE_956BASE</v>
      </c>
      <c r="X21" s="12" t="str">
        <f t="shared" si="10"/>
        <v xml:space="preserve">20140101LS </v>
      </c>
      <c r="AA21">
        <f>MiscData!$X$5</f>
        <v>20140101</v>
      </c>
      <c r="AB21">
        <f>IF(AB20+1&gt;MiscData!$AF$28,1,AB20+1)</f>
        <v>20</v>
      </c>
      <c r="AC21" t="str">
        <f>VLOOKUP(AB21,MiscData!$AF$5:$AG$28,2,FALSE)</f>
        <v>LE_956BASE</v>
      </c>
      <c r="AD21" t="str">
        <f>VLOOKUP(AB21,MiscData!$AF$5:$AH$28,3,FALSE)</f>
        <v xml:space="preserve">LS </v>
      </c>
    </row>
    <row r="22" spans="1:30">
      <c r="A22" s="8">
        <f t="shared" si="13"/>
        <v>21</v>
      </c>
      <c r="B22" s="14" t="str">
        <f t="shared" si="0"/>
        <v>Jan 2015</v>
      </c>
      <c r="C22" s="24" t="str">
        <f t="shared" si="1"/>
        <v>RLS</v>
      </c>
      <c r="D22" s="24" t="str">
        <f t="shared" si="2"/>
        <v>LE_957BASE</v>
      </c>
      <c r="E22" s="73">
        <f t="shared" si="3"/>
        <v>0</v>
      </c>
      <c r="F22" s="73">
        <v>0</v>
      </c>
      <c r="G22" s="11">
        <f>SUMIF(PoleRates!$E$4:$E$131,$W22,PoleRates!$F$4:$F$131)</f>
        <v>3.56</v>
      </c>
      <c r="H22" s="13">
        <f t="shared" si="4"/>
        <v>0</v>
      </c>
      <c r="I22" s="85">
        <v>0</v>
      </c>
      <c r="J22" s="13">
        <f t="shared" si="5"/>
        <v>0</v>
      </c>
      <c r="K22" s="35">
        <f t="shared" si="6"/>
        <v>0</v>
      </c>
      <c r="L22" s="87">
        <f t="shared" si="7"/>
        <v>1</v>
      </c>
      <c r="M22" s="86">
        <f t="shared" si="8"/>
        <v>0</v>
      </c>
      <c r="N22" s="15">
        <f t="shared" si="11"/>
        <v>0</v>
      </c>
      <c r="O22" s="15">
        <f t="shared" si="12"/>
        <v>0</v>
      </c>
      <c r="V22" s="14">
        <f>IF(AB22=1,IF(V21=MiscData!$F$1,EOMONTH(V21,-11),EOMONTH(V21,1)),V21)</f>
        <v>42035</v>
      </c>
      <c r="W22" s="8" t="str">
        <f t="shared" si="9"/>
        <v>20140101LE_957BASE</v>
      </c>
      <c r="X22" s="12" t="str">
        <f t="shared" si="10"/>
        <v>20140101RLS</v>
      </c>
      <c r="AA22">
        <f>MiscData!$X$5</f>
        <v>20140101</v>
      </c>
      <c r="AB22">
        <f>IF(AB21+1&gt;MiscData!$AF$28,1,AB21+1)</f>
        <v>21</v>
      </c>
      <c r="AC22" t="str">
        <f>VLOOKUP(AB22,MiscData!$AF$5:$AG$28,2,FALSE)</f>
        <v>LE_957BASE</v>
      </c>
      <c r="AD22" t="str">
        <f>VLOOKUP(AB22,MiscData!$AF$5:$AH$28,3,FALSE)</f>
        <v>RLS</v>
      </c>
    </row>
    <row r="23" spans="1:30">
      <c r="A23" s="8">
        <f t="shared" si="13"/>
        <v>22</v>
      </c>
      <c r="B23" s="14" t="str">
        <f t="shared" si="0"/>
        <v>Jan 2015</v>
      </c>
      <c r="C23" s="24" t="str">
        <f t="shared" si="1"/>
        <v xml:space="preserve">LS </v>
      </c>
      <c r="D23" s="24" t="str">
        <f t="shared" si="2"/>
        <v>LE_957BASE</v>
      </c>
      <c r="E23" s="73">
        <f t="shared" si="3"/>
        <v>0</v>
      </c>
      <c r="F23" s="73">
        <v>0</v>
      </c>
      <c r="G23" s="11">
        <f>SUMIF(PoleRates!$E$4:$E$131,$W23,PoleRates!$F$4:$F$131)</f>
        <v>3.56</v>
      </c>
      <c r="H23" s="13">
        <f t="shared" si="4"/>
        <v>0</v>
      </c>
      <c r="I23" s="85">
        <v>0</v>
      </c>
      <c r="J23" s="13">
        <f t="shared" si="5"/>
        <v>0</v>
      </c>
      <c r="K23" s="35">
        <f t="shared" si="6"/>
        <v>0</v>
      </c>
      <c r="L23" s="87">
        <f t="shared" si="7"/>
        <v>1</v>
      </c>
      <c r="M23" s="86">
        <f t="shared" si="8"/>
        <v>0</v>
      </c>
      <c r="N23" s="15">
        <f t="shared" si="11"/>
        <v>0</v>
      </c>
      <c r="O23" s="15">
        <f t="shared" si="12"/>
        <v>0</v>
      </c>
      <c r="V23" s="14">
        <f>IF(AB23=1,IF(V22=MiscData!$F$1,EOMONTH(V22,-11),EOMONTH(V22,1)),V22)</f>
        <v>42035</v>
      </c>
      <c r="W23" s="8" t="str">
        <f t="shared" si="9"/>
        <v>20140101LE_957BASE</v>
      </c>
      <c r="X23" s="12" t="str">
        <f t="shared" si="10"/>
        <v xml:space="preserve">20140101LS </v>
      </c>
      <c r="AA23">
        <f>MiscData!$X$5</f>
        <v>20140101</v>
      </c>
      <c r="AB23">
        <f>IF(AB22+1&gt;MiscData!$AF$28,1,AB22+1)</f>
        <v>22</v>
      </c>
      <c r="AC23" t="str">
        <f>VLOOKUP(AB23,MiscData!$AF$5:$AG$28,2,FALSE)</f>
        <v>LE_957BASE</v>
      </c>
      <c r="AD23" t="str">
        <f>VLOOKUP(AB23,MiscData!$AF$5:$AH$28,3,FALSE)</f>
        <v xml:space="preserve">LS </v>
      </c>
    </row>
    <row r="24" spans="1:30">
      <c r="A24" s="8">
        <f t="shared" si="13"/>
        <v>23</v>
      </c>
      <c r="B24" s="14" t="str">
        <f t="shared" si="0"/>
        <v>Jan 2015</v>
      </c>
      <c r="C24" s="24" t="str">
        <f t="shared" si="1"/>
        <v>RLS</v>
      </c>
      <c r="D24" s="24" t="str">
        <f t="shared" si="2"/>
        <v>LE_958POLE</v>
      </c>
      <c r="E24" s="73">
        <f t="shared" si="3"/>
        <v>37</v>
      </c>
      <c r="F24" s="73">
        <v>0</v>
      </c>
      <c r="G24" s="11">
        <f>SUMIF(PoleRates!$E$4:$E$131,$W24,PoleRates!$F$4:$F$131)</f>
        <v>11.31</v>
      </c>
      <c r="H24" s="13">
        <f t="shared" si="4"/>
        <v>418.47</v>
      </c>
      <c r="I24" s="85">
        <v>0</v>
      </c>
      <c r="J24" s="13">
        <f t="shared" si="5"/>
        <v>418.47</v>
      </c>
      <c r="K24" s="35">
        <f t="shared" si="6"/>
        <v>0</v>
      </c>
      <c r="L24" s="87">
        <f t="shared" si="7"/>
        <v>0</v>
      </c>
      <c r="M24" s="86">
        <f t="shared" si="8"/>
        <v>0</v>
      </c>
      <c r="N24" s="15">
        <f t="shared" si="11"/>
        <v>418.47</v>
      </c>
      <c r="O24" s="15">
        <f t="shared" si="12"/>
        <v>-418.47</v>
      </c>
      <c r="V24" s="14">
        <f>IF(AB24=1,IF(V23=MiscData!$F$1,EOMONTH(V23,-11),EOMONTH(V23,1)),V23)</f>
        <v>42035</v>
      </c>
      <c r="W24" s="8" t="str">
        <f t="shared" si="9"/>
        <v>20140101LE_958POLE</v>
      </c>
      <c r="X24" s="12" t="str">
        <f t="shared" si="10"/>
        <v>20140101RLS</v>
      </c>
      <c r="AA24">
        <f>MiscData!$X$5</f>
        <v>20140101</v>
      </c>
      <c r="AB24">
        <f>IF(AB23+1&gt;MiscData!$AF$28,1,AB23+1)</f>
        <v>23</v>
      </c>
      <c r="AC24" t="str">
        <f>VLOOKUP(AB24,MiscData!$AF$5:$AG$28,2,FALSE)</f>
        <v>LE_958POLE</v>
      </c>
      <c r="AD24" t="str">
        <f>VLOOKUP(AB24,MiscData!$AF$5:$AH$28,3,FALSE)</f>
        <v>RLS</v>
      </c>
    </row>
    <row r="25" spans="1:30">
      <c r="A25" s="8">
        <f t="shared" si="13"/>
        <v>24</v>
      </c>
      <c r="B25" s="14" t="str">
        <f t="shared" si="0"/>
        <v>Jan 2015</v>
      </c>
      <c r="C25" s="24" t="str">
        <f t="shared" si="1"/>
        <v xml:space="preserve">LS </v>
      </c>
      <c r="D25" s="24" t="str">
        <f t="shared" si="2"/>
        <v>LE_958POLE</v>
      </c>
      <c r="E25" s="73">
        <f t="shared" si="3"/>
        <v>425</v>
      </c>
      <c r="F25" s="73">
        <v>0</v>
      </c>
      <c r="G25" s="11">
        <f>SUMIF(PoleRates!$E$4:$E$131,$W25,PoleRates!$F$4:$F$131)</f>
        <v>11.31</v>
      </c>
      <c r="H25" s="13">
        <f t="shared" si="4"/>
        <v>4806.75</v>
      </c>
      <c r="I25" s="85">
        <v>0</v>
      </c>
      <c r="J25" s="13">
        <f t="shared" si="5"/>
        <v>4806.75</v>
      </c>
      <c r="K25" s="35">
        <f t="shared" si="6"/>
        <v>0</v>
      </c>
      <c r="L25" s="87">
        <f t="shared" si="7"/>
        <v>0</v>
      </c>
      <c r="M25" s="86">
        <f t="shared" si="8"/>
        <v>0</v>
      </c>
      <c r="N25" s="15">
        <f t="shared" si="11"/>
        <v>4806.75</v>
      </c>
      <c r="O25" s="15">
        <f t="shared" si="12"/>
        <v>-4806.75</v>
      </c>
      <c r="V25" s="14">
        <f>IF(AB25=1,IF(V24=MiscData!$F$1,EOMONTH(V24,-11),EOMONTH(V24,1)),V24)</f>
        <v>42035</v>
      </c>
      <c r="W25" s="8" t="str">
        <f t="shared" si="9"/>
        <v>20140101LE_958POLE</v>
      </c>
      <c r="X25" s="12" t="str">
        <f t="shared" si="10"/>
        <v xml:space="preserve">20140101LS </v>
      </c>
      <c r="AA25">
        <f>MiscData!$X$5</f>
        <v>20140101</v>
      </c>
      <c r="AB25">
        <f>IF(AB24+1&gt;MiscData!$AF$28,1,AB24+1)</f>
        <v>24</v>
      </c>
      <c r="AC25" t="str">
        <f>VLOOKUP(AB25,MiscData!$AF$5:$AG$28,2,FALSE)</f>
        <v>LE_958POLE</v>
      </c>
      <c r="AD25" t="str">
        <f>VLOOKUP(AB25,MiscData!$AF$5:$AH$28,3,FALSE)</f>
        <v xml:space="preserve">LS </v>
      </c>
    </row>
    <row r="26" spans="1:30">
      <c r="A26" s="8">
        <f t="shared" si="13"/>
        <v>25</v>
      </c>
      <c r="B26" s="14" t="str">
        <f t="shared" si="0"/>
        <v>Feb 2015</v>
      </c>
      <c r="C26" s="24" t="str">
        <f t="shared" si="1"/>
        <v>RLS</v>
      </c>
      <c r="D26" s="24" t="str">
        <f t="shared" si="2"/>
        <v>LE_900POLE</v>
      </c>
      <c r="E26" s="73">
        <f t="shared" si="3"/>
        <v>1660</v>
      </c>
      <c r="F26" s="73">
        <v>0</v>
      </c>
      <c r="G26" s="11">
        <f>SUMIF(PoleRates!$E$4:$E$131,$W26,PoleRates!$F$4:$F$131)</f>
        <v>2.06</v>
      </c>
      <c r="H26" s="13">
        <f t="shared" si="4"/>
        <v>3419.6</v>
      </c>
      <c r="I26" s="85">
        <v>0</v>
      </c>
      <c r="J26" s="13">
        <f t="shared" si="5"/>
        <v>3419.6</v>
      </c>
      <c r="K26" s="35">
        <f t="shared" si="6"/>
        <v>0</v>
      </c>
      <c r="L26" s="87">
        <f t="shared" si="7"/>
        <v>0</v>
      </c>
      <c r="M26" s="86">
        <f t="shared" si="8"/>
        <v>0</v>
      </c>
      <c r="N26" s="15">
        <f t="shared" si="11"/>
        <v>3419.6</v>
      </c>
      <c r="O26" s="15">
        <f t="shared" si="12"/>
        <v>-3419.6</v>
      </c>
      <c r="V26" s="14">
        <f>IF(AB26=1,IF(V25=MiscData!$F$1,EOMONTH(V25,-11),EOMONTH(V25,1)),V25)</f>
        <v>42063</v>
      </c>
      <c r="W26" s="8" t="str">
        <f t="shared" si="9"/>
        <v>20140101LE_900POLE</v>
      </c>
      <c r="X26" s="12" t="str">
        <f t="shared" si="10"/>
        <v>20140101RLS</v>
      </c>
      <c r="AA26">
        <f>MiscData!$X$5</f>
        <v>20140101</v>
      </c>
      <c r="AB26">
        <f>IF(AB25+1&gt;MiscData!$AF$28,1,AB25+1)</f>
        <v>1</v>
      </c>
      <c r="AC26" t="str">
        <f>VLOOKUP(AB26,MiscData!$AF$5:$AG$28,2,FALSE)</f>
        <v>LE_900POLE</v>
      </c>
      <c r="AD26" t="str">
        <f>VLOOKUP(AB26,MiscData!$AF$5:$AH$28,3,FALSE)</f>
        <v>RLS</v>
      </c>
    </row>
    <row r="27" spans="1:30">
      <c r="A27" s="8">
        <f t="shared" si="13"/>
        <v>26</v>
      </c>
      <c r="B27" s="14" t="str">
        <f t="shared" si="0"/>
        <v>Feb 2015</v>
      </c>
      <c r="C27" s="24" t="str">
        <f t="shared" si="1"/>
        <v xml:space="preserve">LS </v>
      </c>
      <c r="D27" s="24" t="str">
        <f t="shared" si="2"/>
        <v>LE_900POLE</v>
      </c>
      <c r="E27" s="73">
        <f t="shared" si="3"/>
        <v>5183</v>
      </c>
      <c r="F27" s="73">
        <v>0</v>
      </c>
      <c r="G27" s="11">
        <f>SUMIF(PoleRates!$E$4:$E$131,$W27,PoleRates!$F$4:$F$131)</f>
        <v>2.06</v>
      </c>
      <c r="H27" s="13">
        <f t="shared" si="4"/>
        <v>10676.98</v>
      </c>
      <c r="I27" s="85">
        <v>0</v>
      </c>
      <c r="J27" s="13">
        <f t="shared" si="5"/>
        <v>10676.98</v>
      </c>
      <c r="K27" s="35">
        <f t="shared" si="6"/>
        <v>0</v>
      </c>
      <c r="L27" s="87">
        <f t="shared" si="7"/>
        <v>0</v>
      </c>
      <c r="M27" s="86">
        <f t="shared" si="8"/>
        <v>0</v>
      </c>
      <c r="N27" s="15">
        <f t="shared" si="11"/>
        <v>10676.98</v>
      </c>
      <c r="O27" s="15">
        <f t="shared" si="12"/>
        <v>-10676.98</v>
      </c>
      <c r="V27" s="14">
        <f>IF(AB27=1,IF(V26=MiscData!$F$1,EOMONTH(V26,-11),EOMONTH(V26,1)),V26)</f>
        <v>42063</v>
      </c>
      <c r="W27" s="8" t="str">
        <f t="shared" si="9"/>
        <v>20140101LE_900POLE</v>
      </c>
      <c r="X27" s="12" t="str">
        <f t="shared" si="10"/>
        <v xml:space="preserve">20140101LS </v>
      </c>
      <c r="AA27">
        <f>MiscData!$X$5</f>
        <v>20140101</v>
      </c>
      <c r="AB27">
        <f>IF(AB26+1&gt;MiscData!$AF$28,1,AB26+1)</f>
        <v>2</v>
      </c>
      <c r="AC27" t="str">
        <f>VLOOKUP(AB27,MiscData!$AF$5:$AG$28,2,FALSE)</f>
        <v>LE_900POLE</v>
      </c>
      <c r="AD27" t="str">
        <f>VLOOKUP(AB27,MiscData!$AF$5:$AH$28,3,FALSE)</f>
        <v xml:space="preserve">LS </v>
      </c>
    </row>
    <row r="28" spans="1:30">
      <c r="A28" s="8">
        <f t="shared" si="13"/>
        <v>27</v>
      </c>
      <c r="B28" s="14" t="str">
        <f t="shared" si="0"/>
        <v>Feb 2015</v>
      </c>
      <c r="C28" s="24" t="str">
        <f t="shared" si="1"/>
        <v>RLS</v>
      </c>
      <c r="D28" s="24" t="str">
        <f t="shared" si="2"/>
        <v>LE_901POLE</v>
      </c>
      <c r="E28" s="73">
        <f t="shared" si="3"/>
        <v>157</v>
      </c>
      <c r="F28" s="73">
        <v>0</v>
      </c>
      <c r="G28" s="11">
        <f>SUMIF(PoleRates!$E$4:$E$131,$W28,PoleRates!$F$4:$F$131)</f>
        <v>10.81</v>
      </c>
      <c r="H28" s="13">
        <f t="shared" si="4"/>
        <v>1697.17</v>
      </c>
      <c r="I28" s="85">
        <v>0</v>
      </c>
      <c r="J28" s="13">
        <f t="shared" si="5"/>
        <v>1697.17</v>
      </c>
      <c r="K28" s="35">
        <f t="shared" si="6"/>
        <v>0</v>
      </c>
      <c r="L28" s="87">
        <f t="shared" si="7"/>
        <v>0</v>
      </c>
      <c r="M28" s="86">
        <f t="shared" si="8"/>
        <v>0</v>
      </c>
      <c r="N28" s="15">
        <f t="shared" si="11"/>
        <v>1697.17</v>
      </c>
      <c r="O28" s="15">
        <f t="shared" si="12"/>
        <v>-1697.17</v>
      </c>
      <c r="V28" s="14">
        <f>IF(AB28=1,IF(V27=MiscData!$F$1,EOMONTH(V27,-11),EOMONTH(V27,1)),V27)</f>
        <v>42063</v>
      </c>
      <c r="W28" s="8" t="str">
        <f t="shared" si="9"/>
        <v>20140101LE_901POLE</v>
      </c>
      <c r="X28" s="12" t="str">
        <f t="shared" si="10"/>
        <v>20140101RLS</v>
      </c>
      <c r="AA28">
        <f>MiscData!$X$5</f>
        <v>20140101</v>
      </c>
      <c r="AB28">
        <f>IF(AB27+1&gt;MiscData!$AF$28,1,AB27+1)</f>
        <v>3</v>
      </c>
      <c r="AC28" t="str">
        <f>VLOOKUP(AB28,MiscData!$AF$5:$AG$28,2,FALSE)</f>
        <v>LE_901POLE</v>
      </c>
      <c r="AD28" t="str">
        <f>VLOOKUP(AB28,MiscData!$AF$5:$AH$28,3,FALSE)</f>
        <v>RLS</v>
      </c>
    </row>
    <row r="29" spans="1:30">
      <c r="A29" s="8">
        <f t="shared" si="13"/>
        <v>28</v>
      </c>
      <c r="B29" s="14" t="str">
        <f t="shared" si="0"/>
        <v>Feb 2015</v>
      </c>
      <c r="C29" s="24" t="str">
        <f t="shared" si="1"/>
        <v xml:space="preserve">LS </v>
      </c>
      <c r="D29" s="24" t="str">
        <f t="shared" si="2"/>
        <v>LE_901POLE</v>
      </c>
      <c r="E29" s="73">
        <f t="shared" si="3"/>
        <v>0</v>
      </c>
      <c r="F29" s="73">
        <v>0</v>
      </c>
      <c r="G29" s="11">
        <f>SUMIF(PoleRates!$E$4:$E$131,$W29,PoleRates!$F$4:$F$131)</f>
        <v>10.81</v>
      </c>
      <c r="H29" s="13">
        <f t="shared" si="4"/>
        <v>0</v>
      </c>
      <c r="I29" s="85">
        <v>0</v>
      </c>
      <c r="J29" s="13">
        <f t="shared" si="5"/>
        <v>0</v>
      </c>
      <c r="K29" s="35">
        <f t="shared" si="6"/>
        <v>0</v>
      </c>
      <c r="L29" s="87">
        <f t="shared" si="7"/>
        <v>1</v>
      </c>
      <c r="M29" s="86">
        <f t="shared" si="8"/>
        <v>0</v>
      </c>
      <c r="N29" s="15">
        <f t="shared" si="11"/>
        <v>0</v>
      </c>
      <c r="O29" s="15">
        <f t="shared" si="12"/>
        <v>0</v>
      </c>
      <c r="V29" s="14">
        <f>IF(AB29=1,IF(V28=MiscData!$F$1,EOMONTH(V28,-11),EOMONTH(V28,1)),V28)</f>
        <v>42063</v>
      </c>
      <c r="W29" s="8" t="str">
        <f t="shared" si="9"/>
        <v>20140101LE_901POLE</v>
      </c>
      <c r="X29" s="12" t="str">
        <f t="shared" si="10"/>
        <v xml:space="preserve">20140101LS </v>
      </c>
      <c r="AA29">
        <f>MiscData!$X$5</f>
        <v>20140101</v>
      </c>
      <c r="AB29">
        <f>IF(AB28+1&gt;MiscData!$AF$28,1,AB28+1)</f>
        <v>4</v>
      </c>
      <c r="AC29" t="str">
        <f>VLOOKUP(AB29,MiscData!$AF$5:$AG$28,2,FALSE)</f>
        <v>LE_901POLE</v>
      </c>
      <c r="AD29" t="str">
        <f>VLOOKUP(AB29,MiscData!$AF$5:$AH$28,3,FALSE)</f>
        <v xml:space="preserve">LS </v>
      </c>
    </row>
    <row r="30" spans="1:30">
      <c r="A30" s="8">
        <f t="shared" si="13"/>
        <v>29</v>
      </c>
      <c r="B30" s="14" t="str">
        <f t="shared" si="0"/>
        <v>Feb 2015</v>
      </c>
      <c r="C30" s="24" t="str">
        <f t="shared" si="1"/>
        <v>RLS</v>
      </c>
      <c r="D30" s="24" t="str">
        <f t="shared" si="2"/>
        <v>LE_902POLE</v>
      </c>
      <c r="E30" s="73">
        <f t="shared" si="3"/>
        <v>277</v>
      </c>
      <c r="F30" s="73">
        <v>0</v>
      </c>
      <c r="G30" s="11">
        <f>SUMIF(PoleRates!$E$4:$E$131,$W30,PoleRates!$F$4:$F$131)</f>
        <v>12.9</v>
      </c>
      <c r="H30" s="13">
        <f t="shared" si="4"/>
        <v>3573.3</v>
      </c>
      <c r="I30" s="85">
        <v>0</v>
      </c>
      <c r="J30" s="13">
        <f t="shared" si="5"/>
        <v>3573.3</v>
      </c>
      <c r="K30" s="35">
        <f t="shared" si="6"/>
        <v>0</v>
      </c>
      <c r="L30" s="87">
        <f t="shared" si="7"/>
        <v>0</v>
      </c>
      <c r="M30" s="86">
        <f t="shared" si="8"/>
        <v>0</v>
      </c>
      <c r="N30" s="15">
        <f t="shared" si="11"/>
        <v>3573.3</v>
      </c>
      <c r="O30" s="15">
        <f t="shared" si="12"/>
        <v>-3573.3</v>
      </c>
      <c r="V30" s="14">
        <f>IF(AB30=1,IF(V29=MiscData!$F$1,EOMONTH(V29,-11),EOMONTH(V29,1)),V29)</f>
        <v>42063</v>
      </c>
      <c r="W30" s="8" t="str">
        <f t="shared" si="9"/>
        <v>20140101LE_902POLE</v>
      </c>
      <c r="X30" s="12" t="str">
        <f t="shared" si="10"/>
        <v>20140101RLS</v>
      </c>
      <c r="AA30">
        <f>MiscData!$X$5</f>
        <v>20140101</v>
      </c>
      <c r="AB30">
        <f>IF(AB29+1&gt;MiscData!$AF$28,1,AB29+1)</f>
        <v>5</v>
      </c>
      <c r="AC30" t="str">
        <f>VLOOKUP(AB30,MiscData!$AF$5:$AG$28,2,FALSE)</f>
        <v>LE_902POLE</v>
      </c>
      <c r="AD30" t="str">
        <f>VLOOKUP(AB30,MiscData!$AF$5:$AH$28,3,FALSE)</f>
        <v>RLS</v>
      </c>
    </row>
    <row r="31" spans="1:30">
      <c r="A31" s="8">
        <f t="shared" si="13"/>
        <v>30</v>
      </c>
      <c r="B31" s="14" t="str">
        <f t="shared" si="0"/>
        <v>Feb 2015</v>
      </c>
      <c r="C31" s="24" t="str">
        <f t="shared" si="1"/>
        <v xml:space="preserve">LS </v>
      </c>
      <c r="D31" s="24" t="str">
        <f t="shared" si="2"/>
        <v>LE_902POLE</v>
      </c>
      <c r="E31" s="73">
        <f t="shared" si="3"/>
        <v>3</v>
      </c>
      <c r="F31" s="73">
        <v>0</v>
      </c>
      <c r="G31" s="11">
        <f>SUMIF(PoleRates!$E$4:$E$131,$W31,PoleRates!$F$4:$F$131)</f>
        <v>12.9</v>
      </c>
      <c r="H31" s="13">
        <f t="shared" si="4"/>
        <v>38.700000000000003</v>
      </c>
      <c r="I31" s="85">
        <v>0</v>
      </c>
      <c r="J31" s="13">
        <f t="shared" si="5"/>
        <v>38.700000000000003</v>
      </c>
      <c r="K31" s="35">
        <f t="shared" si="6"/>
        <v>0</v>
      </c>
      <c r="L31" s="87">
        <f t="shared" si="7"/>
        <v>0</v>
      </c>
      <c r="M31" s="86">
        <f t="shared" si="8"/>
        <v>0</v>
      </c>
      <c r="N31" s="15">
        <f t="shared" si="11"/>
        <v>38.700000000000003</v>
      </c>
      <c r="O31" s="15">
        <f t="shared" si="12"/>
        <v>-38.700000000000003</v>
      </c>
      <c r="V31" s="14">
        <f>IF(AB31=1,IF(V30=MiscData!$F$1,EOMONTH(V30,-11),EOMONTH(V30,1)),V30)</f>
        <v>42063</v>
      </c>
      <c r="W31" s="8" t="str">
        <f t="shared" si="9"/>
        <v>20140101LE_902POLE</v>
      </c>
      <c r="X31" s="12" t="str">
        <f t="shared" si="10"/>
        <v xml:space="preserve">20140101LS </v>
      </c>
      <c r="AA31">
        <f>MiscData!$X$5</f>
        <v>20140101</v>
      </c>
      <c r="AB31">
        <f>IF(AB30+1&gt;MiscData!$AF$28,1,AB30+1)</f>
        <v>6</v>
      </c>
      <c r="AC31" t="str">
        <f>VLOOKUP(AB31,MiscData!$AF$5:$AG$28,2,FALSE)</f>
        <v>LE_902POLE</v>
      </c>
      <c r="AD31" t="str">
        <f>VLOOKUP(AB31,MiscData!$AF$5:$AH$28,3,FALSE)</f>
        <v xml:space="preserve">LS </v>
      </c>
    </row>
    <row r="32" spans="1:30">
      <c r="A32" s="8">
        <f t="shared" si="13"/>
        <v>31</v>
      </c>
      <c r="B32" s="14" t="str">
        <f t="shared" si="0"/>
        <v>Feb 2015</v>
      </c>
      <c r="C32" s="24" t="str">
        <f t="shared" si="1"/>
        <v>RLS</v>
      </c>
      <c r="D32" s="24" t="str">
        <f t="shared" si="2"/>
        <v>LE_950BASE</v>
      </c>
      <c r="E32" s="73">
        <f t="shared" si="3"/>
        <v>77</v>
      </c>
      <c r="F32" s="73">
        <v>0</v>
      </c>
      <c r="G32" s="11">
        <f>SUMIF(PoleRates!$E$4:$E$131,$W32,PoleRates!$F$4:$F$131)</f>
        <v>3.47</v>
      </c>
      <c r="H32" s="13">
        <f t="shared" si="4"/>
        <v>267.19</v>
      </c>
      <c r="I32" s="85">
        <v>0</v>
      </c>
      <c r="J32" s="13">
        <f t="shared" si="5"/>
        <v>267.19</v>
      </c>
      <c r="K32" s="35">
        <f t="shared" si="6"/>
        <v>0</v>
      </c>
      <c r="L32" s="87">
        <f t="shared" si="7"/>
        <v>0</v>
      </c>
      <c r="M32" s="86">
        <f t="shared" si="8"/>
        <v>0</v>
      </c>
      <c r="N32" s="15">
        <f t="shared" si="11"/>
        <v>267.19</v>
      </c>
      <c r="O32" s="15">
        <f t="shared" si="12"/>
        <v>-267.19</v>
      </c>
      <c r="V32" s="14">
        <f>IF(AB32=1,IF(V31=MiscData!$F$1,EOMONTH(V31,-11),EOMONTH(V31,1)),V31)</f>
        <v>42063</v>
      </c>
      <c r="W32" s="8" t="str">
        <f t="shared" ref="W32:W57" si="14">CONCATENATE(AA32&amp;AC32)</f>
        <v>20140101LE_950BASE</v>
      </c>
      <c r="X32" s="12" t="str">
        <f t="shared" ref="X32:X57" si="15">CONCATENATE(AA32&amp;AD32)</f>
        <v>20140101RLS</v>
      </c>
      <c r="AA32">
        <f>MiscData!$X$5</f>
        <v>20140101</v>
      </c>
      <c r="AB32">
        <f>IF(AB31+1&gt;MiscData!$AF$28,1,AB31+1)</f>
        <v>7</v>
      </c>
      <c r="AC32" t="str">
        <f>VLOOKUP(AB32,MiscData!$AF$5:$AG$28,2,FALSE)</f>
        <v>LE_950BASE</v>
      </c>
      <c r="AD32" t="str">
        <f>VLOOKUP(AB32,MiscData!$AF$5:$AH$28,3,FALSE)</f>
        <v>RLS</v>
      </c>
    </row>
    <row r="33" spans="1:30">
      <c r="A33" s="8">
        <f t="shared" si="13"/>
        <v>32</v>
      </c>
      <c r="B33" s="14" t="str">
        <f t="shared" si="0"/>
        <v>Feb 2015</v>
      </c>
      <c r="C33" s="24" t="str">
        <f t="shared" si="1"/>
        <v xml:space="preserve">LS </v>
      </c>
      <c r="D33" s="24" t="str">
        <f t="shared" si="2"/>
        <v>LE_950BASE</v>
      </c>
      <c r="E33" s="73">
        <f t="shared" si="3"/>
        <v>13</v>
      </c>
      <c r="F33" s="73">
        <v>0</v>
      </c>
      <c r="G33" s="11">
        <f>SUMIF(PoleRates!$E$4:$E$131,$W33,PoleRates!$F$4:$F$131)</f>
        <v>3.47</v>
      </c>
      <c r="H33" s="13">
        <f t="shared" si="4"/>
        <v>45.11</v>
      </c>
      <c r="I33" s="85">
        <v>0</v>
      </c>
      <c r="J33" s="13">
        <f t="shared" si="5"/>
        <v>45.11</v>
      </c>
      <c r="K33" s="35">
        <f t="shared" si="6"/>
        <v>0</v>
      </c>
      <c r="L33" s="87">
        <f t="shared" si="7"/>
        <v>0</v>
      </c>
      <c r="M33" s="86">
        <f t="shared" si="8"/>
        <v>0</v>
      </c>
      <c r="N33" s="15">
        <f t="shared" si="11"/>
        <v>45.11</v>
      </c>
      <c r="O33" s="15">
        <f t="shared" si="12"/>
        <v>-45.11</v>
      </c>
      <c r="V33" s="14">
        <f>IF(AB33=1,IF(V32=MiscData!$F$1,EOMONTH(V32,-11),EOMONTH(V32,1)),V32)</f>
        <v>42063</v>
      </c>
      <c r="W33" s="8" t="str">
        <f t="shared" si="14"/>
        <v>20140101LE_950BASE</v>
      </c>
      <c r="X33" s="12" t="str">
        <f t="shared" si="15"/>
        <v xml:space="preserve">20140101LS </v>
      </c>
      <c r="AA33">
        <f>MiscData!$X$5</f>
        <v>20140101</v>
      </c>
      <c r="AB33">
        <f>IF(AB32+1&gt;MiscData!$AF$28,1,AB32+1)</f>
        <v>8</v>
      </c>
      <c r="AC33" t="str">
        <f>VLOOKUP(AB33,MiscData!$AF$5:$AG$28,2,FALSE)</f>
        <v>LE_950BASE</v>
      </c>
      <c r="AD33" t="str">
        <f>VLOOKUP(AB33,MiscData!$AF$5:$AH$28,3,FALSE)</f>
        <v xml:space="preserve">LS </v>
      </c>
    </row>
    <row r="34" spans="1:30">
      <c r="A34" s="8">
        <f t="shared" si="13"/>
        <v>33</v>
      </c>
      <c r="B34" s="14" t="str">
        <f t="shared" si="0"/>
        <v>Feb 2015</v>
      </c>
      <c r="C34" s="24" t="str">
        <f t="shared" si="1"/>
        <v>RLS</v>
      </c>
      <c r="D34" s="24" t="str">
        <f t="shared" si="2"/>
        <v>LE_951BASE</v>
      </c>
      <c r="E34" s="73">
        <f t="shared" ref="E34:E65" si="16">SUMIFS(L_1051_Count_Total,L_1051_Revenue_Month,$B34,L_1051_RateCategory,$D34,L_1051_Light_Category,C34)</f>
        <v>195</v>
      </c>
      <c r="F34" s="73">
        <v>0</v>
      </c>
      <c r="G34" s="11">
        <f>SUMIF(PoleRates!$E$4:$E$131,$W34,PoleRates!$F$4:$F$131)</f>
        <v>3.73</v>
      </c>
      <c r="H34" s="13">
        <f t="shared" si="4"/>
        <v>727.35</v>
      </c>
      <c r="I34" s="85">
        <v>0</v>
      </c>
      <c r="J34" s="13">
        <f t="shared" si="5"/>
        <v>727.35</v>
      </c>
      <c r="K34" s="35">
        <f t="shared" si="6"/>
        <v>0</v>
      </c>
      <c r="L34" s="87">
        <f t="shared" si="7"/>
        <v>0</v>
      </c>
      <c r="M34" s="86">
        <f t="shared" si="8"/>
        <v>0</v>
      </c>
      <c r="N34" s="15">
        <f t="shared" si="11"/>
        <v>727.35</v>
      </c>
      <c r="O34" s="15">
        <f t="shared" si="12"/>
        <v>-727.35</v>
      </c>
      <c r="V34" s="14">
        <f>IF(AB34=1,IF(V33=MiscData!$F$1,EOMONTH(V33,-11),EOMONTH(V33,1)),V33)</f>
        <v>42063</v>
      </c>
      <c r="W34" s="8" t="str">
        <f t="shared" si="14"/>
        <v>20140101LE_951BASE</v>
      </c>
      <c r="X34" s="12" t="str">
        <f t="shared" si="15"/>
        <v>20140101RLS</v>
      </c>
      <c r="AA34">
        <f>MiscData!$X$5</f>
        <v>20140101</v>
      </c>
      <c r="AB34">
        <f>IF(AB33+1&gt;MiscData!$AF$28,1,AB33+1)</f>
        <v>9</v>
      </c>
      <c r="AC34" t="str">
        <f>VLOOKUP(AB34,MiscData!$AF$5:$AG$28,2,FALSE)</f>
        <v>LE_951BASE</v>
      </c>
      <c r="AD34" t="str">
        <f>VLOOKUP(AB34,MiscData!$AF$5:$AH$28,3,FALSE)</f>
        <v>RLS</v>
      </c>
    </row>
    <row r="35" spans="1:30">
      <c r="A35" s="8">
        <f t="shared" si="13"/>
        <v>34</v>
      </c>
      <c r="B35" s="14" t="str">
        <f t="shared" si="0"/>
        <v>Feb 2015</v>
      </c>
      <c r="C35" s="24" t="str">
        <f t="shared" si="1"/>
        <v xml:space="preserve">LS </v>
      </c>
      <c r="D35" s="24" t="str">
        <f t="shared" si="2"/>
        <v>LE_951BASE</v>
      </c>
      <c r="E35" s="73">
        <f t="shared" si="16"/>
        <v>73</v>
      </c>
      <c r="F35" s="73">
        <v>0</v>
      </c>
      <c r="G35" s="11">
        <f>SUMIF(PoleRates!$E$4:$E$131,$W35,PoleRates!$F$4:$F$131)</f>
        <v>3.73</v>
      </c>
      <c r="H35" s="13">
        <f t="shared" si="4"/>
        <v>272.29000000000002</v>
      </c>
      <c r="I35" s="85">
        <v>0</v>
      </c>
      <c r="J35" s="13">
        <f t="shared" si="5"/>
        <v>272.29000000000002</v>
      </c>
      <c r="K35" s="35">
        <f t="shared" si="6"/>
        <v>0</v>
      </c>
      <c r="L35" s="87">
        <f t="shared" si="7"/>
        <v>0</v>
      </c>
      <c r="M35" s="86">
        <f t="shared" si="8"/>
        <v>0</v>
      </c>
      <c r="N35" s="15">
        <f t="shared" si="11"/>
        <v>272.29000000000002</v>
      </c>
      <c r="O35" s="15">
        <f t="shared" si="12"/>
        <v>-272.29000000000002</v>
      </c>
      <c r="V35" s="14">
        <f>IF(AB35=1,IF(V34=MiscData!$F$1,EOMONTH(V34,-11),EOMONTH(V34,1)),V34)</f>
        <v>42063</v>
      </c>
      <c r="W35" s="8" t="str">
        <f t="shared" si="14"/>
        <v>20140101LE_951BASE</v>
      </c>
      <c r="X35" s="12" t="str">
        <f t="shared" si="15"/>
        <v xml:space="preserve">20140101LS </v>
      </c>
      <c r="AA35">
        <f>MiscData!$X$5</f>
        <v>20140101</v>
      </c>
      <c r="AB35">
        <f>IF(AB34+1&gt;MiscData!$AF$28,1,AB34+1)</f>
        <v>10</v>
      </c>
      <c r="AC35" t="str">
        <f>VLOOKUP(AB35,MiscData!$AF$5:$AG$28,2,FALSE)</f>
        <v>LE_951BASE</v>
      </c>
      <c r="AD35" t="str">
        <f>VLOOKUP(AB35,MiscData!$AF$5:$AH$28,3,FALSE)</f>
        <v xml:space="preserve">LS </v>
      </c>
    </row>
    <row r="36" spans="1:30">
      <c r="A36" s="8">
        <f t="shared" si="13"/>
        <v>35</v>
      </c>
      <c r="B36" s="14" t="str">
        <f t="shared" si="0"/>
        <v>Feb 2015</v>
      </c>
      <c r="C36" s="24" t="str">
        <f t="shared" si="1"/>
        <v>RLS</v>
      </c>
      <c r="D36" s="24" t="str">
        <f t="shared" si="2"/>
        <v>LE_952BASE</v>
      </c>
      <c r="E36" s="73">
        <f t="shared" si="16"/>
        <v>0</v>
      </c>
      <c r="F36" s="73">
        <v>0</v>
      </c>
      <c r="G36" s="11">
        <f>SUMIF(PoleRates!$E$4:$E$131,$W36,PoleRates!$F$4:$F$131)</f>
        <v>3.56</v>
      </c>
      <c r="H36" s="13">
        <f t="shared" si="4"/>
        <v>0</v>
      </c>
      <c r="I36" s="85">
        <v>0</v>
      </c>
      <c r="J36" s="13">
        <f t="shared" si="5"/>
        <v>0</v>
      </c>
      <c r="K36" s="35">
        <f t="shared" si="6"/>
        <v>0</v>
      </c>
      <c r="L36" s="87">
        <f t="shared" si="7"/>
        <v>1</v>
      </c>
      <c r="M36" s="86">
        <f t="shared" si="8"/>
        <v>0</v>
      </c>
      <c r="N36" s="15">
        <f t="shared" si="11"/>
        <v>0</v>
      </c>
      <c r="O36" s="15">
        <f t="shared" si="12"/>
        <v>0</v>
      </c>
      <c r="V36" s="14">
        <f>IF(AB36=1,IF(V35=MiscData!$F$1,EOMONTH(V35,-11),EOMONTH(V35,1)),V35)</f>
        <v>42063</v>
      </c>
      <c r="W36" s="8" t="str">
        <f t="shared" si="14"/>
        <v>20140101LE_952BASE</v>
      </c>
      <c r="X36" s="12" t="str">
        <f t="shared" si="15"/>
        <v>20140101RLS</v>
      </c>
      <c r="AA36">
        <f>MiscData!$X$5</f>
        <v>20140101</v>
      </c>
      <c r="AB36">
        <f>IF(AB35+1&gt;MiscData!$AF$28,1,AB35+1)</f>
        <v>11</v>
      </c>
      <c r="AC36" t="str">
        <f>VLOOKUP(AB36,MiscData!$AF$5:$AG$28,2,FALSE)</f>
        <v>LE_952BASE</v>
      </c>
      <c r="AD36" t="str">
        <f>VLOOKUP(AB36,MiscData!$AF$5:$AH$28,3,FALSE)</f>
        <v>RLS</v>
      </c>
    </row>
    <row r="37" spans="1:30">
      <c r="A37" s="8">
        <f t="shared" si="13"/>
        <v>36</v>
      </c>
      <c r="B37" s="14" t="str">
        <f t="shared" si="0"/>
        <v>Feb 2015</v>
      </c>
      <c r="C37" s="24" t="str">
        <f t="shared" si="1"/>
        <v xml:space="preserve">LS </v>
      </c>
      <c r="D37" s="24" t="str">
        <f t="shared" si="2"/>
        <v>LE_952BASE</v>
      </c>
      <c r="E37" s="73">
        <f t="shared" si="16"/>
        <v>0</v>
      </c>
      <c r="F37" s="73">
        <v>0</v>
      </c>
      <c r="G37" s="11">
        <f>SUMIF(PoleRates!$E$4:$E$131,$W37,PoleRates!$F$4:$F$131)</f>
        <v>3.56</v>
      </c>
      <c r="H37" s="13">
        <f t="shared" si="4"/>
        <v>0</v>
      </c>
      <c r="I37" s="85">
        <v>0</v>
      </c>
      <c r="J37" s="13">
        <f t="shared" si="5"/>
        <v>0</v>
      </c>
      <c r="K37" s="35">
        <f t="shared" si="6"/>
        <v>0</v>
      </c>
      <c r="L37" s="87">
        <f t="shared" si="7"/>
        <v>1</v>
      </c>
      <c r="M37" s="86">
        <f t="shared" si="8"/>
        <v>0</v>
      </c>
      <c r="N37" s="15">
        <f t="shared" si="11"/>
        <v>0</v>
      </c>
      <c r="O37" s="15">
        <f t="shared" si="12"/>
        <v>0</v>
      </c>
      <c r="V37" s="14">
        <f>IF(AB37=1,IF(V36=MiscData!$F$1,EOMONTH(V36,-11),EOMONTH(V36,1)),V36)</f>
        <v>42063</v>
      </c>
      <c r="W37" s="8" t="str">
        <f t="shared" si="14"/>
        <v>20140101LE_952BASE</v>
      </c>
      <c r="X37" s="12" t="str">
        <f t="shared" si="15"/>
        <v xml:space="preserve">20140101LS </v>
      </c>
      <c r="AA37">
        <f>MiscData!$X$5</f>
        <v>20140101</v>
      </c>
      <c r="AB37">
        <f>IF(AB36+1&gt;MiscData!$AF$28,1,AB36+1)</f>
        <v>12</v>
      </c>
      <c r="AC37" t="str">
        <f>VLOOKUP(AB37,MiscData!$AF$5:$AG$28,2,FALSE)</f>
        <v>LE_952BASE</v>
      </c>
      <c r="AD37" t="str">
        <f>VLOOKUP(AB37,MiscData!$AF$5:$AH$28,3,FALSE)</f>
        <v xml:space="preserve">LS </v>
      </c>
    </row>
    <row r="38" spans="1:30">
      <c r="A38" s="8">
        <f t="shared" si="13"/>
        <v>37</v>
      </c>
      <c r="B38" s="14" t="str">
        <f t="shared" si="0"/>
        <v>Feb 2015</v>
      </c>
      <c r="C38" s="24" t="str">
        <f t="shared" si="1"/>
        <v>RLS</v>
      </c>
      <c r="D38" s="24" t="str">
        <f t="shared" si="2"/>
        <v>LE_953BASE</v>
      </c>
      <c r="E38" s="73">
        <f t="shared" si="16"/>
        <v>0</v>
      </c>
      <c r="F38" s="73">
        <v>0</v>
      </c>
      <c r="G38" s="11">
        <f>SUMIF(PoleRates!$E$4:$E$131,$W38,PoleRates!$F$4:$F$131)</f>
        <v>3.73</v>
      </c>
      <c r="H38" s="13">
        <f>ROUND(($E38+F38)*$G38,2)</f>
        <v>0</v>
      </c>
      <c r="I38" s="85">
        <v>0</v>
      </c>
      <c r="J38" s="13">
        <f t="shared" si="5"/>
        <v>0</v>
      </c>
      <c r="K38" s="35">
        <f t="shared" si="6"/>
        <v>0</v>
      </c>
      <c r="L38" s="87">
        <f t="shared" si="7"/>
        <v>1</v>
      </c>
      <c r="M38" s="86">
        <f t="shared" si="8"/>
        <v>0</v>
      </c>
      <c r="N38" s="15">
        <f t="shared" si="11"/>
        <v>0</v>
      </c>
      <c r="O38" s="15">
        <f t="shared" si="12"/>
        <v>0</v>
      </c>
      <c r="V38" s="14">
        <f>IF(AB38=1,IF(V37=MiscData!$F$1,EOMONTH(V37,-11),EOMONTH(V37,1)),V37)</f>
        <v>42063</v>
      </c>
      <c r="W38" s="8" t="str">
        <f t="shared" si="14"/>
        <v>20140101LE_953BASE</v>
      </c>
      <c r="X38" s="12" t="str">
        <f t="shared" si="15"/>
        <v>20140101RLS</v>
      </c>
      <c r="AA38">
        <f>MiscData!$X$5</f>
        <v>20140101</v>
      </c>
      <c r="AB38">
        <f>IF(AB37+1&gt;MiscData!$AF$28,1,AB37+1)</f>
        <v>13</v>
      </c>
      <c r="AC38" t="str">
        <f>VLOOKUP(AB38,MiscData!$AF$5:$AG$28,2,FALSE)</f>
        <v>LE_953BASE</v>
      </c>
      <c r="AD38" t="str">
        <f>VLOOKUP(AB38,MiscData!$AF$5:$AH$28,3,FALSE)</f>
        <v>RLS</v>
      </c>
    </row>
    <row r="39" spans="1:30">
      <c r="A39" s="8">
        <f t="shared" si="13"/>
        <v>38</v>
      </c>
      <c r="B39" s="14" t="str">
        <f t="shared" si="0"/>
        <v>Feb 2015</v>
      </c>
      <c r="C39" s="24" t="str">
        <f t="shared" si="1"/>
        <v xml:space="preserve">LS </v>
      </c>
      <c r="D39" s="24" t="str">
        <f t="shared" si="2"/>
        <v>LE_953BASE</v>
      </c>
      <c r="E39" s="73">
        <f t="shared" si="16"/>
        <v>0</v>
      </c>
      <c r="F39" s="73">
        <v>0</v>
      </c>
      <c r="G39" s="11">
        <f>SUMIF(PoleRates!$E$4:$E$131,$W39,PoleRates!$F$4:$F$131)</f>
        <v>3.73</v>
      </c>
      <c r="H39" s="13">
        <f t="shared" ref="H39:H289" si="17">ROUND(($E39+F39)*$G39,2)</f>
        <v>0</v>
      </c>
      <c r="I39" s="85">
        <v>0</v>
      </c>
      <c r="J39" s="13">
        <f t="shared" si="5"/>
        <v>0</v>
      </c>
      <c r="K39" s="35">
        <f t="shared" si="6"/>
        <v>0</v>
      </c>
      <c r="L39" s="87">
        <f t="shared" si="7"/>
        <v>1</v>
      </c>
      <c r="M39" s="86">
        <f t="shared" si="8"/>
        <v>0</v>
      </c>
      <c r="N39" s="15">
        <f t="shared" si="11"/>
        <v>0</v>
      </c>
      <c r="O39" s="15">
        <f t="shared" si="12"/>
        <v>0</v>
      </c>
      <c r="V39" s="14">
        <f>IF(AB39=1,IF(V38=MiscData!$F$1,EOMONTH(V38,-11),EOMONTH(V38,1)),V38)</f>
        <v>42063</v>
      </c>
      <c r="W39" s="8" t="str">
        <f t="shared" si="14"/>
        <v>20140101LE_953BASE</v>
      </c>
      <c r="X39" s="12" t="str">
        <f t="shared" si="15"/>
        <v xml:space="preserve">20140101LS </v>
      </c>
      <c r="AA39">
        <f>MiscData!$X$5</f>
        <v>20140101</v>
      </c>
      <c r="AB39">
        <f>IF(AB38+1&gt;MiscData!$AF$28,1,AB38+1)</f>
        <v>14</v>
      </c>
      <c r="AC39" t="str">
        <f>VLOOKUP(AB39,MiscData!$AF$5:$AG$28,2,FALSE)</f>
        <v>LE_953BASE</v>
      </c>
      <c r="AD39" t="str">
        <f>VLOOKUP(AB39,MiscData!$AF$5:$AH$28,3,FALSE)</f>
        <v xml:space="preserve">LS </v>
      </c>
    </row>
    <row r="40" spans="1:30">
      <c r="A40" s="8">
        <f t="shared" si="13"/>
        <v>39</v>
      </c>
      <c r="B40" s="14" t="str">
        <f t="shared" si="0"/>
        <v>Feb 2015</v>
      </c>
      <c r="C40" s="24" t="str">
        <f t="shared" si="1"/>
        <v>RLS</v>
      </c>
      <c r="D40" s="24" t="str">
        <f t="shared" si="2"/>
        <v>LE_954BASE</v>
      </c>
      <c r="E40" s="73">
        <f t="shared" si="16"/>
        <v>0</v>
      </c>
      <c r="F40" s="73">
        <v>0</v>
      </c>
      <c r="G40" s="11">
        <f>SUMIF(PoleRates!$E$4:$E$131,$W40,PoleRates!$F$4:$F$131)</f>
        <v>3.47</v>
      </c>
      <c r="H40" s="13">
        <f t="shared" si="17"/>
        <v>0</v>
      </c>
      <c r="I40" s="85">
        <v>0</v>
      </c>
      <c r="J40" s="13">
        <f t="shared" si="5"/>
        <v>0</v>
      </c>
      <c r="K40" s="35">
        <f t="shared" si="6"/>
        <v>0</v>
      </c>
      <c r="L40" s="87">
        <f t="shared" si="7"/>
        <v>1</v>
      </c>
      <c r="M40" s="86">
        <f t="shared" si="8"/>
        <v>0</v>
      </c>
      <c r="N40" s="15">
        <f t="shared" si="11"/>
        <v>0</v>
      </c>
      <c r="O40" s="15">
        <f t="shared" si="12"/>
        <v>0</v>
      </c>
      <c r="V40" s="14">
        <f>IF(AB40=1,IF(V39=MiscData!$F$1,EOMONTH(V39,-11),EOMONTH(V39,1)),V39)</f>
        <v>42063</v>
      </c>
      <c r="W40" s="8" t="str">
        <f t="shared" si="14"/>
        <v>20140101LE_954BASE</v>
      </c>
      <c r="X40" s="12" t="str">
        <f t="shared" si="15"/>
        <v>20140101RLS</v>
      </c>
      <c r="AA40">
        <f>MiscData!$X$5</f>
        <v>20140101</v>
      </c>
      <c r="AB40">
        <f>IF(AB39+1&gt;MiscData!$AF$28,1,AB39+1)</f>
        <v>15</v>
      </c>
      <c r="AC40" t="str">
        <f>VLOOKUP(AB40,MiscData!$AF$5:$AG$28,2,FALSE)</f>
        <v>LE_954BASE</v>
      </c>
      <c r="AD40" t="str">
        <f>VLOOKUP(AB40,MiscData!$AF$5:$AH$28,3,FALSE)</f>
        <v>RLS</v>
      </c>
    </row>
    <row r="41" spans="1:30">
      <c r="A41" s="8">
        <f t="shared" si="13"/>
        <v>40</v>
      </c>
      <c r="B41" s="14" t="str">
        <f t="shared" si="0"/>
        <v>Feb 2015</v>
      </c>
      <c r="C41" s="24" t="str">
        <f t="shared" si="1"/>
        <v xml:space="preserve">LS </v>
      </c>
      <c r="D41" s="24" t="str">
        <f t="shared" si="2"/>
        <v>LE_954BASE</v>
      </c>
      <c r="E41" s="73">
        <f t="shared" si="16"/>
        <v>0</v>
      </c>
      <c r="F41" s="73">
        <v>0</v>
      </c>
      <c r="G41" s="11">
        <f>SUMIF(PoleRates!$E$4:$E$131,$W41,PoleRates!$F$4:$F$131)</f>
        <v>3.47</v>
      </c>
      <c r="H41" s="13">
        <f t="shared" si="17"/>
        <v>0</v>
      </c>
      <c r="I41" s="85">
        <v>0</v>
      </c>
      <c r="J41" s="13">
        <f t="shared" si="5"/>
        <v>0</v>
      </c>
      <c r="K41" s="35">
        <f t="shared" si="6"/>
        <v>0</v>
      </c>
      <c r="L41" s="87">
        <f t="shared" si="7"/>
        <v>1</v>
      </c>
      <c r="M41" s="86">
        <f t="shared" si="8"/>
        <v>0</v>
      </c>
      <c r="N41" s="15">
        <f t="shared" si="11"/>
        <v>0</v>
      </c>
      <c r="O41" s="15">
        <f t="shared" si="12"/>
        <v>0</v>
      </c>
      <c r="V41" s="14">
        <f>IF(AB41=1,IF(V40=MiscData!$F$1,EOMONTH(V40,-11),EOMONTH(V40,1)),V40)</f>
        <v>42063</v>
      </c>
      <c r="W41" s="8" t="str">
        <f t="shared" si="14"/>
        <v>20140101LE_954BASE</v>
      </c>
      <c r="X41" s="12" t="str">
        <f t="shared" si="15"/>
        <v xml:space="preserve">20140101LS </v>
      </c>
      <c r="AA41">
        <f>MiscData!$X$5</f>
        <v>20140101</v>
      </c>
      <c r="AB41">
        <f>IF(AB40+1&gt;MiscData!$AF$28,1,AB40+1)</f>
        <v>16</v>
      </c>
      <c r="AC41" t="str">
        <f>VLOOKUP(AB41,MiscData!$AF$5:$AG$28,2,FALSE)</f>
        <v>LE_954BASE</v>
      </c>
      <c r="AD41" t="str">
        <f>VLOOKUP(AB41,MiscData!$AF$5:$AH$28,3,FALSE)</f>
        <v xml:space="preserve">LS </v>
      </c>
    </row>
    <row r="42" spans="1:30">
      <c r="A42" s="8">
        <f t="shared" si="13"/>
        <v>41</v>
      </c>
      <c r="B42" s="14" t="str">
        <f t="shared" si="0"/>
        <v>Feb 2015</v>
      </c>
      <c r="C42" s="24" t="str">
        <f t="shared" si="1"/>
        <v>RLS</v>
      </c>
      <c r="D42" s="24" t="str">
        <f t="shared" si="2"/>
        <v>LE_955BASE</v>
      </c>
      <c r="E42" s="73">
        <f t="shared" si="16"/>
        <v>0</v>
      </c>
      <c r="F42" s="73">
        <v>0</v>
      </c>
      <c r="G42" s="11">
        <f>SUMIF(PoleRates!$E$4:$E$131,$W42,PoleRates!$F$4:$F$131)</f>
        <v>3.56</v>
      </c>
      <c r="H42" s="13">
        <f t="shared" si="17"/>
        <v>0</v>
      </c>
      <c r="I42" s="85">
        <v>0</v>
      </c>
      <c r="J42" s="13">
        <f t="shared" si="5"/>
        <v>0</v>
      </c>
      <c r="K42" s="35">
        <f t="shared" si="6"/>
        <v>0</v>
      </c>
      <c r="L42" s="87">
        <f t="shared" si="7"/>
        <v>1</v>
      </c>
      <c r="M42" s="86">
        <f t="shared" si="8"/>
        <v>0</v>
      </c>
      <c r="N42" s="15">
        <f t="shared" si="11"/>
        <v>0</v>
      </c>
      <c r="O42" s="15">
        <f t="shared" si="12"/>
        <v>0</v>
      </c>
      <c r="V42" s="14">
        <f>IF(AB42=1,IF(V41=MiscData!$F$1,EOMONTH(V41,-11),EOMONTH(V41,1)),V41)</f>
        <v>42063</v>
      </c>
      <c r="W42" s="8" t="str">
        <f t="shared" si="14"/>
        <v>20140101LE_955BASE</v>
      </c>
      <c r="X42" s="12" t="str">
        <f t="shared" si="15"/>
        <v>20140101RLS</v>
      </c>
      <c r="AA42">
        <f>MiscData!$X$5</f>
        <v>20140101</v>
      </c>
      <c r="AB42">
        <f>IF(AB41+1&gt;MiscData!$AF$28,1,AB41+1)</f>
        <v>17</v>
      </c>
      <c r="AC42" t="str">
        <f>VLOOKUP(AB42,MiscData!$AF$5:$AG$28,2,FALSE)</f>
        <v>LE_955BASE</v>
      </c>
      <c r="AD42" t="str">
        <f>VLOOKUP(AB42,MiscData!$AF$5:$AH$28,3,FALSE)</f>
        <v>RLS</v>
      </c>
    </row>
    <row r="43" spans="1:30">
      <c r="A43" s="8">
        <f t="shared" si="13"/>
        <v>42</v>
      </c>
      <c r="B43" s="14" t="str">
        <f t="shared" si="0"/>
        <v>Feb 2015</v>
      </c>
      <c r="C43" s="24" t="str">
        <f t="shared" si="1"/>
        <v xml:space="preserve">LS </v>
      </c>
      <c r="D43" s="24" t="str">
        <f t="shared" si="2"/>
        <v>LE_955BASE</v>
      </c>
      <c r="E43" s="73">
        <f t="shared" si="16"/>
        <v>0</v>
      </c>
      <c r="F43" s="73">
        <v>0</v>
      </c>
      <c r="G43" s="11">
        <f>SUMIF(PoleRates!$E$4:$E$131,$W43,PoleRates!$F$4:$F$131)</f>
        <v>3.56</v>
      </c>
      <c r="H43" s="13">
        <f t="shared" si="17"/>
        <v>0</v>
      </c>
      <c r="I43" s="85">
        <v>0</v>
      </c>
      <c r="J43" s="13">
        <f t="shared" si="5"/>
        <v>0</v>
      </c>
      <c r="K43" s="35">
        <f t="shared" si="6"/>
        <v>0</v>
      </c>
      <c r="L43" s="87">
        <f t="shared" si="7"/>
        <v>1</v>
      </c>
      <c r="M43" s="86">
        <f t="shared" si="8"/>
        <v>0</v>
      </c>
      <c r="N43" s="15">
        <f t="shared" si="11"/>
        <v>0</v>
      </c>
      <c r="O43" s="15">
        <f t="shared" si="12"/>
        <v>0</v>
      </c>
      <c r="V43" s="14">
        <f>IF(AB43=1,IF(V42=MiscData!$F$1,EOMONTH(V42,-11),EOMONTH(V42,1)),V42)</f>
        <v>42063</v>
      </c>
      <c r="W43" s="8" t="str">
        <f t="shared" si="14"/>
        <v>20140101LE_955BASE</v>
      </c>
      <c r="X43" s="12" t="str">
        <f t="shared" si="15"/>
        <v xml:space="preserve">20140101LS </v>
      </c>
      <c r="AA43">
        <f>MiscData!$X$5</f>
        <v>20140101</v>
      </c>
      <c r="AB43">
        <f>IF(AB42+1&gt;MiscData!$AF$28,1,AB42+1)</f>
        <v>18</v>
      </c>
      <c r="AC43" t="str">
        <f>VLOOKUP(AB43,MiscData!$AF$5:$AG$28,2,FALSE)</f>
        <v>LE_955BASE</v>
      </c>
      <c r="AD43" t="str">
        <f>VLOOKUP(AB43,MiscData!$AF$5:$AH$28,3,FALSE)</f>
        <v xml:space="preserve">LS </v>
      </c>
    </row>
    <row r="44" spans="1:30">
      <c r="A44" s="8">
        <f t="shared" si="13"/>
        <v>43</v>
      </c>
      <c r="B44" s="14" t="str">
        <f t="shared" si="0"/>
        <v>Feb 2015</v>
      </c>
      <c r="C44" s="24" t="str">
        <f t="shared" si="1"/>
        <v>RLS</v>
      </c>
      <c r="D44" s="24" t="str">
        <f t="shared" si="2"/>
        <v>LE_956BASE</v>
      </c>
      <c r="E44" s="73">
        <f t="shared" si="16"/>
        <v>239</v>
      </c>
      <c r="F44" s="73">
        <v>0</v>
      </c>
      <c r="G44" s="11">
        <f>SUMIF(PoleRates!$E$4:$E$131,$W44,PoleRates!$F$4:$F$131)</f>
        <v>3.56</v>
      </c>
      <c r="H44" s="13">
        <f t="shared" si="17"/>
        <v>850.84</v>
      </c>
      <c r="I44" s="85">
        <v>0</v>
      </c>
      <c r="J44" s="13">
        <f>SUM(H44:I44)</f>
        <v>850.84</v>
      </c>
      <c r="K44" s="35">
        <f t="shared" si="6"/>
        <v>0</v>
      </c>
      <c r="L44" s="87">
        <f t="shared" si="7"/>
        <v>0</v>
      </c>
      <c r="M44" s="86">
        <f t="shared" si="8"/>
        <v>0</v>
      </c>
      <c r="N44" s="15">
        <f t="shared" si="11"/>
        <v>850.84</v>
      </c>
      <c r="O44" s="15">
        <f t="shared" si="12"/>
        <v>-850.84</v>
      </c>
      <c r="V44" s="14">
        <f>IF(AB44=1,IF(V43=MiscData!$F$1,EOMONTH(V43,-11),EOMONTH(V43,1)),V43)</f>
        <v>42063</v>
      </c>
      <c r="W44" s="8" t="str">
        <f t="shared" si="14"/>
        <v>20140101LE_956BASE</v>
      </c>
      <c r="X44" s="12" t="str">
        <f t="shared" si="15"/>
        <v>20140101RLS</v>
      </c>
      <c r="AA44">
        <f>MiscData!$X$5</f>
        <v>20140101</v>
      </c>
      <c r="AB44">
        <f>IF(AB43+1&gt;MiscData!$AF$28,1,AB43+1)</f>
        <v>19</v>
      </c>
      <c r="AC44" t="str">
        <f>VLOOKUP(AB44,MiscData!$AF$5:$AG$28,2,FALSE)</f>
        <v>LE_956BASE</v>
      </c>
      <c r="AD44" t="str">
        <f>VLOOKUP(AB44,MiscData!$AF$5:$AH$28,3,FALSE)</f>
        <v>RLS</v>
      </c>
    </row>
    <row r="45" spans="1:30">
      <c r="A45" s="8">
        <f t="shared" si="13"/>
        <v>44</v>
      </c>
      <c r="B45" s="14" t="str">
        <f t="shared" si="0"/>
        <v>Feb 2015</v>
      </c>
      <c r="C45" s="24" t="str">
        <f t="shared" si="1"/>
        <v xml:space="preserve">LS </v>
      </c>
      <c r="D45" s="24" t="str">
        <f t="shared" si="2"/>
        <v>LE_956BASE</v>
      </c>
      <c r="E45" s="73">
        <f t="shared" si="16"/>
        <v>310</v>
      </c>
      <c r="F45" s="73">
        <v>0</v>
      </c>
      <c r="G45" s="11">
        <f>SUMIF(PoleRates!$E$4:$E$131,$W45,PoleRates!$F$4:$F$131)</f>
        <v>3.56</v>
      </c>
      <c r="H45" s="13">
        <f t="shared" si="17"/>
        <v>1103.5999999999999</v>
      </c>
      <c r="I45" s="85">
        <v>0</v>
      </c>
      <c r="J45" s="13">
        <f t="shared" ref="J45:J108" si="18">SUM(H45:H45,I45:I45)</f>
        <v>1103.5999999999999</v>
      </c>
      <c r="K45" s="35">
        <f t="shared" si="6"/>
        <v>0</v>
      </c>
      <c r="L45" s="87">
        <f>IF(AND(J45=0,K45=0),1,IF(J45=0,0,K45/J45))</f>
        <v>0</v>
      </c>
      <c r="M45" s="86">
        <f t="shared" si="8"/>
        <v>0</v>
      </c>
      <c r="N45" s="15">
        <f t="shared" si="11"/>
        <v>1103.5999999999999</v>
      </c>
      <c r="O45" s="15">
        <f t="shared" si="12"/>
        <v>-1103.5999999999999</v>
      </c>
      <c r="V45" s="14">
        <f>IF(AB45=1,IF(V44=MiscData!$F$1,EOMONTH(V44,-11),EOMONTH(V44,1)),V44)</f>
        <v>42063</v>
      </c>
      <c r="W45" s="8" t="str">
        <f t="shared" si="14"/>
        <v>20140101LE_956BASE</v>
      </c>
      <c r="X45" s="12" t="str">
        <f t="shared" si="15"/>
        <v xml:space="preserve">20140101LS </v>
      </c>
      <c r="AA45">
        <f>MiscData!$X$5</f>
        <v>20140101</v>
      </c>
      <c r="AB45">
        <f>IF(AB44+1&gt;MiscData!$AF$28,1,AB44+1)</f>
        <v>20</v>
      </c>
      <c r="AC45" t="str">
        <f>VLOOKUP(AB45,MiscData!$AF$5:$AG$28,2,FALSE)</f>
        <v>LE_956BASE</v>
      </c>
      <c r="AD45" t="str">
        <f>VLOOKUP(AB45,MiscData!$AF$5:$AH$28,3,FALSE)</f>
        <v xml:space="preserve">LS </v>
      </c>
    </row>
    <row r="46" spans="1:30">
      <c r="A46" s="8">
        <f t="shared" si="13"/>
        <v>45</v>
      </c>
      <c r="B46" s="14" t="str">
        <f t="shared" si="0"/>
        <v>Feb 2015</v>
      </c>
      <c r="C46" s="24" t="str">
        <f t="shared" si="1"/>
        <v>RLS</v>
      </c>
      <c r="D46" s="24" t="str">
        <f t="shared" si="2"/>
        <v>LE_957BASE</v>
      </c>
      <c r="E46" s="73">
        <f t="shared" si="16"/>
        <v>0</v>
      </c>
      <c r="F46" s="73">
        <v>0</v>
      </c>
      <c r="G46" s="11">
        <f>SUMIF(PoleRates!$E$4:$E$131,$W46,PoleRates!$F$4:$F$131)</f>
        <v>3.56</v>
      </c>
      <c r="H46" s="13">
        <f t="shared" si="17"/>
        <v>0</v>
      </c>
      <c r="I46" s="85">
        <v>0</v>
      </c>
      <c r="J46" s="13">
        <f t="shared" si="18"/>
        <v>0</v>
      </c>
      <c r="K46" s="35">
        <f t="shared" si="6"/>
        <v>0</v>
      </c>
      <c r="L46" s="87">
        <f t="shared" ref="L46:L289" si="19">IF(AND(J46=0,K46=0),1,IF(J46=0,0,K46/J46))</f>
        <v>1</v>
      </c>
      <c r="M46" s="86">
        <f t="shared" si="8"/>
        <v>0</v>
      </c>
      <c r="N46" s="15">
        <f t="shared" si="11"/>
        <v>0</v>
      </c>
      <c r="O46" s="15">
        <f t="shared" si="12"/>
        <v>0</v>
      </c>
      <c r="V46" s="14">
        <f>IF(AB46=1,IF(V45=MiscData!$F$1,EOMONTH(V45,-11),EOMONTH(V45,1)),V45)</f>
        <v>42063</v>
      </c>
      <c r="W46" s="8" t="str">
        <f t="shared" si="14"/>
        <v>20140101LE_957BASE</v>
      </c>
      <c r="X46" s="12" t="str">
        <f t="shared" si="15"/>
        <v>20140101RLS</v>
      </c>
      <c r="AA46">
        <f>MiscData!$X$5</f>
        <v>20140101</v>
      </c>
      <c r="AB46">
        <f>IF(AB45+1&gt;MiscData!$AF$28,1,AB45+1)</f>
        <v>21</v>
      </c>
      <c r="AC46" t="str">
        <f>VLOOKUP(AB46,MiscData!$AF$5:$AG$28,2,FALSE)</f>
        <v>LE_957BASE</v>
      </c>
      <c r="AD46" t="str">
        <f>VLOOKUP(AB46,MiscData!$AF$5:$AH$28,3,FALSE)</f>
        <v>RLS</v>
      </c>
    </row>
    <row r="47" spans="1:30">
      <c r="A47" s="8">
        <f t="shared" si="13"/>
        <v>46</v>
      </c>
      <c r="B47" s="14" t="str">
        <f t="shared" si="0"/>
        <v>Feb 2015</v>
      </c>
      <c r="C47" s="24" t="str">
        <f t="shared" si="1"/>
        <v xml:space="preserve">LS </v>
      </c>
      <c r="D47" s="24" t="str">
        <f t="shared" si="2"/>
        <v>LE_957BASE</v>
      </c>
      <c r="E47" s="73">
        <f t="shared" si="16"/>
        <v>0</v>
      </c>
      <c r="F47" s="73">
        <v>0</v>
      </c>
      <c r="G47" s="11">
        <f>SUMIF(PoleRates!$E$4:$E$131,$W47,PoleRates!$F$4:$F$131)</f>
        <v>3.56</v>
      </c>
      <c r="H47" s="13">
        <f t="shared" si="17"/>
        <v>0</v>
      </c>
      <c r="I47" s="85">
        <v>0</v>
      </c>
      <c r="J47" s="13">
        <f t="shared" si="18"/>
        <v>0</v>
      </c>
      <c r="K47" s="35">
        <f t="shared" si="6"/>
        <v>0</v>
      </c>
      <c r="L47" s="87">
        <f t="shared" si="19"/>
        <v>1</v>
      </c>
      <c r="M47" s="86">
        <f t="shared" si="8"/>
        <v>0</v>
      </c>
      <c r="N47" s="15">
        <f t="shared" si="11"/>
        <v>0</v>
      </c>
      <c r="O47" s="15">
        <f t="shared" si="12"/>
        <v>0</v>
      </c>
      <c r="V47" s="14">
        <f>IF(AB47=1,IF(V46=MiscData!$F$1,EOMONTH(V46,-11),EOMONTH(V46,1)),V46)</f>
        <v>42063</v>
      </c>
      <c r="W47" s="8" t="str">
        <f t="shared" si="14"/>
        <v>20140101LE_957BASE</v>
      </c>
      <c r="X47" s="12" t="str">
        <f t="shared" si="15"/>
        <v xml:space="preserve">20140101LS </v>
      </c>
      <c r="AA47">
        <f>MiscData!$X$5</f>
        <v>20140101</v>
      </c>
      <c r="AB47">
        <f>IF(AB46+1&gt;MiscData!$AF$28,1,AB46+1)</f>
        <v>22</v>
      </c>
      <c r="AC47" t="str">
        <f>VLOOKUP(AB47,MiscData!$AF$5:$AG$28,2,FALSE)</f>
        <v>LE_957BASE</v>
      </c>
      <c r="AD47" t="str">
        <f>VLOOKUP(AB47,MiscData!$AF$5:$AH$28,3,FALSE)</f>
        <v xml:space="preserve">LS </v>
      </c>
    </row>
    <row r="48" spans="1:30">
      <c r="A48" s="8">
        <f t="shared" si="13"/>
        <v>47</v>
      </c>
      <c r="B48" s="14" t="str">
        <f t="shared" si="0"/>
        <v>Feb 2015</v>
      </c>
      <c r="C48" s="24" t="str">
        <f t="shared" si="1"/>
        <v>RLS</v>
      </c>
      <c r="D48" s="24" t="str">
        <f t="shared" si="2"/>
        <v>LE_958POLE</v>
      </c>
      <c r="E48" s="73">
        <f t="shared" si="16"/>
        <v>36</v>
      </c>
      <c r="F48" s="73">
        <v>0</v>
      </c>
      <c r="G48" s="11">
        <f>SUMIF(PoleRates!$E$4:$E$131,$W48,PoleRates!$F$4:$F$131)</f>
        <v>11.31</v>
      </c>
      <c r="H48" s="13">
        <f t="shared" si="17"/>
        <v>407.16</v>
      </c>
      <c r="I48" s="85">
        <v>0</v>
      </c>
      <c r="J48" s="13">
        <f t="shared" si="18"/>
        <v>407.16</v>
      </c>
      <c r="K48" s="35">
        <f t="shared" si="6"/>
        <v>0</v>
      </c>
      <c r="L48" s="87">
        <f t="shared" si="19"/>
        <v>0</v>
      </c>
      <c r="M48" s="86">
        <f t="shared" si="8"/>
        <v>0</v>
      </c>
      <c r="N48" s="15">
        <f t="shared" si="11"/>
        <v>407.16</v>
      </c>
      <c r="O48" s="15">
        <f t="shared" si="12"/>
        <v>-407.16</v>
      </c>
      <c r="V48" s="14">
        <f>IF(AB48=1,IF(V47=MiscData!$F$1,EOMONTH(V47,-11),EOMONTH(V47,1)),V47)</f>
        <v>42063</v>
      </c>
      <c r="W48" s="8" t="str">
        <f t="shared" si="14"/>
        <v>20140101LE_958POLE</v>
      </c>
      <c r="X48" s="12" t="str">
        <f t="shared" si="15"/>
        <v>20140101RLS</v>
      </c>
      <c r="AA48">
        <f>MiscData!$X$5</f>
        <v>20140101</v>
      </c>
      <c r="AB48">
        <f>IF(AB47+1&gt;MiscData!$AF$28,1,AB47+1)</f>
        <v>23</v>
      </c>
      <c r="AC48" t="str">
        <f>VLOOKUP(AB48,MiscData!$AF$5:$AG$28,2,FALSE)</f>
        <v>LE_958POLE</v>
      </c>
      <c r="AD48" t="str">
        <f>VLOOKUP(AB48,MiscData!$AF$5:$AH$28,3,FALSE)</f>
        <v>RLS</v>
      </c>
    </row>
    <row r="49" spans="1:30">
      <c r="A49" s="8">
        <f t="shared" si="13"/>
        <v>48</v>
      </c>
      <c r="B49" s="14" t="str">
        <f t="shared" si="0"/>
        <v>Feb 2015</v>
      </c>
      <c r="C49" s="24" t="str">
        <f t="shared" si="1"/>
        <v xml:space="preserve">LS </v>
      </c>
      <c r="D49" s="24" t="str">
        <f t="shared" si="2"/>
        <v>LE_958POLE</v>
      </c>
      <c r="E49" s="73">
        <f t="shared" si="16"/>
        <v>423</v>
      </c>
      <c r="F49" s="73">
        <v>0</v>
      </c>
      <c r="G49" s="11">
        <f>SUMIF(PoleRates!$E$4:$E$131,$W49,PoleRates!$F$4:$F$131)</f>
        <v>11.31</v>
      </c>
      <c r="H49" s="13">
        <f t="shared" si="17"/>
        <v>4784.13</v>
      </c>
      <c r="I49" s="85">
        <v>0</v>
      </c>
      <c r="J49" s="13">
        <f t="shared" si="18"/>
        <v>4784.13</v>
      </c>
      <c r="K49" s="35">
        <f t="shared" si="6"/>
        <v>0</v>
      </c>
      <c r="L49" s="87">
        <f t="shared" si="19"/>
        <v>0</v>
      </c>
      <c r="M49" s="86">
        <f t="shared" si="8"/>
        <v>0</v>
      </c>
      <c r="N49" s="15">
        <f t="shared" si="11"/>
        <v>4784.13</v>
      </c>
      <c r="O49" s="15">
        <f t="shared" si="12"/>
        <v>-4784.13</v>
      </c>
      <c r="V49" s="14">
        <f>IF(AB49=1,IF(V48=MiscData!$F$1,EOMONTH(V48,-11),EOMONTH(V48,1)),V48)</f>
        <v>42063</v>
      </c>
      <c r="W49" s="8" t="str">
        <f t="shared" si="14"/>
        <v>20140101LE_958POLE</v>
      </c>
      <c r="X49" s="12" t="str">
        <f t="shared" si="15"/>
        <v xml:space="preserve">20140101LS </v>
      </c>
      <c r="AA49">
        <f>MiscData!$X$5</f>
        <v>20140101</v>
      </c>
      <c r="AB49">
        <f>IF(AB48+1&gt;MiscData!$AF$28,1,AB48+1)</f>
        <v>24</v>
      </c>
      <c r="AC49" t="str">
        <f>VLOOKUP(AB49,MiscData!$AF$5:$AG$28,2,FALSE)</f>
        <v>LE_958POLE</v>
      </c>
      <c r="AD49" t="str">
        <f>VLOOKUP(AB49,MiscData!$AF$5:$AH$28,3,FALSE)</f>
        <v xml:space="preserve">LS </v>
      </c>
    </row>
    <row r="50" spans="1:30">
      <c r="A50" s="8">
        <f t="shared" si="13"/>
        <v>49</v>
      </c>
      <c r="B50" s="14" t="str">
        <f t="shared" si="0"/>
        <v>Mar 2014</v>
      </c>
      <c r="C50" s="24" t="str">
        <f t="shared" si="1"/>
        <v>RLS</v>
      </c>
      <c r="D50" s="24" t="str">
        <f t="shared" si="2"/>
        <v>LE_900POLE</v>
      </c>
      <c r="E50" s="73">
        <f t="shared" si="16"/>
        <v>1654</v>
      </c>
      <c r="F50" s="73">
        <v>0</v>
      </c>
      <c r="G50" s="11">
        <f>SUMIF(PoleRates!$E$4:$E$131,$W50,PoleRates!$F$4:$F$131)</f>
        <v>2.06</v>
      </c>
      <c r="H50" s="13">
        <f t="shared" si="17"/>
        <v>3407.24</v>
      </c>
      <c r="I50" s="85">
        <v>0</v>
      </c>
      <c r="J50" s="13">
        <f t="shared" si="18"/>
        <v>3407.24</v>
      </c>
      <c r="K50" s="35">
        <f t="shared" si="6"/>
        <v>3407.97</v>
      </c>
      <c r="L50" s="87">
        <f t="shared" si="19"/>
        <v>1.0002142496566135</v>
      </c>
      <c r="M50" s="86">
        <f t="shared" si="8"/>
        <v>3407.97</v>
      </c>
      <c r="N50" s="15">
        <f t="shared" si="11"/>
        <v>3407.24</v>
      </c>
      <c r="O50" s="15">
        <f t="shared" si="12"/>
        <v>0.73</v>
      </c>
      <c r="V50" s="14">
        <f>IF(AB50=1,IF(V49=MiscData!$F$1,EOMONTH(V49,-11),EOMONTH(V49,1)),V49)</f>
        <v>41729</v>
      </c>
      <c r="W50" s="8" t="str">
        <f t="shared" si="14"/>
        <v>20140101LE_900POLE</v>
      </c>
      <c r="X50" s="12" t="str">
        <f t="shared" si="15"/>
        <v>20140101RLS</v>
      </c>
      <c r="AA50">
        <f>MiscData!$X$5</f>
        <v>20140101</v>
      </c>
      <c r="AB50">
        <f>IF(AB49+1&gt;MiscData!$AF$28,1,AB49+1)</f>
        <v>1</v>
      </c>
      <c r="AC50" t="str">
        <f>VLOOKUP(AB50,MiscData!$AF$5:$AG$28,2,FALSE)</f>
        <v>LE_900POLE</v>
      </c>
      <c r="AD50" t="str">
        <f>VLOOKUP(AB50,MiscData!$AF$5:$AH$28,3,FALSE)</f>
        <v>RLS</v>
      </c>
    </row>
    <row r="51" spans="1:30">
      <c r="A51" s="8">
        <f t="shared" si="13"/>
        <v>50</v>
      </c>
      <c r="B51" s="14" t="str">
        <f t="shared" si="0"/>
        <v>Mar 2014</v>
      </c>
      <c r="C51" s="24" t="str">
        <f t="shared" si="1"/>
        <v xml:space="preserve">LS </v>
      </c>
      <c r="D51" s="24" t="str">
        <f t="shared" si="2"/>
        <v>LE_900POLE</v>
      </c>
      <c r="E51" s="73">
        <f t="shared" si="16"/>
        <v>5204</v>
      </c>
      <c r="F51" s="73">
        <v>0</v>
      </c>
      <c r="G51" s="11">
        <f>SUMIF(PoleRates!$E$4:$E$131,$W51,PoleRates!$F$4:$F$131)</f>
        <v>2.06</v>
      </c>
      <c r="H51" s="13">
        <f t="shared" si="17"/>
        <v>10720.24</v>
      </c>
      <c r="I51" s="85">
        <v>0</v>
      </c>
      <c r="J51" s="13">
        <f t="shared" si="18"/>
        <v>10720.24</v>
      </c>
      <c r="K51" s="35">
        <f t="shared" si="6"/>
        <v>10719.600000000002</v>
      </c>
      <c r="L51" s="87">
        <f t="shared" si="19"/>
        <v>0.99994029984403354</v>
      </c>
      <c r="M51" s="86">
        <f t="shared" si="8"/>
        <v>10719.600000000002</v>
      </c>
      <c r="N51" s="15">
        <f t="shared" si="11"/>
        <v>10720.24</v>
      </c>
      <c r="O51" s="15">
        <f t="shared" si="12"/>
        <v>-0.64</v>
      </c>
      <c r="V51" s="14">
        <f>IF(AB51=1,IF(V50=MiscData!$F$1,EOMONTH(V50,-11),EOMONTH(V50,1)),V50)</f>
        <v>41729</v>
      </c>
      <c r="W51" s="8" t="str">
        <f t="shared" si="14"/>
        <v>20140101LE_900POLE</v>
      </c>
      <c r="X51" s="12" t="str">
        <f t="shared" si="15"/>
        <v xml:space="preserve">20140101LS </v>
      </c>
      <c r="AA51">
        <f>MiscData!$X$5</f>
        <v>20140101</v>
      </c>
      <c r="AB51">
        <f>IF(AB50+1&gt;MiscData!$AF$28,1,AB50+1)</f>
        <v>2</v>
      </c>
      <c r="AC51" t="str">
        <f>VLOOKUP(AB51,MiscData!$AF$5:$AG$28,2,FALSE)</f>
        <v>LE_900POLE</v>
      </c>
      <c r="AD51" t="str">
        <f>VLOOKUP(AB51,MiscData!$AF$5:$AH$28,3,FALSE)</f>
        <v xml:space="preserve">LS </v>
      </c>
    </row>
    <row r="52" spans="1:30">
      <c r="A52" s="8">
        <f t="shared" si="13"/>
        <v>51</v>
      </c>
      <c r="B52" s="14" t="str">
        <f t="shared" si="0"/>
        <v>Mar 2014</v>
      </c>
      <c r="C52" s="24" t="str">
        <f t="shared" si="1"/>
        <v>RLS</v>
      </c>
      <c r="D52" s="24" t="str">
        <f t="shared" si="2"/>
        <v>LE_901POLE</v>
      </c>
      <c r="E52" s="73">
        <f t="shared" si="16"/>
        <v>157</v>
      </c>
      <c r="F52" s="73">
        <v>0</v>
      </c>
      <c r="G52" s="11">
        <f>SUMIF(PoleRates!$E$4:$E$131,$W52,PoleRates!$F$4:$F$131)</f>
        <v>10.81</v>
      </c>
      <c r="H52" s="13">
        <f t="shared" si="17"/>
        <v>1697.17</v>
      </c>
      <c r="I52" s="85">
        <v>0</v>
      </c>
      <c r="J52" s="13">
        <f t="shared" si="18"/>
        <v>1697.17</v>
      </c>
      <c r="K52" s="35">
        <f t="shared" si="6"/>
        <v>1697.1699999999998</v>
      </c>
      <c r="L52" s="87">
        <f t="shared" si="19"/>
        <v>0.99999999999999989</v>
      </c>
      <c r="M52" s="86">
        <f t="shared" si="8"/>
        <v>1697.1699999999998</v>
      </c>
      <c r="N52" s="15">
        <f t="shared" si="11"/>
        <v>1697.17</v>
      </c>
      <c r="O52" s="15">
        <f t="shared" si="12"/>
        <v>0</v>
      </c>
      <c r="V52" s="14">
        <f>IF(AB52=1,IF(V51=MiscData!$F$1,EOMONTH(V51,-11),EOMONTH(V51,1)),V51)</f>
        <v>41729</v>
      </c>
      <c r="W52" s="8" t="str">
        <f t="shared" si="14"/>
        <v>20140101LE_901POLE</v>
      </c>
      <c r="X52" s="12" t="str">
        <f t="shared" si="15"/>
        <v>20140101RLS</v>
      </c>
      <c r="AA52">
        <f>MiscData!$X$5</f>
        <v>20140101</v>
      </c>
      <c r="AB52">
        <f>IF(AB51+1&gt;MiscData!$AF$28,1,AB51+1)</f>
        <v>3</v>
      </c>
      <c r="AC52" t="str">
        <f>VLOOKUP(AB52,MiscData!$AF$5:$AG$28,2,FALSE)</f>
        <v>LE_901POLE</v>
      </c>
      <c r="AD52" t="str">
        <f>VLOOKUP(AB52,MiscData!$AF$5:$AH$28,3,FALSE)</f>
        <v>RLS</v>
      </c>
    </row>
    <row r="53" spans="1:30">
      <c r="A53" s="8">
        <f t="shared" si="13"/>
        <v>52</v>
      </c>
      <c r="B53" s="14" t="str">
        <f t="shared" si="0"/>
        <v>Mar 2014</v>
      </c>
      <c r="C53" s="24" t="str">
        <f t="shared" si="1"/>
        <v xml:space="preserve">LS </v>
      </c>
      <c r="D53" s="24" t="str">
        <f t="shared" si="2"/>
        <v>LE_901POLE</v>
      </c>
      <c r="E53" s="73">
        <f t="shared" si="16"/>
        <v>0</v>
      </c>
      <c r="F53" s="73">
        <v>0</v>
      </c>
      <c r="G53" s="11">
        <f>SUMIF(PoleRates!$E$4:$E$131,$W53,PoleRates!$F$4:$F$131)</f>
        <v>10.81</v>
      </c>
      <c r="H53" s="13">
        <f t="shared" si="17"/>
        <v>0</v>
      </c>
      <c r="I53" s="85">
        <v>0</v>
      </c>
      <c r="J53" s="13">
        <f t="shared" si="18"/>
        <v>0</v>
      </c>
      <c r="K53" s="35">
        <f t="shared" si="6"/>
        <v>0</v>
      </c>
      <c r="L53" s="87">
        <f t="shared" si="19"/>
        <v>1</v>
      </c>
      <c r="M53" s="86">
        <f t="shared" si="8"/>
        <v>0</v>
      </c>
      <c r="N53" s="15">
        <f t="shared" si="11"/>
        <v>0</v>
      </c>
      <c r="O53" s="15">
        <f t="shared" si="12"/>
        <v>0</v>
      </c>
      <c r="V53" s="14">
        <f>IF(AB53=1,IF(V52=MiscData!$F$1,EOMONTH(V52,-11),EOMONTH(V52,1)),V52)</f>
        <v>41729</v>
      </c>
      <c r="W53" s="8" t="str">
        <f t="shared" si="14"/>
        <v>20140101LE_901POLE</v>
      </c>
      <c r="X53" s="12" t="str">
        <f t="shared" si="15"/>
        <v xml:space="preserve">20140101LS </v>
      </c>
      <c r="AA53">
        <f>MiscData!$X$5</f>
        <v>20140101</v>
      </c>
      <c r="AB53">
        <f>IF(AB52+1&gt;MiscData!$AF$28,1,AB52+1)</f>
        <v>4</v>
      </c>
      <c r="AC53" t="str">
        <f>VLOOKUP(AB53,MiscData!$AF$5:$AG$28,2,FALSE)</f>
        <v>LE_901POLE</v>
      </c>
      <c r="AD53" t="str">
        <f>VLOOKUP(AB53,MiscData!$AF$5:$AH$28,3,FALSE)</f>
        <v xml:space="preserve">LS </v>
      </c>
    </row>
    <row r="54" spans="1:30">
      <c r="A54" s="8">
        <f t="shared" si="13"/>
        <v>53</v>
      </c>
      <c r="B54" s="14" t="str">
        <f t="shared" si="0"/>
        <v>Mar 2014</v>
      </c>
      <c r="C54" s="24" t="str">
        <f t="shared" si="1"/>
        <v>RLS</v>
      </c>
      <c r="D54" s="24" t="str">
        <f t="shared" si="2"/>
        <v>LE_902POLE</v>
      </c>
      <c r="E54" s="73">
        <f t="shared" si="16"/>
        <v>277</v>
      </c>
      <c r="F54" s="73">
        <v>0</v>
      </c>
      <c r="G54" s="11">
        <f>SUMIF(PoleRates!$E$4:$E$131,$W54,PoleRates!$F$4:$F$131)</f>
        <v>12.9</v>
      </c>
      <c r="H54" s="13">
        <f t="shared" si="17"/>
        <v>3573.3</v>
      </c>
      <c r="I54" s="85">
        <v>0</v>
      </c>
      <c r="J54" s="13">
        <f t="shared" si="18"/>
        <v>3573.3</v>
      </c>
      <c r="K54" s="35">
        <f t="shared" si="6"/>
        <v>3573.3</v>
      </c>
      <c r="L54" s="87">
        <f t="shared" si="19"/>
        <v>1</v>
      </c>
      <c r="M54" s="86">
        <f t="shared" si="8"/>
        <v>3573.3</v>
      </c>
      <c r="N54" s="15">
        <f t="shared" si="11"/>
        <v>3573.3</v>
      </c>
      <c r="O54" s="15">
        <f t="shared" si="12"/>
        <v>0</v>
      </c>
      <c r="V54" s="14">
        <f>IF(AB54=1,IF(V53=MiscData!$F$1,EOMONTH(V53,-11),EOMONTH(V53,1)),V53)</f>
        <v>41729</v>
      </c>
      <c r="W54" s="8" t="str">
        <f t="shared" si="14"/>
        <v>20140101LE_902POLE</v>
      </c>
      <c r="X54" s="12" t="str">
        <f t="shared" si="15"/>
        <v>20140101RLS</v>
      </c>
      <c r="AA54">
        <f>MiscData!$X$5</f>
        <v>20140101</v>
      </c>
      <c r="AB54">
        <f>IF(AB53+1&gt;MiscData!$AF$28,1,AB53+1)</f>
        <v>5</v>
      </c>
      <c r="AC54" t="str">
        <f>VLOOKUP(AB54,MiscData!$AF$5:$AG$28,2,FALSE)</f>
        <v>LE_902POLE</v>
      </c>
      <c r="AD54" t="str">
        <f>VLOOKUP(AB54,MiscData!$AF$5:$AH$28,3,FALSE)</f>
        <v>RLS</v>
      </c>
    </row>
    <row r="55" spans="1:30">
      <c r="A55" s="8">
        <f t="shared" si="13"/>
        <v>54</v>
      </c>
      <c r="B55" s="14" t="str">
        <f t="shared" si="0"/>
        <v>Mar 2014</v>
      </c>
      <c r="C55" s="24" t="str">
        <f t="shared" si="1"/>
        <v xml:space="preserve">LS </v>
      </c>
      <c r="D55" s="24" t="str">
        <f t="shared" si="2"/>
        <v>LE_902POLE</v>
      </c>
      <c r="E55" s="73">
        <f t="shared" si="16"/>
        <v>3</v>
      </c>
      <c r="F55" s="73">
        <v>0</v>
      </c>
      <c r="G55" s="11">
        <f>SUMIF(PoleRates!$E$4:$E$131,$W55,PoleRates!$F$4:$F$131)</f>
        <v>12.9</v>
      </c>
      <c r="H55" s="13">
        <f t="shared" si="17"/>
        <v>38.700000000000003</v>
      </c>
      <c r="I55" s="85">
        <v>0</v>
      </c>
      <c r="J55" s="13">
        <f t="shared" si="18"/>
        <v>38.700000000000003</v>
      </c>
      <c r="K55" s="35">
        <f t="shared" si="6"/>
        <v>38.700000000000003</v>
      </c>
      <c r="L55" s="87">
        <f t="shared" si="19"/>
        <v>1</v>
      </c>
      <c r="M55" s="86">
        <f t="shared" si="8"/>
        <v>38.700000000000003</v>
      </c>
      <c r="N55" s="15">
        <f t="shared" si="11"/>
        <v>38.700000000000003</v>
      </c>
      <c r="O55" s="15">
        <f t="shared" si="12"/>
        <v>0</v>
      </c>
      <c r="V55" s="14">
        <f>IF(AB55=1,IF(V54=MiscData!$F$1,EOMONTH(V54,-11),EOMONTH(V54,1)),V54)</f>
        <v>41729</v>
      </c>
      <c r="W55" s="8" t="str">
        <f t="shared" si="14"/>
        <v>20140101LE_902POLE</v>
      </c>
      <c r="X55" s="12" t="str">
        <f t="shared" si="15"/>
        <v xml:space="preserve">20140101LS </v>
      </c>
      <c r="AA55">
        <f>MiscData!$X$5</f>
        <v>20140101</v>
      </c>
      <c r="AB55">
        <f>IF(AB54+1&gt;MiscData!$AF$28,1,AB54+1)</f>
        <v>6</v>
      </c>
      <c r="AC55" t="str">
        <f>VLOOKUP(AB55,MiscData!$AF$5:$AG$28,2,FALSE)</f>
        <v>LE_902POLE</v>
      </c>
      <c r="AD55" t="str">
        <f>VLOOKUP(AB55,MiscData!$AF$5:$AH$28,3,FALSE)</f>
        <v xml:space="preserve">LS </v>
      </c>
    </row>
    <row r="56" spans="1:30">
      <c r="A56" s="8">
        <f t="shared" si="13"/>
        <v>55</v>
      </c>
      <c r="B56" s="14" t="str">
        <f t="shared" si="0"/>
        <v>Mar 2014</v>
      </c>
      <c r="C56" s="24" t="str">
        <f t="shared" si="1"/>
        <v>RLS</v>
      </c>
      <c r="D56" s="24" t="str">
        <f t="shared" si="2"/>
        <v>LE_950BASE</v>
      </c>
      <c r="E56" s="73">
        <f t="shared" si="16"/>
        <v>77</v>
      </c>
      <c r="F56" s="73">
        <v>0</v>
      </c>
      <c r="G56" s="11">
        <f>SUMIF(PoleRates!$E$4:$E$131,$W56,PoleRates!$F$4:$F$131)</f>
        <v>3.47</v>
      </c>
      <c r="H56" s="13">
        <f t="shared" si="17"/>
        <v>267.19</v>
      </c>
      <c r="I56" s="85">
        <v>0</v>
      </c>
      <c r="J56" s="13">
        <f t="shared" si="18"/>
        <v>267.19</v>
      </c>
      <c r="K56" s="35">
        <f t="shared" si="6"/>
        <v>267.19</v>
      </c>
      <c r="L56" s="87">
        <f t="shared" si="19"/>
        <v>1</v>
      </c>
      <c r="M56" s="86">
        <f t="shared" si="8"/>
        <v>267.19</v>
      </c>
      <c r="N56" s="15">
        <f t="shared" si="11"/>
        <v>267.19</v>
      </c>
      <c r="O56" s="15">
        <f t="shared" si="12"/>
        <v>0</v>
      </c>
      <c r="V56" s="14">
        <f>IF(AB56=1,IF(V55=MiscData!$F$1,EOMONTH(V55,-11),EOMONTH(V55,1)),V55)</f>
        <v>41729</v>
      </c>
      <c r="W56" s="8" t="str">
        <f t="shared" si="14"/>
        <v>20140101LE_950BASE</v>
      </c>
      <c r="X56" s="12" t="str">
        <f t="shared" si="15"/>
        <v>20140101RLS</v>
      </c>
      <c r="AA56">
        <f>MiscData!$X$5</f>
        <v>20140101</v>
      </c>
      <c r="AB56">
        <f>IF(AB55+1&gt;MiscData!$AF$28,1,AB55+1)</f>
        <v>7</v>
      </c>
      <c r="AC56" t="str">
        <f>VLOOKUP(AB56,MiscData!$AF$5:$AG$28,2,FALSE)</f>
        <v>LE_950BASE</v>
      </c>
      <c r="AD56" t="str">
        <f>VLOOKUP(AB56,MiscData!$AF$5:$AH$28,3,FALSE)</f>
        <v>RLS</v>
      </c>
    </row>
    <row r="57" spans="1:30">
      <c r="A57" s="369">
        <f t="shared" si="13"/>
        <v>56</v>
      </c>
      <c r="B57" s="370" t="str">
        <f t="shared" si="0"/>
        <v>Mar 2014</v>
      </c>
      <c r="C57" s="371" t="str">
        <f t="shared" si="1"/>
        <v xml:space="preserve">LS </v>
      </c>
      <c r="D57" s="371" t="str">
        <f t="shared" si="2"/>
        <v>LE_950BASE</v>
      </c>
      <c r="E57" s="372">
        <f t="shared" si="16"/>
        <v>13</v>
      </c>
      <c r="F57" s="73">
        <v>0</v>
      </c>
      <c r="G57" s="373">
        <f>SUMIF(PoleRates!$E$4:$E$131,$W57,PoleRates!$F$4:$F$131)</f>
        <v>3.47</v>
      </c>
      <c r="H57" s="374">
        <f t="shared" si="17"/>
        <v>45.11</v>
      </c>
      <c r="I57" s="85">
        <v>0</v>
      </c>
      <c r="J57" s="374">
        <f t="shared" si="18"/>
        <v>45.11</v>
      </c>
      <c r="K57" s="375">
        <f t="shared" si="6"/>
        <v>45.11</v>
      </c>
      <c r="L57" s="376">
        <f t="shared" si="19"/>
        <v>1</v>
      </c>
      <c r="M57" s="88">
        <f t="shared" si="8"/>
        <v>45.11</v>
      </c>
      <c r="N57" s="377">
        <f t="shared" si="11"/>
        <v>45.11</v>
      </c>
      <c r="O57" s="377">
        <f t="shared" si="12"/>
        <v>0</v>
      </c>
      <c r="V57" s="14">
        <f>IF(AB57=1,IF(V56=MiscData!$F$1,EOMONTH(V56,-11),EOMONTH(V56,1)),V56)</f>
        <v>41729</v>
      </c>
      <c r="W57" s="8" t="str">
        <f t="shared" si="14"/>
        <v>20140101LE_950BASE</v>
      </c>
      <c r="X57" s="12" t="str">
        <f t="shared" si="15"/>
        <v xml:space="preserve">20140101LS </v>
      </c>
      <c r="AA57">
        <f>MiscData!$X$5</f>
        <v>20140101</v>
      </c>
      <c r="AB57">
        <f>IF(AB56+1&gt;MiscData!$AF$28,1,AB56+1)</f>
        <v>8</v>
      </c>
      <c r="AC57" t="str">
        <f>VLOOKUP(AB57,MiscData!$AF$5:$AG$28,2,FALSE)</f>
        <v>LE_950BASE</v>
      </c>
      <c r="AD57" t="str">
        <f>VLOOKUP(AB57,MiscData!$AF$5:$AH$28,3,FALSE)</f>
        <v xml:space="preserve">LS </v>
      </c>
    </row>
    <row r="58" spans="1:30">
      <c r="A58" s="8">
        <f t="shared" si="13"/>
        <v>57</v>
      </c>
      <c r="B58" s="14" t="str">
        <f t="shared" si="0"/>
        <v>Mar 2014</v>
      </c>
      <c r="C58" s="24" t="str">
        <f t="shared" si="1"/>
        <v>RLS</v>
      </c>
      <c r="D58" s="24" t="str">
        <f t="shared" si="2"/>
        <v>LE_951BASE</v>
      </c>
      <c r="E58" s="73">
        <f t="shared" si="16"/>
        <v>195</v>
      </c>
      <c r="F58" s="73">
        <v>0</v>
      </c>
      <c r="G58" s="11">
        <f>SUMIF(PoleRates!$E$4:$E$131,$W58,PoleRates!$F$4:$F$131)</f>
        <v>3.73</v>
      </c>
      <c r="H58" s="13">
        <f t="shared" si="17"/>
        <v>727.35</v>
      </c>
      <c r="I58" s="85">
        <v>-3.73</v>
      </c>
      <c r="J58" s="13">
        <f t="shared" si="18"/>
        <v>723.62</v>
      </c>
      <c r="K58" s="35">
        <f t="shared" si="6"/>
        <v>723.62</v>
      </c>
      <c r="L58" s="87">
        <f t="shared" si="19"/>
        <v>1</v>
      </c>
      <c r="M58" s="86">
        <f t="shared" si="8"/>
        <v>723.62</v>
      </c>
      <c r="N58" s="15">
        <f t="shared" si="11"/>
        <v>723.62</v>
      </c>
      <c r="O58" s="15">
        <f t="shared" si="12"/>
        <v>0</v>
      </c>
      <c r="V58" s="14">
        <f>IF(AB58=1,IF(V57=MiscData!$F$1,EOMONTH(V57,-11),EOMONTH(V57,1)),V57)</f>
        <v>41729</v>
      </c>
      <c r="W58" s="8" t="str">
        <f t="shared" ref="W58:W63" si="20">CONCATENATE(AA58&amp;AC58)</f>
        <v>20140101LE_951BASE</v>
      </c>
      <c r="X58" s="12" t="str">
        <f t="shared" ref="X58:X63" si="21">CONCATENATE(AA58&amp;AD58)</f>
        <v>20140101RLS</v>
      </c>
      <c r="AA58">
        <f>MiscData!$X$5</f>
        <v>20140101</v>
      </c>
      <c r="AB58">
        <f>IF(AB57+1&gt;MiscData!$AF$28,1,AB57+1)</f>
        <v>9</v>
      </c>
      <c r="AC58" t="str">
        <f>VLOOKUP(AB58,MiscData!$AF$5:$AG$28,2,FALSE)</f>
        <v>LE_951BASE</v>
      </c>
      <c r="AD58" t="str">
        <f>VLOOKUP(AB58,MiscData!$AF$5:$AH$28,3,FALSE)</f>
        <v>RLS</v>
      </c>
    </row>
    <row r="59" spans="1:30">
      <c r="A59" s="8">
        <f t="shared" si="13"/>
        <v>58</v>
      </c>
      <c r="B59" s="14" t="str">
        <f t="shared" si="0"/>
        <v>Mar 2014</v>
      </c>
      <c r="C59" s="24" t="str">
        <f t="shared" si="1"/>
        <v xml:space="preserve">LS </v>
      </c>
      <c r="D59" s="24" t="str">
        <f t="shared" si="2"/>
        <v>LE_951BASE</v>
      </c>
      <c r="E59" s="73">
        <f t="shared" si="16"/>
        <v>73</v>
      </c>
      <c r="F59" s="73">
        <v>0</v>
      </c>
      <c r="G59" s="11">
        <f>SUMIF(PoleRates!$E$4:$E$131,$W59,PoleRates!$F$4:$F$131)</f>
        <v>3.73</v>
      </c>
      <c r="H59" s="13">
        <f t="shared" si="17"/>
        <v>272.29000000000002</v>
      </c>
      <c r="I59" s="85">
        <v>-11.19</v>
      </c>
      <c r="J59" s="13">
        <f t="shared" si="18"/>
        <v>261.10000000000002</v>
      </c>
      <c r="K59" s="35">
        <f t="shared" si="6"/>
        <v>261.09999999999997</v>
      </c>
      <c r="L59" s="87">
        <f t="shared" si="19"/>
        <v>0.99999999999999978</v>
      </c>
      <c r="M59" s="86">
        <f t="shared" si="8"/>
        <v>261.09999999999997</v>
      </c>
      <c r="N59" s="15">
        <f t="shared" si="11"/>
        <v>261.10000000000002</v>
      </c>
      <c r="O59" s="15">
        <f t="shared" si="12"/>
        <v>0</v>
      </c>
      <c r="V59" s="14">
        <f>IF(AB59=1,IF(V58=MiscData!$F$1,EOMONTH(V58,-11),EOMONTH(V58,1)),V58)</f>
        <v>41729</v>
      </c>
      <c r="W59" s="8" t="str">
        <f t="shared" si="20"/>
        <v>20140101LE_951BASE</v>
      </c>
      <c r="X59" s="12" t="str">
        <f t="shared" si="21"/>
        <v xml:space="preserve">20140101LS </v>
      </c>
      <c r="AA59">
        <f>MiscData!$X$5</f>
        <v>20140101</v>
      </c>
      <c r="AB59">
        <f>IF(AB58+1&gt;MiscData!$AF$28,1,AB58+1)</f>
        <v>10</v>
      </c>
      <c r="AC59" t="str">
        <f>VLOOKUP(AB59,MiscData!$AF$5:$AG$28,2,FALSE)</f>
        <v>LE_951BASE</v>
      </c>
      <c r="AD59" t="str">
        <f>VLOOKUP(AB59,MiscData!$AF$5:$AH$28,3,FALSE)</f>
        <v xml:space="preserve">LS </v>
      </c>
    </row>
    <row r="60" spans="1:30">
      <c r="A60" s="8">
        <f t="shared" si="13"/>
        <v>59</v>
      </c>
      <c r="B60" s="14" t="str">
        <f t="shared" si="0"/>
        <v>Mar 2014</v>
      </c>
      <c r="C60" s="24" t="str">
        <f t="shared" si="1"/>
        <v>RLS</v>
      </c>
      <c r="D60" s="24" t="str">
        <f t="shared" si="2"/>
        <v>LE_952BASE</v>
      </c>
      <c r="E60" s="73">
        <f t="shared" si="16"/>
        <v>0</v>
      </c>
      <c r="F60" s="73">
        <v>0</v>
      </c>
      <c r="G60" s="11">
        <f>SUMIF(PoleRates!$E$4:$E$131,$W60,PoleRates!$F$4:$F$131)</f>
        <v>3.56</v>
      </c>
      <c r="H60" s="13">
        <f t="shared" si="17"/>
        <v>0</v>
      </c>
      <c r="I60" s="85">
        <v>0</v>
      </c>
      <c r="J60" s="13">
        <f t="shared" si="18"/>
        <v>0</v>
      </c>
      <c r="K60" s="35">
        <f t="shared" si="6"/>
        <v>0</v>
      </c>
      <c r="L60" s="87">
        <f t="shared" si="19"/>
        <v>1</v>
      </c>
      <c r="M60" s="86">
        <f t="shared" si="8"/>
        <v>0</v>
      </c>
      <c r="N60" s="15">
        <f t="shared" si="11"/>
        <v>0</v>
      </c>
      <c r="O60" s="15">
        <f t="shared" si="12"/>
        <v>0</v>
      </c>
      <c r="V60" s="14">
        <f>IF(AB60=1,IF(V59=MiscData!$F$1,EOMONTH(V59,-11),EOMONTH(V59,1)),V59)</f>
        <v>41729</v>
      </c>
      <c r="W60" s="8" t="str">
        <f t="shared" si="20"/>
        <v>20140101LE_952BASE</v>
      </c>
      <c r="X60" s="12" t="str">
        <f t="shared" si="21"/>
        <v>20140101RLS</v>
      </c>
      <c r="AA60">
        <f>MiscData!$X$5</f>
        <v>20140101</v>
      </c>
      <c r="AB60">
        <f>IF(AB59+1&gt;MiscData!$AF$28,1,AB59+1)</f>
        <v>11</v>
      </c>
      <c r="AC60" t="str">
        <f>VLOOKUP(AB60,MiscData!$AF$5:$AG$28,2,FALSE)</f>
        <v>LE_952BASE</v>
      </c>
      <c r="AD60" t="str">
        <f>VLOOKUP(AB60,MiscData!$AF$5:$AH$28,3,FALSE)</f>
        <v>RLS</v>
      </c>
    </row>
    <row r="61" spans="1:30">
      <c r="A61" s="8">
        <f t="shared" si="13"/>
        <v>60</v>
      </c>
      <c r="B61" s="14" t="str">
        <f t="shared" si="0"/>
        <v>Mar 2014</v>
      </c>
      <c r="C61" s="24" t="str">
        <f t="shared" si="1"/>
        <v xml:space="preserve">LS </v>
      </c>
      <c r="D61" s="24" t="str">
        <f t="shared" si="2"/>
        <v>LE_952BASE</v>
      </c>
      <c r="E61" s="73">
        <f t="shared" si="16"/>
        <v>0</v>
      </c>
      <c r="F61" s="73">
        <v>0</v>
      </c>
      <c r="G61" s="11">
        <f>SUMIF(PoleRates!$E$4:$E$131,$W61,PoleRates!$F$4:$F$131)</f>
        <v>3.56</v>
      </c>
      <c r="H61" s="13">
        <f t="shared" si="17"/>
        <v>0</v>
      </c>
      <c r="I61" s="85">
        <v>0</v>
      </c>
      <c r="J61" s="13">
        <f t="shared" si="18"/>
        <v>0</v>
      </c>
      <c r="K61" s="35">
        <f t="shared" si="6"/>
        <v>0</v>
      </c>
      <c r="L61" s="87">
        <f t="shared" si="19"/>
        <v>1</v>
      </c>
      <c r="M61" s="86">
        <f t="shared" si="8"/>
        <v>0</v>
      </c>
      <c r="N61" s="15">
        <f t="shared" si="11"/>
        <v>0</v>
      </c>
      <c r="O61" s="15">
        <f t="shared" si="12"/>
        <v>0</v>
      </c>
      <c r="V61" s="14">
        <f>IF(AB61=1,IF(V60=MiscData!$F$1,EOMONTH(V60,-11),EOMONTH(V60,1)),V60)</f>
        <v>41729</v>
      </c>
      <c r="W61" s="8" t="str">
        <f t="shared" si="20"/>
        <v>20140101LE_952BASE</v>
      </c>
      <c r="X61" s="12" t="str">
        <f t="shared" si="21"/>
        <v xml:space="preserve">20140101LS </v>
      </c>
      <c r="AA61">
        <f>MiscData!$X$5</f>
        <v>20140101</v>
      </c>
      <c r="AB61">
        <f>IF(AB60+1&gt;MiscData!$AF$28,1,AB60+1)</f>
        <v>12</v>
      </c>
      <c r="AC61" t="str">
        <f>VLOOKUP(AB61,MiscData!$AF$5:$AG$28,2,FALSE)</f>
        <v>LE_952BASE</v>
      </c>
      <c r="AD61" t="str">
        <f>VLOOKUP(AB61,MiscData!$AF$5:$AH$28,3,FALSE)</f>
        <v xml:space="preserve">LS </v>
      </c>
    </row>
    <row r="62" spans="1:30">
      <c r="A62" s="8">
        <f t="shared" si="13"/>
        <v>61</v>
      </c>
      <c r="B62" s="14" t="str">
        <f t="shared" si="0"/>
        <v>Mar 2014</v>
      </c>
      <c r="C62" s="24" t="str">
        <f t="shared" si="1"/>
        <v>RLS</v>
      </c>
      <c r="D62" s="24" t="str">
        <f t="shared" si="2"/>
        <v>LE_953BASE</v>
      </c>
      <c r="E62" s="73">
        <f t="shared" si="16"/>
        <v>0</v>
      </c>
      <c r="F62" s="73">
        <v>0</v>
      </c>
      <c r="G62" s="11">
        <f>SUMIF(PoleRates!$E$4:$E$131,$W62,PoleRates!$F$4:$F$131)</f>
        <v>3.73</v>
      </c>
      <c r="H62" s="13">
        <f t="shared" si="17"/>
        <v>0</v>
      </c>
      <c r="I62" s="85">
        <v>0</v>
      </c>
      <c r="J62" s="13">
        <f t="shared" si="18"/>
        <v>0</v>
      </c>
      <c r="K62" s="35">
        <f t="shared" si="6"/>
        <v>0</v>
      </c>
      <c r="L62" s="87">
        <f t="shared" si="19"/>
        <v>1</v>
      </c>
      <c r="M62" s="86">
        <f t="shared" si="8"/>
        <v>0</v>
      </c>
      <c r="N62" s="15">
        <f t="shared" si="11"/>
        <v>0</v>
      </c>
      <c r="O62" s="15">
        <f t="shared" si="12"/>
        <v>0</v>
      </c>
      <c r="V62" s="14">
        <f>IF(AB62=1,IF(V61=MiscData!$F$1,EOMONTH(V61,-11),EOMONTH(V61,1)),V61)</f>
        <v>41729</v>
      </c>
      <c r="W62" s="8" t="str">
        <f t="shared" si="20"/>
        <v>20140101LE_953BASE</v>
      </c>
      <c r="X62" s="12" t="str">
        <f t="shared" si="21"/>
        <v>20140101RLS</v>
      </c>
      <c r="AA62">
        <f>MiscData!$X$5</f>
        <v>20140101</v>
      </c>
      <c r="AB62">
        <f>IF(AB61+1&gt;MiscData!$AF$28,1,AB61+1)</f>
        <v>13</v>
      </c>
      <c r="AC62" t="str">
        <f>VLOOKUP(AB62,MiscData!$AF$5:$AG$28,2,FALSE)</f>
        <v>LE_953BASE</v>
      </c>
      <c r="AD62" t="str">
        <f>VLOOKUP(AB62,MiscData!$AF$5:$AH$28,3,FALSE)</f>
        <v>RLS</v>
      </c>
    </row>
    <row r="63" spans="1:30">
      <c r="A63" s="8">
        <f t="shared" si="13"/>
        <v>62</v>
      </c>
      <c r="B63" s="14" t="str">
        <f t="shared" si="0"/>
        <v>Mar 2014</v>
      </c>
      <c r="C63" s="24" t="str">
        <f t="shared" si="1"/>
        <v xml:space="preserve">LS </v>
      </c>
      <c r="D63" s="24" t="str">
        <f t="shared" si="2"/>
        <v>LE_953BASE</v>
      </c>
      <c r="E63" s="73">
        <f t="shared" si="16"/>
        <v>0</v>
      </c>
      <c r="F63" s="73">
        <v>0</v>
      </c>
      <c r="G63" s="11">
        <f>SUMIF(PoleRates!$E$4:$E$131,$W63,PoleRates!$F$4:$F$131)</f>
        <v>3.73</v>
      </c>
      <c r="H63" s="13">
        <f t="shared" si="17"/>
        <v>0</v>
      </c>
      <c r="I63" s="85">
        <v>0</v>
      </c>
      <c r="J63" s="13">
        <f t="shared" si="18"/>
        <v>0</v>
      </c>
      <c r="K63" s="35">
        <f t="shared" si="6"/>
        <v>0</v>
      </c>
      <c r="L63" s="87">
        <f t="shared" si="19"/>
        <v>1</v>
      </c>
      <c r="M63" s="86">
        <f t="shared" si="8"/>
        <v>0</v>
      </c>
      <c r="N63" s="15">
        <f t="shared" si="11"/>
        <v>0</v>
      </c>
      <c r="O63" s="15">
        <f t="shared" si="12"/>
        <v>0</v>
      </c>
      <c r="V63" s="14">
        <f>IF(AB63=1,IF(V62=MiscData!$F$1,EOMONTH(V62,-11),EOMONTH(V62,1)),V62)</f>
        <v>41729</v>
      </c>
      <c r="W63" s="8" t="str">
        <f t="shared" si="20"/>
        <v>20140101LE_953BASE</v>
      </c>
      <c r="X63" s="12" t="str">
        <f t="shared" si="21"/>
        <v xml:space="preserve">20140101LS </v>
      </c>
      <c r="AA63">
        <f>MiscData!$X$5</f>
        <v>20140101</v>
      </c>
      <c r="AB63">
        <f>IF(AB62+1&gt;MiscData!$AF$28,1,AB62+1)</f>
        <v>14</v>
      </c>
      <c r="AC63" t="str">
        <f>VLOOKUP(AB63,MiscData!$AF$5:$AG$28,2,FALSE)</f>
        <v>LE_953BASE</v>
      </c>
      <c r="AD63" t="str">
        <f>VLOOKUP(AB63,MiscData!$AF$5:$AH$28,3,FALSE)</f>
        <v xml:space="preserve">LS </v>
      </c>
    </row>
    <row r="64" spans="1:30">
      <c r="A64" s="8">
        <f t="shared" si="13"/>
        <v>63</v>
      </c>
      <c r="B64" s="14" t="str">
        <f t="shared" si="0"/>
        <v>Mar 2014</v>
      </c>
      <c r="C64" s="24" t="str">
        <f t="shared" si="1"/>
        <v>RLS</v>
      </c>
      <c r="D64" s="24" t="str">
        <f t="shared" si="2"/>
        <v>LE_954BASE</v>
      </c>
      <c r="E64" s="73">
        <f t="shared" si="16"/>
        <v>0</v>
      </c>
      <c r="F64" s="73">
        <v>0</v>
      </c>
      <c r="G64" s="11">
        <f>SUMIF(PoleRates!$E$4:$E$131,$W64,PoleRates!$F$4:$F$131)</f>
        <v>3.47</v>
      </c>
      <c r="H64" s="13">
        <f t="shared" si="17"/>
        <v>0</v>
      </c>
      <c r="I64" s="85">
        <v>0</v>
      </c>
      <c r="J64" s="13">
        <f t="shared" si="18"/>
        <v>0</v>
      </c>
      <c r="K64" s="35">
        <f t="shared" si="6"/>
        <v>0</v>
      </c>
      <c r="L64" s="87">
        <f t="shared" si="19"/>
        <v>1</v>
      </c>
      <c r="M64" s="86">
        <f t="shared" si="8"/>
        <v>0</v>
      </c>
      <c r="N64" s="15">
        <f t="shared" si="11"/>
        <v>0</v>
      </c>
      <c r="O64" s="15">
        <f t="shared" si="12"/>
        <v>0</v>
      </c>
      <c r="V64" s="14">
        <f>IF(AB64=1,IF(V63=MiscData!$F$1,EOMONTH(V63,-11),EOMONTH(V63,1)),V63)</f>
        <v>41729</v>
      </c>
      <c r="W64" s="8" t="str">
        <f t="shared" ref="W64:W229" si="22">CONCATENATE(AA64&amp;AC64)</f>
        <v>20140101LE_954BASE</v>
      </c>
      <c r="X64" s="12" t="str">
        <f t="shared" ref="X64:X229" si="23">CONCATENATE(AA64&amp;AD64)</f>
        <v>20140101RLS</v>
      </c>
      <c r="AA64">
        <f>MiscData!$X$5</f>
        <v>20140101</v>
      </c>
      <c r="AB64">
        <f>IF(AB63+1&gt;MiscData!$AF$28,1,AB63+1)</f>
        <v>15</v>
      </c>
      <c r="AC64" t="str">
        <f>VLOOKUP(AB64,MiscData!$AF$5:$AG$28,2,FALSE)</f>
        <v>LE_954BASE</v>
      </c>
      <c r="AD64" t="str">
        <f>VLOOKUP(AB64,MiscData!$AF$5:$AH$28,3,FALSE)</f>
        <v>RLS</v>
      </c>
    </row>
    <row r="65" spans="1:34">
      <c r="A65" s="8">
        <f t="shared" si="13"/>
        <v>64</v>
      </c>
      <c r="B65" s="14" t="str">
        <f t="shared" si="0"/>
        <v>Mar 2014</v>
      </c>
      <c r="C65" s="24" t="str">
        <f t="shared" si="1"/>
        <v xml:space="preserve">LS </v>
      </c>
      <c r="D65" s="24" t="str">
        <f t="shared" si="2"/>
        <v>LE_954BASE</v>
      </c>
      <c r="E65" s="73">
        <f t="shared" si="16"/>
        <v>0</v>
      </c>
      <c r="F65" s="73">
        <v>0</v>
      </c>
      <c r="G65" s="11">
        <f>SUMIF(PoleRates!$E$4:$E$131,$W65,PoleRates!$F$4:$F$131)</f>
        <v>3.47</v>
      </c>
      <c r="H65" s="13">
        <f t="shared" si="17"/>
        <v>0</v>
      </c>
      <c r="I65" s="85">
        <v>0</v>
      </c>
      <c r="J65" s="13">
        <f t="shared" si="18"/>
        <v>0</v>
      </c>
      <c r="K65" s="35">
        <f t="shared" si="6"/>
        <v>0</v>
      </c>
      <c r="L65" s="87">
        <f t="shared" si="19"/>
        <v>1</v>
      </c>
      <c r="M65" s="86">
        <f t="shared" si="8"/>
        <v>0</v>
      </c>
      <c r="N65" s="15">
        <f t="shared" si="11"/>
        <v>0</v>
      </c>
      <c r="O65" s="15">
        <f t="shared" si="12"/>
        <v>0</v>
      </c>
      <c r="V65" s="14">
        <f>IF(AB65=1,IF(V64=MiscData!$F$1,EOMONTH(V64,-11),EOMONTH(V64,1)),V64)</f>
        <v>41729</v>
      </c>
      <c r="W65" s="8" t="str">
        <f t="shared" si="22"/>
        <v>20140101LE_954BASE</v>
      </c>
      <c r="X65" s="12" t="str">
        <f t="shared" si="23"/>
        <v xml:space="preserve">20140101LS </v>
      </c>
      <c r="AA65">
        <f>MiscData!$X$5</f>
        <v>20140101</v>
      </c>
      <c r="AB65">
        <f>IF(AB64+1&gt;MiscData!$AF$28,1,AB64+1)</f>
        <v>16</v>
      </c>
      <c r="AC65" t="str">
        <f>VLOOKUP(AB65,MiscData!$AF$5:$AG$28,2,FALSE)</f>
        <v>LE_954BASE</v>
      </c>
      <c r="AD65" t="str">
        <f>VLOOKUP(AB65,MiscData!$AF$5:$AH$28,3,FALSE)</f>
        <v xml:space="preserve">LS </v>
      </c>
    </row>
    <row r="66" spans="1:34">
      <c r="A66" s="8">
        <f t="shared" si="13"/>
        <v>65</v>
      </c>
      <c r="B66" s="14" t="str">
        <f t="shared" ref="B66:B289" si="24">TEXT(V66,"mmm yyyy")</f>
        <v>Mar 2014</v>
      </c>
      <c r="C66" s="24" t="str">
        <f>AD66</f>
        <v>RLS</v>
      </c>
      <c r="D66" s="24" t="str">
        <f>AC66</f>
        <v>LE_955BASE</v>
      </c>
      <c r="E66" s="73">
        <f t="shared" ref="E66:E97" si="25">SUMIFS(L_1051_Count_Total,L_1051_Revenue_Month,$B66,L_1051_RateCategory,$D66,L_1051_Light_Category,C66)</f>
        <v>0</v>
      </c>
      <c r="F66" s="73">
        <v>0</v>
      </c>
      <c r="G66" s="11">
        <f>SUMIF(PoleRates!$E$4:$E$131,$W66,PoleRates!$F$4:$F$131)</f>
        <v>3.56</v>
      </c>
      <c r="H66" s="13">
        <f t="shared" si="17"/>
        <v>0</v>
      </c>
      <c r="I66" s="85">
        <v>0</v>
      </c>
      <c r="J66" s="13">
        <f t="shared" si="18"/>
        <v>0</v>
      </c>
      <c r="K66" s="35">
        <f t="shared" ref="K66:K129" si="26">SUMIFS(L_1051_Revenue_Total,L_1051_Revenue_Month,$B66,L_1051_RateCategory,$D66,L_1051_Light_Category,C66)</f>
        <v>0</v>
      </c>
      <c r="L66" s="87">
        <f t="shared" si="19"/>
        <v>1</v>
      </c>
      <c r="M66" s="86">
        <f t="shared" ref="M66:M129" si="27">SUMIFS(L_1051_Revenue_Total,L_1051_Revenue_Month,$B66,L_1051_RateCategory,$D66,L_1051_Light_Category,C66)</f>
        <v>0</v>
      </c>
      <c r="N66" s="15">
        <f>J66</f>
        <v>0</v>
      </c>
      <c r="O66" s="15">
        <f t="shared" si="12"/>
        <v>0</v>
      </c>
      <c r="V66" s="14">
        <f>IF(AB66=1,IF(V65=MiscData!$F$1,EOMONTH(V65,-11),EOMONTH(V65,1)),V65)</f>
        <v>41729</v>
      </c>
      <c r="W66" s="8" t="str">
        <f t="shared" si="22"/>
        <v>20140101LE_955BASE</v>
      </c>
      <c r="X66" s="12" t="str">
        <f t="shared" si="23"/>
        <v>20140101RLS</v>
      </c>
      <c r="AA66">
        <f>MiscData!$X$5</f>
        <v>20140101</v>
      </c>
      <c r="AB66">
        <f>IF(AB65+1&gt;MiscData!$AF$28,1,AB65+1)</f>
        <v>17</v>
      </c>
      <c r="AC66" t="str">
        <f>VLOOKUP(AB66,MiscData!$AF$5:$AG$28,2,FALSE)</f>
        <v>LE_955BASE</v>
      </c>
      <c r="AD66" t="str">
        <f>VLOOKUP(AB66,MiscData!$AF$5:$AH$28,3,FALSE)</f>
        <v>RLS</v>
      </c>
      <c r="AG66" s="22"/>
    </row>
    <row r="67" spans="1:34">
      <c r="A67" s="8">
        <f>A65+1</f>
        <v>65</v>
      </c>
      <c r="B67" s="14" t="str">
        <f t="shared" si="24"/>
        <v>Mar 2014</v>
      </c>
      <c r="C67" s="24" t="str">
        <f t="shared" ref="C67:C289" si="28">AD67</f>
        <v xml:space="preserve">LS </v>
      </c>
      <c r="D67" s="24" t="str">
        <f t="shared" ref="D67:D288" si="29">AC67</f>
        <v>LE_955BASE</v>
      </c>
      <c r="E67" s="73">
        <f t="shared" si="25"/>
        <v>0</v>
      </c>
      <c r="F67" s="73">
        <v>0</v>
      </c>
      <c r="G67" s="11">
        <f>SUMIF(PoleRates!$E$4:$E$131,$W67,PoleRates!$F$4:$F$131)</f>
        <v>3.56</v>
      </c>
      <c r="H67" s="13">
        <f t="shared" si="17"/>
        <v>0</v>
      </c>
      <c r="I67" s="85">
        <v>0</v>
      </c>
      <c r="J67" s="13">
        <f t="shared" si="18"/>
        <v>0</v>
      </c>
      <c r="K67" s="35">
        <f t="shared" si="26"/>
        <v>0</v>
      </c>
      <c r="L67" s="87">
        <f t="shared" si="19"/>
        <v>1</v>
      </c>
      <c r="M67" s="86">
        <f t="shared" si="27"/>
        <v>0</v>
      </c>
      <c r="N67" s="15">
        <f t="shared" si="11"/>
        <v>0</v>
      </c>
      <c r="O67" s="15">
        <f t="shared" ref="O67:O289" si="30">ROUND(M67-N67,2)</f>
        <v>0</v>
      </c>
      <c r="V67" s="14">
        <f>IF(AB67=1,IF(V66=MiscData!$F$1,EOMONTH(V66,-11),EOMONTH(V66,1)),V66)</f>
        <v>41729</v>
      </c>
      <c r="W67" s="8" t="str">
        <f t="shared" si="22"/>
        <v>20140101LE_955BASE</v>
      </c>
      <c r="X67" s="12" t="str">
        <f t="shared" si="23"/>
        <v xml:space="preserve">20140101LS </v>
      </c>
      <c r="AA67">
        <f>MiscData!$X$5</f>
        <v>20140101</v>
      </c>
      <c r="AB67">
        <f>IF(AB66+1&gt;MiscData!$AF$28,1,AB66+1)</f>
        <v>18</v>
      </c>
      <c r="AC67" t="str">
        <f>VLOOKUP(AB67,MiscData!$AF$5:$AG$28,2,FALSE)</f>
        <v>LE_955BASE</v>
      </c>
      <c r="AD67" t="str">
        <f>VLOOKUP(AB67,MiscData!$AF$5:$AH$28,3,FALSE)</f>
        <v xml:space="preserve">LS </v>
      </c>
    </row>
    <row r="68" spans="1:34">
      <c r="A68" s="8">
        <f>A66+1</f>
        <v>66</v>
      </c>
      <c r="B68" s="14" t="str">
        <f t="shared" si="24"/>
        <v>Mar 2014</v>
      </c>
      <c r="C68" s="24" t="str">
        <f>AD68</f>
        <v>RLS</v>
      </c>
      <c r="D68" s="24" t="str">
        <f>AC68</f>
        <v>LE_956BASE</v>
      </c>
      <c r="E68" s="73">
        <f t="shared" si="25"/>
        <v>239</v>
      </c>
      <c r="F68" s="73">
        <v>0</v>
      </c>
      <c r="G68" s="11">
        <f>SUMIF(PoleRates!$E$4:$E$131,$W68,PoleRates!$F$4:$F$131)</f>
        <v>3.56</v>
      </c>
      <c r="H68" s="13">
        <f t="shared" si="17"/>
        <v>850.84</v>
      </c>
      <c r="I68" s="85">
        <v>10.68</v>
      </c>
      <c r="J68" s="13">
        <f t="shared" si="18"/>
        <v>861.52</v>
      </c>
      <c r="K68" s="35">
        <f t="shared" si="26"/>
        <v>861.52</v>
      </c>
      <c r="L68" s="87">
        <f t="shared" si="19"/>
        <v>1</v>
      </c>
      <c r="M68" s="86">
        <f t="shared" si="27"/>
        <v>861.52</v>
      </c>
      <c r="N68" s="15">
        <f>J68</f>
        <v>861.52</v>
      </c>
      <c r="O68" s="15">
        <f t="shared" si="30"/>
        <v>0</v>
      </c>
      <c r="V68" s="14">
        <f>IF(AB68=1,IF(V67=MiscData!$F$1,EOMONTH(V67,-11),EOMONTH(V67,1)),V67)</f>
        <v>41729</v>
      </c>
      <c r="W68" s="8" t="str">
        <f t="shared" si="22"/>
        <v>20140101LE_956BASE</v>
      </c>
      <c r="X68" s="12" t="str">
        <f t="shared" si="23"/>
        <v>20140101RLS</v>
      </c>
      <c r="AA68">
        <f>MiscData!$X$5</f>
        <v>20140101</v>
      </c>
      <c r="AB68">
        <f>IF(AB67+1&gt;MiscData!$AF$28,1,AB67+1)</f>
        <v>19</v>
      </c>
      <c r="AC68" t="str">
        <f>VLOOKUP(AB68,MiscData!$AF$5:$AG$28,2,FALSE)</f>
        <v>LE_956BASE</v>
      </c>
      <c r="AD68" t="str">
        <f>VLOOKUP(AB68,MiscData!$AF$5:$AH$28,3,FALSE)</f>
        <v>RLS</v>
      </c>
    </row>
    <row r="69" spans="1:34">
      <c r="A69" s="8">
        <f>A65+1</f>
        <v>65</v>
      </c>
      <c r="B69" s="14" t="str">
        <f t="shared" si="24"/>
        <v>Mar 2014</v>
      </c>
      <c r="C69" s="24" t="str">
        <f>AD69</f>
        <v xml:space="preserve">LS </v>
      </c>
      <c r="D69" s="24" t="str">
        <f>AC69</f>
        <v>LE_956BASE</v>
      </c>
      <c r="E69" s="73">
        <f t="shared" si="25"/>
        <v>307</v>
      </c>
      <c r="F69" s="73">
        <v>-1</v>
      </c>
      <c r="G69" s="11">
        <f>SUMIF(PoleRates!$E$4:$E$131,$W69,PoleRates!$F$4:$F$131)</f>
        <v>3.56</v>
      </c>
      <c r="H69" s="13">
        <f t="shared" si="17"/>
        <v>1089.3599999999999</v>
      </c>
      <c r="I69" s="85">
        <v>21.36</v>
      </c>
      <c r="J69" s="13">
        <f t="shared" si="18"/>
        <v>1110.7199999999998</v>
      </c>
      <c r="K69" s="35">
        <f t="shared" si="26"/>
        <v>1110.72</v>
      </c>
      <c r="L69" s="87">
        <f t="shared" si="19"/>
        <v>1.0000000000000002</v>
      </c>
      <c r="M69" s="86">
        <f t="shared" si="27"/>
        <v>1110.72</v>
      </c>
      <c r="N69" s="15">
        <f>J69</f>
        <v>1110.7199999999998</v>
      </c>
      <c r="O69" s="15">
        <f t="shared" si="30"/>
        <v>0</v>
      </c>
      <c r="V69" s="14">
        <f>IF(AB69=1,IF(V68=MiscData!$F$1,EOMONTH(V68,-11),EOMONTH(V68,1)),V68)</f>
        <v>41729</v>
      </c>
      <c r="W69" s="8" t="str">
        <f t="shared" si="22"/>
        <v>20140101LE_956BASE</v>
      </c>
      <c r="X69" s="12" t="str">
        <f t="shared" si="23"/>
        <v xml:space="preserve">20140101LS </v>
      </c>
      <c r="AA69">
        <f>MiscData!$X$5</f>
        <v>20140101</v>
      </c>
      <c r="AB69">
        <f>IF(AB68+1&gt;MiscData!$AF$28,1,AB68+1)</f>
        <v>20</v>
      </c>
      <c r="AC69" t="str">
        <f>VLOOKUP(AB69,MiscData!$AF$5:$AG$28,2,FALSE)</f>
        <v>LE_956BASE</v>
      </c>
      <c r="AD69" t="str">
        <f>VLOOKUP(AB69,MiscData!$AF$5:$AH$28,3,FALSE)</f>
        <v xml:space="preserve">LS </v>
      </c>
    </row>
    <row r="70" spans="1:34">
      <c r="A70" s="8">
        <f>A67+1</f>
        <v>66</v>
      </c>
      <c r="B70" s="14" t="str">
        <f t="shared" si="24"/>
        <v>Mar 2014</v>
      </c>
      <c r="C70" s="24" t="str">
        <f t="shared" si="28"/>
        <v>RLS</v>
      </c>
      <c r="D70" s="24" t="str">
        <f t="shared" si="29"/>
        <v>LE_957BASE</v>
      </c>
      <c r="E70" s="73">
        <f t="shared" si="25"/>
        <v>0</v>
      </c>
      <c r="F70" s="73">
        <v>0</v>
      </c>
      <c r="G70" s="11">
        <f>SUMIF(PoleRates!$E$4:$E$131,$W70,PoleRates!$F$4:$F$131)</f>
        <v>3.56</v>
      </c>
      <c r="H70" s="13">
        <f t="shared" si="17"/>
        <v>0</v>
      </c>
      <c r="I70" s="85">
        <v>0</v>
      </c>
      <c r="J70" s="13">
        <f t="shared" si="18"/>
        <v>0</v>
      </c>
      <c r="K70" s="35">
        <f t="shared" si="26"/>
        <v>0</v>
      </c>
      <c r="L70" s="87">
        <f t="shared" si="19"/>
        <v>1</v>
      </c>
      <c r="M70" s="86">
        <f t="shared" si="27"/>
        <v>0</v>
      </c>
      <c r="N70" s="15">
        <f t="shared" ref="N70:N288" si="31">J70</f>
        <v>0</v>
      </c>
      <c r="O70" s="15">
        <f t="shared" si="30"/>
        <v>0</v>
      </c>
      <c r="V70" s="14">
        <f>IF(AB70=1,IF(V69=MiscData!$F$1,EOMONTH(V69,-11),EOMONTH(V69,1)),V69)</f>
        <v>41729</v>
      </c>
      <c r="W70" s="8" t="str">
        <f t="shared" si="22"/>
        <v>20140101LE_957BASE</v>
      </c>
      <c r="X70" s="12" t="str">
        <f t="shared" si="23"/>
        <v>20140101RLS</v>
      </c>
      <c r="AA70">
        <f>MiscData!$X$5</f>
        <v>20140101</v>
      </c>
      <c r="AB70">
        <f>IF(AB69+1&gt;MiscData!$AF$28,1,AB69+1)</f>
        <v>21</v>
      </c>
      <c r="AC70" t="str">
        <f>VLOOKUP(AB70,MiscData!$AF$5:$AG$28,2,FALSE)</f>
        <v>LE_957BASE</v>
      </c>
      <c r="AD70" t="str">
        <f>VLOOKUP(AB70,MiscData!$AF$5:$AH$28,3,FALSE)</f>
        <v>RLS</v>
      </c>
      <c r="AH70" s="22"/>
    </row>
    <row r="71" spans="1:34">
      <c r="A71" s="8">
        <f>A69+1</f>
        <v>66</v>
      </c>
      <c r="B71" s="14" t="str">
        <f t="shared" si="24"/>
        <v>Mar 2014</v>
      </c>
      <c r="C71" s="24" t="str">
        <f>AD71</f>
        <v xml:space="preserve">LS </v>
      </c>
      <c r="D71" s="24" t="str">
        <f>AC71</f>
        <v>LE_957BASE</v>
      </c>
      <c r="E71" s="73">
        <f t="shared" si="25"/>
        <v>0</v>
      </c>
      <c r="F71" s="73">
        <v>0</v>
      </c>
      <c r="G71" s="11">
        <f>SUMIF(PoleRates!$E$4:$E$131,$W71,PoleRates!$F$4:$F$131)</f>
        <v>3.56</v>
      </c>
      <c r="H71" s="13">
        <f t="shared" si="17"/>
        <v>0</v>
      </c>
      <c r="I71" s="85">
        <v>0</v>
      </c>
      <c r="J71" s="13">
        <f t="shared" si="18"/>
        <v>0</v>
      </c>
      <c r="K71" s="35">
        <f t="shared" si="26"/>
        <v>0</v>
      </c>
      <c r="L71" s="87">
        <f t="shared" si="19"/>
        <v>1</v>
      </c>
      <c r="M71" s="86">
        <f t="shared" si="27"/>
        <v>0</v>
      </c>
      <c r="N71" s="15">
        <f>J71</f>
        <v>0</v>
      </c>
      <c r="O71" s="15">
        <f t="shared" si="30"/>
        <v>0</v>
      </c>
      <c r="V71" s="14">
        <f>IF(AB71=1,IF(V70=MiscData!$F$1,EOMONTH(V70,-11),EOMONTH(V70,1)),V70)</f>
        <v>41729</v>
      </c>
      <c r="W71" s="8" t="str">
        <f t="shared" si="22"/>
        <v>20140101LE_957BASE</v>
      </c>
      <c r="X71" s="12" t="str">
        <f t="shared" si="23"/>
        <v xml:space="preserve">20140101LS </v>
      </c>
      <c r="AA71">
        <f>MiscData!$X$5</f>
        <v>20140101</v>
      </c>
      <c r="AB71">
        <f>IF(AB70+1&gt;MiscData!$AF$28,1,AB70+1)</f>
        <v>22</v>
      </c>
      <c r="AC71" t="str">
        <f>VLOOKUP(AB71,MiscData!$AF$5:$AG$28,2,FALSE)</f>
        <v>LE_957BASE</v>
      </c>
      <c r="AD71" t="str">
        <f>VLOOKUP(AB71,MiscData!$AF$5:$AH$28,3,FALSE)</f>
        <v xml:space="preserve">LS </v>
      </c>
    </row>
    <row r="72" spans="1:34">
      <c r="A72" s="8">
        <f t="shared" ref="A72:A133" si="32">A70+1</f>
        <v>67</v>
      </c>
      <c r="B72" s="14" t="str">
        <f t="shared" ref="B72:B113" si="33">TEXT(V72,"mmm yyyy")</f>
        <v>Mar 2014</v>
      </c>
      <c r="C72" s="24" t="str">
        <f t="shared" ref="C72:C113" si="34">AD72</f>
        <v>RLS</v>
      </c>
      <c r="D72" s="24" t="str">
        <f t="shared" ref="D72:D113" si="35">AC72</f>
        <v>LE_958POLE</v>
      </c>
      <c r="E72" s="73">
        <f t="shared" si="25"/>
        <v>36</v>
      </c>
      <c r="F72" s="73">
        <v>0</v>
      </c>
      <c r="G72" s="11">
        <f>SUMIF(PoleRates!$E$4:$E$131,$W72,PoleRates!$F$4:$F$131)</f>
        <v>11.31</v>
      </c>
      <c r="H72" s="13">
        <f t="shared" ref="H72:H113" si="36">ROUND(($E72+F72)*$G72,2)</f>
        <v>407.16</v>
      </c>
      <c r="I72" s="85">
        <v>0</v>
      </c>
      <c r="J72" s="13">
        <f t="shared" si="18"/>
        <v>407.16</v>
      </c>
      <c r="K72" s="35">
        <f t="shared" si="26"/>
        <v>407.16</v>
      </c>
      <c r="L72" s="87">
        <f t="shared" ref="L72:L113" si="37">IF(AND(J72=0,K72=0),1,IF(J72=0,0,K72/J72))</f>
        <v>1</v>
      </c>
      <c r="M72" s="86">
        <f t="shared" si="27"/>
        <v>407.16</v>
      </c>
      <c r="N72" s="15">
        <f t="shared" ref="N72:N113" si="38">J72</f>
        <v>407.16</v>
      </c>
      <c r="O72" s="15">
        <f t="shared" ref="O72:O113" si="39">ROUND(M72-N72,2)</f>
        <v>0</v>
      </c>
      <c r="V72" s="14">
        <f>IF(AB72=1,IF(V71=MiscData!$F$1,EOMONTH(V71,-11),EOMONTH(V71,1)),V71)</f>
        <v>41729</v>
      </c>
      <c r="W72" s="8" t="str">
        <f t="shared" ref="W72:W113" si="40">CONCATENATE(AA72&amp;AC72)</f>
        <v>20140101LE_958POLE</v>
      </c>
      <c r="X72" s="12" t="str">
        <f t="shared" ref="X72:X113" si="41">CONCATENATE(AA72&amp;AD72)</f>
        <v>20140101RLS</v>
      </c>
      <c r="AA72">
        <f>MiscData!$X$5</f>
        <v>20140101</v>
      </c>
      <c r="AB72">
        <f>IF(AB71+1&gt;MiscData!$AF$28,1,AB71+1)</f>
        <v>23</v>
      </c>
      <c r="AC72" t="str">
        <f>VLOOKUP(AB72,MiscData!$AF$5:$AG$28,2,FALSE)</f>
        <v>LE_958POLE</v>
      </c>
      <c r="AD72" t="str">
        <f>VLOOKUP(AB72,MiscData!$AF$5:$AH$28,3,FALSE)</f>
        <v>RLS</v>
      </c>
    </row>
    <row r="73" spans="1:34">
      <c r="A73" s="8">
        <f t="shared" si="32"/>
        <v>67</v>
      </c>
      <c r="B73" s="14" t="str">
        <f t="shared" si="33"/>
        <v>Mar 2014</v>
      </c>
      <c r="C73" s="24" t="str">
        <f t="shared" si="34"/>
        <v xml:space="preserve">LS </v>
      </c>
      <c r="D73" s="24" t="str">
        <f t="shared" si="35"/>
        <v>LE_958POLE</v>
      </c>
      <c r="E73" s="73">
        <f t="shared" si="25"/>
        <v>420</v>
      </c>
      <c r="F73" s="73">
        <v>0</v>
      </c>
      <c r="G73" s="11">
        <f>SUMIF(PoleRates!$E$4:$E$131,$W73,PoleRates!$F$4:$F$131)</f>
        <v>11.31</v>
      </c>
      <c r="H73" s="13">
        <f t="shared" si="36"/>
        <v>4750.2</v>
      </c>
      <c r="I73" s="85">
        <v>1.1299999999999999</v>
      </c>
      <c r="J73" s="13">
        <f t="shared" si="18"/>
        <v>4751.33</v>
      </c>
      <c r="K73" s="35">
        <f t="shared" si="26"/>
        <v>4751.33</v>
      </c>
      <c r="L73" s="87">
        <f t="shared" si="37"/>
        <v>1</v>
      </c>
      <c r="M73" s="86">
        <f t="shared" si="27"/>
        <v>4751.33</v>
      </c>
      <c r="N73" s="15">
        <f t="shared" si="38"/>
        <v>4751.33</v>
      </c>
      <c r="O73" s="15">
        <f t="shared" si="39"/>
        <v>0</v>
      </c>
      <c r="V73" s="14">
        <f>IF(AB73=1,IF(V72=MiscData!$F$1,EOMONTH(V72,-11),EOMONTH(V72,1)),V72)</f>
        <v>41729</v>
      </c>
      <c r="W73" s="8" t="str">
        <f t="shared" si="40"/>
        <v>20140101LE_958POLE</v>
      </c>
      <c r="X73" s="12" t="str">
        <f t="shared" si="41"/>
        <v xml:space="preserve">20140101LS </v>
      </c>
      <c r="AA73">
        <f>MiscData!$X$5</f>
        <v>20140101</v>
      </c>
      <c r="AB73">
        <f>IF(AB72+1&gt;MiscData!$AF$28,1,AB72+1)</f>
        <v>24</v>
      </c>
      <c r="AC73" t="str">
        <f>VLOOKUP(AB73,MiscData!$AF$5:$AG$28,2,FALSE)</f>
        <v>LE_958POLE</v>
      </c>
      <c r="AD73" t="str">
        <f>VLOOKUP(AB73,MiscData!$AF$5:$AH$28,3,FALSE)</f>
        <v xml:space="preserve">LS </v>
      </c>
    </row>
    <row r="74" spans="1:34">
      <c r="A74" s="8">
        <f t="shared" si="32"/>
        <v>68</v>
      </c>
      <c r="B74" s="14" t="str">
        <f t="shared" si="33"/>
        <v>Apr 2014</v>
      </c>
      <c r="C74" s="24" t="str">
        <f t="shared" si="34"/>
        <v>RLS</v>
      </c>
      <c r="D74" s="24" t="str">
        <f t="shared" si="35"/>
        <v>LE_900POLE</v>
      </c>
      <c r="E74" s="73">
        <f t="shared" si="25"/>
        <v>1622</v>
      </c>
      <c r="F74" s="73">
        <v>0</v>
      </c>
      <c r="G74" s="11">
        <f>SUMIF(PoleRates!$E$4:$E$131,$W74,PoleRates!$F$4:$F$131)</f>
        <v>2.06</v>
      </c>
      <c r="H74" s="13">
        <f t="shared" si="36"/>
        <v>3341.32</v>
      </c>
      <c r="I74" s="85">
        <v>-0.69</v>
      </c>
      <c r="J74" s="13">
        <f t="shared" si="18"/>
        <v>3340.63</v>
      </c>
      <c r="K74" s="35">
        <f t="shared" si="26"/>
        <v>3340.6299999999997</v>
      </c>
      <c r="L74" s="87">
        <f t="shared" si="37"/>
        <v>0.99999999999999989</v>
      </c>
      <c r="M74" s="86">
        <f t="shared" si="27"/>
        <v>3340.6299999999997</v>
      </c>
      <c r="N74" s="15">
        <f t="shared" si="38"/>
        <v>3340.63</v>
      </c>
      <c r="O74" s="15">
        <f t="shared" si="39"/>
        <v>0</v>
      </c>
      <c r="V74" s="14">
        <f>IF(AB74=1,IF(V73=MiscData!$F$1,EOMONTH(V73,-11),EOMONTH(V73,1)),V73)</f>
        <v>41759</v>
      </c>
      <c r="W74" s="8" t="str">
        <f t="shared" si="40"/>
        <v>20140101LE_900POLE</v>
      </c>
      <c r="X74" s="12" t="str">
        <f t="shared" si="41"/>
        <v>20140101RLS</v>
      </c>
      <c r="AA74">
        <f>MiscData!$X$5</f>
        <v>20140101</v>
      </c>
      <c r="AB74">
        <f>IF(AB73+1&gt;MiscData!$AF$28,1,AB73+1)</f>
        <v>1</v>
      </c>
      <c r="AC74" t="str">
        <f>VLOOKUP(AB74,MiscData!$AF$5:$AG$28,2,FALSE)</f>
        <v>LE_900POLE</v>
      </c>
      <c r="AD74" t="str">
        <f>VLOOKUP(AB74,MiscData!$AF$5:$AH$28,3,FALSE)</f>
        <v>RLS</v>
      </c>
    </row>
    <row r="75" spans="1:34">
      <c r="A75" s="8">
        <f t="shared" si="32"/>
        <v>68</v>
      </c>
      <c r="B75" s="14" t="str">
        <f t="shared" si="33"/>
        <v>Apr 2014</v>
      </c>
      <c r="C75" s="24" t="str">
        <f t="shared" si="34"/>
        <v xml:space="preserve">LS </v>
      </c>
      <c r="D75" s="24" t="str">
        <f t="shared" si="35"/>
        <v>LE_900POLE</v>
      </c>
      <c r="E75" s="73">
        <f t="shared" si="25"/>
        <v>5141</v>
      </c>
      <c r="F75" s="73">
        <v>0</v>
      </c>
      <c r="G75" s="11">
        <f>SUMIF(PoleRates!$E$4:$E$131,$W75,PoleRates!$F$4:$F$131)</f>
        <v>2.06</v>
      </c>
      <c r="H75" s="13">
        <f t="shared" si="36"/>
        <v>10590.46</v>
      </c>
      <c r="I75" s="85">
        <v>0.72</v>
      </c>
      <c r="J75" s="13">
        <f t="shared" si="18"/>
        <v>10591.179999999998</v>
      </c>
      <c r="K75" s="35">
        <f t="shared" si="26"/>
        <v>10591.180000000002</v>
      </c>
      <c r="L75" s="87">
        <f t="shared" si="37"/>
        <v>1.0000000000000004</v>
      </c>
      <c r="M75" s="86">
        <f t="shared" si="27"/>
        <v>10591.180000000002</v>
      </c>
      <c r="N75" s="15">
        <f t="shared" si="38"/>
        <v>10591.179999999998</v>
      </c>
      <c r="O75" s="15">
        <f t="shared" si="39"/>
        <v>0</v>
      </c>
      <c r="V75" s="14">
        <f>IF(AB75=1,IF(V74=MiscData!$F$1,EOMONTH(V74,-11),EOMONTH(V74,1)),V74)</f>
        <v>41759</v>
      </c>
      <c r="W75" s="8" t="str">
        <f t="shared" si="40"/>
        <v>20140101LE_900POLE</v>
      </c>
      <c r="X75" s="12" t="str">
        <f t="shared" si="41"/>
        <v xml:space="preserve">20140101LS </v>
      </c>
      <c r="AA75">
        <f>MiscData!$X$5</f>
        <v>20140101</v>
      </c>
      <c r="AB75">
        <f>IF(AB74+1&gt;MiscData!$AF$28,1,AB74+1)</f>
        <v>2</v>
      </c>
      <c r="AC75" t="str">
        <f>VLOOKUP(AB75,MiscData!$AF$5:$AG$28,2,FALSE)</f>
        <v>LE_900POLE</v>
      </c>
      <c r="AD75" t="str">
        <f>VLOOKUP(AB75,MiscData!$AF$5:$AH$28,3,FALSE)</f>
        <v xml:space="preserve">LS </v>
      </c>
    </row>
    <row r="76" spans="1:34">
      <c r="A76" s="8">
        <f t="shared" si="32"/>
        <v>69</v>
      </c>
      <c r="B76" s="14" t="str">
        <f t="shared" si="33"/>
        <v>Apr 2014</v>
      </c>
      <c r="C76" s="24" t="str">
        <f t="shared" si="34"/>
        <v>RLS</v>
      </c>
      <c r="D76" s="24" t="str">
        <f t="shared" si="35"/>
        <v>LE_901POLE</v>
      </c>
      <c r="E76" s="73">
        <f t="shared" si="25"/>
        <v>157</v>
      </c>
      <c r="F76" s="73">
        <v>0</v>
      </c>
      <c r="G76" s="11">
        <f>SUMIF(PoleRates!$E$4:$E$131,$W76,PoleRates!$F$4:$F$131)</f>
        <v>10.81</v>
      </c>
      <c r="H76" s="13">
        <f t="shared" si="36"/>
        <v>1697.17</v>
      </c>
      <c r="I76" s="85">
        <v>0</v>
      </c>
      <c r="J76" s="13">
        <f t="shared" si="18"/>
        <v>1697.17</v>
      </c>
      <c r="K76" s="35">
        <f t="shared" si="26"/>
        <v>1697.1699999999998</v>
      </c>
      <c r="L76" s="87">
        <f t="shared" si="37"/>
        <v>0.99999999999999989</v>
      </c>
      <c r="M76" s="86">
        <f t="shared" si="27"/>
        <v>1697.1699999999998</v>
      </c>
      <c r="N76" s="15">
        <f t="shared" si="38"/>
        <v>1697.17</v>
      </c>
      <c r="O76" s="15">
        <f t="shared" si="39"/>
        <v>0</v>
      </c>
      <c r="V76" s="14">
        <f>IF(AB76=1,IF(V75=MiscData!$F$1,EOMONTH(V75,-11),EOMONTH(V75,1)),V75)</f>
        <v>41759</v>
      </c>
      <c r="W76" s="8" t="str">
        <f t="shared" si="40"/>
        <v>20140101LE_901POLE</v>
      </c>
      <c r="X76" s="12" t="str">
        <f t="shared" si="41"/>
        <v>20140101RLS</v>
      </c>
      <c r="AA76">
        <f>MiscData!$X$5</f>
        <v>20140101</v>
      </c>
      <c r="AB76">
        <f>IF(AB75+1&gt;MiscData!$AF$28,1,AB75+1)</f>
        <v>3</v>
      </c>
      <c r="AC76" t="str">
        <f>VLOOKUP(AB76,MiscData!$AF$5:$AG$28,2,FALSE)</f>
        <v>LE_901POLE</v>
      </c>
      <c r="AD76" t="str">
        <f>VLOOKUP(AB76,MiscData!$AF$5:$AH$28,3,FALSE)</f>
        <v>RLS</v>
      </c>
    </row>
    <row r="77" spans="1:34">
      <c r="A77" s="8">
        <f t="shared" si="32"/>
        <v>69</v>
      </c>
      <c r="B77" s="14" t="str">
        <f t="shared" si="33"/>
        <v>Apr 2014</v>
      </c>
      <c r="C77" s="24" t="str">
        <f t="shared" si="34"/>
        <v xml:space="preserve">LS </v>
      </c>
      <c r="D77" s="24" t="str">
        <f t="shared" si="35"/>
        <v>LE_901POLE</v>
      </c>
      <c r="E77" s="73">
        <f t="shared" si="25"/>
        <v>0</v>
      </c>
      <c r="F77" s="73">
        <v>0</v>
      </c>
      <c r="G77" s="11">
        <f>SUMIF(PoleRates!$E$4:$E$131,$W77,PoleRates!$F$4:$F$131)</f>
        <v>10.81</v>
      </c>
      <c r="H77" s="13">
        <f t="shared" si="36"/>
        <v>0</v>
      </c>
      <c r="I77" s="85">
        <v>0</v>
      </c>
      <c r="J77" s="13">
        <f t="shared" si="18"/>
        <v>0</v>
      </c>
      <c r="K77" s="35">
        <f t="shared" si="26"/>
        <v>0</v>
      </c>
      <c r="L77" s="87">
        <f t="shared" si="37"/>
        <v>1</v>
      </c>
      <c r="M77" s="86">
        <f t="shared" si="27"/>
        <v>0</v>
      </c>
      <c r="N77" s="15">
        <f t="shared" si="38"/>
        <v>0</v>
      </c>
      <c r="O77" s="15">
        <f t="shared" si="39"/>
        <v>0</v>
      </c>
      <c r="V77" s="14">
        <f>IF(AB77=1,IF(V76=MiscData!$F$1,EOMONTH(V76,-11),EOMONTH(V76,1)),V76)</f>
        <v>41759</v>
      </c>
      <c r="W77" s="8" t="str">
        <f t="shared" si="40"/>
        <v>20140101LE_901POLE</v>
      </c>
      <c r="X77" s="12" t="str">
        <f t="shared" si="41"/>
        <v xml:space="preserve">20140101LS </v>
      </c>
      <c r="AA77">
        <f>MiscData!$X$5</f>
        <v>20140101</v>
      </c>
      <c r="AB77">
        <f>IF(AB76+1&gt;MiscData!$AF$28,1,AB76+1)</f>
        <v>4</v>
      </c>
      <c r="AC77" t="str">
        <f>VLOOKUP(AB77,MiscData!$AF$5:$AG$28,2,FALSE)</f>
        <v>LE_901POLE</v>
      </c>
      <c r="AD77" t="str">
        <f>VLOOKUP(AB77,MiscData!$AF$5:$AH$28,3,FALSE)</f>
        <v xml:space="preserve">LS </v>
      </c>
    </row>
    <row r="78" spans="1:34">
      <c r="A78" s="8">
        <f t="shared" si="32"/>
        <v>70</v>
      </c>
      <c r="B78" s="14" t="str">
        <f t="shared" si="33"/>
        <v>Apr 2014</v>
      </c>
      <c r="C78" s="24" t="str">
        <f t="shared" si="34"/>
        <v>RLS</v>
      </c>
      <c r="D78" s="24" t="str">
        <f t="shared" si="35"/>
        <v>LE_902POLE</v>
      </c>
      <c r="E78" s="73">
        <f t="shared" si="25"/>
        <v>277</v>
      </c>
      <c r="F78" s="73">
        <v>0</v>
      </c>
      <c r="G78" s="11">
        <f>SUMIF(PoleRates!$E$4:$E$131,$W78,PoleRates!$F$4:$F$131)</f>
        <v>12.9</v>
      </c>
      <c r="H78" s="13">
        <f t="shared" si="36"/>
        <v>3573.3</v>
      </c>
      <c r="I78" s="85">
        <v>0</v>
      </c>
      <c r="J78" s="13">
        <f t="shared" si="18"/>
        <v>3573.3</v>
      </c>
      <c r="K78" s="35">
        <f t="shared" si="26"/>
        <v>3573.3</v>
      </c>
      <c r="L78" s="87">
        <f t="shared" si="37"/>
        <v>1</v>
      </c>
      <c r="M78" s="86">
        <f t="shared" si="27"/>
        <v>3573.3</v>
      </c>
      <c r="N78" s="15">
        <f t="shared" si="38"/>
        <v>3573.3</v>
      </c>
      <c r="O78" s="15">
        <f t="shared" si="39"/>
        <v>0</v>
      </c>
      <c r="V78" s="14">
        <f>IF(AB78=1,IF(V77=MiscData!$F$1,EOMONTH(V77,-11),EOMONTH(V77,1)),V77)</f>
        <v>41759</v>
      </c>
      <c r="W78" s="8" t="str">
        <f t="shared" si="40"/>
        <v>20140101LE_902POLE</v>
      </c>
      <c r="X78" s="12" t="str">
        <f t="shared" si="41"/>
        <v>20140101RLS</v>
      </c>
      <c r="AA78">
        <f>MiscData!$X$5</f>
        <v>20140101</v>
      </c>
      <c r="AB78">
        <f>IF(AB77+1&gt;MiscData!$AF$28,1,AB77+1)</f>
        <v>5</v>
      </c>
      <c r="AC78" t="str">
        <f>VLOOKUP(AB78,MiscData!$AF$5:$AG$28,2,FALSE)</f>
        <v>LE_902POLE</v>
      </c>
      <c r="AD78" t="str">
        <f>VLOOKUP(AB78,MiscData!$AF$5:$AH$28,3,FALSE)</f>
        <v>RLS</v>
      </c>
    </row>
    <row r="79" spans="1:34">
      <c r="A79" s="8">
        <f t="shared" si="32"/>
        <v>70</v>
      </c>
      <c r="B79" s="14" t="str">
        <f t="shared" si="33"/>
        <v>Apr 2014</v>
      </c>
      <c r="C79" s="24" t="str">
        <f t="shared" si="34"/>
        <v xml:space="preserve">LS </v>
      </c>
      <c r="D79" s="24" t="str">
        <f t="shared" si="35"/>
        <v>LE_902POLE</v>
      </c>
      <c r="E79" s="73">
        <f t="shared" si="25"/>
        <v>3</v>
      </c>
      <c r="F79" s="73">
        <v>0</v>
      </c>
      <c r="G79" s="11">
        <f>SUMIF(PoleRates!$E$4:$E$131,$W79,PoleRates!$F$4:$F$131)</f>
        <v>12.9</v>
      </c>
      <c r="H79" s="13">
        <f t="shared" si="36"/>
        <v>38.700000000000003</v>
      </c>
      <c r="I79" s="85">
        <v>0</v>
      </c>
      <c r="J79" s="13">
        <f t="shared" si="18"/>
        <v>38.700000000000003</v>
      </c>
      <c r="K79" s="35">
        <f t="shared" si="26"/>
        <v>38.700000000000003</v>
      </c>
      <c r="L79" s="87">
        <f t="shared" si="37"/>
        <v>1</v>
      </c>
      <c r="M79" s="86">
        <f t="shared" si="27"/>
        <v>38.700000000000003</v>
      </c>
      <c r="N79" s="15">
        <f t="shared" si="38"/>
        <v>38.700000000000003</v>
      </c>
      <c r="O79" s="15">
        <f t="shared" si="39"/>
        <v>0</v>
      </c>
      <c r="V79" s="14">
        <f>IF(AB79=1,IF(V78=MiscData!$F$1,EOMONTH(V78,-11),EOMONTH(V78,1)),V78)</f>
        <v>41759</v>
      </c>
      <c r="W79" s="8" t="str">
        <f t="shared" si="40"/>
        <v>20140101LE_902POLE</v>
      </c>
      <c r="X79" s="12" t="str">
        <f t="shared" si="41"/>
        <v xml:space="preserve">20140101LS </v>
      </c>
      <c r="AA79">
        <f>MiscData!$X$5</f>
        <v>20140101</v>
      </c>
      <c r="AB79">
        <f>IF(AB78+1&gt;MiscData!$AF$28,1,AB78+1)</f>
        <v>6</v>
      </c>
      <c r="AC79" t="str">
        <f>VLOOKUP(AB79,MiscData!$AF$5:$AG$28,2,FALSE)</f>
        <v>LE_902POLE</v>
      </c>
      <c r="AD79" t="str">
        <f>VLOOKUP(AB79,MiscData!$AF$5:$AH$28,3,FALSE)</f>
        <v xml:space="preserve">LS </v>
      </c>
    </row>
    <row r="80" spans="1:34">
      <c r="A80" s="8">
        <f t="shared" si="32"/>
        <v>71</v>
      </c>
      <c r="B80" s="14" t="str">
        <f t="shared" si="33"/>
        <v>Apr 2014</v>
      </c>
      <c r="C80" s="24" t="str">
        <f t="shared" si="34"/>
        <v>RLS</v>
      </c>
      <c r="D80" s="24" t="str">
        <f t="shared" si="35"/>
        <v>LE_950BASE</v>
      </c>
      <c r="E80" s="73">
        <f t="shared" si="25"/>
        <v>77</v>
      </c>
      <c r="F80" s="73">
        <v>0</v>
      </c>
      <c r="G80" s="11">
        <f>SUMIF(PoleRates!$E$4:$E$131,$W80,PoleRates!$F$4:$F$131)</f>
        <v>3.47</v>
      </c>
      <c r="H80" s="13">
        <f t="shared" si="36"/>
        <v>267.19</v>
      </c>
      <c r="I80" s="85">
        <v>0</v>
      </c>
      <c r="J80" s="13">
        <f t="shared" si="18"/>
        <v>267.19</v>
      </c>
      <c r="K80" s="35">
        <f t="shared" si="26"/>
        <v>267.19</v>
      </c>
      <c r="L80" s="87">
        <f t="shared" si="37"/>
        <v>1</v>
      </c>
      <c r="M80" s="86">
        <f t="shared" si="27"/>
        <v>267.19</v>
      </c>
      <c r="N80" s="15">
        <f t="shared" si="38"/>
        <v>267.19</v>
      </c>
      <c r="O80" s="15">
        <f t="shared" si="39"/>
        <v>0</v>
      </c>
      <c r="V80" s="14">
        <f>IF(AB80=1,IF(V79=MiscData!$F$1,EOMONTH(V79,-11),EOMONTH(V79,1)),V79)</f>
        <v>41759</v>
      </c>
      <c r="W80" s="8" t="str">
        <f t="shared" si="40"/>
        <v>20140101LE_950BASE</v>
      </c>
      <c r="X80" s="12" t="str">
        <f t="shared" si="41"/>
        <v>20140101RLS</v>
      </c>
      <c r="AA80">
        <f>MiscData!$X$5</f>
        <v>20140101</v>
      </c>
      <c r="AB80">
        <f>IF(AB79+1&gt;MiscData!$AF$28,1,AB79+1)</f>
        <v>7</v>
      </c>
      <c r="AC80" t="str">
        <f>VLOOKUP(AB80,MiscData!$AF$5:$AG$28,2,FALSE)</f>
        <v>LE_950BASE</v>
      </c>
      <c r="AD80" t="str">
        <f>VLOOKUP(AB80,MiscData!$AF$5:$AH$28,3,FALSE)</f>
        <v>RLS</v>
      </c>
    </row>
    <row r="81" spans="1:30">
      <c r="A81" s="8">
        <f t="shared" si="32"/>
        <v>71</v>
      </c>
      <c r="B81" s="14" t="str">
        <f t="shared" si="33"/>
        <v>Apr 2014</v>
      </c>
      <c r="C81" s="24" t="str">
        <f t="shared" si="34"/>
        <v xml:space="preserve">LS </v>
      </c>
      <c r="D81" s="24" t="str">
        <f t="shared" si="35"/>
        <v>LE_950BASE</v>
      </c>
      <c r="E81" s="73">
        <f t="shared" si="25"/>
        <v>13</v>
      </c>
      <c r="F81" s="73">
        <v>0</v>
      </c>
      <c r="G81" s="11">
        <f>SUMIF(PoleRates!$E$4:$E$131,$W81,PoleRates!$F$4:$F$131)</f>
        <v>3.47</v>
      </c>
      <c r="H81" s="13">
        <f t="shared" si="36"/>
        <v>45.11</v>
      </c>
      <c r="I81" s="85">
        <v>0</v>
      </c>
      <c r="J81" s="13">
        <f t="shared" si="18"/>
        <v>45.11</v>
      </c>
      <c r="K81" s="35">
        <f t="shared" si="26"/>
        <v>45.11</v>
      </c>
      <c r="L81" s="87">
        <f t="shared" si="37"/>
        <v>1</v>
      </c>
      <c r="M81" s="86">
        <f t="shared" si="27"/>
        <v>45.11</v>
      </c>
      <c r="N81" s="15">
        <f t="shared" si="38"/>
        <v>45.11</v>
      </c>
      <c r="O81" s="15">
        <f t="shared" si="39"/>
        <v>0</v>
      </c>
      <c r="V81" s="14">
        <f>IF(AB81=1,IF(V80=MiscData!$F$1,EOMONTH(V80,-11),EOMONTH(V80,1)),V80)</f>
        <v>41759</v>
      </c>
      <c r="W81" s="8" t="str">
        <f t="shared" si="40"/>
        <v>20140101LE_950BASE</v>
      </c>
      <c r="X81" s="12" t="str">
        <f t="shared" si="41"/>
        <v xml:space="preserve">20140101LS </v>
      </c>
      <c r="AA81">
        <f>MiscData!$X$5</f>
        <v>20140101</v>
      </c>
      <c r="AB81">
        <f>IF(AB80+1&gt;MiscData!$AF$28,1,AB80+1)</f>
        <v>8</v>
      </c>
      <c r="AC81" t="str">
        <f>VLOOKUP(AB81,MiscData!$AF$5:$AG$28,2,FALSE)</f>
        <v>LE_950BASE</v>
      </c>
      <c r="AD81" t="str">
        <f>VLOOKUP(AB81,MiscData!$AF$5:$AH$28,3,FALSE)</f>
        <v xml:space="preserve">LS </v>
      </c>
    </row>
    <row r="82" spans="1:30">
      <c r="A82" s="8">
        <f t="shared" si="32"/>
        <v>72</v>
      </c>
      <c r="B82" s="14" t="str">
        <f t="shared" si="33"/>
        <v>Apr 2014</v>
      </c>
      <c r="C82" s="24" t="str">
        <f t="shared" si="34"/>
        <v>RLS</v>
      </c>
      <c r="D82" s="24" t="str">
        <f t="shared" si="35"/>
        <v>LE_951BASE</v>
      </c>
      <c r="E82" s="73">
        <f t="shared" si="25"/>
        <v>195</v>
      </c>
      <c r="F82" s="73">
        <v>0</v>
      </c>
      <c r="G82" s="11">
        <f>SUMIF(PoleRates!$E$4:$E$131,$W82,PoleRates!$F$4:$F$131)</f>
        <v>3.73</v>
      </c>
      <c r="H82" s="13">
        <f t="shared" si="36"/>
        <v>727.35</v>
      </c>
      <c r="I82" s="85">
        <v>-3.73</v>
      </c>
      <c r="J82" s="13">
        <f t="shared" si="18"/>
        <v>723.62</v>
      </c>
      <c r="K82" s="35">
        <f t="shared" si="26"/>
        <v>723.62</v>
      </c>
      <c r="L82" s="87">
        <f t="shared" si="37"/>
        <v>1</v>
      </c>
      <c r="M82" s="86">
        <f t="shared" si="27"/>
        <v>723.62</v>
      </c>
      <c r="N82" s="15">
        <f t="shared" si="38"/>
        <v>723.62</v>
      </c>
      <c r="O82" s="15">
        <f t="shared" si="39"/>
        <v>0</v>
      </c>
      <c r="V82" s="14">
        <f>IF(AB82=1,IF(V81=MiscData!$F$1,EOMONTH(V81,-11),EOMONTH(V81,1)),V81)</f>
        <v>41759</v>
      </c>
      <c r="W82" s="8" t="str">
        <f t="shared" si="40"/>
        <v>20140101LE_951BASE</v>
      </c>
      <c r="X82" s="12" t="str">
        <f t="shared" si="41"/>
        <v>20140101RLS</v>
      </c>
      <c r="AA82">
        <f>MiscData!$X$5</f>
        <v>20140101</v>
      </c>
      <c r="AB82">
        <f>IF(AB81+1&gt;MiscData!$AF$28,1,AB81+1)</f>
        <v>9</v>
      </c>
      <c r="AC82" t="str">
        <f>VLOOKUP(AB82,MiscData!$AF$5:$AG$28,2,FALSE)</f>
        <v>LE_951BASE</v>
      </c>
      <c r="AD82" t="str">
        <f>VLOOKUP(AB82,MiscData!$AF$5:$AH$28,3,FALSE)</f>
        <v>RLS</v>
      </c>
    </row>
    <row r="83" spans="1:30">
      <c r="A83" s="8">
        <f t="shared" si="32"/>
        <v>72</v>
      </c>
      <c r="B83" s="14" t="str">
        <f t="shared" si="33"/>
        <v>Apr 2014</v>
      </c>
      <c r="C83" s="24" t="str">
        <f t="shared" si="34"/>
        <v xml:space="preserve">LS </v>
      </c>
      <c r="D83" s="24" t="str">
        <f t="shared" si="35"/>
        <v>LE_951BASE</v>
      </c>
      <c r="E83" s="73">
        <f t="shared" si="25"/>
        <v>73</v>
      </c>
      <c r="F83" s="73">
        <v>0</v>
      </c>
      <c r="G83" s="11">
        <f>SUMIF(PoleRates!$E$4:$E$131,$W83,PoleRates!$F$4:$F$131)</f>
        <v>3.73</v>
      </c>
      <c r="H83" s="13">
        <f t="shared" si="36"/>
        <v>272.29000000000002</v>
      </c>
      <c r="I83" s="85">
        <v>-11.19</v>
      </c>
      <c r="J83" s="13">
        <f t="shared" si="18"/>
        <v>261.10000000000002</v>
      </c>
      <c r="K83" s="35">
        <f t="shared" si="26"/>
        <v>261.09999999999997</v>
      </c>
      <c r="L83" s="87">
        <f t="shared" si="37"/>
        <v>0.99999999999999978</v>
      </c>
      <c r="M83" s="86">
        <f t="shared" si="27"/>
        <v>261.09999999999997</v>
      </c>
      <c r="N83" s="15">
        <f t="shared" si="38"/>
        <v>261.10000000000002</v>
      </c>
      <c r="O83" s="15">
        <f t="shared" si="39"/>
        <v>0</v>
      </c>
      <c r="V83" s="14">
        <f>IF(AB83=1,IF(V82=MiscData!$F$1,EOMONTH(V82,-11),EOMONTH(V82,1)),V82)</f>
        <v>41759</v>
      </c>
      <c r="W83" s="8" t="str">
        <f t="shared" si="40"/>
        <v>20140101LE_951BASE</v>
      </c>
      <c r="X83" s="12" t="str">
        <f t="shared" si="41"/>
        <v xml:space="preserve">20140101LS </v>
      </c>
      <c r="AA83">
        <f>MiscData!$X$5</f>
        <v>20140101</v>
      </c>
      <c r="AB83">
        <f>IF(AB82+1&gt;MiscData!$AF$28,1,AB82+1)</f>
        <v>10</v>
      </c>
      <c r="AC83" t="str">
        <f>VLOOKUP(AB83,MiscData!$AF$5:$AG$28,2,FALSE)</f>
        <v>LE_951BASE</v>
      </c>
      <c r="AD83" t="str">
        <f>VLOOKUP(AB83,MiscData!$AF$5:$AH$28,3,FALSE)</f>
        <v xml:space="preserve">LS </v>
      </c>
    </row>
    <row r="84" spans="1:30">
      <c r="A84" s="8">
        <f t="shared" si="32"/>
        <v>73</v>
      </c>
      <c r="B84" s="14" t="str">
        <f t="shared" si="33"/>
        <v>Apr 2014</v>
      </c>
      <c r="C84" s="24" t="str">
        <f t="shared" si="34"/>
        <v>RLS</v>
      </c>
      <c r="D84" s="24" t="str">
        <f t="shared" si="35"/>
        <v>LE_952BASE</v>
      </c>
      <c r="E84" s="73">
        <f t="shared" si="25"/>
        <v>0</v>
      </c>
      <c r="F84" s="73">
        <v>0</v>
      </c>
      <c r="G84" s="11">
        <f>SUMIF(PoleRates!$E$4:$E$131,$W84,PoleRates!$F$4:$F$131)</f>
        <v>3.56</v>
      </c>
      <c r="H84" s="13">
        <f t="shared" si="36"/>
        <v>0</v>
      </c>
      <c r="I84" s="85">
        <v>0</v>
      </c>
      <c r="J84" s="13">
        <f t="shared" si="18"/>
        <v>0</v>
      </c>
      <c r="K84" s="35">
        <f t="shared" si="26"/>
        <v>0</v>
      </c>
      <c r="L84" s="87">
        <f t="shared" si="37"/>
        <v>1</v>
      </c>
      <c r="M84" s="86">
        <f t="shared" si="27"/>
        <v>0</v>
      </c>
      <c r="N84" s="15">
        <f t="shared" si="38"/>
        <v>0</v>
      </c>
      <c r="O84" s="15">
        <f t="shared" si="39"/>
        <v>0</v>
      </c>
      <c r="V84" s="14">
        <f>IF(AB84=1,IF(V83=MiscData!$F$1,EOMONTH(V83,-11),EOMONTH(V83,1)),V83)</f>
        <v>41759</v>
      </c>
      <c r="W84" s="8" t="str">
        <f t="shared" si="40"/>
        <v>20140101LE_952BASE</v>
      </c>
      <c r="X84" s="12" t="str">
        <f t="shared" si="41"/>
        <v>20140101RLS</v>
      </c>
      <c r="AA84">
        <f>MiscData!$X$5</f>
        <v>20140101</v>
      </c>
      <c r="AB84">
        <f>IF(AB83+1&gt;MiscData!$AF$28,1,AB83+1)</f>
        <v>11</v>
      </c>
      <c r="AC84" t="str">
        <f>VLOOKUP(AB84,MiscData!$AF$5:$AG$28,2,FALSE)</f>
        <v>LE_952BASE</v>
      </c>
      <c r="AD84" t="str">
        <f>VLOOKUP(AB84,MiscData!$AF$5:$AH$28,3,FALSE)</f>
        <v>RLS</v>
      </c>
    </row>
    <row r="85" spans="1:30">
      <c r="A85" s="8">
        <f t="shared" si="32"/>
        <v>73</v>
      </c>
      <c r="B85" s="14" t="str">
        <f t="shared" si="33"/>
        <v>Apr 2014</v>
      </c>
      <c r="C85" s="24" t="str">
        <f t="shared" si="34"/>
        <v xml:space="preserve">LS </v>
      </c>
      <c r="D85" s="24" t="str">
        <f t="shared" si="35"/>
        <v>LE_952BASE</v>
      </c>
      <c r="E85" s="73">
        <f t="shared" si="25"/>
        <v>0</v>
      </c>
      <c r="F85" s="73">
        <v>0</v>
      </c>
      <c r="G85" s="11">
        <f>SUMIF(PoleRates!$E$4:$E$131,$W85,PoleRates!$F$4:$F$131)</f>
        <v>3.56</v>
      </c>
      <c r="H85" s="13">
        <f t="shared" si="36"/>
        <v>0</v>
      </c>
      <c r="I85" s="85">
        <v>0</v>
      </c>
      <c r="J85" s="13">
        <f t="shared" si="18"/>
        <v>0</v>
      </c>
      <c r="K85" s="35">
        <f t="shared" si="26"/>
        <v>0</v>
      </c>
      <c r="L85" s="87">
        <f t="shared" si="37"/>
        <v>1</v>
      </c>
      <c r="M85" s="86">
        <f t="shared" si="27"/>
        <v>0</v>
      </c>
      <c r="N85" s="15">
        <f t="shared" si="38"/>
        <v>0</v>
      </c>
      <c r="O85" s="15">
        <f t="shared" si="39"/>
        <v>0</v>
      </c>
      <c r="V85" s="14">
        <f>IF(AB85=1,IF(V84=MiscData!$F$1,EOMONTH(V84,-11),EOMONTH(V84,1)),V84)</f>
        <v>41759</v>
      </c>
      <c r="W85" s="8" t="str">
        <f t="shared" si="40"/>
        <v>20140101LE_952BASE</v>
      </c>
      <c r="X85" s="12" t="str">
        <f t="shared" si="41"/>
        <v xml:space="preserve">20140101LS </v>
      </c>
      <c r="AA85">
        <f>MiscData!$X$5</f>
        <v>20140101</v>
      </c>
      <c r="AB85">
        <f>IF(AB84+1&gt;MiscData!$AF$28,1,AB84+1)</f>
        <v>12</v>
      </c>
      <c r="AC85" t="str">
        <f>VLOOKUP(AB85,MiscData!$AF$5:$AG$28,2,FALSE)</f>
        <v>LE_952BASE</v>
      </c>
      <c r="AD85" t="str">
        <f>VLOOKUP(AB85,MiscData!$AF$5:$AH$28,3,FALSE)</f>
        <v xml:space="preserve">LS </v>
      </c>
    </row>
    <row r="86" spans="1:30">
      <c r="A86" s="8">
        <f t="shared" si="32"/>
        <v>74</v>
      </c>
      <c r="B86" s="14" t="str">
        <f t="shared" si="33"/>
        <v>Apr 2014</v>
      </c>
      <c r="C86" s="24" t="str">
        <f t="shared" si="34"/>
        <v>RLS</v>
      </c>
      <c r="D86" s="24" t="str">
        <f t="shared" si="35"/>
        <v>LE_953BASE</v>
      </c>
      <c r="E86" s="73">
        <f t="shared" si="25"/>
        <v>0</v>
      </c>
      <c r="F86" s="73">
        <v>0</v>
      </c>
      <c r="G86" s="11">
        <f>SUMIF(PoleRates!$E$4:$E$131,$W86,PoleRates!$F$4:$F$131)</f>
        <v>3.73</v>
      </c>
      <c r="H86" s="13">
        <f t="shared" si="36"/>
        <v>0</v>
      </c>
      <c r="I86" s="85">
        <v>0</v>
      </c>
      <c r="J86" s="13">
        <f t="shared" si="18"/>
        <v>0</v>
      </c>
      <c r="K86" s="35">
        <f t="shared" si="26"/>
        <v>0</v>
      </c>
      <c r="L86" s="87">
        <f t="shared" si="37"/>
        <v>1</v>
      </c>
      <c r="M86" s="86">
        <f t="shared" si="27"/>
        <v>0</v>
      </c>
      <c r="N86" s="15">
        <f t="shared" si="38"/>
        <v>0</v>
      </c>
      <c r="O86" s="15">
        <f t="shared" si="39"/>
        <v>0</v>
      </c>
      <c r="V86" s="14">
        <f>IF(AB86=1,IF(V85=MiscData!$F$1,EOMONTH(V85,-11),EOMONTH(V85,1)),V85)</f>
        <v>41759</v>
      </c>
      <c r="W86" s="8" t="str">
        <f t="shared" si="40"/>
        <v>20140101LE_953BASE</v>
      </c>
      <c r="X86" s="12" t="str">
        <f t="shared" si="41"/>
        <v>20140101RLS</v>
      </c>
      <c r="AA86">
        <f>MiscData!$X$5</f>
        <v>20140101</v>
      </c>
      <c r="AB86">
        <f>IF(AB85+1&gt;MiscData!$AF$28,1,AB85+1)</f>
        <v>13</v>
      </c>
      <c r="AC86" t="str">
        <f>VLOOKUP(AB86,MiscData!$AF$5:$AG$28,2,FALSE)</f>
        <v>LE_953BASE</v>
      </c>
      <c r="AD86" t="str">
        <f>VLOOKUP(AB86,MiscData!$AF$5:$AH$28,3,FALSE)</f>
        <v>RLS</v>
      </c>
    </row>
    <row r="87" spans="1:30">
      <c r="A87" s="8">
        <f t="shared" si="32"/>
        <v>74</v>
      </c>
      <c r="B87" s="14" t="str">
        <f t="shared" si="33"/>
        <v>Apr 2014</v>
      </c>
      <c r="C87" s="24" t="str">
        <f t="shared" si="34"/>
        <v xml:space="preserve">LS </v>
      </c>
      <c r="D87" s="24" t="str">
        <f t="shared" si="35"/>
        <v>LE_953BASE</v>
      </c>
      <c r="E87" s="73">
        <f t="shared" si="25"/>
        <v>0</v>
      </c>
      <c r="F87" s="73">
        <v>0</v>
      </c>
      <c r="G87" s="11">
        <f>SUMIF(PoleRates!$E$4:$E$131,$W87,PoleRates!$F$4:$F$131)</f>
        <v>3.73</v>
      </c>
      <c r="H87" s="13">
        <f t="shared" si="36"/>
        <v>0</v>
      </c>
      <c r="I87" s="85">
        <v>0</v>
      </c>
      <c r="J87" s="13">
        <f t="shared" si="18"/>
        <v>0</v>
      </c>
      <c r="K87" s="35">
        <f t="shared" si="26"/>
        <v>0</v>
      </c>
      <c r="L87" s="87">
        <f t="shared" si="37"/>
        <v>1</v>
      </c>
      <c r="M87" s="86">
        <f t="shared" si="27"/>
        <v>0</v>
      </c>
      <c r="N87" s="15">
        <f t="shared" si="38"/>
        <v>0</v>
      </c>
      <c r="O87" s="15">
        <f t="shared" si="39"/>
        <v>0</v>
      </c>
      <c r="V87" s="14">
        <f>IF(AB87=1,IF(V86=MiscData!$F$1,EOMONTH(V86,-11),EOMONTH(V86,1)),V86)</f>
        <v>41759</v>
      </c>
      <c r="W87" s="8" t="str">
        <f t="shared" si="40"/>
        <v>20140101LE_953BASE</v>
      </c>
      <c r="X87" s="12" t="str">
        <f t="shared" si="41"/>
        <v xml:space="preserve">20140101LS </v>
      </c>
      <c r="AA87">
        <f>MiscData!$X$5</f>
        <v>20140101</v>
      </c>
      <c r="AB87">
        <f>IF(AB86+1&gt;MiscData!$AF$28,1,AB86+1)</f>
        <v>14</v>
      </c>
      <c r="AC87" t="str">
        <f>VLOOKUP(AB87,MiscData!$AF$5:$AG$28,2,FALSE)</f>
        <v>LE_953BASE</v>
      </c>
      <c r="AD87" t="str">
        <f>VLOOKUP(AB87,MiscData!$AF$5:$AH$28,3,FALSE)</f>
        <v xml:space="preserve">LS </v>
      </c>
    </row>
    <row r="88" spans="1:30">
      <c r="A88" s="8">
        <f t="shared" si="32"/>
        <v>75</v>
      </c>
      <c r="B88" s="14" t="str">
        <f t="shared" si="33"/>
        <v>Apr 2014</v>
      </c>
      <c r="C88" s="24" t="str">
        <f t="shared" si="34"/>
        <v>RLS</v>
      </c>
      <c r="D88" s="24" t="str">
        <f t="shared" si="35"/>
        <v>LE_954BASE</v>
      </c>
      <c r="E88" s="73">
        <f t="shared" si="25"/>
        <v>0</v>
      </c>
      <c r="F88" s="73">
        <v>0</v>
      </c>
      <c r="G88" s="11">
        <f>SUMIF(PoleRates!$E$4:$E$131,$W88,PoleRates!$F$4:$F$131)</f>
        <v>3.47</v>
      </c>
      <c r="H88" s="13">
        <f t="shared" si="36"/>
        <v>0</v>
      </c>
      <c r="I88" s="85">
        <v>0</v>
      </c>
      <c r="J88" s="13">
        <f t="shared" si="18"/>
        <v>0</v>
      </c>
      <c r="K88" s="35">
        <f t="shared" si="26"/>
        <v>0</v>
      </c>
      <c r="L88" s="87">
        <f t="shared" si="37"/>
        <v>1</v>
      </c>
      <c r="M88" s="86">
        <f t="shared" si="27"/>
        <v>0</v>
      </c>
      <c r="N88" s="15">
        <f t="shared" si="38"/>
        <v>0</v>
      </c>
      <c r="O88" s="15">
        <f t="shared" si="39"/>
        <v>0</v>
      </c>
      <c r="V88" s="14">
        <f>IF(AB88=1,IF(V87=MiscData!$F$1,EOMONTH(V87,-11),EOMONTH(V87,1)),V87)</f>
        <v>41759</v>
      </c>
      <c r="W88" s="8" t="str">
        <f t="shared" si="40"/>
        <v>20140101LE_954BASE</v>
      </c>
      <c r="X88" s="12" t="str">
        <f t="shared" si="41"/>
        <v>20140101RLS</v>
      </c>
      <c r="AA88">
        <f>MiscData!$X$5</f>
        <v>20140101</v>
      </c>
      <c r="AB88">
        <f>IF(AB87+1&gt;MiscData!$AF$28,1,AB87+1)</f>
        <v>15</v>
      </c>
      <c r="AC88" t="str">
        <f>VLOOKUP(AB88,MiscData!$AF$5:$AG$28,2,FALSE)</f>
        <v>LE_954BASE</v>
      </c>
      <c r="AD88" t="str">
        <f>VLOOKUP(AB88,MiscData!$AF$5:$AH$28,3,FALSE)</f>
        <v>RLS</v>
      </c>
    </row>
    <row r="89" spans="1:30">
      <c r="A89" s="8">
        <f t="shared" si="32"/>
        <v>75</v>
      </c>
      <c r="B89" s="14" t="str">
        <f t="shared" si="33"/>
        <v>Apr 2014</v>
      </c>
      <c r="C89" s="24" t="str">
        <f t="shared" si="34"/>
        <v xml:space="preserve">LS </v>
      </c>
      <c r="D89" s="24" t="str">
        <f t="shared" si="35"/>
        <v>LE_954BASE</v>
      </c>
      <c r="E89" s="73">
        <f t="shared" si="25"/>
        <v>0</v>
      </c>
      <c r="F89" s="73">
        <v>0</v>
      </c>
      <c r="G89" s="11">
        <f>SUMIF(PoleRates!$E$4:$E$131,$W89,PoleRates!$F$4:$F$131)</f>
        <v>3.47</v>
      </c>
      <c r="H89" s="13">
        <f t="shared" si="36"/>
        <v>0</v>
      </c>
      <c r="I89" s="85">
        <v>0</v>
      </c>
      <c r="J89" s="13">
        <f t="shared" si="18"/>
        <v>0</v>
      </c>
      <c r="K89" s="35">
        <f t="shared" si="26"/>
        <v>0</v>
      </c>
      <c r="L89" s="87">
        <f t="shared" si="37"/>
        <v>1</v>
      </c>
      <c r="M89" s="86">
        <f t="shared" si="27"/>
        <v>0</v>
      </c>
      <c r="N89" s="15">
        <f t="shared" si="38"/>
        <v>0</v>
      </c>
      <c r="O89" s="15">
        <f t="shared" si="39"/>
        <v>0</v>
      </c>
      <c r="V89" s="14">
        <f>IF(AB89=1,IF(V88=MiscData!$F$1,EOMONTH(V88,-11),EOMONTH(V88,1)),V88)</f>
        <v>41759</v>
      </c>
      <c r="W89" s="8" t="str">
        <f t="shared" si="40"/>
        <v>20140101LE_954BASE</v>
      </c>
      <c r="X89" s="12" t="str">
        <f t="shared" si="41"/>
        <v xml:space="preserve">20140101LS </v>
      </c>
      <c r="AA89">
        <f>MiscData!$X$5</f>
        <v>20140101</v>
      </c>
      <c r="AB89">
        <f>IF(AB88+1&gt;MiscData!$AF$28,1,AB88+1)</f>
        <v>16</v>
      </c>
      <c r="AC89" t="str">
        <f>VLOOKUP(AB89,MiscData!$AF$5:$AG$28,2,FALSE)</f>
        <v>LE_954BASE</v>
      </c>
      <c r="AD89" t="str">
        <f>VLOOKUP(AB89,MiscData!$AF$5:$AH$28,3,FALSE)</f>
        <v xml:space="preserve">LS </v>
      </c>
    </row>
    <row r="90" spans="1:30">
      <c r="A90" s="8">
        <f t="shared" si="32"/>
        <v>76</v>
      </c>
      <c r="B90" s="14" t="str">
        <f t="shared" si="33"/>
        <v>Apr 2014</v>
      </c>
      <c r="C90" s="24" t="str">
        <f t="shared" si="34"/>
        <v>RLS</v>
      </c>
      <c r="D90" s="24" t="str">
        <f t="shared" si="35"/>
        <v>LE_955BASE</v>
      </c>
      <c r="E90" s="73">
        <f t="shared" si="25"/>
        <v>0</v>
      </c>
      <c r="F90" s="73">
        <v>0</v>
      </c>
      <c r="G90" s="11">
        <f>SUMIF(PoleRates!$E$4:$E$131,$W90,PoleRates!$F$4:$F$131)</f>
        <v>3.56</v>
      </c>
      <c r="H90" s="13">
        <f t="shared" si="36"/>
        <v>0</v>
      </c>
      <c r="I90" s="85">
        <v>0</v>
      </c>
      <c r="J90" s="13">
        <f t="shared" si="18"/>
        <v>0</v>
      </c>
      <c r="K90" s="35">
        <f t="shared" si="26"/>
        <v>0</v>
      </c>
      <c r="L90" s="87">
        <f t="shared" si="37"/>
        <v>1</v>
      </c>
      <c r="M90" s="86">
        <f t="shared" si="27"/>
        <v>0</v>
      </c>
      <c r="N90" s="15">
        <f t="shared" si="38"/>
        <v>0</v>
      </c>
      <c r="O90" s="15">
        <f t="shared" si="39"/>
        <v>0</v>
      </c>
      <c r="V90" s="14">
        <f>IF(AB90=1,IF(V89=MiscData!$F$1,EOMONTH(V89,-11),EOMONTH(V89,1)),V89)</f>
        <v>41759</v>
      </c>
      <c r="W90" s="8" t="str">
        <f t="shared" si="40"/>
        <v>20140101LE_955BASE</v>
      </c>
      <c r="X90" s="12" t="str">
        <f t="shared" si="41"/>
        <v>20140101RLS</v>
      </c>
      <c r="AA90">
        <f>MiscData!$X$5</f>
        <v>20140101</v>
      </c>
      <c r="AB90">
        <f>IF(AB89+1&gt;MiscData!$AF$28,1,AB89+1)</f>
        <v>17</v>
      </c>
      <c r="AC90" t="str">
        <f>VLOOKUP(AB90,MiscData!$AF$5:$AG$28,2,FALSE)</f>
        <v>LE_955BASE</v>
      </c>
      <c r="AD90" t="str">
        <f>VLOOKUP(AB90,MiscData!$AF$5:$AH$28,3,FALSE)</f>
        <v>RLS</v>
      </c>
    </row>
    <row r="91" spans="1:30">
      <c r="A91" s="8">
        <f t="shared" si="32"/>
        <v>76</v>
      </c>
      <c r="B91" s="14" t="str">
        <f t="shared" si="33"/>
        <v>Apr 2014</v>
      </c>
      <c r="C91" s="24" t="str">
        <f t="shared" si="34"/>
        <v xml:space="preserve">LS </v>
      </c>
      <c r="D91" s="24" t="str">
        <f t="shared" si="35"/>
        <v>LE_955BASE</v>
      </c>
      <c r="E91" s="73">
        <f t="shared" si="25"/>
        <v>0</v>
      </c>
      <c r="F91" s="73">
        <v>0</v>
      </c>
      <c r="G91" s="11">
        <f>SUMIF(PoleRates!$E$4:$E$131,$W91,PoleRates!$F$4:$F$131)</f>
        <v>3.56</v>
      </c>
      <c r="H91" s="13">
        <f t="shared" si="36"/>
        <v>0</v>
      </c>
      <c r="I91" s="85">
        <v>0</v>
      </c>
      <c r="J91" s="13">
        <f t="shared" si="18"/>
        <v>0</v>
      </c>
      <c r="K91" s="35">
        <f t="shared" si="26"/>
        <v>0</v>
      </c>
      <c r="L91" s="87">
        <f t="shared" si="37"/>
        <v>1</v>
      </c>
      <c r="M91" s="86">
        <f t="shared" si="27"/>
        <v>0</v>
      </c>
      <c r="N91" s="15">
        <f t="shared" si="38"/>
        <v>0</v>
      </c>
      <c r="O91" s="15">
        <f t="shared" si="39"/>
        <v>0</v>
      </c>
      <c r="V91" s="14">
        <f>IF(AB91=1,IF(V90=MiscData!$F$1,EOMONTH(V90,-11),EOMONTH(V90,1)),V90)</f>
        <v>41759</v>
      </c>
      <c r="W91" s="8" t="str">
        <f t="shared" si="40"/>
        <v>20140101LE_955BASE</v>
      </c>
      <c r="X91" s="12" t="str">
        <f t="shared" si="41"/>
        <v xml:space="preserve">20140101LS </v>
      </c>
      <c r="AA91">
        <f>MiscData!$X$5</f>
        <v>20140101</v>
      </c>
      <c r="AB91">
        <f>IF(AB90+1&gt;MiscData!$AF$28,1,AB90+1)</f>
        <v>18</v>
      </c>
      <c r="AC91" t="str">
        <f>VLOOKUP(AB91,MiscData!$AF$5:$AG$28,2,FALSE)</f>
        <v>LE_955BASE</v>
      </c>
      <c r="AD91" t="str">
        <f>VLOOKUP(AB91,MiscData!$AF$5:$AH$28,3,FALSE)</f>
        <v xml:space="preserve">LS </v>
      </c>
    </row>
    <row r="92" spans="1:30">
      <c r="A92" s="8">
        <f t="shared" si="32"/>
        <v>77</v>
      </c>
      <c r="B92" s="14" t="str">
        <f t="shared" si="33"/>
        <v>Apr 2014</v>
      </c>
      <c r="C92" s="24" t="str">
        <f t="shared" si="34"/>
        <v>RLS</v>
      </c>
      <c r="D92" s="24" t="str">
        <f t="shared" si="35"/>
        <v>LE_956BASE</v>
      </c>
      <c r="E92" s="73">
        <f t="shared" si="25"/>
        <v>239</v>
      </c>
      <c r="F92" s="73">
        <v>0</v>
      </c>
      <c r="G92" s="11">
        <f>SUMIF(PoleRates!$E$4:$E$131,$W92,PoleRates!$F$4:$F$131)</f>
        <v>3.56</v>
      </c>
      <c r="H92" s="13">
        <f t="shared" si="36"/>
        <v>850.84</v>
      </c>
      <c r="I92" s="85">
        <v>10.68</v>
      </c>
      <c r="J92" s="13">
        <f t="shared" si="18"/>
        <v>861.52</v>
      </c>
      <c r="K92" s="35">
        <f t="shared" si="26"/>
        <v>861.52</v>
      </c>
      <c r="L92" s="87">
        <f t="shared" si="37"/>
        <v>1</v>
      </c>
      <c r="M92" s="86">
        <f t="shared" si="27"/>
        <v>861.52</v>
      </c>
      <c r="N92" s="15">
        <f t="shared" si="38"/>
        <v>861.52</v>
      </c>
      <c r="O92" s="15">
        <f t="shared" si="39"/>
        <v>0</v>
      </c>
      <c r="V92" s="14">
        <f>IF(AB92=1,IF(V91=MiscData!$F$1,EOMONTH(V91,-11),EOMONTH(V91,1)),V91)</f>
        <v>41759</v>
      </c>
      <c r="W92" s="8" t="str">
        <f t="shared" si="40"/>
        <v>20140101LE_956BASE</v>
      </c>
      <c r="X92" s="12" t="str">
        <f t="shared" si="41"/>
        <v>20140101RLS</v>
      </c>
      <c r="AA92">
        <f>MiscData!$X$5</f>
        <v>20140101</v>
      </c>
      <c r="AB92">
        <f>IF(AB91+1&gt;MiscData!$AF$28,1,AB91+1)</f>
        <v>19</v>
      </c>
      <c r="AC92" t="str">
        <f>VLOOKUP(AB92,MiscData!$AF$5:$AG$28,2,FALSE)</f>
        <v>LE_956BASE</v>
      </c>
      <c r="AD92" t="str">
        <f>VLOOKUP(AB92,MiscData!$AF$5:$AH$28,3,FALSE)</f>
        <v>RLS</v>
      </c>
    </row>
    <row r="93" spans="1:30">
      <c r="A93" s="8">
        <f t="shared" si="32"/>
        <v>77</v>
      </c>
      <c r="B93" s="14" t="str">
        <f t="shared" si="33"/>
        <v>Apr 2014</v>
      </c>
      <c r="C93" s="24" t="str">
        <f t="shared" si="34"/>
        <v xml:space="preserve">LS </v>
      </c>
      <c r="D93" s="24" t="str">
        <f t="shared" si="35"/>
        <v>LE_956BASE</v>
      </c>
      <c r="E93" s="73">
        <f t="shared" si="25"/>
        <v>317</v>
      </c>
      <c r="F93" s="73">
        <v>-1</v>
      </c>
      <c r="G93" s="11">
        <f>SUMIF(PoleRates!$E$4:$E$131,$W93,PoleRates!$F$4:$F$131)</f>
        <v>3.56</v>
      </c>
      <c r="H93" s="13">
        <f t="shared" si="36"/>
        <v>1124.96</v>
      </c>
      <c r="I93" s="85">
        <v>19.940000000000001</v>
      </c>
      <c r="J93" s="13">
        <f t="shared" si="18"/>
        <v>1144.9000000000001</v>
      </c>
      <c r="K93" s="35">
        <f t="shared" si="26"/>
        <v>1144.8999999999999</v>
      </c>
      <c r="L93" s="87">
        <f t="shared" si="37"/>
        <v>0.99999999999999978</v>
      </c>
      <c r="M93" s="86">
        <f t="shared" si="27"/>
        <v>1144.8999999999999</v>
      </c>
      <c r="N93" s="15">
        <f t="shared" si="38"/>
        <v>1144.9000000000001</v>
      </c>
      <c r="O93" s="15">
        <f t="shared" si="39"/>
        <v>0</v>
      </c>
      <c r="V93" s="14">
        <f>IF(AB93=1,IF(V92=MiscData!$F$1,EOMONTH(V92,-11),EOMONTH(V92,1)),V92)</f>
        <v>41759</v>
      </c>
      <c r="W93" s="8" t="str">
        <f t="shared" si="40"/>
        <v>20140101LE_956BASE</v>
      </c>
      <c r="X93" s="12" t="str">
        <f t="shared" si="41"/>
        <v xml:space="preserve">20140101LS </v>
      </c>
      <c r="AA93">
        <f>MiscData!$X$5</f>
        <v>20140101</v>
      </c>
      <c r="AB93">
        <f>IF(AB92+1&gt;MiscData!$AF$28,1,AB92+1)</f>
        <v>20</v>
      </c>
      <c r="AC93" t="str">
        <f>VLOOKUP(AB93,MiscData!$AF$5:$AG$28,2,FALSE)</f>
        <v>LE_956BASE</v>
      </c>
      <c r="AD93" t="str">
        <f>VLOOKUP(AB93,MiscData!$AF$5:$AH$28,3,FALSE)</f>
        <v xml:space="preserve">LS </v>
      </c>
    </row>
    <row r="94" spans="1:30">
      <c r="A94" s="8">
        <f t="shared" si="32"/>
        <v>78</v>
      </c>
      <c r="B94" s="14" t="str">
        <f t="shared" si="33"/>
        <v>Apr 2014</v>
      </c>
      <c r="C94" s="24" t="str">
        <f t="shared" si="34"/>
        <v>RLS</v>
      </c>
      <c r="D94" s="24" t="str">
        <f t="shared" si="35"/>
        <v>LE_957BASE</v>
      </c>
      <c r="E94" s="73">
        <f t="shared" si="25"/>
        <v>0</v>
      </c>
      <c r="F94" s="73">
        <v>0</v>
      </c>
      <c r="G94" s="11">
        <f>SUMIF(PoleRates!$E$4:$E$131,$W94,PoleRates!$F$4:$F$131)</f>
        <v>3.56</v>
      </c>
      <c r="H94" s="13">
        <f t="shared" si="36"/>
        <v>0</v>
      </c>
      <c r="I94" s="85">
        <v>0</v>
      </c>
      <c r="J94" s="13">
        <f t="shared" si="18"/>
        <v>0</v>
      </c>
      <c r="K94" s="35">
        <f t="shared" si="26"/>
        <v>0</v>
      </c>
      <c r="L94" s="87">
        <f t="shared" si="37"/>
        <v>1</v>
      </c>
      <c r="M94" s="86">
        <f t="shared" si="27"/>
        <v>0</v>
      </c>
      <c r="N94" s="15">
        <f t="shared" si="38"/>
        <v>0</v>
      </c>
      <c r="O94" s="15">
        <f t="shared" si="39"/>
        <v>0</v>
      </c>
      <c r="V94" s="14">
        <f>IF(AB94=1,IF(V93=MiscData!$F$1,EOMONTH(V93,-11),EOMONTH(V93,1)),V93)</f>
        <v>41759</v>
      </c>
      <c r="W94" s="8" t="str">
        <f t="shared" si="40"/>
        <v>20140101LE_957BASE</v>
      </c>
      <c r="X94" s="12" t="str">
        <f t="shared" si="41"/>
        <v>20140101RLS</v>
      </c>
      <c r="AA94">
        <f>MiscData!$X$5</f>
        <v>20140101</v>
      </c>
      <c r="AB94">
        <f>IF(AB93+1&gt;MiscData!$AF$28,1,AB93+1)</f>
        <v>21</v>
      </c>
      <c r="AC94" t="str">
        <f>VLOOKUP(AB94,MiscData!$AF$5:$AG$28,2,FALSE)</f>
        <v>LE_957BASE</v>
      </c>
      <c r="AD94" t="str">
        <f>VLOOKUP(AB94,MiscData!$AF$5:$AH$28,3,FALSE)</f>
        <v>RLS</v>
      </c>
    </row>
    <row r="95" spans="1:30">
      <c r="A95" s="8">
        <f t="shared" si="32"/>
        <v>78</v>
      </c>
      <c r="B95" s="14" t="str">
        <f t="shared" si="33"/>
        <v>Apr 2014</v>
      </c>
      <c r="C95" s="24" t="str">
        <f t="shared" si="34"/>
        <v xml:space="preserve">LS </v>
      </c>
      <c r="D95" s="24" t="str">
        <f t="shared" si="35"/>
        <v>LE_957BASE</v>
      </c>
      <c r="E95" s="73">
        <f t="shared" si="25"/>
        <v>0</v>
      </c>
      <c r="F95" s="73">
        <v>0</v>
      </c>
      <c r="G95" s="11">
        <f>SUMIF(PoleRates!$E$4:$E$131,$W95,PoleRates!$F$4:$F$131)</f>
        <v>3.56</v>
      </c>
      <c r="H95" s="13">
        <f t="shared" si="36"/>
        <v>0</v>
      </c>
      <c r="I95" s="85">
        <v>0</v>
      </c>
      <c r="J95" s="13">
        <f t="shared" si="18"/>
        <v>0</v>
      </c>
      <c r="K95" s="35">
        <f t="shared" si="26"/>
        <v>0</v>
      </c>
      <c r="L95" s="87">
        <f t="shared" si="37"/>
        <v>1</v>
      </c>
      <c r="M95" s="86">
        <f t="shared" si="27"/>
        <v>0</v>
      </c>
      <c r="N95" s="15">
        <f t="shared" si="38"/>
        <v>0</v>
      </c>
      <c r="O95" s="15">
        <f t="shared" si="39"/>
        <v>0</v>
      </c>
      <c r="V95" s="14">
        <f>IF(AB95=1,IF(V94=MiscData!$F$1,EOMONTH(V94,-11),EOMONTH(V94,1)),V94)</f>
        <v>41759</v>
      </c>
      <c r="W95" s="8" t="str">
        <f t="shared" si="40"/>
        <v>20140101LE_957BASE</v>
      </c>
      <c r="X95" s="12" t="str">
        <f t="shared" si="41"/>
        <v xml:space="preserve">20140101LS </v>
      </c>
      <c r="AA95">
        <f>MiscData!$X$5</f>
        <v>20140101</v>
      </c>
      <c r="AB95">
        <f>IF(AB94+1&gt;MiscData!$AF$28,1,AB94+1)</f>
        <v>22</v>
      </c>
      <c r="AC95" t="str">
        <f>VLOOKUP(AB95,MiscData!$AF$5:$AG$28,2,FALSE)</f>
        <v>LE_957BASE</v>
      </c>
      <c r="AD95" t="str">
        <f>VLOOKUP(AB95,MiscData!$AF$5:$AH$28,3,FALSE)</f>
        <v xml:space="preserve">LS </v>
      </c>
    </row>
    <row r="96" spans="1:30">
      <c r="A96" s="8">
        <f t="shared" si="32"/>
        <v>79</v>
      </c>
      <c r="B96" s="14" t="str">
        <f t="shared" si="33"/>
        <v>Apr 2014</v>
      </c>
      <c r="C96" s="24" t="str">
        <f t="shared" si="34"/>
        <v>RLS</v>
      </c>
      <c r="D96" s="24" t="str">
        <f t="shared" si="35"/>
        <v>LE_958POLE</v>
      </c>
      <c r="E96" s="73">
        <f t="shared" si="25"/>
        <v>35</v>
      </c>
      <c r="F96" s="73">
        <v>0</v>
      </c>
      <c r="G96" s="11">
        <f>SUMIF(PoleRates!$E$4:$E$131,$W96,PoleRates!$F$4:$F$131)</f>
        <v>11.31</v>
      </c>
      <c r="H96" s="13">
        <f t="shared" si="36"/>
        <v>395.85</v>
      </c>
      <c r="I96" s="85">
        <v>0</v>
      </c>
      <c r="J96" s="13">
        <f t="shared" si="18"/>
        <v>395.85</v>
      </c>
      <c r="K96" s="35">
        <f t="shared" si="26"/>
        <v>395.85</v>
      </c>
      <c r="L96" s="87">
        <f t="shared" si="37"/>
        <v>1</v>
      </c>
      <c r="M96" s="86">
        <f t="shared" si="27"/>
        <v>395.85</v>
      </c>
      <c r="N96" s="15">
        <f t="shared" si="38"/>
        <v>395.85</v>
      </c>
      <c r="O96" s="15">
        <f t="shared" si="39"/>
        <v>0</v>
      </c>
      <c r="V96" s="14">
        <f>IF(AB96=1,IF(V95=MiscData!$F$1,EOMONTH(V95,-11),EOMONTH(V95,1)),V95)</f>
        <v>41759</v>
      </c>
      <c r="W96" s="8" t="str">
        <f t="shared" si="40"/>
        <v>20140101LE_958POLE</v>
      </c>
      <c r="X96" s="12" t="str">
        <f t="shared" si="41"/>
        <v>20140101RLS</v>
      </c>
      <c r="AA96">
        <f>MiscData!$X$5</f>
        <v>20140101</v>
      </c>
      <c r="AB96">
        <f>IF(AB95+1&gt;MiscData!$AF$28,1,AB95+1)</f>
        <v>23</v>
      </c>
      <c r="AC96" t="str">
        <f>VLOOKUP(AB96,MiscData!$AF$5:$AG$28,2,FALSE)</f>
        <v>LE_958POLE</v>
      </c>
      <c r="AD96" t="str">
        <f>VLOOKUP(AB96,MiscData!$AF$5:$AH$28,3,FALSE)</f>
        <v>RLS</v>
      </c>
    </row>
    <row r="97" spans="1:30">
      <c r="A97" s="8">
        <f t="shared" si="32"/>
        <v>79</v>
      </c>
      <c r="B97" s="14" t="str">
        <f t="shared" si="33"/>
        <v>Apr 2014</v>
      </c>
      <c r="C97" s="24" t="str">
        <f t="shared" si="34"/>
        <v xml:space="preserve">LS </v>
      </c>
      <c r="D97" s="24" t="str">
        <f t="shared" si="35"/>
        <v>LE_958POLE</v>
      </c>
      <c r="E97" s="73">
        <f t="shared" si="25"/>
        <v>418</v>
      </c>
      <c r="F97" s="73">
        <v>0</v>
      </c>
      <c r="G97" s="11">
        <f>SUMIF(PoleRates!$E$4:$E$131,$W97,PoleRates!$F$4:$F$131)</f>
        <v>11.31</v>
      </c>
      <c r="H97" s="13">
        <f t="shared" si="36"/>
        <v>4727.58</v>
      </c>
      <c r="I97" s="85">
        <v>3.77</v>
      </c>
      <c r="J97" s="13">
        <f t="shared" si="18"/>
        <v>4731.3500000000004</v>
      </c>
      <c r="K97" s="35">
        <f t="shared" si="26"/>
        <v>4731.3500000000004</v>
      </c>
      <c r="L97" s="87">
        <f t="shared" si="37"/>
        <v>1</v>
      </c>
      <c r="M97" s="86">
        <f t="shared" si="27"/>
        <v>4731.3500000000004</v>
      </c>
      <c r="N97" s="15">
        <f t="shared" si="38"/>
        <v>4731.3500000000004</v>
      </c>
      <c r="O97" s="15">
        <f t="shared" si="39"/>
        <v>0</v>
      </c>
      <c r="V97" s="14">
        <f>IF(AB97=1,IF(V96=MiscData!$F$1,EOMONTH(V96,-11),EOMONTH(V96,1)),V96)</f>
        <v>41759</v>
      </c>
      <c r="W97" s="8" t="str">
        <f t="shared" si="40"/>
        <v>20140101LE_958POLE</v>
      </c>
      <c r="X97" s="12" t="str">
        <f t="shared" si="41"/>
        <v xml:space="preserve">20140101LS </v>
      </c>
      <c r="AA97">
        <f>MiscData!$X$5</f>
        <v>20140101</v>
      </c>
      <c r="AB97">
        <f>IF(AB96+1&gt;MiscData!$AF$28,1,AB96+1)</f>
        <v>24</v>
      </c>
      <c r="AC97" t="str">
        <f>VLOOKUP(AB97,MiscData!$AF$5:$AG$28,2,FALSE)</f>
        <v>LE_958POLE</v>
      </c>
      <c r="AD97" t="str">
        <f>VLOOKUP(AB97,MiscData!$AF$5:$AH$28,3,FALSE)</f>
        <v xml:space="preserve">LS </v>
      </c>
    </row>
    <row r="98" spans="1:30">
      <c r="A98" s="8">
        <f t="shared" si="32"/>
        <v>80</v>
      </c>
      <c r="B98" s="14" t="str">
        <f t="shared" si="33"/>
        <v>May 2014</v>
      </c>
      <c r="C98" s="24" t="str">
        <f t="shared" si="34"/>
        <v>RLS</v>
      </c>
      <c r="D98" s="24" t="str">
        <f t="shared" si="35"/>
        <v>LE_900POLE</v>
      </c>
      <c r="E98" s="73">
        <f t="shared" ref="E98:E129" si="42">SUMIFS(L_1051_Count_Total,L_1051_Revenue_Month,$B98,L_1051_RateCategory,$D98,L_1051_Light_Category,C98)</f>
        <v>1655</v>
      </c>
      <c r="F98" s="73">
        <v>0</v>
      </c>
      <c r="G98" s="11">
        <f>SUMIF(PoleRates!$E$4:$E$131,$W98,PoleRates!$F$4:$F$131)</f>
        <v>2.06</v>
      </c>
      <c r="H98" s="13">
        <f t="shared" si="36"/>
        <v>3409.3</v>
      </c>
      <c r="I98" s="85">
        <v>0.89</v>
      </c>
      <c r="J98" s="13">
        <f t="shared" si="18"/>
        <v>3410.19</v>
      </c>
      <c r="K98" s="35">
        <f t="shared" si="26"/>
        <v>3410.19</v>
      </c>
      <c r="L98" s="87">
        <f t="shared" si="37"/>
        <v>1</v>
      </c>
      <c r="M98" s="86">
        <f t="shared" si="27"/>
        <v>3410.19</v>
      </c>
      <c r="N98" s="15">
        <f t="shared" si="38"/>
        <v>3410.19</v>
      </c>
      <c r="O98" s="15">
        <f t="shared" si="39"/>
        <v>0</v>
      </c>
      <c r="V98" s="14">
        <f>IF(AB98=1,IF(V97=MiscData!$F$1,EOMONTH(V97,-11),EOMONTH(V97,1)),V97)</f>
        <v>41790</v>
      </c>
      <c r="W98" s="8" t="str">
        <f t="shared" si="40"/>
        <v>20140101LE_900POLE</v>
      </c>
      <c r="X98" s="12" t="str">
        <f t="shared" si="41"/>
        <v>20140101RLS</v>
      </c>
      <c r="AA98">
        <f>MiscData!$X$5</f>
        <v>20140101</v>
      </c>
      <c r="AB98">
        <f>IF(AB97+1&gt;MiscData!$AF$28,1,AB97+1)</f>
        <v>1</v>
      </c>
      <c r="AC98" t="str">
        <f>VLOOKUP(AB98,MiscData!$AF$5:$AG$28,2,FALSE)</f>
        <v>LE_900POLE</v>
      </c>
      <c r="AD98" t="str">
        <f>VLOOKUP(AB98,MiscData!$AF$5:$AH$28,3,FALSE)</f>
        <v>RLS</v>
      </c>
    </row>
    <row r="99" spans="1:30">
      <c r="A99" s="8">
        <f t="shared" si="32"/>
        <v>80</v>
      </c>
      <c r="B99" s="14" t="str">
        <f t="shared" si="33"/>
        <v>May 2014</v>
      </c>
      <c r="C99" s="24" t="str">
        <f t="shared" si="34"/>
        <v xml:space="preserve">LS </v>
      </c>
      <c r="D99" s="24" t="str">
        <f t="shared" si="35"/>
        <v>LE_900POLE</v>
      </c>
      <c r="E99" s="73">
        <f t="shared" si="42"/>
        <v>5230</v>
      </c>
      <c r="F99" s="73">
        <v>0</v>
      </c>
      <c r="G99" s="11">
        <f>SUMIF(PoleRates!$E$4:$E$131,$W99,PoleRates!$F$4:$F$131)</f>
        <v>2.06</v>
      </c>
      <c r="H99" s="13">
        <f t="shared" si="36"/>
        <v>10773.8</v>
      </c>
      <c r="I99" s="85">
        <v>-0.68</v>
      </c>
      <c r="J99" s="13">
        <f t="shared" si="18"/>
        <v>10773.119999999999</v>
      </c>
      <c r="K99" s="35">
        <f t="shared" si="26"/>
        <v>10773.12</v>
      </c>
      <c r="L99" s="87">
        <f t="shared" si="37"/>
        <v>1.0000000000000002</v>
      </c>
      <c r="M99" s="86">
        <f t="shared" si="27"/>
        <v>10773.12</v>
      </c>
      <c r="N99" s="15">
        <f t="shared" si="38"/>
        <v>10773.119999999999</v>
      </c>
      <c r="O99" s="15">
        <f t="shared" si="39"/>
        <v>0</v>
      </c>
      <c r="V99" s="14">
        <f>IF(AB99=1,IF(V98=MiscData!$F$1,EOMONTH(V98,-11),EOMONTH(V98,1)),V98)</f>
        <v>41790</v>
      </c>
      <c r="W99" s="8" t="str">
        <f t="shared" si="40"/>
        <v>20140101LE_900POLE</v>
      </c>
      <c r="X99" s="12" t="str">
        <f t="shared" si="41"/>
        <v xml:space="preserve">20140101LS </v>
      </c>
      <c r="AA99">
        <f>MiscData!$X$5</f>
        <v>20140101</v>
      </c>
      <c r="AB99">
        <f>IF(AB98+1&gt;MiscData!$AF$28,1,AB98+1)</f>
        <v>2</v>
      </c>
      <c r="AC99" t="str">
        <f>VLOOKUP(AB99,MiscData!$AF$5:$AG$28,2,FALSE)</f>
        <v>LE_900POLE</v>
      </c>
      <c r="AD99" t="str">
        <f>VLOOKUP(AB99,MiscData!$AF$5:$AH$28,3,FALSE)</f>
        <v xml:space="preserve">LS </v>
      </c>
    </row>
    <row r="100" spans="1:30">
      <c r="A100" s="8">
        <f t="shared" si="32"/>
        <v>81</v>
      </c>
      <c r="B100" s="14" t="str">
        <f t="shared" si="33"/>
        <v>May 2014</v>
      </c>
      <c r="C100" s="24" t="str">
        <f t="shared" si="34"/>
        <v>RLS</v>
      </c>
      <c r="D100" s="24" t="str">
        <f t="shared" si="35"/>
        <v>LE_901POLE</v>
      </c>
      <c r="E100" s="73">
        <f t="shared" si="42"/>
        <v>157</v>
      </c>
      <c r="F100" s="73">
        <v>0</v>
      </c>
      <c r="G100" s="11">
        <f>SUMIF(PoleRates!$E$4:$E$131,$W100,PoleRates!$F$4:$F$131)</f>
        <v>10.81</v>
      </c>
      <c r="H100" s="13">
        <f t="shared" si="36"/>
        <v>1697.17</v>
      </c>
      <c r="I100" s="85">
        <v>0</v>
      </c>
      <c r="J100" s="13">
        <f t="shared" si="18"/>
        <v>1697.17</v>
      </c>
      <c r="K100" s="35">
        <f t="shared" si="26"/>
        <v>1697.1699999999998</v>
      </c>
      <c r="L100" s="87">
        <f t="shared" si="37"/>
        <v>0.99999999999999989</v>
      </c>
      <c r="M100" s="86">
        <f t="shared" si="27"/>
        <v>1697.1699999999998</v>
      </c>
      <c r="N100" s="15">
        <f t="shared" si="38"/>
        <v>1697.17</v>
      </c>
      <c r="O100" s="15">
        <f t="shared" si="39"/>
        <v>0</v>
      </c>
      <c r="V100" s="14">
        <f>IF(AB100=1,IF(V99=MiscData!$F$1,EOMONTH(V99,-11),EOMONTH(V99,1)),V99)</f>
        <v>41790</v>
      </c>
      <c r="W100" s="8" t="str">
        <f t="shared" si="40"/>
        <v>20140101LE_901POLE</v>
      </c>
      <c r="X100" s="12" t="str">
        <f t="shared" si="41"/>
        <v>20140101RLS</v>
      </c>
      <c r="AA100">
        <f>MiscData!$X$5</f>
        <v>20140101</v>
      </c>
      <c r="AB100">
        <f>IF(AB99+1&gt;MiscData!$AF$28,1,AB99+1)</f>
        <v>3</v>
      </c>
      <c r="AC100" t="str">
        <f>VLOOKUP(AB100,MiscData!$AF$5:$AG$28,2,FALSE)</f>
        <v>LE_901POLE</v>
      </c>
      <c r="AD100" t="str">
        <f>VLOOKUP(AB100,MiscData!$AF$5:$AH$28,3,FALSE)</f>
        <v>RLS</v>
      </c>
    </row>
    <row r="101" spans="1:30">
      <c r="A101" s="8">
        <f t="shared" si="32"/>
        <v>81</v>
      </c>
      <c r="B101" s="14" t="str">
        <f t="shared" si="33"/>
        <v>May 2014</v>
      </c>
      <c r="C101" s="24" t="str">
        <f t="shared" si="34"/>
        <v xml:space="preserve">LS </v>
      </c>
      <c r="D101" s="24" t="str">
        <f t="shared" si="35"/>
        <v>LE_901POLE</v>
      </c>
      <c r="E101" s="73">
        <f t="shared" si="42"/>
        <v>0</v>
      </c>
      <c r="F101" s="73">
        <v>0</v>
      </c>
      <c r="G101" s="11">
        <f>SUMIF(PoleRates!$E$4:$E$131,$W101,PoleRates!$F$4:$F$131)</f>
        <v>10.81</v>
      </c>
      <c r="H101" s="13">
        <f t="shared" si="36"/>
        <v>0</v>
      </c>
      <c r="I101" s="85">
        <v>0</v>
      </c>
      <c r="J101" s="13">
        <f t="shared" si="18"/>
        <v>0</v>
      </c>
      <c r="K101" s="35">
        <f t="shared" si="26"/>
        <v>0</v>
      </c>
      <c r="L101" s="87">
        <f t="shared" si="37"/>
        <v>1</v>
      </c>
      <c r="M101" s="86">
        <f t="shared" si="27"/>
        <v>0</v>
      </c>
      <c r="N101" s="15">
        <f t="shared" si="38"/>
        <v>0</v>
      </c>
      <c r="O101" s="15">
        <f t="shared" si="39"/>
        <v>0</v>
      </c>
      <c r="V101" s="14">
        <f>IF(AB101=1,IF(V100=MiscData!$F$1,EOMONTH(V100,-11),EOMONTH(V100,1)),V100)</f>
        <v>41790</v>
      </c>
      <c r="W101" s="8" t="str">
        <f t="shared" si="40"/>
        <v>20140101LE_901POLE</v>
      </c>
      <c r="X101" s="12" t="str">
        <f t="shared" si="41"/>
        <v xml:space="preserve">20140101LS </v>
      </c>
      <c r="AA101">
        <f>MiscData!$X$5</f>
        <v>20140101</v>
      </c>
      <c r="AB101">
        <f>IF(AB100+1&gt;MiscData!$AF$28,1,AB100+1)</f>
        <v>4</v>
      </c>
      <c r="AC101" t="str">
        <f>VLOOKUP(AB101,MiscData!$AF$5:$AG$28,2,FALSE)</f>
        <v>LE_901POLE</v>
      </c>
      <c r="AD101" t="str">
        <f>VLOOKUP(AB101,MiscData!$AF$5:$AH$28,3,FALSE)</f>
        <v xml:space="preserve">LS </v>
      </c>
    </row>
    <row r="102" spans="1:30">
      <c r="A102" s="8">
        <f t="shared" si="32"/>
        <v>82</v>
      </c>
      <c r="B102" s="14" t="str">
        <f t="shared" si="33"/>
        <v>May 2014</v>
      </c>
      <c r="C102" s="24" t="str">
        <f t="shared" si="34"/>
        <v>RLS</v>
      </c>
      <c r="D102" s="24" t="str">
        <f t="shared" si="35"/>
        <v>LE_902POLE</v>
      </c>
      <c r="E102" s="73">
        <f t="shared" si="42"/>
        <v>277</v>
      </c>
      <c r="F102" s="73">
        <v>0</v>
      </c>
      <c r="G102" s="11">
        <f>SUMIF(PoleRates!$E$4:$E$131,$W102,PoleRates!$F$4:$F$131)</f>
        <v>12.9</v>
      </c>
      <c r="H102" s="13">
        <f t="shared" si="36"/>
        <v>3573.3</v>
      </c>
      <c r="I102" s="85">
        <v>0</v>
      </c>
      <c r="J102" s="13">
        <f t="shared" si="18"/>
        <v>3573.3</v>
      </c>
      <c r="K102" s="35">
        <f t="shared" si="26"/>
        <v>3573.3</v>
      </c>
      <c r="L102" s="87">
        <f t="shared" si="37"/>
        <v>1</v>
      </c>
      <c r="M102" s="86">
        <f t="shared" si="27"/>
        <v>3573.3</v>
      </c>
      <c r="N102" s="15">
        <f t="shared" si="38"/>
        <v>3573.3</v>
      </c>
      <c r="O102" s="15">
        <f t="shared" si="39"/>
        <v>0</v>
      </c>
      <c r="V102" s="14">
        <f>IF(AB102=1,IF(V101=MiscData!$F$1,EOMONTH(V101,-11),EOMONTH(V101,1)),V101)</f>
        <v>41790</v>
      </c>
      <c r="W102" s="8" t="str">
        <f t="shared" si="40"/>
        <v>20140101LE_902POLE</v>
      </c>
      <c r="X102" s="12" t="str">
        <f t="shared" si="41"/>
        <v>20140101RLS</v>
      </c>
      <c r="AA102">
        <f>MiscData!$X$5</f>
        <v>20140101</v>
      </c>
      <c r="AB102">
        <f>IF(AB101+1&gt;MiscData!$AF$28,1,AB101+1)</f>
        <v>5</v>
      </c>
      <c r="AC102" t="str">
        <f>VLOOKUP(AB102,MiscData!$AF$5:$AG$28,2,FALSE)</f>
        <v>LE_902POLE</v>
      </c>
      <c r="AD102" t="str">
        <f>VLOOKUP(AB102,MiscData!$AF$5:$AH$28,3,FALSE)</f>
        <v>RLS</v>
      </c>
    </row>
    <row r="103" spans="1:30">
      <c r="A103" s="8">
        <f t="shared" si="32"/>
        <v>82</v>
      </c>
      <c r="B103" s="14" t="str">
        <f t="shared" si="33"/>
        <v>May 2014</v>
      </c>
      <c r="C103" s="24" t="str">
        <f t="shared" si="34"/>
        <v xml:space="preserve">LS </v>
      </c>
      <c r="D103" s="24" t="str">
        <f t="shared" si="35"/>
        <v>LE_902POLE</v>
      </c>
      <c r="E103" s="73">
        <f t="shared" si="42"/>
        <v>3</v>
      </c>
      <c r="F103" s="73">
        <v>0</v>
      </c>
      <c r="G103" s="11">
        <f>SUMIF(PoleRates!$E$4:$E$131,$W103,PoleRates!$F$4:$F$131)</f>
        <v>12.9</v>
      </c>
      <c r="H103" s="13">
        <f t="shared" si="36"/>
        <v>38.700000000000003</v>
      </c>
      <c r="I103" s="85">
        <v>0</v>
      </c>
      <c r="J103" s="13">
        <f t="shared" si="18"/>
        <v>38.700000000000003</v>
      </c>
      <c r="K103" s="35">
        <f t="shared" si="26"/>
        <v>38.700000000000003</v>
      </c>
      <c r="L103" s="87">
        <f t="shared" si="37"/>
        <v>1</v>
      </c>
      <c r="M103" s="86">
        <f t="shared" si="27"/>
        <v>38.700000000000003</v>
      </c>
      <c r="N103" s="15">
        <f t="shared" si="38"/>
        <v>38.700000000000003</v>
      </c>
      <c r="O103" s="15">
        <f t="shared" si="39"/>
        <v>0</v>
      </c>
      <c r="V103" s="14">
        <f>IF(AB103=1,IF(V102=MiscData!$F$1,EOMONTH(V102,-11),EOMONTH(V102,1)),V102)</f>
        <v>41790</v>
      </c>
      <c r="W103" s="8" t="str">
        <f t="shared" si="40"/>
        <v>20140101LE_902POLE</v>
      </c>
      <c r="X103" s="12" t="str">
        <f t="shared" si="41"/>
        <v xml:space="preserve">20140101LS </v>
      </c>
      <c r="AA103">
        <f>MiscData!$X$5</f>
        <v>20140101</v>
      </c>
      <c r="AB103">
        <f>IF(AB102+1&gt;MiscData!$AF$28,1,AB102+1)</f>
        <v>6</v>
      </c>
      <c r="AC103" t="str">
        <f>VLOOKUP(AB103,MiscData!$AF$5:$AG$28,2,FALSE)</f>
        <v>LE_902POLE</v>
      </c>
      <c r="AD103" t="str">
        <f>VLOOKUP(AB103,MiscData!$AF$5:$AH$28,3,FALSE)</f>
        <v xml:space="preserve">LS </v>
      </c>
    </row>
    <row r="104" spans="1:30">
      <c r="A104" s="8">
        <f t="shared" si="32"/>
        <v>83</v>
      </c>
      <c r="B104" s="14" t="str">
        <f t="shared" si="33"/>
        <v>May 2014</v>
      </c>
      <c r="C104" s="24" t="str">
        <f t="shared" si="34"/>
        <v>RLS</v>
      </c>
      <c r="D104" s="24" t="str">
        <f t="shared" si="35"/>
        <v>LE_950BASE</v>
      </c>
      <c r="E104" s="73">
        <f t="shared" si="42"/>
        <v>77</v>
      </c>
      <c r="F104" s="73">
        <v>0</v>
      </c>
      <c r="G104" s="11">
        <f>SUMIF(PoleRates!$E$4:$E$131,$W104,PoleRates!$F$4:$F$131)</f>
        <v>3.47</v>
      </c>
      <c r="H104" s="13">
        <f t="shared" si="36"/>
        <v>267.19</v>
      </c>
      <c r="I104" s="85">
        <v>0</v>
      </c>
      <c r="J104" s="13">
        <f t="shared" si="18"/>
        <v>267.19</v>
      </c>
      <c r="K104" s="35">
        <f t="shared" si="26"/>
        <v>267.19</v>
      </c>
      <c r="L104" s="87">
        <f t="shared" si="37"/>
        <v>1</v>
      </c>
      <c r="M104" s="86">
        <f t="shared" si="27"/>
        <v>267.19</v>
      </c>
      <c r="N104" s="15">
        <f t="shared" si="38"/>
        <v>267.19</v>
      </c>
      <c r="O104" s="15">
        <f t="shared" si="39"/>
        <v>0</v>
      </c>
      <c r="V104" s="14">
        <f>IF(AB104=1,IF(V103=MiscData!$F$1,EOMONTH(V103,-11),EOMONTH(V103,1)),V103)</f>
        <v>41790</v>
      </c>
      <c r="W104" s="8" t="str">
        <f t="shared" si="40"/>
        <v>20140101LE_950BASE</v>
      </c>
      <c r="X104" s="12" t="str">
        <f t="shared" si="41"/>
        <v>20140101RLS</v>
      </c>
      <c r="AA104">
        <f>MiscData!$X$5</f>
        <v>20140101</v>
      </c>
      <c r="AB104">
        <f>IF(AB103+1&gt;MiscData!$AF$28,1,AB103+1)</f>
        <v>7</v>
      </c>
      <c r="AC104" t="str">
        <f>VLOOKUP(AB104,MiscData!$AF$5:$AG$28,2,FALSE)</f>
        <v>LE_950BASE</v>
      </c>
      <c r="AD104" t="str">
        <f>VLOOKUP(AB104,MiscData!$AF$5:$AH$28,3,FALSE)</f>
        <v>RLS</v>
      </c>
    </row>
    <row r="105" spans="1:30">
      <c r="A105" s="8">
        <f t="shared" si="32"/>
        <v>83</v>
      </c>
      <c r="B105" s="14" t="str">
        <f t="shared" si="33"/>
        <v>May 2014</v>
      </c>
      <c r="C105" s="24" t="str">
        <f t="shared" si="34"/>
        <v xml:space="preserve">LS </v>
      </c>
      <c r="D105" s="24" t="str">
        <f t="shared" si="35"/>
        <v>LE_950BASE</v>
      </c>
      <c r="E105" s="73">
        <f t="shared" si="42"/>
        <v>13</v>
      </c>
      <c r="F105" s="73">
        <v>0</v>
      </c>
      <c r="G105" s="11">
        <f>SUMIF(PoleRates!$E$4:$E$131,$W105,PoleRates!$F$4:$F$131)</f>
        <v>3.47</v>
      </c>
      <c r="H105" s="13">
        <f t="shared" si="36"/>
        <v>45.11</v>
      </c>
      <c r="I105" s="85">
        <v>0</v>
      </c>
      <c r="J105" s="13">
        <f t="shared" si="18"/>
        <v>45.11</v>
      </c>
      <c r="K105" s="35">
        <f t="shared" si="26"/>
        <v>45.11</v>
      </c>
      <c r="L105" s="87">
        <f t="shared" si="37"/>
        <v>1</v>
      </c>
      <c r="M105" s="86">
        <f t="shared" si="27"/>
        <v>45.11</v>
      </c>
      <c r="N105" s="15">
        <f t="shared" si="38"/>
        <v>45.11</v>
      </c>
      <c r="O105" s="15">
        <f t="shared" si="39"/>
        <v>0</v>
      </c>
      <c r="V105" s="14">
        <f>IF(AB105=1,IF(V104=MiscData!$F$1,EOMONTH(V104,-11),EOMONTH(V104,1)),V104)</f>
        <v>41790</v>
      </c>
      <c r="W105" s="8" t="str">
        <f t="shared" si="40"/>
        <v>20140101LE_950BASE</v>
      </c>
      <c r="X105" s="12" t="str">
        <f t="shared" si="41"/>
        <v xml:space="preserve">20140101LS </v>
      </c>
      <c r="AA105">
        <f>MiscData!$X$5</f>
        <v>20140101</v>
      </c>
      <c r="AB105">
        <f>IF(AB104+1&gt;MiscData!$AF$28,1,AB104+1)</f>
        <v>8</v>
      </c>
      <c r="AC105" t="str">
        <f>VLOOKUP(AB105,MiscData!$AF$5:$AG$28,2,FALSE)</f>
        <v>LE_950BASE</v>
      </c>
      <c r="AD105" t="str">
        <f>VLOOKUP(AB105,MiscData!$AF$5:$AH$28,3,FALSE)</f>
        <v xml:space="preserve">LS </v>
      </c>
    </row>
    <row r="106" spans="1:30">
      <c r="A106" s="8">
        <f t="shared" si="32"/>
        <v>84</v>
      </c>
      <c r="B106" s="14" t="str">
        <f t="shared" si="33"/>
        <v>May 2014</v>
      </c>
      <c r="C106" s="24" t="str">
        <f t="shared" si="34"/>
        <v>RLS</v>
      </c>
      <c r="D106" s="24" t="str">
        <f t="shared" si="35"/>
        <v>LE_951BASE</v>
      </c>
      <c r="E106" s="73">
        <f t="shared" si="42"/>
        <v>195</v>
      </c>
      <c r="F106" s="73">
        <v>0</v>
      </c>
      <c r="G106" s="11">
        <f>SUMIF(PoleRates!$E$4:$E$131,$W106,PoleRates!$F$4:$F$131)</f>
        <v>3.73</v>
      </c>
      <c r="H106" s="13">
        <f t="shared" si="36"/>
        <v>727.35</v>
      </c>
      <c r="I106" s="85">
        <v>-3.73</v>
      </c>
      <c r="J106" s="13">
        <f t="shared" si="18"/>
        <v>723.62</v>
      </c>
      <c r="K106" s="35">
        <f t="shared" si="26"/>
        <v>723.62</v>
      </c>
      <c r="L106" s="87">
        <f t="shared" si="37"/>
        <v>1</v>
      </c>
      <c r="M106" s="86">
        <f t="shared" si="27"/>
        <v>723.62</v>
      </c>
      <c r="N106" s="15">
        <f t="shared" si="38"/>
        <v>723.62</v>
      </c>
      <c r="O106" s="15">
        <f t="shared" si="39"/>
        <v>0</v>
      </c>
      <c r="V106" s="14">
        <f>IF(AB106=1,IF(V105=MiscData!$F$1,EOMONTH(V105,-11),EOMONTH(V105,1)),V105)</f>
        <v>41790</v>
      </c>
      <c r="W106" s="8" t="str">
        <f t="shared" si="40"/>
        <v>20140101LE_951BASE</v>
      </c>
      <c r="X106" s="12" t="str">
        <f t="shared" si="41"/>
        <v>20140101RLS</v>
      </c>
      <c r="AA106">
        <f>MiscData!$X$5</f>
        <v>20140101</v>
      </c>
      <c r="AB106">
        <f>IF(AB105+1&gt;MiscData!$AF$28,1,AB105+1)</f>
        <v>9</v>
      </c>
      <c r="AC106" t="str">
        <f>VLOOKUP(AB106,MiscData!$AF$5:$AG$28,2,FALSE)</f>
        <v>LE_951BASE</v>
      </c>
      <c r="AD106" t="str">
        <f>VLOOKUP(AB106,MiscData!$AF$5:$AH$28,3,FALSE)</f>
        <v>RLS</v>
      </c>
    </row>
    <row r="107" spans="1:30">
      <c r="A107" s="8">
        <f t="shared" si="32"/>
        <v>84</v>
      </c>
      <c r="B107" s="14" t="str">
        <f t="shared" si="33"/>
        <v>May 2014</v>
      </c>
      <c r="C107" s="24" t="str">
        <f t="shared" si="34"/>
        <v xml:space="preserve">LS </v>
      </c>
      <c r="D107" s="24" t="str">
        <f t="shared" si="35"/>
        <v>LE_951BASE</v>
      </c>
      <c r="E107" s="73">
        <f t="shared" si="42"/>
        <v>71</v>
      </c>
      <c r="F107" s="73">
        <v>0</v>
      </c>
      <c r="G107" s="11">
        <f>SUMIF(PoleRates!$E$4:$E$131,$W107,PoleRates!$F$4:$F$131)</f>
        <v>3.73</v>
      </c>
      <c r="H107" s="13">
        <f t="shared" si="36"/>
        <v>264.83</v>
      </c>
      <c r="I107" s="85">
        <v>-11.19</v>
      </c>
      <c r="J107" s="13">
        <f t="shared" si="18"/>
        <v>253.64</v>
      </c>
      <c r="K107" s="35">
        <f t="shared" si="26"/>
        <v>253.63999999999996</v>
      </c>
      <c r="L107" s="87">
        <f t="shared" si="37"/>
        <v>0.99999999999999989</v>
      </c>
      <c r="M107" s="86">
        <f t="shared" si="27"/>
        <v>253.63999999999996</v>
      </c>
      <c r="N107" s="15">
        <f t="shared" si="38"/>
        <v>253.64</v>
      </c>
      <c r="O107" s="15">
        <f t="shared" si="39"/>
        <v>0</v>
      </c>
      <c r="V107" s="14">
        <f>IF(AB107=1,IF(V106=MiscData!$F$1,EOMONTH(V106,-11),EOMONTH(V106,1)),V106)</f>
        <v>41790</v>
      </c>
      <c r="W107" s="8" t="str">
        <f t="shared" si="40"/>
        <v>20140101LE_951BASE</v>
      </c>
      <c r="X107" s="12" t="str">
        <f t="shared" si="41"/>
        <v xml:space="preserve">20140101LS </v>
      </c>
      <c r="AA107">
        <f>MiscData!$X$5</f>
        <v>20140101</v>
      </c>
      <c r="AB107">
        <f>IF(AB106+1&gt;MiscData!$AF$28,1,AB106+1)</f>
        <v>10</v>
      </c>
      <c r="AC107" t="str">
        <f>VLOOKUP(AB107,MiscData!$AF$5:$AG$28,2,FALSE)</f>
        <v>LE_951BASE</v>
      </c>
      <c r="AD107" t="str">
        <f>VLOOKUP(AB107,MiscData!$AF$5:$AH$28,3,FALSE)</f>
        <v xml:space="preserve">LS </v>
      </c>
    </row>
    <row r="108" spans="1:30">
      <c r="A108" s="8">
        <f t="shared" si="32"/>
        <v>85</v>
      </c>
      <c r="B108" s="14" t="str">
        <f t="shared" si="33"/>
        <v>May 2014</v>
      </c>
      <c r="C108" s="24" t="str">
        <f t="shared" si="34"/>
        <v>RLS</v>
      </c>
      <c r="D108" s="24" t="str">
        <f t="shared" si="35"/>
        <v>LE_952BASE</v>
      </c>
      <c r="E108" s="73">
        <f t="shared" si="42"/>
        <v>0</v>
      </c>
      <c r="F108" s="73">
        <v>0</v>
      </c>
      <c r="G108" s="11">
        <f>SUMIF(PoleRates!$E$4:$E$131,$W108,PoleRates!$F$4:$F$131)</f>
        <v>3.56</v>
      </c>
      <c r="H108" s="13">
        <f t="shared" si="36"/>
        <v>0</v>
      </c>
      <c r="I108" s="85">
        <v>0</v>
      </c>
      <c r="J108" s="13">
        <f t="shared" si="18"/>
        <v>0</v>
      </c>
      <c r="K108" s="35">
        <f t="shared" si="26"/>
        <v>0</v>
      </c>
      <c r="L108" s="87">
        <f t="shared" si="37"/>
        <v>1</v>
      </c>
      <c r="M108" s="86">
        <f t="shared" si="27"/>
        <v>0</v>
      </c>
      <c r="N108" s="15">
        <f t="shared" si="38"/>
        <v>0</v>
      </c>
      <c r="O108" s="15">
        <f t="shared" si="39"/>
        <v>0</v>
      </c>
      <c r="V108" s="14">
        <f>IF(AB108=1,IF(V107=MiscData!$F$1,EOMONTH(V107,-11),EOMONTH(V107,1)),V107)</f>
        <v>41790</v>
      </c>
      <c r="W108" s="8" t="str">
        <f t="shared" si="40"/>
        <v>20140101LE_952BASE</v>
      </c>
      <c r="X108" s="12" t="str">
        <f t="shared" si="41"/>
        <v>20140101RLS</v>
      </c>
      <c r="AA108">
        <f>MiscData!$X$5</f>
        <v>20140101</v>
      </c>
      <c r="AB108">
        <f>IF(AB107+1&gt;MiscData!$AF$28,1,AB107+1)</f>
        <v>11</v>
      </c>
      <c r="AC108" t="str">
        <f>VLOOKUP(AB108,MiscData!$AF$5:$AG$28,2,FALSE)</f>
        <v>LE_952BASE</v>
      </c>
      <c r="AD108" t="str">
        <f>VLOOKUP(AB108,MiscData!$AF$5:$AH$28,3,FALSE)</f>
        <v>RLS</v>
      </c>
    </row>
    <row r="109" spans="1:30">
      <c r="A109" s="8">
        <f t="shared" si="32"/>
        <v>85</v>
      </c>
      <c r="B109" s="14" t="str">
        <f t="shared" si="33"/>
        <v>May 2014</v>
      </c>
      <c r="C109" s="24" t="str">
        <f t="shared" si="34"/>
        <v xml:space="preserve">LS </v>
      </c>
      <c r="D109" s="24" t="str">
        <f t="shared" si="35"/>
        <v>LE_952BASE</v>
      </c>
      <c r="E109" s="73">
        <f t="shared" si="42"/>
        <v>0</v>
      </c>
      <c r="F109" s="73">
        <v>0</v>
      </c>
      <c r="G109" s="11">
        <f>SUMIF(PoleRates!$E$4:$E$131,$W109,PoleRates!$F$4:$F$131)</f>
        <v>3.56</v>
      </c>
      <c r="H109" s="13">
        <f t="shared" si="36"/>
        <v>0</v>
      </c>
      <c r="I109" s="85">
        <v>0</v>
      </c>
      <c r="J109" s="13">
        <f t="shared" ref="J109:J172" si="43">SUM(H109:H109,I109:I109)</f>
        <v>0</v>
      </c>
      <c r="K109" s="35">
        <f t="shared" si="26"/>
        <v>0</v>
      </c>
      <c r="L109" s="87">
        <f t="shared" si="37"/>
        <v>1</v>
      </c>
      <c r="M109" s="86">
        <f t="shared" si="27"/>
        <v>0</v>
      </c>
      <c r="N109" s="15">
        <f t="shared" si="38"/>
        <v>0</v>
      </c>
      <c r="O109" s="15">
        <f t="shared" si="39"/>
        <v>0</v>
      </c>
      <c r="V109" s="14">
        <f>IF(AB109=1,IF(V108=MiscData!$F$1,EOMONTH(V108,-11),EOMONTH(V108,1)),V108)</f>
        <v>41790</v>
      </c>
      <c r="W109" s="8" t="str">
        <f t="shared" si="40"/>
        <v>20140101LE_952BASE</v>
      </c>
      <c r="X109" s="12" t="str">
        <f t="shared" si="41"/>
        <v xml:space="preserve">20140101LS </v>
      </c>
      <c r="AA109">
        <f>MiscData!$X$5</f>
        <v>20140101</v>
      </c>
      <c r="AB109">
        <f>IF(AB108+1&gt;MiscData!$AF$28,1,AB108+1)</f>
        <v>12</v>
      </c>
      <c r="AC109" t="str">
        <f>VLOOKUP(AB109,MiscData!$AF$5:$AG$28,2,FALSE)</f>
        <v>LE_952BASE</v>
      </c>
      <c r="AD109" t="str">
        <f>VLOOKUP(AB109,MiscData!$AF$5:$AH$28,3,FALSE)</f>
        <v xml:space="preserve">LS </v>
      </c>
    </row>
    <row r="110" spans="1:30">
      <c r="A110" s="8">
        <f t="shared" si="32"/>
        <v>86</v>
      </c>
      <c r="B110" s="14" t="str">
        <f t="shared" si="33"/>
        <v>May 2014</v>
      </c>
      <c r="C110" s="24" t="str">
        <f t="shared" si="34"/>
        <v>RLS</v>
      </c>
      <c r="D110" s="24" t="str">
        <f t="shared" si="35"/>
        <v>LE_953BASE</v>
      </c>
      <c r="E110" s="73">
        <f t="shared" si="42"/>
        <v>0</v>
      </c>
      <c r="F110" s="73">
        <v>0</v>
      </c>
      <c r="G110" s="11">
        <f>SUMIF(PoleRates!$E$4:$E$131,$W110,PoleRates!$F$4:$F$131)</f>
        <v>3.73</v>
      </c>
      <c r="H110" s="13">
        <f t="shared" si="36"/>
        <v>0</v>
      </c>
      <c r="I110" s="85">
        <v>0</v>
      </c>
      <c r="J110" s="13">
        <f t="shared" si="43"/>
        <v>0</v>
      </c>
      <c r="K110" s="35">
        <f t="shared" si="26"/>
        <v>0</v>
      </c>
      <c r="L110" s="87">
        <f t="shared" si="37"/>
        <v>1</v>
      </c>
      <c r="M110" s="86">
        <f t="shared" si="27"/>
        <v>0</v>
      </c>
      <c r="N110" s="15">
        <f t="shared" si="38"/>
        <v>0</v>
      </c>
      <c r="O110" s="15">
        <f t="shared" si="39"/>
        <v>0</v>
      </c>
      <c r="V110" s="14">
        <f>IF(AB110=1,IF(V109=MiscData!$F$1,EOMONTH(V109,-11),EOMONTH(V109,1)),V109)</f>
        <v>41790</v>
      </c>
      <c r="W110" s="8" t="str">
        <f t="shared" si="40"/>
        <v>20140101LE_953BASE</v>
      </c>
      <c r="X110" s="12" t="str">
        <f t="shared" si="41"/>
        <v>20140101RLS</v>
      </c>
      <c r="AA110">
        <f>MiscData!$X$5</f>
        <v>20140101</v>
      </c>
      <c r="AB110">
        <f>IF(AB109+1&gt;MiscData!$AF$28,1,AB109+1)</f>
        <v>13</v>
      </c>
      <c r="AC110" t="str">
        <f>VLOOKUP(AB110,MiscData!$AF$5:$AG$28,2,FALSE)</f>
        <v>LE_953BASE</v>
      </c>
      <c r="AD110" t="str">
        <f>VLOOKUP(AB110,MiscData!$AF$5:$AH$28,3,FALSE)</f>
        <v>RLS</v>
      </c>
    </row>
    <row r="111" spans="1:30">
      <c r="A111" s="8">
        <f t="shared" si="32"/>
        <v>86</v>
      </c>
      <c r="B111" s="14" t="str">
        <f t="shared" si="33"/>
        <v>May 2014</v>
      </c>
      <c r="C111" s="24" t="str">
        <f t="shared" si="34"/>
        <v xml:space="preserve">LS </v>
      </c>
      <c r="D111" s="24" t="str">
        <f t="shared" si="35"/>
        <v>LE_953BASE</v>
      </c>
      <c r="E111" s="73">
        <f t="shared" si="42"/>
        <v>0</v>
      </c>
      <c r="F111" s="73">
        <v>0</v>
      </c>
      <c r="G111" s="11">
        <f>SUMIF(PoleRates!$E$4:$E$131,$W111,PoleRates!$F$4:$F$131)</f>
        <v>3.73</v>
      </c>
      <c r="H111" s="13">
        <f t="shared" si="36"/>
        <v>0</v>
      </c>
      <c r="I111" s="85">
        <v>0</v>
      </c>
      <c r="J111" s="13">
        <f t="shared" si="43"/>
        <v>0</v>
      </c>
      <c r="K111" s="35">
        <f t="shared" si="26"/>
        <v>0</v>
      </c>
      <c r="L111" s="87">
        <f t="shared" si="37"/>
        <v>1</v>
      </c>
      <c r="M111" s="86">
        <f t="shared" si="27"/>
        <v>0</v>
      </c>
      <c r="N111" s="15">
        <f t="shared" si="38"/>
        <v>0</v>
      </c>
      <c r="O111" s="15">
        <f t="shared" si="39"/>
        <v>0</v>
      </c>
      <c r="V111" s="14">
        <f>IF(AB111=1,IF(V110=MiscData!$F$1,EOMONTH(V110,-11),EOMONTH(V110,1)),V110)</f>
        <v>41790</v>
      </c>
      <c r="W111" s="8" t="str">
        <f t="shared" si="40"/>
        <v>20140101LE_953BASE</v>
      </c>
      <c r="X111" s="12" t="str">
        <f t="shared" si="41"/>
        <v xml:space="preserve">20140101LS </v>
      </c>
      <c r="AA111">
        <f>MiscData!$X$5</f>
        <v>20140101</v>
      </c>
      <c r="AB111">
        <f>IF(AB110+1&gt;MiscData!$AF$28,1,AB110+1)</f>
        <v>14</v>
      </c>
      <c r="AC111" t="str">
        <f>VLOOKUP(AB111,MiscData!$AF$5:$AG$28,2,FALSE)</f>
        <v>LE_953BASE</v>
      </c>
      <c r="AD111" t="str">
        <f>VLOOKUP(AB111,MiscData!$AF$5:$AH$28,3,FALSE)</f>
        <v xml:space="preserve">LS </v>
      </c>
    </row>
    <row r="112" spans="1:30">
      <c r="A112" s="8">
        <f t="shared" si="32"/>
        <v>87</v>
      </c>
      <c r="B112" s="14" t="str">
        <f t="shared" si="33"/>
        <v>May 2014</v>
      </c>
      <c r="C112" s="24" t="str">
        <f t="shared" si="34"/>
        <v>RLS</v>
      </c>
      <c r="D112" s="24" t="str">
        <f t="shared" si="35"/>
        <v>LE_954BASE</v>
      </c>
      <c r="E112" s="73">
        <f t="shared" si="42"/>
        <v>0</v>
      </c>
      <c r="F112" s="73">
        <v>0</v>
      </c>
      <c r="G112" s="11">
        <f>SUMIF(PoleRates!$E$4:$E$131,$W112,PoleRates!$F$4:$F$131)</f>
        <v>3.47</v>
      </c>
      <c r="H112" s="13">
        <f t="shared" si="36"/>
        <v>0</v>
      </c>
      <c r="I112" s="85">
        <v>0</v>
      </c>
      <c r="J112" s="13">
        <f t="shared" si="43"/>
        <v>0</v>
      </c>
      <c r="K112" s="35">
        <f t="shared" si="26"/>
        <v>0</v>
      </c>
      <c r="L112" s="87">
        <f t="shared" si="37"/>
        <v>1</v>
      </c>
      <c r="M112" s="86">
        <f t="shared" si="27"/>
        <v>0</v>
      </c>
      <c r="N112" s="15">
        <f t="shared" si="38"/>
        <v>0</v>
      </c>
      <c r="O112" s="15">
        <f t="shared" si="39"/>
        <v>0</v>
      </c>
      <c r="V112" s="14">
        <f>IF(AB112=1,IF(V111=MiscData!$F$1,EOMONTH(V111,-11),EOMONTH(V111,1)),V111)</f>
        <v>41790</v>
      </c>
      <c r="W112" s="8" t="str">
        <f t="shared" si="40"/>
        <v>20140101LE_954BASE</v>
      </c>
      <c r="X112" s="12" t="str">
        <f t="shared" si="41"/>
        <v>20140101RLS</v>
      </c>
      <c r="AA112">
        <f>MiscData!$X$5</f>
        <v>20140101</v>
      </c>
      <c r="AB112">
        <f>IF(AB111+1&gt;MiscData!$AF$28,1,AB111+1)</f>
        <v>15</v>
      </c>
      <c r="AC112" t="str">
        <f>VLOOKUP(AB112,MiscData!$AF$5:$AG$28,2,FALSE)</f>
        <v>LE_954BASE</v>
      </c>
      <c r="AD112" t="str">
        <f>VLOOKUP(AB112,MiscData!$AF$5:$AH$28,3,FALSE)</f>
        <v>RLS</v>
      </c>
    </row>
    <row r="113" spans="1:30">
      <c r="A113" s="8">
        <f t="shared" si="32"/>
        <v>87</v>
      </c>
      <c r="B113" s="14" t="str">
        <f t="shared" si="33"/>
        <v>May 2014</v>
      </c>
      <c r="C113" s="24" t="str">
        <f t="shared" si="34"/>
        <v xml:space="preserve">LS </v>
      </c>
      <c r="D113" s="24" t="str">
        <f t="shared" si="35"/>
        <v>LE_954BASE</v>
      </c>
      <c r="E113" s="73">
        <f t="shared" si="42"/>
        <v>0</v>
      </c>
      <c r="F113" s="73">
        <v>0</v>
      </c>
      <c r="G113" s="11">
        <f>SUMIF(PoleRates!$E$4:$E$131,$W113,PoleRates!$F$4:$F$131)</f>
        <v>3.47</v>
      </c>
      <c r="H113" s="13">
        <f t="shared" si="36"/>
        <v>0</v>
      </c>
      <c r="I113" s="85">
        <v>0</v>
      </c>
      <c r="J113" s="13">
        <f t="shared" si="43"/>
        <v>0</v>
      </c>
      <c r="K113" s="35">
        <f t="shared" si="26"/>
        <v>0</v>
      </c>
      <c r="L113" s="87">
        <f t="shared" si="37"/>
        <v>1</v>
      </c>
      <c r="M113" s="86">
        <f t="shared" si="27"/>
        <v>0</v>
      </c>
      <c r="N113" s="15">
        <f t="shared" si="38"/>
        <v>0</v>
      </c>
      <c r="O113" s="15">
        <f t="shared" si="39"/>
        <v>0</v>
      </c>
      <c r="V113" s="14">
        <f>IF(AB113=1,IF(V112=MiscData!$F$1,EOMONTH(V112,-11),EOMONTH(V112,1)),V112)</f>
        <v>41790</v>
      </c>
      <c r="W113" s="8" t="str">
        <f t="shared" si="40"/>
        <v>20140101LE_954BASE</v>
      </c>
      <c r="X113" s="12" t="str">
        <f t="shared" si="41"/>
        <v xml:space="preserve">20140101LS </v>
      </c>
      <c r="AA113">
        <f>MiscData!$X$5</f>
        <v>20140101</v>
      </c>
      <c r="AB113">
        <f>IF(AB112+1&gt;MiscData!$AF$28,1,AB112+1)</f>
        <v>16</v>
      </c>
      <c r="AC113" t="str">
        <f>VLOOKUP(AB113,MiscData!$AF$5:$AG$28,2,FALSE)</f>
        <v>LE_954BASE</v>
      </c>
      <c r="AD113" t="str">
        <f>VLOOKUP(AB113,MiscData!$AF$5:$AH$28,3,FALSE)</f>
        <v xml:space="preserve">LS </v>
      </c>
    </row>
    <row r="114" spans="1:30">
      <c r="A114" s="8">
        <f t="shared" si="32"/>
        <v>88</v>
      </c>
      <c r="B114" s="14" t="str">
        <f t="shared" si="24"/>
        <v>May 2014</v>
      </c>
      <c r="C114" s="24" t="str">
        <f t="shared" ref="C114:C229" si="44">AD114</f>
        <v>RLS</v>
      </c>
      <c r="D114" s="24" t="str">
        <f t="shared" ref="D114:D229" si="45">AC114</f>
        <v>LE_955BASE</v>
      </c>
      <c r="E114" s="73">
        <f t="shared" si="42"/>
        <v>0</v>
      </c>
      <c r="F114" s="73">
        <v>0</v>
      </c>
      <c r="G114" s="11">
        <f>SUMIF(PoleRates!$E$4:$E$131,$W114,PoleRates!$F$4:$F$131)</f>
        <v>3.56</v>
      </c>
      <c r="H114" s="13">
        <f t="shared" si="17"/>
        <v>0</v>
      </c>
      <c r="I114" s="85">
        <v>0</v>
      </c>
      <c r="J114" s="13">
        <f t="shared" si="43"/>
        <v>0</v>
      </c>
      <c r="K114" s="35">
        <f t="shared" si="26"/>
        <v>0</v>
      </c>
      <c r="L114" s="87">
        <f t="shared" si="19"/>
        <v>1</v>
      </c>
      <c r="M114" s="86">
        <f t="shared" si="27"/>
        <v>0</v>
      </c>
      <c r="N114" s="15">
        <f t="shared" ref="N114:N229" si="46">J114</f>
        <v>0</v>
      </c>
      <c r="O114" s="15">
        <f t="shared" si="30"/>
        <v>0</v>
      </c>
      <c r="V114" s="14">
        <f>IF(AB114=1,IF(V113=MiscData!$F$1,EOMONTH(V113,-11),EOMONTH(V113,1)),V113)</f>
        <v>41790</v>
      </c>
      <c r="W114" s="8" t="str">
        <f t="shared" si="22"/>
        <v>20140101LE_955BASE</v>
      </c>
      <c r="X114" s="12" t="str">
        <f t="shared" si="23"/>
        <v>20140101RLS</v>
      </c>
      <c r="AA114">
        <f>MiscData!$X$5</f>
        <v>20140101</v>
      </c>
      <c r="AB114">
        <f>IF(AB113+1&gt;MiscData!$AF$28,1,AB113+1)</f>
        <v>17</v>
      </c>
      <c r="AC114" t="str">
        <f>VLOOKUP(AB114,MiscData!$AF$5:$AG$28,2,FALSE)</f>
        <v>LE_955BASE</v>
      </c>
      <c r="AD114" t="str">
        <f>VLOOKUP(AB114,MiscData!$AF$5:$AH$28,3,FALSE)</f>
        <v>RLS</v>
      </c>
    </row>
    <row r="115" spans="1:30">
      <c r="A115" s="8">
        <f t="shared" si="32"/>
        <v>88</v>
      </c>
      <c r="B115" s="14" t="str">
        <f t="shared" si="24"/>
        <v>May 2014</v>
      </c>
      <c r="C115" s="24" t="str">
        <f t="shared" si="44"/>
        <v xml:space="preserve">LS </v>
      </c>
      <c r="D115" s="24" t="str">
        <f t="shared" si="45"/>
        <v>LE_955BASE</v>
      </c>
      <c r="E115" s="73">
        <f t="shared" si="42"/>
        <v>0</v>
      </c>
      <c r="F115" s="73">
        <v>0</v>
      </c>
      <c r="G115" s="11">
        <f>SUMIF(PoleRates!$E$4:$E$131,$W115,PoleRates!$F$4:$F$131)</f>
        <v>3.56</v>
      </c>
      <c r="H115" s="13">
        <f t="shared" si="17"/>
        <v>0</v>
      </c>
      <c r="I115" s="85">
        <v>0</v>
      </c>
      <c r="J115" s="13">
        <f t="shared" si="43"/>
        <v>0</v>
      </c>
      <c r="K115" s="35">
        <f t="shared" si="26"/>
        <v>0</v>
      </c>
      <c r="L115" s="87">
        <f t="shared" si="19"/>
        <v>1</v>
      </c>
      <c r="M115" s="86">
        <f t="shared" si="27"/>
        <v>0</v>
      </c>
      <c r="N115" s="15">
        <f t="shared" si="46"/>
        <v>0</v>
      </c>
      <c r="O115" s="15">
        <f t="shared" si="30"/>
        <v>0</v>
      </c>
      <c r="V115" s="14">
        <f>IF(AB115=1,IF(V114=MiscData!$F$1,EOMONTH(V114,-11),EOMONTH(V114,1)),V114)</f>
        <v>41790</v>
      </c>
      <c r="W115" s="8" t="str">
        <f t="shared" si="22"/>
        <v>20140101LE_955BASE</v>
      </c>
      <c r="X115" s="12" t="str">
        <f t="shared" si="23"/>
        <v xml:space="preserve">20140101LS </v>
      </c>
      <c r="AA115">
        <f>MiscData!$X$5</f>
        <v>20140101</v>
      </c>
      <c r="AB115">
        <f>IF(AB114+1&gt;MiscData!$AF$28,1,AB114+1)</f>
        <v>18</v>
      </c>
      <c r="AC115" t="str">
        <f>VLOOKUP(AB115,MiscData!$AF$5:$AG$28,2,FALSE)</f>
        <v>LE_955BASE</v>
      </c>
      <c r="AD115" t="str">
        <f>VLOOKUP(AB115,MiscData!$AF$5:$AH$28,3,FALSE)</f>
        <v xml:space="preserve">LS </v>
      </c>
    </row>
    <row r="116" spans="1:30">
      <c r="A116" s="8">
        <f t="shared" si="32"/>
        <v>89</v>
      </c>
      <c r="B116" s="14" t="str">
        <f t="shared" si="24"/>
        <v>May 2014</v>
      </c>
      <c r="C116" s="24" t="str">
        <f t="shared" si="44"/>
        <v>RLS</v>
      </c>
      <c r="D116" s="24" t="str">
        <f t="shared" si="45"/>
        <v>LE_956BASE</v>
      </c>
      <c r="E116" s="73">
        <f t="shared" si="42"/>
        <v>239</v>
      </c>
      <c r="F116" s="73">
        <v>0</v>
      </c>
      <c r="G116" s="11">
        <f>SUMIF(PoleRates!$E$4:$E$131,$W116,PoleRates!$F$4:$F$131)</f>
        <v>3.56</v>
      </c>
      <c r="H116" s="13">
        <f t="shared" si="17"/>
        <v>850.84</v>
      </c>
      <c r="I116" s="85">
        <v>10.68</v>
      </c>
      <c r="J116" s="13">
        <f t="shared" si="43"/>
        <v>861.52</v>
      </c>
      <c r="K116" s="35">
        <f t="shared" si="26"/>
        <v>861.52</v>
      </c>
      <c r="L116" s="87">
        <f t="shared" si="19"/>
        <v>1</v>
      </c>
      <c r="M116" s="86">
        <f t="shared" si="27"/>
        <v>861.52</v>
      </c>
      <c r="N116" s="15">
        <f t="shared" si="46"/>
        <v>861.52</v>
      </c>
      <c r="O116" s="15">
        <f t="shared" si="30"/>
        <v>0</v>
      </c>
      <c r="V116" s="14">
        <f>IF(AB116=1,IF(V115=MiscData!$F$1,EOMONTH(V115,-11),EOMONTH(V115,1)),V115)</f>
        <v>41790</v>
      </c>
      <c r="W116" s="8" t="str">
        <f t="shared" si="22"/>
        <v>20140101LE_956BASE</v>
      </c>
      <c r="X116" s="12" t="str">
        <f t="shared" si="23"/>
        <v>20140101RLS</v>
      </c>
      <c r="AA116">
        <f>MiscData!$X$5</f>
        <v>20140101</v>
      </c>
      <c r="AB116">
        <f>IF(AB115+1&gt;MiscData!$AF$28,1,AB115+1)</f>
        <v>19</v>
      </c>
      <c r="AC116" t="str">
        <f>VLOOKUP(AB116,MiscData!$AF$5:$AG$28,2,FALSE)</f>
        <v>LE_956BASE</v>
      </c>
      <c r="AD116" t="str">
        <f>VLOOKUP(AB116,MiscData!$AF$5:$AH$28,3,FALSE)</f>
        <v>RLS</v>
      </c>
    </row>
    <row r="117" spans="1:30">
      <c r="A117" s="8">
        <f t="shared" si="32"/>
        <v>89</v>
      </c>
      <c r="B117" s="14" t="str">
        <f t="shared" si="24"/>
        <v>May 2014</v>
      </c>
      <c r="C117" s="24" t="str">
        <f t="shared" si="44"/>
        <v xml:space="preserve">LS </v>
      </c>
      <c r="D117" s="24" t="str">
        <f t="shared" si="45"/>
        <v>LE_956BASE</v>
      </c>
      <c r="E117" s="73">
        <f t="shared" si="42"/>
        <v>307</v>
      </c>
      <c r="F117" s="73">
        <v>-1</v>
      </c>
      <c r="G117" s="11">
        <f>SUMIF(PoleRates!$E$4:$E$131,$W117,PoleRates!$F$4:$F$131)</f>
        <v>3.56</v>
      </c>
      <c r="H117" s="13">
        <f t="shared" si="17"/>
        <v>1089.3599999999999</v>
      </c>
      <c r="I117" s="85">
        <v>21.36</v>
      </c>
      <c r="J117" s="13">
        <f t="shared" si="43"/>
        <v>1110.7199999999998</v>
      </c>
      <c r="K117" s="35">
        <f t="shared" si="26"/>
        <v>1110.72</v>
      </c>
      <c r="L117" s="87">
        <f t="shared" si="19"/>
        <v>1.0000000000000002</v>
      </c>
      <c r="M117" s="86">
        <f t="shared" si="27"/>
        <v>1110.72</v>
      </c>
      <c r="N117" s="15">
        <f t="shared" si="46"/>
        <v>1110.7199999999998</v>
      </c>
      <c r="O117" s="15">
        <f t="shared" si="30"/>
        <v>0</v>
      </c>
      <c r="V117" s="14">
        <f>IF(AB117=1,IF(V116=MiscData!$F$1,EOMONTH(V116,-11),EOMONTH(V116,1)),V116)</f>
        <v>41790</v>
      </c>
      <c r="W117" s="8" t="str">
        <f t="shared" si="22"/>
        <v>20140101LE_956BASE</v>
      </c>
      <c r="X117" s="12" t="str">
        <f t="shared" si="23"/>
        <v xml:space="preserve">20140101LS </v>
      </c>
      <c r="AA117">
        <f>MiscData!$X$5</f>
        <v>20140101</v>
      </c>
      <c r="AB117">
        <f>IF(AB116+1&gt;MiscData!$AF$28,1,AB116+1)</f>
        <v>20</v>
      </c>
      <c r="AC117" t="str">
        <f>VLOOKUP(AB117,MiscData!$AF$5:$AG$28,2,FALSE)</f>
        <v>LE_956BASE</v>
      </c>
      <c r="AD117" t="str">
        <f>VLOOKUP(AB117,MiscData!$AF$5:$AH$28,3,FALSE)</f>
        <v xml:space="preserve">LS </v>
      </c>
    </row>
    <row r="118" spans="1:30">
      <c r="A118" s="8">
        <f t="shared" si="32"/>
        <v>90</v>
      </c>
      <c r="B118" s="14" t="str">
        <f t="shared" si="24"/>
        <v>May 2014</v>
      </c>
      <c r="C118" s="24" t="str">
        <f t="shared" si="44"/>
        <v>RLS</v>
      </c>
      <c r="D118" s="24" t="str">
        <f t="shared" si="45"/>
        <v>LE_957BASE</v>
      </c>
      <c r="E118" s="73">
        <f t="shared" si="42"/>
        <v>0</v>
      </c>
      <c r="F118" s="73">
        <v>0</v>
      </c>
      <c r="G118" s="11">
        <f>SUMIF(PoleRates!$E$4:$E$131,$W118,PoleRates!$F$4:$F$131)</f>
        <v>3.56</v>
      </c>
      <c r="H118" s="13">
        <f t="shared" si="17"/>
        <v>0</v>
      </c>
      <c r="I118" s="85">
        <v>0</v>
      </c>
      <c r="J118" s="13">
        <f t="shared" si="43"/>
        <v>0</v>
      </c>
      <c r="K118" s="35">
        <f t="shared" si="26"/>
        <v>0</v>
      </c>
      <c r="L118" s="87">
        <f t="shared" si="19"/>
        <v>1</v>
      </c>
      <c r="M118" s="86">
        <f t="shared" si="27"/>
        <v>0</v>
      </c>
      <c r="N118" s="15">
        <f t="shared" si="46"/>
        <v>0</v>
      </c>
      <c r="O118" s="15">
        <f t="shared" si="30"/>
        <v>0</v>
      </c>
      <c r="V118" s="14">
        <f>IF(AB118=1,IF(V117=MiscData!$F$1,EOMONTH(V117,-11),EOMONTH(V117,1)),V117)</f>
        <v>41790</v>
      </c>
      <c r="W118" s="8" t="str">
        <f t="shared" si="22"/>
        <v>20140101LE_957BASE</v>
      </c>
      <c r="X118" s="12" t="str">
        <f t="shared" si="23"/>
        <v>20140101RLS</v>
      </c>
      <c r="AA118">
        <f>MiscData!$X$5</f>
        <v>20140101</v>
      </c>
      <c r="AB118">
        <f>IF(AB117+1&gt;MiscData!$AF$28,1,AB117+1)</f>
        <v>21</v>
      </c>
      <c r="AC118" t="str">
        <f>VLOOKUP(AB118,MiscData!$AF$5:$AG$28,2,FALSE)</f>
        <v>LE_957BASE</v>
      </c>
      <c r="AD118" t="str">
        <f>VLOOKUP(AB118,MiscData!$AF$5:$AH$28,3,FALSE)</f>
        <v>RLS</v>
      </c>
    </row>
    <row r="119" spans="1:30">
      <c r="A119" s="8">
        <f t="shared" si="32"/>
        <v>90</v>
      </c>
      <c r="B119" s="14" t="str">
        <f t="shared" si="24"/>
        <v>May 2014</v>
      </c>
      <c r="C119" s="24" t="str">
        <f t="shared" si="44"/>
        <v xml:space="preserve">LS </v>
      </c>
      <c r="D119" s="24" t="str">
        <f t="shared" si="45"/>
        <v>LE_957BASE</v>
      </c>
      <c r="E119" s="73">
        <f t="shared" si="42"/>
        <v>0</v>
      </c>
      <c r="F119" s="73">
        <v>0</v>
      </c>
      <c r="G119" s="11">
        <f>SUMIF(PoleRates!$E$4:$E$131,$W119,PoleRates!$F$4:$F$131)</f>
        <v>3.56</v>
      </c>
      <c r="H119" s="13">
        <f t="shared" si="17"/>
        <v>0</v>
      </c>
      <c r="I119" s="85">
        <v>0</v>
      </c>
      <c r="J119" s="13">
        <f t="shared" si="43"/>
        <v>0</v>
      </c>
      <c r="K119" s="35">
        <f t="shared" si="26"/>
        <v>0</v>
      </c>
      <c r="L119" s="87">
        <f t="shared" si="19"/>
        <v>1</v>
      </c>
      <c r="M119" s="86">
        <f t="shared" si="27"/>
        <v>0</v>
      </c>
      <c r="N119" s="15">
        <f t="shared" si="46"/>
        <v>0</v>
      </c>
      <c r="O119" s="15">
        <f t="shared" si="30"/>
        <v>0</v>
      </c>
      <c r="V119" s="14">
        <f>IF(AB119=1,IF(V118=MiscData!$F$1,EOMONTH(V118,-11),EOMONTH(V118,1)),V118)</f>
        <v>41790</v>
      </c>
      <c r="W119" s="8" t="str">
        <f t="shared" si="22"/>
        <v>20140101LE_957BASE</v>
      </c>
      <c r="X119" s="12" t="str">
        <f t="shared" si="23"/>
        <v xml:space="preserve">20140101LS </v>
      </c>
      <c r="AA119">
        <f>MiscData!$X$5</f>
        <v>20140101</v>
      </c>
      <c r="AB119">
        <f>IF(AB118+1&gt;MiscData!$AF$28,1,AB118+1)</f>
        <v>22</v>
      </c>
      <c r="AC119" t="str">
        <f>VLOOKUP(AB119,MiscData!$AF$5:$AG$28,2,FALSE)</f>
        <v>LE_957BASE</v>
      </c>
      <c r="AD119" t="str">
        <f>VLOOKUP(AB119,MiscData!$AF$5:$AH$28,3,FALSE)</f>
        <v xml:space="preserve">LS </v>
      </c>
    </row>
    <row r="120" spans="1:30">
      <c r="A120" s="8">
        <f t="shared" si="32"/>
        <v>91</v>
      </c>
      <c r="B120" s="14" t="str">
        <f t="shared" si="24"/>
        <v>May 2014</v>
      </c>
      <c r="C120" s="24" t="str">
        <f t="shared" si="44"/>
        <v>RLS</v>
      </c>
      <c r="D120" s="24" t="str">
        <f t="shared" si="45"/>
        <v>LE_958POLE</v>
      </c>
      <c r="E120" s="73">
        <f t="shared" si="42"/>
        <v>37</v>
      </c>
      <c r="F120" s="73">
        <v>0</v>
      </c>
      <c r="G120" s="11">
        <f>SUMIF(PoleRates!$E$4:$E$131,$W120,PoleRates!$F$4:$F$131)</f>
        <v>11.31</v>
      </c>
      <c r="H120" s="13">
        <f t="shared" si="17"/>
        <v>418.47</v>
      </c>
      <c r="I120" s="85">
        <v>0</v>
      </c>
      <c r="J120" s="13">
        <f t="shared" si="43"/>
        <v>418.47</v>
      </c>
      <c r="K120" s="35">
        <f t="shared" si="26"/>
        <v>418.47</v>
      </c>
      <c r="L120" s="87">
        <f t="shared" si="19"/>
        <v>1</v>
      </c>
      <c r="M120" s="86">
        <f t="shared" si="27"/>
        <v>418.47</v>
      </c>
      <c r="N120" s="15">
        <f t="shared" si="46"/>
        <v>418.47</v>
      </c>
      <c r="O120" s="15">
        <f t="shared" si="30"/>
        <v>0</v>
      </c>
      <c r="V120" s="14">
        <f>IF(AB120=1,IF(V119=MiscData!$F$1,EOMONTH(V119,-11),EOMONTH(V119,1)),V119)</f>
        <v>41790</v>
      </c>
      <c r="W120" s="8" t="str">
        <f t="shared" si="22"/>
        <v>20140101LE_958POLE</v>
      </c>
      <c r="X120" s="12" t="str">
        <f t="shared" si="23"/>
        <v>20140101RLS</v>
      </c>
      <c r="AA120">
        <f>MiscData!$X$5</f>
        <v>20140101</v>
      </c>
      <c r="AB120">
        <f>IF(AB119+1&gt;MiscData!$AF$28,1,AB119+1)</f>
        <v>23</v>
      </c>
      <c r="AC120" t="str">
        <f>VLOOKUP(AB120,MiscData!$AF$5:$AG$28,2,FALSE)</f>
        <v>LE_958POLE</v>
      </c>
      <c r="AD120" t="str">
        <f>VLOOKUP(AB120,MiscData!$AF$5:$AH$28,3,FALSE)</f>
        <v>RLS</v>
      </c>
    </row>
    <row r="121" spans="1:30">
      <c r="A121" s="8">
        <f t="shared" si="32"/>
        <v>91</v>
      </c>
      <c r="B121" s="14" t="str">
        <f t="shared" si="24"/>
        <v>May 2014</v>
      </c>
      <c r="C121" s="24" t="str">
        <f t="shared" si="44"/>
        <v xml:space="preserve">LS </v>
      </c>
      <c r="D121" s="24" t="str">
        <f t="shared" si="45"/>
        <v>LE_958POLE</v>
      </c>
      <c r="E121" s="73">
        <f t="shared" si="42"/>
        <v>421</v>
      </c>
      <c r="F121" s="73">
        <v>0</v>
      </c>
      <c r="G121" s="11">
        <f>SUMIF(PoleRates!$E$4:$E$131,$W121,PoleRates!$F$4:$F$131)</f>
        <v>11.31</v>
      </c>
      <c r="H121" s="13">
        <f t="shared" si="17"/>
        <v>4761.51</v>
      </c>
      <c r="I121" s="85">
        <v>-1.1299999999999999</v>
      </c>
      <c r="J121" s="13">
        <f t="shared" si="43"/>
        <v>4760.38</v>
      </c>
      <c r="K121" s="35">
        <f t="shared" si="26"/>
        <v>4760.38</v>
      </c>
      <c r="L121" s="87">
        <f t="shared" si="19"/>
        <v>1</v>
      </c>
      <c r="M121" s="86">
        <f t="shared" si="27"/>
        <v>4760.38</v>
      </c>
      <c r="N121" s="15">
        <f t="shared" si="46"/>
        <v>4760.38</v>
      </c>
      <c r="O121" s="15">
        <f t="shared" si="30"/>
        <v>0</v>
      </c>
      <c r="V121" s="14">
        <f>IF(AB121=1,IF(V120=MiscData!$F$1,EOMONTH(V120,-11),EOMONTH(V120,1)),V120)</f>
        <v>41790</v>
      </c>
      <c r="W121" s="8" t="str">
        <f t="shared" si="22"/>
        <v>20140101LE_958POLE</v>
      </c>
      <c r="X121" s="12" t="str">
        <f t="shared" si="23"/>
        <v xml:space="preserve">20140101LS </v>
      </c>
      <c r="AA121">
        <f>MiscData!$X$5</f>
        <v>20140101</v>
      </c>
      <c r="AB121">
        <f>IF(AB120+1&gt;MiscData!$AF$28,1,AB120+1)</f>
        <v>24</v>
      </c>
      <c r="AC121" t="str">
        <f>VLOOKUP(AB121,MiscData!$AF$5:$AG$28,2,FALSE)</f>
        <v>LE_958POLE</v>
      </c>
      <c r="AD121" t="str">
        <f>VLOOKUP(AB121,MiscData!$AF$5:$AH$28,3,FALSE)</f>
        <v xml:space="preserve">LS </v>
      </c>
    </row>
    <row r="122" spans="1:30">
      <c r="A122" s="8">
        <f t="shared" si="32"/>
        <v>92</v>
      </c>
      <c r="B122" s="14" t="str">
        <f t="shared" si="24"/>
        <v>Jun 2014</v>
      </c>
      <c r="C122" s="24" t="str">
        <f t="shared" si="44"/>
        <v>RLS</v>
      </c>
      <c r="D122" s="24" t="str">
        <f t="shared" si="45"/>
        <v>LE_900POLE</v>
      </c>
      <c r="E122" s="73">
        <f t="shared" si="42"/>
        <v>1627</v>
      </c>
      <c r="F122" s="73">
        <v>0</v>
      </c>
      <c r="G122" s="11">
        <f>SUMIF(PoleRates!$E$4:$E$131,$W122,PoleRates!$F$4:$F$131)</f>
        <v>2.06</v>
      </c>
      <c r="H122" s="13">
        <f t="shared" si="17"/>
        <v>3351.62</v>
      </c>
      <c r="I122" s="85">
        <v>0.63</v>
      </c>
      <c r="J122" s="13">
        <f t="shared" si="43"/>
        <v>3352.25</v>
      </c>
      <c r="K122" s="35">
        <f t="shared" si="26"/>
        <v>3352.2499999999995</v>
      </c>
      <c r="L122" s="87">
        <f t="shared" si="19"/>
        <v>0.99999999999999989</v>
      </c>
      <c r="M122" s="86">
        <f t="shared" si="27"/>
        <v>3352.2499999999995</v>
      </c>
      <c r="N122" s="15">
        <f t="shared" si="46"/>
        <v>3352.25</v>
      </c>
      <c r="O122" s="15">
        <f t="shared" si="30"/>
        <v>0</v>
      </c>
      <c r="V122" s="14">
        <f>IF(AB122=1,IF(V121=MiscData!$F$1,EOMONTH(V121,-11),EOMONTH(V121,1)),V121)</f>
        <v>41820</v>
      </c>
      <c r="W122" s="8" t="str">
        <f t="shared" si="22"/>
        <v>20140101LE_900POLE</v>
      </c>
      <c r="X122" s="12" t="str">
        <f t="shared" si="23"/>
        <v>20140101RLS</v>
      </c>
      <c r="AA122">
        <f>MiscData!$X$5</f>
        <v>20140101</v>
      </c>
      <c r="AB122">
        <f>IF(AB121+1&gt;MiscData!$AF$28,1,AB121+1)</f>
        <v>1</v>
      </c>
      <c r="AC122" t="str">
        <f>VLOOKUP(AB122,MiscData!$AF$5:$AG$28,2,FALSE)</f>
        <v>LE_900POLE</v>
      </c>
      <c r="AD122" t="str">
        <f>VLOOKUP(AB122,MiscData!$AF$5:$AH$28,3,FALSE)</f>
        <v>RLS</v>
      </c>
    </row>
    <row r="123" spans="1:30">
      <c r="A123" s="8">
        <f t="shared" si="32"/>
        <v>92</v>
      </c>
      <c r="B123" s="14" t="str">
        <f t="shared" si="24"/>
        <v>Jun 2014</v>
      </c>
      <c r="C123" s="24" t="str">
        <f t="shared" si="44"/>
        <v xml:space="preserve">LS </v>
      </c>
      <c r="D123" s="24" t="str">
        <f t="shared" si="45"/>
        <v>LE_900POLE</v>
      </c>
      <c r="E123" s="73">
        <f t="shared" si="42"/>
        <v>5212</v>
      </c>
      <c r="F123" s="73">
        <v>0</v>
      </c>
      <c r="G123" s="11">
        <f>SUMIF(PoleRates!$E$4:$E$131,$W123,PoleRates!$F$4:$F$131)</f>
        <v>2.06</v>
      </c>
      <c r="H123" s="13">
        <f t="shared" si="17"/>
        <v>10736.72</v>
      </c>
      <c r="I123" s="85">
        <v>-0.55000000000000004</v>
      </c>
      <c r="J123" s="13">
        <f t="shared" si="43"/>
        <v>10736.17</v>
      </c>
      <c r="K123" s="35">
        <f t="shared" si="26"/>
        <v>10736.17</v>
      </c>
      <c r="L123" s="87">
        <f t="shared" si="19"/>
        <v>1</v>
      </c>
      <c r="M123" s="86">
        <f t="shared" si="27"/>
        <v>10736.17</v>
      </c>
      <c r="N123" s="15">
        <f t="shared" si="46"/>
        <v>10736.17</v>
      </c>
      <c r="O123" s="15">
        <f t="shared" si="30"/>
        <v>0</v>
      </c>
      <c r="V123" s="14">
        <f>IF(AB123=1,IF(V122=MiscData!$F$1,EOMONTH(V122,-11),EOMONTH(V122,1)),V122)</f>
        <v>41820</v>
      </c>
      <c r="W123" s="8" t="str">
        <f t="shared" si="22"/>
        <v>20140101LE_900POLE</v>
      </c>
      <c r="X123" s="12" t="str">
        <f t="shared" si="23"/>
        <v xml:space="preserve">20140101LS </v>
      </c>
      <c r="AA123">
        <f>MiscData!$X$5</f>
        <v>20140101</v>
      </c>
      <c r="AB123">
        <f>IF(AB122+1&gt;MiscData!$AF$28,1,AB122+1)</f>
        <v>2</v>
      </c>
      <c r="AC123" t="str">
        <f>VLOOKUP(AB123,MiscData!$AF$5:$AG$28,2,FALSE)</f>
        <v>LE_900POLE</v>
      </c>
      <c r="AD123" t="str">
        <f>VLOOKUP(AB123,MiscData!$AF$5:$AH$28,3,FALSE)</f>
        <v xml:space="preserve">LS </v>
      </c>
    </row>
    <row r="124" spans="1:30">
      <c r="A124" s="8">
        <f t="shared" si="32"/>
        <v>93</v>
      </c>
      <c r="B124" s="14" t="str">
        <f t="shared" si="24"/>
        <v>Jun 2014</v>
      </c>
      <c r="C124" s="24" t="str">
        <f t="shared" si="44"/>
        <v>RLS</v>
      </c>
      <c r="D124" s="24" t="str">
        <f t="shared" si="45"/>
        <v>LE_901POLE</v>
      </c>
      <c r="E124" s="73">
        <f t="shared" si="42"/>
        <v>155</v>
      </c>
      <c r="F124" s="73">
        <v>0</v>
      </c>
      <c r="G124" s="11">
        <f>SUMIF(PoleRates!$E$4:$E$131,$W124,PoleRates!$F$4:$F$131)</f>
        <v>10.81</v>
      </c>
      <c r="H124" s="13">
        <f t="shared" si="17"/>
        <v>1675.55</v>
      </c>
      <c r="I124" s="85">
        <v>0</v>
      </c>
      <c r="J124" s="13">
        <f t="shared" si="43"/>
        <v>1675.55</v>
      </c>
      <c r="K124" s="35">
        <f t="shared" si="26"/>
        <v>1675.55</v>
      </c>
      <c r="L124" s="87">
        <f t="shared" si="19"/>
        <v>1</v>
      </c>
      <c r="M124" s="86">
        <f t="shared" si="27"/>
        <v>1675.55</v>
      </c>
      <c r="N124" s="15">
        <f t="shared" si="46"/>
        <v>1675.55</v>
      </c>
      <c r="O124" s="15">
        <f t="shared" si="30"/>
        <v>0</v>
      </c>
      <c r="V124" s="14">
        <f>IF(AB124=1,IF(V123=MiscData!$F$1,EOMONTH(V123,-11),EOMONTH(V123,1)),V123)</f>
        <v>41820</v>
      </c>
      <c r="W124" s="8" t="str">
        <f t="shared" si="22"/>
        <v>20140101LE_901POLE</v>
      </c>
      <c r="X124" s="12" t="str">
        <f t="shared" si="23"/>
        <v>20140101RLS</v>
      </c>
      <c r="AA124">
        <f>MiscData!$X$5</f>
        <v>20140101</v>
      </c>
      <c r="AB124">
        <f>IF(AB123+1&gt;MiscData!$AF$28,1,AB123+1)</f>
        <v>3</v>
      </c>
      <c r="AC124" t="str">
        <f>VLOOKUP(AB124,MiscData!$AF$5:$AG$28,2,FALSE)</f>
        <v>LE_901POLE</v>
      </c>
      <c r="AD124" t="str">
        <f>VLOOKUP(AB124,MiscData!$AF$5:$AH$28,3,FALSE)</f>
        <v>RLS</v>
      </c>
    </row>
    <row r="125" spans="1:30">
      <c r="A125" s="8">
        <f t="shared" si="32"/>
        <v>93</v>
      </c>
      <c r="B125" s="14" t="str">
        <f t="shared" si="24"/>
        <v>Jun 2014</v>
      </c>
      <c r="C125" s="24" t="str">
        <f t="shared" si="44"/>
        <v xml:space="preserve">LS </v>
      </c>
      <c r="D125" s="24" t="str">
        <f t="shared" si="45"/>
        <v>LE_901POLE</v>
      </c>
      <c r="E125" s="73">
        <f t="shared" si="42"/>
        <v>0</v>
      </c>
      <c r="F125" s="73">
        <v>0</v>
      </c>
      <c r="G125" s="11">
        <f>SUMIF(PoleRates!$E$4:$E$131,$W125,PoleRates!$F$4:$F$131)</f>
        <v>10.81</v>
      </c>
      <c r="H125" s="13">
        <f t="shared" si="17"/>
        <v>0</v>
      </c>
      <c r="I125" s="85">
        <v>0</v>
      </c>
      <c r="J125" s="13">
        <f t="shared" si="43"/>
        <v>0</v>
      </c>
      <c r="K125" s="35">
        <f t="shared" si="26"/>
        <v>0</v>
      </c>
      <c r="L125" s="87">
        <f t="shared" si="19"/>
        <v>1</v>
      </c>
      <c r="M125" s="86">
        <f t="shared" si="27"/>
        <v>0</v>
      </c>
      <c r="N125" s="15">
        <f t="shared" si="46"/>
        <v>0</v>
      </c>
      <c r="O125" s="15">
        <f t="shared" si="30"/>
        <v>0</v>
      </c>
      <c r="V125" s="14">
        <f>IF(AB125=1,IF(V124=MiscData!$F$1,EOMONTH(V124,-11),EOMONTH(V124,1)),V124)</f>
        <v>41820</v>
      </c>
      <c r="W125" s="8" t="str">
        <f t="shared" si="22"/>
        <v>20140101LE_901POLE</v>
      </c>
      <c r="X125" s="12" t="str">
        <f t="shared" si="23"/>
        <v xml:space="preserve">20140101LS </v>
      </c>
      <c r="AA125">
        <f>MiscData!$X$5</f>
        <v>20140101</v>
      </c>
      <c r="AB125">
        <f>IF(AB124+1&gt;MiscData!$AF$28,1,AB124+1)</f>
        <v>4</v>
      </c>
      <c r="AC125" t="str">
        <f>VLOOKUP(AB125,MiscData!$AF$5:$AG$28,2,FALSE)</f>
        <v>LE_901POLE</v>
      </c>
      <c r="AD125" t="str">
        <f>VLOOKUP(AB125,MiscData!$AF$5:$AH$28,3,FALSE)</f>
        <v xml:space="preserve">LS </v>
      </c>
    </row>
    <row r="126" spans="1:30">
      <c r="A126" s="8">
        <f t="shared" si="32"/>
        <v>94</v>
      </c>
      <c r="B126" s="14" t="str">
        <f t="shared" si="24"/>
        <v>Jun 2014</v>
      </c>
      <c r="C126" s="24" t="str">
        <f t="shared" si="44"/>
        <v>RLS</v>
      </c>
      <c r="D126" s="24" t="str">
        <f t="shared" si="45"/>
        <v>LE_902POLE</v>
      </c>
      <c r="E126" s="73">
        <f t="shared" si="42"/>
        <v>277</v>
      </c>
      <c r="F126" s="73">
        <v>0</v>
      </c>
      <c r="G126" s="11">
        <f>SUMIF(PoleRates!$E$4:$E$131,$W126,PoleRates!$F$4:$F$131)</f>
        <v>12.9</v>
      </c>
      <c r="H126" s="13">
        <f t="shared" si="17"/>
        <v>3573.3</v>
      </c>
      <c r="I126" s="85">
        <v>0</v>
      </c>
      <c r="J126" s="13">
        <f t="shared" si="43"/>
        <v>3573.3</v>
      </c>
      <c r="K126" s="35">
        <f t="shared" si="26"/>
        <v>3573.3</v>
      </c>
      <c r="L126" s="87">
        <f t="shared" si="19"/>
        <v>1</v>
      </c>
      <c r="M126" s="86">
        <f t="shared" si="27"/>
        <v>3573.3</v>
      </c>
      <c r="N126" s="15">
        <f t="shared" si="46"/>
        <v>3573.3</v>
      </c>
      <c r="O126" s="15">
        <f t="shared" si="30"/>
        <v>0</v>
      </c>
      <c r="V126" s="14">
        <f>IF(AB126=1,IF(V125=MiscData!$F$1,EOMONTH(V125,-11),EOMONTH(V125,1)),V125)</f>
        <v>41820</v>
      </c>
      <c r="W126" s="8" t="str">
        <f t="shared" si="22"/>
        <v>20140101LE_902POLE</v>
      </c>
      <c r="X126" s="12" t="str">
        <f t="shared" si="23"/>
        <v>20140101RLS</v>
      </c>
      <c r="AA126">
        <f>MiscData!$X$5</f>
        <v>20140101</v>
      </c>
      <c r="AB126">
        <f>IF(AB125+1&gt;MiscData!$AF$28,1,AB125+1)</f>
        <v>5</v>
      </c>
      <c r="AC126" t="str">
        <f>VLOOKUP(AB126,MiscData!$AF$5:$AG$28,2,FALSE)</f>
        <v>LE_902POLE</v>
      </c>
      <c r="AD126" t="str">
        <f>VLOOKUP(AB126,MiscData!$AF$5:$AH$28,3,FALSE)</f>
        <v>RLS</v>
      </c>
    </row>
    <row r="127" spans="1:30">
      <c r="A127" s="8">
        <f t="shared" si="32"/>
        <v>94</v>
      </c>
      <c r="B127" s="14" t="str">
        <f t="shared" si="24"/>
        <v>Jun 2014</v>
      </c>
      <c r="C127" s="24" t="str">
        <f t="shared" si="44"/>
        <v xml:space="preserve">LS </v>
      </c>
      <c r="D127" s="24" t="str">
        <f t="shared" si="45"/>
        <v>LE_902POLE</v>
      </c>
      <c r="E127" s="73">
        <f t="shared" si="42"/>
        <v>3</v>
      </c>
      <c r="F127" s="73">
        <v>0</v>
      </c>
      <c r="G127" s="11">
        <f>SUMIF(PoleRates!$E$4:$E$131,$W127,PoleRates!$F$4:$F$131)</f>
        <v>12.9</v>
      </c>
      <c r="H127" s="13">
        <f t="shared" si="17"/>
        <v>38.700000000000003</v>
      </c>
      <c r="I127" s="85">
        <v>0</v>
      </c>
      <c r="J127" s="13">
        <f t="shared" si="43"/>
        <v>38.700000000000003</v>
      </c>
      <c r="K127" s="35">
        <f t="shared" si="26"/>
        <v>38.700000000000003</v>
      </c>
      <c r="L127" s="87">
        <f t="shared" si="19"/>
        <v>1</v>
      </c>
      <c r="M127" s="86">
        <f t="shared" si="27"/>
        <v>38.700000000000003</v>
      </c>
      <c r="N127" s="15">
        <f t="shared" si="46"/>
        <v>38.700000000000003</v>
      </c>
      <c r="O127" s="15">
        <f t="shared" si="30"/>
        <v>0</v>
      </c>
      <c r="V127" s="14">
        <f>IF(AB127=1,IF(V126=MiscData!$F$1,EOMONTH(V126,-11),EOMONTH(V126,1)),V126)</f>
        <v>41820</v>
      </c>
      <c r="W127" s="8" t="str">
        <f t="shared" si="22"/>
        <v>20140101LE_902POLE</v>
      </c>
      <c r="X127" s="12" t="str">
        <f t="shared" si="23"/>
        <v xml:space="preserve">20140101LS </v>
      </c>
      <c r="AA127">
        <f>MiscData!$X$5</f>
        <v>20140101</v>
      </c>
      <c r="AB127">
        <f>IF(AB126+1&gt;MiscData!$AF$28,1,AB126+1)</f>
        <v>6</v>
      </c>
      <c r="AC127" t="str">
        <f>VLOOKUP(AB127,MiscData!$AF$5:$AG$28,2,FALSE)</f>
        <v>LE_902POLE</v>
      </c>
      <c r="AD127" t="str">
        <f>VLOOKUP(AB127,MiscData!$AF$5:$AH$28,3,FALSE)</f>
        <v xml:space="preserve">LS </v>
      </c>
    </row>
    <row r="128" spans="1:30">
      <c r="A128" s="8">
        <f t="shared" si="32"/>
        <v>95</v>
      </c>
      <c r="B128" s="14" t="str">
        <f t="shared" si="24"/>
        <v>Jun 2014</v>
      </c>
      <c r="C128" s="24" t="str">
        <f t="shared" si="44"/>
        <v>RLS</v>
      </c>
      <c r="D128" s="24" t="str">
        <f t="shared" si="45"/>
        <v>LE_950BASE</v>
      </c>
      <c r="E128" s="73">
        <f t="shared" si="42"/>
        <v>75</v>
      </c>
      <c r="F128" s="73">
        <v>0</v>
      </c>
      <c r="G128" s="11">
        <f>SUMIF(PoleRates!$E$4:$E$131,$W128,PoleRates!$F$4:$F$131)</f>
        <v>3.47</v>
      </c>
      <c r="H128" s="13">
        <f t="shared" si="17"/>
        <v>260.25</v>
      </c>
      <c r="I128" s="85">
        <v>0</v>
      </c>
      <c r="J128" s="13">
        <f t="shared" si="43"/>
        <v>260.25</v>
      </c>
      <c r="K128" s="35">
        <f t="shared" si="26"/>
        <v>260.25</v>
      </c>
      <c r="L128" s="87">
        <f t="shared" si="19"/>
        <v>1</v>
      </c>
      <c r="M128" s="86">
        <f t="shared" si="27"/>
        <v>260.25</v>
      </c>
      <c r="N128" s="15">
        <f t="shared" si="46"/>
        <v>260.25</v>
      </c>
      <c r="O128" s="15">
        <f t="shared" si="30"/>
        <v>0</v>
      </c>
      <c r="V128" s="14">
        <f>IF(AB128=1,IF(V127=MiscData!$F$1,EOMONTH(V127,-11),EOMONTH(V127,1)),V127)</f>
        <v>41820</v>
      </c>
      <c r="W128" s="8" t="str">
        <f t="shared" si="22"/>
        <v>20140101LE_950BASE</v>
      </c>
      <c r="X128" s="12" t="str">
        <f t="shared" si="23"/>
        <v>20140101RLS</v>
      </c>
      <c r="AA128">
        <f>MiscData!$X$5</f>
        <v>20140101</v>
      </c>
      <c r="AB128">
        <f>IF(AB127+1&gt;MiscData!$AF$28,1,AB127+1)</f>
        <v>7</v>
      </c>
      <c r="AC128" t="str">
        <f>VLOOKUP(AB128,MiscData!$AF$5:$AG$28,2,FALSE)</f>
        <v>LE_950BASE</v>
      </c>
      <c r="AD128" t="str">
        <f>VLOOKUP(AB128,MiscData!$AF$5:$AH$28,3,FALSE)</f>
        <v>RLS</v>
      </c>
    </row>
    <row r="129" spans="1:30">
      <c r="A129" s="8">
        <f t="shared" si="32"/>
        <v>95</v>
      </c>
      <c r="B129" s="14" t="str">
        <f t="shared" si="24"/>
        <v>Jun 2014</v>
      </c>
      <c r="C129" s="24" t="str">
        <f t="shared" si="44"/>
        <v xml:space="preserve">LS </v>
      </c>
      <c r="D129" s="24" t="str">
        <f t="shared" si="45"/>
        <v>LE_950BASE</v>
      </c>
      <c r="E129" s="73">
        <f t="shared" si="42"/>
        <v>13</v>
      </c>
      <c r="F129" s="73">
        <v>0</v>
      </c>
      <c r="G129" s="11">
        <f>SUMIF(PoleRates!$E$4:$E$131,$W129,PoleRates!$F$4:$F$131)</f>
        <v>3.47</v>
      </c>
      <c r="H129" s="13">
        <f t="shared" si="17"/>
        <v>45.11</v>
      </c>
      <c r="I129" s="85">
        <v>0</v>
      </c>
      <c r="J129" s="13">
        <f t="shared" si="43"/>
        <v>45.11</v>
      </c>
      <c r="K129" s="35">
        <f t="shared" si="26"/>
        <v>45.11</v>
      </c>
      <c r="L129" s="87">
        <f t="shared" si="19"/>
        <v>1</v>
      </c>
      <c r="M129" s="86">
        <f t="shared" si="27"/>
        <v>45.11</v>
      </c>
      <c r="N129" s="15">
        <f t="shared" si="46"/>
        <v>45.11</v>
      </c>
      <c r="O129" s="15">
        <f t="shared" si="30"/>
        <v>0</v>
      </c>
      <c r="V129" s="14">
        <f>IF(AB129=1,IF(V128=MiscData!$F$1,EOMONTH(V128,-11),EOMONTH(V128,1)),V128)</f>
        <v>41820</v>
      </c>
      <c r="W129" s="8" t="str">
        <f t="shared" si="22"/>
        <v>20140101LE_950BASE</v>
      </c>
      <c r="X129" s="12" t="str">
        <f t="shared" si="23"/>
        <v xml:space="preserve">20140101LS </v>
      </c>
      <c r="AA129">
        <f>MiscData!$X$5</f>
        <v>20140101</v>
      </c>
      <c r="AB129">
        <f>IF(AB128+1&gt;MiscData!$AF$28,1,AB128+1)</f>
        <v>8</v>
      </c>
      <c r="AC129" t="str">
        <f>VLOOKUP(AB129,MiscData!$AF$5:$AG$28,2,FALSE)</f>
        <v>LE_950BASE</v>
      </c>
      <c r="AD129" t="str">
        <f>VLOOKUP(AB129,MiscData!$AF$5:$AH$28,3,FALSE)</f>
        <v xml:space="preserve">LS </v>
      </c>
    </row>
    <row r="130" spans="1:30">
      <c r="A130" s="8">
        <f t="shared" si="32"/>
        <v>96</v>
      </c>
      <c r="B130" s="14" t="str">
        <f t="shared" si="24"/>
        <v>Jun 2014</v>
      </c>
      <c r="C130" s="24" t="str">
        <f t="shared" si="44"/>
        <v>RLS</v>
      </c>
      <c r="D130" s="24" t="str">
        <f t="shared" si="45"/>
        <v>LE_951BASE</v>
      </c>
      <c r="E130" s="73">
        <f t="shared" ref="E130:E281" si="47">SUMIFS(L_1051_Count_Total,L_1051_Revenue_Month,$B130,L_1051_RateCategory,$D130,L_1051_Light_Category,C130)</f>
        <v>195</v>
      </c>
      <c r="F130" s="73">
        <v>0</v>
      </c>
      <c r="G130" s="11">
        <f>SUMIF(PoleRates!$E$4:$E$131,$W130,PoleRates!$F$4:$F$131)</f>
        <v>3.73</v>
      </c>
      <c r="H130" s="13">
        <f t="shared" si="17"/>
        <v>727.35</v>
      </c>
      <c r="I130" s="85">
        <v>-3.73</v>
      </c>
      <c r="J130" s="13">
        <f t="shared" si="43"/>
        <v>723.62</v>
      </c>
      <c r="K130" s="35">
        <f t="shared" ref="K130:K193" si="48">SUMIFS(L_1051_Revenue_Total,L_1051_Revenue_Month,$B130,L_1051_RateCategory,$D130,L_1051_Light_Category,C130)</f>
        <v>723.62</v>
      </c>
      <c r="L130" s="87">
        <f t="shared" si="19"/>
        <v>1</v>
      </c>
      <c r="M130" s="86">
        <f t="shared" ref="M130:M193" si="49">SUMIFS(L_1051_Revenue_Total,L_1051_Revenue_Month,$B130,L_1051_RateCategory,$D130,L_1051_Light_Category,C130)</f>
        <v>723.62</v>
      </c>
      <c r="N130" s="15">
        <f t="shared" si="46"/>
        <v>723.62</v>
      </c>
      <c r="O130" s="15">
        <f t="shared" si="30"/>
        <v>0</v>
      </c>
      <c r="V130" s="14">
        <f>IF(AB130=1,IF(V129=MiscData!$F$1,EOMONTH(V129,-11),EOMONTH(V129,1)),V129)</f>
        <v>41820</v>
      </c>
      <c r="W130" s="8" t="str">
        <f t="shared" si="22"/>
        <v>20140101LE_951BASE</v>
      </c>
      <c r="X130" s="12" t="str">
        <f t="shared" si="23"/>
        <v>20140101RLS</v>
      </c>
      <c r="AA130">
        <f>MiscData!$X$5</f>
        <v>20140101</v>
      </c>
      <c r="AB130">
        <f>IF(AB129+1&gt;MiscData!$AF$28,1,AB129+1)</f>
        <v>9</v>
      </c>
      <c r="AC130" t="str">
        <f>VLOOKUP(AB130,MiscData!$AF$5:$AG$28,2,FALSE)</f>
        <v>LE_951BASE</v>
      </c>
      <c r="AD130" t="str">
        <f>VLOOKUP(AB130,MiscData!$AF$5:$AH$28,3,FALSE)</f>
        <v>RLS</v>
      </c>
    </row>
    <row r="131" spans="1:30">
      <c r="A131" s="8">
        <f t="shared" si="32"/>
        <v>96</v>
      </c>
      <c r="B131" s="14" t="str">
        <f t="shared" si="24"/>
        <v>Jun 2014</v>
      </c>
      <c r="C131" s="24" t="str">
        <f t="shared" si="44"/>
        <v xml:space="preserve">LS </v>
      </c>
      <c r="D131" s="24" t="str">
        <f t="shared" si="45"/>
        <v>LE_951BASE</v>
      </c>
      <c r="E131" s="73">
        <f t="shared" si="47"/>
        <v>75</v>
      </c>
      <c r="F131" s="73">
        <v>0</v>
      </c>
      <c r="G131" s="11">
        <f>SUMIF(PoleRates!$E$4:$E$131,$W131,PoleRates!$F$4:$F$131)</f>
        <v>3.73</v>
      </c>
      <c r="H131" s="13">
        <f t="shared" si="17"/>
        <v>279.75</v>
      </c>
      <c r="I131" s="85">
        <v>-11.19</v>
      </c>
      <c r="J131" s="13">
        <f t="shared" si="43"/>
        <v>268.56</v>
      </c>
      <c r="K131" s="35">
        <f t="shared" si="48"/>
        <v>268.56</v>
      </c>
      <c r="L131" s="87">
        <f t="shared" si="19"/>
        <v>1</v>
      </c>
      <c r="M131" s="86">
        <f t="shared" si="49"/>
        <v>268.56</v>
      </c>
      <c r="N131" s="15">
        <f t="shared" si="46"/>
        <v>268.56</v>
      </c>
      <c r="O131" s="15">
        <f t="shared" si="30"/>
        <v>0</v>
      </c>
      <c r="V131" s="14">
        <f>IF(AB131=1,IF(V130=MiscData!$F$1,EOMONTH(V130,-11),EOMONTH(V130,1)),V130)</f>
        <v>41820</v>
      </c>
      <c r="W131" s="8" t="str">
        <f t="shared" si="22"/>
        <v>20140101LE_951BASE</v>
      </c>
      <c r="X131" s="12" t="str">
        <f t="shared" si="23"/>
        <v xml:space="preserve">20140101LS </v>
      </c>
      <c r="AA131">
        <f>MiscData!$X$5</f>
        <v>20140101</v>
      </c>
      <c r="AB131">
        <f>IF(AB130+1&gt;MiscData!$AF$28,1,AB130+1)</f>
        <v>10</v>
      </c>
      <c r="AC131" t="str">
        <f>VLOOKUP(AB131,MiscData!$AF$5:$AG$28,2,FALSE)</f>
        <v>LE_951BASE</v>
      </c>
      <c r="AD131" t="str">
        <f>VLOOKUP(AB131,MiscData!$AF$5:$AH$28,3,FALSE)</f>
        <v xml:space="preserve">LS </v>
      </c>
    </row>
    <row r="132" spans="1:30">
      <c r="A132" s="8">
        <f t="shared" si="32"/>
        <v>97</v>
      </c>
      <c r="B132" s="14" t="str">
        <f t="shared" si="24"/>
        <v>Jun 2014</v>
      </c>
      <c r="C132" s="24" t="str">
        <f t="shared" si="44"/>
        <v>RLS</v>
      </c>
      <c r="D132" s="24" t="str">
        <f t="shared" si="45"/>
        <v>LE_952BASE</v>
      </c>
      <c r="E132" s="73">
        <f t="shared" si="47"/>
        <v>0</v>
      </c>
      <c r="F132" s="73">
        <v>0</v>
      </c>
      <c r="G132" s="11">
        <f>SUMIF(PoleRates!$E$4:$E$131,$W132,PoleRates!$F$4:$F$131)</f>
        <v>3.56</v>
      </c>
      <c r="H132" s="13">
        <f t="shared" si="17"/>
        <v>0</v>
      </c>
      <c r="I132" s="85">
        <v>0</v>
      </c>
      <c r="J132" s="13">
        <f t="shared" si="43"/>
        <v>0</v>
      </c>
      <c r="K132" s="35">
        <f t="shared" si="48"/>
        <v>0</v>
      </c>
      <c r="L132" s="87">
        <f t="shared" si="19"/>
        <v>1</v>
      </c>
      <c r="M132" s="86">
        <f t="shared" si="49"/>
        <v>0</v>
      </c>
      <c r="N132" s="15">
        <f t="shared" si="46"/>
        <v>0</v>
      </c>
      <c r="O132" s="15">
        <f t="shared" si="30"/>
        <v>0</v>
      </c>
      <c r="V132" s="14">
        <f>IF(AB132=1,IF(V131=MiscData!$F$1,EOMONTH(V131,-11),EOMONTH(V131,1)),V131)</f>
        <v>41820</v>
      </c>
      <c r="W132" s="8" t="str">
        <f t="shared" si="22"/>
        <v>20140101LE_952BASE</v>
      </c>
      <c r="X132" s="12" t="str">
        <f t="shared" si="23"/>
        <v>20140101RLS</v>
      </c>
      <c r="AA132">
        <f>MiscData!$X$5</f>
        <v>20140101</v>
      </c>
      <c r="AB132">
        <f>IF(AB131+1&gt;MiscData!$AF$28,1,AB131+1)</f>
        <v>11</v>
      </c>
      <c r="AC132" t="str">
        <f>VLOOKUP(AB132,MiscData!$AF$5:$AG$28,2,FALSE)</f>
        <v>LE_952BASE</v>
      </c>
      <c r="AD132" t="str">
        <f>VLOOKUP(AB132,MiscData!$AF$5:$AH$28,3,FALSE)</f>
        <v>RLS</v>
      </c>
    </row>
    <row r="133" spans="1:30">
      <c r="A133" s="8">
        <f t="shared" si="32"/>
        <v>97</v>
      </c>
      <c r="B133" s="14" t="str">
        <f t="shared" si="24"/>
        <v>Jun 2014</v>
      </c>
      <c r="C133" s="24" t="str">
        <f t="shared" si="44"/>
        <v xml:space="preserve">LS </v>
      </c>
      <c r="D133" s="24" t="str">
        <f t="shared" si="45"/>
        <v>LE_952BASE</v>
      </c>
      <c r="E133" s="73">
        <f t="shared" si="47"/>
        <v>0</v>
      </c>
      <c r="F133" s="73">
        <v>0</v>
      </c>
      <c r="G133" s="11">
        <f>SUMIF(PoleRates!$E$4:$E$131,$W133,PoleRates!$F$4:$F$131)</f>
        <v>3.56</v>
      </c>
      <c r="H133" s="13">
        <f t="shared" si="17"/>
        <v>0</v>
      </c>
      <c r="I133" s="85">
        <v>0</v>
      </c>
      <c r="J133" s="13">
        <f t="shared" si="43"/>
        <v>0</v>
      </c>
      <c r="K133" s="35">
        <f t="shared" si="48"/>
        <v>0</v>
      </c>
      <c r="L133" s="87">
        <f t="shared" si="19"/>
        <v>1</v>
      </c>
      <c r="M133" s="86">
        <f t="shared" si="49"/>
        <v>0</v>
      </c>
      <c r="N133" s="15">
        <f t="shared" si="46"/>
        <v>0</v>
      </c>
      <c r="O133" s="15">
        <f t="shared" si="30"/>
        <v>0</v>
      </c>
      <c r="V133" s="14">
        <f>IF(AB133=1,IF(V132=MiscData!$F$1,EOMONTH(V132,-11),EOMONTH(V132,1)),V132)</f>
        <v>41820</v>
      </c>
      <c r="W133" s="8" t="str">
        <f t="shared" si="22"/>
        <v>20140101LE_952BASE</v>
      </c>
      <c r="X133" s="12" t="str">
        <f t="shared" si="23"/>
        <v xml:space="preserve">20140101LS </v>
      </c>
      <c r="AA133">
        <f>MiscData!$X$5</f>
        <v>20140101</v>
      </c>
      <c r="AB133">
        <f>IF(AB132+1&gt;MiscData!$AF$28,1,AB132+1)</f>
        <v>12</v>
      </c>
      <c r="AC133" t="str">
        <f>VLOOKUP(AB133,MiscData!$AF$5:$AG$28,2,FALSE)</f>
        <v>LE_952BASE</v>
      </c>
      <c r="AD133" t="str">
        <f>VLOOKUP(AB133,MiscData!$AF$5:$AH$28,3,FALSE)</f>
        <v xml:space="preserve">LS </v>
      </c>
    </row>
    <row r="134" spans="1:30">
      <c r="A134" s="8">
        <f>A110+1</f>
        <v>87</v>
      </c>
      <c r="B134" s="14" t="str">
        <f t="shared" ref="B134:B221" si="50">TEXT(V134,"mmm yyyy")</f>
        <v>Jun 2014</v>
      </c>
      <c r="C134" s="24" t="str">
        <f t="shared" ref="C134:C221" si="51">AD134</f>
        <v>RLS</v>
      </c>
      <c r="D134" s="24" t="str">
        <f t="shared" ref="D134:D221" si="52">AC134</f>
        <v>LE_953BASE</v>
      </c>
      <c r="E134" s="73">
        <f t="shared" ref="E134:E221" si="53">SUMIFS(L_1051_Count_Total,L_1051_Revenue_Month,$B134,L_1051_RateCategory,$D134,L_1051_Light_Category,C134)</f>
        <v>0</v>
      </c>
      <c r="F134" s="73">
        <v>0</v>
      </c>
      <c r="G134" s="11">
        <f>SUMIF(PoleRates!$E$4:$E$131,$W134,PoleRates!$F$4:$F$131)</f>
        <v>3.73</v>
      </c>
      <c r="H134" s="13">
        <f t="shared" ref="H134:H221" si="54">ROUND(($E134+F134)*$G134,2)</f>
        <v>0</v>
      </c>
      <c r="I134" s="85">
        <v>0</v>
      </c>
      <c r="J134" s="13">
        <f t="shared" si="43"/>
        <v>0</v>
      </c>
      <c r="K134" s="35">
        <f t="shared" si="48"/>
        <v>0</v>
      </c>
      <c r="L134" s="87">
        <f t="shared" ref="L134:L221" si="55">IF(AND(J134=0,K134=0),1,IF(J134=0,0,K134/J134))</f>
        <v>1</v>
      </c>
      <c r="M134" s="86">
        <f t="shared" si="49"/>
        <v>0</v>
      </c>
      <c r="N134" s="15">
        <f t="shared" ref="N134:N221" si="56">J134</f>
        <v>0</v>
      </c>
      <c r="O134" s="15">
        <f t="shared" ref="O134:O221" si="57">ROUND(M134-N134,2)</f>
        <v>0</v>
      </c>
      <c r="V134" s="14">
        <f>IF(AB134=1,IF(V133=MiscData!$F$1,EOMONTH(V133,-11),EOMONTH(V133,1)),V133)</f>
        <v>41820</v>
      </c>
      <c r="W134" s="8" t="str">
        <f t="shared" ref="W134:W221" si="58">CONCATENATE(AA134&amp;AC134)</f>
        <v>20140101LE_953BASE</v>
      </c>
      <c r="X134" s="12" t="str">
        <f t="shared" ref="X134:X221" si="59">CONCATENATE(AA134&amp;AD134)</f>
        <v>20140101RLS</v>
      </c>
      <c r="AA134">
        <f>MiscData!$X$5</f>
        <v>20140101</v>
      </c>
      <c r="AB134">
        <f>IF(AB133+1&gt;MiscData!$AF$28,1,AB133+1)</f>
        <v>13</v>
      </c>
      <c r="AC134" t="str">
        <f>VLOOKUP(AB134,MiscData!$AF$5:$AG$28,2,FALSE)</f>
        <v>LE_953BASE</v>
      </c>
      <c r="AD134" t="str">
        <f>VLOOKUP(AB134,MiscData!$AF$5:$AH$28,3,FALSE)</f>
        <v>RLS</v>
      </c>
    </row>
    <row r="135" spans="1:30">
      <c r="A135" s="8">
        <f>A111+1</f>
        <v>87</v>
      </c>
      <c r="B135" s="14" t="str">
        <f t="shared" si="50"/>
        <v>Jun 2014</v>
      </c>
      <c r="C135" s="24" t="str">
        <f t="shared" si="51"/>
        <v xml:space="preserve">LS </v>
      </c>
      <c r="D135" s="24" t="str">
        <f t="shared" si="52"/>
        <v>LE_953BASE</v>
      </c>
      <c r="E135" s="73">
        <f t="shared" si="53"/>
        <v>0</v>
      </c>
      <c r="F135" s="73">
        <v>0</v>
      </c>
      <c r="G135" s="11">
        <f>SUMIF(PoleRates!$E$4:$E$131,$W135,PoleRates!$F$4:$F$131)</f>
        <v>3.73</v>
      </c>
      <c r="H135" s="13">
        <f t="shared" si="54"/>
        <v>0</v>
      </c>
      <c r="I135" s="85">
        <v>0</v>
      </c>
      <c r="J135" s="13">
        <f t="shared" si="43"/>
        <v>0</v>
      </c>
      <c r="K135" s="35">
        <f t="shared" si="48"/>
        <v>0</v>
      </c>
      <c r="L135" s="87">
        <f t="shared" si="55"/>
        <v>1</v>
      </c>
      <c r="M135" s="86">
        <f t="shared" si="49"/>
        <v>0</v>
      </c>
      <c r="N135" s="15">
        <f t="shared" si="56"/>
        <v>0</v>
      </c>
      <c r="O135" s="15">
        <f t="shared" si="57"/>
        <v>0</v>
      </c>
      <c r="V135" s="14">
        <f>IF(AB135=1,IF(V134=MiscData!$F$1,EOMONTH(V134,-11),EOMONTH(V134,1)),V134)</f>
        <v>41820</v>
      </c>
      <c r="W135" s="8" t="str">
        <f t="shared" si="58"/>
        <v>20140101LE_953BASE</v>
      </c>
      <c r="X135" s="12" t="str">
        <f t="shared" si="59"/>
        <v xml:space="preserve">20140101LS </v>
      </c>
      <c r="AA135">
        <f>MiscData!$X$5</f>
        <v>20140101</v>
      </c>
      <c r="AB135">
        <f>IF(AB134+1&gt;MiscData!$AF$28,1,AB134+1)</f>
        <v>14</v>
      </c>
      <c r="AC135" t="str">
        <f>VLOOKUP(AB135,MiscData!$AF$5:$AG$28,2,FALSE)</f>
        <v>LE_953BASE</v>
      </c>
      <c r="AD135" t="str">
        <f>VLOOKUP(AB135,MiscData!$AF$5:$AH$28,3,FALSE)</f>
        <v xml:space="preserve">LS </v>
      </c>
    </row>
    <row r="136" spans="1:30">
      <c r="A136" s="8">
        <f t="shared" ref="A136:A155" si="60">A134+1</f>
        <v>88</v>
      </c>
      <c r="B136" s="14" t="str">
        <f t="shared" si="50"/>
        <v>Jun 2014</v>
      </c>
      <c r="C136" s="24" t="str">
        <f t="shared" si="51"/>
        <v>RLS</v>
      </c>
      <c r="D136" s="24" t="str">
        <f t="shared" si="52"/>
        <v>LE_954BASE</v>
      </c>
      <c r="E136" s="73">
        <f t="shared" si="53"/>
        <v>0</v>
      </c>
      <c r="F136" s="73">
        <v>0</v>
      </c>
      <c r="G136" s="11">
        <f>SUMIF(PoleRates!$E$4:$E$131,$W136,PoleRates!$F$4:$F$131)</f>
        <v>3.47</v>
      </c>
      <c r="H136" s="13">
        <f t="shared" si="54"/>
        <v>0</v>
      </c>
      <c r="I136" s="85">
        <v>0</v>
      </c>
      <c r="J136" s="13">
        <f t="shared" si="43"/>
        <v>0</v>
      </c>
      <c r="K136" s="35">
        <f t="shared" si="48"/>
        <v>0</v>
      </c>
      <c r="L136" s="87">
        <f t="shared" si="55"/>
        <v>1</v>
      </c>
      <c r="M136" s="86">
        <f t="shared" si="49"/>
        <v>0</v>
      </c>
      <c r="N136" s="15">
        <f t="shared" si="56"/>
        <v>0</v>
      </c>
      <c r="O136" s="15">
        <f t="shared" si="57"/>
        <v>0</v>
      </c>
      <c r="V136" s="14">
        <f>IF(AB136=1,IF(V135=MiscData!$F$1,EOMONTH(V135,-11),EOMONTH(V135,1)),V135)</f>
        <v>41820</v>
      </c>
      <c r="W136" s="8" t="str">
        <f t="shared" si="58"/>
        <v>20140101LE_954BASE</v>
      </c>
      <c r="X136" s="12" t="str">
        <f t="shared" si="59"/>
        <v>20140101RLS</v>
      </c>
      <c r="AA136">
        <f>MiscData!$X$5</f>
        <v>20140101</v>
      </c>
      <c r="AB136">
        <f>IF(AB135+1&gt;MiscData!$AF$28,1,AB135+1)</f>
        <v>15</v>
      </c>
      <c r="AC136" t="str">
        <f>VLOOKUP(AB136,MiscData!$AF$5:$AG$28,2,FALSE)</f>
        <v>LE_954BASE</v>
      </c>
      <c r="AD136" t="str">
        <f>VLOOKUP(AB136,MiscData!$AF$5:$AH$28,3,FALSE)</f>
        <v>RLS</v>
      </c>
    </row>
    <row r="137" spans="1:30">
      <c r="A137" s="8">
        <f t="shared" si="60"/>
        <v>88</v>
      </c>
      <c r="B137" s="14" t="str">
        <f t="shared" si="50"/>
        <v>Jun 2014</v>
      </c>
      <c r="C137" s="24" t="str">
        <f t="shared" si="51"/>
        <v xml:space="preserve">LS </v>
      </c>
      <c r="D137" s="24" t="str">
        <f t="shared" si="52"/>
        <v>LE_954BASE</v>
      </c>
      <c r="E137" s="73">
        <f t="shared" si="53"/>
        <v>0</v>
      </c>
      <c r="F137" s="73">
        <v>0</v>
      </c>
      <c r="G137" s="11">
        <f>SUMIF(PoleRates!$E$4:$E$131,$W137,PoleRates!$F$4:$F$131)</f>
        <v>3.47</v>
      </c>
      <c r="H137" s="13">
        <f t="shared" si="54"/>
        <v>0</v>
      </c>
      <c r="I137" s="85">
        <v>0</v>
      </c>
      <c r="J137" s="13">
        <f t="shared" si="43"/>
        <v>0</v>
      </c>
      <c r="K137" s="35">
        <f t="shared" si="48"/>
        <v>0</v>
      </c>
      <c r="L137" s="87">
        <f t="shared" si="55"/>
        <v>1</v>
      </c>
      <c r="M137" s="86">
        <f t="shared" si="49"/>
        <v>0</v>
      </c>
      <c r="N137" s="15">
        <f t="shared" si="56"/>
        <v>0</v>
      </c>
      <c r="O137" s="15">
        <f t="shared" si="57"/>
        <v>0</v>
      </c>
      <c r="V137" s="14">
        <f>IF(AB137=1,IF(V136=MiscData!$F$1,EOMONTH(V136,-11),EOMONTH(V136,1)),V136)</f>
        <v>41820</v>
      </c>
      <c r="W137" s="8" t="str">
        <f t="shared" si="58"/>
        <v>20140101LE_954BASE</v>
      </c>
      <c r="X137" s="12" t="str">
        <f t="shared" si="59"/>
        <v xml:space="preserve">20140101LS </v>
      </c>
      <c r="AA137">
        <f>MiscData!$X$5</f>
        <v>20140101</v>
      </c>
      <c r="AB137">
        <f>IF(AB136+1&gt;MiscData!$AF$28,1,AB136+1)</f>
        <v>16</v>
      </c>
      <c r="AC137" t="str">
        <f>VLOOKUP(AB137,MiscData!$AF$5:$AG$28,2,FALSE)</f>
        <v>LE_954BASE</v>
      </c>
      <c r="AD137" t="str">
        <f>VLOOKUP(AB137,MiscData!$AF$5:$AH$28,3,FALSE)</f>
        <v xml:space="preserve">LS </v>
      </c>
    </row>
    <row r="138" spans="1:30">
      <c r="A138" s="8">
        <f t="shared" si="60"/>
        <v>89</v>
      </c>
      <c r="B138" s="14" t="str">
        <f t="shared" si="50"/>
        <v>Jun 2014</v>
      </c>
      <c r="C138" s="24" t="str">
        <f t="shared" si="51"/>
        <v>RLS</v>
      </c>
      <c r="D138" s="24" t="str">
        <f t="shared" si="52"/>
        <v>LE_955BASE</v>
      </c>
      <c r="E138" s="73">
        <f t="shared" si="53"/>
        <v>0</v>
      </c>
      <c r="F138" s="73">
        <v>0</v>
      </c>
      <c r="G138" s="11">
        <f>SUMIF(PoleRates!$E$4:$E$131,$W138,PoleRates!$F$4:$F$131)</f>
        <v>3.56</v>
      </c>
      <c r="H138" s="13">
        <f t="shared" si="54"/>
        <v>0</v>
      </c>
      <c r="I138" s="85">
        <v>0</v>
      </c>
      <c r="J138" s="13">
        <f t="shared" si="43"/>
        <v>0</v>
      </c>
      <c r="K138" s="35">
        <f t="shared" si="48"/>
        <v>0</v>
      </c>
      <c r="L138" s="87">
        <f t="shared" si="55"/>
        <v>1</v>
      </c>
      <c r="M138" s="86">
        <f t="shared" si="49"/>
        <v>0</v>
      </c>
      <c r="N138" s="15">
        <f t="shared" si="56"/>
        <v>0</v>
      </c>
      <c r="O138" s="15">
        <f t="shared" si="57"/>
        <v>0</v>
      </c>
      <c r="V138" s="14">
        <f>IF(AB138=1,IF(V137=MiscData!$F$1,EOMONTH(V137,-11),EOMONTH(V137,1)),V137)</f>
        <v>41820</v>
      </c>
      <c r="W138" s="8" t="str">
        <f t="shared" si="58"/>
        <v>20140101LE_955BASE</v>
      </c>
      <c r="X138" s="12" t="str">
        <f t="shared" si="59"/>
        <v>20140101RLS</v>
      </c>
      <c r="AA138">
        <f>MiscData!$X$5</f>
        <v>20140101</v>
      </c>
      <c r="AB138">
        <f>IF(AB137+1&gt;MiscData!$AF$28,1,AB137+1)</f>
        <v>17</v>
      </c>
      <c r="AC138" t="str">
        <f>VLOOKUP(AB138,MiscData!$AF$5:$AG$28,2,FALSE)</f>
        <v>LE_955BASE</v>
      </c>
      <c r="AD138" t="str">
        <f>VLOOKUP(AB138,MiscData!$AF$5:$AH$28,3,FALSE)</f>
        <v>RLS</v>
      </c>
    </row>
    <row r="139" spans="1:30">
      <c r="A139" s="8">
        <f t="shared" si="60"/>
        <v>89</v>
      </c>
      <c r="B139" s="14" t="str">
        <f t="shared" si="50"/>
        <v>Jun 2014</v>
      </c>
      <c r="C139" s="24" t="str">
        <f t="shared" si="51"/>
        <v xml:space="preserve">LS </v>
      </c>
      <c r="D139" s="24" t="str">
        <f t="shared" si="52"/>
        <v>LE_955BASE</v>
      </c>
      <c r="E139" s="73">
        <f t="shared" si="53"/>
        <v>0</v>
      </c>
      <c r="F139" s="73">
        <v>0</v>
      </c>
      <c r="G139" s="11">
        <f>SUMIF(PoleRates!$E$4:$E$131,$W139,PoleRates!$F$4:$F$131)</f>
        <v>3.56</v>
      </c>
      <c r="H139" s="13">
        <f t="shared" si="54"/>
        <v>0</v>
      </c>
      <c r="I139" s="85">
        <v>0</v>
      </c>
      <c r="J139" s="13">
        <f t="shared" si="43"/>
        <v>0</v>
      </c>
      <c r="K139" s="35">
        <f t="shared" si="48"/>
        <v>0</v>
      </c>
      <c r="L139" s="87">
        <f t="shared" si="55"/>
        <v>1</v>
      </c>
      <c r="M139" s="86">
        <f t="shared" si="49"/>
        <v>0</v>
      </c>
      <c r="N139" s="15">
        <f t="shared" si="56"/>
        <v>0</v>
      </c>
      <c r="O139" s="15">
        <f t="shared" si="57"/>
        <v>0</v>
      </c>
      <c r="V139" s="14">
        <f>IF(AB139=1,IF(V138=MiscData!$F$1,EOMONTH(V138,-11),EOMONTH(V138,1)),V138)</f>
        <v>41820</v>
      </c>
      <c r="W139" s="8" t="str">
        <f t="shared" si="58"/>
        <v>20140101LE_955BASE</v>
      </c>
      <c r="X139" s="12" t="str">
        <f t="shared" si="59"/>
        <v xml:space="preserve">20140101LS </v>
      </c>
      <c r="AA139">
        <f>MiscData!$X$5</f>
        <v>20140101</v>
      </c>
      <c r="AB139">
        <f>IF(AB138+1&gt;MiscData!$AF$28,1,AB138+1)</f>
        <v>18</v>
      </c>
      <c r="AC139" t="str">
        <f>VLOOKUP(AB139,MiscData!$AF$5:$AG$28,2,FALSE)</f>
        <v>LE_955BASE</v>
      </c>
      <c r="AD139" t="str">
        <f>VLOOKUP(AB139,MiscData!$AF$5:$AH$28,3,FALSE)</f>
        <v xml:space="preserve">LS </v>
      </c>
    </row>
    <row r="140" spans="1:30">
      <c r="A140" s="8">
        <f t="shared" si="60"/>
        <v>90</v>
      </c>
      <c r="B140" s="14" t="str">
        <f t="shared" si="50"/>
        <v>Jun 2014</v>
      </c>
      <c r="C140" s="24" t="str">
        <f t="shared" si="51"/>
        <v>RLS</v>
      </c>
      <c r="D140" s="24" t="str">
        <f t="shared" si="52"/>
        <v>LE_956BASE</v>
      </c>
      <c r="E140" s="73">
        <f t="shared" si="53"/>
        <v>239</v>
      </c>
      <c r="F140" s="73">
        <v>0</v>
      </c>
      <c r="G140" s="11">
        <f>SUMIF(PoleRates!$E$4:$E$131,$W140,PoleRates!$F$4:$F$131)</f>
        <v>3.56</v>
      </c>
      <c r="H140" s="13">
        <f t="shared" si="54"/>
        <v>850.84</v>
      </c>
      <c r="I140" s="85">
        <v>10.68</v>
      </c>
      <c r="J140" s="13">
        <f t="shared" si="43"/>
        <v>861.52</v>
      </c>
      <c r="K140" s="35">
        <f t="shared" si="48"/>
        <v>861.52</v>
      </c>
      <c r="L140" s="87">
        <f t="shared" si="55"/>
        <v>1</v>
      </c>
      <c r="M140" s="86">
        <f t="shared" si="49"/>
        <v>861.52</v>
      </c>
      <c r="N140" s="15">
        <f t="shared" si="56"/>
        <v>861.52</v>
      </c>
      <c r="O140" s="15">
        <f t="shared" si="57"/>
        <v>0</v>
      </c>
      <c r="V140" s="14">
        <f>IF(AB140=1,IF(V139=MiscData!$F$1,EOMONTH(V139,-11),EOMONTH(V139,1)),V139)</f>
        <v>41820</v>
      </c>
      <c r="W140" s="8" t="str">
        <f t="shared" si="58"/>
        <v>20140101LE_956BASE</v>
      </c>
      <c r="X140" s="12" t="str">
        <f t="shared" si="59"/>
        <v>20140101RLS</v>
      </c>
      <c r="AA140">
        <f>MiscData!$X$5</f>
        <v>20140101</v>
      </c>
      <c r="AB140">
        <f>IF(AB139+1&gt;MiscData!$AF$28,1,AB139+1)</f>
        <v>19</v>
      </c>
      <c r="AC140" t="str">
        <f>VLOOKUP(AB140,MiscData!$AF$5:$AG$28,2,FALSE)</f>
        <v>LE_956BASE</v>
      </c>
      <c r="AD140" t="str">
        <f>VLOOKUP(AB140,MiscData!$AF$5:$AH$28,3,FALSE)</f>
        <v>RLS</v>
      </c>
    </row>
    <row r="141" spans="1:30">
      <c r="A141" s="8">
        <f t="shared" si="60"/>
        <v>90</v>
      </c>
      <c r="B141" s="14" t="str">
        <f t="shared" si="50"/>
        <v>Jun 2014</v>
      </c>
      <c r="C141" s="24" t="str">
        <f t="shared" si="51"/>
        <v xml:space="preserve">LS </v>
      </c>
      <c r="D141" s="24" t="str">
        <f t="shared" si="52"/>
        <v>LE_956BASE</v>
      </c>
      <c r="E141" s="73">
        <f t="shared" si="53"/>
        <v>307</v>
      </c>
      <c r="F141" s="73">
        <v>-1</v>
      </c>
      <c r="G141" s="11">
        <f>SUMIF(PoleRates!$E$4:$E$131,$W141,PoleRates!$F$4:$F$131)</f>
        <v>3.56</v>
      </c>
      <c r="H141" s="13">
        <f t="shared" si="54"/>
        <v>1089.3599999999999</v>
      </c>
      <c r="I141" s="85">
        <v>21.36</v>
      </c>
      <c r="J141" s="13">
        <f t="shared" si="43"/>
        <v>1110.7199999999998</v>
      </c>
      <c r="K141" s="35">
        <f t="shared" si="48"/>
        <v>1110.72</v>
      </c>
      <c r="L141" s="87">
        <f t="shared" si="55"/>
        <v>1.0000000000000002</v>
      </c>
      <c r="M141" s="86">
        <f t="shared" si="49"/>
        <v>1110.72</v>
      </c>
      <c r="N141" s="15">
        <f t="shared" si="56"/>
        <v>1110.7199999999998</v>
      </c>
      <c r="O141" s="15">
        <f t="shared" si="57"/>
        <v>0</v>
      </c>
      <c r="V141" s="14">
        <f>IF(AB141=1,IF(V140=MiscData!$F$1,EOMONTH(V140,-11),EOMONTH(V140,1)),V140)</f>
        <v>41820</v>
      </c>
      <c r="W141" s="8" t="str">
        <f t="shared" si="58"/>
        <v>20140101LE_956BASE</v>
      </c>
      <c r="X141" s="12" t="str">
        <f t="shared" si="59"/>
        <v xml:space="preserve">20140101LS </v>
      </c>
      <c r="AA141">
        <f>MiscData!$X$5</f>
        <v>20140101</v>
      </c>
      <c r="AB141">
        <f>IF(AB140+1&gt;MiscData!$AF$28,1,AB140+1)</f>
        <v>20</v>
      </c>
      <c r="AC141" t="str">
        <f>VLOOKUP(AB141,MiscData!$AF$5:$AG$28,2,FALSE)</f>
        <v>LE_956BASE</v>
      </c>
      <c r="AD141" t="str">
        <f>VLOOKUP(AB141,MiscData!$AF$5:$AH$28,3,FALSE)</f>
        <v xml:space="preserve">LS </v>
      </c>
    </row>
    <row r="142" spans="1:30">
      <c r="A142" s="8">
        <f t="shared" si="60"/>
        <v>91</v>
      </c>
      <c r="B142" s="14" t="str">
        <f t="shared" si="50"/>
        <v>Jun 2014</v>
      </c>
      <c r="C142" s="24" t="str">
        <f t="shared" si="51"/>
        <v>RLS</v>
      </c>
      <c r="D142" s="24" t="str">
        <f t="shared" si="52"/>
        <v>LE_957BASE</v>
      </c>
      <c r="E142" s="73">
        <f t="shared" si="53"/>
        <v>0</v>
      </c>
      <c r="F142" s="73">
        <v>0</v>
      </c>
      <c r="G142" s="11">
        <f>SUMIF(PoleRates!$E$4:$E$131,$W142,PoleRates!$F$4:$F$131)</f>
        <v>3.56</v>
      </c>
      <c r="H142" s="13">
        <f t="shared" si="54"/>
        <v>0</v>
      </c>
      <c r="I142" s="85">
        <v>0</v>
      </c>
      <c r="J142" s="13">
        <f t="shared" si="43"/>
        <v>0</v>
      </c>
      <c r="K142" s="35">
        <f t="shared" si="48"/>
        <v>0</v>
      </c>
      <c r="L142" s="87">
        <f t="shared" si="55"/>
        <v>1</v>
      </c>
      <c r="M142" s="86">
        <f t="shared" si="49"/>
        <v>0</v>
      </c>
      <c r="N142" s="15">
        <f t="shared" si="56"/>
        <v>0</v>
      </c>
      <c r="O142" s="15">
        <f t="shared" si="57"/>
        <v>0</v>
      </c>
      <c r="V142" s="14">
        <f>IF(AB142=1,IF(V141=MiscData!$F$1,EOMONTH(V141,-11),EOMONTH(V141,1)),V141)</f>
        <v>41820</v>
      </c>
      <c r="W142" s="8" t="str">
        <f t="shared" si="58"/>
        <v>20140101LE_957BASE</v>
      </c>
      <c r="X142" s="12" t="str">
        <f t="shared" si="59"/>
        <v>20140101RLS</v>
      </c>
      <c r="AA142">
        <f>MiscData!$X$5</f>
        <v>20140101</v>
      </c>
      <c r="AB142">
        <f>IF(AB141+1&gt;MiscData!$AF$28,1,AB141+1)</f>
        <v>21</v>
      </c>
      <c r="AC142" t="str">
        <f>VLOOKUP(AB142,MiscData!$AF$5:$AG$28,2,FALSE)</f>
        <v>LE_957BASE</v>
      </c>
      <c r="AD142" t="str">
        <f>VLOOKUP(AB142,MiscData!$AF$5:$AH$28,3,FALSE)</f>
        <v>RLS</v>
      </c>
    </row>
    <row r="143" spans="1:30">
      <c r="A143" s="8">
        <f t="shared" si="60"/>
        <v>91</v>
      </c>
      <c r="B143" s="14" t="str">
        <f t="shared" si="50"/>
        <v>Jun 2014</v>
      </c>
      <c r="C143" s="24" t="str">
        <f t="shared" si="51"/>
        <v xml:space="preserve">LS </v>
      </c>
      <c r="D143" s="24" t="str">
        <f t="shared" si="52"/>
        <v>LE_957BASE</v>
      </c>
      <c r="E143" s="73">
        <f t="shared" si="53"/>
        <v>0</v>
      </c>
      <c r="F143" s="73">
        <v>0</v>
      </c>
      <c r="G143" s="11">
        <f>SUMIF(PoleRates!$E$4:$E$131,$W143,PoleRates!$F$4:$F$131)</f>
        <v>3.56</v>
      </c>
      <c r="H143" s="13">
        <f t="shared" si="54"/>
        <v>0</v>
      </c>
      <c r="I143" s="85">
        <v>0</v>
      </c>
      <c r="J143" s="13">
        <f t="shared" si="43"/>
        <v>0</v>
      </c>
      <c r="K143" s="35">
        <f t="shared" si="48"/>
        <v>0</v>
      </c>
      <c r="L143" s="87">
        <f t="shared" si="55"/>
        <v>1</v>
      </c>
      <c r="M143" s="86">
        <f t="shared" si="49"/>
        <v>0</v>
      </c>
      <c r="N143" s="15">
        <f t="shared" si="56"/>
        <v>0</v>
      </c>
      <c r="O143" s="15">
        <f t="shared" si="57"/>
        <v>0</v>
      </c>
      <c r="V143" s="14">
        <f>IF(AB143=1,IF(V142=MiscData!$F$1,EOMONTH(V142,-11),EOMONTH(V142,1)),V142)</f>
        <v>41820</v>
      </c>
      <c r="W143" s="8" t="str">
        <f t="shared" si="58"/>
        <v>20140101LE_957BASE</v>
      </c>
      <c r="X143" s="12" t="str">
        <f t="shared" si="59"/>
        <v xml:space="preserve">20140101LS </v>
      </c>
      <c r="AA143">
        <f>MiscData!$X$5</f>
        <v>20140101</v>
      </c>
      <c r="AB143">
        <f>IF(AB142+1&gt;MiscData!$AF$28,1,AB142+1)</f>
        <v>22</v>
      </c>
      <c r="AC143" t="str">
        <f>VLOOKUP(AB143,MiscData!$AF$5:$AG$28,2,FALSE)</f>
        <v>LE_957BASE</v>
      </c>
      <c r="AD143" t="str">
        <f>VLOOKUP(AB143,MiscData!$AF$5:$AH$28,3,FALSE)</f>
        <v xml:space="preserve">LS </v>
      </c>
    </row>
    <row r="144" spans="1:30">
      <c r="A144" s="8">
        <f t="shared" si="60"/>
        <v>92</v>
      </c>
      <c r="B144" s="14" t="str">
        <f t="shared" si="50"/>
        <v>Jun 2014</v>
      </c>
      <c r="C144" s="24" t="str">
        <f t="shared" si="51"/>
        <v>RLS</v>
      </c>
      <c r="D144" s="24" t="str">
        <f t="shared" si="52"/>
        <v>LE_958POLE</v>
      </c>
      <c r="E144" s="73">
        <f t="shared" si="53"/>
        <v>36</v>
      </c>
      <c r="F144" s="73">
        <v>0</v>
      </c>
      <c r="G144" s="11">
        <f>SUMIF(PoleRates!$E$4:$E$131,$W144,PoleRates!$F$4:$F$131)</f>
        <v>11.31</v>
      </c>
      <c r="H144" s="13">
        <f t="shared" si="54"/>
        <v>407.16</v>
      </c>
      <c r="I144" s="85">
        <v>0</v>
      </c>
      <c r="J144" s="13">
        <f t="shared" si="43"/>
        <v>407.16</v>
      </c>
      <c r="K144" s="35">
        <f t="shared" si="48"/>
        <v>407.16</v>
      </c>
      <c r="L144" s="87">
        <f t="shared" si="55"/>
        <v>1</v>
      </c>
      <c r="M144" s="86">
        <f t="shared" si="49"/>
        <v>407.16</v>
      </c>
      <c r="N144" s="15">
        <f t="shared" si="56"/>
        <v>407.16</v>
      </c>
      <c r="O144" s="15">
        <f t="shared" si="57"/>
        <v>0</v>
      </c>
      <c r="V144" s="14">
        <f>IF(AB144=1,IF(V143=MiscData!$F$1,EOMONTH(V143,-11),EOMONTH(V143,1)),V143)</f>
        <v>41820</v>
      </c>
      <c r="W144" s="8" t="str">
        <f t="shared" si="58"/>
        <v>20140101LE_958POLE</v>
      </c>
      <c r="X144" s="12" t="str">
        <f t="shared" si="59"/>
        <v>20140101RLS</v>
      </c>
      <c r="AA144">
        <f>MiscData!$X$5</f>
        <v>20140101</v>
      </c>
      <c r="AB144">
        <f>IF(AB143+1&gt;MiscData!$AF$28,1,AB143+1)</f>
        <v>23</v>
      </c>
      <c r="AC144" t="str">
        <f>VLOOKUP(AB144,MiscData!$AF$5:$AG$28,2,FALSE)</f>
        <v>LE_958POLE</v>
      </c>
      <c r="AD144" t="str">
        <f>VLOOKUP(AB144,MiscData!$AF$5:$AH$28,3,FALSE)</f>
        <v>RLS</v>
      </c>
    </row>
    <row r="145" spans="1:30">
      <c r="A145" s="8">
        <f t="shared" si="60"/>
        <v>92</v>
      </c>
      <c r="B145" s="14" t="str">
        <f t="shared" si="50"/>
        <v>Jun 2014</v>
      </c>
      <c r="C145" s="24" t="str">
        <f t="shared" si="51"/>
        <v xml:space="preserve">LS </v>
      </c>
      <c r="D145" s="24" t="str">
        <f t="shared" si="52"/>
        <v>LE_958POLE</v>
      </c>
      <c r="E145" s="73">
        <f t="shared" si="53"/>
        <v>416</v>
      </c>
      <c r="F145" s="73">
        <v>0</v>
      </c>
      <c r="G145" s="11">
        <f>SUMIF(PoleRates!$E$4:$E$131,$W145,PoleRates!$F$4:$F$131)</f>
        <v>11.31</v>
      </c>
      <c r="H145" s="13">
        <f t="shared" si="54"/>
        <v>4704.96</v>
      </c>
      <c r="I145" s="85">
        <v>0</v>
      </c>
      <c r="J145" s="13">
        <f t="shared" si="43"/>
        <v>4704.96</v>
      </c>
      <c r="K145" s="35">
        <f t="shared" si="48"/>
        <v>4704.96</v>
      </c>
      <c r="L145" s="87">
        <f t="shared" si="55"/>
        <v>1</v>
      </c>
      <c r="M145" s="86">
        <f t="shared" si="49"/>
        <v>4704.96</v>
      </c>
      <c r="N145" s="15">
        <f t="shared" si="56"/>
        <v>4704.96</v>
      </c>
      <c r="O145" s="15">
        <f t="shared" si="57"/>
        <v>0</v>
      </c>
      <c r="V145" s="14">
        <f>IF(AB145=1,IF(V144=MiscData!$F$1,EOMONTH(V144,-11),EOMONTH(V144,1)),V144)</f>
        <v>41820</v>
      </c>
      <c r="W145" s="8" t="str">
        <f t="shared" si="58"/>
        <v>20140101LE_958POLE</v>
      </c>
      <c r="X145" s="12" t="str">
        <f t="shared" si="59"/>
        <v xml:space="preserve">20140101LS </v>
      </c>
      <c r="AA145">
        <f>MiscData!$X$5</f>
        <v>20140101</v>
      </c>
      <c r="AB145">
        <f>IF(AB144+1&gt;MiscData!$AF$28,1,AB144+1)</f>
        <v>24</v>
      </c>
      <c r="AC145" t="str">
        <f>VLOOKUP(AB145,MiscData!$AF$5:$AG$28,2,FALSE)</f>
        <v>LE_958POLE</v>
      </c>
      <c r="AD145" t="str">
        <f>VLOOKUP(AB145,MiscData!$AF$5:$AH$28,3,FALSE)</f>
        <v xml:space="preserve">LS </v>
      </c>
    </row>
    <row r="146" spans="1:30">
      <c r="A146" s="8">
        <f t="shared" si="60"/>
        <v>93</v>
      </c>
      <c r="B146" s="14" t="str">
        <f t="shared" si="50"/>
        <v>Jul 2014</v>
      </c>
      <c r="C146" s="24" t="str">
        <f t="shared" si="51"/>
        <v>RLS</v>
      </c>
      <c r="D146" s="24" t="str">
        <f t="shared" si="52"/>
        <v>LE_900POLE</v>
      </c>
      <c r="E146" s="73">
        <f t="shared" si="53"/>
        <v>1627</v>
      </c>
      <c r="F146" s="73">
        <v>0</v>
      </c>
      <c r="G146" s="11">
        <f>SUMIF(PoleRates!$E$4:$E$131,$W146,PoleRates!$F$4:$F$131)</f>
        <v>2.06</v>
      </c>
      <c r="H146" s="13">
        <f t="shared" si="54"/>
        <v>3351.62</v>
      </c>
      <c r="I146" s="85">
        <v>-0.27</v>
      </c>
      <c r="J146" s="13">
        <f t="shared" si="43"/>
        <v>3351.35</v>
      </c>
      <c r="K146" s="35">
        <f t="shared" si="48"/>
        <v>3351.35</v>
      </c>
      <c r="L146" s="87">
        <f t="shared" si="55"/>
        <v>1</v>
      </c>
      <c r="M146" s="86">
        <f t="shared" si="49"/>
        <v>3351.35</v>
      </c>
      <c r="N146" s="15">
        <f t="shared" si="56"/>
        <v>3351.35</v>
      </c>
      <c r="O146" s="15">
        <f t="shared" si="57"/>
        <v>0</v>
      </c>
      <c r="V146" s="14">
        <f>IF(AB146=1,IF(V145=MiscData!$F$1,EOMONTH(V145,-11),EOMONTH(V145,1)),V145)</f>
        <v>41851</v>
      </c>
      <c r="W146" s="8" t="str">
        <f t="shared" si="58"/>
        <v>20140101LE_900POLE</v>
      </c>
      <c r="X146" s="12" t="str">
        <f t="shared" si="59"/>
        <v>20140101RLS</v>
      </c>
      <c r="AA146">
        <f>MiscData!$X$5</f>
        <v>20140101</v>
      </c>
      <c r="AB146">
        <f>IF(AB145+1&gt;MiscData!$AF$28,1,AB145+1)</f>
        <v>1</v>
      </c>
      <c r="AC146" t="str">
        <f>VLOOKUP(AB146,MiscData!$AF$5:$AG$28,2,FALSE)</f>
        <v>LE_900POLE</v>
      </c>
      <c r="AD146" t="str">
        <f>VLOOKUP(AB146,MiscData!$AF$5:$AH$28,3,FALSE)</f>
        <v>RLS</v>
      </c>
    </row>
    <row r="147" spans="1:30">
      <c r="A147" s="8">
        <f t="shared" si="60"/>
        <v>93</v>
      </c>
      <c r="B147" s="14" t="str">
        <f t="shared" si="50"/>
        <v>Jul 2014</v>
      </c>
      <c r="C147" s="24" t="str">
        <f t="shared" si="51"/>
        <v xml:space="preserve">LS </v>
      </c>
      <c r="D147" s="24" t="str">
        <f t="shared" si="52"/>
        <v>LE_900POLE</v>
      </c>
      <c r="E147" s="73">
        <f t="shared" si="53"/>
        <v>5224</v>
      </c>
      <c r="F147" s="73">
        <v>0</v>
      </c>
      <c r="G147" s="11">
        <f>SUMIF(PoleRates!$E$4:$E$131,$W147,PoleRates!$F$4:$F$131)</f>
        <v>2.06</v>
      </c>
      <c r="H147" s="13">
        <f t="shared" si="54"/>
        <v>10761.44</v>
      </c>
      <c r="I147" s="85">
        <v>0.08</v>
      </c>
      <c r="J147" s="13">
        <f t="shared" si="43"/>
        <v>10761.52</v>
      </c>
      <c r="K147" s="35">
        <f t="shared" si="48"/>
        <v>10761.520000000002</v>
      </c>
      <c r="L147" s="87">
        <f t="shared" si="55"/>
        <v>1.0000000000000002</v>
      </c>
      <c r="M147" s="86">
        <f t="shared" si="49"/>
        <v>10761.520000000002</v>
      </c>
      <c r="N147" s="15">
        <f t="shared" si="56"/>
        <v>10761.52</v>
      </c>
      <c r="O147" s="15">
        <f t="shared" si="57"/>
        <v>0</v>
      </c>
      <c r="V147" s="14">
        <f>IF(AB147=1,IF(V146=MiscData!$F$1,EOMONTH(V146,-11),EOMONTH(V146,1)),V146)</f>
        <v>41851</v>
      </c>
      <c r="W147" s="8" t="str">
        <f t="shared" si="58"/>
        <v>20140101LE_900POLE</v>
      </c>
      <c r="X147" s="12" t="str">
        <f t="shared" si="59"/>
        <v xml:space="preserve">20140101LS </v>
      </c>
      <c r="AA147">
        <f>MiscData!$X$5</f>
        <v>20140101</v>
      </c>
      <c r="AB147">
        <f>IF(AB146+1&gt;MiscData!$AF$28,1,AB146+1)</f>
        <v>2</v>
      </c>
      <c r="AC147" t="str">
        <f>VLOOKUP(AB147,MiscData!$AF$5:$AG$28,2,FALSE)</f>
        <v>LE_900POLE</v>
      </c>
      <c r="AD147" t="str">
        <f>VLOOKUP(AB147,MiscData!$AF$5:$AH$28,3,FALSE)</f>
        <v xml:space="preserve">LS </v>
      </c>
    </row>
    <row r="148" spans="1:30">
      <c r="A148" s="8">
        <f t="shared" si="60"/>
        <v>94</v>
      </c>
      <c r="B148" s="14" t="str">
        <f t="shared" si="50"/>
        <v>Jul 2014</v>
      </c>
      <c r="C148" s="24" t="str">
        <f t="shared" si="51"/>
        <v>RLS</v>
      </c>
      <c r="D148" s="24" t="str">
        <f t="shared" si="52"/>
        <v>LE_901POLE</v>
      </c>
      <c r="E148" s="73">
        <f t="shared" si="53"/>
        <v>155</v>
      </c>
      <c r="F148" s="73">
        <v>0</v>
      </c>
      <c r="G148" s="11">
        <f>SUMIF(PoleRates!$E$4:$E$131,$W148,PoleRates!$F$4:$F$131)</f>
        <v>10.81</v>
      </c>
      <c r="H148" s="13">
        <f t="shared" si="54"/>
        <v>1675.55</v>
      </c>
      <c r="I148" s="85">
        <v>0</v>
      </c>
      <c r="J148" s="13">
        <f t="shared" si="43"/>
        <v>1675.55</v>
      </c>
      <c r="K148" s="35">
        <f t="shared" si="48"/>
        <v>1675.55</v>
      </c>
      <c r="L148" s="87">
        <f t="shared" si="55"/>
        <v>1</v>
      </c>
      <c r="M148" s="86">
        <f t="shared" si="49"/>
        <v>1675.55</v>
      </c>
      <c r="N148" s="15">
        <f t="shared" si="56"/>
        <v>1675.55</v>
      </c>
      <c r="O148" s="15">
        <f t="shared" si="57"/>
        <v>0</v>
      </c>
      <c r="V148" s="14">
        <f>IF(AB148=1,IF(V147=MiscData!$F$1,EOMONTH(V147,-11),EOMONTH(V147,1)),V147)</f>
        <v>41851</v>
      </c>
      <c r="W148" s="8" t="str">
        <f t="shared" si="58"/>
        <v>20140101LE_901POLE</v>
      </c>
      <c r="X148" s="12" t="str">
        <f t="shared" si="59"/>
        <v>20140101RLS</v>
      </c>
      <c r="AA148">
        <f>MiscData!$X$5</f>
        <v>20140101</v>
      </c>
      <c r="AB148">
        <f>IF(AB147+1&gt;MiscData!$AF$28,1,AB147+1)</f>
        <v>3</v>
      </c>
      <c r="AC148" t="str">
        <f>VLOOKUP(AB148,MiscData!$AF$5:$AG$28,2,FALSE)</f>
        <v>LE_901POLE</v>
      </c>
      <c r="AD148" t="str">
        <f>VLOOKUP(AB148,MiscData!$AF$5:$AH$28,3,FALSE)</f>
        <v>RLS</v>
      </c>
    </row>
    <row r="149" spans="1:30">
      <c r="A149" s="8">
        <f t="shared" si="60"/>
        <v>94</v>
      </c>
      <c r="B149" s="14" t="str">
        <f t="shared" si="50"/>
        <v>Jul 2014</v>
      </c>
      <c r="C149" s="24" t="str">
        <f t="shared" si="51"/>
        <v xml:space="preserve">LS </v>
      </c>
      <c r="D149" s="24" t="str">
        <f t="shared" si="52"/>
        <v>LE_901POLE</v>
      </c>
      <c r="E149" s="73">
        <f t="shared" si="53"/>
        <v>0</v>
      </c>
      <c r="F149" s="73">
        <v>0</v>
      </c>
      <c r="G149" s="11">
        <f>SUMIF(PoleRates!$E$4:$E$131,$W149,PoleRates!$F$4:$F$131)</f>
        <v>10.81</v>
      </c>
      <c r="H149" s="13">
        <f t="shared" si="54"/>
        <v>0</v>
      </c>
      <c r="I149" s="85">
        <v>0</v>
      </c>
      <c r="J149" s="13">
        <f t="shared" si="43"/>
        <v>0</v>
      </c>
      <c r="K149" s="35">
        <f t="shared" si="48"/>
        <v>0</v>
      </c>
      <c r="L149" s="87">
        <f t="shared" si="55"/>
        <v>1</v>
      </c>
      <c r="M149" s="86">
        <f t="shared" si="49"/>
        <v>0</v>
      </c>
      <c r="N149" s="15">
        <f t="shared" si="56"/>
        <v>0</v>
      </c>
      <c r="O149" s="15">
        <f t="shared" si="57"/>
        <v>0</v>
      </c>
      <c r="V149" s="14">
        <f>IF(AB149=1,IF(V148=MiscData!$F$1,EOMONTH(V148,-11),EOMONTH(V148,1)),V148)</f>
        <v>41851</v>
      </c>
      <c r="W149" s="8" t="str">
        <f t="shared" si="58"/>
        <v>20140101LE_901POLE</v>
      </c>
      <c r="X149" s="12" t="str">
        <f t="shared" si="59"/>
        <v xml:space="preserve">20140101LS </v>
      </c>
      <c r="AA149">
        <f>MiscData!$X$5</f>
        <v>20140101</v>
      </c>
      <c r="AB149">
        <f>IF(AB148+1&gt;MiscData!$AF$28,1,AB148+1)</f>
        <v>4</v>
      </c>
      <c r="AC149" t="str">
        <f>VLOOKUP(AB149,MiscData!$AF$5:$AG$28,2,FALSE)</f>
        <v>LE_901POLE</v>
      </c>
      <c r="AD149" t="str">
        <f>VLOOKUP(AB149,MiscData!$AF$5:$AH$28,3,FALSE)</f>
        <v xml:space="preserve">LS </v>
      </c>
    </row>
    <row r="150" spans="1:30">
      <c r="A150" s="8">
        <f t="shared" si="60"/>
        <v>95</v>
      </c>
      <c r="B150" s="14" t="str">
        <f t="shared" si="50"/>
        <v>Jul 2014</v>
      </c>
      <c r="C150" s="24" t="str">
        <f t="shared" si="51"/>
        <v>RLS</v>
      </c>
      <c r="D150" s="24" t="str">
        <f t="shared" si="52"/>
        <v>LE_902POLE</v>
      </c>
      <c r="E150" s="73">
        <f t="shared" si="53"/>
        <v>277</v>
      </c>
      <c r="F150" s="73">
        <v>0</v>
      </c>
      <c r="G150" s="11">
        <f>SUMIF(PoleRates!$E$4:$E$131,$W150,PoleRates!$F$4:$F$131)</f>
        <v>12.9</v>
      </c>
      <c r="H150" s="13">
        <f t="shared" si="54"/>
        <v>3573.3</v>
      </c>
      <c r="I150" s="85">
        <v>0</v>
      </c>
      <c r="J150" s="13">
        <f t="shared" si="43"/>
        <v>3573.3</v>
      </c>
      <c r="K150" s="35">
        <f t="shared" si="48"/>
        <v>3573.3</v>
      </c>
      <c r="L150" s="87">
        <f t="shared" si="55"/>
        <v>1</v>
      </c>
      <c r="M150" s="86">
        <f t="shared" si="49"/>
        <v>3573.3</v>
      </c>
      <c r="N150" s="15">
        <f t="shared" si="56"/>
        <v>3573.3</v>
      </c>
      <c r="O150" s="15">
        <f t="shared" si="57"/>
        <v>0</v>
      </c>
      <c r="V150" s="14">
        <f>IF(AB150=1,IF(V149=MiscData!$F$1,EOMONTH(V149,-11),EOMONTH(V149,1)),V149)</f>
        <v>41851</v>
      </c>
      <c r="W150" s="8" t="str">
        <f t="shared" si="58"/>
        <v>20140101LE_902POLE</v>
      </c>
      <c r="X150" s="12" t="str">
        <f t="shared" si="59"/>
        <v>20140101RLS</v>
      </c>
      <c r="AA150">
        <f>MiscData!$X$5</f>
        <v>20140101</v>
      </c>
      <c r="AB150">
        <f>IF(AB149+1&gt;MiscData!$AF$28,1,AB149+1)</f>
        <v>5</v>
      </c>
      <c r="AC150" t="str">
        <f>VLOOKUP(AB150,MiscData!$AF$5:$AG$28,2,FALSE)</f>
        <v>LE_902POLE</v>
      </c>
      <c r="AD150" t="str">
        <f>VLOOKUP(AB150,MiscData!$AF$5:$AH$28,3,FALSE)</f>
        <v>RLS</v>
      </c>
    </row>
    <row r="151" spans="1:30">
      <c r="A151" s="8">
        <f t="shared" si="60"/>
        <v>95</v>
      </c>
      <c r="B151" s="14" t="str">
        <f t="shared" si="50"/>
        <v>Jul 2014</v>
      </c>
      <c r="C151" s="24" t="str">
        <f t="shared" si="51"/>
        <v xml:space="preserve">LS </v>
      </c>
      <c r="D151" s="24" t="str">
        <f t="shared" si="52"/>
        <v>LE_902POLE</v>
      </c>
      <c r="E151" s="73">
        <f t="shared" si="53"/>
        <v>3</v>
      </c>
      <c r="F151" s="73">
        <v>0</v>
      </c>
      <c r="G151" s="11">
        <f>SUMIF(PoleRates!$E$4:$E$131,$W151,PoleRates!$F$4:$F$131)</f>
        <v>12.9</v>
      </c>
      <c r="H151" s="13">
        <f t="shared" si="54"/>
        <v>38.700000000000003</v>
      </c>
      <c r="I151" s="85">
        <v>0</v>
      </c>
      <c r="J151" s="13">
        <f t="shared" si="43"/>
        <v>38.700000000000003</v>
      </c>
      <c r="K151" s="35">
        <f t="shared" si="48"/>
        <v>38.700000000000003</v>
      </c>
      <c r="L151" s="87">
        <f t="shared" si="55"/>
        <v>1</v>
      </c>
      <c r="M151" s="86">
        <f t="shared" si="49"/>
        <v>38.700000000000003</v>
      </c>
      <c r="N151" s="15">
        <f t="shared" si="56"/>
        <v>38.700000000000003</v>
      </c>
      <c r="O151" s="15">
        <f t="shared" si="57"/>
        <v>0</v>
      </c>
      <c r="V151" s="14">
        <f>IF(AB151=1,IF(V150=MiscData!$F$1,EOMONTH(V150,-11),EOMONTH(V150,1)),V150)</f>
        <v>41851</v>
      </c>
      <c r="W151" s="8" t="str">
        <f t="shared" si="58"/>
        <v>20140101LE_902POLE</v>
      </c>
      <c r="X151" s="12" t="str">
        <f t="shared" si="59"/>
        <v xml:space="preserve">20140101LS </v>
      </c>
      <c r="AA151">
        <f>MiscData!$X$5</f>
        <v>20140101</v>
      </c>
      <c r="AB151">
        <f>IF(AB150+1&gt;MiscData!$AF$28,1,AB150+1)</f>
        <v>6</v>
      </c>
      <c r="AC151" t="str">
        <f>VLOOKUP(AB151,MiscData!$AF$5:$AG$28,2,FALSE)</f>
        <v>LE_902POLE</v>
      </c>
      <c r="AD151" t="str">
        <f>VLOOKUP(AB151,MiscData!$AF$5:$AH$28,3,FALSE)</f>
        <v xml:space="preserve">LS </v>
      </c>
    </row>
    <row r="152" spans="1:30">
      <c r="A152" s="8">
        <f t="shared" si="60"/>
        <v>96</v>
      </c>
      <c r="B152" s="14" t="str">
        <f t="shared" si="50"/>
        <v>Jul 2014</v>
      </c>
      <c r="C152" s="24" t="str">
        <f t="shared" si="51"/>
        <v>RLS</v>
      </c>
      <c r="D152" s="24" t="str">
        <f t="shared" si="52"/>
        <v>LE_950BASE</v>
      </c>
      <c r="E152" s="73">
        <f t="shared" si="53"/>
        <v>75</v>
      </c>
      <c r="F152" s="73">
        <v>0</v>
      </c>
      <c r="G152" s="11">
        <f>SUMIF(PoleRates!$E$4:$E$131,$W152,PoleRates!$F$4:$F$131)</f>
        <v>3.47</v>
      </c>
      <c r="H152" s="13">
        <f t="shared" si="54"/>
        <v>260.25</v>
      </c>
      <c r="I152" s="85">
        <v>0</v>
      </c>
      <c r="J152" s="13">
        <f t="shared" si="43"/>
        <v>260.25</v>
      </c>
      <c r="K152" s="35">
        <f t="shared" si="48"/>
        <v>260.25</v>
      </c>
      <c r="L152" s="87">
        <f t="shared" si="55"/>
        <v>1</v>
      </c>
      <c r="M152" s="86">
        <f t="shared" si="49"/>
        <v>260.25</v>
      </c>
      <c r="N152" s="15">
        <f t="shared" si="56"/>
        <v>260.25</v>
      </c>
      <c r="O152" s="15">
        <f t="shared" si="57"/>
        <v>0</v>
      </c>
      <c r="V152" s="14">
        <f>IF(AB152=1,IF(V151=MiscData!$F$1,EOMONTH(V151,-11),EOMONTH(V151,1)),V151)</f>
        <v>41851</v>
      </c>
      <c r="W152" s="8" t="str">
        <f t="shared" si="58"/>
        <v>20140101LE_950BASE</v>
      </c>
      <c r="X152" s="12" t="str">
        <f t="shared" si="59"/>
        <v>20140101RLS</v>
      </c>
      <c r="AA152">
        <f>MiscData!$X$5</f>
        <v>20140101</v>
      </c>
      <c r="AB152">
        <f>IF(AB151+1&gt;MiscData!$AF$28,1,AB151+1)</f>
        <v>7</v>
      </c>
      <c r="AC152" t="str">
        <f>VLOOKUP(AB152,MiscData!$AF$5:$AG$28,2,FALSE)</f>
        <v>LE_950BASE</v>
      </c>
      <c r="AD152" t="str">
        <f>VLOOKUP(AB152,MiscData!$AF$5:$AH$28,3,FALSE)</f>
        <v>RLS</v>
      </c>
    </row>
    <row r="153" spans="1:30">
      <c r="A153" s="8">
        <f t="shared" si="60"/>
        <v>96</v>
      </c>
      <c r="B153" s="14" t="str">
        <f t="shared" si="50"/>
        <v>Jul 2014</v>
      </c>
      <c r="C153" s="24" t="str">
        <f t="shared" si="51"/>
        <v xml:space="preserve">LS </v>
      </c>
      <c r="D153" s="24" t="str">
        <f t="shared" si="52"/>
        <v>LE_950BASE</v>
      </c>
      <c r="E153" s="73">
        <f t="shared" si="53"/>
        <v>13</v>
      </c>
      <c r="F153" s="73">
        <v>0</v>
      </c>
      <c r="G153" s="11">
        <f>SUMIF(PoleRates!$E$4:$E$131,$W153,PoleRates!$F$4:$F$131)</f>
        <v>3.47</v>
      </c>
      <c r="H153" s="13">
        <f t="shared" si="54"/>
        <v>45.11</v>
      </c>
      <c r="I153" s="85">
        <v>0</v>
      </c>
      <c r="J153" s="13">
        <f t="shared" si="43"/>
        <v>45.11</v>
      </c>
      <c r="K153" s="35">
        <f t="shared" si="48"/>
        <v>45.11</v>
      </c>
      <c r="L153" s="87">
        <f t="shared" si="55"/>
        <v>1</v>
      </c>
      <c r="M153" s="86">
        <f t="shared" si="49"/>
        <v>45.11</v>
      </c>
      <c r="N153" s="15">
        <f t="shared" si="56"/>
        <v>45.11</v>
      </c>
      <c r="O153" s="15">
        <f t="shared" si="57"/>
        <v>0</v>
      </c>
      <c r="V153" s="14">
        <f>IF(AB153=1,IF(V152=MiscData!$F$1,EOMONTH(V152,-11),EOMONTH(V152,1)),V152)</f>
        <v>41851</v>
      </c>
      <c r="W153" s="8" t="str">
        <f t="shared" si="58"/>
        <v>20140101LE_950BASE</v>
      </c>
      <c r="X153" s="12" t="str">
        <f t="shared" si="59"/>
        <v xml:space="preserve">20140101LS </v>
      </c>
      <c r="AA153">
        <f>MiscData!$X$5</f>
        <v>20140101</v>
      </c>
      <c r="AB153">
        <f>IF(AB152+1&gt;MiscData!$AF$28,1,AB152+1)</f>
        <v>8</v>
      </c>
      <c r="AC153" t="str">
        <f>VLOOKUP(AB153,MiscData!$AF$5:$AG$28,2,FALSE)</f>
        <v>LE_950BASE</v>
      </c>
      <c r="AD153" t="str">
        <f>VLOOKUP(AB153,MiscData!$AF$5:$AH$28,3,FALSE)</f>
        <v xml:space="preserve">LS </v>
      </c>
    </row>
    <row r="154" spans="1:30">
      <c r="A154" s="8">
        <f t="shared" si="60"/>
        <v>97</v>
      </c>
      <c r="B154" s="14" t="str">
        <f t="shared" si="50"/>
        <v>Jul 2014</v>
      </c>
      <c r="C154" s="24" t="str">
        <f t="shared" si="51"/>
        <v>RLS</v>
      </c>
      <c r="D154" s="24" t="str">
        <f t="shared" si="52"/>
        <v>LE_951BASE</v>
      </c>
      <c r="E154" s="73">
        <f t="shared" si="53"/>
        <v>195</v>
      </c>
      <c r="F154" s="73">
        <v>0</v>
      </c>
      <c r="G154" s="11">
        <f>SUMIF(PoleRates!$E$4:$E$131,$W154,PoleRates!$F$4:$F$131)</f>
        <v>3.73</v>
      </c>
      <c r="H154" s="13">
        <f t="shared" si="54"/>
        <v>727.35</v>
      </c>
      <c r="I154" s="85">
        <v>-3.73</v>
      </c>
      <c r="J154" s="13">
        <f t="shared" si="43"/>
        <v>723.62</v>
      </c>
      <c r="K154" s="35">
        <f t="shared" si="48"/>
        <v>723.62</v>
      </c>
      <c r="L154" s="87">
        <f t="shared" si="55"/>
        <v>1</v>
      </c>
      <c r="M154" s="86">
        <f t="shared" si="49"/>
        <v>723.62</v>
      </c>
      <c r="N154" s="15">
        <f t="shared" si="56"/>
        <v>723.62</v>
      </c>
      <c r="O154" s="15">
        <f t="shared" si="57"/>
        <v>0</v>
      </c>
      <c r="V154" s="14">
        <f>IF(AB154=1,IF(V153=MiscData!$F$1,EOMONTH(V153,-11),EOMONTH(V153,1)),V153)</f>
        <v>41851</v>
      </c>
      <c r="W154" s="8" t="str">
        <f t="shared" si="58"/>
        <v>20140101LE_951BASE</v>
      </c>
      <c r="X154" s="12" t="str">
        <f t="shared" si="59"/>
        <v>20140101RLS</v>
      </c>
      <c r="AA154">
        <f>MiscData!$X$5</f>
        <v>20140101</v>
      </c>
      <c r="AB154">
        <f>IF(AB153+1&gt;MiscData!$AF$28,1,AB153+1)</f>
        <v>9</v>
      </c>
      <c r="AC154" t="str">
        <f>VLOOKUP(AB154,MiscData!$AF$5:$AG$28,2,FALSE)</f>
        <v>LE_951BASE</v>
      </c>
      <c r="AD154" t="str">
        <f>VLOOKUP(AB154,MiscData!$AF$5:$AH$28,3,FALSE)</f>
        <v>RLS</v>
      </c>
    </row>
    <row r="155" spans="1:30">
      <c r="A155" s="8">
        <f t="shared" si="60"/>
        <v>97</v>
      </c>
      <c r="B155" s="14" t="str">
        <f t="shared" si="50"/>
        <v>Jul 2014</v>
      </c>
      <c r="C155" s="24" t="str">
        <f t="shared" si="51"/>
        <v xml:space="preserve">LS </v>
      </c>
      <c r="D155" s="24" t="str">
        <f t="shared" si="52"/>
        <v>LE_951BASE</v>
      </c>
      <c r="E155" s="73">
        <f t="shared" si="53"/>
        <v>73</v>
      </c>
      <c r="F155" s="73">
        <v>0</v>
      </c>
      <c r="G155" s="11">
        <f>SUMIF(PoleRates!$E$4:$E$131,$W155,PoleRates!$F$4:$F$131)</f>
        <v>3.73</v>
      </c>
      <c r="H155" s="13">
        <f t="shared" si="54"/>
        <v>272.29000000000002</v>
      </c>
      <c r="I155" s="85">
        <v>-11.19</v>
      </c>
      <c r="J155" s="13">
        <f t="shared" si="43"/>
        <v>261.10000000000002</v>
      </c>
      <c r="K155" s="35">
        <f t="shared" si="48"/>
        <v>261.09999999999997</v>
      </c>
      <c r="L155" s="87">
        <f t="shared" si="55"/>
        <v>0.99999999999999978</v>
      </c>
      <c r="M155" s="86">
        <f t="shared" si="49"/>
        <v>261.09999999999997</v>
      </c>
      <c r="N155" s="15">
        <f t="shared" si="56"/>
        <v>261.10000000000002</v>
      </c>
      <c r="O155" s="15">
        <f t="shared" si="57"/>
        <v>0</v>
      </c>
      <c r="V155" s="14">
        <f>IF(AB155=1,IF(V154=MiscData!$F$1,EOMONTH(V154,-11),EOMONTH(V154,1)),V154)</f>
        <v>41851</v>
      </c>
      <c r="W155" s="8" t="str">
        <f t="shared" si="58"/>
        <v>20140101LE_951BASE</v>
      </c>
      <c r="X155" s="12" t="str">
        <f t="shared" si="59"/>
        <v xml:space="preserve">20140101LS </v>
      </c>
      <c r="AA155">
        <f>MiscData!$X$5</f>
        <v>20140101</v>
      </c>
      <c r="AB155">
        <f>IF(AB154+1&gt;MiscData!$AF$28,1,AB154+1)</f>
        <v>10</v>
      </c>
      <c r="AC155" t="str">
        <f>VLOOKUP(AB155,MiscData!$AF$5:$AG$28,2,FALSE)</f>
        <v>LE_951BASE</v>
      </c>
      <c r="AD155" t="str">
        <f>VLOOKUP(AB155,MiscData!$AF$5:$AH$28,3,FALSE)</f>
        <v xml:space="preserve">LS </v>
      </c>
    </row>
    <row r="156" spans="1:30">
      <c r="A156" s="8">
        <f>A66+1</f>
        <v>66</v>
      </c>
      <c r="B156" s="14" t="str">
        <f t="shared" si="50"/>
        <v>Jul 2014</v>
      </c>
      <c r="C156" s="24" t="str">
        <f t="shared" si="51"/>
        <v>RLS</v>
      </c>
      <c r="D156" s="24" t="str">
        <f t="shared" si="52"/>
        <v>LE_952BASE</v>
      </c>
      <c r="E156" s="73">
        <f t="shared" si="53"/>
        <v>0</v>
      </c>
      <c r="F156" s="73">
        <v>0</v>
      </c>
      <c r="G156" s="11">
        <f>SUMIF(PoleRates!$E$4:$E$131,$W156,PoleRates!$F$4:$F$131)</f>
        <v>3.56</v>
      </c>
      <c r="H156" s="13">
        <f t="shared" si="54"/>
        <v>0</v>
      </c>
      <c r="I156" s="85">
        <v>0</v>
      </c>
      <c r="J156" s="13">
        <f t="shared" si="43"/>
        <v>0</v>
      </c>
      <c r="K156" s="35">
        <f t="shared" si="48"/>
        <v>0</v>
      </c>
      <c r="L156" s="87">
        <f t="shared" si="55"/>
        <v>1</v>
      </c>
      <c r="M156" s="86">
        <f t="shared" si="49"/>
        <v>0</v>
      </c>
      <c r="N156" s="15">
        <f t="shared" si="56"/>
        <v>0</v>
      </c>
      <c r="O156" s="15">
        <f t="shared" si="57"/>
        <v>0</v>
      </c>
      <c r="V156" s="14">
        <f>IF(AB156=1,IF(V155=MiscData!$F$1,EOMONTH(V155,-11),EOMONTH(V155,1)),V155)</f>
        <v>41851</v>
      </c>
      <c r="W156" s="8" t="str">
        <f t="shared" si="58"/>
        <v>20140101LE_952BASE</v>
      </c>
      <c r="X156" s="12" t="str">
        <f t="shared" si="59"/>
        <v>20140101RLS</v>
      </c>
      <c r="AA156">
        <f>MiscData!$X$5</f>
        <v>20140101</v>
      </c>
      <c r="AB156">
        <f>IF(AB155+1&gt;MiscData!$AF$28,1,AB155+1)</f>
        <v>11</v>
      </c>
      <c r="AC156" t="str">
        <f>VLOOKUP(AB156,MiscData!$AF$5:$AG$28,2,FALSE)</f>
        <v>LE_952BASE</v>
      </c>
      <c r="AD156" t="str">
        <f>VLOOKUP(AB156,MiscData!$AF$5:$AH$28,3,FALSE)</f>
        <v>RLS</v>
      </c>
    </row>
    <row r="157" spans="1:30">
      <c r="A157" s="8">
        <f>A67+1</f>
        <v>66</v>
      </c>
      <c r="B157" s="14" t="str">
        <f t="shared" si="50"/>
        <v>Jul 2014</v>
      </c>
      <c r="C157" s="24" t="str">
        <f t="shared" si="51"/>
        <v xml:space="preserve">LS </v>
      </c>
      <c r="D157" s="24" t="str">
        <f t="shared" si="52"/>
        <v>LE_952BASE</v>
      </c>
      <c r="E157" s="73">
        <f t="shared" si="53"/>
        <v>0</v>
      </c>
      <c r="F157" s="73">
        <v>0</v>
      </c>
      <c r="G157" s="11">
        <f>SUMIF(PoleRates!$E$4:$E$131,$W157,PoleRates!$F$4:$F$131)</f>
        <v>3.56</v>
      </c>
      <c r="H157" s="13">
        <f t="shared" si="54"/>
        <v>0</v>
      </c>
      <c r="I157" s="85">
        <v>0</v>
      </c>
      <c r="J157" s="13">
        <f t="shared" si="43"/>
        <v>0</v>
      </c>
      <c r="K157" s="35">
        <f t="shared" si="48"/>
        <v>0</v>
      </c>
      <c r="L157" s="87">
        <f t="shared" si="55"/>
        <v>1</v>
      </c>
      <c r="M157" s="86">
        <f t="shared" si="49"/>
        <v>0</v>
      </c>
      <c r="N157" s="15">
        <f t="shared" si="56"/>
        <v>0</v>
      </c>
      <c r="O157" s="15">
        <f t="shared" si="57"/>
        <v>0</v>
      </c>
      <c r="V157" s="14">
        <f>IF(AB157=1,IF(V156=MiscData!$F$1,EOMONTH(V156,-11),EOMONTH(V156,1)),V156)</f>
        <v>41851</v>
      </c>
      <c r="W157" s="8" t="str">
        <f t="shared" si="58"/>
        <v>20140101LE_952BASE</v>
      </c>
      <c r="X157" s="12" t="str">
        <f t="shared" si="59"/>
        <v xml:space="preserve">20140101LS </v>
      </c>
      <c r="AA157">
        <f>MiscData!$X$5</f>
        <v>20140101</v>
      </c>
      <c r="AB157">
        <f>IF(AB156+1&gt;MiscData!$AF$28,1,AB156+1)</f>
        <v>12</v>
      </c>
      <c r="AC157" t="str">
        <f>VLOOKUP(AB157,MiscData!$AF$5:$AG$28,2,FALSE)</f>
        <v>LE_952BASE</v>
      </c>
      <c r="AD157" t="str">
        <f>VLOOKUP(AB157,MiscData!$AF$5:$AH$28,3,FALSE)</f>
        <v xml:space="preserve">LS </v>
      </c>
    </row>
    <row r="158" spans="1:30">
      <c r="A158" s="8">
        <f t="shared" ref="A158:A177" si="61">A156+1</f>
        <v>67</v>
      </c>
      <c r="B158" s="14" t="str">
        <f t="shared" si="50"/>
        <v>Jul 2014</v>
      </c>
      <c r="C158" s="24" t="str">
        <f t="shared" si="51"/>
        <v>RLS</v>
      </c>
      <c r="D158" s="24" t="str">
        <f t="shared" si="52"/>
        <v>LE_953BASE</v>
      </c>
      <c r="E158" s="73">
        <f t="shared" si="53"/>
        <v>0</v>
      </c>
      <c r="F158" s="73">
        <v>0</v>
      </c>
      <c r="G158" s="11">
        <f>SUMIF(PoleRates!$E$4:$E$131,$W158,PoleRates!$F$4:$F$131)</f>
        <v>3.73</v>
      </c>
      <c r="H158" s="13">
        <f t="shared" si="54"/>
        <v>0</v>
      </c>
      <c r="I158" s="85">
        <v>0</v>
      </c>
      <c r="J158" s="13">
        <f t="shared" si="43"/>
        <v>0</v>
      </c>
      <c r="K158" s="35">
        <f t="shared" si="48"/>
        <v>0</v>
      </c>
      <c r="L158" s="87">
        <f t="shared" si="55"/>
        <v>1</v>
      </c>
      <c r="M158" s="86">
        <f t="shared" si="49"/>
        <v>0</v>
      </c>
      <c r="N158" s="15">
        <f t="shared" si="56"/>
        <v>0</v>
      </c>
      <c r="O158" s="15">
        <f t="shared" si="57"/>
        <v>0</v>
      </c>
      <c r="V158" s="14">
        <f>IF(AB158=1,IF(V157=MiscData!$F$1,EOMONTH(V157,-11),EOMONTH(V157,1)),V157)</f>
        <v>41851</v>
      </c>
      <c r="W158" s="8" t="str">
        <f t="shared" si="58"/>
        <v>20140101LE_953BASE</v>
      </c>
      <c r="X158" s="12" t="str">
        <f t="shared" si="59"/>
        <v>20140101RLS</v>
      </c>
      <c r="AA158">
        <f>MiscData!$X$5</f>
        <v>20140101</v>
      </c>
      <c r="AB158">
        <f>IF(AB157+1&gt;MiscData!$AF$28,1,AB157+1)</f>
        <v>13</v>
      </c>
      <c r="AC158" t="str">
        <f>VLOOKUP(AB158,MiscData!$AF$5:$AG$28,2,FALSE)</f>
        <v>LE_953BASE</v>
      </c>
      <c r="AD158" t="str">
        <f>VLOOKUP(AB158,MiscData!$AF$5:$AH$28,3,FALSE)</f>
        <v>RLS</v>
      </c>
    </row>
    <row r="159" spans="1:30">
      <c r="A159" s="8">
        <f t="shared" si="61"/>
        <v>67</v>
      </c>
      <c r="B159" s="14" t="str">
        <f t="shared" si="50"/>
        <v>Jul 2014</v>
      </c>
      <c r="C159" s="24" t="str">
        <f t="shared" si="51"/>
        <v xml:space="preserve">LS </v>
      </c>
      <c r="D159" s="24" t="str">
        <f t="shared" si="52"/>
        <v>LE_953BASE</v>
      </c>
      <c r="E159" s="73">
        <f t="shared" si="53"/>
        <v>0</v>
      </c>
      <c r="F159" s="73">
        <v>0</v>
      </c>
      <c r="G159" s="11">
        <f>SUMIF(PoleRates!$E$4:$E$131,$W159,PoleRates!$F$4:$F$131)</f>
        <v>3.73</v>
      </c>
      <c r="H159" s="13">
        <f t="shared" si="54"/>
        <v>0</v>
      </c>
      <c r="I159" s="85">
        <v>0</v>
      </c>
      <c r="J159" s="13">
        <f t="shared" si="43"/>
        <v>0</v>
      </c>
      <c r="K159" s="35">
        <f t="shared" si="48"/>
        <v>0</v>
      </c>
      <c r="L159" s="87">
        <f t="shared" si="55"/>
        <v>1</v>
      </c>
      <c r="M159" s="86">
        <f t="shared" si="49"/>
        <v>0</v>
      </c>
      <c r="N159" s="15">
        <f t="shared" si="56"/>
        <v>0</v>
      </c>
      <c r="O159" s="15">
        <f t="shared" si="57"/>
        <v>0</v>
      </c>
      <c r="V159" s="14">
        <f>IF(AB159=1,IF(V158=MiscData!$F$1,EOMONTH(V158,-11),EOMONTH(V158,1)),V158)</f>
        <v>41851</v>
      </c>
      <c r="W159" s="8" t="str">
        <f t="shared" si="58"/>
        <v>20140101LE_953BASE</v>
      </c>
      <c r="X159" s="12" t="str">
        <f t="shared" si="59"/>
        <v xml:space="preserve">20140101LS </v>
      </c>
      <c r="AA159">
        <f>MiscData!$X$5</f>
        <v>20140101</v>
      </c>
      <c r="AB159">
        <f>IF(AB158+1&gt;MiscData!$AF$28,1,AB158+1)</f>
        <v>14</v>
      </c>
      <c r="AC159" t="str">
        <f>VLOOKUP(AB159,MiscData!$AF$5:$AG$28,2,FALSE)</f>
        <v>LE_953BASE</v>
      </c>
      <c r="AD159" t="str">
        <f>VLOOKUP(AB159,MiscData!$AF$5:$AH$28,3,FALSE)</f>
        <v xml:space="preserve">LS </v>
      </c>
    </row>
    <row r="160" spans="1:30">
      <c r="A160" s="8">
        <f t="shared" si="61"/>
        <v>68</v>
      </c>
      <c r="B160" s="14" t="str">
        <f t="shared" si="50"/>
        <v>Jul 2014</v>
      </c>
      <c r="C160" s="24" t="str">
        <f t="shared" si="51"/>
        <v>RLS</v>
      </c>
      <c r="D160" s="24" t="str">
        <f t="shared" si="52"/>
        <v>LE_954BASE</v>
      </c>
      <c r="E160" s="73">
        <f t="shared" si="53"/>
        <v>0</v>
      </c>
      <c r="F160" s="73">
        <v>0</v>
      </c>
      <c r="G160" s="11">
        <f>SUMIF(PoleRates!$E$4:$E$131,$W160,PoleRates!$F$4:$F$131)</f>
        <v>3.47</v>
      </c>
      <c r="H160" s="13">
        <f t="shared" si="54"/>
        <v>0</v>
      </c>
      <c r="I160" s="85">
        <v>0</v>
      </c>
      <c r="J160" s="13">
        <f t="shared" si="43"/>
        <v>0</v>
      </c>
      <c r="K160" s="35">
        <f t="shared" si="48"/>
        <v>0</v>
      </c>
      <c r="L160" s="87">
        <f t="shared" si="55"/>
        <v>1</v>
      </c>
      <c r="M160" s="86">
        <f t="shared" si="49"/>
        <v>0</v>
      </c>
      <c r="N160" s="15">
        <f t="shared" si="56"/>
        <v>0</v>
      </c>
      <c r="O160" s="15">
        <f t="shared" si="57"/>
        <v>0</v>
      </c>
      <c r="V160" s="14">
        <f>IF(AB160=1,IF(V159=MiscData!$F$1,EOMONTH(V159,-11),EOMONTH(V159,1)),V159)</f>
        <v>41851</v>
      </c>
      <c r="W160" s="8" t="str">
        <f t="shared" si="58"/>
        <v>20140101LE_954BASE</v>
      </c>
      <c r="X160" s="12" t="str">
        <f t="shared" si="59"/>
        <v>20140101RLS</v>
      </c>
      <c r="AA160">
        <f>MiscData!$X$5</f>
        <v>20140101</v>
      </c>
      <c r="AB160">
        <f>IF(AB159+1&gt;MiscData!$AF$28,1,AB159+1)</f>
        <v>15</v>
      </c>
      <c r="AC160" t="str">
        <f>VLOOKUP(AB160,MiscData!$AF$5:$AG$28,2,FALSE)</f>
        <v>LE_954BASE</v>
      </c>
      <c r="AD160" t="str">
        <f>VLOOKUP(AB160,MiscData!$AF$5:$AH$28,3,FALSE)</f>
        <v>RLS</v>
      </c>
    </row>
    <row r="161" spans="1:30">
      <c r="A161" s="8">
        <f t="shared" si="61"/>
        <v>68</v>
      </c>
      <c r="B161" s="14" t="str">
        <f t="shared" si="50"/>
        <v>Jul 2014</v>
      </c>
      <c r="C161" s="24" t="str">
        <f t="shared" si="51"/>
        <v xml:space="preserve">LS </v>
      </c>
      <c r="D161" s="24" t="str">
        <f t="shared" si="52"/>
        <v>LE_954BASE</v>
      </c>
      <c r="E161" s="73">
        <f t="shared" si="53"/>
        <v>0</v>
      </c>
      <c r="F161" s="73">
        <v>0</v>
      </c>
      <c r="G161" s="11">
        <f>SUMIF(PoleRates!$E$4:$E$131,$W161,PoleRates!$F$4:$F$131)</f>
        <v>3.47</v>
      </c>
      <c r="H161" s="13">
        <f t="shared" si="54"/>
        <v>0</v>
      </c>
      <c r="I161" s="85">
        <v>0</v>
      </c>
      <c r="J161" s="13">
        <f t="shared" si="43"/>
        <v>0</v>
      </c>
      <c r="K161" s="35">
        <f t="shared" si="48"/>
        <v>0</v>
      </c>
      <c r="L161" s="87">
        <f t="shared" si="55"/>
        <v>1</v>
      </c>
      <c r="M161" s="86">
        <f t="shared" si="49"/>
        <v>0</v>
      </c>
      <c r="N161" s="15">
        <f t="shared" si="56"/>
        <v>0</v>
      </c>
      <c r="O161" s="15">
        <f t="shared" si="57"/>
        <v>0</v>
      </c>
      <c r="V161" s="14">
        <f>IF(AB161=1,IF(V160=MiscData!$F$1,EOMONTH(V160,-11),EOMONTH(V160,1)),V160)</f>
        <v>41851</v>
      </c>
      <c r="W161" s="8" t="str">
        <f t="shared" si="58"/>
        <v>20140101LE_954BASE</v>
      </c>
      <c r="X161" s="12" t="str">
        <f t="shared" si="59"/>
        <v xml:space="preserve">20140101LS </v>
      </c>
      <c r="AA161">
        <f>MiscData!$X$5</f>
        <v>20140101</v>
      </c>
      <c r="AB161">
        <f>IF(AB160+1&gt;MiscData!$AF$28,1,AB160+1)</f>
        <v>16</v>
      </c>
      <c r="AC161" t="str">
        <f>VLOOKUP(AB161,MiscData!$AF$5:$AG$28,2,FALSE)</f>
        <v>LE_954BASE</v>
      </c>
      <c r="AD161" t="str">
        <f>VLOOKUP(AB161,MiscData!$AF$5:$AH$28,3,FALSE)</f>
        <v xml:space="preserve">LS </v>
      </c>
    </row>
    <row r="162" spans="1:30">
      <c r="A162" s="8">
        <f t="shared" si="61"/>
        <v>69</v>
      </c>
      <c r="B162" s="14" t="str">
        <f t="shared" si="50"/>
        <v>Jul 2014</v>
      </c>
      <c r="C162" s="24" t="str">
        <f t="shared" si="51"/>
        <v>RLS</v>
      </c>
      <c r="D162" s="24" t="str">
        <f t="shared" si="52"/>
        <v>LE_955BASE</v>
      </c>
      <c r="E162" s="73">
        <f t="shared" si="53"/>
        <v>0</v>
      </c>
      <c r="F162" s="73">
        <v>0</v>
      </c>
      <c r="G162" s="11">
        <f>SUMIF(PoleRates!$E$4:$E$131,$W162,PoleRates!$F$4:$F$131)</f>
        <v>3.56</v>
      </c>
      <c r="H162" s="13">
        <f t="shared" si="54"/>
        <v>0</v>
      </c>
      <c r="I162" s="85">
        <v>0</v>
      </c>
      <c r="J162" s="13">
        <f t="shared" si="43"/>
        <v>0</v>
      </c>
      <c r="K162" s="35">
        <f t="shared" si="48"/>
        <v>0</v>
      </c>
      <c r="L162" s="87">
        <f t="shared" si="55"/>
        <v>1</v>
      </c>
      <c r="M162" s="86">
        <f t="shared" si="49"/>
        <v>0</v>
      </c>
      <c r="N162" s="15">
        <f t="shared" si="56"/>
        <v>0</v>
      </c>
      <c r="O162" s="15">
        <f t="shared" si="57"/>
        <v>0</v>
      </c>
      <c r="V162" s="14">
        <f>IF(AB162=1,IF(V161=MiscData!$F$1,EOMONTH(V161,-11),EOMONTH(V161,1)),V161)</f>
        <v>41851</v>
      </c>
      <c r="W162" s="8" t="str">
        <f t="shared" si="58"/>
        <v>20140101LE_955BASE</v>
      </c>
      <c r="X162" s="12" t="str">
        <f t="shared" si="59"/>
        <v>20140101RLS</v>
      </c>
      <c r="AA162">
        <f>MiscData!$X$5</f>
        <v>20140101</v>
      </c>
      <c r="AB162">
        <f>IF(AB161+1&gt;MiscData!$AF$28,1,AB161+1)</f>
        <v>17</v>
      </c>
      <c r="AC162" t="str">
        <f>VLOOKUP(AB162,MiscData!$AF$5:$AG$28,2,FALSE)</f>
        <v>LE_955BASE</v>
      </c>
      <c r="AD162" t="str">
        <f>VLOOKUP(AB162,MiscData!$AF$5:$AH$28,3,FALSE)</f>
        <v>RLS</v>
      </c>
    </row>
    <row r="163" spans="1:30">
      <c r="A163" s="8">
        <f t="shared" si="61"/>
        <v>69</v>
      </c>
      <c r="B163" s="14" t="str">
        <f t="shared" si="50"/>
        <v>Jul 2014</v>
      </c>
      <c r="C163" s="24" t="str">
        <f t="shared" si="51"/>
        <v xml:space="preserve">LS </v>
      </c>
      <c r="D163" s="24" t="str">
        <f t="shared" si="52"/>
        <v>LE_955BASE</v>
      </c>
      <c r="E163" s="73">
        <f t="shared" si="53"/>
        <v>0</v>
      </c>
      <c r="F163" s="73">
        <v>0</v>
      </c>
      <c r="G163" s="11">
        <f>SUMIF(PoleRates!$E$4:$E$131,$W163,PoleRates!$F$4:$F$131)</f>
        <v>3.56</v>
      </c>
      <c r="H163" s="13">
        <f t="shared" si="54"/>
        <v>0</v>
      </c>
      <c r="I163" s="85">
        <v>0</v>
      </c>
      <c r="J163" s="13">
        <f t="shared" si="43"/>
        <v>0</v>
      </c>
      <c r="K163" s="35">
        <f t="shared" si="48"/>
        <v>0</v>
      </c>
      <c r="L163" s="87">
        <f t="shared" si="55"/>
        <v>1</v>
      </c>
      <c r="M163" s="86">
        <f t="shared" si="49"/>
        <v>0</v>
      </c>
      <c r="N163" s="15">
        <f t="shared" si="56"/>
        <v>0</v>
      </c>
      <c r="O163" s="15">
        <f t="shared" si="57"/>
        <v>0</v>
      </c>
      <c r="V163" s="14">
        <f>IF(AB163=1,IF(V162=MiscData!$F$1,EOMONTH(V162,-11),EOMONTH(V162,1)),V162)</f>
        <v>41851</v>
      </c>
      <c r="W163" s="8" t="str">
        <f t="shared" si="58"/>
        <v>20140101LE_955BASE</v>
      </c>
      <c r="X163" s="12" t="str">
        <f t="shared" si="59"/>
        <v xml:space="preserve">20140101LS </v>
      </c>
      <c r="AA163">
        <f>MiscData!$X$5</f>
        <v>20140101</v>
      </c>
      <c r="AB163">
        <f>IF(AB162+1&gt;MiscData!$AF$28,1,AB162+1)</f>
        <v>18</v>
      </c>
      <c r="AC163" t="str">
        <f>VLOOKUP(AB163,MiscData!$AF$5:$AG$28,2,FALSE)</f>
        <v>LE_955BASE</v>
      </c>
      <c r="AD163" t="str">
        <f>VLOOKUP(AB163,MiscData!$AF$5:$AH$28,3,FALSE)</f>
        <v xml:space="preserve">LS </v>
      </c>
    </row>
    <row r="164" spans="1:30">
      <c r="A164" s="8">
        <f t="shared" si="61"/>
        <v>70</v>
      </c>
      <c r="B164" s="14" t="str">
        <f t="shared" si="50"/>
        <v>Jul 2014</v>
      </c>
      <c r="C164" s="24" t="str">
        <f t="shared" si="51"/>
        <v>RLS</v>
      </c>
      <c r="D164" s="24" t="str">
        <f t="shared" si="52"/>
        <v>LE_956BASE</v>
      </c>
      <c r="E164" s="73">
        <f t="shared" si="53"/>
        <v>239</v>
      </c>
      <c r="F164" s="73">
        <v>0</v>
      </c>
      <c r="G164" s="11">
        <f>SUMIF(PoleRates!$E$4:$E$131,$W164,PoleRates!$F$4:$F$131)</f>
        <v>3.56</v>
      </c>
      <c r="H164" s="13">
        <f t="shared" si="54"/>
        <v>850.84</v>
      </c>
      <c r="I164" s="85">
        <v>10.68</v>
      </c>
      <c r="J164" s="13">
        <f t="shared" si="43"/>
        <v>861.52</v>
      </c>
      <c r="K164" s="35">
        <f t="shared" si="48"/>
        <v>861.52</v>
      </c>
      <c r="L164" s="87">
        <f t="shared" si="55"/>
        <v>1</v>
      </c>
      <c r="M164" s="86">
        <f t="shared" si="49"/>
        <v>861.52</v>
      </c>
      <c r="N164" s="15">
        <f t="shared" si="56"/>
        <v>861.52</v>
      </c>
      <c r="O164" s="15">
        <f t="shared" si="57"/>
        <v>0</v>
      </c>
      <c r="V164" s="14">
        <f>IF(AB164=1,IF(V163=MiscData!$F$1,EOMONTH(V163,-11),EOMONTH(V163,1)),V163)</f>
        <v>41851</v>
      </c>
      <c r="W164" s="8" t="str">
        <f t="shared" si="58"/>
        <v>20140101LE_956BASE</v>
      </c>
      <c r="X164" s="12" t="str">
        <f t="shared" si="59"/>
        <v>20140101RLS</v>
      </c>
      <c r="AA164">
        <f>MiscData!$X$5</f>
        <v>20140101</v>
      </c>
      <c r="AB164">
        <f>IF(AB163+1&gt;MiscData!$AF$28,1,AB163+1)</f>
        <v>19</v>
      </c>
      <c r="AC164" t="str">
        <f>VLOOKUP(AB164,MiscData!$AF$5:$AG$28,2,FALSE)</f>
        <v>LE_956BASE</v>
      </c>
      <c r="AD164" t="str">
        <f>VLOOKUP(AB164,MiscData!$AF$5:$AH$28,3,FALSE)</f>
        <v>RLS</v>
      </c>
    </row>
    <row r="165" spans="1:30">
      <c r="A165" s="8">
        <f t="shared" si="61"/>
        <v>70</v>
      </c>
      <c r="B165" s="14" t="str">
        <f t="shared" si="50"/>
        <v>Jul 2014</v>
      </c>
      <c r="C165" s="24" t="str">
        <f t="shared" si="51"/>
        <v xml:space="preserve">LS </v>
      </c>
      <c r="D165" s="24" t="str">
        <f t="shared" si="52"/>
        <v>LE_956BASE</v>
      </c>
      <c r="E165" s="73">
        <f t="shared" si="53"/>
        <v>311</v>
      </c>
      <c r="F165" s="73">
        <v>-1</v>
      </c>
      <c r="G165" s="11">
        <f>SUMIF(PoleRates!$E$4:$E$131,$W165,PoleRates!$F$4:$F$131)</f>
        <v>3.56</v>
      </c>
      <c r="H165" s="13">
        <f t="shared" si="54"/>
        <v>1103.5999999999999</v>
      </c>
      <c r="I165" s="85">
        <v>21.12</v>
      </c>
      <c r="J165" s="13">
        <f t="shared" si="43"/>
        <v>1124.7199999999998</v>
      </c>
      <c r="K165" s="35">
        <f t="shared" si="48"/>
        <v>1124.72</v>
      </c>
      <c r="L165" s="87">
        <f t="shared" si="55"/>
        <v>1.0000000000000002</v>
      </c>
      <c r="M165" s="86">
        <f t="shared" si="49"/>
        <v>1124.72</v>
      </c>
      <c r="N165" s="15">
        <f t="shared" si="56"/>
        <v>1124.7199999999998</v>
      </c>
      <c r="O165" s="15">
        <f t="shared" si="57"/>
        <v>0</v>
      </c>
      <c r="V165" s="14">
        <f>IF(AB165=1,IF(V164=MiscData!$F$1,EOMONTH(V164,-11),EOMONTH(V164,1)),V164)</f>
        <v>41851</v>
      </c>
      <c r="W165" s="8" t="str">
        <f t="shared" si="58"/>
        <v>20140101LE_956BASE</v>
      </c>
      <c r="X165" s="12" t="str">
        <f t="shared" si="59"/>
        <v xml:space="preserve">20140101LS </v>
      </c>
      <c r="AA165">
        <f>MiscData!$X$5</f>
        <v>20140101</v>
      </c>
      <c r="AB165">
        <f>IF(AB164+1&gt;MiscData!$AF$28,1,AB164+1)</f>
        <v>20</v>
      </c>
      <c r="AC165" t="str">
        <f>VLOOKUP(AB165,MiscData!$AF$5:$AG$28,2,FALSE)</f>
        <v>LE_956BASE</v>
      </c>
      <c r="AD165" t="str">
        <f>VLOOKUP(AB165,MiscData!$AF$5:$AH$28,3,FALSE)</f>
        <v xml:space="preserve">LS </v>
      </c>
    </row>
    <row r="166" spans="1:30">
      <c r="A166" s="8">
        <f t="shared" si="61"/>
        <v>71</v>
      </c>
      <c r="B166" s="14" t="str">
        <f t="shared" si="50"/>
        <v>Jul 2014</v>
      </c>
      <c r="C166" s="24" t="str">
        <f t="shared" si="51"/>
        <v>RLS</v>
      </c>
      <c r="D166" s="24" t="str">
        <f t="shared" si="52"/>
        <v>LE_957BASE</v>
      </c>
      <c r="E166" s="73">
        <f t="shared" si="53"/>
        <v>0</v>
      </c>
      <c r="F166" s="73">
        <v>0</v>
      </c>
      <c r="G166" s="11">
        <f>SUMIF(PoleRates!$E$4:$E$131,$W166,PoleRates!$F$4:$F$131)</f>
        <v>3.56</v>
      </c>
      <c r="H166" s="13">
        <f t="shared" si="54"/>
        <v>0</v>
      </c>
      <c r="I166" s="85">
        <v>0</v>
      </c>
      <c r="J166" s="13">
        <f t="shared" si="43"/>
        <v>0</v>
      </c>
      <c r="K166" s="35">
        <f t="shared" si="48"/>
        <v>0</v>
      </c>
      <c r="L166" s="87">
        <f t="shared" si="55"/>
        <v>1</v>
      </c>
      <c r="M166" s="86">
        <f t="shared" si="49"/>
        <v>0</v>
      </c>
      <c r="N166" s="15">
        <f t="shared" si="56"/>
        <v>0</v>
      </c>
      <c r="O166" s="15">
        <f t="shared" si="57"/>
        <v>0</v>
      </c>
      <c r="V166" s="14">
        <f>IF(AB166=1,IF(V165=MiscData!$F$1,EOMONTH(V165,-11),EOMONTH(V165,1)),V165)</f>
        <v>41851</v>
      </c>
      <c r="W166" s="8" t="str">
        <f t="shared" si="58"/>
        <v>20140101LE_957BASE</v>
      </c>
      <c r="X166" s="12" t="str">
        <f t="shared" si="59"/>
        <v>20140101RLS</v>
      </c>
      <c r="AA166">
        <f>MiscData!$X$5</f>
        <v>20140101</v>
      </c>
      <c r="AB166">
        <f>IF(AB165+1&gt;MiscData!$AF$28,1,AB165+1)</f>
        <v>21</v>
      </c>
      <c r="AC166" t="str">
        <f>VLOOKUP(AB166,MiscData!$AF$5:$AG$28,2,FALSE)</f>
        <v>LE_957BASE</v>
      </c>
      <c r="AD166" t="str">
        <f>VLOOKUP(AB166,MiscData!$AF$5:$AH$28,3,FALSE)</f>
        <v>RLS</v>
      </c>
    </row>
    <row r="167" spans="1:30">
      <c r="A167" s="8">
        <f t="shared" si="61"/>
        <v>71</v>
      </c>
      <c r="B167" s="14" t="str">
        <f t="shared" si="50"/>
        <v>Jul 2014</v>
      </c>
      <c r="C167" s="24" t="str">
        <f t="shared" si="51"/>
        <v xml:space="preserve">LS </v>
      </c>
      <c r="D167" s="24" t="str">
        <f t="shared" si="52"/>
        <v>LE_957BASE</v>
      </c>
      <c r="E167" s="73">
        <f t="shared" si="53"/>
        <v>0</v>
      </c>
      <c r="F167" s="73">
        <v>0</v>
      </c>
      <c r="G167" s="11">
        <f>SUMIF(PoleRates!$E$4:$E$131,$W167,PoleRates!$F$4:$F$131)</f>
        <v>3.56</v>
      </c>
      <c r="H167" s="13">
        <f t="shared" si="54"/>
        <v>0</v>
      </c>
      <c r="I167" s="85">
        <v>0</v>
      </c>
      <c r="J167" s="13">
        <f t="shared" si="43"/>
        <v>0</v>
      </c>
      <c r="K167" s="35">
        <f t="shared" si="48"/>
        <v>0</v>
      </c>
      <c r="L167" s="87">
        <f t="shared" si="55"/>
        <v>1</v>
      </c>
      <c r="M167" s="86">
        <f t="shared" si="49"/>
        <v>0</v>
      </c>
      <c r="N167" s="15">
        <f t="shared" si="56"/>
        <v>0</v>
      </c>
      <c r="O167" s="15">
        <f t="shared" si="57"/>
        <v>0</v>
      </c>
      <c r="V167" s="14">
        <f>IF(AB167=1,IF(V166=MiscData!$F$1,EOMONTH(V166,-11),EOMONTH(V166,1)),V166)</f>
        <v>41851</v>
      </c>
      <c r="W167" s="8" t="str">
        <f t="shared" si="58"/>
        <v>20140101LE_957BASE</v>
      </c>
      <c r="X167" s="12" t="str">
        <f t="shared" si="59"/>
        <v xml:space="preserve">20140101LS </v>
      </c>
      <c r="AA167">
        <f>MiscData!$X$5</f>
        <v>20140101</v>
      </c>
      <c r="AB167">
        <f>IF(AB166+1&gt;MiscData!$AF$28,1,AB166+1)</f>
        <v>22</v>
      </c>
      <c r="AC167" t="str">
        <f>VLOOKUP(AB167,MiscData!$AF$5:$AG$28,2,FALSE)</f>
        <v>LE_957BASE</v>
      </c>
      <c r="AD167" t="str">
        <f>VLOOKUP(AB167,MiscData!$AF$5:$AH$28,3,FALSE)</f>
        <v xml:space="preserve">LS </v>
      </c>
    </row>
    <row r="168" spans="1:30">
      <c r="A168" s="8">
        <f t="shared" si="61"/>
        <v>72</v>
      </c>
      <c r="B168" s="14" t="str">
        <f t="shared" si="50"/>
        <v>Jul 2014</v>
      </c>
      <c r="C168" s="24" t="str">
        <f t="shared" si="51"/>
        <v>RLS</v>
      </c>
      <c r="D168" s="24" t="str">
        <f t="shared" si="52"/>
        <v>LE_958POLE</v>
      </c>
      <c r="E168" s="73">
        <f t="shared" si="53"/>
        <v>37</v>
      </c>
      <c r="F168" s="73">
        <v>0</v>
      </c>
      <c r="G168" s="11">
        <f>SUMIF(PoleRates!$E$4:$E$131,$W168,PoleRates!$F$4:$F$131)</f>
        <v>11.31</v>
      </c>
      <c r="H168" s="13">
        <f t="shared" si="54"/>
        <v>418.47</v>
      </c>
      <c r="I168" s="85">
        <v>0</v>
      </c>
      <c r="J168" s="13">
        <f t="shared" si="43"/>
        <v>418.47</v>
      </c>
      <c r="K168" s="35">
        <f t="shared" si="48"/>
        <v>418.47</v>
      </c>
      <c r="L168" s="87">
        <f t="shared" si="55"/>
        <v>1</v>
      </c>
      <c r="M168" s="86">
        <f t="shared" si="49"/>
        <v>418.47</v>
      </c>
      <c r="N168" s="15">
        <f t="shared" si="56"/>
        <v>418.47</v>
      </c>
      <c r="O168" s="15">
        <f t="shared" si="57"/>
        <v>0</v>
      </c>
      <c r="V168" s="14">
        <f>IF(AB168=1,IF(V167=MiscData!$F$1,EOMONTH(V167,-11),EOMONTH(V167,1)),V167)</f>
        <v>41851</v>
      </c>
      <c r="W168" s="8" t="str">
        <f t="shared" si="58"/>
        <v>20140101LE_958POLE</v>
      </c>
      <c r="X168" s="12" t="str">
        <f t="shared" si="59"/>
        <v>20140101RLS</v>
      </c>
      <c r="AA168">
        <f>MiscData!$X$5</f>
        <v>20140101</v>
      </c>
      <c r="AB168">
        <f>IF(AB167+1&gt;MiscData!$AF$28,1,AB167+1)</f>
        <v>23</v>
      </c>
      <c r="AC168" t="str">
        <f>VLOOKUP(AB168,MiscData!$AF$5:$AG$28,2,FALSE)</f>
        <v>LE_958POLE</v>
      </c>
      <c r="AD168" t="str">
        <f>VLOOKUP(AB168,MiscData!$AF$5:$AH$28,3,FALSE)</f>
        <v>RLS</v>
      </c>
    </row>
    <row r="169" spans="1:30">
      <c r="A169" s="8">
        <f t="shared" si="61"/>
        <v>72</v>
      </c>
      <c r="B169" s="14" t="str">
        <f t="shared" si="50"/>
        <v>Jul 2014</v>
      </c>
      <c r="C169" s="24" t="str">
        <f t="shared" si="51"/>
        <v xml:space="preserve">LS </v>
      </c>
      <c r="D169" s="24" t="str">
        <f t="shared" si="52"/>
        <v>LE_958POLE</v>
      </c>
      <c r="E169" s="73">
        <f t="shared" si="53"/>
        <v>420</v>
      </c>
      <c r="F169" s="73">
        <v>0</v>
      </c>
      <c r="G169" s="11">
        <f>SUMIF(PoleRates!$E$4:$E$131,$W169,PoleRates!$F$4:$F$131)</f>
        <v>11.31</v>
      </c>
      <c r="H169" s="13">
        <f t="shared" si="54"/>
        <v>4750.2</v>
      </c>
      <c r="I169" s="85">
        <v>0</v>
      </c>
      <c r="J169" s="13">
        <f t="shared" si="43"/>
        <v>4750.2</v>
      </c>
      <c r="K169" s="35">
        <f t="shared" si="48"/>
        <v>4750.2</v>
      </c>
      <c r="L169" s="87">
        <f t="shared" si="55"/>
        <v>1</v>
      </c>
      <c r="M169" s="86">
        <f t="shared" si="49"/>
        <v>4750.2</v>
      </c>
      <c r="N169" s="15">
        <f t="shared" si="56"/>
        <v>4750.2</v>
      </c>
      <c r="O169" s="15">
        <f t="shared" si="57"/>
        <v>0</v>
      </c>
      <c r="V169" s="14">
        <f>IF(AB169=1,IF(V168=MiscData!$F$1,EOMONTH(V168,-11),EOMONTH(V168,1)),V168)</f>
        <v>41851</v>
      </c>
      <c r="W169" s="8" t="str">
        <f t="shared" si="58"/>
        <v>20140101LE_958POLE</v>
      </c>
      <c r="X169" s="12" t="str">
        <f t="shared" si="59"/>
        <v xml:space="preserve">20140101LS </v>
      </c>
      <c r="AA169">
        <f>MiscData!$X$5</f>
        <v>20140101</v>
      </c>
      <c r="AB169">
        <f>IF(AB168+1&gt;MiscData!$AF$28,1,AB168+1)</f>
        <v>24</v>
      </c>
      <c r="AC169" t="str">
        <f>VLOOKUP(AB169,MiscData!$AF$5:$AG$28,2,FALSE)</f>
        <v>LE_958POLE</v>
      </c>
      <c r="AD169" t="str">
        <f>VLOOKUP(AB169,MiscData!$AF$5:$AH$28,3,FALSE)</f>
        <v xml:space="preserve">LS </v>
      </c>
    </row>
    <row r="170" spans="1:30">
      <c r="A170" s="8">
        <f>A160+1</f>
        <v>69</v>
      </c>
      <c r="B170" s="14" t="str">
        <f t="shared" si="50"/>
        <v>Aug 2014</v>
      </c>
      <c r="C170" s="24" t="str">
        <f t="shared" si="51"/>
        <v>RLS</v>
      </c>
      <c r="D170" s="24" t="str">
        <f t="shared" si="52"/>
        <v>LE_900POLE</v>
      </c>
      <c r="E170" s="73">
        <f t="shared" si="53"/>
        <v>1635</v>
      </c>
      <c r="F170" s="73">
        <v>0</v>
      </c>
      <c r="G170" s="11">
        <f>SUMIF(PoleRates!$E$4:$E$131,$W170,PoleRates!$F$4:$F$131)</f>
        <v>2.06</v>
      </c>
      <c r="H170" s="13">
        <f t="shared" si="54"/>
        <v>3368.1</v>
      </c>
      <c r="I170" s="85">
        <v>-0.89</v>
      </c>
      <c r="J170" s="13">
        <f t="shared" si="43"/>
        <v>3367.21</v>
      </c>
      <c r="K170" s="35">
        <f t="shared" si="48"/>
        <v>3367.2099999999996</v>
      </c>
      <c r="L170" s="87">
        <f t="shared" si="55"/>
        <v>0.99999999999999989</v>
      </c>
      <c r="M170" s="86">
        <f t="shared" si="49"/>
        <v>3367.2099999999996</v>
      </c>
      <c r="N170" s="15">
        <f t="shared" si="56"/>
        <v>3367.21</v>
      </c>
      <c r="O170" s="15">
        <f t="shared" si="57"/>
        <v>0</v>
      </c>
      <c r="V170" s="14">
        <f>IF(AB170=1,IF(V169=MiscData!$F$1,EOMONTH(V169,-11),EOMONTH(V169,1)),V169)</f>
        <v>41882</v>
      </c>
      <c r="W170" s="8" t="str">
        <f t="shared" si="58"/>
        <v>20140101LE_900POLE</v>
      </c>
      <c r="X170" s="12" t="str">
        <f t="shared" si="59"/>
        <v>20140101RLS</v>
      </c>
      <c r="AA170">
        <f>MiscData!$X$5</f>
        <v>20140101</v>
      </c>
      <c r="AB170">
        <f>IF(AB169+1&gt;MiscData!$AF$28,1,AB169+1)</f>
        <v>1</v>
      </c>
      <c r="AC170" t="str">
        <f>VLOOKUP(AB170,MiscData!$AF$5:$AG$28,2,FALSE)</f>
        <v>LE_900POLE</v>
      </c>
      <c r="AD170" t="str">
        <f>VLOOKUP(AB170,MiscData!$AF$5:$AH$28,3,FALSE)</f>
        <v>RLS</v>
      </c>
    </row>
    <row r="171" spans="1:30">
      <c r="A171" s="8">
        <f>A161+1</f>
        <v>69</v>
      </c>
      <c r="B171" s="14" t="str">
        <f t="shared" si="50"/>
        <v>Aug 2014</v>
      </c>
      <c r="C171" s="24" t="str">
        <f t="shared" si="51"/>
        <v xml:space="preserve">LS </v>
      </c>
      <c r="D171" s="24" t="str">
        <f t="shared" si="52"/>
        <v>LE_900POLE</v>
      </c>
      <c r="E171" s="73">
        <f t="shared" si="53"/>
        <v>5150</v>
      </c>
      <c r="F171" s="73">
        <v>0</v>
      </c>
      <c r="G171" s="11">
        <f>SUMIF(PoleRates!$E$4:$E$131,$W171,PoleRates!$F$4:$F$131)</f>
        <v>2.06</v>
      </c>
      <c r="H171" s="13">
        <f t="shared" si="54"/>
        <v>10609</v>
      </c>
      <c r="I171" s="85">
        <v>-1.02</v>
      </c>
      <c r="J171" s="13">
        <f t="shared" si="43"/>
        <v>10607.98</v>
      </c>
      <c r="K171" s="35">
        <f t="shared" si="48"/>
        <v>10607.98</v>
      </c>
      <c r="L171" s="87">
        <f t="shared" si="55"/>
        <v>1</v>
      </c>
      <c r="M171" s="86">
        <f t="shared" si="49"/>
        <v>10607.98</v>
      </c>
      <c r="N171" s="15">
        <f t="shared" si="56"/>
        <v>10607.98</v>
      </c>
      <c r="O171" s="15">
        <f t="shared" si="57"/>
        <v>0</v>
      </c>
      <c r="V171" s="14">
        <f>IF(AB171=1,IF(V170=MiscData!$F$1,EOMONTH(V170,-11),EOMONTH(V170,1)),V170)</f>
        <v>41882</v>
      </c>
      <c r="W171" s="8" t="str">
        <f t="shared" si="58"/>
        <v>20140101LE_900POLE</v>
      </c>
      <c r="X171" s="12" t="str">
        <f t="shared" si="59"/>
        <v xml:space="preserve">20140101LS </v>
      </c>
      <c r="AA171">
        <f>MiscData!$X$5</f>
        <v>20140101</v>
      </c>
      <c r="AB171">
        <f>IF(AB170+1&gt;MiscData!$AF$28,1,AB170+1)</f>
        <v>2</v>
      </c>
      <c r="AC171" t="str">
        <f>VLOOKUP(AB171,MiscData!$AF$5:$AG$28,2,FALSE)</f>
        <v>LE_900POLE</v>
      </c>
      <c r="AD171" t="str">
        <f>VLOOKUP(AB171,MiscData!$AF$5:$AH$28,3,FALSE)</f>
        <v xml:space="preserve">LS </v>
      </c>
    </row>
    <row r="172" spans="1:30">
      <c r="A172" s="8">
        <f t="shared" si="61"/>
        <v>70</v>
      </c>
      <c r="B172" s="14" t="str">
        <f t="shared" si="50"/>
        <v>Aug 2014</v>
      </c>
      <c r="C172" s="24" t="str">
        <f t="shared" si="51"/>
        <v>RLS</v>
      </c>
      <c r="D172" s="24" t="str">
        <f t="shared" si="52"/>
        <v>LE_901POLE</v>
      </c>
      <c r="E172" s="73">
        <f t="shared" si="53"/>
        <v>155</v>
      </c>
      <c r="F172" s="73">
        <v>0</v>
      </c>
      <c r="G172" s="11">
        <f>SUMIF(PoleRates!$E$4:$E$131,$W172,PoleRates!$F$4:$F$131)</f>
        <v>10.81</v>
      </c>
      <c r="H172" s="13">
        <f t="shared" si="54"/>
        <v>1675.55</v>
      </c>
      <c r="I172" s="85">
        <v>0</v>
      </c>
      <c r="J172" s="13">
        <f t="shared" si="43"/>
        <v>1675.55</v>
      </c>
      <c r="K172" s="35">
        <f t="shared" si="48"/>
        <v>1675.55</v>
      </c>
      <c r="L172" s="87">
        <f t="shared" si="55"/>
        <v>1</v>
      </c>
      <c r="M172" s="86">
        <f t="shared" si="49"/>
        <v>1675.55</v>
      </c>
      <c r="N172" s="15">
        <f t="shared" si="56"/>
        <v>1675.55</v>
      </c>
      <c r="O172" s="15">
        <f t="shared" si="57"/>
        <v>0</v>
      </c>
      <c r="V172" s="14">
        <f>IF(AB172=1,IF(V171=MiscData!$F$1,EOMONTH(V171,-11),EOMONTH(V171,1)),V171)</f>
        <v>41882</v>
      </c>
      <c r="W172" s="8" t="str">
        <f t="shared" si="58"/>
        <v>20140101LE_901POLE</v>
      </c>
      <c r="X172" s="12" t="str">
        <f t="shared" si="59"/>
        <v>20140101RLS</v>
      </c>
      <c r="AA172">
        <f>MiscData!$X$5</f>
        <v>20140101</v>
      </c>
      <c r="AB172">
        <f>IF(AB171+1&gt;MiscData!$AF$28,1,AB171+1)</f>
        <v>3</v>
      </c>
      <c r="AC172" t="str">
        <f>VLOOKUP(AB172,MiscData!$AF$5:$AG$28,2,FALSE)</f>
        <v>LE_901POLE</v>
      </c>
      <c r="AD172" t="str">
        <f>VLOOKUP(AB172,MiscData!$AF$5:$AH$28,3,FALSE)</f>
        <v>RLS</v>
      </c>
    </row>
    <row r="173" spans="1:30">
      <c r="A173" s="8">
        <f t="shared" si="61"/>
        <v>70</v>
      </c>
      <c r="B173" s="14" t="str">
        <f t="shared" si="50"/>
        <v>Aug 2014</v>
      </c>
      <c r="C173" s="24" t="str">
        <f t="shared" si="51"/>
        <v xml:space="preserve">LS </v>
      </c>
      <c r="D173" s="24" t="str">
        <f t="shared" si="52"/>
        <v>LE_901POLE</v>
      </c>
      <c r="E173" s="73">
        <f t="shared" si="53"/>
        <v>0</v>
      </c>
      <c r="F173" s="73">
        <v>0</v>
      </c>
      <c r="G173" s="11">
        <f>SUMIF(PoleRates!$E$4:$E$131,$W173,PoleRates!$F$4:$F$131)</f>
        <v>10.81</v>
      </c>
      <c r="H173" s="13">
        <f t="shared" si="54"/>
        <v>0</v>
      </c>
      <c r="I173" s="85">
        <v>0</v>
      </c>
      <c r="J173" s="13">
        <f t="shared" ref="J173:J236" si="62">SUM(H173:H173,I173:I173)</f>
        <v>0</v>
      </c>
      <c r="K173" s="35">
        <f t="shared" si="48"/>
        <v>0</v>
      </c>
      <c r="L173" s="87">
        <f t="shared" si="55"/>
        <v>1</v>
      </c>
      <c r="M173" s="86">
        <f t="shared" si="49"/>
        <v>0</v>
      </c>
      <c r="N173" s="15">
        <f t="shared" si="56"/>
        <v>0</v>
      </c>
      <c r="O173" s="15">
        <f t="shared" si="57"/>
        <v>0</v>
      </c>
      <c r="V173" s="14">
        <f>IF(AB173=1,IF(V172=MiscData!$F$1,EOMONTH(V172,-11),EOMONTH(V172,1)),V172)</f>
        <v>41882</v>
      </c>
      <c r="W173" s="8" t="str">
        <f t="shared" si="58"/>
        <v>20140101LE_901POLE</v>
      </c>
      <c r="X173" s="12" t="str">
        <f t="shared" si="59"/>
        <v xml:space="preserve">20140101LS </v>
      </c>
      <c r="AA173">
        <f>MiscData!$X$5</f>
        <v>20140101</v>
      </c>
      <c r="AB173">
        <f>IF(AB172+1&gt;MiscData!$AF$28,1,AB172+1)</f>
        <v>4</v>
      </c>
      <c r="AC173" t="str">
        <f>VLOOKUP(AB173,MiscData!$AF$5:$AG$28,2,FALSE)</f>
        <v>LE_901POLE</v>
      </c>
      <c r="AD173" t="str">
        <f>VLOOKUP(AB173,MiscData!$AF$5:$AH$28,3,FALSE)</f>
        <v xml:space="preserve">LS </v>
      </c>
    </row>
    <row r="174" spans="1:30">
      <c r="A174" s="8">
        <f t="shared" si="61"/>
        <v>71</v>
      </c>
      <c r="B174" s="14" t="str">
        <f t="shared" si="50"/>
        <v>Aug 2014</v>
      </c>
      <c r="C174" s="24" t="str">
        <f t="shared" si="51"/>
        <v>RLS</v>
      </c>
      <c r="D174" s="24" t="str">
        <f t="shared" si="52"/>
        <v>LE_902POLE</v>
      </c>
      <c r="E174" s="73">
        <f t="shared" si="53"/>
        <v>277</v>
      </c>
      <c r="F174" s="73">
        <v>0</v>
      </c>
      <c r="G174" s="11">
        <f>SUMIF(PoleRates!$E$4:$E$131,$W174,PoleRates!$F$4:$F$131)</f>
        <v>12.9</v>
      </c>
      <c r="H174" s="13">
        <f t="shared" si="54"/>
        <v>3573.3</v>
      </c>
      <c r="I174" s="85">
        <v>0</v>
      </c>
      <c r="J174" s="13">
        <f t="shared" si="62"/>
        <v>3573.3</v>
      </c>
      <c r="K174" s="35">
        <f t="shared" si="48"/>
        <v>3573.3</v>
      </c>
      <c r="L174" s="87">
        <f t="shared" si="55"/>
        <v>1</v>
      </c>
      <c r="M174" s="86">
        <f t="shared" si="49"/>
        <v>3573.3</v>
      </c>
      <c r="N174" s="15">
        <f t="shared" si="56"/>
        <v>3573.3</v>
      </c>
      <c r="O174" s="15">
        <f t="shared" si="57"/>
        <v>0</v>
      </c>
      <c r="V174" s="14">
        <f>IF(AB174=1,IF(V173=MiscData!$F$1,EOMONTH(V173,-11),EOMONTH(V173,1)),V173)</f>
        <v>41882</v>
      </c>
      <c r="W174" s="8" t="str">
        <f t="shared" si="58"/>
        <v>20140101LE_902POLE</v>
      </c>
      <c r="X174" s="12" t="str">
        <f t="shared" si="59"/>
        <v>20140101RLS</v>
      </c>
      <c r="AA174">
        <f>MiscData!$X$5</f>
        <v>20140101</v>
      </c>
      <c r="AB174">
        <f>IF(AB173+1&gt;MiscData!$AF$28,1,AB173+1)</f>
        <v>5</v>
      </c>
      <c r="AC174" t="str">
        <f>VLOOKUP(AB174,MiscData!$AF$5:$AG$28,2,FALSE)</f>
        <v>LE_902POLE</v>
      </c>
      <c r="AD174" t="str">
        <f>VLOOKUP(AB174,MiscData!$AF$5:$AH$28,3,FALSE)</f>
        <v>RLS</v>
      </c>
    </row>
    <row r="175" spans="1:30">
      <c r="A175" s="8">
        <f t="shared" si="61"/>
        <v>71</v>
      </c>
      <c r="B175" s="14" t="str">
        <f t="shared" si="50"/>
        <v>Aug 2014</v>
      </c>
      <c r="C175" s="24" t="str">
        <f t="shared" si="51"/>
        <v xml:space="preserve">LS </v>
      </c>
      <c r="D175" s="24" t="str">
        <f t="shared" si="52"/>
        <v>LE_902POLE</v>
      </c>
      <c r="E175" s="73">
        <f t="shared" si="53"/>
        <v>3</v>
      </c>
      <c r="F175" s="73">
        <v>0</v>
      </c>
      <c r="G175" s="11">
        <f>SUMIF(PoleRates!$E$4:$E$131,$W175,PoleRates!$F$4:$F$131)</f>
        <v>12.9</v>
      </c>
      <c r="H175" s="13">
        <f t="shared" si="54"/>
        <v>38.700000000000003</v>
      </c>
      <c r="I175" s="85">
        <v>0</v>
      </c>
      <c r="J175" s="13">
        <f t="shared" si="62"/>
        <v>38.700000000000003</v>
      </c>
      <c r="K175" s="35">
        <f t="shared" si="48"/>
        <v>38.700000000000003</v>
      </c>
      <c r="L175" s="87">
        <f t="shared" si="55"/>
        <v>1</v>
      </c>
      <c r="M175" s="86">
        <f t="shared" si="49"/>
        <v>38.700000000000003</v>
      </c>
      <c r="N175" s="15">
        <f t="shared" si="56"/>
        <v>38.700000000000003</v>
      </c>
      <c r="O175" s="15">
        <f t="shared" si="57"/>
        <v>0</v>
      </c>
      <c r="V175" s="14">
        <f>IF(AB175=1,IF(V174=MiscData!$F$1,EOMONTH(V174,-11),EOMONTH(V174,1)),V174)</f>
        <v>41882</v>
      </c>
      <c r="W175" s="8" t="str">
        <f t="shared" si="58"/>
        <v>20140101LE_902POLE</v>
      </c>
      <c r="X175" s="12" t="str">
        <f t="shared" si="59"/>
        <v xml:space="preserve">20140101LS </v>
      </c>
      <c r="AA175">
        <f>MiscData!$X$5</f>
        <v>20140101</v>
      </c>
      <c r="AB175">
        <f>IF(AB174+1&gt;MiscData!$AF$28,1,AB174+1)</f>
        <v>6</v>
      </c>
      <c r="AC175" t="str">
        <f>VLOOKUP(AB175,MiscData!$AF$5:$AG$28,2,FALSE)</f>
        <v>LE_902POLE</v>
      </c>
      <c r="AD175" t="str">
        <f>VLOOKUP(AB175,MiscData!$AF$5:$AH$28,3,FALSE)</f>
        <v xml:space="preserve">LS </v>
      </c>
    </row>
    <row r="176" spans="1:30">
      <c r="A176" s="8">
        <f t="shared" si="61"/>
        <v>72</v>
      </c>
      <c r="B176" s="14" t="str">
        <f t="shared" si="50"/>
        <v>Aug 2014</v>
      </c>
      <c r="C176" s="24" t="str">
        <f t="shared" si="51"/>
        <v>RLS</v>
      </c>
      <c r="D176" s="24" t="str">
        <f t="shared" si="52"/>
        <v>LE_950BASE</v>
      </c>
      <c r="E176" s="73">
        <f t="shared" si="53"/>
        <v>75</v>
      </c>
      <c r="F176" s="73">
        <v>0</v>
      </c>
      <c r="G176" s="11">
        <f>SUMIF(PoleRates!$E$4:$E$131,$W176,PoleRates!$F$4:$F$131)</f>
        <v>3.47</v>
      </c>
      <c r="H176" s="13">
        <f t="shared" si="54"/>
        <v>260.25</v>
      </c>
      <c r="I176" s="85">
        <v>0</v>
      </c>
      <c r="J176" s="13">
        <f t="shared" si="62"/>
        <v>260.25</v>
      </c>
      <c r="K176" s="35">
        <f t="shared" si="48"/>
        <v>260.25</v>
      </c>
      <c r="L176" s="87">
        <f t="shared" si="55"/>
        <v>1</v>
      </c>
      <c r="M176" s="86">
        <f t="shared" si="49"/>
        <v>260.25</v>
      </c>
      <c r="N176" s="15">
        <f t="shared" si="56"/>
        <v>260.25</v>
      </c>
      <c r="O176" s="15">
        <f t="shared" si="57"/>
        <v>0</v>
      </c>
      <c r="V176" s="14">
        <f>IF(AB176=1,IF(V175=MiscData!$F$1,EOMONTH(V175,-11),EOMONTH(V175,1)),V175)</f>
        <v>41882</v>
      </c>
      <c r="W176" s="8" t="str">
        <f t="shared" si="58"/>
        <v>20140101LE_950BASE</v>
      </c>
      <c r="X176" s="12" t="str">
        <f t="shared" si="59"/>
        <v>20140101RLS</v>
      </c>
      <c r="AA176">
        <f>MiscData!$X$5</f>
        <v>20140101</v>
      </c>
      <c r="AB176">
        <f>IF(AB175+1&gt;MiscData!$AF$28,1,AB175+1)</f>
        <v>7</v>
      </c>
      <c r="AC176" t="str">
        <f>VLOOKUP(AB176,MiscData!$AF$5:$AG$28,2,FALSE)</f>
        <v>LE_950BASE</v>
      </c>
      <c r="AD176" t="str">
        <f>VLOOKUP(AB176,MiscData!$AF$5:$AH$28,3,FALSE)</f>
        <v>RLS</v>
      </c>
    </row>
    <row r="177" spans="1:30">
      <c r="A177" s="8">
        <f t="shared" si="61"/>
        <v>72</v>
      </c>
      <c r="B177" s="14" t="str">
        <f t="shared" si="50"/>
        <v>Aug 2014</v>
      </c>
      <c r="C177" s="24" t="str">
        <f t="shared" si="51"/>
        <v xml:space="preserve">LS </v>
      </c>
      <c r="D177" s="24" t="str">
        <f t="shared" si="52"/>
        <v>LE_950BASE</v>
      </c>
      <c r="E177" s="73">
        <f t="shared" si="53"/>
        <v>13</v>
      </c>
      <c r="F177" s="73">
        <v>0</v>
      </c>
      <c r="G177" s="11">
        <f>SUMIF(PoleRates!$E$4:$E$131,$W177,PoleRates!$F$4:$F$131)</f>
        <v>3.47</v>
      </c>
      <c r="H177" s="13">
        <f t="shared" si="54"/>
        <v>45.11</v>
      </c>
      <c r="I177" s="85">
        <v>0</v>
      </c>
      <c r="J177" s="13">
        <f t="shared" si="62"/>
        <v>45.11</v>
      </c>
      <c r="K177" s="35">
        <f t="shared" si="48"/>
        <v>45.11</v>
      </c>
      <c r="L177" s="87">
        <f t="shared" si="55"/>
        <v>1</v>
      </c>
      <c r="M177" s="86">
        <f t="shared" si="49"/>
        <v>45.11</v>
      </c>
      <c r="N177" s="15">
        <f t="shared" si="56"/>
        <v>45.11</v>
      </c>
      <c r="O177" s="15">
        <f t="shared" si="57"/>
        <v>0</v>
      </c>
      <c r="V177" s="14">
        <f>IF(AB177=1,IF(V176=MiscData!$F$1,EOMONTH(V176,-11),EOMONTH(V176,1)),V176)</f>
        <v>41882</v>
      </c>
      <c r="W177" s="8" t="str">
        <f t="shared" si="58"/>
        <v>20140101LE_950BASE</v>
      </c>
      <c r="X177" s="12" t="str">
        <f t="shared" si="59"/>
        <v xml:space="preserve">20140101LS </v>
      </c>
      <c r="AA177">
        <f>MiscData!$X$5</f>
        <v>20140101</v>
      </c>
      <c r="AB177">
        <f>IF(AB176+1&gt;MiscData!$AF$28,1,AB176+1)</f>
        <v>8</v>
      </c>
      <c r="AC177" t="str">
        <f>VLOOKUP(AB177,MiscData!$AF$5:$AG$28,2,FALSE)</f>
        <v>LE_950BASE</v>
      </c>
      <c r="AD177" t="str">
        <f>VLOOKUP(AB177,MiscData!$AF$5:$AH$28,3,FALSE)</f>
        <v xml:space="preserve">LS </v>
      </c>
    </row>
    <row r="178" spans="1:30">
      <c r="A178" s="8">
        <f>A88+1</f>
        <v>76</v>
      </c>
      <c r="B178" s="14" t="str">
        <f t="shared" ref="B178:B199" si="63">TEXT(V178,"mmm yyyy")</f>
        <v>Aug 2014</v>
      </c>
      <c r="C178" s="24" t="str">
        <f t="shared" ref="C178:C199" si="64">AD178</f>
        <v>RLS</v>
      </c>
      <c r="D178" s="24" t="str">
        <f t="shared" ref="D178:D199" si="65">AC178</f>
        <v>LE_951BASE</v>
      </c>
      <c r="E178" s="73">
        <f t="shared" ref="E178:E199" si="66">SUMIFS(L_1051_Count_Total,L_1051_Revenue_Month,$B178,L_1051_RateCategory,$D178,L_1051_Light_Category,C178)</f>
        <v>195</v>
      </c>
      <c r="F178" s="73">
        <v>0</v>
      </c>
      <c r="G178" s="11">
        <f>SUMIF(PoleRates!$E$4:$E$131,$W178,PoleRates!$F$4:$F$131)</f>
        <v>3.73</v>
      </c>
      <c r="H178" s="13">
        <f t="shared" ref="H178:H199" si="67">ROUND(($E178+F178)*$G178,2)</f>
        <v>727.35</v>
      </c>
      <c r="I178" s="85">
        <v>-3.73</v>
      </c>
      <c r="J178" s="13">
        <f t="shared" si="62"/>
        <v>723.62</v>
      </c>
      <c r="K178" s="35">
        <f t="shared" si="48"/>
        <v>723.62</v>
      </c>
      <c r="L178" s="87">
        <f t="shared" ref="L178:L199" si="68">IF(AND(J178=0,K178=0),1,IF(J178=0,0,K178/J178))</f>
        <v>1</v>
      </c>
      <c r="M178" s="86">
        <f t="shared" si="49"/>
        <v>723.62</v>
      </c>
      <c r="N178" s="15">
        <f t="shared" ref="N178:N199" si="69">J178</f>
        <v>723.62</v>
      </c>
      <c r="O178" s="15">
        <f t="shared" ref="O178:O199" si="70">ROUND(M178-N178,2)</f>
        <v>0</v>
      </c>
      <c r="V178" s="14">
        <f>IF(AB178=1,IF(V177=MiscData!$F$1,EOMONTH(V177,-11),EOMONTH(V177,1)),V177)</f>
        <v>41882</v>
      </c>
      <c r="W178" s="8" t="str">
        <f t="shared" ref="W178:W199" si="71">CONCATENATE(AA178&amp;AC178)</f>
        <v>20140101LE_951BASE</v>
      </c>
      <c r="X178" s="12" t="str">
        <f t="shared" ref="X178:X199" si="72">CONCATENATE(AA178&amp;AD178)</f>
        <v>20140101RLS</v>
      </c>
      <c r="AA178">
        <f>MiscData!$X$5</f>
        <v>20140101</v>
      </c>
      <c r="AB178">
        <f>IF(AB177+1&gt;MiscData!$AF$28,1,AB177+1)</f>
        <v>9</v>
      </c>
      <c r="AC178" t="str">
        <f>VLOOKUP(AB178,MiscData!$AF$5:$AG$28,2,FALSE)</f>
        <v>LE_951BASE</v>
      </c>
      <c r="AD178" t="str">
        <f>VLOOKUP(AB178,MiscData!$AF$5:$AH$28,3,FALSE)</f>
        <v>RLS</v>
      </c>
    </row>
    <row r="179" spans="1:30">
      <c r="A179" s="8">
        <f>A89+1</f>
        <v>76</v>
      </c>
      <c r="B179" s="14" t="str">
        <f t="shared" si="63"/>
        <v>Aug 2014</v>
      </c>
      <c r="C179" s="24" t="str">
        <f t="shared" si="64"/>
        <v xml:space="preserve">LS </v>
      </c>
      <c r="D179" s="24" t="str">
        <f t="shared" si="65"/>
        <v>LE_951BASE</v>
      </c>
      <c r="E179" s="73">
        <f t="shared" si="66"/>
        <v>73</v>
      </c>
      <c r="F179" s="73">
        <v>0</v>
      </c>
      <c r="G179" s="11">
        <f>SUMIF(PoleRates!$E$4:$E$131,$W179,PoleRates!$F$4:$F$131)</f>
        <v>3.73</v>
      </c>
      <c r="H179" s="13">
        <f t="shared" si="67"/>
        <v>272.29000000000002</v>
      </c>
      <c r="I179" s="85">
        <v>-11.19</v>
      </c>
      <c r="J179" s="13">
        <f t="shared" si="62"/>
        <v>261.10000000000002</v>
      </c>
      <c r="K179" s="35">
        <f t="shared" si="48"/>
        <v>261.09999999999997</v>
      </c>
      <c r="L179" s="87">
        <f t="shared" si="68"/>
        <v>0.99999999999999978</v>
      </c>
      <c r="M179" s="86">
        <f t="shared" si="49"/>
        <v>261.09999999999997</v>
      </c>
      <c r="N179" s="15">
        <f t="shared" si="69"/>
        <v>261.10000000000002</v>
      </c>
      <c r="O179" s="15">
        <f t="shared" si="70"/>
        <v>0</v>
      </c>
      <c r="V179" s="14">
        <f>IF(AB179=1,IF(V178=MiscData!$F$1,EOMONTH(V178,-11),EOMONTH(V178,1)),V178)</f>
        <v>41882</v>
      </c>
      <c r="W179" s="8" t="str">
        <f t="shared" si="71"/>
        <v>20140101LE_951BASE</v>
      </c>
      <c r="X179" s="12" t="str">
        <f t="shared" si="72"/>
        <v xml:space="preserve">20140101LS </v>
      </c>
      <c r="AA179">
        <f>MiscData!$X$5</f>
        <v>20140101</v>
      </c>
      <c r="AB179">
        <f>IF(AB178+1&gt;MiscData!$AF$28,1,AB178+1)</f>
        <v>10</v>
      </c>
      <c r="AC179" t="str">
        <f>VLOOKUP(AB179,MiscData!$AF$5:$AG$28,2,FALSE)</f>
        <v>LE_951BASE</v>
      </c>
      <c r="AD179" t="str">
        <f>VLOOKUP(AB179,MiscData!$AF$5:$AH$28,3,FALSE)</f>
        <v xml:space="preserve">LS </v>
      </c>
    </row>
    <row r="180" spans="1:30">
      <c r="A180" s="8">
        <f t="shared" ref="A180:A199" si="73">A178+1</f>
        <v>77</v>
      </c>
      <c r="B180" s="14" t="str">
        <f t="shared" si="63"/>
        <v>Aug 2014</v>
      </c>
      <c r="C180" s="24" t="str">
        <f t="shared" si="64"/>
        <v>RLS</v>
      </c>
      <c r="D180" s="24" t="str">
        <f t="shared" si="65"/>
        <v>LE_952BASE</v>
      </c>
      <c r="E180" s="73">
        <f t="shared" si="66"/>
        <v>0</v>
      </c>
      <c r="F180" s="73">
        <v>0</v>
      </c>
      <c r="G180" s="11">
        <f>SUMIF(PoleRates!$E$4:$E$131,$W180,PoleRates!$F$4:$F$131)</f>
        <v>3.56</v>
      </c>
      <c r="H180" s="13">
        <f t="shared" si="67"/>
        <v>0</v>
      </c>
      <c r="I180" s="85">
        <v>0</v>
      </c>
      <c r="J180" s="13">
        <f t="shared" si="62"/>
        <v>0</v>
      </c>
      <c r="K180" s="35">
        <f t="shared" si="48"/>
        <v>0</v>
      </c>
      <c r="L180" s="87">
        <f t="shared" si="68"/>
        <v>1</v>
      </c>
      <c r="M180" s="86">
        <f t="shared" si="49"/>
        <v>0</v>
      </c>
      <c r="N180" s="15">
        <f t="shared" si="69"/>
        <v>0</v>
      </c>
      <c r="O180" s="15">
        <f t="shared" si="70"/>
        <v>0</v>
      </c>
      <c r="V180" s="14">
        <f>IF(AB180=1,IF(V179=MiscData!$F$1,EOMONTH(V179,-11),EOMONTH(V179,1)),V179)</f>
        <v>41882</v>
      </c>
      <c r="W180" s="8" t="str">
        <f t="shared" si="71"/>
        <v>20140101LE_952BASE</v>
      </c>
      <c r="X180" s="12" t="str">
        <f t="shared" si="72"/>
        <v>20140101RLS</v>
      </c>
      <c r="AA180">
        <f>MiscData!$X$5</f>
        <v>20140101</v>
      </c>
      <c r="AB180">
        <f>IF(AB179+1&gt;MiscData!$AF$28,1,AB179+1)</f>
        <v>11</v>
      </c>
      <c r="AC180" t="str">
        <f>VLOOKUP(AB180,MiscData!$AF$5:$AG$28,2,FALSE)</f>
        <v>LE_952BASE</v>
      </c>
      <c r="AD180" t="str">
        <f>VLOOKUP(AB180,MiscData!$AF$5:$AH$28,3,FALSE)</f>
        <v>RLS</v>
      </c>
    </row>
    <row r="181" spans="1:30">
      <c r="A181" s="8">
        <f t="shared" si="73"/>
        <v>77</v>
      </c>
      <c r="B181" s="14" t="str">
        <f t="shared" si="63"/>
        <v>Aug 2014</v>
      </c>
      <c r="C181" s="24" t="str">
        <f t="shared" si="64"/>
        <v xml:space="preserve">LS </v>
      </c>
      <c r="D181" s="24" t="str">
        <f t="shared" si="65"/>
        <v>LE_952BASE</v>
      </c>
      <c r="E181" s="73">
        <f t="shared" si="66"/>
        <v>0</v>
      </c>
      <c r="F181" s="73">
        <v>0</v>
      </c>
      <c r="G181" s="11">
        <f>SUMIF(PoleRates!$E$4:$E$131,$W181,PoleRates!$F$4:$F$131)</f>
        <v>3.56</v>
      </c>
      <c r="H181" s="13">
        <f t="shared" si="67"/>
        <v>0</v>
      </c>
      <c r="I181" s="85">
        <v>0</v>
      </c>
      <c r="J181" s="13">
        <f t="shared" si="62"/>
        <v>0</v>
      </c>
      <c r="K181" s="35">
        <f t="shared" si="48"/>
        <v>0</v>
      </c>
      <c r="L181" s="87">
        <f t="shared" si="68"/>
        <v>1</v>
      </c>
      <c r="M181" s="86">
        <f t="shared" si="49"/>
        <v>0</v>
      </c>
      <c r="N181" s="15">
        <f t="shared" si="69"/>
        <v>0</v>
      </c>
      <c r="O181" s="15">
        <f t="shared" si="70"/>
        <v>0</v>
      </c>
      <c r="V181" s="14">
        <f>IF(AB181=1,IF(V180=MiscData!$F$1,EOMONTH(V180,-11),EOMONTH(V180,1)),V180)</f>
        <v>41882</v>
      </c>
      <c r="W181" s="8" t="str">
        <f t="shared" si="71"/>
        <v>20140101LE_952BASE</v>
      </c>
      <c r="X181" s="12" t="str">
        <f t="shared" si="72"/>
        <v xml:space="preserve">20140101LS </v>
      </c>
      <c r="AA181">
        <f>MiscData!$X$5</f>
        <v>20140101</v>
      </c>
      <c r="AB181">
        <f>IF(AB180+1&gt;MiscData!$AF$28,1,AB180+1)</f>
        <v>12</v>
      </c>
      <c r="AC181" t="str">
        <f>VLOOKUP(AB181,MiscData!$AF$5:$AG$28,2,FALSE)</f>
        <v>LE_952BASE</v>
      </c>
      <c r="AD181" t="str">
        <f>VLOOKUP(AB181,MiscData!$AF$5:$AH$28,3,FALSE)</f>
        <v xml:space="preserve">LS </v>
      </c>
    </row>
    <row r="182" spans="1:30">
      <c r="A182" s="8">
        <f t="shared" si="73"/>
        <v>78</v>
      </c>
      <c r="B182" s="14" t="str">
        <f t="shared" si="63"/>
        <v>Aug 2014</v>
      </c>
      <c r="C182" s="24" t="str">
        <f t="shared" si="64"/>
        <v>RLS</v>
      </c>
      <c r="D182" s="24" t="str">
        <f t="shared" si="65"/>
        <v>LE_953BASE</v>
      </c>
      <c r="E182" s="73">
        <f t="shared" si="66"/>
        <v>0</v>
      </c>
      <c r="F182" s="73">
        <v>0</v>
      </c>
      <c r="G182" s="11">
        <f>SUMIF(PoleRates!$E$4:$E$131,$W182,PoleRates!$F$4:$F$131)</f>
        <v>3.73</v>
      </c>
      <c r="H182" s="13">
        <f t="shared" si="67"/>
        <v>0</v>
      </c>
      <c r="I182" s="85">
        <v>0</v>
      </c>
      <c r="J182" s="13">
        <f t="shared" si="62"/>
        <v>0</v>
      </c>
      <c r="K182" s="35">
        <f t="shared" si="48"/>
        <v>0</v>
      </c>
      <c r="L182" s="87">
        <f t="shared" si="68"/>
        <v>1</v>
      </c>
      <c r="M182" s="86">
        <f t="shared" si="49"/>
        <v>0</v>
      </c>
      <c r="N182" s="15">
        <f t="shared" si="69"/>
        <v>0</v>
      </c>
      <c r="O182" s="15">
        <f t="shared" si="70"/>
        <v>0</v>
      </c>
      <c r="V182" s="14">
        <f>IF(AB182=1,IF(V181=MiscData!$F$1,EOMONTH(V181,-11),EOMONTH(V181,1)),V181)</f>
        <v>41882</v>
      </c>
      <c r="W182" s="8" t="str">
        <f t="shared" si="71"/>
        <v>20140101LE_953BASE</v>
      </c>
      <c r="X182" s="12" t="str">
        <f t="shared" si="72"/>
        <v>20140101RLS</v>
      </c>
      <c r="AA182">
        <f>MiscData!$X$5</f>
        <v>20140101</v>
      </c>
      <c r="AB182">
        <f>IF(AB181+1&gt;MiscData!$AF$28,1,AB181+1)</f>
        <v>13</v>
      </c>
      <c r="AC182" t="str">
        <f>VLOOKUP(AB182,MiscData!$AF$5:$AG$28,2,FALSE)</f>
        <v>LE_953BASE</v>
      </c>
      <c r="AD182" t="str">
        <f>VLOOKUP(AB182,MiscData!$AF$5:$AH$28,3,FALSE)</f>
        <v>RLS</v>
      </c>
    </row>
    <row r="183" spans="1:30">
      <c r="A183" s="8">
        <f t="shared" si="73"/>
        <v>78</v>
      </c>
      <c r="B183" s="14" t="str">
        <f t="shared" si="63"/>
        <v>Aug 2014</v>
      </c>
      <c r="C183" s="24" t="str">
        <f t="shared" si="64"/>
        <v xml:space="preserve">LS </v>
      </c>
      <c r="D183" s="24" t="str">
        <f t="shared" si="65"/>
        <v>LE_953BASE</v>
      </c>
      <c r="E183" s="73">
        <f t="shared" si="66"/>
        <v>0</v>
      </c>
      <c r="F183" s="73">
        <v>0</v>
      </c>
      <c r="G183" s="11">
        <f>SUMIF(PoleRates!$E$4:$E$131,$W183,PoleRates!$F$4:$F$131)</f>
        <v>3.73</v>
      </c>
      <c r="H183" s="13">
        <f t="shared" si="67"/>
        <v>0</v>
      </c>
      <c r="I183" s="85">
        <v>0</v>
      </c>
      <c r="J183" s="13">
        <f t="shared" si="62"/>
        <v>0</v>
      </c>
      <c r="K183" s="35">
        <f t="shared" si="48"/>
        <v>0</v>
      </c>
      <c r="L183" s="87">
        <f t="shared" si="68"/>
        <v>1</v>
      </c>
      <c r="M183" s="86">
        <f t="shared" si="49"/>
        <v>0</v>
      </c>
      <c r="N183" s="15">
        <f t="shared" si="69"/>
        <v>0</v>
      </c>
      <c r="O183" s="15">
        <f t="shared" si="70"/>
        <v>0</v>
      </c>
      <c r="V183" s="14">
        <f>IF(AB183=1,IF(V182=MiscData!$F$1,EOMONTH(V182,-11),EOMONTH(V182,1)),V182)</f>
        <v>41882</v>
      </c>
      <c r="W183" s="8" t="str">
        <f t="shared" si="71"/>
        <v>20140101LE_953BASE</v>
      </c>
      <c r="X183" s="12" t="str">
        <f t="shared" si="72"/>
        <v xml:space="preserve">20140101LS </v>
      </c>
      <c r="AA183">
        <f>MiscData!$X$5</f>
        <v>20140101</v>
      </c>
      <c r="AB183">
        <f>IF(AB182+1&gt;MiscData!$AF$28,1,AB182+1)</f>
        <v>14</v>
      </c>
      <c r="AC183" t="str">
        <f>VLOOKUP(AB183,MiscData!$AF$5:$AG$28,2,FALSE)</f>
        <v>LE_953BASE</v>
      </c>
      <c r="AD183" t="str">
        <f>VLOOKUP(AB183,MiscData!$AF$5:$AH$28,3,FALSE)</f>
        <v xml:space="preserve">LS </v>
      </c>
    </row>
    <row r="184" spans="1:30">
      <c r="A184" s="8">
        <f t="shared" si="73"/>
        <v>79</v>
      </c>
      <c r="B184" s="14" t="str">
        <f t="shared" si="63"/>
        <v>Aug 2014</v>
      </c>
      <c r="C184" s="24" t="str">
        <f t="shared" si="64"/>
        <v>RLS</v>
      </c>
      <c r="D184" s="24" t="str">
        <f t="shared" si="65"/>
        <v>LE_954BASE</v>
      </c>
      <c r="E184" s="73">
        <f t="shared" si="66"/>
        <v>0</v>
      </c>
      <c r="F184" s="73">
        <v>0</v>
      </c>
      <c r="G184" s="11">
        <f>SUMIF(PoleRates!$E$4:$E$131,$W184,PoleRates!$F$4:$F$131)</f>
        <v>3.47</v>
      </c>
      <c r="H184" s="13">
        <f t="shared" si="67"/>
        <v>0</v>
      </c>
      <c r="I184" s="85">
        <v>0</v>
      </c>
      <c r="J184" s="13">
        <f t="shared" si="62"/>
        <v>0</v>
      </c>
      <c r="K184" s="35">
        <f t="shared" si="48"/>
        <v>0</v>
      </c>
      <c r="L184" s="87">
        <f t="shared" si="68"/>
        <v>1</v>
      </c>
      <c r="M184" s="86">
        <f t="shared" si="49"/>
        <v>0</v>
      </c>
      <c r="N184" s="15">
        <f t="shared" si="69"/>
        <v>0</v>
      </c>
      <c r="O184" s="15">
        <f t="shared" si="70"/>
        <v>0</v>
      </c>
      <c r="V184" s="14">
        <f>IF(AB184=1,IF(V183=MiscData!$F$1,EOMONTH(V183,-11),EOMONTH(V183,1)),V183)</f>
        <v>41882</v>
      </c>
      <c r="W184" s="8" t="str">
        <f t="shared" si="71"/>
        <v>20140101LE_954BASE</v>
      </c>
      <c r="X184" s="12" t="str">
        <f t="shared" si="72"/>
        <v>20140101RLS</v>
      </c>
      <c r="AA184">
        <f>MiscData!$X$5</f>
        <v>20140101</v>
      </c>
      <c r="AB184">
        <f>IF(AB183+1&gt;MiscData!$AF$28,1,AB183+1)</f>
        <v>15</v>
      </c>
      <c r="AC184" t="str">
        <f>VLOOKUP(AB184,MiscData!$AF$5:$AG$28,2,FALSE)</f>
        <v>LE_954BASE</v>
      </c>
      <c r="AD184" t="str">
        <f>VLOOKUP(AB184,MiscData!$AF$5:$AH$28,3,FALSE)</f>
        <v>RLS</v>
      </c>
    </row>
    <row r="185" spans="1:30">
      <c r="A185" s="8">
        <f t="shared" si="73"/>
        <v>79</v>
      </c>
      <c r="B185" s="14" t="str">
        <f t="shared" si="63"/>
        <v>Aug 2014</v>
      </c>
      <c r="C185" s="24" t="str">
        <f t="shared" si="64"/>
        <v xml:space="preserve">LS </v>
      </c>
      <c r="D185" s="24" t="str">
        <f t="shared" si="65"/>
        <v>LE_954BASE</v>
      </c>
      <c r="E185" s="73">
        <f t="shared" si="66"/>
        <v>0</v>
      </c>
      <c r="F185" s="73">
        <v>0</v>
      </c>
      <c r="G185" s="11">
        <f>SUMIF(PoleRates!$E$4:$E$131,$W185,PoleRates!$F$4:$F$131)</f>
        <v>3.47</v>
      </c>
      <c r="H185" s="13">
        <f t="shared" si="67"/>
        <v>0</v>
      </c>
      <c r="I185" s="85">
        <v>0</v>
      </c>
      <c r="J185" s="13">
        <f t="shared" si="62"/>
        <v>0</v>
      </c>
      <c r="K185" s="35">
        <f t="shared" si="48"/>
        <v>0</v>
      </c>
      <c r="L185" s="87">
        <f t="shared" si="68"/>
        <v>1</v>
      </c>
      <c r="M185" s="86">
        <f t="shared" si="49"/>
        <v>0</v>
      </c>
      <c r="N185" s="15">
        <f t="shared" si="69"/>
        <v>0</v>
      </c>
      <c r="O185" s="15">
        <f t="shared" si="70"/>
        <v>0</v>
      </c>
      <c r="V185" s="14">
        <f>IF(AB185=1,IF(V184=MiscData!$F$1,EOMONTH(V184,-11),EOMONTH(V184,1)),V184)</f>
        <v>41882</v>
      </c>
      <c r="W185" s="8" t="str">
        <f t="shared" si="71"/>
        <v>20140101LE_954BASE</v>
      </c>
      <c r="X185" s="12" t="str">
        <f t="shared" si="72"/>
        <v xml:space="preserve">20140101LS </v>
      </c>
      <c r="AA185">
        <f>MiscData!$X$5</f>
        <v>20140101</v>
      </c>
      <c r="AB185">
        <f>IF(AB184+1&gt;MiscData!$AF$28,1,AB184+1)</f>
        <v>16</v>
      </c>
      <c r="AC185" t="str">
        <f>VLOOKUP(AB185,MiscData!$AF$5:$AG$28,2,FALSE)</f>
        <v>LE_954BASE</v>
      </c>
      <c r="AD185" t="str">
        <f>VLOOKUP(AB185,MiscData!$AF$5:$AH$28,3,FALSE)</f>
        <v xml:space="preserve">LS </v>
      </c>
    </row>
    <row r="186" spans="1:30">
      <c r="A186" s="8">
        <f t="shared" si="73"/>
        <v>80</v>
      </c>
      <c r="B186" s="14" t="str">
        <f t="shared" si="63"/>
        <v>Aug 2014</v>
      </c>
      <c r="C186" s="24" t="str">
        <f t="shared" si="64"/>
        <v>RLS</v>
      </c>
      <c r="D186" s="24" t="str">
        <f t="shared" si="65"/>
        <v>LE_955BASE</v>
      </c>
      <c r="E186" s="73">
        <f t="shared" si="66"/>
        <v>0</v>
      </c>
      <c r="F186" s="73">
        <v>0</v>
      </c>
      <c r="G186" s="11">
        <f>SUMIF(PoleRates!$E$4:$E$131,$W186,PoleRates!$F$4:$F$131)</f>
        <v>3.56</v>
      </c>
      <c r="H186" s="13">
        <f t="shared" si="67"/>
        <v>0</v>
      </c>
      <c r="I186" s="85">
        <v>0</v>
      </c>
      <c r="J186" s="13">
        <f t="shared" si="62"/>
        <v>0</v>
      </c>
      <c r="K186" s="35">
        <f t="shared" si="48"/>
        <v>0</v>
      </c>
      <c r="L186" s="87">
        <f t="shared" si="68"/>
        <v>1</v>
      </c>
      <c r="M186" s="86">
        <f t="shared" si="49"/>
        <v>0</v>
      </c>
      <c r="N186" s="15">
        <f t="shared" si="69"/>
        <v>0</v>
      </c>
      <c r="O186" s="15">
        <f t="shared" si="70"/>
        <v>0</v>
      </c>
      <c r="V186" s="14">
        <f>IF(AB186=1,IF(V185=MiscData!$F$1,EOMONTH(V185,-11),EOMONTH(V185,1)),V185)</f>
        <v>41882</v>
      </c>
      <c r="W186" s="8" t="str">
        <f t="shared" si="71"/>
        <v>20140101LE_955BASE</v>
      </c>
      <c r="X186" s="12" t="str">
        <f t="shared" si="72"/>
        <v>20140101RLS</v>
      </c>
      <c r="AA186">
        <f>MiscData!$X$5</f>
        <v>20140101</v>
      </c>
      <c r="AB186">
        <f>IF(AB185+1&gt;MiscData!$AF$28,1,AB185+1)</f>
        <v>17</v>
      </c>
      <c r="AC186" t="str">
        <f>VLOOKUP(AB186,MiscData!$AF$5:$AG$28,2,FALSE)</f>
        <v>LE_955BASE</v>
      </c>
      <c r="AD186" t="str">
        <f>VLOOKUP(AB186,MiscData!$AF$5:$AH$28,3,FALSE)</f>
        <v>RLS</v>
      </c>
    </row>
    <row r="187" spans="1:30">
      <c r="A187" s="8">
        <f t="shared" si="73"/>
        <v>80</v>
      </c>
      <c r="B187" s="14" t="str">
        <f t="shared" si="63"/>
        <v>Aug 2014</v>
      </c>
      <c r="C187" s="24" t="str">
        <f t="shared" si="64"/>
        <v xml:space="preserve">LS </v>
      </c>
      <c r="D187" s="24" t="str">
        <f t="shared" si="65"/>
        <v>LE_955BASE</v>
      </c>
      <c r="E187" s="73">
        <f t="shared" si="66"/>
        <v>0</v>
      </c>
      <c r="F187" s="73">
        <v>0</v>
      </c>
      <c r="G187" s="11">
        <f>SUMIF(PoleRates!$E$4:$E$131,$W187,PoleRates!$F$4:$F$131)</f>
        <v>3.56</v>
      </c>
      <c r="H187" s="13">
        <f t="shared" si="67"/>
        <v>0</v>
      </c>
      <c r="I187" s="85">
        <v>0</v>
      </c>
      <c r="J187" s="13">
        <f t="shared" si="62"/>
        <v>0</v>
      </c>
      <c r="K187" s="35">
        <f t="shared" si="48"/>
        <v>0</v>
      </c>
      <c r="L187" s="87">
        <f t="shared" si="68"/>
        <v>1</v>
      </c>
      <c r="M187" s="86">
        <f t="shared" si="49"/>
        <v>0</v>
      </c>
      <c r="N187" s="15">
        <f t="shared" si="69"/>
        <v>0</v>
      </c>
      <c r="O187" s="15">
        <f t="shared" si="70"/>
        <v>0</v>
      </c>
      <c r="V187" s="14">
        <f>IF(AB187=1,IF(V186=MiscData!$F$1,EOMONTH(V186,-11),EOMONTH(V186,1)),V186)</f>
        <v>41882</v>
      </c>
      <c r="W187" s="8" t="str">
        <f t="shared" si="71"/>
        <v>20140101LE_955BASE</v>
      </c>
      <c r="X187" s="12" t="str">
        <f t="shared" si="72"/>
        <v xml:space="preserve">20140101LS </v>
      </c>
      <c r="AA187">
        <f>MiscData!$X$5</f>
        <v>20140101</v>
      </c>
      <c r="AB187">
        <f>IF(AB186+1&gt;MiscData!$AF$28,1,AB186+1)</f>
        <v>18</v>
      </c>
      <c r="AC187" t="str">
        <f>VLOOKUP(AB187,MiscData!$AF$5:$AG$28,2,FALSE)</f>
        <v>LE_955BASE</v>
      </c>
      <c r="AD187" t="str">
        <f>VLOOKUP(AB187,MiscData!$AF$5:$AH$28,3,FALSE)</f>
        <v xml:space="preserve">LS </v>
      </c>
    </row>
    <row r="188" spans="1:30">
      <c r="A188" s="8">
        <f t="shared" si="73"/>
        <v>81</v>
      </c>
      <c r="B188" s="14" t="str">
        <f t="shared" si="63"/>
        <v>Aug 2014</v>
      </c>
      <c r="C188" s="24" t="str">
        <f t="shared" si="64"/>
        <v>RLS</v>
      </c>
      <c r="D188" s="24" t="str">
        <f t="shared" si="65"/>
        <v>LE_956BASE</v>
      </c>
      <c r="E188" s="73">
        <f t="shared" si="66"/>
        <v>239</v>
      </c>
      <c r="F188" s="73">
        <v>0</v>
      </c>
      <c r="G188" s="11">
        <f>SUMIF(PoleRates!$E$4:$E$131,$W188,PoleRates!$F$4:$F$131)</f>
        <v>3.56</v>
      </c>
      <c r="H188" s="13">
        <f t="shared" si="67"/>
        <v>850.84</v>
      </c>
      <c r="I188" s="85">
        <v>10.68</v>
      </c>
      <c r="J188" s="13">
        <f t="shared" si="62"/>
        <v>861.52</v>
      </c>
      <c r="K188" s="35">
        <f t="shared" si="48"/>
        <v>861.52</v>
      </c>
      <c r="L188" s="87">
        <f t="shared" si="68"/>
        <v>1</v>
      </c>
      <c r="M188" s="86">
        <f t="shared" si="49"/>
        <v>861.52</v>
      </c>
      <c r="N188" s="15">
        <f t="shared" si="69"/>
        <v>861.52</v>
      </c>
      <c r="O188" s="15">
        <f t="shared" si="70"/>
        <v>0</v>
      </c>
      <c r="V188" s="14">
        <f>IF(AB188=1,IF(V187=MiscData!$F$1,EOMONTH(V187,-11),EOMONTH(V187,1)),V187)</f>
        <v>41882</v>
      </c>
      <c r="W188" s="8" t="str">
        <f t="shared" si="71"/>
        <v>20140101LE_956BASE</v>
      </c>
      <c r="X188" s="12" t="str">
        <f t="shared" si="72"/>
        <v>20140101RLS</v>
      </c>
      <c r="AA188">
        <f>MiscData!$X$5</f>
        <v>20140101</v>
      </c>
      <c r="AB188">
        <f>IF(AB187+1&gt;MiscData!$AF$28,1,AB187+1)</f>
        <v>19</v>
      </c>
      <c r="AC188" t="str">
        <f>VLOOKUP(AB188,MiscData!$AF$5:$AG$28,2,FALSE)</f>
        <v>LE_956BASE</v>
      </c>
      <c r="AD188" t="str">
        <f>VLOOKUP(AB188,MiscData!$AF$5:$AH$28,3,FALSE)</f>
        <v>RLS</v>
      </c>
    </row>
    <row r="189" spans="1:30">
      <c r="A189" s="8">
        <f t="shared" si="73"/>
        <v>81</v>
      </c>
      <c r="B189" s="14" t="str">
        <f t="shared" si="63"/>
        <v>Aug 2014</v>
      </c>
      <c r="C189" s="24" t="str">
        <f t="shared" si="64"/>
        <v xml:space="preserve">LS </v>
      </c>
      <c r="D189" s="24" t="str">
        <f t="shared" si="65"/>
        <v>LE_956BASE</v>
      </c>
      <c r="E189" s="73">
        <f t="shared" si="66"/>
        <v>300</v>
      </c>
      <c r="F189" s="73">
        <v>-1</v>
      </c>
      <c r="G189" s="11">
        <f>SUMIF(PoleRates!$E$4:$E$131,$W189,PoleRates!$F$4:$F$131)</f>
        <v>3.56</v>
      </c>
      <c r="H189" s="13">
        <f t="shared" si="67"/>
        <v>1064.44</v>
      </c>
      <c r="I189" s="85">
        <v>21.36</v>
      </c>
      <c r="J189" s="13">
        <f t="shared" si="62"/>
        <v>1085.8</v>
      </c>
      <c r="K189" s="35">
        <f t="shared" si="48"/>
        <v>1085.8</v>
      </c>
      <c r="L189" s="87">
        <f t="shared" si="68"/>
        <v>1</v>
      </c>
      <c r="M189" s="86">
        <f t="shared" si="49"/>
        <v>1085.8</v>
      </c>
      <c r="N189" s="15">
        <f t="shared" si="69"/>
        <v>1085.8</v>
      </c>
      <c r="O189" s="15">
        <f t="shared" si="70"/>
        <v>0</v>
      </c>
      <c r="V189" s="14">
        <f>IF(AB189=1,IF(V188=MiscData!$F$1,EOMONTH(V188,-11),EOMONTH(V188,1)),V188)</f>
        <v>41882</v>
      </c>
      <c r="W189" s="8" t="str">
        <f t="shared" si="71"/>
        <v>20140101LE_956BASE</v>
      </c>
      <c r="X189" s="12" t="str">
        <f t="shared" si="72"/>
        <v xml:space="preserve">20140101LS </v>
      </c>
      <c r="AA189">
        <f>MiscData!$X$5</f>
        <v>20140101</v>
      </c>
      <c r="AB189">
        <f>IF(AB188+1&gt;MiscData!$AF$28,1,AB188+1)</f>
        <v>20</v>
      </c>
      <c r="AC189" t="str">
        <f>VLOOKUP(AB189,MiscData!$AF$5:$AG$28,2,FALSE)</f>
        <v>LE_956BASE</v>
      </c>
      <c r="AD189" t="str">
        <f>VLOOKUP(AB189,MiscData!$AF$5:$AH$28,3,FALSE)</f>
        <v xml:space="preserve">LS </v>
      </c>
    </row>
    <row r="190" spans="1:30">
      <c r="A190" s="8">
        <f t="shared" si="73"/>
        <v>82</v>
      </c>
      <c r="B190" s="14" t="str">
        <f t="shared" si="63"/>
        <v>Aug 2014</v>
      </c>
      <c r="C190" s="24" t="str">
        <f t="shared" si="64"/>
        <v>RLS</v>
      </c>
      <c r="D190" s="24" t="str">
        <f t="shared" si="65"/>
        <v>LE_957BASE</v>
      </c>
      <c r="E190" s="73">
        <f t="shared" si="66"/>
        <v>0</v>
      </c>
      <c r="F190" s="73">
        <v>0</v>
      </c>
      <c r="G190" s="11">
        <f>SUMIF(PoleRates!$E$4:$E$131,$W190,PoleRates!$F$4:$F$131)</f>
        <v>3.56</v>
      </c>
      <c r="H190" s="13">
        <f t="shared" si="67"/>
        <v>0</v>
      </c>
      <c r="I190" s="85">
        <v>0</v>
      </c>
      <c r="J190" s="13">
        <f t="shared" si="62"/>
        <v>0</v>
      </c>
      <c r="K190" s="35">
        <f t="shared" si="48"/>
        <v>0</v>
      </c>
      <c r="L190" s="87">
        <f t="shared" si="68"/>
        <v>1</v>
      </c>
      <c r="M190" s="86">
        <f t="shared" si="49"/>
        <v>0</v>
      </c>
      <c r="N190" s="15">
        <f t="shared" si="69"/>
        <v>0</v>
      </c>
      <c r="O190" s="15">
        <f t="shared" si="70"/>
        <v>0</v>
      </c>
      <c r="V190" s="14">
        <f>IF(AB190=1,IF(V189=MiscData!$F$1,EOMONTH(V189,-11),EOMONTH(V189,1)),V189)</f>
        <v>41882</v>
      </c>
      <c r="W190" s="8" t="str">
        <f t="shared" si="71"/>
        <v>20140101LE_957BASE</v>
      </c>
      <c r="X190" s="12" t="str">
        <f t="shared" si="72"/>
        <v>20140101RLS</v>
      </c>
      <c r="AA190">
        <f>MiscData!$X$5</f>
        <v>20140101</v>
      </c>
      <c r="AB190">
        <f>IF(AB189+1&gt;MiscData!$AF$28,1,AB189+1)</f>
        <v>21</v>
      </c>
      <c r="AC190" t="str">
        <f>VLOOKUP(AB190,MiscData!$AF$5:$AG$28,2,FALSE)</f>
        <v>LE_957BASE</v>
      </c>
      <c r="AD190" t="str">
        <f>VLOOKUP(AB190,MiscData!$AF$5:$AH$28,3,FALSE)</f>
        <v>RLS</v>
      </c>
    </row>
    <row r="191" spans="1:30">
      <c r="A191" s="8">
        <f t="shared" si="73"/>
        <v>82</v>
      </c>
      <c r="B191" s="14" t="str">
        <f t="shared" si="63"/>
        <v>Aug 2014</v>
      </c>
      <c r="C191" s="24" t="str">
        <f t="shared" si="64"/>
        <v xml:space="preserve">LS </v>
      </c>
      <c r="D191" s="24" t="str">
        <f t="shared" si="65"/>
        <v>LE_957BASE</v>
      </c>
      <c r="E191" s="73">
        <f t="shared" si="66"/>
        <v>0</v>
      </c>
      <c r="F191" s="73">
        <v>0</v>
      </c>
      <c r="G191" s="11">
        <f>SUMIF(PoleRates!$E$4:$E$131,$W191,PoleRates!$F$4:$F$131)</f>
        <v>3.56</v>
      </c>
      <c r="H191" s="13">
        <f t="shared" si="67"/>
        <v>0</v>
      </c>
      <c r="I191" s="85">
        <v>0</v>
      </c>
      <c r="J191" s="13">
        <f t="shared" si="62"/>
        <v>0</v>
      </c>
      <c r="K191" s="35">
        <f t="shared" si="48"/>
        <v>0</v>
      </c>
      <c r="L191" s="87">
        <f t="shared" si="68"/>
        <v>1</v>
      </c>
      <c r="M191" s="86">
        <f t="shared" si="49"/>
        <v>0</v>
      </c>
      <c r="N191" s="15">
        <f t="shared" si="69"/>
        <v>0</v>
      </c>
      <c r="O191" s="15">
        <f t="shared" si="70"/>
        <v>0</v>
      </c>
      <c r="V191" s="14">
        <f>IF(AB191=1,IF(V190=MiscData!$F$1,EOMONTH(V190,-11),EOMONTH(V190,1)),V190)</f>
        <v>41882</v>
      </c>
      <c r="W191" s="8" t="str">
        <f t="shared" si="71"/>
        <v>20140101LE_957BASE</v>
      </c>
      <c r="X191" s="12" t="str">
        <f t="shared" si="72"/>
        <v xml:space="preserve">20140101LS </v>
      </c>
      <c r="AA191">
        <f>MiscData!$X$5</f>
        <v>20140101</v>
      </c>
      <c r="AB191">
        <f>IF(AB190+1&gt;MiscData!$AF$28,1,AB190+1)</f>
        <v>22</v>
      </c>
      <c r="AC191" t="str">
        <f>VLOOKUP(AB191,MiscData!$AF$5:$AG$28,2,FALSE)</f>
        <v>LE_957BASE</v>
      </c>
      <c r="AD191" t="str">
        <f>VLOOKUP(AB191,MiscData!$AF$5:$AH$28,3,FALSE)</f>
        <v xml:space="preserve">LS </v>
      </c>
    </row>
    <row r="192" spans="1:30">
      <c r="A192" s="8">
        <f>A182+1</f>
        <v>79</v>
      </c>
      <c r="B192" s="14" t="str">
        <f t="shared" si="63"/>
        <v>Aug 2014</v>
      </c>
      <c r="C192" s="24" t="str">
        <f t="shared" si="64"/>
        <v>RLS</v>
      </c>
      <c r="D192" s="24" t="str">
        <f t="shared" si="65"/>
        <v>LE_958POLE</v>
      </c>
      <c r="E192" s="73">
        <f t="shared" si="66"/>
        <v>37</v>
      </c>
      <c r="F192" s="73">
        <v>0</v>
      </c>
      <c r="G192" s="11">
        <f>SUMIF(PoleRates!$E$4:$E$131,$W192,PoleRates!$F$4:$F$131)</f>
        <v>11.31</v>
      </c>
      <c r="H192" s="13">
        <f t="shared" si="67"/>
        <v>418.47</v>
      </c>
      <c r="I192" s="85">
        <v>0</v>
      </c>
      <c r="J192" s="13">
        <f t="shared" si="62"/>
        <v>418.47</v>
      </c>
      <c r="K192" s="35">
        <f t="shared" si="48"/>
        <v>418.47</v>
      </c>
      <c r="L192" s="87">
        <f t="shared" si="68"/>
        <v>1</v>
      </c>
      <c r="M192" s="86">
        <f t="shared" si="49"/>
        <v>418.47</v>
      </c>
      <c r="N192" s="15">
        <f t="shared" si="69"/>
        <v>418.47</v>
      </c>
      <c r="O192" s="15">
        <f t="shared" si="70"/>
        <v>0</v>
      </c>
      <c r="V192" s="14">
        <f>IF(AB192=1,IF(V191=MiscData!$F$1,EOMONTH(V191,-11),EOMONTH(V191,1)),V191)</f>
        <v>41882</v>
      </c>
      <c r="W192" s="8" t="str">
        <f t="shared" si="71"/>
        <v>20140101LE_958POLE</v>
      </c>
      <c r="X192" s="12" t="str">
        <f t="shared" si="72"/>
        <v>20140101RLS</v>
      </c>
      <c r="AA192">
        <f>MiscData!$X$5</f>
        <v>20140101</v>
      </c>
      <c r="AB192">
        <f>IF(AB191+1&gt;MiscData!$AF$28,1,AB191+1)</f>
        <v>23</v>
      </c>
      <c r="AC192" t="str">
        <f>VLOOKUP(AB192,MiscData!$AF$5:$AG$28,2,FALSE)</f>
        <v>LE_958POLE</v>
      </c>
      <c r="AD192" t="str">
        <f>VLOOKUP(AB192,MiscData!$AF$5:$AH$28,3,FALSE)</f>
        <v>RLS</v>
      </c>
    </row>
    <row r="193" spans="1:30">
      <c r="A193" s="8">
        <f>A183+1</f>
        <v>79</v>
      </c>
      <c r="B193" s="14" t="str">
        <f t="shared" si="63"/>
        <v>Aug 2014</v>
      </c>
      <c r="C193" s="24" t="str">
        <f t="shared" si="64"/>
        <v xml:space="preserve">LS </v>
      </c>
      <c r="D193" s="24" t="str">
        <f t="shared" si="65"/>
        <v>LE_958POLE</v>
      </c>
      <c r="E193" s="73">
        <f t="shared" si="66"/>
        <v>409</v>
      </c>
      <c r="F193" s="73">
        <v>0</v>
      </c>
      <c r="G193" s="11">
        <f>SUMIF(PoleRates!$E$4:$E$131,$W193,PoleRates!$F$4:$F$131)</f>
        <v>11.31</v>
      </c>
      <c r="H193" s="13">
        <f t="shared" si="67"/>
        <v>4625.79</v>
      </c>
      <c r="I193" s="85">
        <v>-2.2599999999999998</v>
      </c>
      <c r="J193" s="13">
        <f t="shared" si="62"/>
        <v>4623.53</v>
      </c>
      <c r="K193" s="35">
        <f t="shared" si="48"/>
        <v>4623.53</v>
      </c>
      <c r="L193" s="87">
        <f t="shared" si="68"/>
        <v>1</v>
      </c>
      <c r="M193" s="86">
        <f t="shared" si="49"/>
        <v>4623.53</v>
      </c>
      <c r="N193" s="15">
        <f t="shared" si="69"/>
        <v>4623.53</v>
      </c>
      <c r="O193" s="15">
        <f t="shared" si="70"/>
        <v>0</v>
      </c>
      <c r="V193" s="14">
        <f>IF(AB193=1,IF(V192=MiscData!$F$1,EOMONTH(V192,-11),EOMONTH(V192,1)),V192)</f>
        <v>41882</v>
      </c>
      <c r="W193" s="8" t="str">
        <f t="shared" si="71"/>
        <v>20140101LE_958POLE</v>
      </c>
      <c r="X193" s="12" t="str">
        <f t="shared" si="72"/>
        <v xml:space="preserve">20140101LS </v>
      </c>
      <c r="AA193">
        <f>MiscData!$X$5</f>
        <v>20140101</v>
      </c>
      <c r="AB193">
        <f>IF(AB192+1&gt;MiscData!$AF$28,1,AB192+1)</f>
        <v>24</v>
      </c>
      <c r="AC193" t="str">
        <f>VLOOKUP(AB193,MiscData!$AF$5:$AG$28,2,FALSE)</f>
        <v>LE_958POLE</v>
      </c>
      <c r="AD193" t="str">
        <f>VLOOKUP(AB193,MiscData!$AF$5:$AH$28,3,FALSE)</f>
        <v xml:space="preserve">LS </v>
      </c>
    </row>
    <row r="194" spans="1:30">
      <c r="A194" s="8">
        <f t="shared" si="73"/>
        <v>80</v>
      </c>
      <c r="B194" s="14" t="str">
        <f t="shared" si="63"/>
        <v>Sep 2014</v>
      </c>
      <c r="C194" s="24" t="str">
        <f t="shared" si="64"/>
        <v>RLS</v>
      </c>
      <c r="D194" s="24" t="str">
        <f t="shared" si="65"/>
        <v>LE_900POLE</v>
      </c>
      <c r="E194" s="73">
        <f>SUMIFS(L_1051_Count_Total,L_1051_Revenue_Month,$B194,L_1051_RateCategory,$D194,L_1051_Light_Category,C194)</f>
        <v>1723</v>
      </c>
      <c r="F194" s="73">
        <v>0</v>
      </c>
      <c r="G194" s="11">
        <f>SUMIF(PoleRates!$E$4:$E$131,$W194,PoleRates!$F$4:$F$131)</f>
        <v>2.06</v>
      </c>
      <c r="H194" s="13">
        <f t="shared" si="67"/>
        <v>3549.38</v>
      </c>
      <c r="I194" s="85">
        <v>0</v>
      </c>
      <c r="J194" s="13">
        <f t="shared" si="62"/>
        <v>3549.38</v>
      </c>
      <c r="K194" s="35">
        <f t="shared" ref="K194:K257" si="74">SUMIFS(L_1051_Revenue_Total,L_1051_Revenue_Month,$B194,L_1051_RateCategory,$D194,L_1051_Light_Category,C194)</f>
        <v>0</v>
      </c>
      <c r="L194" s="87">
        <f t="shared" si="68"/>
        <v>0</v>
      </c>
      <c r="M194" s="86">
        <f t="shared" ref="M194:M257" si="75">SUMIFS(L_1051_Revenue_Total,L_1051_Revenue_Month,$B194,L_1051_RateCategory,$D194,L_1051_Light_Category,C194)</f>
        <v>0</v>
      </c>
      <c r="N194" s="15">
        <f t="shared" si="69"/>
        <v>3549.38</v>
      </c>
      <c r="O194" s="15">
        <f t="shared" si="70"/>
        <v>-3549.38</v>
      </c>
      <c r="V194" s="14">
        <f>IF(AB194=1,IF(V193=MiscData!$F$1,EOMONTH(V193,-11),EOMONTH(V193,1)),V193)</f>
        <v>41912</v>
      </c>
      <c r="W194" s="8" t="str">
        <f t="shared" si="71"/>
        <v>20140101LE_900POLE</v>
      </c>
      <c r="X194" s="12" t="str">
        <f t="shared" si="72"/>
        <v>20140101RLS</v>
      </c>
      <c r="AA194">
        <f>MiscData!$X$5</f>
        <v>20140101</v>
      </c>
      <c r="AB194">
        <f>IF(AB193+1&gt;MiscData!$AF$28,1,AB193+1)</f>
        <v>1</v>
      </c>
      <c r="AC194" t="str">
        <f>VLOOKUP(AB194,MiscData!$AF$5:$AG$28,2,FALSE)</f>
        <v>LE_900POLE</v>
      </c>
      <c r="AD194" t="str">
        <f>VLOOKUP(AB194,MiscData!$AF$5:$AH$28,3,FALSE)</f>
        <v>RLS</v>
      </c>
    </row>
    <row r="195" spans="1:30">
      <c r="A195" s="8">
        <f t="shared" si="73"/>
        <v>80</v>
      </c>
      <c r="B195" s="14" t="str">
        <f t="shared" si="63"/>
        <v>Sep 2014</v>
      </c>
      <c r="C195" s="24" t="str">
        <f t="shared" si="64"/>
        <v xml:space="preserve">LS </v>
      </c>
      <c r="D195" s="24" t="str">
        <f t="shared" si="65"/>
        <v>LE_900POLE</v>
      </c>
      <c r="E195" s="73">
        <f t="shared" si="66"/>
        <v>5243</v>
      </c>
      <c r="F195" s="73">
        <v>0</v>
      </c>
      <c r="G195" s="11">
        <f>SUMIF(PoleRates!$E$4:$E$131,$W195,PoleRates!$F$4:$F$131)</f>
        <v>2.06</v>
      </c>
      <c r="H195" s="13">
        <f t="shared" si="67"/>
        <v>10800.58</v>
      </c>
      <c r="I195" s="85">
        <v>0</v>
      </c>
      <c r="J195" s="13">
        <f t="shared" si="62"/>
        <v>10800.58</v>
      </c>
      <c r="K195" s="35">
        <f t="shared" si="74"/>
        <v>0</v>
      </c>
      <c r="L195" s="87">
        <f t="shared" si="68"/>
        <v>0</v>
      </c>
      <c r="M195" s="86">
        <f t="shared" si="75"/>
        <v>0</v>
      </c>
      <c r="N195" s="15">
        <f t="shared" si="69"/>
        <v>10800.58</v>
      </c>
      <c r="O195" s="15">
        <f t="shared" si="70"/>
        <v>-10800.58</v>
      </c>
      <c r="V195" s="14">
        <f>IF(AB195=1,IF(V194=MiscData!$F$1,EOMONTH(V194,-11),EOMONTH(V194,1)),V194)</f>
        <v>41912</v>
      </c>
      <c r="W195" s="8" t="str">
        <f t="shared" si="71"/>
        <v>20140101LE_900POLE</v>
      </c>
      <c r="X195" s="12" t="str">
        <f t="shared" si="72"/>
        <v xml:space="preserve">20140101LS </v>
      </c>
      <c r="AA195">
        <f>MiscData!$X$5</f>
        <v>20140101</v>
      </c>
      <c r="AB195">
        <f>IF(AB194+1&gt;MiscData!$AF$28,1,AB194+1)</f>
        <v>2</v>
      </c>
      <c r="AC195" t="str">
        <f>VLOOKUP(AB195,MiscData!$AF$5:$AG$28,2,FALSE)</f>
        <v>LE_900POLE</v>
      </c>
      <c r="AD195" t="str">
        <f>VLOOKUP(AB195,MiscData!$AF$5:$AH$28,3,FALSE)</f>
        <v xml:space="preserve">LS </v>
      </c>
    </row>
    <row r="196" spans="1:30">
      <c r="A196" s="8">
        <f t="shared" si="73"/>
        <v>81</v>
      </c>
      <c r="B196" s="14" t="str">
        <f t="shared" si="63"/>
        <v>Sep 2014</v>
      </c>
      <c r="C196" s="24" t="str">
        <f t="shared" si="64"/>
        <v>RLS</v>
      </c>
      <c r="D196" s="24" t="str">
        <f t="shared" si="65"/>
        <v>LE_901POLE</v>
      </c>
      <c r="E196" s="73">
        <f t="shared" si="66"/>
        <v>157</v>
      </c>
      <c r="F196" s="73">
        <v>0</v>
      </c>
      <c r="G196" s="11">
        <f>SUMIF(PoleRates!$E$4:$E$131,$W196,PoleRates!$F$4:$F$131)</f>
        <v>10.81</v>
      </c>
      <c r="H196" s="13">
        <f t="shared" si="67"/>
        <v>1697.17</v>
      </c>
      <c r="I196" s="85">
        <v>0</v>
      </c>
      <c r="J196" s="13">
        <f t="shared" si="62"/>
        <v>1697.17</v>
      </c>
      <c r="K196" s="35">
        <f t="shared" si="74"/>
        <v>0</v>
      </c>
      <c r="L196" s="87">
        <f t="shared" si="68"/>
        <v>0</v>
      </c>
      <c r="M196" s="86">
        <f t="shared" si="75"/>
        <v>0</v>
      </c>
      <c r="N196" s="15">
        <f t="shared" si="69"/>
        <v>1697.17</v>
      </c>
      <c r="O196" s="15">
        <f t="shared" si="70"/>
        <v>-1697.17</v>
      </c>
      <c r="V196" s="14">
        <f>IF(AB196=1,IF(V195=MiscData!$F$1,EOMONTH(V195,-11),EOMONTH(V195,1)),V195)</f>
        <v>41912</v>
      </c>
      <c r="W196" s="8" t="str">
        <f t="shared" si="71"/>
        <v>20140101LE_901POLE</v>
      </c>
      <c r="X196" s="12" t="str">
        <f t="shared" si="72"/>
        <v>20140101RLS</v>
      </c>
      <c r="AA196">
        <f>MiscData!$X$5</f>
        <v>20140101</v>
      </c>
      <c r="AB196">
        <f>IF(AB195+1&gt;MiscData!$AF$28,1,AB195+1)</f>
        <v>3</v>
      </c>
      <c r="AC196" t="str">
        <f>VLOOKUP(AB196,MiscData!$AF$5:$AG$28,2,FALSE)</f>
        <v>LE_901POLE</v>
      </c>
      <c r="AD196" t="str">
        <f>VLOOKUP(AB196,MiscData!$AF$5:$AH$28,3,FALSE)</f>
        <v>RLS</v>
      </c>
    </row>
    <row r="197" spans="1:30">
      <c r="A197" s="8">
        <f t="shared" si="73"/>
        <v>81</v>
      </c>
      <c r="B197" s="14" t="str">
        <f t="shared" si="63"/>
        <v>Sep 2014</v>
      </c>
      <c r="C197" s="24" t="str">
        <f t="shared" si="64"/>
        <v xml:space="preserve">LS </v>
      </c>
      <c r="D197" s="24" t="str">
        <f t="shared" si="65"/>
        <v>LE_901POLE</v>
      </c>
      <c r="E197" s="73">
        <f t="shared" si="66"/>
        <v>0</v>
      </c>
      <c r="F197" s="73">
        <v>0</v>
      </c>
      <c r="G197" s="11">
        <f>SUMIF(PoleRates!$E$4:$E$131,$W197,PoleRates!$F$4:$F$131)</f>
        <v>10.81</v>
      </c>
      <c r="H197" s="13">
        <f t="shared" si="67"/>
        <v>0</v>
      </c>
      <c r="I197" s="85">
        <v>0</v>
      </c>
      <c r="J197" s="13">
        <f t="shared" si="62"/>
        <v>0</v>
      </c>
      <c r="K197" s="35">
        <f t="shared" si="74"/>
        <v>0</v>
      </c>
      <c r="L197" s="87">
        <f t="shared" si="68"/>
        <v>1</v>
      </c>
      <c r="M197" s="86">
        <f t="shared" si="75"/>
        <v>0</v>
      </c>
      <c r="N197" s="15">
        <f t="shared" si="69"/>
        <v>0</v>
      </c>
      <c r="O197" s="15">
        <f t="shared" si="70"/>
        <v>0</v>
      </c>
      <c r="V197" s="14">
        <f>IF(AB197=1,IF(V196=MiscData!$F$1,EOMONTH(V196,-11),EOMONTH(V196,1)),V196)</f>
        <v>41912</v>
      </c>
      <c r="W197" s="8" t="str">
        <f t="shared" si="71"/>
        <v>20140101LE_901POLE</v>
      </c>
      <c r="X197" s="12" t="str">
        <f t="shared" si="72"/>
        <v xml:space="preserve">20140101LS </v>
      </c>
      <c r="AA197">
        <f>MiscData!$X$5</f>
        <v>20140101</v>
      </c>
      <c r="AB197">
        <f>IF(AB196+1&gt;MiscData!$AF$28,1,AB196+1)</f>
        <v>4</v>
      </c>
      <c r="AC197" t="str">
        <f>VLOOKUP(AB197,MiscData!$AF$5:$AG$28,2,FALSE)</f>
        <v>LE_901POLE</v>
      </c>
      <c r="AD197" t="str">
        <f>VLOOKUP(AB197,MiscData!$AF$5:$AH$28,3,FALSE)</f>
        <v xml:space="preserve">LS </v>
      </c>
    </row>
    <row r="198" spans="1:30">
      <c r="A198" s="8">
        <f t="shared" si="73"/>
        <v>82</v>
      </c>
      <c r="B198" s="14" t="str">
        <f t="shared" si="63"/>
        <v>Sep 2014</v>
      </c>
      <c r="C198" s="24" t="str">
        <f t="shared" si="64"/>
        <v>RLS</v>
      </c>
      <c r="D198" s="24" t="str">
        <f t="shared" si="65"/>
        <v>LE_902POLE</v>
      </c>
      <c r="E198" s="73">
        <f t="shared" si="66"/>
        <v>277</v>
      </c>
      <c r="F198" s="73">
        <v>0</v>
      </c>
      <c r="G198" s="11">
        <f>SUMIF(PoleRates!$E$4:$E$131,$W198,PoleRates!$F$4:$F$131)</f>
        <v>12.9</v>
      </c>
      <c r="H198" s="13">
        <f t="shared" si="67"/>
        <v>3573.3</v>
      </c>
      <c r="I198" s="85">
        <v>0</v>
      </c>
      <c r="J198" s="13">
        <f t="shared" si="62"/>
        <v>3573.3</v>
      </c>
      <c r="K198" s="35">
        <f t="shared" si="74"/>
        <v>0</v>
      </c>
      <c r="L198" s="87">
        <f t="shared" si="68"/>
        <v>0</v>
      </c>
      <c r="M198" s="86">
        <f t="shared" si="75"/>
        <v>0</v>
      </c>
      <c r="N198" s="15">
        <f t="shared" si="69"/>
        <v>3573.3</v>
      </c>
      <c r="O198" s="15">
        <f t="shared" si="70"/>
        <v>-3573.3</v>
      </c>
      <c r="V198" s="14">
        <f>IF(AB198=1,IF(V197=MiscData!$F$1,EOMONTH(V197,-11),EOMONTH(V197,1)),V197)</f>
        <v>41912</v>
      </c>
      <c r="W198" s="8" t="str">
        <f t="shared" si="71"/>
        <v>20140101LE_902POLE</v>
      </c>
      <c r="X198" s="12" t="str">
        <f t="shared" si="72"/>
        <v>20140101RLS</v>
      </c>
      <c r="AA198">
        <f>MiscData!$X$5</f>
        <v>20140101</v>
      </c>
      <c r="AB198">
        <f>IF(AB197+1&gt;MiscData!$AF$28,1,AB197+1)</f>
        <v>5</v>
      </c>
      <c r="AC198" t="str">
        <f>VLOOKUP(AB198,MiscData!$AF$5:$AG$28,2,FALSE)</f>
        <v>LE_902POLE</v>
      </c>
      <c r="AD198" t="str">
        <f>VLOOKUP(AB198,MiscData!$AF$5:$AH$28,3,FALSE)</f>
        <v>RLS</v>
      </c>
    </row>
    <row r="199" spans="1:30">
      <c r="A199" s="8">
        <f t="shared" si="73"/>
        <v>82</v>
      </c>
      <c r="B199" s="14" t="str">
        <f t="shared" si="63"/>
        <v>Sep 2014</v>
      </c>
      <c r="C199" s="24" t="str">
        <f t="shared" si="64"/>
        <v xml:space="preserve">LS </v>
      </c>
      <c r="D199" s="24" t="str">
        <f t="shared" si="65"/>
        <v>LE_902POLE</v>
      </c>
      <c r="E199" s="73">
        <f t="shared" si="66"/>
        <v>3</v>
      </c>
      <c r="F199" s="73">
        <v>0</v>
      </c>
      <c r="G199" s="11">
        <f>SUMIF(PoleRates!$E$4:$E$131,$W199,PoleRates!$F$4:$F$131)</f>
        <v>12.9</v>
      </c>
      <c r="H199" s="13">
        <f t="shared" si="67"/>
        <v>38.700000000000003</v>
      </c>
      <c r="I199" s="85">
        <v>0</v>
      </c>
      <c r="J199" s="13">
        <f t="shared" si="62"/>
        <v>38.700000000000003</v>
      </c>
      <c r="K199" s="35">
        <f t="shared" si="74"/>
        <v>0</v>
      </c>
      <c r="L199" s="87">
        <f t="shared" si="68"/>
        <v>0</v>
      </c>
      <c r="M199" s="86">
        <f t="shared" si="75"/>
        <v>0</v>
      </c>
      <c r="N199" s="15">
        <f t="shared" si="69"/>
        <v>38.700000000000003</v>
      </c>
      <c r="O199" s="15">
        <f t="shared" si="70"/>
        <v>-38.700000000000003</v>
      </c>
      <c r="V199" s="14">
        <f>IF(AB199=1,IF(V198=MiscData!$F$1,EOMONTH(V198,-11),EOMONTH(V198,1)),V198)</f>
        <v>41912</v>
      </c>
      <c r="W199" s="8" t="str">
        <f t="shared" si="71"/>
        <v>20140101LE_902POLE</v>
      </c>
      <c r="X199" s="12" t="str">
        <f t="shared" si="72"/>
        <v xml:space="preserve">20140101LS </v>
      </c>
      <c r="AA199">
        <f>MiscData!$X$5</f>
        <v>20140101</v>
      </c>
      <c r="AB199">
        <f>IF(AB198+1&gt;MiscData!$AF$28,1,AB198+1)</f>
        <v>6</v>
      </c>
      <c r="AC199" t="str">
        <f>VLOOKUP(AB199,MiscData!$AF$5:$AG$28,2,FALSE)</f>
        <v>LE_902POLE</v>
      </c>
      <c r="AD199" t="str">
        <f>VLOOKUP(AB199,MiscData!$AF$5:$AH$28,3,FALSE)</f>
        <v xml:space="preserve">LS </v>
      </c>
    </row>
    <row r="200" spans="1:30">
      <c r="A200" s="8">
        <f>A110+1</f>
        <v>87</v>
      </c>
      <c r="B200" s="14" t="str">
        <f t="shared" si="50"/>
        <v>Sep 2014</v>
      </c>
      <c r="C200" s="24" t="str">
        <f t="shared" si="51"/>
        <v>RLS</v>
      </c>
      <c r="D200" s="24" t="str">
        <f t="shared" si="52"/>
        <v>LE_950BASE</v>
      </c>
      <c r="E200" s="73">
        <f t="shared" si="53"/>
        <v>77</v>
      </c>
      <c r="F200" s="73">
        <v>0</v>
      </c>
      <c r="G200" s="11">
        <f>SUMIF(PoleRates!$E$4:$E$131,$W200,PoleRates!$F$4:$F$131)</f>
        <v>3.47</v>
      </c>
      <c r="H200" s="13">
        <f t="shared" si="54"/>
        <v>267.19</v>
      </c>
      <c r="I200" s="85">
        <v>0</v>
      </c>
      <c r="J200" s="13">
        <f t="shared" si="62"/>
        <v>267.19</v>
      </c>
      <c r="K200" s="35">
        <f t="shared" si="74"/>
        <v>0</v>
      </c>
      <c r="L200" s="87">
        <f t="shared" si="55"/>
        <v>0</v>
      </c>
      <c r="M200" s="86">
        <f t="shared" si="75"/>
        <v>0</v>
      </c>
      <c r="N200" s="15">
        <f t="shared" si="56"/>
        <v>267.19</v>
      </c>
      <c r="O200" s="15">
        <f t="shared" si="57"/>
        <v>-267.19</v>
      </c>
      <c r="V200" s="14">
        <f>IF(AB200=1,IF(V199=MiscData!$F$1,EOMONTH(V199,-11),EOMONTH(V199,1)),V199)</f>
        <v>41912</v>
      </c>
      <c r="W200" s="8" t="str">
        <f t="shared" si="58"/>
        <v>20140101LE_950BASE</v>
      </c>
      <c r="X200" s="12" t="str">
        <f t="shared" si="59"/>
        <v>20140101RLS</v>
      </c>
      <c r="AA200">
        <f>MiscData!$X$5</f>
        <v>20140101</v>
      </c>
      <c r="AB200">
        <f>IF(AB199+1&gt;MiscData!$AF$28,1,AB199+1)</f>
        <v>7</v>
      </c>
      <c r="AC200" t="str">
        <f>VLOOKUP(AB200,MiscData!$AF$5:$AG$28,2,FALSE)</f>
        <v>LE_950BASE</v>
      </c>
      <c r="AD200" t="str">
        <f>VLOOKUP(AB200,MiscData!$AF$5:$AH$28,3,FALSE)</f>
        <v>RLS</v>
      </c>
    </row>
    <row r="201" spans="1:30">
      <c r="A201" s="8">
        <f>A111+1</f>
        <v>87</v>
      </c>
      <c r="B201" s="14" t="str">
        <f t="shared" si="50"/>
        <v>Sep 2014</v>
      </c>
      <c r="C201" s="24" t="str">
        <f t="shared" si="51"/>
        <v xml:space="preserve">LS </v>
      </c>
      <c r="D201" s="24" t="str">
        <f t="shared" si="52"/>
        <v>LE_950BASE</v>
      </c>
      <c r="E201" s="73">
        <f t="shared" si="53"/>
        <v>13</v>
      </c>
      <c r="F201" s="73">
        <v>0</v>
      </c>
      <c r="G201" s="11">
        <f>SUMIF(PoleRates!$E$4:$E$131,$W201,PoleRates!$F$4:$F$131)</f>
        <v>3.47</v>
      </c>
      <c r="H201" s="13">
        <f t="shared" si="54"/>
        <v>45.11</v>
      </c>
      <c r="I201" s="85">
        <v>0</v>
      </c>
      <c r="J201" s="13">
        <f t="shared" si="62"/>
        <v>45.11</v>
      </c>
      <c r="K201" s="35">
        <f t="shared" si="74"/>
        <v>0</v>
      </c>
      <c r="L201" s="87">
        <f t="shared" si="55"/>
        <v>0</v>
      </c>
      <c r="M201" s="86">
        <f t="shared" si="75"/>
        <v>0</v>
      </c>
      <c r="N201" s="15">
        <f t="shared" si="56"/>
        <v>45.11</v>
      </c>
      <c r="O201" s="15">
        <f t="shared" si="57"/>
        <v>-45.11</v>
      </c>
      <c r="V201" s="14">
        <f>IF(AB201=1,IF(V200=MiscData!$F$1,EOMONTH(V200,-11),EOMONTH(V200,1)),V200)</f>
        <v>41912</v>
      </c>
      <c r="W201" s="8" t="str">
        <f t="shared" si="58"/>
        <v>20140101LE_950BASE</v>
      </c>
      <c r="X201" s="12" t="str">
        <f t="shared" si="59"/>
        <v xml:space="preserve">20140101LS </v>
      </c>
      <c r="AA201">
        <f>MiscData!$X$5</f>
        <v>20140101</v>
      </c>
      <c r="AB201">
        <f>IF(AB200+1&gt;MiscData!$AF$28,1,AB200+1)</f>
        <v>8</v>
      </c>
      <c r="AC201" t="str">
        <f>VLOOKUP(AB201,MiscData!$AF$5:$AG$28,2,FALSE)</f>
        <v>LE_950BASE</v>
      </c>
      <c r="AD201" t="str">
        <f>VLOOKUP(AB201,MiscData!$AF$5:$AH$28,3,FALSE)</f>
        <v xml:space="preserve">LS </v>
      </c>
    </row>
    <row r="202" spans="1:30">
      <c r="A202" s="8">
        <f t="shared" ref="A202:A221" si="76">A200+1</f>
        <v>88</v>
      </c>
      <c r="B202" s="14" t="str">
        <f t="shared" si="50"/>
        <v>Sep 2014</v>
      </c>
      <c r="C202" s="24" t="str">
        <f t="shared" si="51"/>
        <v>RLS</v>
      </c>
      <c r="D202" s="24" t="str">
        <f t="shared" si="52"/>
        <v>LE_951BASE</v>
      </c>
      <c r="E202" s="73">
        <f t="shared" si="53"/>
        <v>195</v>
      </c>
      <c r="F202" s="73">
        <v>0</v>
      </c>
      <c r="G202" s="11">
        <f>SUMIF(PoleRates!$E$4:$E$131,$W202,PoleRates!$F$4:$F$131)</f>
        <v>3.73</v>
      </c>
      <c r="H202" s="13">
        <f t="shared" si="54"/>
        <v>727.35</v>
      </c>
      <c r="I202" s="85">
        <v>0</v>
      </c>
      <c r="J202" s="13">
        <f t="shared" si="62"/>
        <v>727.35</v>
      </c>
      <c r="K202" s="35">
        <f t="shared" si="74"/>
        <v>0</v>
      </c>
      <c r="L202" s="87">
        <f t="shared" si="55"/>
        <v>0</v>
      </c>
      <c r="M202" s="86">
        <f t="shared" si="75"/>
        <v>0</v>
      </c>
      <c r="N202" s="15">
        <f t="shared" si="56"/>
        <v>727.35</v>
      </c>
      <c r="O202" s="15">
        <f t="shared" si="57"/>
        <v>-727.35</v>
      </c>
      <c r="V202" s="14">
        <f>IF(AB202=1,IF(V201=MiscData!$F$1,EOMONTH(V201,-11),EOMONTH(V201,1)),V201)</f>
        <v>41912</v>
      </c>
      <c r="W202" s="8" t="str">
        <f t="shared" si="58"/>
        <v>20140101LE_951BASE</v>
      </c>
      <c r="X202" s="12" t="str">
        <f t="shared" si="59"/>
        <v>20140101RLS</v>
      </c>
      <c r="AA202">
        <f>MiscData!$X$5</f>
        <v>20140101</v>
      </c>
      <c r="AB202">
        <f>IF(AB201+1&gt;MiscData!$AF$28,1,AB201+1)</f>
        <v>9</v>
      </c>
      <c r="AC202" t="str">
        <f>VLOOKUP(AB202,MiscData!$AF$5:$AG$28,2,FALSE)</f>
        <v>LE_951BASE</v>
      </c>
      <c r="AD202" t="str">
        <f>VLOOKUP(AB202,MiscData!$AF$5:$AH$28,3,FALSE)</f>
        <v>RLS</v>
      </c>
    </row>
    <row r="203" spans="1:30">
      <c r="A203" s="8">
        <f t="shared" si="76"/>
        <v>88</v>
      </c>
      <c r="B203" s="14" t="str">
        <f t="shared" si="50"/>
        <v>Sep 2014</v>
      </c>
      <c r="C203" s="24" t="str">
        <f t="shared" si="51"/>
        <v xml:space="preserve">LS </v>
      </c>
      <c r="D203" s="24" t="str">
        <f t="shared" si="52"/>
        <v>LE_951BASE</v>
      </c>
      <c r="E203" s="73">
        <f t="shared" si="53"/>
        <v>73</v>
      </c>
      <c r="F203" s="73">
        <v>0</v>
      </c>
      <c r="G203" s="11">
        <f>SUMIF(PoleRates!$E$4:$E$131,$W203,PoleRates!$F$4:$F$131)</f>
        <v>3.73</v>
      </c>
      <c r="H203" s="13">
        <f t="shared" si="54"/>
        <v>272.29000000000002</v>
      </c>
      <c r="I203" s="85">
        <v>0</v>
      </c>
      <c r="J203" s="13">
        <f t="shared" si="62"/>
        <v>272.29000000000002</v>
      </c>
      <c r="K203" s="35">
        <f t="shared" si="74"/>
        <v>0</v>
      </c>
      <c r="L203" s="87">
        <f t="shared" si="55"/>
        <v>0</v>
      </c>
      <c r="M203" s="86">
        <f t="shared" si="75"/>
        <v>0</v>
      </c>
      <c r="N203" s="15">
        <f t="shared" si="56"/>
        <v>272.29000000000002</v>
      </c>
      <c r="O203" s="15">
        <f t="shared" si="57"/>
        <v>-272.29000000000002</v>
      </c>
      <c r="V203" s="14">
        <f>IF(AB203=1,IF(V202=MiscData!$F$1,EOMONTH(V202,-11),EOMONTH(V202,1)),V202)</f>
        <v>41912</v>
      </c>
      <c r="W203" s="8" t="str">
        <f t="shared" si="58"/>
        <v>20140101LE_951BASE</v>
      </c>
      <c r="X203" s="12" t="str">
        <f t="shared" si="59"/>
        <v xml:space="preserve">20140101LS </v>
      </c>
      <c r="AA203">
        <f>MiscData!$X$5</f>
        <v>20140101</v>
      </c>
      <c r="AB203">
        <f>IF(AB202+1&gt;MiscData!$AF$28,1,AB202+1)</f>
        <v>10</v>
      </c>
      <c r="AC203" t="str">
        <f>VLOOKUP(AB203,MiscData!$AF$5:$AG$28,2,FALSE)</f>
        <v>LE_951BASE</v>
      </c>
      <c r="AD203" t="str">
        <f>VLOOKUP(AB203,MiscData!$AF$5:$AH$28,3,FALSE)</f>
        <v xml:space="preserve">LS </v>
      </c>
    </row>
    <row r="204" spans="1:30">
      <c r="A204" s="8">
        <f t="shared" si="76"/>
        <v>89</v>
      </c>
      <c r="B204" s="14" t="str">
        <f t="shared" si="50"/>
        <v>Sep 2014</v>
      </c>
      <c r="C204" s="24" t="str">
        <f t="shared" si="51"/>
        <v>RLS</v>
      </c>
      <c r="D204" s="24" t="str">
        <f t="shared" si="52"/>
        <v>LE_952BASE</v>
      </c>
      <c r="E204" s="73">
        <f t="shared" si="53"/>
        <v>0</v>
      </c>
      <c r="F204" s="73">
        <v>0</v>
      </c>
      <c r="G204" s="11">
        <f>SUMIF(PoleRates!$E$4:$E$131,$W204,PoleRates!$F$4:$F$131)</f>
        <v>3.56</v>
      </c>
      <c r="H204" s="13">
        <f t="shared" si="54"/>
        <v>0</v>
      </c>
      <c r="I204" s="85">
        <v>0</v>
      </c>
      <c r="J204" s="13">
        <f t="shared" si="62"/>
        <v>0</v>
      </c>
      <c r="K204" s="35">
        <f t="shared" si="74"/>
        <v>0</v>
      </c>
      <c r="L204" s="87">
        <f t="shared" si="55"/>
        <v>1</v>
      </c>
      <c r="M204" s="86">
        <f t="shared" si="75"/>
        <v>0</v>
      </c>
      <c r="N204" s="15">
        <f t="shared" si="56"/>
        <v>0</v>
      </c>
      <c r="O204" s="15">
        <f t="shared" si="57"/>
        <v>0</v>
      </c>
      <c r="V204" s="14">
        <f>IF(AB204=1,IF(V203=MiscData!$F$1,EOMONTH(V203,-11),EOMONTH(V203,1)),V203)</f>
        <v>41912</v>
      </c>
      <c r="W204" s="8" t="str">
        <f t="shared" si="58"/>
        <v>20140101LE_952BASE</v>
      </c>
      <c r="X204" s="12" t="str">
        <f t="shared" si="59"/>
        <v>20140101RLS</v>
      </c>
      <c r="AA204">
        <f>MiscData!$X$5</f>
        <v>20140101</v>
      </c>
      <c r="AB204">
        <f>IF(AB203+1&gt;MiscData!$AF$28,1,AB203+1)</f>
        <v>11</v>
      </c>
      <c r="AC204" t="str">
        <f>VLOOKUP(AB204,MiscData!$AF$5:$AG$28,2,FALSE)</f>
        <v>LE_952BASE</v>
      </c>
      <c r="AD204" t="str">
        <f>VLOOKUP(AB204,MiscData!$AF$5:$AH$28,3,FALSE)</f>
        <v>RLS</v>
      </c>
    </row>
    <row r="205" spans="1:30">
      <c r="A205" s="8">
        <f t="shared" si="76"/>
        <v>89</v>
      </c>
      <c r="B205" s="14" t="str">
        <f t="shared" si="50"/>
        <v>Sep 2014</v>
      </c>
      <c r="C205" s="24" t="str">
        <f t="shared" si="51"/>
        <v xml:space="preserve">LS </v>
      </c>
      <c r="D205" s="24" t="str">
        <f t="shared" si="52"/>
        <v>LE_952BASE</v>
      </c>
      <c r="E205" s="73">
        <f t="shared" si="53"/>
        <v>0</v>
      </c>
      <c r="F205" s="73">
        <v>0</v>
      </c>
      <c r="G205" s="11">
        <f>SUMIF(PoleRates!$E$4:$E$131,$W205,PoleRates!$F$4:$F$131)</f>
        <v>3.56</v>
      </c>
      <c r="H205" s="13">
        <f t="shared" si="54"/>
        <v>0</v>
      </c>
      <c r="I205" s="85">
        <v>0</v>
      </c>
      <c r="J205" s="13">
        <f t="shared" si="62"/>
        <v>0</v>
      </c>
      <c r="K205" s="35">
        <f t="shared" si="74"/>
        <v>0</v>
      </c>
      <c r="L205" s="87">
        <f t="shared" si="55"/>
        <v>1</v>
      </c>
      <c r="M205" s="86">
        <f t="shared" si="75"/>
        <v>0</v>
      </c>
      <c r="N205" s="15">
        <f t="shared" si="56"/>
        <v>0</v>
      </c>
      <c r="O205" s="15">
        <f t="shared" si="57"/>
        <v>0</v>
      </c>
      <c r="V205" s="14">
        <f>IF(AB205=1,IF(V204=MiscData!$F$1,EOMONTH(V204,-11),EOMONTH(V204,1)),V204)</f>
        <v>41912</v>
      </c>
      <c r="W205" s="8" t="str">
        <f t="shared" si="58"/>
        <v>20140101LE_952BASE</v>
      </c>
      <c r="X205" s="12" t="str">
        <f t="shared" si="59"/>
        <v xml:space="preserve">20140101LS </v>
      </c>
      <c r="AA205">
        <f>MiscData!$X$5</f>
        <v>20140101</v>
      </c>
      <c r="AB205">
        <f>IF(AB204+1&gt;MiscData!$AF$28,1,AB204+1)</f>
        <v>12</v>
      </c>
      <c r="AC205" t="str">
        <f>VLOOKUP(AB205,MiscData!$AF$5:$AG$28,2,FALSE)</f>
        <v>LE_952BASE</v>
      </c>
      <c r="AD205" t="str">
        <f>VLOOKUP(AB205,MiscData!$AF$5:$AH$28,3,FALSE)</f>
        <v xml:space="preserve">LS </v>
      </c>
    </row>
    <row r="206" spans="1:30">
      <c r="A206" s="8">
        <f t="shared" si="76"/>
        <v>90</v>
      </c>
      <c r="B206" s="14" t="str">
        <f t="shared" si="50"/>
        <v>Sep 2014</v>
      </c>
      <c r="C206" s="24" t="str">
        <f t="shared" si="51"/>
        <v>RLS</v>
      </c>
      <c r="D206" s="24" t="str">
        <f t="shared" si="52"/>
        <v>LE_953BASE</v>
      </c>
      <c r="E206" s="73">
        <f t="shared" si="53"/>
        <v>0</v>
      </c>
      <c r="F206" s="73">
        <v>0</v>
      </c>
      <c r="G206" s="11">
        <f>SUMIF(PoleRates!$E$4:$E$131,$W206,PoleRates!$F$4:$F$131)</f>
        <v>3.73</v>
      </c>
      <c r="H206" s="13">
        <f t="shared" si="54"/>
        <v>0</v>
      </c>
      <c r="I206" s="85">
        <v>0</v>
      </c>
      <c r="J206" s="13">
        <f t="shared" si="62"/>
        <v>0</v>
      </c>
      <c r="K206" s="35">
        <f t="shared" si="74"/>
        <v>0</v>
      </c>
      <c r="L206" s="87">
        <f t="shared" si="55"/>
        <v>1</v>
      </c>
      <c r="M206" s="86">
        <f t="shared" si="75"/>
        <v>0</v>
      </c>
      <c r="N206" s="15">
        <f t="shared" si="56"/>
        <v>0</v>
      </c>
      <c r="O206" s="15">
        <f t="shared" si="57"/>
        <v>0</v>
      </c>
      <c r="V206" s="14">
        <f>IF(AB206=1,IF(V205=MiscData!$F$1,EOMONTH(V205,-11),EOMONTH(V205,1)),V205)</f>
        <v>41912</v>
      </c>
      <c r="W206" s="8" t="str">
        <f t="shared" si="58"/>
        <v>20140101LE_953BASE</v>
      </c>
      <c r="X206" s="12" t="str">
        <f t="shared" si="59"/>
        <v>20140101RLS</v>
      </c>
      <c r="AA206">
        <f>MiscData!$X$5</f>
        <v>20140101</v>
      </c>
      <c r="AB206">
        <f>IF(AB205+1&gt;MiscData!$AF$28,1,AB205+1)</f>
        <v>13</v>
      </c>
      <c r="AC206" t="str">
        <f>VLOOKUP(AB206,MiscData!$AF$5:$AG$28,2,FALSE)</f>
        <v>LE_953BASE</v>
      </c>
      <c r="AD206" t="str">
        <f>VLOOKUP(AB206,MiscData!$AF$5:$AH$28,3,FALSE)</f>
        <v>RLS</v>
      </c>
    </row>
    <row r="207" spans="1:30">
      <c r="A207" s="8">
        <f t="shared" si="76"/>
        <v>90</v>
      </c>
      <c r="B207" s="14" t="str">
        <f t="shared" si="50"/>
        <v>Sep 2014</v>
      </c>
      <c r="C207" s="24" t="str">
        <f t="shared" si="51"/>
        <v xml:space="preserve">LS </v>
      </c>
      <c r="D207" s="24" t="str">
        <f t="shared" si="52"/>
        <v>LE_953BASE</v>
      </c>
      <c r="E207" s="73">
        <f t="shared" si="53"/>
        <v>0</v>
      </c>
      <c r="F207" s="73">
        <v>0</v>
      </c>
      <c r="G207" s="11">
        <f>SUMIF(PoleRates!$E$4:$E$131,$W207,PoleRates!$F$4:$F$131)</f>
        <v>3.73</v>
      </c>
      <c r="H207" s="13">
        <f t="shared" si="54"/>
        <v>0</v>
      </c>
      <c r="I207" s="85">
        <v>0</v>
      </c>
      <c r="J207" s="13">
        <f t="shared" si="62"/>
        <v>0</v>
      </c>
      <c r="K207" s="35">
        <f t="shared" si="74"/>
        <v>0</v>
      </c>
      <c r="L207" s="87">
        <f t="shared" si="55"/>
        <v>1</v>
      </c>
      <c r="M207" s="86">
        <f t="shared" si="75"/>
        <v>0</v>
      </c>
      <c r="N207" s="15">
        <f t="shared" si="56"/>
        <v>0</v>
      </c>
      <c r="O207" s="15">
        <f t="shared" si="57"/>
        <v>0</v>
      </c>
      <c r="V207" s="14">
        <f>IF(AB207=1,IF(V206=MiscData!$F$1,EOMONTH(V206,-11),EOMONTH(V206,1)),V206)</f>
        <v>41912</v>
      </c>
      <c r="W207" s="8" t="str">
        <f t="shared" si="58"/>
        <v>20140101LE_953BASE</v>
      </c>
      <c r="X207" s="12" t="str">
        <f t="shared" si="59"/>
        <v xml:space="preserve">20140101LS </v>
      </c>
      <c r="AA207">
        <f>MiscData!$X$5</f>
        <v>20140101</v>
      </c>
      <c r="AB207">
        <f>IF(AB206+1&gt;MiscData!$AF$28,1,AB206+1)</f>
        <v>14</v>
      </c>
      <c r="AC207" t="str">
        <f>VLOOKUP(AB207,MiscData!$AF$5:$AG$28,2,FALSE)</f>
        <v>LE_953BASE</v>
      </c>
      <c r="AD207" t="str">
        <f>VLOOKUP(AB207,MiscData!$AF$5:$AH$28,3,FALSE)</f>
        <v xml:space="preserve">LS </v>
      </c>
    </row>
    <row r="208" spans="1:30">
      <c r="A208" s="8">
        <f t="shared" si="76"/>
        <v>91</v>
      </c>
      <c r="B208" s="14" t="str">
        <f t="shared" si="50"/>
        <v>Sep 2014</v>
      </c>
      <c r="C208" s="24" t="str">
        <f t="shared" si="51"/>
        <v>RLS</v>
      </c>
      <c r="D208" s="24" t="str">
        <f t="shared" si="52"/>
        <v>LE_954BASE</v>
      </c>
      <c r="E208" s="73">
        <f t="shared" si="53"/>
        <v>0</v>
      </c>
      <c r="F208" s="73">
        <v>0</v>
      </c>
      <c r="G208" s="11">
        <f>SUMIF(PoleRates!$E$4:$E$131,$W208,PoleRates!$F$4:$F$131)</f>
        <v>3.47</v>
      </c>
      <c r="H208" s="13">
        <f t="shared" si="54"/>
        <v>0</v>
      </c>
      <c r="I208" s="85">
        <v>0</v>
      </c>
      <c r="J208" s="13">
        <f t="shared" si="62"/>
        <v>0</v>
      </c>
      <c r="K208" s="35">
        <f t="shared" si="74"/>
        <v>0</v>
      </c>
      <c r="L208" s="87">
        <f t="shared" si="55"/>
        <v>1</v>
      </c>
      <c r="M208" s="86">
        <f t="shared" si="75"/>
        <v>0</v>
      </c>
      <c r="N208" s="15">
        <f t="shared" si="56"/>
        <v>0</v>
      </c>
      <c r="O208" s="15">
        <f t="shared" si="57"/>
        <v>0</v>
      </c>
      <c r="V208" s="14">
        <f>IF(AB208=1,IF(V207=MiscData!$F$1,EOMONTH(V207,-11),EOMONTH(V207,1)),V207)</f>
        <v>41912</v>
      </c>
      <c r="W208" s="8" t="str">
        <f t="shared" si="58"/>
        <v>20140101LE_954BASE</v>
      </c>
      <c r="X208" s="12" t="str">
        <f t="shared" si="59"/>
        <v>20140101RLS</v>
      </c>
      <c r="AA208">
        <f>MiscData!$X$5</f>
        <v>20140101</v>
      </c>
      <c r="AB208">
        <f>IF(AB207+1&gt;MiscData!$AF$28,1,AB207+1)</f>
        <v>15</v>
      </c>
      <c r="AC208" t="str">
        <f>VLOOKUP(AB208,MiscData!$AF$5:$AG$28,2,FALSE)</f>
        <v>LE_954BASE</v>
      </c>
      <c r="AD208" t="str">
        <f>VLOOKUP(AB208,MiscData!$AF$5:$AH$28,3,FALSE)</f>
        <v>RLS</v>
      </c>
    </row>
    <row r="209" spans="1:30">
      <c r="A209" s="8">
        <f t="shared" si="76"/>
        <v>91</v>
      </c>
      <c r="B209" s="14" t="str">
        <f t="shared" si="50"/>
        <v>Sep 2014</v>
      </c>
      <c r="C209" s="24" t="str">
        <f t="shared" si="51"/>
        <v xml:space="preserve">LS </v>
      </c>
      <c r="D209" s="24" t="str">
        <f t="shared" si="52"/>
        <v>LE_954BASE</v>
      </c>
      <c r="E209" s="73">
        <f t="shared" si="53"/>
        <v>0</v>
      </c>
      <c r="F209" s="73">
        <v>0</v>
      </c>
      <c r="G209" s="11">
        <f>SUMIF(PoleRates!$E$4:$E$131,$W209,PoleRates!$F$4:$F$131)</f>
        <v>3.47</v>
      </c>
      <c r="H209" s="13">
        <f t="shared" si="54"/>
        <v>0</v>
      </c>
      <c r="I209" s="85">
        <v>0</v>
      </c>
      <c r="J209" s="13">
        <f t="shared" si="62"/>
        <v>0</v>
      </c>
      <c r="K209" s="35">
        <f t="shared" si="74"/>
        <v>0</v>
      </c>
      <c r="L209" s="87">
        <f t="shared" si="55"/>
        <v>1</v>
      </c>
      <c r="M209" s="86">
        <f t="shared" si="75"/>
        <v>0</v>
      </c>
      <c r="N209" s="15">
        <f t="shared" si="56"/>
        <v>0</v>
      </c>
      <c r="O209" s="15">
        <f t="shared" si="57"/>
        <v>0</v>
      </c>
      <c r="V209" s="14">
        <f>IF(AB209=1,IF(V208=MiscData!$F$1,EOMONTH(V208,-11),EOMONTH(V208,1)),V208)</f>
        <v>41912</v>
      </c>
      <c r="W209" s="8" t="str">
        <f t="shared" si="58"/>
        <v>20140101LE_954BASE</v>
      </c>
      <c r="X209" s="12" t="str">
        <f t="shared" si="59"/>
        <v xml:space="preserve">20140101LS </v>
      </c>
      <c r="AA209">
        <f>MiscData!$X$5</f>
        <v>20140101</v>
      </c>
      <c r="AB209">
        <f>IF(AB208+1&gt;MiscData!$AF$28,1,AB208+1)</f>
        <v>16</v>
      </c>
      <c r="AC209" t="str">
        <f>VLOOKUP(AB209,MiscData!$AF$5:$AG$28,2,FALSE)</f>
        <v>LE_954BASE</v>
      </c>
      <c r="AD209" t="str">
        <f>VLOOKUP(AB209,MiscData!$AF$5:$AH$28,3,FALSE)</f>
        <v xml:space="preserve">LS </v>
      </c>
    </row>
    <row r="210" spans="1:30">
      <c r="A210" s="8">
        <f t="shared" si="76"/>
        <v>92</v>
      </c>
      <c r="B210" s="14" t="str">
        <f t="shared" si="50"/>
        <v>Sep 2014</v>
      </c>
      <c r="C210" s="24" t="str">
        <f t="shared" si="51"/>
        <v>RLS</v>
      </c>
      <c r="D210" s="24" t="str">
        <f t="shared" si="52"/>
        <v>LE_955BASE</v>
      </c>
      <c r="E210" s="73">
        <f t="shared" si="53"/>
        <v>0</v>
      </c>
      <c r="F210" s="73">
        <v>0</v>
      </c>
      <c r="G210" s="11">
        <f>SUMIF(PoleRates!$E$4:$E$131,$W210,PoleRates!$F$4:$F$131)</f>
        <v>3.56</v>
      </c>
      <c r="H210" s="13">
        <f t="shared" si="54"/>
        <v>0</v>
      </c>
      <c r="I210" s="85">
        <v>0</v>
      </c>
      <c r="J210" s="13">
        <f t="shared" si="62"/>
        <v>0</v>
      </c>
      <c r="K210" s="35">
        <f t="shared" si="74"/>
        <v>0</v>
      </c>
      <c r="L210" s="87">
        <f t="shared" si="55"/>
        <v>1</v>
      </c>
      <c r="M210" s="86">
        <f t="shared" si="75"/>
        <v>0</v>
      </c>
      <c r="N210" s="15">
        <f t="shared" si="56"/>
        <v>0</v>
      </c>
      <c r="O210" s="15">
        <f t="shared" si="57"/>
        <v>0</v>
      </c>
      <c r="V210" s="14">
        <f>IF(AB210=1,IF(V209=MiscData!$F$1,EOMONTH(V209,-11),EOMONTH(V209,1)),V209)</f>
        <v>41912</v>
      </c>
      <c r="W210" s="8" t="str">
        <f t="shared" si="58"/>
        <v>20140101LE_955BASE</v>
      </c>
      <c r="X210" s="12" t="str">
        <f t="shared" si="59"/>
        <v>20140101RLS</v>
      </c>
      <c r="AA210">
        <f>MiscData!$X$5</f>
        <v>20140101</v>
      </c>
      <c r="AB210">
        <f>IF(AB209+1&gt;MiscData!$AF$28,1,AB209+1)</f>
        <v>17</v>
      </c>
      <c r="AC210" t="str">
        <f>VLOOKUP(AB210,MiscData!$AF$5:$AG$28,2,FALSE)</f>
        <v>LE_955BASE</v>
      </c>
      <c r="AD210" t="str">
        <f>VLOOKUP(AB210,MiscData!$AF$5:$AH$28,3,FALSE)</f>
        <v>RLS</v>
      </c>
    </row>
    <row r="211" spans="1:30">
      <c r="A211" s="8">
        <f t="shared" si="76"/>
        <v>92</v>
      </c>
      <c r="B211" s="14" t="str">
        <f t="shared" si="50"/>
        <v>Sep 2014</v>
      </c>
      <c r="C211" s="24" t="str">
        <f t="shared" si="51"/>
        <v xml:space="preserve">LS </v>
      </c>
      <c r="D211" s="24" t="str">
        <f t="shared" si="52"/>
        <v>LE_955BASE</v>
      </c>
      <c r="E211" s="73">
        <f t="shared" si="53"/>
        <v>0</v>
      </c>
      <c r="F211" s="73">
        <v>0</v>
      </c>
      <c r="G211" s="11">
        <f>SUMIF(PoleRates!$E$4:$E$131,$W211,PoleRates!$F$4:$F$131)</f>
        <v>3.56</v>
      </c>
      <c r="H211" s="13">
        <f t="shared" si="54"/>
        <v>0</v>
      </c>
      <c r="I211" s="85">
        <v>0</v>
      </c>
      <c r="J211" s="13">
        <f t="shared" si="62"/>
        <v>0</v>
      </c>
      <c r="K211" s="35">
        <f t="shared" si="74"/>
        <v>0</v>
      </c>
      <c r="L211" s="87">
        <f t="shared" si="55"/>
        <v>1</v>
      </c>
      <c r="M211" s="86">
        <f t="shared" si="75"/>
        <v>0</v>
      </c>
      <c r="N211" s="15">
        <f t="shared" si="56"/>
        <v>0</v>
      </c>
      <c r="O211" s="15">
        <f t="shared" si="57"/>
        <v>0</v>
      </c>
      <c r="V211" s="14">
        <f>IF(AB211=1,IF(V210=MiscData!$F$1,EOMONTH(V210,-11),EOMONTH(V210,1)),V210)</f>
        <v>41912</v>
      </c>
      <c r="W211" s="8" t="str">
        <f t="shared" si="58"/>
        <v>20140101LE_955BASE</v>
      </c>
      <c r="X211" s="12" t="str">
        <f t="shared" si="59"/>
        <v xml:space="preserve">20140101LS </v>
      </c>
      <c r="AA211">
        <f>MiscData!$X$5</f>
        <v>20140101</v>
      </c>
      <c r="AB211">
        <f>IF(AB210+1&gt;MiscData!$AF$28,1,AB210+1)</f>
        <v>18</v>
      </c>
      <c r="AC211" t="str">
        <f>VLOOKUP(AB211,MiscData!$AF$5:$AG$28,2,FALSE)</f>
        <v>LE_955BASE</v>
      </c>
      <c r="AD211" t="str">
        <f>VLOOKUP(AB211,MiscData!$AF$5:$AH$28,3,FALSE)</f>
        <v xml:space="preserve">LS </v>
      </c>
    </row>
    <row r="212" spans="1:30">
      <c r="A212" s="8">
        <f t="shared" si="76"/>
        <v>93</v>
      </c>
      <c r="B212" s="14" t="str">
        <f t="shared" si="50"/>
        <v>Sep 2014</v>
      </c>
      <c r="C212" s="24" t="str">
        <f t="shared" si="51"/>
        <v>RLS</v>
      </c>
      <c r="D212" s="24" t="str">
        <f t="shared" si="52"/>
        <v>LE_956BASE</v>
      </c>
      <c r="E212" s="73">
        <f t="shared" si="53"/>
        <v>239</v>
      </c>
      <c r="F212" s="73">
        <v>0</v>
      </c>
      <c r="G212" s="11">
        <f>SUMIF(PoleRates!$E$4:$E$131,$W212,PoleRates!$F$4:$F$131)</f>
        <v>3.56</v>
      </c>
      <c r="H212" s="13">
        <f t="shared" si="54"/>
        <v>850.84</v>
      </c>
      <c r="I212" s="85">
        <v>0</v>
      </c>
      <c r="J212" s="13">
        <f t="shared" si="62"/>
        <v>850.84</v>
      </c>
      <c r="K212" s="35">
        <f t="shared" si="74"/>
        <v>0</v>
      </c>
      <c r="L212" s="87">
        <f t="shared" si="55"/>
        <v>0</v>
      </c>
      <c r="M212" s="86">
        <f t="shared" si="75"/>
        <v>0</v>
      </c>
      <c r="N212" s="15">
        <f t="shared" si="56"/>
        <v>850.84</v>
      </c>
      <c r="O212" s="15">
        <f t="shared" si="57"/>
        <v>-850.84</v>
      </c>
      <c r="V212" s="14">
        <f>IF(AB212=1,IF(V211=MiscData!$F$1,EOMONTH(V211,-11),EOMONTH(V211,1)),V211)</f>
        <v>41912</v>
      </c>
      <c r="W212" s="8" t="str">
        <f t="shared" si="58"/>
        <v>20140101LE_956BASE</v>
      </c>
      <c r="X212" s="12" t="str">
        <f t="shared" si="59"/>
        <v>20140101RLS</v>
      </c>
      <c r="AA212">
        <f>MiscData!$X$5</f>
        <v>20140101</v>
      </c>
      <c r="AB212">
        <f>IF(AB211+1&gt;MiscData!$AF$28,1,AB211+1)</f>
        <v>19</v>
      </c>
      <c r="AC212" t="str">
        <f>VLOOKUP(AB212,MiscData!$AF$5:$AG$28,2,FALSE)</f>
        <v>LE_956BASE</v>
      </c>
      <c r="AD212" t="str">
        <f>VLOOKUP(AB212,MiscData!$AF$5:$AH$28,3,FALSE)</f>
        <v>RLS</v>
      </c>
    </row>
    <row r="213" spans="1:30">
      <c r="A213" s="8">
        <f t="shared" si="76"/>
        <v>93</v>
      </c>
      <c r="B213" s="14" t="str">
        <f t="shared" si="50"/>
        <v>Sep 2014</v>
      </c>
      <c r="C213" s="24" t="str">
        <f t="shared" si="51"/>
        <v xml:space="preserve">LS </v>
      </c>
      <c r="D213" s="24" t="str">
        <f t="shared" si="52"/>
        <v>LE_956BASE</v>
      </c>
      <c r="E213" s="73">
        <f t="shared" si="53"/>
        <v>292</v>
      </c>
      <c r="F213" s="73">
        <v>0</v>
      </c>
      <c r="G213" s="11">
        <f>SUMIF(PoleRates!$E$4:$E$131,$W213,PoleRates!$F$4:$F$131)</f>
        <v>3.56</v>
      </c>
      <c r="H213" s="13">
        <f t="shared" si="54"/>
        <v>1039.52</v>
      </c>
      <c r="I213" s="85">
        <v>0</v>
      </c>
      <c r="J213" s="13">
        <f t="shared" si="62"/>
        <v>1039.52</v>
      </c>
      <c r="K213" s="35">
        <f t="shared" si="74"/>
        <v>0</v>
      </c>
      <c r="L213" s="87">
        <f t="shared" si="55"/>
        <v>0</v>
      </c>
      <c r="M213" s="86">
        <f t="shared" si="75"/>
        <v>0</v>
      </c>
      <c r="N213" s="15">
        <f t="shared" si="56"/>
        <v>1039.52</v>
      </c>
      <c r="O213" s="15">
        <f t="shared" si="57"/>
        <v>-1039.52</v>
      </c>
      <c r="V213" s="14">
        <f>IF(AB213=1,IF(V212=MiscData!$F$1,EOMONTH(V212,-11),EOMONTH(V212,1)),V212)</f>
        <v>41912</v>
      </c>
      <c r="W213" s="8" t="str">
        <f t="shared" si="58"/>
        <v>20140101LE_956BASE</v>
      </c>
      <c r="X213" s="12" t="str">
        <f t="shared" si="59"/>
        <v xml:space="preserve">20140101LS </v>
      </c>
      <c r="AA213">
        <f>MiscData!$X$5</f>
        <v>20140101</v>
      </c>
      <c r="AB213">
        <f>IF(AB212+1&gt;MiscData!$AF$28,1,AB212+1)</f>
        <v>20</v>
      </c>
      <c r="AC213" t="str">
        <f>VLOOKUP(AB213,MiscData!$AF$5:$AG$28,2,FALSE)</f>
        <v>LE_956BASE</v>
      </c>
      <c r="AD213" t="str">
        <f>VLOOKUP(AB213,MiscData!$AF$5:$AH$28,3,FALSE)</f>
        <v xml:space="preserve">LS </v>
      </c>
    </row>
    <row r="214" spans="1:30">
      <c r="A214" s="8">
        <f>A204+1</f>
        <v>90</v>
      </c>
      <c r="B214" s="14" t="str">
        <f t="shared" si="50"/>
        <v>Sep 2014</v>
      </c>
      <c r="C214" s="24" t="str">
        <f t="shared" si="51"/>
        <v>RLS</v>
      </c>
      <c r="D214" s="24" t="str">
        <f t="shared" si="52"/>
        <v>LE_957BASE</v>
      </c>
      <c r="E214" s="73">
        <f t="shared" si="53"/>
        <v>0</v>
      </c>
      <c r="F214" s="73">
        <v>0</v>
      </c>
      <c r="G214" s="11">
        <f>SUMIF(PoleRates!$E$4:$E$131,$W214,PoleRates!$F$4:$F$131)</f>
        <v>3.56</v>
      </c>
      <c r="H214" s="13">
        <f t="shared" si="54"/>
        <v>0</v>
      </c>
      <c r="I214" s="85">
        <v>0</v>
      </c>
      <c r="J214" s="13">
        <f t="shared" si="62"/>
        <v>0</v>
      </c>
      <c r="K214" s="35">
        <f t="shared" si="74"/>
        <v>0</v>
      </c>
      <c r="L214" s="87">
        <f t="shared" si="55"/>
        <v>1</v>
      </c>
      <c r="M214" s="86">
        <f t="shared" si="75"/>
        <v>0</v>
      </c>
      <c r="N214" s="15">
        <f t="shared" si="56"/>
        <v>0</v>
      </c>
      <c r="O214" s="15">
        <f t="shared" si="57"/>
        <v>0</v>
      </c>
      <c r="V214" s="14">
        <f>IF(AB214=1,IF(V213=MiscData!$F$1,EOMONTH(V213,-11),EOMONTH(V213,1)),V213)</f>
        <v>41912</v>
      </c>
      <c r="W214" s="8" t="str">
        <f t="shared" si="58"/>
        <v>20140101LE_957BASE</v>
      </c>
      <c r="X214" s="12" t="str">
        <f t="shared" si="59"/>
        <v>20140101RLS</v>
      </c>
      <c r="AA214">
        <f>MiscData!$X$5</f>
        <v>20140101</v>
      </c>
      <c r="AB214">
        <f>IF(AB213+1&gt;MiscData!$AF$28,1,AB213+1)</f>
        <v>21</v>
      </c>
      <c r="AC214" t="str">
        <f>VLOOKUP(AB214,MiscData!$AF$5:$AG$28,2,FALSE)</f>
        <v>LE_957BASE</v>
      </c>
      <c r="AD214" t="str">
        <f>VLOOKUP(AB214,MiscData!$AF$5:$AH$28,3,FALSE)</f>
        <v>RLS</v>
      </c>
    </row>
    <row r="215" spans="1:30">
      <c r="A215" s="8">
        <f>A205+1</f>
        <v>90</v>
      </c>
      <c r="B215" s="14" t="str">
        <f t="shared" si="50"/>
        <v>Sep 2014</v>
      </c>
      <c r="C215" s="24" t="str">
        <f t="shared" si="51"/>
        <v xml:space="preserve">LS </v>
      </c>
      <c r="D215" s="24" t="str">
        <f t="shared" si="52"/>
        <v>LE_957BASE</v>
      </c>
      <c r="E215" s="73">
        <f t="shared" si="53"/>
        <v>0</v>
      </c>
      <c r="F215" s="73">
        <v>0</v>
      </c>
      <c r="G215" s="11">
        <f>SUMIF(PoleRates!$E$4:$E$131,$W215,PoleRates!$F$4:$F$131)</f>
        <v>3.56</v>
      </c>
      <c r="H215" s="13">
        <f t="shared" si="54"/>
        <v>0</v>
      </c>
      <c r="I215" s="85">
        <v>0</v>
      </c>
      <c r="J215" s="13">
        <f t="shared" si="62"/>
        <v>0</v>
      </c>
      <c r="K215" s="35">
        <f t="shared" si="74"/>
        <v>0</v>
      </c>
      <c r="L215" s="87">
        <f t="shared" si="55"/>
        <v>1</v>
      </c>
      <c r="M215" s="86">
        <f t="shared" si="75"/>
        <v>0</v>
      </c>
      <c r="N215" s="15">
        <f t="shared" si="56"/>
        <v>0</v>
      </c>
      <c r="O215" s="15">
        <f t="shared" si="57"/>
        <v>0</v>
      </c>
      <c r="V215" s="14">
        <f>IF(AB215=1,IF(V214=MiscData!$F$1,EOMONTH(V214,-11),EOMONTH(V214,1)),V214)</f>
        <v>41912</v>
      </c>
      <c r="W215" s="8" t="str">
        <f t="shared" si="58"/>
        <v>20140101LE_957BASE</v>
      </c>
      <c r="X215" s="12" t="str">
        <f t="shared" si="59"/>
        <v xml:space="preserve">20140101LS </v>
      </c>
      <c r="AA215">
        <f>MiscData!$X$5</f>
        <v>20140101</v>
      </c>
      <c r="AB215">
        <f>IF(AB214+1&gt;MiscData!$AF$28,1,AB214+1)</f>
        <v>22</v>
      </c>
      <c r="AC215" t="str">
        <f>VLOOKUP(AB215,MiscData!$AF$5:$AG$28,2,FALSE)</f>
        <v>LE_957BASE</v>
      </c>
      <c r="AD215" t="str">
        <f>VLOOKUP(AB215,MiscData!$AF$5:$AH$28,3,FALSE)</f>
        <v xml:space="preserve">LS </v>
      </c>
    </row>
    <row r="216" spans="1:30">
      <c r="A216" s="8">
        <f t="shared" si="76"/>
        <v>91</v>
      </c>
      <c r="B216" s="14" t="str">
        <f t="shared" si="50"/>
        <v>Sep 2014</v>
      </c>
      <c r="C216" s="24" t="str">
        <f t="shared" si="51"/>
        <v>RLS</v>
      </c>
      <c r="D216" s="24" t="str">
        <f t="shared" si="52"/>
        <v>LE_958POLE</v>
      </c>
      <c r="E216" s="73">
        <f t="shared" si="53"/>
        <v>37</v>
      </c>
      <c r="F216" s="73">
        <v>0</v>
      </c>
      <c r="G216" s="11">
        <f>SUMIF(PoleRates!$E$4:$E$131,$W216,PoleRates!$F$4:$F$131)</f>
        <v>11.31</v>
      </c>
      <c r="H216" s="13">
        <f t="shared" si="54"/>
        <v>418.47</v>
      </c>
      <c r="I216" s="85">
        <v>0</v>
      </c>
      <c r="J216" s="13">
        <f t="shared" si="62"/>
        <v>418.47</v>
      </c>
      <c r="K216" s="35">
        <f t="shared" si="74"/>
        <v>0</v>
      </c>
      <c r="L216" s="87">
        <f t="shared" si="55"/>
        <v>0</v>
      </c>
      <c r="M216" s="86">
        <f t="shared" si="75"/>
        <v>0</v>
      </c>
      <c r="N216" s="15">
        <f t="shared" si="56"/>
        <v>418.47</v>
      </c>
      <c r="O216" s="15">
        <f t="shared" si="57"/>
        <v>-418.47</v>
      </c>
      <c r="V216" s="14">
        <f>IF(AB216=1,IF(V215=MiscData!$F$1,EOMONTH(V215,-11),EOMONTH(V215,1)),V215)</f>
        <v>41912</v>
      </c>
      <c r="W216" s="8" t="str">
        <f t="shared" si="58"/>
        <v>20140101LE_958POLE</v>
      </c>
      <c r="X216" s="12" t="str">
        <f t="shared" si="59"/>
        <v>20140101RLS</v>
      </c>
      <c r="AA216">
        <f>MiscData!$X$5</f>
        <v>20140101</v>
      </c>
      <c r="AB216">
        <f>IF(AB215+1&gt;MiscData!$AF$28,1,AB215+1)</f>
        <v>23</v>
      </c>
      <c r="AC216" t="str">
        <f>VLOOKUP(AB216,MiscData!$AF$5:$AG$28,2,FALSE)</f>
        <v>LE_958POLE</v>
      </c>
      <c r="AD216" t="str">
        <f>VLOOKUP(AB216,MiscData!$AF$5:$AH$28,3,FALSE)</f>
        <v>RLS</v>
      </c>
    </row>
    <row r="217" spans="1:30">
      <c r="A217" s="8">
        <f t="shared" si="76"/>
        <v>91</v>
      </c>
      <c r="B217" s="14" t="str">
        <f t="shared" si="50"/>
        <v>Sep 2014</v>
      </c>
      <c r="C217" s="24" t="str">
        <f t="shared" si="51"/>
        <v xml:space="preserve">LS </v>
      </c>
      <c r="D217" s="24" t="str">
        <f t="shared" si="52"/>
        <v>LE_958POLE</v>
      </c>
      <c r="E217" s="73">
        <f t="shared" si="53"/>
        <v>432</v>
      </c>
      <c r="F217" s="73">
        <v>0</v>
      </c>
      <c r="G217" s="11">
        <f>SUMIF(PoleRates!$E$4:$E$131,$W217,PoleRates!$F$4:$F$131)</f>
        <v>11.31</v>
      </c>
      <c r="H217" s="13">
        <f t="shared" si="54"/>
        <v>4885.92</v>
      </c>
      <c r="I217" s="85">
        <v>0</v>
      </c>
      <c r="J217" s="13">
        <f t="shared" si="62"/>
        <v>4885.92</v>
      </c>
      <c r="K217" s="35">
        <f t="shared" si="74"/>
        <v>0</v>
      </c>
      <c r="L217" s="87">
        <f t="shared" si="55"/>
        <v>0</v>
      </c>
      <c r="M217" s="86">
        <f t="shared" si="75"/>
        <v>0</v>
      </c>
      <c r="N217" s="15">
        <f t="shared" si="56"/>
        <v>4885.92</v>
      </c>
      <c r="O217" s="15">
        <f t="shared" si="57"/>
        <v>-4885.92</v>
      </c>
      <c r="V217" s="14">
        <f>IF(AB217=1,IF(V216=MiscData!$F$1,EOMONTH(V216,-11),EOMONTH(V216,1)),V216)</f>
        <v>41912</v>
      </c>
      <c r="W217" s="8" t="str">
        <f t="shared" si="58"/>
        <v>20140101LE_958POLE</v>
      </c>
      <c r="X217" s="12" t="str">
        <f t="shared" si="59"/>
        <v xml:space="preserve">20140101LS </v>
      </c>
      <c r="AA217">
        <f>MiscData!$X$5</f>
        <v>20140101</v>
      </c>
      <c r="AB217">
        <f>IF(AB216+1&gt;MiscData!$AF$28,1,AB216+1)</f>
        <v>24</v>
      </c>
      <c r="AC217" t="str">
        <f>VLOOKUP(AB217,MiscData!$AF$5:$AG$28,2,FALSE)</f>
        <v>LE_958POLE</v>
      </c>
      <c r="AD217" t="str">
        <f>VLOOKUP(AB217,MiscData!$AF$5:$AH$28,3,FALSE)</f>
        <v xml:space="preserve">LS </v>
      </c>
    </row>
    <row r="218" spans="1:30">
      <c r="A218" s="8">
        <f t="shared" si="76"/>
        <v>92</v>
      </c>
      <c r="B218" s="14" t="str">
        <f t="shared" si="50"/>
        <v>Oct 2014</v>
      </c>
      <c r="C218" s="24" t="str">
        <f t="shared" si="51"/>
        <v>RLS</v>
      </c>
      <c r="D218" s="24" t="str">
        <f t="shared" si="52"/>
        <v>LE_900POLE</v>
      </c>
      <c r="E218" s="73">
        <f t="shared" si="53"/>
        <v>1702</v>
      </c>
      <c r="F218" s="73">
        <v>0</v>
      </c>
      <c r="G218" s="11">
        <f>SUMIF(PoleRates!$E$4:$E$131,$W218,PoleRates!$F$4:$F$131)</f>
        <v>2.06</v>
      </c>
      <c r="H218" s="13">
        <f t="shared" si="54"/>
        <v>3506.12</v>
      </c>
      <c r="I218" s="85">
        <v>0</v>
      </c>
      <c r="J218" s="13">
        <f t="shared" si="62"/>
        <v>3506.12</v>
      </c>
      <c r="K218" s="35">
        <f t="shared" si="74"/>
        <v>0</v>
      </c>
      <c r="L218" s="87">
        <f t="shared" si="55"/>
        <v>0</v>
      </c>
      <c r="M218" s="86">
        <f t="shared" si="75"/>
        <v>0</v>
      </c>
      <c r="N218" s="15">
        <f t="shared" si="56"/>
        <v>3506.12</v>
      </c>
      <c r="O218" s="15">
        <f t="shared" si="57"/>
        <v>-3506.12</v>
      </c>
      <c r="V218" s="14">
        <f>IF(AB218=1,IF(V217=MiscData!$F$1,EOMONTH(V217,-11),EOMONTH(V217,1)),V217)</f>
        <v>41943</v>
      </c>
      <c r="W218" s="8" t="str">
        <f t="shared" si="58"/>
        <v>20140101LE_900POLE</v>
      </c>
      <c r="X218" s="12" t="str">
        <f t="shared" si="59"/>
        <v>20140101RLS</v>
      </c>
      <c r="AA218">
        <f>MiscData!$X$5</f>
        <v>20140101</v>
      </c>
      <c r="AB218">
        <f>IF(AB217+1&gt;MiscData!$AF$28,1,AB217+1)</f>
        <v>1</v>
      </c>
      <c r="AC218" t="str">
        <f>VLOOKUP(AB218,MiscData!$AF$5:$AG$28,2,FALSE)</f>
        <v>LE_900POLE</v>
      </c>
      <c r="AD218" t="str">
        <f>VLOOKUP(AB218,MiscData!$AF$5:$AH$28,3,FALSE)</f>
        <v>RLS</v>
      </c>
    </row>
    <row r="219" spans="1:30">
      <c r="A219" s="8">
        <f t="shared" si="76"/>
        <v>92</v>
      </c>
      <c r="B219" s="14" t="str">
        <f t="shared" si="50"/>
        <v>Oct 2014</v>
      </c>
      <c r="C219" s="24" t="str">
        <f t="shared" si="51"/>
        <v xml:space="preserve">LS </v>
      </c>
      <c r="D219" s="24" t="str">
        <f t="shared" si="52"/>
        <v>LE_900POLE</v>
      </c>
      <c r="E219" s="73">
        <f t="shared" si="53"/>
        <v>5261</v>
      </c>
      <c r="F219" s="73">
        <v>0</v>
      </c>
      <c r="G219" s="11">
        <f>SUMIF(PoleRates!$E$4:$E$131,$W219,PoleRates!$F$4:$F$131)</f>
        <v>2.06</v>
      </c>
      <c r="H219" s="13">
        <f t="shared" si="54"/>
        <v>10837.66</v>
      </c>
      <c r="I219" s="85">
        <v>0</v>
      </c>
      <c r="J219" s="13">
        <f t="shared" si="62"/>
        <v>10837.66</v>
      </c>
      <c r="K219" s="35">
        <f t="shared" si="74"/>
        <v>0</v>
      </c>
      <c r="L219" s="87">
        <f t="shared" si="55"/>
        <v>0</v>
      </c>
      <c r="M219" s="86">
        <f t="shared" si="75"/>
        <v>0</v>
      </c>
      <c r="N219" s="15">
        <f t="shared" si="56"/>
        <v>10837.66</v>
      </c>
      <c r="O219" s="15">
        <f t="shared" si="57"/>
        <v>-10837.66</v>
      </c>
      <c r="V219" s="14">
        <f>IF(AB219=1,IF(V218=MiscData!$F$1,EOMONTH(V218,-11),EOMONTH(V218,1)),V218)</f>
        <v>41943</v>
      </c>
      <c r="W219" s="8" t="str">
        <f t="shared" si="58"/>
        <v>20140101LE_900POLE</v>
      </c>
      <c r="X219" s="12" t="str">
        <f t="shared" si="59"/>
        <v xml:space="preserve">20140101LS </v>
      </c>
      <c r="AA219">
        <f>MiscData!$X$5</f>
        <v>20140101</v>
      </c>
      <c r="AB219">
        <f>IF(AB218+1&gt;MiscData!$AF$28,1,AB218+1)</f>
        <v>2</v>
      </c>
      <c r="AC219" t="str">
        <f>VLOOKUP(AB219,MiscData!$AF$5:$AG$28,2,FALSE)</f>
        <v>LE_900POLE</v>
      </c>
      <c r="AD219" t="str">
        <f>VLOOKUP(AB219,MiscData!$AF$5:$AH$28,3,FALSE)</f>
        <v xml:space="preserve">LS </v>
      </c>
    </row>
    <row r="220" spans="1:30">
      <c r="A220" s="8">
        <f t="shared" si="76"/>
        <v>93</v>
      </c>
      <c r="B220" s="14" t="str">
        <f t="shared" si="50"/>
        <v>Oct 2014</v>
      </c>
      <c r="C220" s="24" t="str">
        <f t="shared" si="51"/>
        <v>RLS</v>
      </c>
      <c r="D220" s="24" t="str">
        <f t="shared" si="52"/>
        <v>LE_901POLE</v>
      </c>
      <c r="E220" s="73">
        <f t="shared" si="53"/>
        <v>157</v>
      </c>
      <c r="F220" s="73">
        <v>0</v>
      </c>
      <c r="G220" s="11">
        <f>SUMIF(PoleRates!$E$4:$E$131,$W220,PoleRates!$F$4:$F$131)</f>
        <v>10.81</v>
      </c>
      <c r="H220" s="13">
        <f t="shared" si="54"/>
        <v>1697.17</v>
      </c>
      <c r="I220" s="85">
        <v>0</v>
      </c>
      <c r="J220" s="13">
        <f t="shared" si="62"/>
        <v>1697.17</v>
      </c>
      <c r="K220" s="35">
        <f t="shared" si="74"/>
        <v>0</v>
      </c>
      <c r="L220" s="87">
        <f t="shared" si="55"/>
        <v>0</v>
      </c>
      <c r="M220" s="86">
        <f t="shared" si="75"/>
        <v>0</v>
      </c>
      <c r="N220" s="15">
        <f t="shared" si="56"/>
        <v>1697.17</v>
      </c>
      <c r="O220" s="15">
        <f t="shared" si="57"/>
        <v>-1697.17</v>
      </c>
      <c r="V220" s="14">
        <f>IF(AB220=1,IF(V219=MiscData!$F$1,EOMONTH(V219,-11),EOMONTH(V219,1)),V219)</f>
        <v>41943</v>
      </c>
      <c r="W220" s="8" t="str">
        <f t="shared" si="58"/>
        <v>20140101LE_901POLE</v>
      </c>
      <c r="X220" s="12" t="str">
        <f t="shared" si="59"/>
        <v>20140101RLS</v>
      </c>
      <c r="AA220">
        <f>MiscData!$X$5</f>
        <v>20140101</v>
      </c>
      <c r="AB220">
        <f>IF(AB219+1&gt;MiscData!$AF$28,1,AB219+1)</f>
        <v>3</v>
      </c>
      <c r="AC220" t="str">
        <f>VLOOKUP(AB220,MiscData!$AF$5:$AG$28,2,FALSE)</f>
        <v>LE_901POLE</v>
      </c>
      <c r="AD220" t="str">
        <f>VLOOKUP(AB220,MiscData!$AF$5:$AH$28,3,FALSE)</f>
        <v>RLS</v>
      </c>
    </row>
    <row r="221" spans="1:30">
      <c r="A221" s="8">
        <f t="shared" si="76"/>
        <v>93</v>
      </c>
      <c r="B221" s="14" t="str">
        <f t="shared" si="50"/>
        <v>Oct 2014</v>
      </c>
      <c r="C221" s="24" t="str">
        <f t="shared" si="51"/>
        <v xml:space="preserve">LS </v>
      </c>
      <c r="D221" s="24" t="str">
        <f t="shared" si="52"/>
        <v>LE_901POLE</v>
      </c>
      <c r="E221" s="73">
        <f t="shared" si="53"/>
        <v>0</v>
      </c>
      <c r="F221" s="73">
        <v>0</v>
      </c>
      <c r="G221" s="11">
        <f>SUMIF(PoleRates!$E$4:$E$131,$W221,PoleRates!$F$4:$F$131)</f>
        <v>10.81</v>
      </c>
      <c r="H221" s="13">
        <f t="shared" si="54"/>
        <v>0</v>
      </c>
      <c r="I221" s="85">
        <v>0</v>
      </c>
      <c r="J221" s="13">
        <f t="shared" si="62"/>
        <v>0</v>
      </c>
      <c r="K221" s="35">
        <f t="shared" si="74"/>
        <v>0</v>
      </c>
      <c r="L221" s="87">
        <f t="shared" si="55"/>
        <v>1</v>
      </c>
      <c r="M221" s="86">
        <f t="shared" si="75"/>
        <v>0</v>
      </c>
      <c r="N221" s="15">
        <f t="shared" si="56"/>
        <v>0</v>
      </c>
      <c r="O221" s="15">
        <f t="shared" si="57"/>
        <v>0</v>
      </c>
      <c r="V221" s="14">
        <f>IF(AB221=1,IF(V220=MiscData!$F$1,EOMONTH(V220,-11),EOMONTH(V220,1)),V220)</f>
        <v>41943</v>
      </c>
      <c r="W221" s="8" t="str">
        <f t="shared" si="58"/>
        <v>20140101LE_901POLE</v>
      </c>
      <c r="X221" s="12" t="str">
        <f t="shared" si="59"/>
        <v xml:space="preserve">20140101LS </v>
      </c>
      <c r="AA221">
        <f>MiscData!$X$5</f>
        <v>20140101</v>
      </c>
      <c r="AB221">
        <f>IF(AB220+1&gt;MiscData!$AF$28,1,AB220+1)</f>
        <v>4</v>
      </c>
      <c r="AC221" t="str">
        <f>VLOOKUP(AB221,MiscData!$AF$5:$AG$28,2,FALSE)</f>
        <v>LE_901POLE</v>
      </c>
      <c r="AD221" t="str">
        <f>VLOOKUP(AB221,MiscData!$AF$5:$AH$28,3,FALSE)</f>
        <v xml:space="preserve">LS </v>
      </c>
    </row>
    <row r="222" spans="1:30">
      <c r="A222" s="8">
        <f>A132+1</f>
        <v>98</v>
      </c>
      <c r="B222" s="14" t="str">
        <f t="shared" si="24"/>
        <v>Oct 2014</v>
      </c>
      <c r="C222" s="24" t="str">
        <f t="shared" si="44"/>
        <v>RLS</v>
      </c>
      <c r="D222" s="24" t="str">
        <f t="shared" si="45"/>
        <v>LE_902POLE</v>
      </c>
      <c r="E222" s="73">
        <f t="shared" si="47"/>
        <v>277</v>
      </c>
      <c r="F222" s="73">
        <v>0</v>
      </c>
      <c r="G222" s="11">
        <f>SUMIF(PoleRates!$E$4:$E$131,$W222,PoleRates!$F$4:$F$131)</f>
        <v>12.9</v>
      </c>
      <c r="H222" s="13">
        <f t="shared" si="17"/>
        <v>3573.3</v>
      </c>
      <c r="I222" s="85">
        <v>0</v>
      </c>
      <c r="J222" s="13">
        <f t="shared" si="62"/>
        <v>3573.3</v>
      </c>
      <c r="K222" s="35">
        <f t="shared" si="74"/>
        <v>0</v>
      </c>
      <c r="L222" s="87">
        <f t="shared" si="19"/>
        <v>0</v>
      </c>
      <c r="M222" s="86">
        <f t="shared" si="75"/>
        <v>0</v>
      </c>
      <c r="N222" s="15">
        <f t="shared" si="46"/>
        <v>3573.3</v>
      </c>
      <c r="O222" s="15">
        <f t="shared" si="30"/>
        <v>-3573.3</v>
      </c>
      <c r="V222" s="14">
        <f>IF(AB222=1,IF(V221=MiscData!$F$1,EOMONTH(V221,-11),EOMONTH(V221,1)),V221)</f>
        <v>41943</v>
      </c>
      <c r="W222" s="8" t="str">
        <f t="shared" si="22"/>
        <v>20140101LE_902POLE</v>
      </c>
      <c r="X222" s="12" t="str">
        <f t="shared" si="23"/>
        <v>20140101RLS</v>
      </c>
      <c r="AA222">
        <f>MiscData!$X$5</f>
        <v>20140101</v>
      </c>
      <c r="AB222">
        <f>IF(AB221+1&gt;MiscData!$AF$28,1,AB221+1)</f>
        <v>5</v>
      </c>
      <c r="AC222" t="str">
        <f>VLOOKUP(AB222,MiscData!$AF$5:$AG$28,2,FALSE)</f>
        <v>LE_902POLE</v>
      </c>
      <c r="AD222" t="str">
        <f>VLOOKUP(AB222,MiscData!$AF$5:$AH$28,3,FALSE)</f>
        <v>RLS</v>
      </c>
    </row>
    <row r="223" spans="1:30">
      <c r="A223" s="8">
        <f>A133+1</f>
        <v>98</v>
      </c>
      <c r="B223" s="14" t="str">
        <f t="shared" si="24"/>
        <v>Oct 2014</v>
      </c>
      <c r="C223" s="24" t="str">
        <f t="shared" si="44"/>
        <v xml:space="preserve">LS </v>
      </c>
      <c r="D223" s="24" t="str">
        <f t="shared" si="45"/>
        <v>LE_902POLE</v>
      </c>
      <c r="E223" s="73">
        <f t="shared" si="47"/>
        <v>3</v>
      </c>
      <c r="F223" s="73">
        <v>0</v>
      </c>
      <c r="G223" s="11">
        <f>SUMIF(PoleRates!$E$4:$E$131,$W223,PoleRates!$F$4:$F$131)</f>
        <v>12.9</v>
      </c>
      <c r="H223" s="13">
        <f t="shared" si="17"/>
        <v>38.700000000000003</v>
      </c>
      <c r="I223" s="85">
        <v>0</v>
      </c>
      <c r="J223" s="13">
        <f t="shared" si="62"/>
        <v>38.700000000000003</v>
      </c>
      <c r="K223" s="35">
        <f t="shared" si="74"/>
        <v>0</v>
      </c>
      <c r="L223" s="87">
        <f t="shared" si="19"/>
        <v>0</v>
      </c>
      <c r="M223" s="86">
        <f t="shared" si="75"/>
        <v>0</v>
      </c>
      <c r="N223" s="15">
        <f t="shared" si="46"/>
        <v>38.700000000000003</v>
      </c>
      <c r="O223" s="15">
        <f t="shared" si="30"/>
        <v>-38.700000000000003</v>
      </c>
      <c r="V223" s="14">
        <f>IF(AB223=1,IF(V222=MiscData!$F$1,EOMONTH(V222,-11),EOMONTH(V222,1)),V222)</f>
        <v>41943</v>
      </c>
      <c r="W223" s="8" t="str">
        <f t="shared" si="22"/>
        <v>20140101LE_902POLE</v>
      </c>
      <c r="X223" s="12" t="str">
        <f t="shared" si="23"/>
        <v xml:space="preserve">20140101LS </v>
      </c>
      <c r="AA223">
        <f>MiscData!$X$5</f>
        <v>20140101</v>
      </c>
      <c r="AB223">
        <f>IF(AB222+1&gt;MiscData!$AF$28,1,AB222+1)</f>
        <v>6</v>
      </c>
      <c r="AC223" t="str">
        <f>VLOOKUP(AB223,MiscData!$AF$5:$AG$28,2,FALSE)</f>
        <v>LE_902POLE</v>
      </c>
      <c r="AD223" t="str">
        <f>VLOOKUP(AB223,MiscData!$AF$5:$AH$28,3,FALSE)</f>
        <v xml:space="preserve">LS </v>
      </c>
    </row>
    <row r="224" spans="1:30">
      <c r="A224" s="8">
        <f t="shared" ref="A224:A289" si="77">A222+1</f>
        <v>99</v>
      </c>
      <c r="B224" s="14" t="str">
        <f t="shared" si="24"/>
        <v>Oct 2014</v>
      </c>
      <c r="C224" s="24" t="str">
        <f t="shared" si="44"/>
        <v>RLS</v>
      </c>
      <c r="D224" s="24" t="str">
        <f t="shared" si="45"/>
        <v>LE_950BASE</v>
      </c>
      <c r="E224" s="73">
        <f t="shared" si="47"/>
        <v>77</v>
      </c>
      <c r="F224" s="73">
        <v>0</v>
      </c>
      <c r="G224" s="11">
        <f>SUMIF(PoleRates!$E$4:$E$131,$W224,PoleRates!$F$4:$F$131)</f>
        <v>3.47</v>
      </c>
      <c r="H224" s="13">
        <f t="shared" si="17"/>
        <v>267.19</v>
      </c>
      <c r="I224" s="85">
        <v>0</v>
      </c>
      <c r="J224" s="13">
        <f t="shared" si="62"/>
        <v>267.19</v>
      </c>
      <c r="K224" s="35">
        <f t="shared" si="74"/>
        <v>0</v>
      </c>
      <c r="L224" s="87">
        <f t="shared" si="19"/>
        <v>0</v>
      </c>
      <c r="M224" s="86">
        <f t="shared" si="75"/>
        <v>0</v>
      </c>
      <c r="N224" s="15">
        <f t="shared" si="46"/>
        <v>267.19</v>
      </c>
      <c r="O224" s="15">
        <f t="shared" si="30"/>
        <v>-267.19</v>
      </c>
      <c r="V224" s="14">
        <f>IF(AB224=1,IF(V223=MiscData!$F$1,EOMONTH(V223,-11),EOMONTH(V223,1)),V223)</f>
        <v>41943</v>
      </c>
      <c r="W224" s="8" t="str">
        <f t="shared" si="22"/>
        <v>20140101LE_950BASE</v>
      </c>
      <c r="X224" s="12" t="str">
        <f t="shared" si="23"/>
        <v>20140101RLS</v>
      </c>
      <c r="AA224">
        <f>MiscData!$X$5</f>
        <v>20140101</v>
      </c>
      <c r="AB224">
        <f>IF(AB223+1&gt;MiscData!$AF$28,1,AB223+1)</f>
        <v>7</v>
      </c>
      <c r="AC224" t="str">
        <f>VLOOKUP(AB224,MiscData!$AF$5:$AG$28,2,FALSE)</f>
        <v>LE_950BASE</v>
      </c>
      <c r="AD224" t="str">
        <f>VLOOKUP(AB224,MiscData!$AF$5:$AH$28,3,FALSE)</f>
        <v>RLS</v>
      </c>
    </row>
    <row r="225" spans="1:30">
      <c r="A225" s="8">
        <f t="shared" si="77"/>
        <v>99</v>
      </c>
      <c r="B225" s="14" t="str">
        <f t="shared" si="24"/>
        <v>Oct 2014</v>
      </c>
      <c r="C225" s="24" t="str">
        <f t="shared" si="44"/>
        <v xml:space="preserve">LS </v>
      </c>
      <c r="D225" s="24" t="str">
        <f t="shared" si="45"/>
        <v>LE_950BASE</v>
      </c>
      <c r="E225" s="73">
        <f t="shared" si="47"/>
        <v>13</v>
      </c>
      <c r="F225" s="73">
        <v>0</v>
      </c>
      <c r="G225" s="11">
        <f>SUMIF(PoleRates!$E$4:$E$131,$W225,PoleRates!$F$4:$F$131)</f>
        <v>3.47</v>
      </c>
      <c r="H225" s="13">
        <f t="shared" si="17"/>
        <v>45.11</v>
      </c>
      <c r="I225" s="85">
        <v>0</v>
      </c>
      <c r="J225" s="13">
        <f t="shared" si="62"/>
        <v>45.11</v>
      </c>
      <c r="K225" s="35">
        <f t="shared" si="74"/>
        <v>0</v>
      </c>
      <c r="L225" s="87">
        <f t="shared" si="19"/>
        <v>0</v>
      </c>
      <c r="M225" s="86">
        <f t="shared" si="75"/>
        <v>0</v>
      </c>
      <c r="N225" s="15">
        <f t="shared" si="46"/>
        <v>45.11</v>
      </c>
      <c r="O225" s="15">
        <f t="shared" si="30"/>
        <v>-45.11</v>
      </c>
      <c r="V225" s="14">
        <f>IF(AB225=1,IF(V224=MiscData!$F$1,EOMONTH(V224,-11),EOMONTH(V224,1)),V224)</f>
        <v>41943</v>
      </c>
      <c r="W225" s="8" t="str">
        <f t="shared" si="22"/>
        <v>20140101LE_950BASE</v>
      </c>
      <c r="X225" s="12" t="str">
        <f t="shared" si="23"/>
        <v xml:space="preserve">20140101LS </v>
      </c>
      <c r="AA225">
        <f>MiscData!$X$5</f>
        <v>20140101</v>
      </c>
      <c r="AB225">
        <f>IF(AB224+1&gt;MiscData!$AF$28,1,AB224+1)</f>
        <v>8</v>
      </c>
      <c r="AC225" t="str">
        <f>VLOOKUP(AB225,MiscData!$AF$5:$AG$28,2,FALSE)</f>
        <v>LE_950BASE</v>
      </c>
      <c r="AD225" t="str">
        <f>VLOOKUP(AB225,MiscData!$AF$5:$AH$28,3,FALSE)</f>
        <v xml:space="preserve">LS </v>
      </c>
    </row>
    <row r="226" spans="1:30">
      <c r="A226" s="8">
        <f t="shared" si="77"/>
        <v>100</v>
      </c>
      <c r="B226" s="14" t="str">
        <f t="shared" si="24"/>
        <v>Oct 2014</v>
      </c>
      <c r="C226" s="24" t="str">
        <f t="shared" si="44"/>
        <v>RLS</v>
      </c>
      <c r="D226" s="24" t="str">
        <f t="shared" si="45"/>
        <v>LE_951BASE</v>
      </c>
      <c r="E226" s="73">
        <f t="shared" si="47"/>
        <v>195</v>
      </c>
      <c r="F226" s="73">
        <v>0</v>
      </c>
      <c r="G226" s="11">
        <f>SUMIF(PoleRates!$E$4:$E$131,$W226,PoleRates!$F$4:$F$131)</f>
        <v>3.73</v>
      </c>
      <c r="H226" s="13">
        <f t="shared" si="17"/>
        <v>727.35</v>
      </c>
      <c r="I226" s="85">
        <v>0</v>
      </c>
      <c r="J226" s="13">
        <f t="shared" si="62"/>
        <v>727.35</v>
      </c>
      <c r="K226" s="35">
        <f t="shared" si="74"/>
        <v>0</v>
      </c>
      <c r="L226" s="87">
        <f t="shared" si="19"/>
        <v>0</v>
      </c>
      <c r="M226" s="86">
        <f t="shared" si="75"/>
        <v>0</v>
      </c>
      <c r="N226" s="15">
        <f t="shared" si="46"/>
        <v>727.35</v>
      </c>
      <c r="O226" s="15">
        <f t="shared" si="30"/>
        <v>-727.35</v>
      </c>
      <c r="V226" s="14">
        <f>IF(AB226=1,IF(V225=MiscData!$F$1,EOMONTH(V225,-11),EOMONTH(V225,1)),V225)</f>
        <v>41943</v>
      </c>
      <c r="W226" s="8" t="str">
        <f t="shared" si="22"/>
        <v>20140101LE_951BASE</v>
      </c>
      <c r="X226" s="12" t="str">
        <f t="shared" si="23"/>
        <v>20140101RLS</v>
      </c>
      <c r="AA226">
        <f>MiscData!$X$5</f>
        <v>20140101</v>
      </c>
      <c r="AB226">
        <f>IF(AB225+1&gt;MiscData!$AF$28,1,AB225+1)</f>
        <v>9</v>
      </c>
      <c r="AC226" t="str">
        <f>VLOOKUP(AB226,MiscData!$AF$5:$AG$28,2,FALSE)</f>
        <v>LE_951BASE</v>
      </c>
      <c r="AD226" t="str">
        <f>VLOOKUP(AB226,MiscData!$AF$5:$AH$28,3,FALSE)</f>
        <v>RLS</v>
      </c>
    </row>
    <row r="227" spans="1:30">
      <c r="A227" s="8">
        <f t="shared" si="77"/>
        <v>100</v>
      </c>
      <c r="B227" s="14" t="str">
        <f t="shared" si="24"/>
        <v>Oct 2014</v>
      </c>
      <c r="C227" s="24" t="str">
        <f t="shared" si="44"/>
        <v xml:space="preserve">LS </v>
      </c>
      <c r="D227" s="24" t="str">
        <f t="shared" si="45"/>
        <v>LE_951BASE</v>
      </c>
      <c r="E227" s="73">
        <f t="shared" si="47"/>
        <v>73</v>
      </c>
      <c r="F227" s="73">
        <v>0</v>
      </c>
      <c r="G227" s="11">
        <f>SUMIF(PoleRates!$E$4:$E$131,$W227,PoleRates!$F$4:$F$131)</f>
        <v>3.73</v>
      </c>
      <c r="H227" s="13">
        <f t="shared" si="17"/>
        <v>272.29000000000002</v>
      </c>
      <c r="I227" s="85">
        <v>0</v>
      </c>
      <c r="J227" s="13">
        <f t="shared" si="62"/>
        <v>272.29000000000002</v>
      </c>
      <c r="K227" s="35">
        <f t="shared" si="74"/>
        <v>0</v>
      </c>
      <c r="L227" s="87">
        <f t="shared" si="19"/>
        <v>0</v>
      </c>
      <c r="M227" s="86">
        <f t="shared" si="75"/>
        <v>0</v>
      </c>
      <c r="N227" s="15">
        <f t="shared" si="46"/>
        <v>272.29000000000002</v>
      </c>
      <c r="O227" s="15">
        <f t="shared" si="30"/>
        <v>-272.29000000000002</v>
      </c>
      <c r="V227" s="14">
        <f>IF(AB227=1,IF(V226=MiscData!$F$1,EOMONTH(V226,-11),EOMONTH(V226,1)),V226)</f>
        <v>41943</v>
      </c>
      <c r="W227" s="8" t="str">
        <f t="shared" si="22"/>
        <v>20140101LE_951BASE</v>
      </c>
      <c r="X227" s="12" t="str">
        <f t="shared" si="23"/>
        <v xml:space="preserve">20140101LS </v>
      </c>
      <c r="AA227">
        <f>MiscData!$X$5</f>
        <v>20140101</v>
      </c>
      <c r="AB227">
        <f>IF(AB226+1&gt;MiscData!$AF$28,1,AB226+1)</f>
        <v>10</v>
      </c>
      <c r="AC227" t="str">
        <f>VLOOKUP(AB227,MiscData!$AF$5:$AG$28,2,FALSE)</f>
        <v>LE_951BASE</v>
      </c>
      <c r="AD227" t="str">
        <f>VLOOKUP(AB227,MiscData!$AF$5:$AH$28,3,FALSE)</f>
        <v xml:space="preserve">LS </v>
      </c>
    </row>
    <row r="228" spans="1:30">
      <c r="A228" s="8">
        <f t="shared" si="77"/>
        <v>101</v>
      </c>
      <c r="B228" s="14" t="str">
        <f t="shared" si="24"/>
        <v>Oct 2014</v>
      </c>
      <c r="C228" s="24" t="str">
        <f t="shared" si="44"/>
        <v>RLS</v>
      </c>
      <c r="D228" s="24" t="str">
        <f t="shared" si="45"/>
        <v>LE_952BASE</v>
      </c>
      <c r="E228" s="73">
        <f t="shared" si="47"/>
        <v>0</v>
      </c>
      <c r="F228" s="73">
        <v>0</v>
      </c>
      <c r="G228" s="11">
        <f>SUMIF(PoleRates!$E$4:$E$131,$W228,PoleRates!$F$4:$F$131)</f>
        <v>3.56</v>
      </c>
      <c r="H228" s="13">
        <f t="shared" si="17"/>
        <v>0</v>
      </c>
      <c r="I228" s="85">
        <v>0</v>
      </c>
      <c r="J228" s="13">
        <f t="shared" si="62"/>
        <v>0</v>
      </c>
      <c r="K228" s="35">
        <f t="shared" si="74"/>
        <v>0</v>
      </c>
      <c r="L228" s="87">
        <f t="shared" si="19"/>
        <v>1</v>
      </c>
      <c r="M228" s="86">
        <f t="shared" si="75"/>
        <v>0</v>
      </c>
      <c r="N228" s="15">
        <f t="shared" si="46"/>
        <v>0</v>
      </c>
      <c r="O228" s="15">
        <f t="shared" si="30"/>
        <v>0</v>
      </c>
      <c r="V228" s="14">
        <f>IF(AB228=1,IF(V227=MiscData!$F$1,EOMONTH(V227,-11),EOMONTH(V227,1)),V227)</f>
        <v>41943</v>
      </c>
      <c r="W228" s="8" t="str">
        <f t="shared" si="22"/>
        <v>20140101LE_952BASE</v>
      </c>
      <c r="X228" s="12" t="str">
        <f t="shared" si="23"/>
        <v>20140101RLS</v>
      </c>
      <c r="AA228">
        <f>MiscData!$X$5</f>
        <v>20140101</v>
      </c>
      <c r="AB228">
        <f>IF(AB227+1&gt;MiscData!$AF$28,1,AB227+1)</f>
        <v>11</v>
      </c>
      <c r="AC228" t="str">
        <f>VLOOKUP(AB228,MiscData!$AF$5:$AG$28,2,FALSE)</f>
        <v>LE_952BASE</v>
      </c>
      <c r="AD228" t="str">
        <f>VLOOKUP(AB228,MiscData!$AF$5:$AH$28,3,FALSE)</f>
        <v>RLS</v>
      </c>
    </row>
    <row r="229" spans="1:30">
      <c r="A229" s="8">
        <f t="shared" si="77"/>
        <v>101</v>
      </c>
      <c r="B229" s="14" t="str">
        <f t="shared" si="24"/>
        <v>Oct 2014</v>
      </c>
      <c r="C229" s="24" t="str">
        <f t="shared" si="44"/>
        <v xml:space="preserve">LS </v>
      </c>
      <c r="D229" s="24" t="str">
        <f t="shared" si="45"/>
        <v>LE_952BASE</v>
      </c>
      <c r="E229" s="73">
        <f t="shared" si="47"/>
        <v>0</v>
      </c>
      <c r="F229" s="73">
        <v>0</v>
      </c>
      <c r="G229" s="11">
        <f>SUMIF(PoleRates!$E$4:$E$131,$W229,PoleRates!$F$4:$F$131)</f>
        <v>3.56</v>
      </c>
      <c r="H229" s="13">
        <f t="shared" si="17"/>
        <v>0</v>
      </c>
      <c r="I229" s="85">
        <v>0</v>
      </c>
      <c r="J229" s="13">
        <f t="shared" si="62"/>
        <v>0</v>
      </c>
      <c r="K229" s="35">
        <f t="shared" si="74"/>
        <v>0</v>
      </c>
      <c r="L229" s="87">
        <f t="shared" si="19"/>
        <v>1</v>
      </c>
      <c r="M229" s="86">
        <f t="shared" si="75"/>
        <v>0</v>
      </c>
      <c r="N229" s="15">
        <f t="shared" si="46"/>
        <v>0</v>
      </c>
      <c r="O229" s="15">
        <f t="shared" si="30"/>
        <v>0</v>
      </c>
      <c r="V229" s="14">
        <f>IF(AB229=1,IF(V228=MiscData!$F$1,EOMONTH(V228,-11),EOMONTH(V228,1)),V228)</f>
        <v>41943</v>
      </c>
      <c r="W229" s="8" t="str">
        <f t="shared" si="22"/>
        <v>20140101LE_952BASE</v>
      </c>
      <c r="X229" s="12" t="str">
        <f t="shared" si="23"/>
        <v xml:space="preserve">20140101LS </v>
      </c>
      <c r="AA229">
        <f>MiscData!$X$5</f>
        <v>20140101</v>
      </c>
      <c r="AB229">
        <f>IF(AB228+1&gt;MiscData!$AF$28,1,AB228+1)</f>
        <v>12</v>
      </c>
      <c r="AC229" t="str">
        <f>VLOOKUP(AB229,MiscData!$AF$5:$AG$28,2,FALSE)</f>
        <v>LE_952BASE</v>
      </c>
      <c r="AD229" t="str">
        <f>VLOOKUP(AB229,MiscData!$AF$5:$AH$28,3,FALSE)</f>
        <v xml:space="preserve">LS </v>
      </c>
    </row>
    <row r="230" spans="1:30">
      <c r="A230" s="8">
        <f t="shared" si="77"/>
        <v>102</v>
      </c>
      <c r="B230" s="14" t="str">
        <f t="shared" ref="B230:B275" si="78">TEXT(V230,"mmm yyyy")</f>
        <v>Oct 2014</v>
      </c>
      <c r="C230" s="24" t="str">
        <f t="shared" ref="C230:C275" si="79">AD230</f>
        <v>RLS</v>
      </c>
      <c r="D230" s="24" t="str">
        <f t="shared" ref="D230:D275" si="80">AC230</f>
        <v>LE_953BASE</v>
      </c>
      <c r="E230" s="73">
        <f t="shared" si="47"/>
        <v>0</v>
      </c>
      <c r="F230" s="73">
        <v>0</v>
      </c>
      <c r="G230" s="11">
        <f>SUMIF(PoleRates!$E$4:$E$131,$W230,PoleRates!$F$4:$F$131)</f>
        <v>3.73</v>
      </c>
      <c r="H230" s="13">
        <f t="shared" ref="H230:H275" si="81">ROUND(($E230+F230)*$G230,2)</f>
        <v>0</v>
      </c>
      <c r="I230" s="85">
        <v>0</v>
      </c>
      <c r="J230" s="13">
        <f t="shared" si="62"/>
        <v>0</v>
      </c>
      <c r="K230" s="35">
        <f t="shared" si="74"/>
        <v>0</v>
      </c>
      <c r="L230" s="87">
        <f t="shared" ref="L230:L275" si="82">IF(AND(J230=0,K230=0),1,IF(J230=0,0,K230/J230))</f>
        <v>1</v>
      </c>
      <c r="M230" s="86">
        <f t="shared" si="75"/>
        <v>0</v>
      </c>
      <c r="N230" s="15">
        <f t="shared" ref="N230:N275" si="83">J230</f>
        <v>0</v>
      </c>
      <c r="O230" s="15">
        <f t="shared" ref="O230:O275" si="84">ROUND(M230-N230,2)</f>
        <v>0</v>
      </c>
      <c r="V230" s="14">
        <f>IF(AB230=1,IF(V229=MiscData!$F$1,EOMONTH(V229,-11),EOMONTH(V229,1)),V229)</f>
        <v>41943</v>
      </c>
      <c r="W230" s="8" t="str">
        <f t="shared" ref="W230:W235" si="85">CONCATENATE(AA230&amp;AC230)</f>
        <v>20140101LE_953BASE</v>
      </c>
      <c r="X230" s="12" t="str">
        <f t="shared" ref="X230:X235" si="86">CONCATENATE(AA230&amp;AD230)</f>
        <v>20140101RLS</v>
      </c>
      <c r="AA230">
        <f>MiscData!$X$5</f>
        <v>20140101</v>
      </c>
      <c r="AB230">
        <f>IF(AB229+1&gt;MiscData!$AF$28,1,AB229+1)</f>
        <v>13</v>
      </c>
      <c r="AC230" t="str">
        <f>VLOOKUP(AB230,MiscData!$AF$5:$AG$28,2,FALSE)</f>
        <v>LE_953BASE</v>
      </c>
      <c r="AD230" t="str">
        <f>VLOOKUP(AB230,MiscData!$AF$5:$AH$28,3,FALSE)</f>
        <v>RLS</v>
      </c>
    </row>
    <row r="231" spans="1:30">
      <c r="A231" s="8">
        <f t="shared" si="77"/>
        <v>102</v>
      </c>
      <c r="B231" s="14" t="str">
        <f t="shared" si="78"/>
        <v>Oct 2014</v>
      </c>
      <c r="C231" s="24" t="str">
        <f t="shared" si="79"/>
        <v xml:space="preserve">LS </v>
      </c>
      <c r="D231" s="24" t="str">
        <f t="shared" si="80"/>
        <v>LE_953BASE</v>
      </c>
      <c r="E231" s="73">
        <f t="shared" si="47"/>
        <v>0</v>
      </c>
      <c r="F231" s="73">
        <v>0</v>
      </c>
      <c r="G231" s="11">
        <f>SUMIF(PoleRates!$E$4:$E$131,$W231,PoleRates!$F$4:$F$131)</f>
        <v>3.73</v>
      </c>
      <c r="H231" s="13">
        <f t="shared" si="81"/>
        <v>0</v>
      </c>
      <c r="I231" s="85">
        <v>0</v>
      </c>
      <c r="J231" s="13">
        <f t="shared" si="62"/>
        <v>0</v>
      </c>
      <c r="K231" s="35">
        <f t="shared" si="74"/>
        <v>0</v>
      </c>
      <c r="L231" s="87">
        <f t="shared" si="82"/>
        <v>1</v>
      </c>
      <c r="M231" s="86">
        <f t="shared" si="75"/>
        <v>0</v>
      </c>
      <c r="N231" s="15">
        <f t="shared" si="83"/>
        <v>0</v>
      </c>
      <c r="O231" s="15">
        <f t="shared" si="84"/>
        <v>0</v>
      </c>
      <c r="V231" s="14">
        <f>IF(AB231=1,IF(V230=MiscData!$F$1,EOMONTH(V230,-11),EOMONTH(V230,1)),V230)</f>
        <v>41943</v>
      </c>
      <c r="W231" s="8" t="str">
        <f t="shared" si="85"/>
        <v>20140101LE_953BASE</v>
      </c>
      <c r="X231" s="12" t="str">
        <f t="shared" si="86"/>
        <v xml:space="preserve">20140101LS </v>
      </c>
      <c r="AA231">
        <f>MiscData!$X$5</f>
        <v>20140101</v>
      </c>
      <c r="AB231">
        <f>IF(AB230+1&gt;MiscData!$AF$28,1,AB230+1)</f>
        <v>14</v>
      </c>
      <c r="AC231" t="str">
        <f>VLOOKUP(AB231,MiscData!$AF$5:$AG$28,2,FALSE)</f>
        <v>LE_953BASE</v>
      </c>
      <c r="AD231" t="str">
        <f>VLOOKUP(AB231,MiscData!$AF$5:$AH$28,3,FALSE)</f>
        <v xml:space="preserve">LS </v>
      </c>
    </row>
    <row r="232" spans="1:30">
      <c r="A232" s="8">
        <f t="shared" si="77"/>
        <v>103</v>
      </c>
      <c r="B232" s="14" t="str">
        <f t="shared" si="78"/>
        <v>Oct 2014</v>
      </c>
      <c r="C232" s="24" t="str">
        <f t="shared" si="79"/>
        <v>RLS</v>
      </c>
      <c r="D232" s="24" t="str">
        <f t="shared" si="80"/>
        <v>LE_954BASE</v>
      </c>
      <c r="E232" s="73">
        <f t="shared" si="47"/>
        <v>0</v>
      </c>
      <c r="F232" s="73">
        <v>0</v>
      </c>
      <c r="G232" s="11">
        <f>SUMIF(PoleRates!$E$4:$E$131,$W232,PoleRates!$F$4:$F$131)</f>
        <v>3.47</v>
      </c>
      <c r="H232" s="13">
        <f t="shared" si="81"/>
        <v>0</v>
      </c>
      <c r="I232" s="85">
        <v>0</v>
      </c>
      <c r="J232" s="13">
        <f t="shared" si="62"/>
        <v>0</v>
      </c>
      <c r="K232" s="35">
        <f t="shared" si="74"/>
        <v>0</v>
      </c>
      <c r="L232" s="87">
        <f t="shared" si="82"/>
        <v>1</v>
      </c>
      <c r="M232" s="86">
        <f t="shared" si="75"/>
        <v>0</v>
      </c>
      <c r="N232" s="15">
        <f t="shared" si="83"/>
        <v>0</v>
      </c>
      <c r="O232" s="15">
        <f t="shared" si="84"/>
        <v>0</v>
      </c>
      <c r="V232" s="14">
        <f>IF(AB232=1,IF(V231=MiscData!$F$1,EOMONTH(V231,-11),EOMONTH(V231,1)),V231)</f>
        <v>41943</v>
      </c>
      <c r="W232" s="8" t="str">
        <f t="shared" si="85"/>
        <v>20140101LE_954BASE</v>
      </c>
      <c r="X232" s="12" t="str">
        <f t="shared" si="86"/>
        <v>20140101RLS</v>
      </c>
      <c r="AA232">
        <f>MiscData!$X$5</f>
        <v>20140101</v>
      </c>
      <c r="AB232">
        <f>IF(AB231+1&gt;MiscData!$AF$28,1,AB231+1)</f>
        <v>15</v>
      </c>
      <c r="AC232" t="str">
        <f>VLOOKUP(AB232,MiscData!$AF$5:$AG$28,2,FALSE)</f>
        <v>LE_954BASE</v>
      </c>
      <c r="AD232" t="str">
        <f>VLOOKUP(AB232,MiscData!$AF$5:$AH$28,3,FALSE)</f>
        <v>RLS</v>
      </c>
    </row>
    <row r="233" spans="1:30">
      <c r="A233" s="8">
        <f t="shared" si="77"/>
        <v>103</v>
      </c>
      <c r="B233" s="14" t="str">
        <f t="shared" si="78"/>
        <v>Oct 2014</v>
      </c>
      <c r="C233" s="24" t="str">
        <f t="shared" si="79"/>
        <v xml:space="preserve">LS </v>
      </c>
      <c r="D233" s="24" t="str">
        <f t="shared" si="80"/>
        <v>LE_954BASE</v>
      </c>
      <c r="E233" s="73">
        <f t="shared" si="47"/>
        <v>0</v>
      </c>
      <c r="F233" s="73">
        <v>0</v>
      </c>
      <c r="G233" s="11">
        <f>SUMIF(PoleRates!$E$4:$E$131,$W233,PoleRates!$F$4:$F$131)</f>
        <v>3.47</v>
      </c>
      <c r="H233" s="13">
        <f t="shared" si="81"/>
        <v>0</v>
      </c>
      <c r="I233" s="85">
        <v>0</v>
      </c>
      <c r="J233" s="13">
        <f t="shared" si="62"/>
        <v>0</v>
      </c>
      <c r="K233" s="35">
        <f t="shared" si="74"/>
        <v>0</v>
      </c>
      <c r="L233" s="87">
        <f t="shared" si="82"/>
        <v>1</v>
      </c>
      <c r="M233" s="86">
        <f t="shared" si="75"/>
        <v>0</v>
      </c>
      <c r="N233" s="15">
        <f t="shared" si="83"/>
        <v>0</v>
      </c>
      <c r="O233" s="15">
        <f t="shared" si="84"/>
        <v>0</v>
      </c>
      <c r="V233" s="14">
        <f>IF(AB233=1,IF(V232=MiscData!$F$1,EOMONTH(V232,-11),EOMONTH(V232,1)),V232)</f>
        <v>41943</v>
      </c>
      <c r="W233" s="8" t="str">
        <f t="shared" si="85"/>
        <v>20140101LE_954BASE</v>
      </c>
      <c r="X233" s="12" t="str">
        <f t="shared" si="86"/>
        <v xml:space="preserve">20140101LS </v>
      </c>
      <c r="AA233">
        <f>MiscData!$X$5</f>
        <v>20140101</v>
      </c>
      <c r="AB233">
        <f>IF(AB232+1&gt;MiscData!$AF$28,1,AB232+1)</f>
        <v>16</v>
      </c>
      <c r="AC233" t="str">
        <f>VLOOKUP(AB233,MiscData!$AF$5:$AG$28,2,FALSE)</f>
        <v>LE_954BASE</v>
      </c>
      <c r="AD233" t="str">
        <f>VLOOKUP(AB233,MiscData!$AF$5:$AH$28,3,FALSE)</f>
        <v xml:space="preserve">LS </v>
      </c>
    </row>
    <row r="234" spans="1:30">
      <c r="A234" s="8">
        <f t="shared" si="77"/>
        <v>104</v>
      </c>
      <c r="B234" s="14" t="str">
        <f t="shared" si="78"/>
        <v>Oct 2014</v>
      </c>
      <c r="C234" s="24" t="str">
        <f t="shared" si="79"/>
        <v>RLS</v>
      </c>
      <c r="D234" s="24" t="str">
        <f t="shared" si="80"/>
        <v>LE_955BASE</v>
      </c>
      <c r="E234" s="73">
        <f t="shared" si="47"/>
        <v>0</v>
      </c>
      <c r="F234" s="73">
        <v>0</v>
      </c>
      <c r="G234" s="11">
        <f>SUMIF(PoleRates!$E$4:$E$131,$W234,PoleRates!$F$4:$F$131)</f>
        <v>3.56</v>
      </c>
      <c r="H234" s="13">
        <f t="shared" si="81"/>
        <v>0</v>
      </c>
      <c r="I234" s="85">
        <v>0</v>
      </c>
      <c r="J234" s="13">
        <f t="shared" si="62"/>
        <v>0</v>
      </c>
      <c r="K234" s="35">
        <f t="shared" si="74"/>
        <v>0</v>
      </c>
      <c r="L234" s="87">
        <f t="shared" si="82"/>
        <v>1</v>
      </c>
      <c r="M234" s="86">
        <f t="shared" si="75"/>
        <v>0</v>
      </c>
      <c r="N234" s="15">
        <f t="shared" si="83"/>
        <v>0</v>
      </c>
      <c r="O234" s="15">
        <f t="shared" si="84"/>
        <v>0</v>
      </c>
      <c r="V234" s="14">
        <f>IF(AB234=1,IF(V233=MiscData!$F$1,EOMONTH(V233,-11),EOMONTH(V233,1)),V233)</f>
        <v>41943</v>
      </c>
      <c r="W234" s="8" t="str">
        <f t="shared" si="85"/>
        <v>20140101LE_955BASE</v>
      </c>
      <c r="X234" s="12" t="str">
        <f t="shared" si="86"/>
        <v>20140101RLS</v>
      </c>
      <c r="AA234">
        <f>MiscData!$X$5</f>
        <v>20140101</v>
      </c>
      <c r="AB234">
        <f>IF(AB233+1&gt;MiscData!$AF$28,1,AB233+1)</f>
        <v>17</v>
      </c>
      <c r="AC234" t="str">
        <f>VLOOKUP(AB234,MiscData!$AF$5:$AG$28,2,FALSE)</f>
        <v>LE_955BASE</v>
      </c>
      <c r="AD234" t="str">
        <f>VLOOKUP(AB234,MiscData!$AF$5:$AH$28,3,FALSE)</f>
        <v>RLS</v>
      </c>
    </row>
    <row r="235" spans="1:30">
      <c r="A235" s="8">
        <f t="shared" si="77"/>
        <v>104</v>
      </c>
      <c r="B235" s="14" t="str">
        <f t="shared" si="78"/>
        <v>Oct 2014</v>
      </c>
      <c r="C235" s="24" t="str">
        <f t="shared" si="79"/>
        <v xml:space="preserve">LS </v>
      </c>
      <c r="D235" s="24" t="str">
        <f t="shared" si="80"/>
        <v>LE_955BASE</v>
      </c>
      <c r="E235" s="73">
        <f t="shared" si="47"/>
        <v>0</v>
      </c>
      <c r="F235" s="73">
        <v>0</v>
      </c>
      <c r="G235" s="11">
        <f>SUMIF(PoleRates!$E$4:$E$131,$W235,PoleRates!$F$4:$F$131)</f>
        <v>3.56</v>
      </c>
      <c r="H235" s="13">
        <f t="shared" si="81"/>
        <v>0</v>
      </c>
      <c r="I235" s="85">
        <v>0</v>
      </c>
      <c r="J235" s="13">
        <f t="shared" si="62"/>
        <v>0</v>
      </c>
      <c r="K235" s="35">
        <f t="shared" si="74"/>
        <v>0</v>
      </c>
      <c r="L235" s="87">
        <f t="shared" si="82"/>
        <v>1</v>
      </c>
      <c r="M235" s="86">
        <f t="shared" si="75"/>
        <v>0</v>
      </c>
      <c r="N235" s="15">
        <f t="shared" si="83"/>
        <v>0</v>
      </c>
      <c r="O235" s="15">
        <f t="shared" si="84"/>
        <v>0</v>
      </c>
      <c r="V235" s="14">
        <f>IF(AB235=1,IF(V234=MiscData!$F$1,EOMONTH(V234,-11),EOMONTH(V234,1)),V234)</f>
        <v>41943</v>
      </c>
      <c r="W235" s="8" t="str">
        <f t="shared" si="85"/>
        <v>20140101LE_955BASE</v>
      </c>
      <c r="X235" s="12" t="str">
        <f t="shared" si="86"/>
        <v xml:space="preserve">20140101LS </v>
      </c>
      <c r="AA235">
        <f>MiscData!$X$5</f>
        <v>20140101</v>
      </c>
      <c r="AB235">
        <f>IF(AB234+1&gt;MiscData!$AF$28,1,AB234+1)</f>
        <v>18</v>
      </c>
      <c r="AC235" t="str">
        <f>VLOOKUP(AB235,MiscData!$AF$5:$AG$28,2,FALSE)</f>
        <v>LE_955BASE</v>
      </c>
      <c r="AD235" t="str">
        <f>VLOOKUP(AB235,MiscData!$AF$5:$AH$28,3,FALSE)</f>
        <v xml:space="preserve">LS </v>
      </c>
    </row>
    <row r="236" spans="1:30">
      <c r="A236" s="8">
        <f>A226+1</f>
        <v>101</v>
      </c>
      <c r="B236" s="14" t="str">
        <f t="shared" ref="B236:B267" si="87">TEXT(V236,"mmm yyyy")</f>
        <v>Oct 2014</v>
      </c>
      <c r="C236" s="24" t="str">
        <f t="shared" ref="C236:C267" si="88">AD236</f>
        <v>RLS</v>
      </c>
      <c r="D236" s="24" t="str">
        <f t="shared" ref="D236:D267" si="89">AC236</f>
        <v>LE_956BASE</v>
      </c>
      <c r="E236" s="73">
        <f t="shared" ref="E236:E267" si="90">SUMIFS(L_1051_Count_Total,L_1051_Revenue_Month,$B236,L_1051_RateCategory,$D236,L_1051_Light_Category,C236)</f>
        <v>239</v>
      </c>
      <c r="F236" s="73">
        <v>0</v>
      </c>
      <c r="G236" s="11">
        <f>SUMIF(PoleRates!$E$4:$E$131,$W236,PoleRates!$F$4:$F$131)</f>
        <v>3.56</v>
      </c>
      <c r="H236" s="13">
        <f t="shared" ref="H236:H267" si="91">ROUND(($E236+F236)*$G236,2)</f>
        <v>850.84</v>
      </c>
      <c r="I236" s="85">
        <v>0</v>
      </c>
      <c r="J236" s="13">
        <f t="shared" si="62"/>
        <v>850.84</v>
      </c>
      <c r="K236" s="35">
        <f t="shared" si="74"/>
        <v>0</v>
      </c>
      <c r="L236" s="87">
        <f t="shared" ref="L236:L267" si="92">IF(AND(J236=0,K236=0),1,IF(J236=0,0,K236/J236))</f>
        <v>0</v>
      </c>
      <c r="M236" s="86">
        <f t="shared" si="75"/>
        <v>0</v>
      </c>
      <c r="N236" s="15">
        <f t="shared" ref="N236:N267" si="93">J236</f>
        <v>850.84</v>
      </c>
      <c r="O236" s="15">
        <f t="shared" ref="O236:O267" si="94">ROUND(M236-N236,2)</f>
        <v>-850.84</v>
      </c>
      <c r="V236" s="14">
        <f>IF(AB236=1,IF(V235=MiscData!$F$1,EOMONTH(V235,-11),EOMONTH(V235,1)),V235)</f>
        <v>41943</v>
      </c>
      <c r="W236" s="8" t="str">
        <f t="shared" ref="W236:W241" si="95">CONCATENATE(AA236&amp;AC236)</f>
        <v>20140101LE_956BASE</v>
      </c>
      <c r="X236" s="12" t="str">
        <f t="shared" ref="X236:X241" si="96">CONCATENATE(AA236&amp;AD236)</f>
        <v>20140101RLS</v>
      </c>
      <c r="AA236">
        <f>MiscData!$X$5</f>
        <v>20140101</v>
      </c>
      <c r="AB236">
        <f>IF(AB235+1&gt;MiscData!$AF$28,1,AB235+1)</f>
        <v>19</v>
      </c>
      <c r="AC236" t="str">
        <f>VLOOKUP(AB236,MiscData!$AF$5:$AG$28,2,FALSE)</f>
        <v>LE_956BASE</v>
      </c>
      <c r="AD236" t="str">
        <f>VLOOKUP(AB236,MiscData!$AF$5:$AH$28,3,FALSE)</f>
        <v>RLS</v>
      </c>
    </row>
    <row r="237" spans="1:30">
      <c r="A237" s="8">
        <f>A227+1</f>
        <v>101</v>
      </c>
      <c r="B237" s="14" t="str">
        <f t="shared" si="87"/>
        <v>Oct 2014</v>
      </c>
      <c r="C237" s="24" t="str">
        <f t="shared" si="88"/>
        <v xml:space="preserve">LS </v>
      </c>
      <c r="D237" s="24" t="str">
        <f t="shared" si="89"/>
        <v>LE_956BASE</v>
      </c>
      <c r="E237" s="73">
        <f t="shared" si="90"/>
        <v>479</v>
      </c>
      <c r="F237" s="73">
        <v>0</v>
      </c>
      <c r="G237" s="11">
        <f>SUMIF(PoleRates!$E$4:$E$131,$W237,PoleRates!$F$4:$F$131)</f>
        <v>3.56</v>
      </c>
      <c r="H237" s="13">
        <f t="shared" si="91"/>
        <v>1705.24</v>
      </c>
      <c r="I237" s="85">
        <v>0</v>
      </c>
      <c r="J237" s="13">
        <f t="shared" ref="J237:J289" si="97">SUM(H237:H237,I237:I237)</f>
        <v>1705.24</v>
      </c>
      <c r="K237" s="35">
        <f t="shared" si="74"/>
        <v>0</v>
      </c>
      <c r="L237" s="87">
        <f t="shared" si="92"/>
        <v>0</v>
      </c>
      <c r="M237" s="86">
        <f t="shared" si="75"/>
        <v>0</v>
      </c>
      <c r="N237" s="15">
        <f t="shared" si="93"/>
        <v>1705.24</v>
      </c>
      <c r="O237" s="15">
        <f t="shared" si="94"/>
        <v>-1705.24</v>
      </c>
      <c r="V237" s="14">
        <f>IF(AB237=1,IF(V236=MiscData!$F$1,EOMONTH(V236,-11),EOMONTH(V236,1)),V236)</f>
        <v>41943</v>
      </c>
      <c r="W237" s="8" t="str">
        <f t="shared" si="95"/>
        <v>20140101LE_956BASE</v>
      </c>
      <c r="X237" s="12" t="str">
        <f t="shared" si="96"/>
        <v xml:space="preserve">20140101LS </v>
      </c>
      <c r="AA237">
        <f>MiscData!$X$5</f>
        <v>20140101</v>
      </c>
      <c r="AB237">
        <f>IF(AB236+1&gt;MiscData!$AF$28,1,AB236+1)</f>
        <v>20</v>
      </c>
      <c r="AC237" t="str">
        <f>VLOOKUP(AB237,MiscData!$AF$5:$AG$28,2,FALSE)</f>
        <v>LE_956BASE</v>
      </c>
      <c r="AD237" t="str">
        <f>VLOOKUP(AB237,MiscData!$AF$5:$AH$28,3,FALSE)</f>
        <v xml:space="preserve">LS </v>
      </c>
    </row>
    <row r="238" spans="1:30">
      <c r="A238" s="8">
        <f t="shared" si="77"/>
        <v>102</v>
      </c>
      <c r="B238" s="14" t="str">
        <f t="shared" si="87"/>
        <v>Oct 2014</v>
      </c>
      <c r="C238" s="24" t="str">
        <f t="shared" si="88"/>
        <v>RLS</v>
      </c>
      <c r="D238" s="24" t="str">
        <f t="shared" si="89"/>
        <v>LE_957BASE</v>
      </c>
      <c r="E238" s="73">
        <f t="shared" si="90"/>
        <v>0</v>
      </c>
      <c r="F238" s="73">
        <v>0</v>
      </c>
      <c r="G238" s="11">
        <f>SUMIF(PoleRates!$E$4:$E$131,$W238,PoleRates!$F$4:$F$131)</f>
        <v>3.56</v>
      </c>
      <c r="H238" s="13">
        <f t="shared" si="91"/>
        <v>0</v>
      </c>
      <c r="I238" s="85">
        <v>0</v>
      </c>
      <c r="J238" s="13">
        <f t="shared" si="97"/>
        <v>0</v>
      </c>
      <c r="K238" s="35">
        <f t="shared" si="74"/>
        <v>0</v>
      </c>
      <c r="L238" s="87">
        <f t="shared" si="92"/>
        <v>1</v>
      </c>
      <c r="M238" s="86">
        <f t="shared" si="75"/>
        <v>0</v>
      </c>
      <c r="N238" s="15">
        <f t="shared" si="93"/>
        <v>0</v>
      </c>
      <c r="O238" s="15">
        <f t="shared" si="94"/>
        <v>0</v>
      </c>
      <c r="V238" s="14">
        <f>IF(AB238=1,IF(V237=MiscData!$F$1,EOMONTH(V237,-11),EOMONTH(V237,1)),V237)</f>
        <v>41943</v>
      </c>
      <c r="W238" s="8" t="str">
        <f t="shared" si="95"/>
        <v>20140101LE_957BASE</v>
      </c>
      <c r="X238" s="12" t="str">
        <f t="shared" si="96"/>
        <v>20140101RLS</v>
      </c>
      <c r="AA238">
        <f>MiscData!$X$5</f>
        <v>20140101</v>
      </c>
      <c r="AB238">
        <f>IF(AB237+1&gt;MiscData!$AF$28,1,AB237+1)</f>
        <v>21</v>
      </c>
      <c r="AC238" t="str">
        <f>VLOOKUP(AB238,MiscData!$AF$5:$AG$28,2,FALSE)</f>
        <v>LE_957BASE</v>
      </c>
      <c r="AD238" t="str">
        <f>VLOOKUP(AB238,MiscData!$AF$5:$AH$28,3,FALSE)</f>
        <v>RLS</v>
      </c>
    </row>
    <row r="239" spans="1:30">
      <c r="A239" s="8">
        <f t="shared" si="77"/>
        <v>102</v>
      </c>
      <c r="B239" s="14" t="str">
        <f t="shared" si="87"/>
        <v>Oct 2014</v>
      </c>
      <c r="C239" s="24" t="str">
        <f t="shared" si="88"/>
        <v xml:space="preserve">LS </v>
      </c>
      <c r="D239" s="24" t="str">
        <f t="shared" si="89"/>
        <v>LE_957BASE</v>
      </c>
      <c r="E239" s="73">
        <f t="shared" si="90"/>
        <v>0</v>
      </c>
      <c r="F239" s="73">
        <v>0</v>
      </c>
      <c r="G239" s="11">
        <f>SUMIF(PoleRates!$E$4:$E$131,$W239,PoleRates!$F$4:$F$131)</f>
        <v>3.56</v>
      </c>
      <c r="H239" s="13">
        <f t="shared" si="91"/>
        <v>0</v>
      </c>
      <c r="I239" s="85">
        <v>0</v>
      </c>
      <c r="J239" s="13">
        <f t="shared" si="97"/>
        <v>0</v>
      </c>
      <c r="K239" s="35">
        <f t="shared" si="74"/>
        <v>0</v>
      </c>
      <c r="L239" s="87">
        <f t="shared" si="92"/>
        <v>1</v>
      </c>
      <c r="M239" s="86">
        <f t="shared" si="75"/>
        <v>0</v>
      </c>
      <c r="N239" s="15">
        <f t="shared" si="93"/>
        <v>0</v>
      </c>
      <c r="O239" s="15">
        <f t="shared" si="94"/>
        <v>0</v>
      </c>
      <c r="V239" s="14">
        <f>IF(AB239=1,IF(V238=MiscData!$F$1,EOMONTH(V238,-11),EOMONTH(V238,1)),V238)</f>
        <v>41943</v>
      </c>
      <c r="W239" s="8" t="str">
        <f t="shared" si="95"/>
        <v>20140101LE_957BASE</v>
      </c>
      <c r="X239" s="12" t="str">
        <f t="shared" si="96"/>
        <v xml:space="preserve">20140101LS </v>
      </c>
      <c r="AA239">
        <f>MiscData!$X$5</f>
        <v>20140101</v>
      </c>
      <c r="AB239">
        <f>IF(AB238+1&gt;MiscData!$AF$28,1,AB238+1)</f>
        <v>22</v>
      </c>
      <c r="AC239" t="str">
        <f>VLOOKUP(AB239,MiscData!$AF$5:$AG$28,2,FALSE)</f>
        <v>LE_957BASE</v>
      </c>
      <c r="AD239" t="str">
        <f>VLOOKUP(AB239,MiscData!$AF$5:$AH$28,3,FALSE)</f>
        <v xml:space="preserve">LS </v>
      </c>
    </row>
    <row r="240" spans="1:30">
      <c r="A240" s="8">
        <f t="shared" si="77"/>
        <v>103</v>
      </c>
      <c r="B240" s="14" t="str">
        <f t="shared" si="87"/>
        <v>Oct 2014</v>
      </c>
      <c r="C240" s="24" t="str">
        <f t="shared" si="88"/>
        <v>RLS</v>
      </c>
      <c r="D240" s="24" t="str">
        <f t="shared" si="89"/>
        <v>LE_958POLE</v>
      </c>
      <c r="E240" s="73">
        <f t="shared" si="90"/>
        <v>39</v>
      </c>
      <c r="F240" s="73">
        <v>0</v>
      </c>
      <c r="G240" s="11">
        <f>SUMIF(PoleRates!$E$4:$E$131,$W240,PoleRates!$F$4:$F$131)</f>
        <v>11.31</v>
      </c>
      <c r="H240" s="13">
        <f t="shared" si="91"/>
        <v>441.09</v>
      </c>
      <c r="I240" s="85">
        <v>0</v>
      </c>
      <c r="J240" s="13">
        <f t="shared" si="97"/>
        <v>441.09</v>
      </c>
      <c r="K240" s="35">
        <f t="shared" si="74"/>
        <v>0</v>
      </c>
      <c r="L240" s="87">
        <f t="shared" si="92"/>
        <v>0</v>
      </c>
      <c r="M240" s="86">
        <f t="shared" si="75"/>
        <v>0</v>
      </c>
      <c r="N240" s="15">
        <f t="shared" si="93"/>
        <v>441.09</v>
      </c>
      <c r="O240" s="15">
        <f t="shared" si="94"/>
        <v>-441.09</v>
      </c>
      <c r="V240" s="14">
        <f>IF(AB240=1,IF(V239=MiscData!$F$1,EOMONTH(V239,-11),EOMONTH(V239,1)),V239)</f>
        <v>41943</v>
      </c>
      <c r="W240" s="8" t="str">
        <f t="shared" si="95"/>
        <v>20140101LE_958POLE</v>
      </c>
      <c r="X240" s="12" t="str">
        <f t="shared" si="96"/>
        <v>20140101RLS</v>
      </c>
      <c r="AA240">
        <f>MiscData!$X$5</f>
        <v>20140101</v>
      </c>
      <c r="AB240">
        <f>IF(AB239+1&gt;MiscData!$AF$28,1,AB239+1)</f>
        <v>23</v>
      </c>
      <c r="AC240" t="str">
        <f>VLOOKUP(AB240,MiscData!$AF$5:$AG$28,2,FALSE)</f>
        <v>LE_958POLE</v>
      </c>
      <c r="AD240" t="str">
        <f>VLOOKUP(AB240,MiscData!$AF$5:$AH$28,3,FALSE)</f>
        <v>RLS</v>
      </c>
    </row>
    <row r="241" spans="1:30">
      <c r="A241" s="8">
        <f t="shared" si="77"/>
        <v>103</v>
      </c>
      <c r="B241" s="14" t="str">
        <f t="shared" si="87"/>
        <v>Oct 2014</v>
      </c>
      <c r="C241" s="24" t="str">
        <f t="shared" si="88"/>
        <v xml:space="preserve">LS </v>
      </c>
      <c r="D241" s="24" t="str">
        <f t="shared" si="89"/>
        <v>LE_958POLE</v>
      </c>
      <c r="E241" s="73">
        <f t="shared" si="90"/>
        <v>432</v>
      </c>
      <c r="F241" s="73">
        <v>0</v>
      </c>
      <c r="G241" s="11">
        <f>SUMIF(PoleRates!$E$4:$E$131,$W241,PoleRates!$F$4:$F$131)</f>
        <v>11.31</v>
      </c>
      <c r="H241" s="13">
        <f t="shared" si="91"/>
        <v>4885.92</v>
      </c>
      <c r="I241" s="85">
        <v>0</v>
      </c>
      <c r="J241" s="13">
        <f t="shared" si="97"/>
        <v>4885.92</v>
      </c>
      <c r="K241" s="35">
        <f t="shared" si="74"/>
        <v>0</v>
      </c>
      <c r="L241" s="87">
        <f t="shared" si="92"/>
        <v>0</v>
      </c>
      <c r="M241" s="86">
        <f t="shared" si="75"/>
        <v>0</v>
      </c>
      <c r="N241" s="15">
        <f t="shared" si="93"/>
        <v>4885.92</v>
      </c>
      <c r="O241" s="15">
        <f t="shared" si="94"/>
        <v>-4885.92</v>
      </c>
      <c r="V241" s="14">
        <f>IF(AB241=1,IF(V240=MiscData!$F$1,EOMONTH(V240,-11),EOMONTH(V240,1)),V240)</f>
        <v>41943</v>
      </c>
      <c r="W241" s="8" t="str">
        <f t="shared" si="95"/>
        <v>20140101LE_958POLE</v>
      </c>
      <c r="X241" s="12" t="str">
        <f t="shared" si="96"/>
        <v xml:space="preserve">20140101LS </v>
      </c>
      <c r="AA241">
        <f>MiscData!$X$5</f>
        <v>20140101</v>
      </c>
      <c r="AB241">
        <f>IF(AB240+1&gt;MiscData!$AF$28,1,AB240+1)</f>
        <v>24</v>
      </c>
      <c r="AC241" t="str">
        <f>VLOOKUP(AB241,MiscData!$AF$5:$AG$28,2,FALSE)</f>
        <v>LE_958POLE</v>
      </c>
      <c r="AD241" t="str">
        <f>VLOOKUP(AB241,MiscData!$AF$5:$AH$28,3,FALSE)</f>
        <v xml:space="preserve">LS </v>
      </c>
    </row>
    <row r="242" spans="1:30">
      <c r="A242" s="8">
        <f>A224+1</f>
        <v>100</v>
      </c>
      <c r="B242" s="14" t="str">
        <f t="shared" ref="B242:B265" si="98">TEXT(V242,"mmm yyyy")</f>
        <v>Nov 2014</v>
      </c>
      <c r="C242" s="24" t="str">
        <f t="shared" ref="C242:C265" si="99">AD242</f>
        <v>RLS</v>
      </c>
      <c r="D242" s="24" t="str">
        <f t="shared" ref="D242:D265" si="100">AC242</f>
        <v>LE_900POLE</v>
      </c>
      <c r="E242" s="73">
        <f t="shared" ref="E242:E265" si="101">SUMIFS(L_1051_Count_Total,L_1051_Revenue_Month,$B242,L_1051_RateCategory,$D242,L_1051_Light_Category,C242)</f>
        <v>1686</v>
      </c>
      <c r="F242" s="73">
        <v>0</v>
      </c>
      <c r="G242" s="11">
        <f>SUMIF(PoleRates!$E$4:$E$131,$W242,PoleRates!$F$4:$F$131)</f>
        <v>2.06</v>
      </c>
      <c r="H242" s="13">
        <f t="shared" ref="H242:H265" si="102">ROUND(($E242+F242)*$G242,2)</f>
        <v>3473.16</v>
      </c>
      <c r="I242" s="85">
        <v>0</v>
      </c>
      <c r="J242" s="13">
        <f t="shared" si="97"/>
        <v>3473.16</v>
      </c>
      <c r="K242" s="35">
        <f t="shared" si="74"/>
        <v>0</v>
      </c>
      <c r="L242" s="87">
        <f t="shared" ref="L242:L265" si="103">IF(AND(J242=0,K242=0),1,IF(J242=0,0,K242/J242))</f>
        <v>0</v>
      </c>
      <c r="M242" s="86">
        <f t="shared" si="75"/>
        <v>0</v>
      </c>
      <c r="N242" s="15">
        <f t="shared" ref="N242:N265" si="104">J242</f>
        <v>3473.16</v>
      </c>
      <c r="O242" s="15">
        <f t="shared" ref="O242:O265" si="105">ROUND(M242-N242,2)</f>
        <v>-3473.16</v>
      </c>
      <c r="V242" s="14">
        <f>IF(AB242=1,IF(V241=MiscData!$F$1,EOMONTH(V241,-11),EOMONTH(V241,1)),V241)</f>
        <v>41973</v>
      </c>
      <c r="W242" s="8" t="str">
        <f t="shared" ref="W242:W289" si="106">CONCATENATE(AA242&amp;AC242)</f>
        <v>20140101LE_900POLE</v>
      </c>
      <c r="X242" s="12" t="str">
        <f t="shared" ref="X242:X289" si="107">CONCATENATE(AA242&amp;AD242)</f>
        <v>20140101RLS</v>
      </c>
      <c r="AA242">
        <f>MiscData!$X$5</f>
        <v>20140101</v>
      </c>
      <c r="AB242">
        <f>IF(AB241+1&gt;MiscData!$AF$28,1,AB241+1)</f>
        <v>1</v>
      </c>
      <c r="AC242" t="str">
        <f>VLOOKUP(AB242,MiscData!$AF$5:$AG$28,2,FALSE)</f>
        <v>LE_900POLE</v>
      </c>
      <c r="AD242" t="str">
        <f>VLOOKUP(AB242,MiscData!$AF$5:$AH$28,3,FALSE)</f>
        <v>RLS</v>
      </c>
    </row>
    <row r="243" spans="1:30">
      <c r="A243" s="8">
        <f>A225+1</f>
        <v>100</v>
      </c>
      <c r="B243" s="14" t="str">
        <f t="shared" si="98"/>
        <v>Nov 2014</v>
      </c>
      <c r="C243" s="24" t="str">
        <f t="shared" si="99"/>
        <v xml:space="preserve">LS </v>
      </c>
      <c r="D243" s="24" t="str">
        <f t="shared" si="100"/>
        <v>LE_900POLE</v>
      </c>
      <c r="E243" s="73">
        <f t="shared" si="101"/>
        <v>5194</v>
      </c>
      <c r="F243" s="73">
        <v>0</v>
      </c>
      <c r="G243" s="11">
        <f>SUMIF(PoleRates!$E$4:$E$131,$W243,PoleRates!$F$4:$F$131)</f>
        <v>2.06</v>
      </c>
      <c r="H243" s="13">
        <f t="shared" si="102"/>
        <v>10699.64</v>
      </c>
      <c r="I243" s="85">
        <v>0</v>
      </c>
      <c r="J243" s="13">
        <f t="shared" si="97"/>
        <v>10699.64</v>
      </c>
      <c r="K243" s="35">
        <f t="shared" si="74"/>
        <v>0</v>
      </c>
      <c r="L243" s="87">
        <f t="shared" si="103"/>
        <v>0</v>
      </c>
      <c r="M243" s="86">
        <f t="shared" si="75"/>
        <v>0</v>
      </c>
      <c r="N243" s="15">
        <f t="shared" si="104"/>
        <v>10699.64</v>
      </c>
      <c r="O243" s="15">
        <f t="shared" si="105"/>
        <v>-10699.64</v>
      </c>
      <c r="V243" s="14">
        <f>IF(AB243=1,IF(V242=MiscData!$F$1,EOMONTH(V242,-11),EOMONTH(V242,1)),V242)</f>
        <v>41973</v>
      </c>
      <c r="W243" s="8" t="str">
        <f t="shared" si="106"/>
        <v>20140101LE_900POLE</v>
      </c>
      <c r="X243" s="12" t="str">
        <f t="shared" si="107"/>
        <v xml:space="preserve">20140101LS </v>
      </c>
      <c r="AA243">
        <f>MiscData!$X$5</f>
        <v>20140101</v>
      </c>
      <c r="AB243">
        <f>IF(AB242+1&gt;MiscData!$AF$28,1,AB242+1)</f>
        <v>2</v>
      </c>
      <c r="AC243" t="str">
        <f>VLOOKUP(AB243,MiscData!$AF$5:$AG$28,2,FALSE)</f>
        <v>LE_900POLE</v>
      </c>
      <c r="AD243" t="str">
        <f>VLOOKUP(AB243,MiscData!$AF$5:$AH$28,3,FALSE)</f>
        <v xml:space="preserve">LS </v>
      </c>
    </row>
    <row r="244" spans="1:30">
      <c r="A244" s="8">
        <f>A218+1</f>
        <v>93</v>
      </c>
      <c r="B244" s="14" t="str">
        <f t="shared" si="98"/>
        <v>Nov 2014</v>
      </c>
      <c r="C244" s="24" t="str">
        <f t="shared" si="99"/>
        <v>RLS</v>
      </c>
      <c r="D244" s="24" t="str">
        <f t="shared" si="100"/>
        <v>LE_901POLE</v>
      </c>
      <c r="E244" s="73">
        <f t="shared" si="101"/>
        <v>157</v>
      </c>
      <c r="F244" s="73">
        <v>0</v>
      </c>
      <c r="G244" s="11">
        <f>SUMIF(PoleRates!$E$4:$E$131,$W244,PoleRates!$F$4:$F$131)</f>
        <v>10.81</v>
      </c>
      <c r="H244" s="13">
        <f t="shared" si="102"/>
        <v>1697.17</v>
      </c>
      <c r="I244" s="85">
        <v>0</v>
      </c>
      <c r="J244" s="13">
        <f t="shared" si="97"/>
        <v>1697.17</v>
      </c>
      <c r="K244" s="35">
        <f t="shared" si="74"/>
        <v>0</v>
      </c>
      <c r="L244" s="87">
        <f t="shared" si="103"/>
        <v>0</v>
      </c>
      <c r="M244" s="86">
        <f t="shared" si="75"/>
        <v>0</v>
      </c>
      <c r="N244" s="15">
        <f t="shared" si="104"/>
        <v>1697.17</v>
      </c>
      <c r="O244" s="15">
        <f t="shared" si="105"/>
        <v>-1697.17</v>
      </c>
      <c r="V244" s="14">
        <f>IF(AB244=1,IF(V243=MiscData!$F$1,EOMONTH(V243,-11),EOMONTH(V243,1)),V243)</f>
        <v>41973</v>
      </c>
      <c r="W244" s="8" t="str">
        <f t="shared" si="106"/>
        <v>20140101LE_901POLE</v>
      </c>
      <c r="X244" s="12" t="str">
        <f t="shared" si="107"/>
        <v>20140101RLS</v>
      </c>
      <c r="AA244">
        <f>MiscData!$X$5</f>
        <v>20140101</v>
      </c>
      <c r="AB244">
        <f>IF(AB243+1&gt;MiscData!$AF$28,1,AB243+1)</f>
        <v>3</v>
      </c>
      <c r="AC244" t="str">
        <f>VLOOKUP(AB244,MiscData!$AF$5:$AG$28,2,FALSE)</f>
        <v>LE_901POLE</v>
      </c>
      <c r="AD244" t="str">
        <f>VLOOKUP(AB244,MiscData!$AF$5:$AH$28,3,FALSE)</f>
        <v>RLS</v>
      </c>
    </row>
    <row r="245" spans="1:30">
      <c r="A245" s="8">
        <f>A219+1</f>
        <v>93</v>
      </c>
      <c r="B245" s="14" t="str">
        <f t="shared" si="98"/>
        <v>Nov 2014</v>
      </c>
      <c r="C245" s="24" t="str">
        <f t="shared" si="99"/>
        <v xml:space="preserve">LS </v>
      </c>
      <c r="D245" s="24" t="str">
        <f t="shared" si="100"/>
        <v>LE_901POLE</v>
      </c>
      <c r="E245" s="73">
        <f t="shared" si="101"/>
        <v>0</v>
      </c>
      <c r="F245" s="73">
        <v>0</v>
      </c>
      <c r="G245" s="11">
        <f>SUMIF(PoleRates!$E$4:$E$131,$W245,PoleRates!$F$4:$F$131)</f>
        <v>10.81</v>
      </c>
      <c r="H245" s="13">
        <f t="shared" si="102"/>
        <v>0</v>
      </c>
      <c r="I245" s="85">
        <v>0</v>
      </c>
      <c r="J245" s="13">
        <f t="shared" si="97"/>
        <v>0</v>
      </c>
      <c r="K245" s="35">
        <f t="shared" si="74"/>
        <v>0</v>
      </c>
      <c r="L245" s="87">
        <f t="shared" si="103"/>
        <v>1</v>
      </c>
      <c r="M245" s="86">
        <f t="shared" si="75"/>
        <v>0</v>
      </c>
      <c r="N245" s="15">
        <f t="shared" si="104"/>
        <v>0</v>
      </c>
      <c r="O245" s="15">
        <f t="shared" si="105"/>
        <v>0</v>
      </c>
      <c r="V245" s="14">
        <f>IF(AB245=1,IF(V244=MiscData!$F$1,EOMONTH(V244,-11),EOMONTH(V244,1)),V244)</f>
        <v>41973</v>
      </c>
      <c r="W245" s="8" t="str">
        <f t="shared" si="106"/>
        <v>20140101LE_901POLE</v>
      </c>
      <c r="X245" s="12" t="str">
        <f t="shared" si="107"/>
        <v xml:space="preserve">20140101LS </v>
      </c>
      <c r="AA245">
        <f>MiscData!$X$5</f>
        <v>20140101</v>
      </c>
      <c r="AB245">
        <f>IF(AB244+1&gt;MiscData!$AF$28,1,AB244+1)</f>
        <v>4</v>
      </c>
      <c r="AC245" t="str">
        <f>VLOOKUP(AB245,MiscData!$AF$5:$AG$28,2,FALSE)</f>
        <v>LE_901POLE</v>
      </c>
      <c r="AD245" t="str">
        <f>VLOOKUP(AB245,MiscData!$AF$5:$AH$28,3,FALSE)</f>
        <v xml:space="preserve">LS </v>
      </c>
    </row>
    <row r="246" spans="1:30">
      <c r="A246" s="8">
        <f t="shared" si="77"/>
        <v>94</v>
      </c>
      <c r="B246" s="14" t="str">
        <f t="shared" si="98"/>
        <v>Nov 2014</v>
      </c>
      <c r="C246" s="24" t="str">
        <f t="shared" si="99"/>
        <v>RLS</v>
      </c>
      <c r="D246" s="24" t="str">
        <f t="shared" si="100"/>
        <v>LE_902POLE</v>
      </c>
      <c r="E246" s="73">
        <f t="shared" si="101"/>
        <v>277</v>
      </c>
      <c r="F246" s="73">
        <v>0</v>
      </c>
      <c r="G246" s="11">
        <f>SUMIF(PoleRates!$E$4:$E$131,$W246,PoleRates!$F$4:$F$131)</f>
        <v>12.9</v>
      </c>
      <c r="H246" s="13">
        <f t="shared" si="102"/>
        <v>3573.3</v>
      </c>
      <c r="I246" s="85">
        <v>0</v>
      </c>
      <c r="J246" s="13">
        <f t="shared" si="97"/>
        <v>3573.3</v>
      </c>
      <c r="K246" s="35">
        <f t="shared" si="74"/>
        <v>0</v>
      </c>
      <c r="L246" s="87">
        <f t="shared" si="103"/>
        <v>0</v>
      </c>
      <c r="M246" s="86">
        <f t="shared" si="75"/>
        <v>0</v>
      </c>
      <c r="N246" s="15">
        <f t="shared" si="104"/>
        <v>3573.3</v>
      </c>
      <c r="O246" s="15">
        <f t="shared" si="105"/>
        <v>-3573.3</v>
      </c>
      <c r="V246" s="14">
        <f>IF(AB246=1,IF(V245=MiscData!$F$1,EOMONTH(V245,-11),EOMONTH(V245,1)),V245)</f>
        <v>41973</v>
      </c>
      <c r="W246" s="8" t="str">
        <f t="shared" si="106"/>
        <v>20140101LE_902POLE</v>
      </c>
      <c r="X246" s="12" t="str">
        <f t="shared" si="107"/>
        <v>20140101RLS</v>
      </c>
      <c r="AA246">
        <f>MiscData!$X$5</f>
        <v>20140101</v>
      </c>
      <c r="AB246">
        <f>IF(AB245+1&gt;MiscData!$AF$28,1,AB245+1)</f>
        <v>5</v>
      </c>
      <c r="AC246" t="str">
        <f>VLOOKUP(AB246,MiscData!$AF$5:$AG$28,2,FALSE)</f>
        <v>LE_902POLE</v>
      </c>
      <c r="AD246" t="str">
        <f>VLOOKUP(AB246,MiscData!$AF$5:$AH$28,3,FALSE)</f>
        <v>RLS</v>
      </c>
    </row>
    <row r="247" spans="1:30">
      <c r="A247" s="8">
        <f t="shared" si="77"/>
        <v>94</v>
      </c>
      <c r="B247" s="14" t="str">
        <f t="shared" si="98"/>
        <v>Nov 2014</v>
      </c>
      <c r="C247" s="24" t="str">
        <f t="shared" si="99"/>
        <v xml:space="preserve">LS </v>
      </c>
      <c r="D247" s="24" t="str">
        <f t="shared" si="100"/>
        <v>LE_902POLE</v>
      </c>
      <c r="E247" s="73">
        <f t="shared" si="101"/>
        <v>3</v>
      </c>
      <c r="F247" s="73">
        <v>0</v>
      </c>
      <c r="G247" s="11">
        <f>SUMIF(PoleRates!$E$4:$E$131,$W247,PoleRates!$F$4:$F$131)</f>
        <v>12.9</v>
      </c>
      <c r="H247" s="13">
        <f t="shared" si="102"/>
        <v>38.700000000000003</v>
      </c>
      <c r="I247" s="85">
        <v>0</v>
      </c>
      <c r="J247" s="13">
        <f t="shared" si="97"/>
        <v>38.700000000000003</v>
      </c>
      <c r="K247" s="35">
        <f t="shared" si="74"/>
        <v>0</v>
      </c>
      <c r="L247" s="87">
        <f t="shared" si="103"/>
        <v>0</v>
      </c>
      <c r="M247" s="86">
        <f t="shared" si="75"/>
        <v>0</v>
      </c>
      <c r="N247" s="15">
        <f t="shared" si="104"/>
        <v>38.700000000000003</v>
      </c>
      <c r="O247" s="15">
        <f t="shared" si="105"/>
        <v>-38.700000000000003</v>
      </c>
      <c r="V247" s="14">
        <f>IF(AB247=1,IF(V246=MiscData!$F$1,EOMONTH(V246,-11),EOMONTH(V246,1)),V246)</f>
        <v>41973</v>
      </c>
      <c r="W247" s="8" t="str">
        <f t="shared" si="106"/>
        <v>20140101LE_902POLE</v>
      </c>
      <c r="X247" s="12" t="str">
        <f t="shared" si="107"/>
        <v xml:space="preserve">20140101LS </v>
      </c>
      <c r="AA247">
        <f>MiscData!$X$5</f>
        <v>20140101</v>
      </c>
      <c r="AB247">
        <f>IF(AB246+1&gt;MiscData!$AF$28,1,AB246+1)</f>
        <v>6</v>
      </c>
      <c r="AC247" t="str">
        <f>VLOOKUP(AB247,MiscData!$AF$5:$AG$28,2,FALSE)</f>
        <v>LE_902POLE</v>
      </c>
      <c r="AD247" t="str">
        <f>VLOOKUP(AB247,MiscData!$AF$5:$AH$28,3,FALSE)</f>
        <v xml:space="preserve">LS </v>
      </c>
    </row>
    <row r="248" spans="1:30">
      <c r="A248" s="8">
        <f t="shared" si="77"/>
        <v>95</v>
      </c>
      <c r="B248" s="14" t="str">
        <f t="shared" si="98"/>
        <v>Nov 2014</v>
      </c>
      <c r="C248" s="24" t="str">
        <f t="shared" si="99"/>
        <v>RLS</v>
      </c>
      <c r="D248" s="24" t="str">
        <f t="shared" si="100"/>
        <v>LE_950BASE</v>
      </c>
      <c r="E248" s="73">
        <f t="shared" si="101"/>
        <v>77</v>
      </c>
      <c r="F248" s="73">
        <v>0</v>
      </c>
      <c r="G248" s="11">
        <f>SUMIF(PoleRates!$E$4:$E$131,$W248,PoleRates!$F$4:$F$131)</f>
        <v>3.47</v>
      </c>
      <c r="H248" s="13">
        <f t="shared" si="102"/>
        <v>267.19</v>
      </c>
      <c r="I248" s="85">
        <v>0</v>
      </c>
      <c r="J248" s="13">
        <f t="shared" si="97"/>
        <v>267.19</v>
      </c>
      <c r="K248" s="35">
        <f t="shared" si="74"/>
        <v>0</v>
      </c>
      <c r="L248" s="87">
        <f t="shared" si="103"/>
        <v>0</v>
      </c>
      <c r="M248" s="86">
        <f t="shared" si="75"/>
        <v>0</v>
      </c>
      <c r="N248" s="15">
        <f t="shared" si="104"/>
        <v>267.19</v>
      </c>
      <c r="O248" s="15">
        <f t="shared" si="105"/>
        <v>-267.19</v>
      </c>
      <c r="V248" s="14">
        <f>IF(AB248=1,IF(V247=MiscData!$F$1,EOMONTH(V247,-11),EOMONTH(V247,1)),V247)</f>
        <v>41973</v>
      </c>
      <c r="W248" s="8" t="str">
        <f t="shared" si="106"/>
        <v>20140101LE_950BASE</v>
      </c>
      <c r="X248" s="12" t="str">
        <f t="shared" si="107"/>
        <v>20140101RLS</v>
      </c>
      <c r="AA248">
        <f>MiscData!$X$5</f>
        <v>20140101</v>
      </c>
      <c r="AB248">
        <f>IF(AB247+1&gt;MiscData!$AF$28,1,AB247+1)</f>
        <v>7</v>
      </c>
      <c r="AC248" t="str">
        <f>VLOOKUP(AB248,MiscData!$AF$5:$AG$28,2,FALSE)</f>
        <v>LE_950BASE</v>
      </c>
      <c r="AD248" t="str">
        <f>VLOOKUP(AB248,MiscData!$AF$5:$AH$28,3,FALSE)</f>
        <v>RLS</v>
      </c>
    </row>
    <row r="249" spans="1:30">
      <c r="A249" s="8">
        <f t="shared" si="77"/>
        <v>95</v>
      </c>
      <c r="B249" s="14" t="str">
        <f t="shared" si="98"/>
        <v>Nov 2014</v>
      </c>
      <c r="C249" s="24" t="str">
        <f t="shared" si="99"/>
        <v xml:space="preserve">LS </v>
      </c>
      <c r="D249" s="24" t="str">
        <f t="shared" si="100"/>
        <v>LE_950BASE</v>
      </c>
      <c r="E249" s="73">
        <f t="shared" si="101"/>
        <v>13</v>
      </c>
      <c r="F249" s="73">
        <v>0</v>
      </c>
      <c r="G249" s="11">
        <f>SUMIF(PoleRates!$E$4:$E$131,$W249,PoleRates!$F$4:$F$131)</f>
        <v>3.47</v>
      </c>
      <c r="H249" s="13">
        <f t="shared" si="102"/>
        <v>45.11</v>
      </c>
      <c r="I249" s="85">
        <v>0</v>
      </c>
      <c r="J249" s="13">
        <f t="shared" si="97"/>
        <v>45.11</v>
      </c>
      <c r="K249" s="35">
        <f t="shared" si="74"/>
        <v>0</v>
      </c>
      <c r="L249" s="87">
        <f t="shared" si="103"/>
        <v>0</v>
      </c>
      <c r="M249" s="86">
        <f t="shared" si="75"/>
        <v>0</v>
      </c>
      <c r="N249" s="15">
        <f t="shared" si="104"/>
        <v>45.11</v>
      </c>
      <c r="O249" s="15">
        <f t="shared" si="105"/>
        <v>-45.11</v>
      </c>
      <c r="V249" s="14">
        <f>IF(AB249=1,IF(V248=MiscData!$F$1,EOMONTH(V248,-11),EOMONTH(V248,1)),V248)</f>
        <v>41973</v>
      </c>
      <c r="W249" s="8" t="str">
        <f t="shared" si="106"/>
        <v>20140101LE_950BASE</v>
      </c>
      <c r="X249" s="12" t="str">
        <f t="shared" si="107"/>
        <v xml:space="preserve">20140101LS </v>
      </c>
      <c r="AA249">
        <f>MiscData!$X$5</f>
        <v>20140101</v>
      </c>
      <c r="AB249">
        <f>IF(AB248+1&gt;MiscData!$AF$28,1,AB248+1)</f>
        <v>8</v>
      </c>
      <c r="AC249" t="str">
        <f>VLOOKUP(AB249,MiscData!$AF$5:$AG$28,2,FALSE)</f>
        <v>LE_950BASE</v>
      </c>
      <c r="AD249" t="str">
        <f>VLOOKUP(AB249,MiscData!$AF$5:$AH$28,3,FALSE)</f>
        <v xml:space="preserve">LS </v>
      </c>
    </row>
    <row r="250" spans="1:30">
      <c r="A250" s="8">
        <f t="shared" si="77"/>
        <v>96</v>
      </c>
      <c r="B250" s="14" t="str">
        <f t="shared" si="98"/>
        <v>Nov 2014</v>
      </c>
      <c r="C250" s="24" t="str">
        <f t="shared" si="99"/>
        <v>RLS</v>
      </c>
      <c r="D250" s="24" t="str">
        <f t="shared" si="100"/>
        <v>LE_951BASE</v>
      </c>
      <c r="E250" s="73">
        <f t="shared" si="101"/>
        <v>195</v>
      </c>
      <c r="F250" s="73">
        <v>0</v>
      </c>
      <c r="G250" s="11">
        <f>SUMIF(PoleRates!$E$4:$E$131,$W250,PoleRates!$F$4:$F$131)</f>
        <v>3.73</v>
      </c>
      <c r="H250" s="13">
        <f t="shared" si="102"/>
        <v>727.35</v>
      </c>
      <c r="I250" s="85">
        <v>0</v>
      </c>
      <c r="J250" s="13">
        <f t="shared" si="97"/>
        <v>727.35</v>
      </c>
      <c r="K250" s="35">
        <f t="shared" si="74"/>
        <v>0</v>
      </c>
      <c r="L250" s="87">
        <f t="shared" si="103"/>
        <v>0</v>
      </c>
      <c r="M250" s="86">
        <f t="shared" si="75"/>
        <v>0</v>
      </c>
      <c r="N250" s="15">
        <f t="shared" si="104"/>
        <v>727.35</v>
      </c>
      <c r="O250" s="15">
        <f t="shared" si="105"/>
        <v>-727.35</v>
      </c>
      <c r="V250" s="14">
        <f>IF(AB250=1,IF(V249=MiscData!$F$1,EOMONTH(V249,-11),EOMONTH(V249,1)),V249)</f>
        <v>41973</v>
      </c>
      <c r="W250" s="8" t="str">
        <f t="shared" si="106"/>
        <v>20140101LE_951BASE</v>
      </c>
      <c r="X250" s="12" t="str">
        <f t="shared" si="107"/>
        <v>20140101RLS</v>
      </c>
      <c r="AA250">
        <f>MiscData!$X$5</f>
        <v>20140101</v>
      </c>
      <c r="AB250">
        <f>IF(AB249+1&gt;MiscData!$AF$28,1,AB249+1)</f>
        <v>9</v>
      </c>
      <c r="AC250" t="str">
        <f>VLOOKUP(AB250,MiscData!$AF$5:$AG$28,2,FALSE)</f>
        <v>LE_951BASE</v>
      </c>
      <c r="AD250" t="str">
        <f>VLOOKUP(AB250,MiscData!$AF$5:$AH$28,3,FALSE)</f>
        <v>RLS</v>
      </c>
    </row>
    <row r="251" spans="1:30">
      <c r="A251" s="8">
        <f t="shared" si="77"/>
        <v>96</v>
      </c>
      <c r="B251" s="14" t="str">
        <f t="shared" si="98"/>
        <v>Nov 2014</v>
      </c>
      <c r="C251" s="24" t="str">
        <f t="shared" si="99"/>
        <v xml:space="preserve">LS </v>
      </c>
      <c r="D251" s="24" t="str">
        <f t="shared" si="100"/>
        <v>LE_951BASE</v>
      </c>
      <c r="E251" s="73">
        <f t="shared" si="101"/>
        <v>73</v>
      </c>
      <c r="F251" s="73">
        <v>0</v>
      </c>
      <c r="G251" s="11">
        <f>SUMIF(PoleRates!$E$4:$E$131,$W251,PoleRates!$F$4:$F$131)</f>
        <v>3.73</v>
      </c>
      <c r="H251" s="13">
        <f t="shared" si="102"/>
        <v>272.29000000000002</v>
      </c>
      <c r="I251" s="85">
        <v>0</v>
      </c>
      <c r="J251" s="13">
        <f t="shared" si="97"/>
        <v>272.29000000000002</v>
      </c>
      <c r="K251" s="35">
        <f t="shared" si="74"/>
        <v>0</v>
      </c>
      <c r="L251" s="87">
        <f t="shared" si="103"/>
        <v>0</v>
      </c>
      <c r="M251" s="86">
        <f t="shared" si="75"/>
        <v>0</v>
      </c>
      <c r="N251" s="15">
        <f t="shared" si="104"/>
        <v>272.29000000000002</v>
      </c>
      <c r="O251" s="15">
        <f t="shared" si="105"/>
        <v>-272.29000000000002</v>
      </c>
      <c r="V251" s="14">
        <f>IF(AB251=1,IF(V250=MiscData!$F$1,EOMONTH(V250,-11),EOMONTH(V250,1)),V250)</f>
        <v>41973</v>
      </c>
      <c r="W251" s="8" t="str">
        <f t="shared" si="106"/>
        <v>20140101LE_951BASE</v>
      </c>
      <c r="X251" s="12" t="str">
        <f t="shared" si="107"/>
        <v xml:space="preserve">20140101LS </v>
      </c>
      <c r="AA251">
        <f>MiscData!$X$5</f>
        <v>20140101</v>
      </c>
      <c r="AB251">
        <f>IF(AB250+1&gt;MiscData!$AF$28,1,AB250+1)</f>
        <v>10</v>
      </c>
      <c r="AC251" t="str">
        <f>VLOOKUP(AB251,MiscData!$AF$5:$AG$28,2,FALSE)</f>
        <v>LE_951BASE</v>
      </c>
      <c r="AD251" t="str">
        <f>VLOOKUP(AB251,MiscData!$AF$5:$AH$28,3,FALSE)</f>
        <v xml:space="preserve">LS </v>
      </c>
    </row>
    <row r="252" spans="1:30">
      <c r="A252" s="8">
        <f t="shared" si="77"/>
        <v>97</v>
      </c>
      <c r="B252" s="14" t="str">
        <f t="shared" si="98"/>
        <v>Nov 2014</v>
      </c>
      <c r="C252" s="24" t="str">
        <f t="shared" si="99"/>
        <v>RLS</v>
      </c>
      <c r="D252" s="24" t="str">
        <f t="shared" si="100"/>
        <v>LE_952BASE</v>
      </c>
      <c r="E252" s="73">
        <f t="shared" si="101"/>
        <v>0</v>
      </c>
      <c r="F252" s="73">
        <v>0</v>
      </c>
      <c r="G252" s="11">
        <f>SUMIF(PoleRates!$E$4:$E$131,$W252,PoleRates!$F$4:$F$131)</f>
        <v>3.56</v>
      </c>
      <c r="H252" s="13">
        <f t="shared" si="102"/>
        <v>0</v>
      </c>
      <c r="I252" s="85">
        <v>0</v>
      </c>
      <c r="J252" s="13">
        <f t="shared" si="97"/>
        <v>0</v>
      </c>
      <c r="K252" s="35">
        <f t="shared" si="74"/>
        <v>0</v>
      </c>
      <c r="L252" s="87">
        <f t="shared" si="103"/>
        <v>1</v>
      </c>
      <c r="M252" s="86">
        <f t="shared" si="75"/>
        <v>0</v>
      </c>
      <c r="N252" s="15">
        <f t="shared" si="104"/>
        <v>0</v>
      </c>
      <c r="O252" s="15">
        <f t="shared" si="105"/>
        <v>0</v>
      </c>
      <c r="V252" s="14">
        <f>IF(AB252=1,IF(V251=MiscData!$F$1,EOMONTH(V251,-11),EOMONTH(V251,1)),V251)</f>
        <v>41973</v>
      </c>
      <c r="W252" s="8" t="str">
        <f t="shared" si="106"/>
        <v>20140101LE_952BASE</v>
      </c>
      <c r="X252" s="12" t="str">
        <f t="shared" si="107"/>
        <v>20140101RLS</v>
      </c>
      <c r="AA252">
        <f>MiscData!$X$5</f>
        <v>20140101</v>
      </c>
      <c r="AB252">
        <f>IF(AB251+1&gt;MiscData!$AF$28,1,AB251+1)</f>
        <v>11</v>
      </c>
      <c r="AC252" t="str">
        <f>VLOOKUP(AB252,MiscData!$AF$5:$AG$28,2,FALSE)</f>
        <v>LE_952BASE</v>
      </c>
      <c r="AD252" t="str">
        <f>VLOOKUP(AB252,MiscData!$AF$5:$AH$28,3,FALSE)</f>
        <v>RLS</v>
      </c>
    </row>
    <row r="253" spans="1:30">
      <c r="A253" s="8">
        <f t="shared" si="77"/>
        <v>97</v>
      </c>
      <c r="B253" s="14" t="str">
        <f t="shared" si="98"/>
        <v>Nov 2014</v>
      </c>
      <c r="C253" s="24" t="str">
        <f t="shared" si="99"/>
        <v xml:space="preserve">LS </v>
      </c>
      <c r="D253" s="24" t="str">
        <f t="shared" si="100"/>
        <v>LE_952BASE</v>
      </c>
      <c r="E253" s="73">
        <f t="shared" si="101"/>
        <v>0</v>
      </c>
      <c r="F253" s="73">
        <v>0</v>
      </c>
      <c r="G253" s="11">
        <f>SUMIF(PoleRates!$E$4:$E$131,$W253,PoleRates!$F$4:$F$131)</f>
        <v>3.56</v>
      </c>
      <c r="H253" s="13">
        <f t="shared" si="102"/>
        <v>0</v>
      </c>
      <c r="I253" s="85">
        <v>0</v>
      </c>
      <c r="J253" s="13">
        <f t="shared" si="97"/>
        <v>0</v>
      </c>
      <c r="K253" s="35">
        <f t="shared" si="74"/>
        <v>0</v>
      </c>
      <c r="L253" s="87">
        <f t="shared" si="103"/>
        <v>1</v>
      </c>
      <c r="M253" s="86">
        <f t="shared" si="75"/>
        <v>0</v>
      </c>
      <c r="N253" s="15">
        <f t="shared" si="104"/>
        <v>0</v>
      </c>
      <c r="O253" s="15">
        <f t="shared" si="105"/>
        <v>0</v>
      </c>
      <c r="V253" s="14">
        <f>IF(AB253=1,IF(V252=MiscData!$F$1,EOMONTH(V252,-11),EOMONTH(V252,1)),V252)</f>
        <v>41973</v>
      </c>
      <c r="W253" s="8" t="str">
        <f t="shared" si="106"/>
        <v>20140101LE_952BASE</v>
      </c>
      <c r="X253" s="12" t="str">
        <f t="shared" si="107"/>
        <v xml:space="preserve">20140101LS </v>
      </c>
      <c r="AA253">
        <f>MiscData!$X$5</f>
        <v>20140101</v>
      </c>
      <c r="AB253">
        <f>IF(AB252+1&gt;MiscData!$AF$28,1,AB252+1)</f>
        <v>12</v>
      </c>
      <c r="AC253" t="str">
        <f>VLOOKUP(AB253,MiscData!$AF$5:$AG$28,2,FALSE)</f>
        <v>LE_952BASE</v>
      </c>
      <c r="AD253" t="str">
        <f>VLOOKUP(AB253,MiscData!$AF$5:$AH$28,3,FALSE)</f>
        <v xml:space="preserve">LS </v>
      </c>
    </row>
    <row r="254" spans="1:30">
      <c r="A254" s="8">
        <f t="shared" si="77"/>
        <v>98</v>
      </c>
      <c r="B254" s="14" t="str">
        <f t="shared" si="98"/>
        <v>Nov 2014</v>
      </c>
      <c r="C254" s="24" t="str">
        <f t="shared" si="99"/>
        <v>RLS</v>
      </c>
      <c r="D254" s="24" t="str">
        <f t="shared" si="100"/>
        <v>LE_953BASE</v>
      </c>
      <c r="E254" s="73">
        <f t="shared" si="101"/>
        <v>0</v>
      </c>
      <c r="F254" s="73">
        <v>0</v>
      </c>
      <c r="G254" s="11">
        <f>SUMIF(PoleRates!$E$4:$E$131,$W254,PoleRates!$F$4:$F$131)</f>
        <v>3.73</v>
      </c>
      <c r="H254" s="13">
        <f t="shared" si="102"/>
        <v>0</v>
      </c>
      <c r="I254" s="85">
        <v>0</v>
      </c>
      <c r="J254" s="13">
        <f t="shared" si="97"/>
        <v>0</v>
      </c>
      <c r="K254" s="35">
        <f t="shared" si="74"/>
        <v>0</v>
      </c>
      <c r="L254" s="87">
        <f t="shared" si="103"/>
        <v>1</v>
      </c>
      <c r="M254" s="86">
        <f t="shared" si="75"/>
        <v>0</v>
      </c>
      <c r="N254" s="15">
        <f t="shared" si="104"/>
        <v>0</v>
      </c>
      <c r="O254" s="15">
        <f t="shared" si="105"/>
        <v>0</v>
      </c>
      <c r="V254" s="14">
        <f>IF(AB254=1,IF(V253=MiscData!$F$1,EOMONTH(V253,-11),EOMONTH(V253,1)),V253)</f>
        <v>41973</v>
      </c>
      <c r="W254" s="8" t="str">
        <f t="shared" si="106"/>
        <v>20140101LE_953BASE</v>
      </c>
      <c r="X254" s="12" t="str">
        <f t="shared" si="107"/>
        <v>20140101RLS</v>
      </c>
      <c r="AA254">
        <f>MiscData!$X$5</f>
        <v>20140101</v>
      </c>
      <c r="AB254">
        <f>IF(AB253+1&gt;MiscData!$AF$28,1,AB253+1)</f>
        <v>13</v>
      </c>
      <c r="AC254" t="str">
        <f>VLOOKUP(AB254,MiscData!$AF$5:$AG$28,2,FALSE)</f>
        <v>LE_953BASE</v>
      </c>
      <c r="AD254" t="str">
        <f>VLOOKUP(AB254,MiscData!$AF$5:$AH$28,3,FALSE)</f>
        <v>RLS</v>
      </c>
    </row>
    <row r="255" spans="1:30">
      <c r="A255" s="8">
        <f t="shared" si="77"/>
        <v>98</v>
      </c>
      <c r="B255" s="14" t="str">
        <f t="shared" si="98"/>
        <v>Nov 2014</v>
      </c>
      <c r="C255" s="24" t="str">
        <f t="shared" si="99"/>
        <v xml:space="preserve">LS </v>
      </c>
      <c r="D255" s="24" t="str">
        <f t="shared" si="100"/>
        <v>LE_953BASE</v>
      </c>
      <c r="E255" s="73">
        <f t="shared" si="101"/>
        <v>0</v>
      </c>
      <c r="F255" s="73">
        <v>0</v>
      </c>
      <c r="G255" s="11">
        <f>SUMIF(PoleRates!$E$4:$E$131,$W255,PoleRates!$F$4:$F$131)</f>
        <v>3.73</v>
      </c>
      <c r="H255" s="13">
        <f t="shared" si="102"/>
        <v>0</v>
      </c>
      <c r="I255" s="85">
        <v>0</v>
      </c>
      <c r="J255" s="13">
        <f t="shared" si="97"/>
        <v>0</v>
      </c>
      <c r="K255" s="35">
        <f t="shared" si="74"/>
        <v>0</v>
      </c>
      <c r="L255" s="87">
        <f t="shared" si="103"/>
        <v>1</v>
      </c>
      <c r="M255" s="86">
        <f t="shared" si="75"/>
        <v>0</v>
      </c>
      <c r="N255" s="15">
        <f t="shared" si="104"/>
        <v>0</v>
      </c>
      <c r="O255" s="15">
        <f t="shared" si="105"/>
        <v>0</v>
      </c>
      <c r="V255" s="14">
        <f>IF(AB255=1,IF(V254=MiscData!$F$1,EOMONTH(V254,-11),EOMONTH(V254,1)),V254)</f>
        <v>41973</v>
      </c>
      <c r="W255" s="8" t="str">
        <f t="shared" si="106"/>
        <v>20140101LE_953BASE</v>
      </c>
      <c r="X255" s="12" t="str">
        <f t="shared" si="107"/>
        <v xml:space="preserve">20140101LS </v>
      </c>
      <c r="AA255">
        <f>MiscData!$X$5</f>
        <v>20140101</v>
      </c>
      <c r="AB255">
        <f>IF(AB254+1&gt;MiscData!$AF$28,1,AB254+1)</f>
        <v>14</v>
      </c>
      <c r="AC255" t="str">
        <f>VLOOKUP(AB255,MiscData!$AF$5:$AG$28,2,FALSE)</f>
        <v>LE_953BASE</v>
      </c>
      <c r="AD255" t="str">
        <f>VLOOKUP(AB255,MiscData!$AF$5:$AH$28,3,FALSE)</f>
        <v xml:space="preserve">LS </v>
      </c>
    </row>
    <row r="256" spans="1:30">
      <c r="A256" s="8">
        <f t="shared" si="77"/>
        <v>99</v>
      </c>
      <c r="B256" s="14" t="str">
        <f t="shared" si="98"/>
        <v>Nov 2014</v>
      </c>
      <c r="C256" s="24" t="str">
        <f t="shared" si="99"/>
        <v>RLS</v>
      </c>
      <c r="D256" s="24" t="str">
        <f t="shared" si="100"/>
        <v>LE_954BASE</v>
      </c>
      <c r="E256" s="73">
        <f t="shared" si="101"/>
        <v>0</v>
      </c>
      <c r="F256" s="73">
        <v>0</v>
      </c>
      <c r="G256" s="11">
        <f>SUMIF(PoleRates!$E$4:$E$131,$W256,PoleRates!$F$4:$F$131)</f>
        <v>3.47</v>
      </c>
      <c r="H256" s="13">
        <f t="shared" si="102"/>
        <v>0</v>
      </c>
      <c r="I256" s="85">
        <v>0</v>
      </c>
      <c r="J256" s="13">
        <f t="shared" si="97"/>
        <v>0</v>
      </c>
      <c r="K256" s="35">
        <f t="shared" si="74"/>
        <v>0</v>
      </c>
      <c r="L256" s="87">
        <f t="shared" si="103"/>
        <v>1</v>
      </c>
      <c r="M256" s="86">
        <f t="shared" si="75"/>
        <v>0</v>
      </c>
      <c r="N256" s="15">
        <f t="shared" si="104"/>
        <v>0</v>
      </c>
      <c r="O256" s="15">
        <f t="shared" si="105"/>
        <v>0</v>
      </c>
      <c r="V256" s="14">
        <f>IF(AB256=1,IF(V255=MiscData!$F$1,EOMONTH(V255,-11),EOMONTH(V255,1)),V255)</f>
        <v>41973</v>
      </c>
      <c r="W256" s="8" t="str">
        <f t="shared" si="106"/>
        <v>20140101LE_954BASE</v>
      </c>
      <c r="X256" s="12" t="str">
        <f t="shared" si="107"/>
        <v>20140101RLS</v>
      </c>
      <c r="AA256">
        <f>MiscData!$X$5</f>
        <v>20140101</v>
      </c>
      <c r="AB256">
        <f>IF(AB255+1&gt;MiscData!$AF$28,1,AB255+1)</f>
        <v>15</v>
      </c>
      <c r="AC256" t="str">
        <f>VLOOKUP(AB256,MiscData!$AF$5:$AG$28,2,FALSE)</f>
        <v>LE_954BASE</v>
      </c>
      <c r="AD256" t="str">
        <f>VLOOKUP(AB256,MiscData!$AF$5:$AH$28,3,FALSE)</f>
        <v>RLS</v>
      </c>
    </row>
    <row r="257" spans="1:30">
      <c r="A257" s="8">
        <f t="shared" si="77"/>
        <v>99</v>
      </c>
      <c r="B257" s="14" t="str">
        <f t="shared" si="98"/>
        <v>Nov 2014</v>
      </c>
      <c r="C257" s="24" t="str">
        <f t="shared" si="99"/>
        <v xml:space="preserve">LS </v>
      </c>
      <c r="D257" s="24" t="str">
        <f t="shared" si="100"/>
        <v>LE_954BASE</v>
      </c>
      <c r="E257" s="73">
        <f t="shared" si="101"/>
        <v>0</v>
      </c>
      <c r="F257" s="73">
        <v>0</v>
      </c>
      <c r="G257" s="11">
        <f>SUMIF(PoleRates!$E$4:$E$131,$W257,PoleRates!$F$4:$F$131)</f>
        <v>3.47</v>
      </c>
      <c r="H257" s="13">
        <f t="shared" si="102"/>
        <v>0</v>
      </c>
      <c r="I257" s="85">
        <v>0</v>
      </c>
      <c r="J257" s="13">
        <f t="shared" si="97"/>
        <v>0</v>
      </c>
      <c r="K257" s="35">
        <f t="shared" si="74"/>
        <v>0</v>
      </c>
      <c r="L257" s="87">
        <f t="shared" si="103"/>
        <v>1</v>
      </c>
      <c r="M257" s="86">
        <f t="shared" si="75"/>
        <v>0</v>
      </c>
      <c r="N257" s="15">
        <f t="shared" si="104"/>
        <v>0</v>
      </c>
      <c r="O257" s="15">
        <f t="shared" si="105"/>
        <v>0</v>
      </c>
      <c r="V257" s="14">
        <f>IF(AB257=1,IF(V256=MiscData!$F$1,EOMONTH(V256,-11),EOMONTH(V256,1)),V256)</f>
        <v>41973</v>
      </c>
      <c r="W257" s="8" t="str">
        <f t="shared" si="106"/>
        <v>20140101LE_954BASE</v>
      </c>
      <c r="X257" s="12" t="str">
        <f t="shared" si="107"/>
        <v xml:space="preserve">20140101LS </v>
      </c>
      <c r="AA257">
        <f>MiscData!$X$5</f>
        <v>20140101</v>
      </c>
      <c r="AB257">
        <f>IF(AB256+1&gt;MiscData!$AF$28,1,AB256+1)</f>
        <v>16</v>
      </c>
      <c r="AC257" t="str">
        <f>VLOOKUP(AB257,MiscData!$AF$5:$AG$28,2,FALSE)</f>
        <v>LE_954BASE</v>
      </c>
      <c r="AD257" t="str">
        <f>VLOOKUP(AB257,MiscData!$AF$5:$AH$28,3,FALSE)</f>
        <v xml:space="preserve">LS </v>
      </c>
    </row>
    <row r="258" spans="1:30">
      <c r="A258" s="8">
        <f>A232+1</f>
        <v>104</v>
      </c>
      <c r="B258" s="14" t="str">
        <f t="shared" si="98"/>
        <v>Nov 2014</v>
      </c>
      <c r="C258" s="24" t="str">
        <f t="shared" si="99"/>
        <v>RLS</v>
      </c>
      <c r="D258" s="24" t="str">
        <f t="shared" si="100"/>
        <v>LE_955BASE</v>
      </c>
      <c r="E258" s="73">
        <f t="shared" si="101"/>
        <v>0</v>
      </c>
      <c r="F258" s="73">
        <v>0</v>
      </c>
      <c r="G258" s="11">
        <f>SUMIF(PoleRates!$E$4:$E$131,$W258,PoleRates!$F$4:$F$131)</f>
        <v>3.56</v>
      </c>
      <c r="H258" s="13">
        <f t="shared" si="102"/>
        <v>0</v>
      </c>
      <c r="I258" s="85">
        <v>0</v>
      </c>
      <c r="J258" s="13">
        <f t="shared" si="97"/>
        <v>0</v>
      </c>
      <c r="K258" s="35">
        <f t="shared" ref="K258:K289" si="108">SUMIFS(L_1051_Revenue_Total,L_1051_Revenue_Month,$B258,L_1051_RateCategory,$D258,L_1051_Light_Category,C258)</f>
        <v>0</v>
      </c>
      <c r="L258" s="87">
        <f t="shared" si="103"/>
        <v>1</v>
      </c>
      <c r="M258" s="86">
        <f t="shared" ref="M258:M289" si="109">SUMIFS(L_1051_Revenue_Total,L_1051_Revenue_Month,$B258,L_1051_RateCategory,$D258,L_1051_Light_Category,C258)</f>
        <v>0</v>
      </c>
      <c r="N258" s="15">
        <f t="shared" si="104"/>
        <v>0</v>
      </c>
      <c r="O258" s="15">
        <f t="shared" si="105"/>
        <v>0</v>
      </c>
      <c r="V258" s="14">
        <f>IF(AB258=1,IF(V249=MiscData!$F$1,EOMONTH(V249,-11),EOMONTH(V249,1)),V249)</f>
        <v>41973</v>
      </c>
      <c r="W258" s="8" t="str">
        <f t="shared" ref="W258:W265" si="110">CONCATENATE(AA258&amp;AC258)</f>
        <v>20140101LE_955BASE</v>
      </c>
      <c r="X258" s="12" t="str">
        <f t="shared" ref="X258:X265" si="111">CONCATENATE(AA258&amp;AD258)</f>
        <v>20140101RLS</v>
      </c>
      <c r="AA258">
        <f>MiscData!$X$5</f>
        <v>20140101</v>
      </c>
      <c r="AB258">
        <f>IF(AB257+1&gt;MiscData!$AF$28,1,AB257+1)</f>
        <v>17</v>
      </c>
      <c r="AC258" t="str">
        <f>VLOOKUP(AB258,MiscData!$AF$5:$AG$28,2,FALSE)</f>
        <v>LE_955BASE</v>
      </c>
      <c r="AD258" t="str">
        <f>VLOOKUP(AB258,MiscData!$AF$5:$AH$28,3,FALSE)</f>
        <v>RLS</v>
      </c>
    </row>
    <row r="259" spans="1:30">
      <c r="A259" s="8">
        <f>A233+1</f>
        <v>104</v>
      </c>
      <c r="B259" s="14" t="str">
        <f t="shared" si="98"/>
        <v>Nov 2014</v>
      </c>
      <c r="C259" s="24" t="str">
        <f t="shared" si="99"/>
        <v xml:space="preserve">LS </v>
      </c>
      <c r="D259" s="24" t="str">
        <f t="shared" si="100"/>
        <v>LE_955BASE</v>
      </c>
      <c r="E259" s="73">
        <f t="shared" si="101"/>
        <v>0</v>
      </c>
      <c r="F259" s="73">
        <v>0</v>
      </c>
      <c r="G259" s="11">
        <f>SUMIF(PoleRates!$E$4:$E$131,$W259,PoleRates!$F$4:$F$131)</f>
        <v>3.56</v>
      </c>
      <c r="H259" s="13">
        <f t="shared" si="102"/>
        <v>0</v>
      </c>
      <c r="I259" s="85">
        <v>0</v>
      </c>
      <c r="J259" s="13">
        <f t="shared" si="97"/>
        <v>0</v>
      </c>
      <c r="K259" s="35">
        <f t="shared" si="108"/>
        <v>0</v>
      </c>
      <c r="L259" s="87">
        <f t="shared" si="103"/>
        <v>1</v>
      </c>
      <c r="M259" s="86">
        <f t="shared" si="109"/>
        <v>0</v>
      </c>
      <c r="N259" s="15">
        <f t="shared" si="104"/>
        <v>0</v>
      </c>
      <c r="O259" s="15">
        <f t="shared" si="105"/>
        <v>0</v>
      </c>
      <c r="V259" s="14">
        <f>IF(AB259=1,IF(V258=MiscData!$F$1,EOMONTH(V258,-11),EOMONTH(V258,1)),V258)</f>
        <v>41973</v>
      </c>
      <c r="W259" s="8" t="str">
        <f t="shared" si="110"/>
        <v>20140101LE_955BASE</v>
      </c>
      <c r="X259" s="12" t="str">
        <f t="shared" si="111"/>
        <v xml:space="preserve">20140101LS </v>
      </c>
      <c r="AA259">
        <f>MiscData!$X$5</f>
        <v>20140101</v>
      </c>
      <c r="AB259">
        <f>IF(AB258+1&gt;MiscData!$AF$28,1,AB258+1)</f>
        <v>18</v>
      </c>
      <c r="AC259" t="str">
        <f>VLOOKUP(AB259,MiscData!$AF$5:$AG$28,2,FALSE)</f>
        <v>LE_955BASE</v>
      </c>
      <c r="AD259" t="str">
        <f>VLOOKUP(AB259,MiscData!$AF$5:$AH$28,3,FALSE)</f>
        <v xml:space="preserve">LS </v>
      </c>
    </row>
    <row r="260" spans="1:30">
      <c r="A260" s="8">
        <f>A226+1</f>
        <v>101</v>
      </c>
      <c r="B260" s="14" t="str">
        <f t="shared" si="98"/>
        <v>Nov 2014</v>
      </c>
      <c r="C260" s="24" t="str">
        <f t="shared" si="99"/>
        <v>RLS</v>
      </c>
      <c r="D260" s="24" t="str">
        <f t="shared" si="100"/>
        <v>LE_956BASE</v>
      </c>
      <c r="E260" s="73">
        <f t="shared" si="101"/>
        <v>239</v>
      </c>
      <c r="F260" s="73">
        <v>0</v>
      </c>
      <c r="G260" s="11">
        <f>SUMIF(PoleRates!$E$4:$E$131,$W260,PoleRates!$F$4:$F$131)</f>
        <v>3.56</v>
      </c>
      <c r="H260" s="13">
        <f t="shared" si="102"/>
        <v>850.84</v>
      </c>
      <c r="I260" s="85">
        <v>0</v>
      </c>
      <c r="J260" s="13">
        <f t="shared" si="97"/>
        <v>850.84</v>
      </c>
      <c r="K260" s="35">
        <f t="shared" si="108"/>
        <v>0</v>
      </c>
      <c r="L260" s="87">
        <f t="shared" si="103"/>
        <v>0</v>
      </c>
      <c r="M260" s="86">
        <f t="shared" si="109"/>
        <v>0</v>
      </c>
      <c r="N260" s="15">
        <f t="shared" si="104"/>
        <v>850.84</v>
      </c>
      <c r="O260" s="15">
        <f t="shared" si="105"/>
        <v>-850.84</v>
      </c>
      <c r="V260" s="14">
        <f>IF(AB260=1,IF(V259=MiscData!$F$1,EOMONTH(V259,-11),EOMONTH(V259,1)),V259)</f>
        <v>41973</v>
      </c>
      <c r="W260" s="8" t="str">
        <f t="shared" si="110"/>
        <v>20140101LE_956BASE</v>
      </c>
      <c r="X260" s="12" t="str">
        <f t="shared" si="111"/>
        <v>20140101RLS</v>
      </c>
      <c r="AA260">
        <f>MiscData!$X$5</f>
        <v>20140101</v>
      </c>
      <c r="AB260">
        <f>IF(AB259+1&gt;MiscData!$AF$28,1,AB259+1)</f>
        <v>19</v>
      </c>
      <c r="AC260" t="str">
        <f>VLOOKUP(AB260,MiscData!$AF$5:$AG$28,2,FALSE)</f>
        <v>LE_956BASE</v>
      </c>
      <c r="AD260" t="str">
        <f>VLOOKUP(AB260,MiscData!$AF$5:$AH$28,3,FALSE)</f>
        <v>RLS</v>
      </c>
    </row>
    <row r="261" spans="1:30">
      <c r="A261" s="8">
        <f>A227+1</f>
        <v>101</v>
      </c>
      <c r="B261" s="14" t="str">
        <f t="shared" si="98"/>
        <v>Nov 2014</v>
      </c>
      <c r="C261" s="24" t="str">
        <f t="shared" si="99"/>
        <v xml:space="preserve">LS </v>
      </c>
      <c r="D261" s="24" t="str">
        <f t="shared" si="100"/>
        <v>LE_956BASE</v>
      </c>
      <c r="E261" s="73">
        <f t="shared" si="101"/>
        <v>287</v>
      </c>
      <c r="F261" s="73">
        <v>0</v>
      </c>
      <c r="G261" s="11">
        <f>SUMIF(PoleRates!$E$4:$E$131,$W261,PoleRates!$F$4:$F$131)</f>
        <v>3.56</v>
      </c>
      <c r="H261" s="13">
        <f t="shared" si="102"/>
        <v>1021.72</v>
      </c>
      <c r="I261" s="85">
        <v>0</v>
      </c>
      <c r="J261" s="13">
        <f t="shared" si="97"/>
        <v>1021.72</v>
      </c>
      <c r="K261" s="35">
        <f t="shared" si="108"/>
        <v>0</v>
      </c>
      <c r="L261" s="87">
        <f t="shared" si="103"/>
        <v>0</v>
      </c>
      <c r="M261" s="86">
        <f t="shared" si="109"/>
        <v>0</v>
      </c>
      <c r="N261" s="15">
        <f t="shared" si="104"/>
        <v>1021.72</v>
      </c>
      <c r="O261" s="15">
        <f t="shared" si="105"/>
        <v>-1021.72</v>
      </c>
      <c r="V261" s="14">
        <f>IF(AB261=1,IF(V260=MiscData!$F$1,EOMONTH(V260,-11),EOMONTH(V260,1)),V260)</f>
        <v>41973</v>
      </c>
      <c r="W261" s="8" t="str">
        <f t="shared" si="110"/>
        <v>20140101LE_956BASE</v>
      </c>
      <c r="X261" s="12" t="str">
        <f t="shared" si="111"/>
        <v xml:space="preserve">20140101LS </v>
      </c>
      <c r="AA261">
        <f>MiscData!$X$5</f>
        <v>20140101</v>
      </c>
      <c r="AB261">
        <f>IF(AB260+1&gt;MiscData!$AF$28,1,AB260+1)</f>
        <v>20</v>
      </c>
      <c r="AC261" t="str">
        <f>VLOOKUP(AB261,MiscData!$AF$5:$AG$28,2,FALSE)</f>
        <v>LE_956BASE</v>
      </c>
      <c r="AD261" t="str">
        <f>VLOOKUP(AB261,MiscData!$AF$5:$AH$28,3,FALSE)</f>
        <v xml:space="preserve">LS </v>
      </c>
    </row>
    <row r="262" spans="1:30">
      <c r="A262" s="8">
        <f t="shared" si="77"/>
        <v>102</v>
      </c>
      <c r="B262" s="14" t="str">
        <f t="shared" si="98"/>
        <v>Nov 2014</v>
      </c>
      <c r="C262" s="24" t="str">
        <f t="shared" si="99"/>
        <v>RLS</v>
      </c>
      <c r="D262" s="24" t="str">
        <f t="shared" si="100"/>
        <v>LE_957BASE</v>
      </c>
      <c r="E262" s="73">
        <f t="shared" si="101"/>
        <v>0</v>
      </c>
      <c r="F262" s="73">
        <v>0</v>
      </c>
      <c r="G262" s="11">
        <f>SUMIF(PoleRates!$E$4:$E$131,$W262,PoleRates!$F$4:$F$131)</f>
        <v>3.56</v>
      </c>
      <c r="H262" s="13">
        <f t="shared" si="102"/>
        <v>0</v>
      </c>
      <c r="I262" s="85">
        <v>0</v>
      </c>
      <c r="J262" s="13">
        <f t="shared" si="97"/>
        <v>0</v>
      </c>
      <c r="K262" s="35">
        <f t="shared" si="108"/>
        <v>0</v>
      </c>
      <c r="L262" s="87">
        <f t="shared" si="103"/>
        <v>1</v>
      </c>
      <c r="M262" s="86">
        <f t="shared" si="109"/>
        <v>0</v>
      </c>
      <c r="N262" s="15">
        <f t="shared" si="104"/>
        <v>0</v>
      </c>
      <c r="O262" s="15">
        <f t="shared" si="105"/>
        <v>0</v>
      </c>
      <c r="V262" s="14">
        <f>IF(AB262=1,IF(V261=MiscData!$F$1,EOMONTH(V261,-11),EOMONTH(V261,1)),V261)</f>
        <v>41973</v>
      </c>
      <c r="W262" s="8" t="str">
        <f t="shared" si="110"/>
        <v>20140101LE_957BASE</v>
      </c>
      <c r="X262" s="12" t="str">
        <f t="shared" si="111"/>
        <v>20140101RLS</v>
      </c>
      <c r="AA262">
        <f>MiscData!$X$5</f>
        <v>20140101</v>
      </c>
      <c r="AB262">
        <f>IF(AB261+1&gt;MiscData!$AF$28,1,AB261+1)</f>
        <v>21</v>
      </c>
      <c r="AC262" t="str">
        <f>VLOOKUP(AB262,MiscData!$AF$5:$AG$28,2,FALSE)</f>
        <v>LE_957BASE</v>
      </c>
      <c r="AD262" t="str">
        <f>VLOOKUP(AB262,MiscData!$AF$5:$AH$28,3,FALSE)</f>
        <v>RLS</v>
      </c>
    </row>
    <row r="263" spans="1:30">
      <c r="A263" s="8">
        <f t="shared" si="77"/>
        <v>102</v>
      </c>
      <c r="B263" s="14" t="str">
        <f t="shared" si="98"/>
        <v>Nov 2014</v>
      </c>
      <c r="C263" s="24" t="str">
        <f t="shared" si="99"/>
        <v xml:space="preserve">LS </v>
      </c>
      <c r="D263" s="24" t="str">
        <f t="shared" si="100"/>
        <v>LE_957BASE</v>
      </c>
      <c r="E263" s="73">
        <f t="shared" si="101"/>
        <v>0</v>
      </c>
      <c r="F263" s="73">
        <v>0</v>
      </c>
      <c r="G263" s="11">
        <f>SUMIF(PoleRates!$E$4:$E$131,$W263,PoleRates!$F$4:$F$131)</f>
        <v>3.56</v>
      </c>
      <c r="H263" s="13">
        <f t="shared" si="102"/>
        <v>0</v>
      </c>
      <c r="I263" s="85">
        <v>0</v>
      </c>
      <c r="J263" s="13">
        <f t="shared" si="97"/>
        <v>0</v>
      </c>
      <c r="K263" s="35">
        <f t="shared" si="108"/>
        <v>0</v>
      </c>
      <c r="L263" s="87">
        <f t="shared" si="103"/>
        <v>1</v>
      </c>
      <c r="M263" s="86">
        <f t="shared" si="109"/>
        <v>0</v>
      </c>
      <c r="N263" s="15">
        <f t="shared" si="104"/>
        <v>0</v>
      </c>
      <c r="O263" s="15">
        <f t="shared" si="105"/>
        <v>0</v>
      </c>
      <c r="V263" s="14">
        <f>IF(AB263=1,IF(V262=MiscData!$F$1,EOMONTH(V262,-11),EOMONTH(V262,1)),V262)</f>
        <v>41973</v>
      </c>
      <c r="W263" s="8" t="str">
        <f t="shared" si="110"/>
        <v>20140101LE_957BASE</v>
      </c>
      <c r="X263" s="12" t="str">
        <f t="shared" si="111"/>
        <v xml:space="preserve">20140101LS </v>
      </c>
      <c r="AA263">
        <f>MiscData!$X$5</f>
        <v>20140101</v>
      </c>
      <c r="AB263">
        <f>IF(AB262+1&gt;MiscData!$AF$28,1,AB262+1)</f>
        <v>22</v>
      </c>
      <c r="AC263" t="str">
        <f>VLOOKUP(AB263,MiscData!$AF$5:$AG$28,2,FALSE)</f>
        <v>LE_957BASE</v>
      </c>
      <c r="AD263" t="str">
        <f>VLOOKUP(AB263,MiscData!$AF$5:$AH$28,3,FALSE)</f>
        <v xml:space="preserve">LS </v>
      </c>
    </row>
    <row r="264" spans="1:30">
      <c r="A264" s="8">
        <f t="shared" si="77"/>
        <v>103</v>
      </c>
      <c r="B264" s="14" t="str">
        <f t="shared" si="98"/>
        <v>Nov 2014</v>
      </c>
      <c r="C264" s="24" t="str">
        <f t="shared" si="99"/>
        <v>RLS</v>
      </c>
      <c r="D264" s="24" t="str">
        <f t="shared" si="100"/>
        <v>LE_958POLE</v>
      </c>
      <c r="E264" s="73">
        <f t="shared" si="101"/>
        <v>37</v>
      </c>
      <c r="F264" s="73">
        <v>0</v>
      </c>
      <c r="G264" s="11">
        <f>SUMIF(PoleRates!$E$4:$E$131,$W264,PoleRates!$F$4:$F$131)</f>
        <v>11.31</v>
      </c>
      <c r="H264" s="13">
        <f t="shared" si="102"/>
        <v>418.47</v>
      </c>
      <c r="I264" s="85">
        <v>0</v>
      </c>
      <c r="J264" s="13">
        <f t="shared" si="97"/>
        <v>418.47</v>
      </c>
      <c r="K264" s="35">
        <f t="shared" si="108"/>
        <v>0</v>
      </c>
      <c r="L264" s="87">
        <f t="shared" si="103"/>
        <v>0</v>
      </c>
      <c r="M264" s="86">
        <f t="shared" si="109"/>
        <v>0</v>
      </c>
      <c r="N264" s="15">
        <f t="shared" si="104"/>
        <v>418.47</v>
      </c>
      <c r="O264" s="15">
        <f t="shared" si="105"/>
        <v>-418.47</v>
      </c>
      <c r="V264" s="14">
        <f>IF(AB264=1,IF(V263=MiscData!$F$1,EOMONTH(V263,-11),EOMONTH(V263,1)),V263)</f>
        <v>41973</v>
      </c>
      <c r="W264" s="8" t="str">
        <f t="shared" si="110"/>
        <v>20140101LE_958POLE</v>
      </c>
      <c r="X264" s="12" t="str">
        <f t="shared" si="111"/>
        <v>20140101RLS</v>
      </c>
      <c r="AA264">
        <f>MiscData!$X$5</f>
        <v>20140101</v>
      </c>
      <c r="AB264">
        <f>IF(AB263+1&gt;MiscData!$AF$28,1,AB263+1)</f>
        <v>23</v>
      </c>
      <c r="AC264" t="str">
        <f>VLOOKUP(AB264,MiscData!$AF$5:$AG$28,2,FALSE)</f>
        <v>LE_958POLE</v>
      </c>
      <c r="AD264" t="str">
        <f>VLOOKUP(AB264,MiscData!$AF$5:$AH$28,3,FALSE)</f>
        <v>RLS</v>
      </c>
    </row>
    <row r="265" spans="1:30">
      <c r="A265" s="8">
        <f t="shared" si="77"/>
        <v>103</v>
      </c>
      <c r="B265" s="14" t="str">
        <f t="shared" si="98"/>
        <v>Nov 2014</v>
      </c>
      <c r="C265" s="24" t="str">
        <f t="shared" si="99"/>
        <v xml:space="preserve">LS </v>
      </c>
      <c r="D265" s="24" t="str">
        <f t="shared" si="100"/>
        <v>LE_958POLE</v>
      </c>
      <c r="E265" s="73">
        <f t="shared" si="101"/>
        <v>426</v>
      </c>
      <c r="F265" s="73">
        <v>0</v>
      </c>
      <c r="G265" s="11">
        <f>SUMIF(PoleRates!$E$4:$E$131,$W265,PoleRates!$F$4:$F$131)</f>
        <v>11.31</v>
      </c>
      <c r="H265" s="13">
        <f t="shared" si="102"/>
        <v>4818.0600000000004</v>
      </c>
      <c r="I265" s="85">
        <v>0</v>
      </c>
      <c r="J265" s="13">
        <f t="shared" si="97"/>
        <v>4818.0600000000004</v>
      </c>
      <c r="K265" s="35">
        <f t="shared" si="108"/>
        <v>0</v>
      </c>
      <c r="L265" s="87">
        <f t="shared" si="103"/>
        <v>0</v>
      </c>
      <c r="M265" s="86">
        <f t="shared" si="109"/>
        <v>0</v>
      </c>
      <c r="N265" s="15">
        <f t="shared" si="104"/>
        <v>4818.0600000000004</v>
      </c>
      <c r="O265" s="15">
        <f t="shared" si="105"/>
        <v>-4818.0600000000004</v>
      </c>
      <c r="V265" s="14">
        <f>IF(AB265=1,IF(V264=MiscData!$F$1,EOMONTH(V264,-11),EOMONTH(V264,1)),V264)</f>
        <v>41973</v>
      </c>
      <c r="W265" s="8" t="str">
        <f t="shared" si="110"/>
        <v>20140101LE_958POLE</v>
      </c>
      <c r="X265" s="12" t="str">
        <f t="shared" si="111"/>
        <v xml:space="preserve">20140101LS </v>
      </c>
      <c r="AA265">
        <f>MiscData!$X$5</f>
        <v>20140101</v>
      </c>
      <c r="AB265">
        <f>IF(AB264+1&gt;MiscData!$AF$28,1,AB264+1)</f>
        <v>24</v>
      </c>
      <c r="AC265" t="str">
        <f>VLOOKUP(AB265,MiscData!$AF$5:$AG$28,2,FALSE)</f>
        <v>LE_958POLE</v>
      </c>
      <c r="AD265" t="str">
        <f>VLOOKUP(AB265,MiscData!$AF$5:$AH$28,3,FALSE)</f>
        <v xml:space="preserve">LS </v>
      </c>
    </row>
    <row r="266" spans="1:30">
      <c r="A266" s="8">
        <f>A240+1</f>
        <v>104</v>
      </c>
      <c r="B266" s="14" t="str">
        <f t="shared" si="87"/>
        <v>Dec 2014</v>
      </c>
      <c r="C266" s="24" t="str">
        <f t="shared" si="88"/>
        <v>RLS</v>
      </c>
      <c r="D266" s="24" t="str">
        <f t="shared" si="89"/>
        <v>LE_900POLE</v>
      </c>
      <c r="E266" s="73">
        <f t="shared" si="90"/>
        <v>1677</v>
      </c>
      <c r="F266" s="73">
        <v>0</v>
      </c>
      <c r="G266" s="11">
        <f>SUMIF(PoleRates!$E$4:$E$131,$W266,PoleRates!$F$4:$F$131)</f>
        <v>2.06</v>
      </c>
      <c r="H266" s="13">
        <f t="shared" si="91"/>
        <v>3454.62</v>
      </c>
      <c r="I266" s="85">
        <v>0</v>
      </c>
      <c r="J266" s="13">
        <f t="shared" si="97"/>
        <v>3454.62</v>
      </c>
      <c r="K266" s="35">
        <f t="shared" si="108"/>
        <v>0</v>
      </c>
      <c r="L266" s="87">
        <f t="shared" si="92"/>
        <v>0</v>
      </c>
      <c r="M266" s="86">
        <f t="shared" si="109"/>
        <v>0</v>
      </c>
      <c r="N266" s="15">
        <f t="shared" si="93"/>
        <v>3454.62</v>
      </c>
      <c r="O266" s="15">
        <f t="shared" si="94"/>
        <v>-3454.62</v>
      </c>
      <c r="V266" s="14">
        <f>IF(AB266=1,IF(V257=MiscData!$F$1,EOMONTH(V257,-11),EOMONTH(V257,1)),V257)</f>
        <v>42004</v>
      </c>
      <c r="W266" s="8" t="str">
        <f t="shared" si="106"/>
        <v>20140101LE_900POLE</v>
      </c>
      <c r="X266" s="12" t="str">
        <f t="shared" si="107"/>
        <v>20140101RLS</v>
      </c>
      <c r="AA266">
        <f>MiscData!$X$5</f>
        <v>20140101</v>
      </c>
      <c r="AB266">
        <f>IF(AB265+1&gt;MiscData!$AF$28,1,AB265+1)</f>
        <v>1</v>
      </c>
      <c r="AC266" t="str">
        <f>VLOOKUP(AB266,MiscData!$AF$5:$AG$28,2,FALSE)</f>
        <v>LE_900POLE</v>
      </c>
      <c r="AD266" t="str">
        <f>VLOOKUP(AB266,MiscData!$AF$5:$AH$28,3,FALSE)</f>
        <v>RLS</v>
      </c>
    </row>
    <row r="267" spans="1:30">
      <c r="A267" s="8">
        <f>A241+1</f>
        <v>104</v>
      </c>
      <c r="B267" s="14" t="str">
        <f t="shared" si="87"/>
        <v>Dec 2014</v>
      </c>
      <c r="C267" s="24" t="str">
        <f t="shared" si="88"/>
        <v xml:space="preserve">LS </v>
      </c>
      <c r="D267" s="24" t="str">
        <f t="shared" si="89"/>
        <v>LE_900POLE</v>
      </c>
      <c r="E267" s="73">
        <f t="shared" si="90"/>
        <v>5238</v>
      </c>
      <c r="F267" s="73">
        <v>0</v>
      </c>
      <c r="G267" s="11">
        <f>SUMIF(PoleRates!$E$4:$E$131,$W267,PoleRates!$F$4:$F$131)</f>
        <v>2.06</v>
      </c>
      <c r="H267" s="13">
        <f t="shared" si="91"/>
        <v>10790.28</v>
      </c>
      <c r="I267" s="85">
        <v>0</v>
      </c>
      <c r="J267" s="13">
        <f t="shared" si="97"/>
        <v>10790.28</v>
      </c>
      <c r="K267" s="35">
        <f t="shared" si="108"/>
        <v>0</v>
      </c>
      <c r="L267" s="87">
        <f t="shared" si="92"/>
        <v>0</v>
      </c>
      <c r="M267" s="86">
        <f t="shared" si="109"/>
        <v>0</v>
      </c>
      <c r="N267" s="15">
        <f t="shared" si="93"/>
        <v>10790.28</v>
      </c>
      <c r="O267" s="15">
        <f t="shared" si="94"/>
        <v>-10790.28</v>
      </c>
      <c r="V267" s="14">
        <f>IF(AB267=1,IF(V266=MiscData!$F$1,EOMONTH(V266,-11),EOMONTH(V266,1)),V266)</f>
        <v>42004</v>
      </c>
      <c r="W267" s="8" t="str">
        <f t="shared" si="106"/>
        <v>20140101LE_900POLE</v>
      </c>
      <c r="X267" s="12" t="str">
        <f t="shared" si="107"/>
        <v xml:space="preserve">20140101LS </v>
      </c>
      <c r="AA267">
        <f>MiscData!$X$5</f>
        <v>20140101</v>
      </c>
      <c r="AB267">
        <f>IF(AB266+1&gt;MiscData!$AF$28,1,AB266+1)</f>
        <v>2</v>
      </c>
      <c r="AC267" t="str">
        <f>VLOOKUP(AB267,MiscData!$AF$5:$AG$28,2,FALSE)</f>
        <v>LE_900POLE</v>
      </c>
      <c r="AD267" t="str">
        <f>VLOOKUP(AB267,MiscData!$AF$5:$AH$28,3,FALSE)</f>
        <v xml:space="preserve">LS </v>
      </c>
    </row>
    <row r="268" spans="1:30">
      <c r="A268" s="8">
        <f>A234+1</f>
        <v>105</v>
      </c>
      <c r="B268" s="14" t="str">
        <f t="shared" si="78"/>
        <v>Dec 2014</v>
      </c>
      <c r="C268" s="24" t="str">
        <f t="shared" si="79"/>
        <v>RLS</v>
      </c>
      <c r="D268" s="24" t="str">
        <f t="shared" si="80"/>
        <v>LE_901POLE</v>
      </c>
      <c r="E268" s="73">
        <f t="shared" si="47"/>
        <v>157</v>
      </c>
      <c r="F268" s="73">
        <v>0</v>
      </c>
      <c r="G268" s="11">
        <f>SUMIF(PoleRates!$E$4:$E$131,$W268,PoleRates!$F$4:$F$131)</f>
        <v>10.81</v>
      </c>
      <c r="H268" s="13">
        <f t="shared" si="81"/>
        <v>1697.17</v>
      </c>
      <c r="I268" s="85">
        <v>0</v>
      </c>
      <c r="J268" s="13">
        <f t="shared" si="97"/>
        <v>1697.17</v>
      </c>
      <c r="K268" s="35">
        <f t="shared" si="108"/>
        <v>0</v>
      </c>
      <c r="L268" s="87">
        <f t="shared" si="82"/>
        <v>0</v>
      </c>
      <c r="M268" s="86">
        <f t="shared" si="109"/>
        <v>0</v>
      </c>
      <c r="N268" s="15">
        <f t="shared" si="83"/>
        <v>1697.17</v>
      </c>
      <c r="O268" s="15">
        <f t="shared" si="84"/>
        <v>-1697.17</v>
      </c>
      <c r="V268" s="14">
        <f>IF(AB268=1,IF(V267=MiscData!$F$1,EOMONTH(V267,-11),EOMONTH(V267,1)),V267)</f>
        <v>42004</v>
      </c>
      <c r="W268" s="8" t="str">
        <f t="shared" si="106"/>
        <v>20140101LE_901POLE</v>
      </c>
      <c r="X268" s="12" t="str">
        <f t="shared" si="107"/>
        <v>20140101RLS</v>
      </c>
      <c r="AA268">
        <f>MiscData!$X$5</f>
        <v>20140101</v>
      </c>
      <c r="AB268">
        <f>IF(AB267+1&gt;MiscData!$AF$28,1,AB267+1)</f>
        <v>3</v>
      </c>
      <c r="AC268" t="str">
        <f>VLOOKUP(AB268,MiscData!$AF$5:$AG$28,2,FALSE)</f>
        <v>LE_901POLE</v>
      </c>
      <c r="AD268" t="str">
        <f>VLOOKUP(AB268,MiscData!$AF$5:$AH$28,3,FALSE)</f>
        <v>RLS</v>
      </c>
    </row>
    <row r="269" spans="1:30">
      <c r="A269" s="8">
        <f>A235+1</f>
        <v>105</v>
      </c>
      <c r="B269" s="14" t="str">
        <f t="shared" si="78"/>
        <v>Dec 2014</v>
      </c>
      <c r="C269" s="24" t="str">
        <f t="shared" si="79"/>
        <v xml:space="preserve">LS </v>
      </c>
      <c r="D269" s="24" t="str">
        <f t="shared" si="80"/>
        <v>LE_901POLE</v>
      </c>
      <c r="E269" s="73">
        <f t="shared" si="47"/>
        <v>0</v>
      </c>
      <c r="F269" s="73">
        <v>0</v>
      </c>
      <c r="G269" s="11">
        <f>SUMIF(PoleRates!$E$4:$E$131,$W269,PoleRates!$F$4:$F$131)</f>
        <v>10.81</v>
      </c>
      <c r="H269" s="13">
        <f t="shared" si="81"/>
        <v>0</v>
      </c>
      <c r="I269" s="85">
        <v>0</v>
      </c>
      <c r="J269" s="13">
        <f t="shared" si="97"/>
        <v>0</v>
      </c>
      <c r="K269" s="35">
        <f t="shared" si="108"/>
        <v>0</v>
      </c>
      <c r="L269" s="87">
        <f t="shared" si="82"/>
        <v>1</v>
      </c>
      <c r="M269" s="86">
        <f t="shared" si="109"/>
        <v>0</v>
      </c>
      <c r="N269" s="15">
        <f t="shared" si="83"/>
        <v>0</v>
      </c>
      <c r="O269" s="15">
        <f t="shared" si="84"/>
        <v>0</v>
      </c>
      <c r="V269" s="14">
        <f>IF(AB269=1,IF(V268=MiscData!$F$1,EOMONTH(V268,-11),EOMONTH(V268,1)),V268)</f>
        <v>42004</v>
      </c>
      <c r="W269" s="8" t="str">
        <f t="shared" si="106"/>
        <v>20140101LE_901POLE</v>
      </c>
      <c r="X269" s="12" t="str">
        <f t="shared" si="107"/>
        <v xml:space="preserve">20140101LS </v>
      </c>
      <c r="AA269">
        <f>MiscData!$X$5</f>
        <v>20140101</v>
      </c>
      <c r="AB269">
        <f>IF(AB268+1&gt;MiscData!$AF$28,1,AB268+1)</f>
        <v>4</v>
      </c>
      <c r="AC269" t="str">
        <f>VLOOKUP(AB269,MiscData!$AF$5:$AG$28,2,FALSE)</f>
        <v>LE_901POLE</v>
      </c>
      <c r="AD269" t="str">
        <f>VLOOKUP(AB269,MiscData!$AF$5:$AH$28,3,FALSE)</f>
        <v xml:space="preserve">LS </v>
      </c>
    </row>
    <row r="270" spans="1:30">
      <c r="A270" s="8">
        <f t="shared" si="77"/>
        <v>106</v>
      </c>
      <c r="B270" s="14" t="str">
        <f t="shared" si="78"/>
        <v>Dec 2014</v>
      </c>
      <c r="C270" s="24" t="str">
        <f t="shared" si="79"/>
        <v>RLS</v>
      </c>
      <c r="D270" s="24" t="str">
        <f t="shared" si="80"/>
        <v>LE_902POLE</v>
      </c>
      <c r="E270" s="73">
        <f t="shared" si="47"/>
        <v>277</v>
      </c>
      <c r="F270" s="73">
        <v>0</v>
      </c>
      <c r="G270" s="11">
        <f>SUMIF(PoleRates!$E$4:$E$131,$W270,PoleRates!$F$4:$F$131)</f>
        <v>12.9</v>
      </c>
      <c r="H270" s="13">
        <f t="shared" si="81"/>
        <v>3573.3</v>
      </c>
      <c r="I270" s="85">
        <v>0</v>
      </c>
      <c r="J270" s="13">
        <f t="shared" si="97"/>
        <v>3573.3</v>
      </c>
      <c r="K270" s="35">
        <f t="shared" si="108"/>
        <v>0</v>
      </c>
      <c r="L270" s="87">
        <f t="shared" si="82"/>
        <v>0</v>
      </c>
      <c r="M270" s="86">
        <f t="shared" si="109"/>
        <v>0</v>
      </c>
      <c r="N270" s="15">
        <f t="shared" si="83"/>
        <v>3573.3</v>
      </c>
      <c r="O270" s="15">
        <f t="shared" si="84"/>
        <v>-3573.3</v>
      </c>
      <c r="V270" s="14">
        <f>IF(AB270=1,IF(V269=MiscData!$F$1,EOMONTH(V269,-11),EOMONTH(V269,1)),V269)</f>
        <v>42004</v>
      </c>
      <c r="W270" s="8" t="str">
        <f t="shared" si="106"/>
        <v>20140101LE_902POLE</v>
      </c>
      <c r="X270" s="12" t="str">
        <f t="shared" si="107"/>
        <v>20140101RLS</v>
      </c>
      <c r="AA270">
        <f>MiscData!$X$5</f>
        <v>20140101</v>
      </c>
      <c r="AB270">
        <f>IF(AB269+1&gt;MiscData!$AF$28,1,AB269+1)</f>
        <v>5</v>
      </c>
      <c r="AC270" t="str">
        <f>VLOOKUP(AB270,MiscData!$AF$5:$AG$28,2,FALSE)</f>
        <v>LE_902POLE</v>
      </c>
      <c r="AD270" t="str">
        <f>VLOOKUP(AB270,MiscData!$AF$5:$AH$28,3,FALSE)</f>
        <v>RLS</v>
      </c>
    </row>
    <row r="271" spans="1:30">
      <c r="A271" s="8">
        <f t="shared" si="77"/>
        <v>106</v>
      </c>
      <c r="B271" s="14" t="str">
        <f t="shared" si="78"/>
        <v>Dec 2014</v>
      </c>
      <c r="C271" s="24" t="str">
        <f t="shared" si="79"/>
        <v xml:space="preserve">LS </v>
      </c>
      <c r="D271" s="24" t="str">
        <f t="shared" si="80"/>
        <v>LE_902POLE</v>
      </c>
      <c r="E271" s="73">
        <f t="shared" si="47"/>
        <v>3</v>
      </c>
      <c r="F271" s="73">
        <v>0</v>
      </c>
      <c r="G271" s="11">
        <f>SUMIF(PoleRates!$E$4:$E$131,$W271,PoleRates!$F$4:$F$131)</f>
        <v>12.9</v>
      </c>
      <c r="H271" s="13">
        <f t="shared" si="81"/>
        <v>38.700000000000003</v>
      </c>
      <c r="I271" s="85">
        <v>0</v>
      </c>
      <c r="J271" s="13">
        <f t="shared" si="97"/>
        <v>38.700000000000003</v>
      </c>
      <c r="K271" s="35">
        <f t="shared" si="108"/>
        <v>0</v>
      </c>
      <c r="L271" s="87">
        <f t="shared" si="82"/>
        <v>0</v>
      </c>
      <c r="M271" s="86">
        <f t="shared" si="109"/>
        <v>0</v>
      </c>
      <c r="N271" s="15">
        <f t="shared" si="83"/>
        <v>38.700000000000003</v>
      </c>
      <c r="O271" s="15">
        <f t="shared" si="84"/>
        <v>-38.700000000000003</v>
      </c>
      <c r="V271" s="14">
        <f>IF(AB271=1,IF(V270=MiscData!$F$1,EOMONTH(V270,-11),EOMONTH(V270,1)),V270)</f>
        <v>42004</v>
      </c>
      <c r="W271" s="8" t="str">
        <f t="shared" si="106"/>
        <v>20140101LE_902POLE</v>
      </c>
      <c r="X271" s="12" t="str">
        <f t="shared" si="107"/>
        <v xml:space="preserve">20140101LS </v>
      </c>
      <c r="AA271">
        <f>MiscData!$X$5</f>
        <v>20140101</v>
      </c>
      <c r="AB271">
        <f>IF(AB270+1&gt;MiscData!$AF$28,1,AB270+1)</f>
        <v>6</v>
      </c>
      <c r="AC271" t="str">
        <f>VLOOKUP(AB271,MiscData!$AF$5:$AG$28,2,FALSE)</f>
        <v>LE_902POLE</v>
      </c>
      <c r="AD271" t="str">
        <f>VLOOKUP(AB271,MiscData!$AF$5:$AH$28,3,FALSE)</f>
        <v xml:space="preserve">LS </v>
      </c>
    </row>
    <row r="272" spans="1:30">
      <c r="A272" s="8">
        <f t="shared" si="77"/>
        <v>107</v>
      </c>
      <c r="B272" s="14" t="str">
        <f t="shared" si="78"/>
        <v>Dec 2014</v>
      </c>
      <c r="C272" s="24" t="str">
        <f t="shared" si="79"/>
        <v>RLS</v>
      </c>
      <c r="D272" s="24" t="str">
        <f t="shared" si="80"/>
        <v>LE_950BASE</v>
      </c>
      <c r="E272" s="73">
        <f t="shared" si="47"/>
        <v>77</v>
      </c>
      <c r="F272" s="73">
        <v>0</v>
      </c>
      <c r="G272" s="11">
        <f>SUMIF(PoleRates!$E$4:$E$131,$W272,PoleRates!$F$4:$F$131)</f>
        <v>3.47</v>
      </c>
      <c r="H272" s="13">
        <f t="shared" si="81"/>
        <v>267.19</v>
      </c>
      <c r="I272" s="85">
        <v>0</v>
      </c>
      <c r="J272" s="13">
        <f t="shared" si="97"/>
        <v>267.19</v>
      </c>
      <c r="K272" s="35">
        <f t="shared" si="108"/>
        <v>0</v>
      </c>
      <c r="L272" s="87">
        <f t="shared" si="82"/>
        <v>0</v>
      </c>
      <c r="M272" s="86">
        <f t="shared" si="109"/>
        <v>0</v>
      </c>
      <c r="N272" s="15">
        <f t="shared" si="83"/>
        <v>267.19</v>
      </c>
      <c r="O272" s="15">
        <f t="shared" si="84"/>
        <v>-267.19</v>
      </c>
      <c r="V272" s="14">
        <f>IF(AB272=1,IF(V271=MiscData!$F$1,EOMONTH(V271,-11),EOMONTH(V271,1)),V271)</f>
        <v>42004</v>
      </c>
      <c r="W272" s="8" t="str">
        <f t="shared" si="106"/>
        <v>20140101LE_950BASE</v>
      </c>
      <c r="X272" s="12" t="str">
        <f t="shared" si="107"/>
        <v>20140101RLS</v>
      </c>
      <c r="AA272">
        <f>MiscData!$X$5</f>
        <v>20140101</v>
      </c>
      <c r="AB272">
        <f>IF(AB271+1&gt;MiscData!$AF$28,1,AB271+1)</f>
        <v>7</v>
      </c>
      <c r="AC272" t="str">
        <f>VLOOKUP(AB272,MiscData!$AF$5:$AG$28,2,FALSE)</f>
        <v>LE_950BASE</v>
      </c>
      <c r="AD272" t="str">
        <f>VLOOKUP(AB272,MiscData!$AF$5:$AH$28,3,FALSE)</f>
        <v>RLS</v>
      </c>
    </row>
    <row r="273" spans="1:30">
      <c r="A273" s="8">
        <f t="shared" si="77"/>
        <v>107</v>
      </c>
      <c r="B273" s="14" t="str">
        <f t="shared" si="78"/>
        <v>Dec 2014</v>
      </c>
      <c r="C273" s="24" t="str">
        <f t="shared" si="79"/>
        <v xml:space="preserve">LS </v>
      </c>
      <c r="D273" s="24" t="str">
        <f t="shared" si="80"/>
        <v>LE_950BASE</v>
      </c>
      <c r="E273" s="73">
        <f t="shared" si="47"/>
        <v>13</v>
      </c>
      <c r="F273" s="73">
        <v>0</v>
      </c>
      <c r="G273" s="11">
        <f>SUMIF(PoleRates!$E$4:$E$131,$W273,PoleRates!$F$4:$F$131)</f>
        <v>3.47</v>
      </c>
      <c r="H273" s="13">
        <f t="shared" si="81"/>
        <v>45.11</v>
      </c>
      <c r="I273" s="85">
        <v>0</v>
      </c>
      <c r="J273" s="13">
        <f t="shared" si="97"/>
        <v>45.11</v>
      </c>
      <c r="K273" s="35">
        <f t="shared" si="108"/>
        <v>0</v>
      </c>
      <c r="L273" s="87">
        <f t="shared" si="82"/>
        <v>0</v>
      </c>
      <c r="M273" s="86">
        <f t="shared" si="109"/>
        <v>0</v>
      </c>
      <c r="N273" s="15">
        <f t="shared" si="83"/>
        <v>45.11</v>
      </c>
      <c r="O273" s="15">
        <f t="shared" si="84"/>
        <v>-45.11</v>
      </c>
      <c r="V273" s="14">
        <f>IF(AB273=1,IF(V272=MiscData!$F$1,EOMONTH(V272,-11),EOMONTH(V272,1)),V272)</f>
        <v>42004</v>
      </c>
      <c r="W273" s="8" t="str">
        <f t="shared" si="106"/>
        <v>20140101LE_950BASE</v>
      </c>
      <c r="X273" s="12" t="str">
        <f t="shared" si="107"/>
        <v xml:space="preserve">20140101LS </v>
      </c>
      <c r="AA273">
        <f>MiscData!$X$5</f>
        <v>20140101</v>
      </c>
      <c r="AB273">
        <f>IF(AB272+1&gt;MiscData!$AF$28,1,AB272+1)</f>
        <v>8</v>
      </c>
      <c r="AC273" t="str">
        <f>VLOOKUP(AB273,MiscData!$AF$5:$AG$28,2,FALSE)</f>
        <v>LE_950BASE</v>
      </c>
      <c r="AD273" t="str">
        <f>VLOOKUP(AB273,MiscData!$AF$5:$AH$28,3,FALSE)</f>
        <v xml:space="preserve">LS </v>
      </c>
    </row>
    <row r="274" spans="1:30">
      <c r="A274" s="8">
        <f t="shared" si="77"/>
        <v>108</v>
      </c>
      <c r="B274" s="14" t="str">
        <f t="shared" si="78"/>
        <v>Dec 2014</v>
      </c>
      <c r="C274" s="24" t="str">
        <f t="shared" si="79"/>
        <v>RLS</v>
      </c>
      <c r="D274" s="24" t="str">
        <f t="shared" si="80"/>
        <v>LE_951BASE</v>
      </c>
      <c r="E274" s="73">
        <f t="shared" si="47"/>
        <v>195</v>
      </c>
      <c r="F274" s="73">
        <v>0</v>
      </c>
      <c r="G274" s="11">
        <f>SUMIF(PoleRates!$E$4:$E$131,$W274,PoleRates!$F$4:$F$131)</f>
        <v>3.73</v>
      </c>
      <c r="H274" s="13">
        <f t="shared" si="81"/>
        <v>727.35</v>
      </c>
      <c r="I274" s="85">
        <v>0</v>
      </c>
      <c r="J274" s="13">
        <f t="shared" si="97"/>
        <v>727.35</v>
      </c>
      <c r="K274" s="35">
        <f t="shared" si="108"/>
        <v>0</v>
      </c>
      <c r="L274" s="87">
        <f t="shared" si="82"/>
        <v>0</v>
      </c>
      <c r="M274" s="86">
        <f t="shared" si="109"/>
        <v>0</v>
      </c>
      <c r="N274" s="15">
        <f t="shared" si="83"/>
        <v>727.35</v>
      </c>
      <c r="O274" s="15">
        <f t="shared" si="84"/>
        <v>-727.35</v>
      </c>
      <c r="V274" s="14">
        <f>IF(AB274=1,IF(V273=MiscData!$F$1,EOMONTH(V273,-11),EOMONTH(V273,1)),V273)</f>
        <v>42004</v>
      </c>
      <c r="W274" s="8" t="str">
        <f t="shared" si="106"/>
        <v>20140101LE_951BASE</v>
      </c>
      <c r="X274" s="12" t="str">
        <f t="shared" si="107"/>
        <v>20140101RLS</v>
      </c>
      <c r="AA274">
        <f>MiscData!$X$5</f>
        <v>20140101</v>
      </c>
      <c r="AB274">
        <f>IF(AB273+1&gt;MiscData!$AF$28,1,AB273+1)</f>
        <v>9</v>
      </c>
      <c r="AC274" t="str">
        <f>VLOOKUP(AB274,MiscData!$AF$5:$AG$28,2,FALSE)</f>
        <v>LE_951BASE</v>
      </c>
      <c r="AD274" t="str">
        <f>VLOOKUP(AB274,MiscData!$AF$5:$AH$28,3,FALSE)</f>
        <v>RLS</v>
      </c>
    </row>
    <row r="275" spans="1:30">
      <c r="A275" s="8">
        <f t="shared" si="77"/>
        <v>108</v>
      </c>
      <c r="B275" s="14" t="str">
        <f t="shared" si="78"/>
        <v>Dec 2014</v>
      </c>
      <c r="C275" s="24" t="str">
        <f t="shared" si="79"/>
        <v xml:space="preserve">LS </v>
      </c>
      <c r="D275" s="24" t="str">
        <f t="shared" si="80"/>
        <v>LE_951BASE</v>
      </c>
      <c r="E275" s="73">
        <f t="shared" si="47"/>
        <v>73</v>
      </c>
      <c r="F275" s="73">
        <v>0</v>
      </c>
      <c r="G275" s="11">
        <f>SUMIF(PoleRates!$E$4:$E$131,$W275,PoleRates!$F$4:$F$131)</f>
        <v>3.73</v>
      </c>
      <c r="H275" s="13">
        <f t="shared" si="81"/>
        <v>272.29000000000002</v>
      </c>
      <c r="I275" s="85">
        <v>0</v>
      </c>
      <c r="J275" s="13">
        <f t="shared" si="97"/>
        <v>272.29000000000002</v>
      </c>
      <c r="K275" s="35">
        <f t="shared" si="108"/>
        <v>0</v>
      </c>
      <c r="L275" s="87">
        <f t="shared" si="82"/>
        <v>0</v>
      </c>
      <c r="M275" s="86">
        <f t="shared" si="109"/>
        <v>0</v>
      </c>
      <c r="N275" s="15">
        <f t="shared" si="83"/>
        <v>272.29000000000002</v>
      </c>
      <c r="O275" s="15">
        <f t="shared" si="84"/>
        <v>-272.29000000000002</v>
      </c>
      <c r="V275" s="14">
        <f>IF(AB275=1,IF(V274=MiscData!$F$1,EOMONTH(V274,-11),EOMONTH(V274,1)),V274)</f>
        <v>42004</v>
      </c>
      <c r="W275" s="8" t="str">
        <f t="shared" si="106"/>
        <v>20140101LE_951BASE</v>
      </c>
      <c r="X275" s="12" t="str">
        <f t="shared" si="107"/>
        <v xml:space="preserve">20140101LS </v>
      </c>
      <c r="AA275">
        <f>MiscData!$X$5</f>
        <v>20140101</v>
      </c>
      <c r="AB275">
        <f>IF(AB274+1&gt;MiscData!$AF$28,1,AB274+1)</f>
        <v>10</v>
      </c>
      <c r="AC275" t="str">
        <f>VLOOKUP(AB275,MiscData!$AF$5:$AG$28,2,FALSE)</f>
        <v>LE_951BASE</v>
      </c>
      <c r="AD275" t="str">
        <f>VLOOKUP(AB275,MiscData!$AF$5:$AH$28,3,FALSE)</f>
        <v xml:space="preserve">LS </v>
      </c>
    </row>
    <row r="276" spans="1:30">
      <c r="A276" s="8">
        <f t="shared" si="77"/>
        <v>109</v>
      </c>
      <c r="B276" s="14" t="str">
        <f t="shared" si="24"/>
        <v>Dec 2014</v>
      </c>
      <c r="C276" s="24" t="str">
        <f t="shared" si="28"/>
        <v>RLS</v>
      </c>
      <c r="D276" s="24" t="str">
        <f t="shared" si="29"/>
        <v>LE_952BASE</v>
      </c>
      <c r="E276" s="73">
        <f t="shared" si="47"/>
        <v>0</v>
      </c>
      <c r="F276" s="73">
        <v>0</v>
      </c>
      <c r="G276" s="11">
        <f>SUMIF(PoleRates!$E$4:$E$131,$W276,PoleRates!$F$4:$F$131)</f>
        <v>3.56</v>
      </c>
      <c r="H276" s="13">
        <f t="shared" si="17"/>
        <v>0</v>
      </c>
      <c r="I276" s="85">
        <v>0</v>
      </c>
      <c r="J276" s="13">
        <f t="shared" si="97"/>
        <v>0</v>
      </c>
      <c r="K276" s="35">
        <f t="shared" si="108"/>
        <v>0</v>
      </c>
      <c r="L276" s="87">
        <f t="shared" si="19"/>
        <v>1</v>
      </c>
      <c r="M276" s="86">
        <f t="shared" si="109"/>
        <v>0</v>
      </c>
      <c r="N276" s="15">
        <f t="shared" si="31"/>
        <v>0</v>
      </c>
      <c r="O276" s="15">
        <f t="shared" si="30"/>
        <v>0</v>
      </c>
      <c r="V276" s="14">
        <f>IF(AB276=1,IF(V275=MiscData!$F$1,EOMONTH(V275,-11),EOMONTH(V275,1)),V275)</f>
        <v>42004</v>
      </c>
      <c r="W276" s="8" t="str">
        <f t="shared" si="106"/>
        <v>20140101LE_952BASE</v>
      </c>
      <c r="X276" s="12" t="str">
        <f t="shared" si="107"/>
        <v>20140101RLS</v>
      </c>
      <c r="AA276">
        <f>MiscData!$X$5</f>
        <v>20140101</v>
      </c>
      <c r="AB276">
        <f>IF(AB275+1&gt;MiscData!$AF$28,1,AB275+1)</f>
        <v>11</v>
      </c>
      <c r="AC276" t="str">
        <f>VLOOKUP(AB276,MiscData!$AF$5:$AG$28,2,FALSE)</f>
        <v>LE_952BASE</v>
      </c>
      <c r="AD276" t="str">
        <f>VLOOKUP(AB276,MiscData!$AF$5:$AH$28,3,FALSE)</f>
        <v>RLS</v>
      </c>
    </row>
    <row r="277" spans="1:30">
      <c r="A277" s="8">
        <f t="shared" si="77"/>
        <v>109</v>
      </c>
      <c r="B277" s="14" t="str">
        <f t="shared" si="24"/>
        <v>Dec 2014</v>
      </c>
      <c r="C277" s="24" t="str">
        <f t="shared" si="28"/>
        <v xml:space="preserve">LS </v>
      </c>
      <c r="D277" s="24" t="str">
        <f t="shared" si="29"/>
        <v>LE_952BASE</v>
      </c>
      <c r="E277" s="73">
        <f t="shared" si="47"/>
        <v>0</v>
      </c>
      <c r="F277" s="73">
        <v>0</v>
      </c>
      <c r="G277" s="11">
        <f>SUMIF(PoleRates!$E$4:$E$131,$W277,PoleRates!$F$4:$F$131)</f>
        <v>3.56</v>
      </c>
      <c r="H277" s="13">
        <f t="shared" si="17"/>
        <v>0</v>
      </c>
      <c r="I277" s="85">
        <v>0</v>
      </c>
      <c r="J277" s="13">
        <f t="shared" si="97"/>
        <v>0</v>
      </c>
      <c r="K277" s="35">
        <f t="shared" si="108"/>
        <v>0</v>
      </c>
      <c r="L277" s="87">
        <f t="shared" si="19"/>
        <v>1</v>
      </c>
      <c r="M277" s="86">
        <f t="shared" si="109"/>
        <v>0</v>
      </c>
      <c r="N277" s="15">
        <f t="shared" si="31"/>
        <v>0</v>
      </c>
      <c r="O277" s="15">
        <f t="shared" si="30"/>
        <v>0</v>
      </c>
      <c r="V277" s="14">
        <f>IF(AB277=1,IF(V276=MiscData!$F$1,EOMONTH(V276,-11),EOMONTH(V276,1)),V276)</f>
        <v>42004</v>
      </c>
      <c r="W277" s="8" t="str">
        <f t="shared" si="106"/>
        <v>20140101LE_952BASE</v>
      </c>
      <c r="X277" s="12" t="str">
        <f t="shared" si="107"/>
        <v xml:space="preserve">20140101LS </v>
      </c>
      <c r="AA277">
        <f>MiscData!$X$5</f>
        <v>20140101</v>
      </c>
      <c r="AB277">
        <f>IF(AB276+1&gt;MiscData!$AF$28,1,AB276+1)</f>
        <v>12</v>
      </c>
      <c r="AC277" t="str">
        <f>VLOOKUP(AB277,MiscData!$AF$5:$AG$28,2,FALSE)</f>
        <v>LE_952BASE</v>
      </c>
      <c r="AD277" t="str">
        <f>VLOOKUP(AB277,MiscData!$AF$5:$AH$28,3,FALSE)</f>
        <v xml:space="preserve">LS </v>
      </c>
    </row>
    <row r="278" spans="1:30">
      <c r="A278" s="8">
        <f t="shared" si="77"/>
        <v>110</v>
      </c>
      <c r="B278" s="14" t="str">
        <f t="shared" si="24"/>
        <v>Dec 2014</v>
      </c>
      <c r="C278" s="24" t="str">
        <f t="shared" si="28"/>
        <v>RLS</v>
      </c>
      <c r="D278" s="24" t="str">
        <f t="shared" si="29"/>
        <v>LE_953BASE</v>
      </c>
      <c r="E278" s="73">
        <f t="shared" si="47"/>
        <v>0</v>
      </c>
      <c r="F278" s="73">
        <v>0</v>
      </c>
      <c r="G278" s="11">
        <f>SUMIF(PoleRates!$E$4:$E$131,$W278,PoleRates!$F$4:$F$131)</f>
        <v>3.73</v>
      </c>
      <c r="H278" s="13">
        <f t="shared" si="17"/>
        <v>0</v>
      </c>
      <c r="I278" s="85">
        <v>0</v>
      </c>
      <c r="J278" s="13">
        <f t="shared" si="97"/>
        <v>0</v>
      </c>
      <c r="K278" s="35">
        <f t="shared" si="108"/>
        <v>0</v>
      </c>
      <c r="L278" s="87">
        <f t="shared" si="19"/>
        <v>1</v>
      </c>
      <c r="M278" s="86">
        <f t="shared" si="109"/>
        <v>0</v>
      </c>
      <c r="N278" s="15">
        <f t="shared" si="31"/>
        <v>0</v>
      </c>
      <c r="O278" s="15">
        <f t="shared" si="30"/>
        <v>0</v>
      </c>
      <c r="V278" s="14">
        <f>IF(AB278=1,IF(V277=MiscData!$F$1,EOMONTH(V277,-11),EOMONTH(V277,1)),V277)</f>
        <v>42004</v>
      </c>
      <c r="W278" s="8" t="str">
        <f t="shared" si="106"/>
        <v>20140101LE_953BASE</v>
      </c>
      <c r="X278" s="12" t="str">
        <f t="shared" si="107"/>
        <v>20140101RLS</v>
      </c>
      <c r="AA278">
        <f>MiscData!$X$5</f>
        <v>20140101</v>
      </c>
      <c r="AB278">
        <f>IF(AB277+1&gt;MiscData!$AF$28,1,AB277+1)</f>
        <v>13</v>
      </c>
      <c r="AC278" t="str">
        <f>VLOOKUP(AB278,MiscData!$AF$5:$AG$28,2,FALSE)</f>
        <v>LE_953BASE</v>
      </c>
      <c r="AD278" t="str">
        <f>VLOOKUP(AB278,MiscData!$AF$5:$AH$28,3,FALSE)</f>
        <v>RLS</v>
      </c>
    </row>
    <row r="279" spans="1:30">
      <c r="A279" s="8">
        <f t="shared" si="77"/>
        <v>110</v>
      </c>
      <c r="B279" s="14" t="str">
        <f t="shared" si="24"/>
        <v>Dec 2014</v>
      </c>
      <c r="C279" s="24" t="str">
        <f t="shared" si="28"/>
        <v xml:space="preserve">LS </v>
      </c>
      <c r="D279" s="24" t="str">
        <f t="shared" si="29"/>
        <v>LE_953BASE</v>
      </c>
      <c r="E279" s="73">
        <f t="shared" si="47"/>
        <v>0</v>
      </c>
      <c r="F279" s="73">
        <v>0</v>
      </c>
      <c r="G279" s="11">
        <f>SUMIF(PoleRates!$E$4:$E$131,$W279,PoleRates!$F$4:$F$131)</f>
        <v>3.73</v>
      </c>
      <c r="H279" s="13">
        <f t="shared" si="17"/>
        <v>0</v>
      </c>
      <c r="I279" s="85">
        <v>0</v>
      </c>
      <c r="J279" s="13">
        <f t="shared" si="97"/>
        <v>0</v>
      </c>
      <c r="K279" s="35">
        <f t="shared" si="108"/>
        <v>0</v>
      </c>
      <c r="L279" s="87">
        <f t="shared" si="19"/>
        <v>1</v>
      </c>
      <c r="M279" s="86">
        <f t="shared" si="109"/>
        <v>0</v>
      </c>
      <c r="N279" s="15">
        <f t="shared" si="31"/>
        <v>0</v>
      </c>
      <c r="O279" s="15">
        <f t="shared" si="30"/>
        <v>0</v>
      </c>
      <c r="V279" s="14">
        <f>IF(AB279=1,IF(V278=MiscData!$F$1,EOMONTH(V278,-11),EOMONTH(V278,1)),V278)</f>
        <v>42004</v>
      </c>
      <c r="W279" s="8" t="str">
        <f t="shared" si="106"/>
        <v>20140101LE_953BASE</v>
      </c>
      <c r="X279" s="12" t="str">
        <f t="shared" si="107"/>
        <v xml:space="preserve">20140101LS </v>
      </c>
      <c r="AA279">
        <f>MiscData!$X$5</f>
        <v>20140101</v>
      </c>
      <c r="AB279">
        <f>IF(AB278+1&gt;MiscData!$AF$28,1,AB278+1)</f>
        <v>14</v>
      </c>
      <c r="AC279" t="str">
        <f>VLOOKUP(AB279,MiscData!$AF$5:$AG$28,2,FALSE)</f>
        <v>LE_953BASE</v>
      </c>
      <c r="AD279" t="str">
        <f>VLOOKUP(AB279,MiscData!$AF$5:$AH$28,3,FALSE)</f>
        <v xml:space="preserve">LS </v>
      </c>
    </row>
    <row r="280" spans="1:30">
      <c r="A280" s="8">
        <f t="shared" si="77"/>
        <v>111</v>
      </c>
      <c r="B280" s="14" t="str">
        <f t="shared" si="24"/>
        <v>Dec 2014</v>
      </c>
      <c r="C280" s="24" t="str">
        <f t="shared" si="28"/>
        <v>RLS</v>
      </c>
      <c r="D280" s="24" t="str">
        <f t="shared" si="29"/>
        <v>LE_954BASE</v>
      </c>
      <c r="E280" s="73">
        <f t="shared" si="47"/>
        <v>0</v>
      </c>
      <c r="F280" s="73">
        <v>0</v>
      </c>
      <c r="G280" s="11">
        <f>SUMIF(PoleRates!$E$4:$E$131,$W280,PoleRates!$F$4:$F$131)</f>
        <v>3.47</v>
      </c>
      <c r="H280" s="13">
        <f t="shared" si="17"/>
        <v>0</v>
      </c>
      <c r="I280" s="85">
        <v>0</v>
      </c>
      <c r="J280" s="13">
        <f t="shared" si="97"/>
        <v>0</v>
      </c>
      <c r="K280" s="35">
        <f t="shared" si="108"/>
        <v>0</v>
      </c>
      <c r="L280" s="87">
        <f t="shared" si="19"/>
        <v>1</v>
      </c>
      <c r="M280" s="86">
        <f t="shared" si="109"/>
        <v>0</v>
      </c>
      <c r="N280" s="15">
        <f t="shared" si="31"/>
        <v>0</v>
      </c>
      <c r="O280" s="15">
        <f t="shared" si="30"/>
        <v>0</v>
      </c>
      <c r="V280" s="14">
        <f>IF(AB280=1,IF(V279=MiscData!$F$1,EOMONTH(V279,-11),EOMONTH(V279,1)),V279)</f>
        <v>42004</v>
      </c>
      <c r="W280" s="8" t="str">
        <f t="shared" si="106"/>
        <v>20140101LE_954BASE</v>
      </c>
      <c r="X280" s="12" t="str">
        <f t="shared" si="107"/>
        <v>20140101RLS</v>
      </c>
      <c r="AA280">
        <f>MiscData!$X$5</f>
        <v>20140101</v>
      </c>
      <c r="AB280">
        <f>IF(AB279+1&gt;MiscData!$AF$28,1,AB279+1)</f>
        <v>15</v>
      </c>
      <c r="AC280" t="str">
        <f>VLOOKUP(AB280,MiscData!$AF$5:$AG$28,2,FALSE)</f>
        <v>LE_954BASE</v>
      </c>
      <c r="AD280" t="str">
        <f>VLOOKUP(AB280,MiscData!$AF$5:$AH$28,3,FALSE)</f>
        <v>RLS</v>
      </c>
    </row>
    <row r="281" spans="1:30">
      <c r="A281" s="8">
        <f t="shared" si="77"/>
        <v>111</v>
      </c>
      <c r="B281" s="14" t="str">
        <f t="shared" si="24"/>
        <v>Dec 2014</v>
      </c>
      <c r="C281" s="24" t="str">
        <f t="shared" si="28"/>
        <v xml:space="preserve">LS </v>
      </c>
      <c r="D281" s="24" t="str">
        <f t="shared" si="29"/>
        <v>LE_954BASE</v>
      </c>
      <c r="E281" s="73">
        <f t="shared" si="47"/>
        <v>0</v>
      </c>
      <c r="F281" s="73">
        <v>0</v>
      </c>
      <c r="G281" s="11">
        <f>SUMIF(PoleRates!$E$4:$E$131,$W281,PoleRates!$F$4:$F$131)</f>
        <v>3.47</v>
      </c>
      <c r="H281" s="13">
        <f t="shared" si="17"/>
        <v>0</v>
      </c>
      <c r="I281" s="85">
        <v>0</v>
      </c>
      <c r="J281" s="13">
        <f t="shared" si="97"/>
        <v>0</v>
      </c>
      <c r="K281" s="35">
        <f t="shared" si="108"/>
        <v>0</v>
      </c>
      <c r="L281" s="87">
        <f t="shared" si="19"/>
        <v>1</v>
      </c>
      <c r="M281" s="86">
        <f t="shared" si="109"/>
        <v>0</v>
      </c>
      <c r="N281" s="15">
        <f t="shared" si="31"/>
        <v>0</v>
      </c>
      <c r="O281" s="15">
        <f t="shared" si="30"/>
        <v>0</v>
      </c>
      <c r="V281" s="14">
        <f>IF(AB281=1,IF(V280=MiscData!$F$1,EOMONTH(V280,-11),EOMONTH(V280,1)),V280)</f>
        <v>42004</v>
      </c>
      <c r="W281" s="8" t="str">
        <f t="shared" si="106"/>
        <v>20140101LE_954BASE</v>
      </c>
      <c r="X281" s="12" t="str">
        <f t="shared" si="107"/>
        <v xml:space="preserve">20140101LS </v>
      </c>
      <c r="AA281">
        <f>MiscData!$X$5</f>
        <v>20140101</v>
      </c>
      <c r="AB281">
        <f>IF(AB280+1&gt;MiscData!$AF$28,1,AB280+1)</f>
        <v>16</v>
      </c>
      <c r="AC281" t="str">
        <f>VLOOKUP(AB281,MiscData!$AF$5:$AG$28,2,FALSE)</f>
        <v>LE_954BASE</v>
      </c>
      <c r="AD281" t="str">
        <f>VLOOKUP(AB281,MiscData!$AF$5:$AH$28,3,FALSE)</f>
        <v xml:space="preserve">LS </v>
      </c>
    </row>
    <row r="282" spans="1:30">
      <c r="A282" s="8">
        <f t="shared" si="77"/>
        <v>112</v>
      </c>
      <c r="B282" s="14" t="str">
        <f t="shared" si="24"/>
        <v>Dec 2014</v>
      </c>
      <c r="C282" s="24" t="str">
        <f t="shared" si="28"/>
        <v>RLS</v>
      </c>
      <c r="D282" s="24" t="str">
        <f t="shared" si="29"/>
        <v>LE_955BASE</v>
      </c>
      <c r="E282" s="73">
        <f t="shared" ref="E282:E289" si="112">SUMIFS(L_1051_Count_Total,L_1051_Revenue_Month,$B282,L_1051_RateCategory,$D282,L_1051_Light_Category,C282)</f>
        <v>0</v>
      </c>
      <c r="F282" s="73">
        <v>0</v>
      </c>
      <c r="G282" s="11">
        <f>SUMIF(PoleRates!$E$4:$E$131,$W282,PoleRates!$F$4:$F$131)</f>
        <v>3.56</v>
      </c>
      <c r="H282" s="13">
        <f t="shared" si="17"/>
        <v>0</v>
      </c>
      <c r="I282" s="85">
        <v>0</v>
      </c>
      <c r="J282" s="13">
        <f t="shared" si="97"/>
        <v>0</v>
      </c>
      <c r="K282" s="35">
        <f t="shared" si="108"/>
        <v>0</v>
      </c>
      <c r="L282" s="87">
        <f t="shared" si="19"/>
        <v>1</v>
      </c>
      <c r="M282" s="86">
        <f t="shared" si="109"/>
        <v>0</v>
      </c>
      <c r="N282" s="15">
        <f t="shared" si="31"/>
        <v>0</v>
      </c>
      <c r="O282" s="15">
        <f t="shared" si="30"/>
        <v>0</v>
      </c>
      <c r="V282" s="14">
        <f>IF(AB282=1,IF(V281=MiscData!$F$1,EOMONTH(V281,-11),EOMONTH(V281,1)),V281)</f>
        <v>42004</v>
      </c>
      <c r="W282" s="8" t="str">
        <f t="shared" si="106"/>
        <v>20140101LE_955BASE</v>
      </c>
      <c r="X282" s="12" t="str">
        <f t="shared" si="107"/>
        <v>20140101RLS</v>
      </c>
      <c r="AA282">
        <f>MiscData!$X$5</f>
        <v>20140101</v>
      </c>
      <c r="AB282">
        <f>IF(AB281+1&gt;MiscData!$AF$28,1,AB281+1)</f>
        <v>17</v>
      </c>
      <c r="AC282" t="str">
        <f>VLOOKUP(AB282,MiscData!$AF$5:$AG$28,2,FALSE)</f>
        <v>LE_955BASE</v>
      </c>
      <c r="AD282" t="str">
        <f>VLOOKUP(AB282,MiscData!$AF$5:$AH$28,3,FALSE)</f>
        <v>RLS</v>
      </c>
    </row>
    <row r="283" spans="1:30">
      <c r="A283" s="8">
        <f t="shared" si="77"/>
        <v>112</v>
      </c>
      <c r="B283" s="14" t="str">
        <f t="shared" si="24"/>
        <v>Dec 2014</v>
      </c>
      <c r="C283" s="24" t="str">
        <f t="shared" si="28"/>
        <v xml:space="preserve">LS </v>
      </c>
      <c r="D283" s="24" t="str">
        <f t="shared" si="29"/>
        <v>LE_955BASE</v>
      </c>
      <c r="E283" s="73">
        <f t="shared" si="112"/>
        <v>0</v>
      </c>
      <c r="F283" s="73">
        <v>0</v>
      </c>
      <c r="G283" s="11">
        <f>SUMIF(PoleRates!$E$4:$E$131,$W283,PoleRates!$F$4:$F$131)</f>
        <v>3.56</v>
      </c>
      <c r="H283" s="13">
        <f t="shared" si="17"/>
        <v>0</v>
      </c>
      <c r="I283" s="85">
        <v>0</v>
      </c>
      <c r="J283" s="13">
        <f t="shared" si="97"/>
        <v>0</v>
      </c>
      <c r="K283" s="35">
        <f t="shared" si="108"/>
        <v>0</v>
      </c>
      <c r="L283" s="87">
        <f t="shared" si="19"/>
        <v>1</v>
      </c>
      <c r="M283" s="86">
        <f t="shared" si="109"/>
        <v>0</v>
      </c>
      <c r="N283" s="15">
        <f t="shared" si="31"/>
        <v>0</v>
      </c>
      <c r="O283" s="15">
        <f t="shared" si="30"/>
        <v>0</v>
      </c>
      <c r="V283" s="14">
        <f>IF(AB283=1,IF(V282=MiscData!$F$1,EOMONTH(V282,-11),EOMONTH(V282,1)),V282)</f>
        <v>42004</v>
      </c>
      <c r="W283" s="8" t="str">
        <f t="shared" si="106"/>
        <v>20140101LE_955BASE</v>
      </c>
      <c r="X283" s="12" t="str">
        <f t="shared" si="107"/>
        <v xml:space="preserve">20140101LS </v>
      </c>
      <c r="AA283">
        <f>MiscData!$X$5</f>
        <v>20140101</v>
      </c>
      <c r="AB283">
        <f>IF(AB282+1&gt;MiscData!$AF$28,1,AB282+1)</f>
        <v>18</v>
      </c>
      <c r="AC283" t="str">
        <f>VLOOKUP(AB283,MiscData!$AF$5:$AG$28,2,FALSE)</f>
        <v>LE_955BASE</v>
      </c>
      <c r="AD283" t="str">
        <f>VLOOKUP(AB283,MiscData!$AF$5:$AH$28,3,FALSE)</f>
        <v xml:space="preserve">LS </v>
      </c>
    </row>
    <row r="284" spans="1:30">
      <c r="A284" s="8">
        <f t="shared" si="77"/>
        <v>113</v>
      </c>
      <c r="B284" s="14" t="str">
        <f t="shared" si="24"/>
        <v>Dec 2014</v>
      </c>
      <c r="C284" s="24" t="str">
        <f t="shared" si="28"/>
        <v>RLS</v>
      </c>
      <c r="D284" s="24" t="str">
        <f t="shared" si="29"/>
        <v>LE_956BASE</v>
      </c>
      <c r="E284" s="73">
        <f t="shared" si="112"/>
        <v>239</v>
      </c>
      <c r="F284" s="73">
        <v>0</v>
      </c>
      <c r="G284" s="11">
        <f>SUMIF(PoleRates!$E$4:$E$131,$W284,PoleRates!$F$4:$F$131)</f>
        <v>3.56</v>
      </c>
      <c r="H284" s="13">
        <f t="shared" si="17"/>
        <v>850.84</v>
      </c>
      <c r="I284" s="85">
        <v>0</v>
      </c>
      <c r="J284" s="13">
        <f t="shared" si="97"/>
        <v>850.84</v>
      </c>
      <c r="K284" s="35">
        <f t="shared" si="108"/>
        <v>0</v>
      </c>
      <c r="L284" s="87">
        <f t="shared" si="19"/>
        <v>0</v>
      </c>
      <c r="M284" s="86">
        <f t="shared" si="109"/>
        <v>0</v>
      </c>
      <c r="N284" s="15">
        <f t="shared" si="31"/>
        <v>850.84</v>
      </c>
      <c r="O284" s="15">
        <f t="shared" si="30"/>
        <v>-850.84</v>
      </c>
      <c r="V284" s="14">
        <f>IF(AB284=1,IF(V283=MiscData!$F$1,EOMONTH(V283,-11),EOMONTH(V283,1)),V283)</f>
        <v>42004</v>
      </c>
      <c r="W284" s="8" t="str">
        <f t="shared" si="106"/>
        <v>20140101LE_956BASE</v>
      </c>
      <c r="X284" s="12" t="str">
        <f t="shared" si="107"/>
        <v>20140101RLS</v>
      </c>
      <c r="AA284">
        <f>MiscData!$X$5</f>
        <v>20140101</v>
      </c>
      <c r="AB284">
        <f>IF(AB283+1&gt;MiscData!$AF$28,1,AB283+1)</f>
        <v>19</v>
      </c>
      <c r="AC284" t="str">
        <f>VLOOKUP(AB284,MiscData!$AF$5:$AG$28,2,FALSE)</f>
        <v>LE_956BASE</v>
      </c>
      <c r="AD284" t="str">
        <f>VLOOKUP(AB284,MiscData!$AF$5:$AH$28,3,FALSE)</f>
        <v>RLS</v>
      </c>
    </row>
    <row r="285" spans="1:30">
      <c r="A285" s="8">
        <f t="shared" si="77"/>
        <v>113</v>
      </c>
      <c r="B285" s="14" t="str">
        <f t="shared" si="24"/>
        <v>Dec 2014</v>
      </c>
      <c r="C285" s="24" t="str">
        <f t="shared" si="28"/>
        <v xml:space="preserve">LS </v>
      </c>
      <c r="D285" s="24" t="str">
        <f t="shared" si="29"/>
        <v>LE_956BASE</v>
      </c>
      <c r="E285" s="73">
        <f t="shared" si="112"/>
        <v>307</v>
      </c>
      <c r="F285" s="73">
        <v>0</v>
      </c>
      <c r="G285" s="11">
        <f>SUMIF(PoleRates!$E$4:$E$131,$W285,PoleRates!$F$4:$F$131)</f>
        <v>3.56</v>
      </c>
      <c r="H285" s="13">
        <f t="shared" si="17"/>
        <v>1092.92</v>
      </c>
      <c r="I285" s="85">
        <v>0</v>
      </c>
      <c r="J285" s="13">
        <f t="shared" si="97"/>
        <v>1092.92</v>
      </c>
      <c r="K285" s="35">
        <f t="shared" si="108"/>
        <v>0</v>
      </c>
      <c r="L285" s="87">
        <f t="shared" si="19"/>
        <v>0</v>
      </c>
      <c r="M285" s="86">
        <f t="shared" si="109"/>
        <v>0</v>
      </c>
      <c r="N285" s="15">
        <f t="shared" si="31"/>
        <v>1092.92</v>
      </c>
      <c r="O285" s="15">
        <f t="shared" si="30"/>
        <v>-1092.92</v>
      </c>
      <c r="V285" s="14">
        <f>IF(AB285=1,IF(V284=MiscData!$F$1,EOMONTH(V284,-11),EOMONTH(V284,1)),V284)</f>
        <v>42004</v>
      </c>
      <c r="W285" s="8" t="str">
        <f t="shared" si="106"/>
        <v>20140101LE_956BASE</v>
      </c>
      <c r="X285" s="12" t="str">
        <f t="shared" si="107"/>
        <v xml:space="preserve">20140101LS </v>
      </c>
      <c r="AA285">
        <f>MiscData!$X$5</f>
        <v>20140101</v>
      </c>
      <c r="AB285">
        <f>IF(AB284+1&gt;MiscData!$AF$28,1,AB284+1)</f>
        <v>20</v>
      </c>
      <c r="AC285" t="str">
        <f>VLOOKUP(AB285,MiscData!$AF$5:$AG$28,2,FALSE)</f>
        <v>LE_956BASE</v>
      </c>
      <c r="AD285" t="str">
        <f>VLOOKUP(AB285,MiscData!$AF$5:$AH$28,3,FALSE)</f>
        <v xml:space="preserve">LS </v>
      </c>
    </row>
    <row r="286" spans="1:30">
      <c r="A286" s="8">
        <f t="shared" si="77"/>
        <v>114</v>
      </c>
      <c r="B286" s="14" t="str">
        <f t="shared" si="24"/>
        <v>Dec 2014</v>
      </c>
      <c r="C286" s="24" t="str">
        <f t="shared" si="28"/>
        <v>RLS</v>
      </c>
      <c r="D286" s="24" t="str">
        <f t="shared" si="29"/>
        <v>LE_957BASE</v>
      </c>
      <c r="E286" s="73">
        <f t="shared" si="112"/>
        <v>0</v>
      </c>
      <c r="F286" s="73">
        <v>0</v>
      </c>
      <c r="G286" s="11">
        <f>SUMIF(PoleRates!$E$4:$E$131,$W286,PoleRates!$F$4:$F$131)</f>
        <v>3.56</v>
      </c>
      <c r="H286" s="13">
        <f t="shared" si="17"/>
        <v>0</v>
      </c>
      <c r="I286" s="85">
        <v>0</v>
      </c>
      <c r="J286" s="13">
        <f t="shared" si="97"/>
        <v>0</v>
      </c>
      <c r="K286" s="35">
        <f t="shared" si="108"/>
        <v>0</v>
      </c>
      <c r="L286" s="87">
        <f t="shared" si="19"/>
        <v>1</v>
      </c>
      <c r="M286" s="86">
        <f t="shared" si="109"/>
        <v>0</v>
      </c>
      <c r="N286" s="15">
        <f t="shared" si="31"/>
        <v>0</v>
      </c>
      <c r="O286" s="15">
        <f t="shared" si="30"/>
        <v>0</v>
      </c>
      <c r="V286" s="14">
        <f>IF(AB286=1,IF(V285=MiscData!$F$1,EOMONTH(V285,-11),EOMONTH(V285,1)),V285)</f>
        <v>42004</v>
      </c>
      <c r="W286" s="8" t="str">
        <f t="shared" si="106"/>
        <v>20140101LE_957BASE</v>
      </c>
      <c r="X286" s="12" t="str">
        <f t="shared" si="107"/>
        <v>20140101RLS</v>
      </c>
      <c r="AA286">
        <f>MiscData!$X$5</f>
        <v>20140101</v>
      </c>
      <c r="AB286">
        <f>IF(AB285+1&gt;MiscData!$AF$28,1,AB285+1)</f>
        <v>21</v>
      </c>
      <c r="AC286" t="str">
        <f>VLOOKUP(AB286,MiscData!$AF$5:$AG$28,2,FALSE)</f>
        <v>LE_957BASE</v>
      </c>
      <c r="AD286" t="str">
        <f>VLOOKUP(AB286,MiscData!$AF$5:$AH$28,3,FALSE)</f>
        <v>RLS</v>
      </c>
    </row>
    <row r="287" spans="1:30">
      <c r="A287" s="8">
        <f t="shared" si="77"/>
        <v>114</v>
      </c>
      <c r="B287" s="14" t="str">
        <f t="shared" si="24"/>
        <v>Dec 2014</v>
      </c>
      <c r="C287" s="24" t="str">
        <f t="shared" si="28"/>
        <v xml:space="preserve">LS </v>
      </c>
      <c r="D287" s="24" t="str">
        <f t="shared" si="29"/>
        <v>LE_957BASE</v>
      </c>
      <c r="E287" s="73">
        <f t="shared" si="112"/>
        <v>0</v>
      </c>
      <c r="F287" s="73">
        <v>0</v>
      </c>
      <c r="G287" s="11">
        <f>SUMIF(PoleRates!$E$4:$E$131,$W287,PoleRates!$F$4:$F$131)</f>
        <v>3.56</v>
      </c>
      <c r="H287" s="13">
        <f t="shared" si="17"/>
        <v>0</v>
      </c>
      <c r="I287" s="85">
        <v>0</v>
      </c>
      <c r="J287" s="13">
        <f t="shared" si="97"/>
        <v>0</v>
      </c>
      <c r="K287" s="35">
        <f t="shared" si="108"/>
        <v>0</v>
      </c>
      <c r="L287" s="87">
        <f t="shared" si="19"/>
        <v>1</v>
      </c>
      <c r="M287" s="86">
        <f t="shared" si="109"/>
        <v>0</v>
      </c>
      <c r="N287" s="15">
        <f t="shared" si="31"/>
        <v>0</v>
      </c>
      <c r="O287" s="15">
        <f t="shared" si="30"/>
        <v>0</v>
      </c>
      <c r="V287" s="14">
        <f>IF(AB287=1,IF(V286=MiscData!$F$1,EOMONTH(V286,-11),EOMONTH(V286,1)),V286)</f>
        <v>42004</v>
      </c>
      <c r="W287" s="8" t="str">
        <f t="shared" si="106"/>
        <v>20140101LE_957BASE</v>
      </c>
      <c r="X287" s="12" t="str">
        <f t="shared" si="107"/>
        <v xml:space="preserve">20140101LS </v>
      </c>
      <c r="AA287">
        <f>MiscData!$X$5</f>
        <v>20140101</v>
      </c>
      <c r="AB287">
        <f>IF(AB286+1&gt;MiscData!$AF$28,1,AB286+1)</f>
        <v>22</v>
      </c>
      <c r="AC287" t="str">
        <f>VLOOKUP(AB287,MiscData!$AF$5:$AG$28,2,FALSE)</f>
        <v>LE_957BASE</v>
      </c>
      <c r="AD287" t="str">
        <f>VLOOKUP(AB287,MiscData!$AF$5:$AH$28,3,FALSE)</f>
        <v xml:space="preserve">LS </v>
      </c>
    </row>
    <row r="288" spans="1:30">
      <c r="A288" s="8">
        <f t="shared" si="77"/>
        <v>115</v>
      </c>
      <c r="B288" s="14" t="str">
        <f t="shared" si="24"/>
        <v>Dec 2014</v>
      </c>
      <c r="C288" s="24" t="str">
        <f t="shared" si="28"/>
        <v>RLS</v>
      </c>
      <c r="D288" s="24" t="str">
        <f t="shared" si="29"/>
        <v>LE_958POLE</v>
      </c>
      <c r="E288" s="73">
        <f t="shared" si="112"/>
        <v>37</v>
      </c>
      <c r="F288" s="73">
        <v>0</v>
      </c>
      <c r="G288" s="11">
        <f>SUMIF(PoleRates!$E$4:$E$131,$W288,PoleRates!$F$4:$F$131)</f>
        <v>11.31</v>
      </c>
      <c r="H288" s="13">
        <f t="shared" si="17"/>
        <v>418.47</v>
      </c>
      <c r="I288" s="85">
        <v>0</v>
      </c>
      <c r="J288" s="13">
        <f t="shared" si="97"/>
        <v>418.47</v>
      </c>
      <c r="K288" s="35">
        <f t="shared" si="108"/>
        <v>0</v>
      </c>
      <c r="L288" s="87">
        <f t="shared" si="19"/>
        <v>0</v>
      </c>
      <c r="M288" s="86">
        <f t="shared" si="109"/>
        <v>0</v>
      </c>
      <c r="N288" s="15">
        <f t="shared" si="31"/>
        <v>418.47</v>
      </c>
      <c r="O288" s="15">
        <f t="shared" si="30"/>
        <v>-418.47</v>
      </c>
      <c r="V288" s="14">
        <f>IF(AB288=1,IF(V287=MiscData!$F$1,EOMONTH(V287,-11),EOMONTH(V287,1)),V287)</f>
        <v>42004</v>
      </c>
      <c r="W288" s="8" t="str">
        <f t="shared" si="106"/>
        <v>20140101LE_958POLE</v>
      </c>
      <c r="X288" s="12" t="str">
        <f t="shared" si="107"/>
        <v>20140101RLS</v>
      </c>
      <c r="AA288">
        <f>MiscData!$X$5</f>
        <v>20140101</v>
      </c>
      <c r="AB288">
        <f>IF(AB287+1&gt;MiscData!$AF$28,1,AB287+1)</f>
        <v>23</v>
      </c>
      <c r="AC288" t="str">
        <f>VLOOKUP(AB288,MiscData!$AF$5:$AG$28,2,FALSE)</f>
        <v>LE_958POLE</v>
      </c>
      <c r="AD288" t="str">
        <f>VLOOKUP(AB288,MiscData!$AF$5:$AH$28,3,FALSE)</f>
        <v>RLS</v>
      </c>
    </row>
    <row r="289" spans="1:30">
      <c r="A289" s="8">
        <f t="shared" si="77"/>
        <v>115</v>
      </c>
      <c r="B289" s="14" t="str">
        <f t="shared" si="24"/>
        <v>Dec 2014</v>
      </c>
      <c r="C289" s="24" t="str">
        <f t="shared" si="28"/>
        <v xml:space="preserve">LS </v>
      </c>
      <c r="D289" s="24" t="str">
        <f t="shared" ref="D289" si="113">AC289</f>
        <v>LE_958POLE</v>
      </c>
      <c r="E289" s="73">
        <f t="shared" si="112"/>
        <v>431</v>
      </c>
      <c r="F289" s="73">
        <v>0</v>
      </c>
      <c r="G289" s="11">
        <f>SUMIF(PoleRates!$E$4:$E$131,$W289,PoleRates!$F$4:$F$131)</f>
        <v>11.31</v>
      </c>
      <c r="H289" s="13">
        <f t="shared" si="17"/>
        <v>4874.6099999999997</v>
      </c>
      <c r="I289" s="85">
        <v>0</v>
      </c>
      <c r="J289" s="13">
        <f t="shared" si="97"/>
        <v>4874.6099999999997</v>
      </c>
      <c r="K289" s="35">
        <f t="shared" si="108"/>
        <v>0</v>
      </c>
      <c r="L289" s="87">
        <f t="shared" si="19"/>
        <v>0</v>
      </c>
      <c r="M289" s="86">
        <f t="shared" si="109"/>
        <v>0</v>
      </c>
      <c r="N289" s="15">
        <f t="shared" ref="N289" si="114">J289</f>
        <v>4874.6099999999997</v>
      </c>
      <c r="O289" s="15">
        <f t="shared" si="30"/>
        <v>-4874.6099999999997</v>
      </c>
      <c r="V289" s="14">
        <f>IF(AB289=1,IF(V288=MiscData!$F$1,EOMONTH(V288,-11),EOMONTH(V288,1)),V288)</f>
        <v>42004</v>
      </c>
      <c r="W289" s="8" t="str">
        <f t="shared" si="106"/>
        <v>20140101LE_958POLE</v>
      </c>
      <c r="X289" s="12" t="str">
        <f t="shared" si="107"/>
        <v xml:space="preserve">20140101LS </v>
      </c>
      <c r="AA289">
        <f>MiscData!$X$5</f>
        <v>20140101</v>
      </c>
      <c r="AB289">
        <f>IF(AB288+1&gt;MiscData!$AF$28,1,AB288+1)</f>
        <v>24</v>
      </c>
      <c r="AC289" t="str">
        <f>VLOOKUP(AB289,MiscData!$AF$5:$AG$28,2,FALSE)</f>
        <v>LE_958POLE</v>
      </c>
      <c r="AD289" t="str">
        <f>VLOOKUP(AB289,MiscData!$AF$5:$AH$28,3,FALSE)</f>
        <v xml:space="preserve">LS </v>
      </c>
    </row>
    <row r="290" spans="1:30">
      <c r="E290" s="72"/>
      <c r="F290" s="72"/>
      <c r="G290" s="72"/>
      <c r="H290" s="72"/>
      <c r="I290" s="72"/>
      <c r="J290" s="72"/>
      <c r="K290" s="72"/>
      <c r="L290" s="72"/>
      <c r="M290" s="72"/>
      <c r="N290" s="72"/>
      <c r="O290" s="72"/>
      <c r="V290" s="14"/>
      <c r="W290" s="8"/>
      <c r="X290" s="12"/>
    </row>
    <row r="291" spans="1:30">
      <c r="V291" s="14"/>
      <c r="W291" s="8"/>
      <c r="X291" s="12"/>
    </row>
    <row r="292" spans="1:30">
      <c r="V292" s="14"/>
      <c r="W292" s="8"/>
      <c r="X292" s="12"/>
    </row>
    <row r="293" spans="1:30">
      <c r="C293" s="22" t="s">
        <v>1117</v>
      </c>
      <c r="E293" s="3">
        <f>SUMIF(L_12MonPoles_RateClass,$C293,L_12MonPoles_Count)</f>
        <v>72515</v>
      </c>
      <c r="H293" s="3">
        <f>SUMIF(L_12MonPoles_RateClass,$C293,L_12MonPoles_Revenue_Base)</f>
        <v>204097.73</v>
      </c>
      <c r="I293" s="3">
        <f>SUMIF(L_12MonPoles_RateClass,$C293,L_12MonPoles_Revenue_Adj)</f>
        <v>59.42</v>
      </c>
      <c r="J293" s="3">
        <f>SUMIF(L_12MonPoles_RateClass,$C293,L_12MonPoles_Revenue_Total_Calc)</f>
        <v>204157.15000000005</v>
      </c>
      <c r="K293" s="3">
        <f>SUMIF(L_12MonPoles_RateClass,$C293,L_12MonPoles_Revenue_Actual)</f>
        <v>101268.36000000002</v>
      </c>
      <c r="W293" s="8"/>
      <c r="X293" s="12"/>
    </row>
    <row r="294" spans="1:30">
      <c r="C294" t="s">
        <v>498</v>
      </c>
      <c r="E294" s="3">
        <f>SUMIF(L_12MonPoles_RateClass,$C294,L_12MonPoles_Count)</f>
        <v>31712</v>
      </c>
      <c r="H294" s="3">
        <f>SUMIF(L_12MonPoles_RateClass,$C294,L_12MonPoles_Revenue_Base)</f>
        <v>131374.81000000003</v>
      </c>
      <c r="I294" s="3">
        <f>SUMIF(L_12MonPoles_RateClass,$C294,L_12MonPoles_Revenue_Adj)</f>
        <v>41.36999999999999</v>
      </c>
      <c r="J294" s="3">
        <f>SUMIF(L_12MonPoles_RateClass,$C294,L_12MonPoles_Revenue_Total_Calc)</f>
        <v>131416.18000000005</v>
      </c>
      <c r="K294" s="3">
        <f>SUMIF(L_12MonPoles_RateClass,$C294,L_12MonPoles_Revenue_Actual)</f>
        <v>65346.30000000001</v>
      </c>
      <c r="V294" s="14"/>
      <c r="W294" s="8"/>
      <c r="X294" s="12"/>
    </row>
    <row r="295" spans="1:30">
      <c r="V295" s="14"/>
      <c r="W295" s="8"/>
      <c r="X295" s="12"/>
    </row>
    <row r="296" spans="1:30">
      <c r="V296" s="14"/>
      <c r="W296" s="8"/>
      <c r="X296" s="12"/>
    </row>
    <row r="297" spans="1:30">
      <c r="B297" s="690" t="s">
        <v>1301</v>
      </c>
      <c r="K297" s="3">
        <f t="shared" ref="K297:K308" si="115">SUMIF(L_12MonPoles_Revenue_Month,B297,L_12MonPoles_Revenue_Actual)</f>
        <v>0</v>
      </c>
      <c r="W297" s="8"/>
      <c r="X297" s="12"/>
    </row>
    <row r="298" spans="1:30">
      <c r="B298" s="690" t="s">
        <v>1302</v>
      </c>
      <c r="K298" s="3">
        <f t="shared" si="115"/>
        <v>0</v>
      </c>
      <c r="V298" s="14"/>
      <c r="W298" s="8"/>
      <c r="X298" s="12"/>
    </row>
    <row r="299" spans="1:30">
      <c r="B299" s="34" t="s">
        <v>1276</v>
      </c>
      <c r="K299" s="3">
        <f t="shared" si="115"/>
        <v>27864.489999999998</v>
      </c>
      <c r="V299" s="14"/>
      <c r="W299" s="8"/>
      <c r="X299" s="12"/>
    </row>
    <row r="300" spans="1:30">
      <c r="B300" s="34" t="s">
        <v>1277</v>
      </c>
      <c r="K300" s="3">
        <f t="shared" si="115"/>
        <v>27671.620000000003</v>
      </c>
      <c r="V300" s="14"/>
      <c r="W300" s="8"/>
      <c r="X300" s="12"/>
    </row>
    <row r="301" spans="1:30">
      <c r="B301" s="34" t="s">
        <v>1278</v>
      </c>
      <c r="K301" s="3">
        <f t="shared" si="115"/>
        <v>27933.130000000005</v>
      </c>
      <c r="W301" s="8"/>
      <c r="X301" s="12"/>
    </row>
    <row r="302" spans="1:30">
      <c r="B302" s="34" t="s">
        <v>1279</v>
      </c>
      <c r="K302" s="3">
        <f t="shared" si="115"/>
        <v>27757.870000000003</v>
      </c>
      <c r="W302" s="8"/>
      <c r="X302" s="12"/>
    </row>
    <row r="303" spans="1:30">
      <c r="B303" s="34" t="s">
        <v>1280</v>
      </c>
      <c r="K303" s="3">
        <f t="shared" si="115"/>
        <v>27845.410000000003</v>
      </c>
      <c r="W303" s="8"/>
      <c r="X303" s="12"/>
    </row>
    <row r="304" spans="1:30">
      <c r="B304" s="34" t="s">
        <v>1281</v>
      </c>
      <c r="K304" s="3">
        <f t="shared" si="115"/>
        <v>27542.139999999996</v>
      </c>
      <c r="W304" s="8"/>
      <c r="X304" s="12"/>
    </row>
    <row r="305" spans="2:24">
      <c r="B305" s="690" t="s">
        <v>1303</v>
      </c>
      <c r="K305" s="3">
        <f t="shared" si="115"/>
        <v>0</v>
      </c>
      <c r="W305" s="8"/>
      <c r="X305" s="12"/>
    </row>
    <row r="306" spans="2:24">
      <c r="B306" s="690" t="s">
        <v>1304</v>
      </c>
      <c r="K306" s="3">
        <f t="shared" si="115"/>
        <v>0</v>
      </c>
      <c r="W306" s="8"/>
      <c r="X306" s="12"/>
    </row>
    <row r="307" spans="2:24">
      <c r="B307" s="690" t="s">
        <v>1305</v>
      </c>
      <c r="K307" s="3">
        <f t="shared" si="115"/>
        <v>0</v>
      </c>
      <c r="W307" s="8"/>
      <c r="X307" s="12"/>
    </row>
    <row r="308" spans="2:24">
      <c r="B308" s="690" t="s">
        <v>1306</v>
      </c>
      <c r="K308" s="3">
        <f t="shared" si="115"/>
        <v>0</v>
      </c>
      <c r="W308" s="8"/>
      <c r="X308" s="12"/>
    </row>
    <row r="309" spans="2:24">
      <c r="W309" s="8"/>
      <c r="X309" s="12"/>
    </row>
    <row r="310" spans="2:24">
      <c r="W310" s="8"/>
      <c r="X310" s="12"/>
    </row>
    <row r="311" spans="2:24">
      <c r="W311" s="8"/>
      <c r="X311" s="12"/>
    </row>
    <row r="312" spans="2:24">
      <c r="W312" s="8"/>
      <c r="X312" s="12"/>
    </row>
    <row r="313" spans="2:24">
      <c r="W313" s="8"/>
      <c r="X313" s="12"/>
    </row>
    <row r="314" spans="2:24">
      <c r="W314" s="8"/>
      <c r="X314" s="12"/>
    </row>
    <row r="315" spans="2:24">
      <c r="W315" s="8"/>
      <c r="X315" s="12"/>
    </row>
    <row r="316" spans="2:24">
      <c r="W316" s="8"/>
      <c r="X316" s="12"/>
    </row>
    <row r="317" spans="2:24">
      <c r="W317" s="8"/>
      <c r="X317" s="12"/>
    </row>
    <row r="318" spans="2:24">
      <c r="W318" s="8"/>
      <c r="X318" s="12"/>
    </row>
    <row r="319" spans="2:24">
      <c r="W319" s="8"/>
      <c r="X319" s="12"/>
    </row>
    <row r="320" spans="2:24">
      <c r="W320" s="8"/>
      <c r="X320" s="12"/>
    </row>
    <row r="321" spans="23:24">
      <c r="W321" s="8"/>
      <c r="X321" s="12"/>
    </row>
    <row r="322" spans="23:24">
      <c r="W322" s="8"/>
      <c r="X322" s="12"/>
    </row>
    <row r="323" spans="23:24">
      <c r="W323" s="8"/>
      <c r="X323" s="12"/>
    </row>
    <row r="324" spans="23:24">
      <c r="W324" s="8"/>
      <c r="X324" s="12"/>
    </row>
    <row r="325" spans="23:24">
      <c r="W325" s="8"/>
      <c r="X325" s="12"/>
    </row>
    <row r="326" spans="23:24">
      <c r="W326" s="8"/>
      <c r="X326" s="12"/>
    </row>
    <row r="327" spans="23:24">
      <c r="W327" s="8"/>
      <c r="X327" s="12"/>
    </row>
    <row r="328" spans="23:24">
      <c r="W328" s="8"/>
      <c r="X328" s="12"/>
    </row>
    <row r="329" spans="23:24">
      <c r="W329" s="8"/>
      <c r="X329" s="12"/>
    </row>
    <row r="330" spans="23:24">
      <c r="W330" s="8"/>
      <c r="X330" s="12"/>
    </row>
    <row r="331" spans="23:24">
      <c r="W331" s="8"/>
      <c r="X331" s="12"/>
    </row>
    <row r="332" spans="23:24">
      <c r="W332" s="8"/>
      <c r="X332" s="12"/>
    </row>
    <row r="333" spans="23:24">
      <c r="W333" s="8"/>
      <c r="X333" s="12"/>
    </row>
    <row r="334" spans="23:24">
      <c r="W334" s="8"/>
      <c r="X334" s="12"/>
    </row>
    <row r="335" spans="23:24">
      <c r="W335" s="8"/>
      <c r="X335" s="12"/>
    </row>
    <row r="336" spans="23:24">
      <c r="W336" s="8"/>
      <c r="X336" s="12"/>
    </row>
    <row r="337" spans="23:24">
      <c r="W337" s="8"/>
      <c r="X337" s="12"/>
    </row>
    <row r="338" spans="23:24">
      <c r="W338" s="8"/>
      <c r="X338" s="12"/>
    </row>
    <row r="339" spans="23:24">
      <c r="W339" s="8"/>
      <c r="X339" s="12"/>
    </row>
    <row r="340" spans="23:24">
      <c r="W340" s="8"/>
      <c r="X340" s="12"/>
    </row>
    <row r="341" spans="23:24">
      <c r="W341" s="8"/>
      <c r="X341" s="12"/>
    </row>
    <row r="342" spans="23:24">
      <c r="W342" s="8"/>
      <c r="X342" s="12"/>
    </row>
    <row r="343" spans="23:24">
      <c r="W343" s="8"/>
      <c r="X343" s="12"/>
    </row>
    <row r="344" spans="23:24">
      <c r="W344" s="8"/>
      <c r="X344" s="12"/>
    </row>
    <row r="345" spans="23:24">
      <c r="W345" s="8"/>
      <c r="X345" s="12"/>
    </row>
    <row r="346" spans="23:24">
      <c r="W346" s="8"/>
      <c r="X346" s="12"/>
    </row>
    <row r="347" spans="23:24">
      <c r="W347" s="8"/>
      <c r="X347" s="12"/>
    </row>
    <row r="348" spans="23:24">
      <c r="W348" s="8"/>
      <c r="X348" s="12"/>
    </row>
    <row r="349" spans="23:24">
      <c r="W349" s="8"/>
      <c r="X349" s="12"/>
    </row>
    <row r="350" spans="23:24">
      <c r="W350" s="8"/>
      <c r="X350" s="12"/>
    </row>
    <row r="351" spans="23:24">
      <c r="W351" s="8"/>
      <c r="X351" s="12"/>
    </row>
    <row r="352" spans="23:24">
      <c r="W352" s="8"/>
      <c r="X352" s="12"/>
    </row>
    <row r="353" spans="23:24">
      <c r="W353" s="8"/>
      <c r="X353" s="12"/>
    </row>
    <row r="354" spans="23:24">
      <c r="W354" s="8"/>
      <c r="X354" s="12"/>
    </row>
    <row r="355" spans="23:24">
      <c r="W355" s="8"/>
      <c r="X355" s="12"/>
    </row>
    <row r="356" spans="23:24">
      <c r="W356" s="8"/>
      <c r="X356" s="12"/>
    </row>
    <row r="357" spans="23:24">
      <c r="W357" s="8"/>
      <c r="X357" s="12"/>
    </row>
    <row r="358" spans="23:24">
      <c r="W358" s="8"/>
      <c r="X358" s="12"/>
    </row>
    <row r="359" spans="23:24">
      <c r="W359" s="8"/>
      <c r="X359" s="12"/>
    </row>
    <row r="360" spans="23:24">
      <c r="W360" s="8"/>
      <c r="X360" s="12"/>
    </row>
    <row r="361" spans="23:24">
      <c r="W361" s="8"/>
      <c r="X361" s="12"/>
    </row>
    <row r="362" spans="23:24">
      <c r="W362" s="8"/>
      <c r="X362" s="12"/>
    </row>
    <row r="363" spans="23:24">
      <c r="W363" s="8"/>
      <c r="X363" s="12"/>
    </row>
    <row r="364" spans="23:24">
      <c r="W364" s="8"/>
      <c r="X364" s="12"/>
    </row>
    <row r="365" spans="23:24">
      <c r="W365" s="8"/>
      <c r="X365" s="12"/>
    </row>
    <row r="366" spans="23:24">
      <c r="W366" s="8"/>
      <c r="X366" s="12"/>
    </row>
    <row r="367" spans="23:24">
      <c r="W367" s="8"/>
      <c r="X367" s="12"/>
    </row>
    <row r="368" spans="23:24">
      <c r="W368" s="8"/>
      <c r="X368" s="12"/>
    </row>
    <row r="369" spans="23:24">
      <c r="W369" s="8"/>
      <c r="X369" s="12"/>
    </row>
    <row r="370" spans="23:24">
      <c r="W370" s="8"/>
      <c r="X370" s="12"/>
    </row>
    <row r="371" spans="23:24">
      <c r="W371" s="8"/>
      <c r="X371" s="12"/>
    </row>
    <row r="372" spans="23:24">
      <c r="W372" s="8"/>
      <c r="X372" s="12"/>
    </row>
    <row r="373" spans="23:24">
      <c r="W373" s="8"/>
      <c r="X373" s="12"/>
    </row>
    <row r="374" spans="23:24">
      <c r="W374" s="8"/>
      <c r="X374" s="12"/>
    </row>
    <row r="375" spans="23:24">
      <c r="W375" s="8"/>
      <c r="X375" s="12"/>
    </row>
    <row r="376" spans="23:24">
      <c r="W376" s="8"/>
      <c r="X376" s="12"/>
    </row>
    <row r="377" spans="23:24">
      <c r="W377" s="8"/>
      <c r="X377" s="12"/>
    </row>
    <row r="378" spans="23:24">
      <c r="W378" s="8"/>
      <c r="X378" s="12"/>
    </row>
    <row r="379" spans="23:24">
      <c r="W379" s="8"/>
      <c r="X379" s="12"/>
    </row>
    <row r="380" spans="23:24">
      <c r="W380" s="8"/>
      <c r="X380" s="12"/>
    </row>
    <row r="381" spans="23:24">
      <c r="W381" s="8"/>
      <c r="X381" s="12"/>
    </row>
    <row r="382" spans="23:24">
      <c r="W382" s="8"/>
      <c r="X382" s="12"/>
    </row>
    <row r="383" spans="23:24">
      <c r="W383" s="8"/>
      <c r="X383" s="12"/>
    </row>
    <row r="384" spans="23:24">
      <c r="W384" s="8"/>
      <c r="X384" s="12"/>
    </row>
    <row r="385" spans="23:24">
      <c r="W385" s="8"/>
      <c r="X385" s="12"/>
    </row>
    <row r="386" spans="23:24">
      <c r="W386" s="8"/>
      <c r="X386" s="12"/>
    </row>
    <row r="387" spans="23:24">
      <c r="W387" s="8"/>
      <c r="X387" s="12"/>
    </row>
    <row r="388" spans="23:24">
      <c r="W388" s="8"/>
      <c r="X388" s="12"/>
    </row>
    <row r="389" spans="23:24">
      <c r="W389" s="8"/>
      <c r="X389" s="12"/>
    </row>
    <row r="390" spans="23:24">
      <c r="W390" s="8"/>
      <c r="X390" s="12"/>
    </row>
    <row r="391" spans="23:24">
      <c r="W391" s="8"/>
      <c r="X391" s="12"/>
    </row>
    <row r="392" spans="23:24">
      <c r="W392" s="8"/>
      <c r="X392" s="12"/>
    </row>
    <row r="393" spans="23:24">
      <c r="W393" s="8"/>
      <c r="X393" s="12"/>
    </row>
    <row r="394" spans="23:24">
      <c r="W394" s="8"/>
      <c r="X394" s="12"/>
    </row>
    <row r="395" spans="23:24">
      <c r="W395" s="8"/>
      <c r="X395" s="12"/>
    </row>
    <row r="396" spans="23:24">
      <c r="W396" s="8"/>
      <c r="X396" s="12"/>
    </row>
    <row r="397" spans="23:24">
      <c r="W397" s="8"/>
      <c r="X397" s="12"/>
    </row>
    <row r="398" spans="23:24">
      <c r="W398" s="8"/>
      <c r="X398" s="12"/>
    </row>
    <row r="399" spans="23:24">
      <c r="W399" s="8"/>
      <c r="X399" s="12"/>
    </row>
    <row r="400" spans="23:24">
      <c r="W400" s="8"/>
      <c r="X400" s="12"/>
    </row>
    <row r="401" spans="23:24">
      <c r="W401" s="8"/>
      <c r="X401" s="12"/>
    </row>
    <row r="402" spans="23:24">
      <c r="W402" s="8"/>
      <c r="X402" s="12"/>
    </row>
    <row r="403" spans="23:24">
      <c r="W403" s="8"/>
      <c r="X403" s="12"/>
    </row>
    <row r="404" spans="23:24">
      <c r="W404" s="8"/>
      <c r="X404" s="12"/>
    </row>
    <row r="405" spans="23:24">
      <c r="W405" s="8"/>
      <c r="X405" s="12"/>
    </row>
    <row r="406" spans="23:24">
      <c r="W406" s="8"/>
      <c r="X406" s="12"/>
    </row>
    <row r="407" spans="23:24">
      <c r="W407" s="8"/>
      <c r="X407" s="12"/>
    </row>
    <row r="408" spans="23:24">
      <c r="W408" s="8"/>
      <c r="X408" s="12"/>
    </row>
    <row r="409" spans="23:24">
      <c r="W409" s="8"/>
      <c r="X409" s="12"/>
    </row>
    <row r="410" spans="23:24">
      <c r="W410" s="8"/>
      <c r="X410" s="12"/>
    </row>
    <row r="411" spans="23:24">
      <c r="W411" s="8"/>
      <c r="X411" s="12"/>
    </row>
    <row r="412" spans="23:24">
      <c r="W412" s="8"/>
      <c r="X412" s="12"/>
    </row>
    <row r="413" spans="23:24">
      <c r="W413" s="8"/>
      <c r="X413" s="12"/>
    </row>
    <row r="414" spans="23:24">
      <c r="W414" s="8"/>
      <c r="X414" s="12"/>
    </row>
  </sheetData>
  <autoFilter ref="A1:AE289"/>
  <sortState ref="AA66:AD84">
    <sortCondition ref="AC66:AC84"/>
  </sortState>
  <conditionalFormatting sqref="L2:L71 L276:L289">
    <cfRule type="cellIs" dxfId="23" priority="42" operator="notEqual">
      <formula>1</formula>
    </cfRule>
  </conditionalFormatting>
  <conditionalFormatting sqref="L230:L235 L268:L275">
    <cfRule type="cellIs" dxfId="22" priority="23" operator="notEqual">
      <formula>1</formula>
    </cfRule>
  </conditionalFormatting>
  <conditionalFormatting sqref="L114:L127">
    <cfRule type="cellIs" dxfId="21" priority="22" operator="notEqual">
      <formula>1</formula>
    </cfRule>
  </conditionalFormatting>
  <conditionalFormatting sqref="L100:L113">
    <cfRule type="cellIs" dxfId="20" priority="21" operator="notEqual">
      <formula>1</formula>
    </cfRule>
  </conditionalFormatting>
  <conditionalFormatting sqref="L86:L99">
    <cfRule type="cellIs" dxfId="19" priority="20" operator="notEqual">
      <formula>1</formula>
    </cfRule>
  </conditionalFormatting>
  <conditionalFormatting sqref="L72:L85">
    <cfRule type="cellIs" dxfId="18" priority="19" operator="notEqual">
      <formula>1</formula>
    </cfRule>
  </conditionalFormatting>
  <conditionalFormatting sqref="L128:L133 L222:L229">
    <cfRule type="cellIs" dxfId="17" priority="18" operator="notEqual">
      <formula>1</formula>
    </cfRule>
  </conditionalFormatting>
  <conditionalFormatting sqref="L142:L155">
    <cfRule type="cellIs" dxfId="16" priority="17" operator="notEqual">
      <formula>1</formula>
    </cfRule>
  </conditionalFormatting>
  <conditionalFormatting sqref="L134:L141">
    <cfRule type="cellIs" dxfId="15" priority="16" operator="notEqual">
      <formula>1</formula>
    </cfRule>
  </conditionalFormatting>
  <conditionalFormatting sqref="L236:L241 L266:L267">
    <cfRule type="cellIs" dxfId="14" priority="15" operator="notEqual">
      <formula>1</formula>
    </cfRule>
  </conditionalFormatting>
  <conditionalFormatting sqref="L208:L213">
    <cfRule type="cellIs" dxfId="13" priority="14" operator="notEqual">
      <formula>1</formula>
    </cfRule>
  </conditionalFormatting>
  <conditionalFormatting sqref="L200:L207">
    <cfRule type="cellIs" dxfId="12" priority="13" operator="notEqual">
      <formula>1</formula>
    </cfRule>
  </conditionalFormatting>
  <conditionalFormatting sqref="L214:L221">
    <cfRule type="cellIs" dxfId="11" priority="12" operator="notEqual">
      <formula>1</formula>
    </cfRule>
  </conditionalFormatting>
  <conditionalFormatting sqref="L186:L191">
    <cfRule type="cellIs" dxfId="10" priority="11" operator="notEqual">
      <formula>1</formula>
    </cfRule>
  </conditionalFormatting>
  <conditionalFormatting sqref="L178:L185">
    <cfRule type="cellIs" dxfId="9" priority="10" operator="notEqual">
      <formula>1</formula>
    </cfRule>
  </conditionalFormatting>
  <conditionalFormatting sqref="L192:L199">
    <cfRule type="cellIs" dxfId="8" priority="9" operator="notEqual">
      <formula>1</formula>
    </cfRule>
  </conditionalFormatting>
  <conditionalFormatting sqref="L164:L169">
    <cfRule type="cellIs" dxfId="7" priority="8" operator="notEqual">
      <formula>1</formula>
    </cfRule>
  </conditionalFormatting>
  <conditionalFormatting sqref="L156:L163">
    <cfRule type="cellIs" dxfId="6" priority="7" operator="notEqual">
      <formula>1</formula>
    </cfRule>
  </conditionalFormatting>
  <conditionalFormatting sqref="L170:L177">
    <cfRule type="cellIs" dxfId="5" priority="6" operator="notEqual">
      <formula>1</formula>
    </cfRule>
  </conditionalFormatting>
  <conditionalFormatting sqref="L252:L257">
    <cfRule type="cellIs" dxfId="4" priority="5" operator="notEqual">
      <formula>1</formula>
    </cfRule>
  </conditionalFormatting>
  <conditionalFormatting sqref="L244:L251">
    <cfRule type="cellIs" dxfId="3" priority="4" operator="notEqual">
      <formula>1</formula>
    </cfRule>
  </conditionalFormatting>
  <conditionalFormatting sqref="L242:L243">
    <cfRule type="cellIs" dxfId="2" priority="3" operator="notEqual">
      <formula>1</formula>
    </cfRule>
  </conditionalFormatting>
  <conditionalFormatting sqref="L260:L265">
    <cfRule type="cellIs" dxfId="1" priority="2" operator="notEqual">
      <formula>1</formula>
    </cfRule>
  </conditionalFormatting>
  <conditionalFormatting sqref="L258:L259">
    <cfRule type="cellIs" dxfId="0" priority="1" operator="notEqual">
      <formula>1</formula>
    </cfRule>
  </conditionalFormatting>
  <pageMargins left="0.7" right="0.7" top="0.75" bottom="0.75" header="0.3" footer="0.3"/>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50"/>
  </sheetPr>
  <dimension ref="A1:B17"/>
  <sheetViews>
    <sheetView workbookViewId="0"/>
  </sheetViews>
  <sheetFormatPr defaultRowHeight="12"/>
  <cols>
    <col min="1" max="1" width="12.5" bestFit="1" customWidth="1"/>
  </cols>
  <sheetData>
    <row r="1" spans="1:2">
      <c r="A1">
        <v>1022</v>
      </c>
      <c r="B1" s="22" t="s">
        <v>100</v>
      </c>
    </row>
    <row r="2" spans="1:2">
      <c r="A2">
        <v>1040</v>
      </c>
      <c r="B2" s="22" t="s">
        <v>99</v>
      </c>
    </row>
    <row r="3" spans="1:2">
      <c r="A3">
        <v>1055</v>
      </c>
      <c r="B3" s="22" t="s">
        <v>98</v>
      </c>
    </row>
    <row r="4" spans="1:2">
      <c r="A4">
        <v>1051</v>
      </c>
      <c r="B4" s="22" t="s">
        <v>97</v>
      </c>
    </row>
    <row r="6" spans="1:2">
      <c r="A6" t="s">
        <v>101</v>
      </c>
      <c r="B6" t="s">
        <v>102</v>
      </c>
    </row>
    <row r="8" spans="1:2">
      <c r="A8" t="s">
        <v>103</v>
      </c>
      <c r="B8" s="22" t="s">
        <v>104</v>
      </c>
    </row>
    <row r="10" spans="1:2">
      <c r="A10" t="s">
        <v>105</v>
      </c>
      <c r="B10" t="s">
        <v>106</v>
      </c>
    </row>
    <row r="11" spans="1:2">
      <c r="B11" s="22" t="s">
        <v>107</v>
      </c>
    </row>
    <row r="12" spans="1:2">
      <c r="B12" s="51" t="s">
        <v>108</v>
      </c>
    </row>
    <row r="13" spans="1:2">
      <c r="B13" t="s">
        <v>109</v>
      </c>
    </row>
    <row r="14" spans="1:2">
      <c r="B14" t="s">
        <v>110</v>
      </c>
    </row>
    <row r="15" spans="1:2">
      <c r="B15" t="s">
        <v>111</v>
      </c>
    </row>
    <row r="16" spans="1:2">
      <c r="B16" s="51" t="s">
        <v>112</v>
      </c>
    </row>
    <row r="17" spans="2:2">
      <c r="B17" t="s">
        <v>113</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C278"/>
  <sheetViews>
    <sheetView workbookViewId="0"/>
  </sheetViews>
  <sheetFormatPr defaultColWidth="9.33203125" defaultRowHeight="12"/>
  <cols>
    <col min="1" max="1" width="9.1640625" customWidth="1"/>
    <col min="2" max="2" width="9.33203125" style="39"/>
    <col min="3" max="3" width="16.1640625" style="39" bestFit="1" customWidth="1"/>
    <col min="4" max="4" width="15" style="39" bestFit="1" customWidth="1"/>
    <col min="5" max="5" width="23.33203125" style="39" bestFit="1" customWidth="1"/>
    <col min="6" max="6" width="15.1640625" bestFit="1" customWidth="1"/>
    <col min="7" max="8" width="14.33203125" customWidth="1"/>
    <col min="9" max="9" width="12" customWidth="1"/>
    <col min="10" max="10" width="9.33203125" style="23"/>
    <col min="11" max="15" width="9.1640625"/>
    <col min="16" max="16" width="11.1640625" customWidth="1"/>
    <col min="17" max="18" width="11.5" customWidth="1"/>
    <col min="19" max="20" width="9.1640625" customWidth="1"/>
    <col min="21" max="16384" width="9.33203125" style="39"/>
  </cols>
  <sheetData>
    <row r="1" spans="1:29">
      <c r="A1" s="39"/>
      <c r="F1" s="39"/>
      <c r="G1" s="39"/>
      <c r="H1" s="39"/>
      <c r="I1" s="39"/>
      <c r="J1" s="39"/>
      <c r="K1" s="39"/>
      <c r="L1" s="39"/>
      <c r="M1" s="39"/>
      <c r="N1" s="39"/>
      <c r="O1" s="39"/>
      <c r="P1" s="39"/>
      <c r="Q1" s="39"/>
      <c r="R1" s="39"/>
      <c r="S1" s="39"/>
      <c r="T1" s="39"/>
    </row>
    <row r="2" spans="1:29" ht="72">
      <c r="A2" t="s">
        <v>8</v>
      </c>
      <c r="B2" s="40" t="s">
        <v>9</v>
      </c>
      <c r="C2" s="40"/>
      <c r="D2" s="40" t="s">
        <v>4</v>
      </c>
      <c r="E2" s="40" t="s">
        <v>10</v>
      </c>
      <c r="F2" s="38" t="s">
        <v>24</v>
      </c>
      <c r="G2" s="38" t="s">
        <v>470</v>
      </c>
      <c r="H2" s="37" t="s">
        <v>471</v>
      </c>
      <c r="I2" s="37" t="s">
        <v>472</v>
      </c>
      <c r="J2" s="37" t="s">
        <v>473</v>
      </c>
      <c r="K2" s="38" t="s">
        <v>11</v>
      </c>
      <c r="L2" s="38" t="s">
        <v>12</v>
      </c>
      <c r="M2" s="38" t="s">
        <v>474</v>
      </c>
      <c r="N2" s="38" t="s">
        <v>475</v>
      </c>
      <c r="O2" s="38" t="s">
        <v>476</v>
      </c>
      <c r="P2" s="38" t="s">
        <v>477</v>
      </c>
      <c r="Q2" s="37" t="s">
        <v>478</v>
      </c>
      <c r="R2" s="37" t="s">
        <v>479</v>
      </c>
      <c r="S2" s="37" t="s">
        <v>480</v>
      </c>
      <c r="T2" s="38" t="s">
        <v>484</v>
      </c>
      <c r="U2" s="38" t="s">
        <v>485</v>
      </c>
      <c r="V2" s="38" t="s">
        <v>486</v>
      </c>
      <c r="W2" s="38" t="s">
        <v>487</v>
      </c>
      <c r="X2" s="38" t="s">
        <v>488</v>
      </c>
      <c r="Y2" s="38" t="s">
        <v>489</v>
      </c>
      <c r="Z2" s="40"/>
      <c r="AA2" s="40"/>
      <c r="AB2" s="40"/>
      <c r="AC2" s="40"/>
    </row>
    <row r="3" spans="1:29">
      <c r="A3">
        <v>1</v>
      </c>
      <c r="B3" s="39">
        <f>A3+1</f>
        <v>2</v>
      </c>
      <c r="D3" s="39">
        <f>B3+1</f>
        <v>3</v>
      </c>
      <c r="E3" s="39">
        <f t="shared" ref="E3:Y3" si="0">D3+1</f>
        <v>4</v>
      </c>
      <c r="F3" s="39">
        <f t="shared" si="0"/>
        <v>5</v>
      </c>
      <c r="G3" s="39">
        <f t="shared" si="0"/>
        <v>6</v>
      </c>
      <c r="H3" s="39">
        <f t="shared" si="0"/>
        <v>7</v>
      </c>
      <c r="I3" s="39">
        <f t="shared" si="0"/>
        <v>8</v>
      </c>
      <c r="J3" s="39">
        <f t="shared" si="0"/>
        <v>9</v>
      </c>
      <c r="K3" s="39">
        <f t="shared" si="0"/>
        <v>10</v>
      </c>
      <c r="L3" s="39">
        <f t="shared" si="0"/>
        <v>11</v>
      </c>
      <c r="M3" s="39">
        <f t="shared" si="0"/>
        <v>12</v>
      </c>
      <c r="N3" s="39">
        <f t="shared" si="0"/>
        <v>13</v>
      </c>
      <c r="O3" s="39">
        <f t="shared" si="0"/>
        <v>14</v>
      </c>
      <c r="P3" s="39">
        <f t="shared" si="0"/>
        <v>15</v>
      </c>
      <c r="Q3" s="39">
        <f t="shared" si="0"/>
        <v>16</v>
      </c>
      <c r="R3" s="39">
        <f t="shared" si="0"/>
        <v>17</v>
      </c>
      <c r="S3" s="39">
        <f t="shared" si="0"/>
        <v>18</v>
      </c>
      <c r="T3" s="39">
        <f>S3+1</f>
        <v>19</v>
      </c>
      <c r="U3" s="39">
        <f t="shared" si="0"/>
        <v>20</v>
      </c>
      <c r="V3" s="39">
        <f t="shared" si="0"/>
        <v>21</v>
      </c>
      <c r="W3" s="39">
        <f t="shared" si="0"/>
        <v>22</v>
      </c>
      <c r="X3" s="39">
        <f t="shared" si="0"/>
        <v>23</v>
      </c>
      <c r="Y3" s="39">
        <f t="shared" si="0"/>
        <v>24</v>
      </c>
    </row>
    <row r="4" spans="1:29">
      <c r="A4" s="7">
        <v>20100128</v>
      </c>
      <c r="B4" s="108" t="s">
        <v>13</v>
      </c>
      <c r="C4" s="108" t="str">
        <f>A4&amp;B4</f>
        <v>20100128RS</v>
      </c>
      <c r="D4" s="108" t="s">
        <v>438</v>
      </c>
      <c r="E4" s="108" t="str">
        <f>A4&amp;D4</f>
        <v>20100128LGRSE411</v>
      </c>
      <c r="F4" s="4">
        <v>0</v>
      </c>
      <c r="G4" s="5">
        <v>6.7140000000000005E-2</v>
      </c>
      <c r="H4" s="5">
        <v>0</v>
      </c>
      <c r="I4" s="5">
        <v>0</v>
      </c>
      <c r="J4" s="5">
        <v>0</v>
      </c>
      <c r="K4" s="5">
        <v>3.0000000000000001E-3</v>
      </c>
      <c r="L4" s="5">
        <v>2.0580000000000001E-2</v>
      </c>
      <c r="M4" s="5">
        <f>G4-$K4-$L4</f>
        <v>4.3560000000000001E-2</v>
      </c>
      <c r="N4" s="5">
        <f>IF(H4=0,0,H4-$K4-$L4)</f>
        <v>0</v>
      </c>
      <c r="O4" s="5">
        <f>IF(I4=0,0,I4-$K4-$L4)</f>
        <v>0</v>
      </c>
      <c r="P4" s="5">
        <f>IF(J4=0,0,J4-$K4-$L4)</f>
        <v>0</v>
      </c>
      <c r="Q4" s="4">
        <v>0</v>
      </c>
      <c r="R4" s="4">
        <v>0</v>
      </c>
      <c r="S4" s="4">
        <v>0</v>
      </c>
      <c r="T4" s="4">
        <v>0</v>
      </c>
      <c r="U4" s="4">
        <v>0</v>
      </c>
      <c r="V4" s="4">
        <v>0</v>
      </c>
      <c r="W4" s="4">
        <v>0</v>
      </c>
      <c r="X4" s="4">
        <v>0</v>
      </c>
      <c r="Y4" s="4">
        <v>0</v>
      </c>
    </row>
    <row r="5" spans="1:29">
      <c r="A5" s="7">
        <v>20100128</v>
      </c>
      <c r="B5" s="112" t="s">
        <v>456</v>
      </c>
      <c r="C5" s="108" t="str">
        <f t="shared" ref="C5:C42" si="1">A5&amp;B5</f>
        <v>20100128GSWH</v>
      </c>
      <c r="D5" s="108" t="s">
        <v>407</v>
      </c>
      <c r="E5" s="108" t="str">
        <f t="shared" ref="E5:E42" si="2">A5&amp;D5</f>
        <v>20100128LGCME451</v>
      </c>
      <c r="F5" s="4">
        <v>0</v>
      </c>
      <c r="G5" s="5">
        <v>7.5789999999999996E-2</v>
      </c>
      <c r="H5" s="5">
        <v>0</v>
      </c>
      <c r="I5" s="5">
        <v>0</v>
      </c>
      <c r="J5" s="5">
        <v>0</v>
      </c>
      <c r="K5" s="5">
        <v>3.29E-3</v>
      </c>
      <c r="L5" s="5">
        <v>2.0580000000000001E-2</v>
      </c>
      <c r="M5" s="5">
        <v>5.1919999999999994E-2</v>
      </c>
      <c r="N5" s="5">
        <f t="shared" ref="N5:P42" si="3">IF(H5=0,0,H5-$K5-$L5)</f>
        <v>0</v>
      </c>
      <c r="O5" s="5">
        <f t="shared" si="3"/>
        <v>0</v>
      </c>
      <c r="P5" s="5">
        <f t="shared" si="3"/>
        <v>0</v>
      </c>
      <c r="Q5" s="4">
        <v>0</v>
      </c>
      <c r="R5" s="4">
        <v>0</v>
      </c>
      <c r="S5" s="4">
        <v>0</v>
      </c>
      <c r="T5" s="4">
        <v>0</v>
      </c>
      <c r="U5" s="4">
        <v>0</v>
      </c>
      <c r="V5" s="4">
        <v>0</v>
      </c>
      <c r="W5" s="4">
        <v>0</v>
      </c>
      <c r="X5" s="4">
        <v>0</v>
      </c>
      <c r="Y5" s="4">
        <v>0</v>
      </c>
    </row>
    <row r="6" spans="1:29">
      <c r="A6" s="7">
        <v>20100128</v>
      </c>
      <c r="B6" s="108" t="s">
        <v>13</v>
      </c>
      <c r="C6" s="108" t="str">
        <f t="shared" si="1"/>
        <v>20100128RS</v>
      </c>
      <c r="D6" s="108" t="s">
        <v>439</v>
      </c>
      <c r="E6" s="108" t="str">
        <f t="shared" si="2"/>
        <v>20100128LGRSE511</v>
      </c>
      <c r="F6" s="4">
        <v>5</v>
      </c>
      <c r="G6" s="5">
        <v>6.7140000000000005E-2</v>
      </c>
      <c r="H6" s="5">
        <v>0</v>
      </c>
      <c r="I6" s="5">
        <v>0</v>
      </c>
      <c r="J6" s="5">
        <v>0</v>
      </c>
      <c r="K6" s="5">
        <v>3.0000000000000001E-3</v>
      </c>
      <c r="L6" s="5">
        <v>2.0580000000000001E-2</v>
      </c>
      <c r="M6" s="5">
        <v>4.3560000000000001E-2</v>
      </c>
      <c r="N6" s="5">
        <f t="shared" si="3"/>
        <v>0</v>
      </c>
      <c r="O6" s="5">
        <f t="shared" si="3"/>
        <v>0</v>
      </c>
      <c r="P6" s="5">
        <f t="shared" si="3"/>
        <v>0</v>
      </c>
      <c r="Q6" s="4">
        <v>0</v>
      </c>
      <c r="R6" s="4">
        <v>0</v>
      </c>
      <c r="S6" s="4">
        <v>0</v>
      </c>
      <c r="T6" s="4">
        <v>0</v>
      </c>
      <c r="U6" s="4">
        <v>0</v>
      </c>
      <c r="V6" s="4">
        <v>0</v>
      </c>
      <c r="W6" s="4">
        <v>0</v>
      </c>
      <c r="X6" s="4">
        <v>0</v>
      </c>
      <c r="Y6" s="4">
        <v>0</v>
      </c>
    </row>
    <row r="7" spans="1:29">
      <c r="A7" s="7">
        <v>20100128</v>
      </c>
      <c r="B7" s="108" t="s">
        <v>13</v>
      </c>
      <c r="C7" s="108" t="str">
        <f t="shared" si="1"/>
        <v>20100128RS</v>
      </c>
      <c r="D7" s="108" t="s">
        <v>440</v>
      </c>
      <c r="E7" s="108" t="str">
        <f t="shared" si="2"/>
        <v>20100128LGRSE519</v>
      </c>
      <c r="F7" s="4">
        <v>5</v>
      </c>
      <c r="G7" s="5">
        <v>6.7140000000000005E-2</v>
      </c>
      <c r="H7" s="5">
        <v>0</v>
      </c>
      <c r="I7" s="5">
        <v>0</v>
      </c>
      <c r="J7" s="5">
        <v>0</v>
      </c>
      <c r="K7" s="5">
        <v>3.0000000000000001E-3</v>
      </c>
      <c r="L7" s="5">
        <v>2.0580000000000001E-2</v>
      </c>
      <c r="M7" s="5">
        <v>4.3560000000000001E-2</v>
      </c>
      <c r="N7" s="5">
        <f t="shared" si="3"/>
        <v>0</v>
      </c>
      <c r="O7" s="5">
        <f t="shared" si="3"/>
        <v>0</v>
      </c>
      <c r="P7" s="5">
        <f t="shared" si="3"/>
        <v>0</v>
      </c>
      <c r="Q7" s="4">
        <v>0</v>
      </c>
      <c r="R7" s="4">
        <v>0</v>
      </c>
      <c r="S7" s="4">
        <v>0</v>
      </c>
      <c r="T7" s="4">
        <v>0</v>
      </c>
      <c r="U7" s="4">
        <v>0</v>
      </c>
      <c r="V7" s="4">
        <v>0</v>
      </c>
      <c r="W7" s="4">
        <v>0</v>
      </c>
      <c r="X7" s="4">
        <v>0</v>
      </c>
      <c r="Y7" s="4">
        <v>0</v>
      </c>
    </row>
    <row r="8" spans="1:29">
      <c r="A8" s="7">
        <v>20100128</v>
      </c>
      <c r="B8" s="108" t="s">
        <v>745</v>
      </c>
      <c r="C8" s="108" t="str">
        <f t="shared" si="1"/>
        <v>20100128VFD</v>
      </c>
      <c r="D8" s="108" t="s">
        <v>441</v>
      </c>
      <c r="E8" s="108" t="str">
        <f t="shared" si="2"/>
        <v>20100128LGRSE540</v>
      </c>
      <c r="F8" s="4">
        <v>5</v>
      </c>
      <c r="G8" s="5">
        <v>6.7140000000000005E-2</v>
      </c>
      <c r="H8" s="5">
        <v>0</v>
      </c>
      <c r="I8" s="5">
        <v>0</v>
      </c>
      <c r="J8" s="5">
        <v>0</v>
      </c>
      <c r="K8" s="5">
        <v>3.0000000000000001E-3</v>
      </c>
      <c r="L8" s="5">
        <v>2.0580000000000001E-2</v>
      </c>
      <c r="M8" s="5">
        <v>4.3560000000000001E-2</v>
      </c>
      <c r="N8" s="5">
        <f t="shared" si="3"/>
        <v>0</v>
      </c>
      <c r="O8" s="5">
        <f t="shared" si="3"/>
        <v>0</v>
      </c>
      <c r="P8" s="5">
        <f t="shared" si="3"/>
        <v>0</v>
      </c>
      <c r="Q8" s="4">
        <v>0</v>
      </c>
      <c r="R8" s="4">
        <v>0</v>
      </c>
      <c r="S8" s="4">
        <v>0</v>
      </c>
      <c r="T8" s="4">
        <v>0</v>
      </c>
      <c r="U8" s="4">
        <v>0</v>
      </c>
      <c r="V8" s="4">
        <v>0</v>
      </c>
      <c r="W8" s="4">
        <v>0</v>
      </c>
      <c r="X8" s="4">
        <v>0</v>
      </c>
      <c r="Y8" s="4">
        <v>0</v>
      </c>
    </row>
    <row r="9" spans="1:29">
      <c r="A9" s="7">
        <v>20100128</v>
      </c>
      <c r="B9" s="108" t="s">
        <v>680</v>
      </c>
      <c r="C9" s="108" t="str">
        <f t="shared" si="1"/>
        <v>20100128LEV</v>
      </c>
      <c r="D9" s="112" t="s">
        <v>755</v>
      </c>
      <c r="E9" s="108" t="str">
        <f t="shared" si="2"/>
        <v>20100128LGRSE543</v>
      </c>
      <c r="F9" s="5">
        <v>0</v>
      </c>
      <c r="G9" s="5">
        <v>0</v>
      </c>
      <c r="H9" s="5">
        <v>0</v>
      </c>
      <c r="I9" s="5">
        <v>0</v>
      </c>
      <c r="J9" s="5">
        <v>0</v>
      </c>
      <c r="K9" s="5">
        <v>0</v>
      </c>
      <c r="L9" s="5">
        <v>0</v>
      </c>
      <c r="M9" s="5">
        <v>0</v>
      </c>
      <c r="N9" s="5">
        <f>IF(H9=0,0,H9-$K9-$L9)</f>
        <v>0</v>
      </c>
      <c r="O9" s="5">
        <f>IF(I9=0,0,I9-$K9-$L9)</f>
        <v>0</v>
      </c>
      <c r="P9" s="5">
        <f>IF(J9=0,0,J9-$K9-$L9)</f>
        <v>0</v>
      </c>
      <c r="Q9" s="4">
        <v>0</v>
      </c>
      <c r="R9" s="4">
        <v>0</v>
      </c>
      <c r="S9" s="4">
        <v>0</v>
      </c>
      <c r="T9" s="4">
        <v>0</v>
      </c>
      <c r="U9" s="4">
        <v>0</v>
      </c>
      <c r="V9" s="4">
        <v>0</v>
      </c>
      <c r="W9" s="4">
        <v>0</v>
      </c>
      <c r="X9" s="4">
        <v>0</v>
      </c>
      <c r="Y9" s="4">
        <v>0</v>
      </c>
    </row>
    <row r="10" spans="1:29">
      <c r="A10" s="7">
        <v>20100128</v>
      </c>
      <c r="B10" s="112" t="s">
        <v>465</v>
      </c>
      <c r="C10" s="108" t="str">
        <f t="shared" si="1"/>
        <v>20100128RRP</v>
      </c>
      <c r="D10" s="112" t="s">
        <v>442</v>
      </c>
      <c r="E10" s="108" t="str">
        <f t="shared" si="2"/>
        <v>20100128LGRSE541</v>
      </c>
      <c r="F10" s="4">
        <v>10</v>
      </c>
      <c r="G10" s="5">
        <v>4.6280000000000002E-2</v>
      </c>
      <c r="H10" s="5">
        <v>5.8590000000000003E-2</v>
      </c>
      <c r="I10" s="5">
        <v>0.11278000000000001</v>
      </c>
      <c r="J10" s="5">
        <v>0.32136999999999999</v>
      </c>
      <c r="K10" s="5">
        <v>3.0000000000000001E-3</v>
      </c>
      <c r="L10" s="5">
        <v>2.0580000000000001E-2</v>
      </c>
      <c r="M10" s="5">
        <v>2.2699999999999998E-2</v>
      </c>
      <c r="N10" s="5">
        <v>3.5009999999999999E-2</v>
      </c>
      <c r="O10" s="5">
        <v>8.9200000000000002E-2</v>
      </c>
      <c r="P10" s="5">
        <v>0.29779</v>
      </c>
      <c r="Q10" s="4">
        <v>0</v>
      </c>
      <c r="R10" s="4">
        <v>0</v>
      </c>
      <c r="S10" s="4">
        <v>0</v>
      </c>
      <c r="T10" s="4">
        <v>0</v>
      </c>
      <c r="U10" s="4">
        <v>0</v>
      </c>
      <c r="V10" s="4">
        <v>0</v>
      </c>
      <c r="W10" s="4">
        <v>0</v>
      </c>
      <c r="X10" s="4">
        <v>0</v>
      </c>
      <c r="Y10" s="4">
        <v>0</v>
      </c>
    </row>
    <row r="11" spans="1:29">
      <c r="A11" s="7">
        <v>20100128</v>
      </c>
      <c r="B11" s="112" t="s">
        <v>883</v>
      </c>
      <c r="C11" s="108" t="str">
        <f t="shared" si="1"/>
        <v>20100128GSP</v>
      </c>
      <c r="D11" s="108" t="s">
        <v>408</v>
      </c>
      <c r="E11" s="108" t="str">
        <f t="shared" si="2"/>
        <v>20100128LGCME550</v>
      </c>
      <c r="F11" s="4">
        <v>10</v>
      </c>
      <c r="G11" s="5">
        <v>7.5789999999999996E-2</v>
      </c>
      <c r="H11" s="5">
        <v>0</v>
      </c>
      <c r="I11" s="5">
        <v>0</v>
      </c>
      <c r="J11" s="5">
        <v>0</v>
      </c>
      <c r="K11" s="5">
        <v>3.29E-3</v>
      </c>
      <c r="L11" s="5">
        <v>2.0580000000000001E-2</v>
      </c>
      <c r="M11" s="5">
        <v>5.1919999999999994E-2</v>
      </c>
      <c r="N11" s="5">
        <f t="shared" si="3"/>
        <v>0</v>
      </c>
      <c r="O11" s="5">
        <f t="shared" si="3"/>
        <v>0</v>
      </c>
      <c r="P11" s="5">
        <f t="shared" si="3"/>
        <v>0</v>
      </c>
      <c r="Q11" s="4">
        <v>0</v>
      </c>
      <c r="R11" s="4">
        <v>0</v>
      </c>
      <c r="S11" s="4">
        <v>0</v>
      </c>
      <c r="T11" s="4">
        <v>0</v>
      </c>
      <c r="U11" s="4">
        <v>0</v>
      </c>
      <c r="V11" s="4">
        <v>0</v>
      </c>
      <c r="W11" s="4">
        <v>0</v>
      </c>
      <c r="X11" s="4">
        <v>0</v>
      </c>
      <c r="Y11" s="4">
        <v>0</v>
      </c>
    </row>
    <row r="12" spans="1:29">
      <c r="A12" s="7">
        <v>20100128</v>
      </c>
      <c r="B12" s="108" t="s">
        <v>453</v>
      </c>
      <c r="C12" s="108" t="str">
        <f t="shared" si="1"/>
        <v>20100128GSS</v>
      </c>
      <c r="D12" s="108" t="s">
        <v>409</v>
      </c>
      <c r="E12" s="108" t="str">
        <f t="shared" si="2"/>
        <v>20100128LGCME551</v>
      </c>
      <c r="F12" s="4">
        <v>10</v>
      </c>
      <c r="G12" s="5">
        <v>7.5789999999999996E-2</v>
      </c>
      <c r="H12" s="5">
        <v>0</v>
      </c>
      <c r="I12" s="5">
        <v>0</v>
      </c>
      <c r="J12" s="5">
        <v>0</v>
      </c>
      <c r="K12" s="5">
        <v>3.29E-3</v>
      </c>
      <c r="L12" s="5">
        <v>2.0580000000000001E-2</v>
      </c>
      <c r="M12" s="5">
        <v>5.1919999999999994E-2</v>
      </c>
      <c r="N12" s="5">
        <f t="shared" si="3"/>
        <v>0</v>
      </c>
      <c r="O12" s="5">
        <f t="shared" si="3"/>
        <v>0</v>
      </c>
      <c r="P12" s="5">
        <f t="shared" si="3"/>
        <v>0</v>
      </c>
      <c r="Q12" s="4">
        <v>0</v>
      </c>
      <c r="R12" s="4">
        <v>0</v>
      </c>
      <c r="S12" s="4">
        <v>0</v>
      </c>
      <c r="T12" s="4">
        <v>0</v>
      </c>
      <c r="U12" s="4">
        <v>0</v>
      </c>
      <c r="V12" s="4">
        <v>0</v>
      </c>
      <c r="W12" s="4">
        <v>0</v>
      </c>
      <c r="X12" s="4">
        <v>0</v>
      </c>
      <c r="Y12" s="4">
        <v>0</v>
      </c>
    </row>
    <row r="13" spans="1:29">
      <c r="A13" s="7">
        <v>20100128</v>
      </c>
      <c r="B13" s="112" t="s">
        <v>882</v>
      </c>
      <c r="C13" s="108" t="str">
        <f t="shared" si="1"/>
        <v>20100128GSUM</v>
      </c>
      <c r="D13" s="108" t="s">
        <v>410</v>
      </c>
      <c r="E13" s="108" t="str">
        <f t="shared" si="2"/>
        <v>20100128LGCME551UM</v>
      </c>
      <c r="F13" s="4">
        <v>10</v>
      </c>
      <c r="G13" s="5">
        <v>7.5789999999999996E-2</v>
      </c>
      <c r="H13" s="5">
        <v>0</v>
      </c>
      <c r="I13" s="5">
        <v>0</v>
      </c>
      <c r="J13" s="5">
        <v>0</v>
      </c>
      <c r="K13" s="5">
        <v>3.29E-3</v>
      </c>
      <c r="L13" s="5">
        <v>2.0580000000000001E-2</v>
      </c>
      <c r="M13" s="5">
        <v>5.1919999999999994E-2</v>
      </c>
      <c r="N13" s="5">
        <f t="shared" si="3"/>
        <v>0</v>
      </c>
      <c r="O13" s="5">
        <f t="shared" si="3"/>
        <v>0</v>
      </c>
      <c r="P13" s="5">
        <f t="shared" si="3"/>
        <v>0</v>
      </c>
      <c r="Q13" s="4">
        <v>0</v>
      </c>
      <c r="R13" s="4">
        <v>0</v>
      </c>
      <c r="S13" s="4">
        <v>0</v>
      </c>
      <c r="T13" s="4">
        <v>0</v>
      </c>
      <c r="U13" s="4">
        <v>0</v>
      </c>
      <c r="V13" s="4">
        <v>0</v>
      </c>
      <c r="W13" s="4">
        <v>0</v>
      </c>
      <c r="X13" s="4">
        <v>0</v>
      </c>
      <c r="Y13" s="4">
        <v>0</v>
      </c>
    </row>
    <row r="14" spans="1:29">
      <c r="A14" s="7">
        <v>20100128</v>
      </c>
      <c r="B14" s="112" t="s">
        <v>877</v>
      </c>
      <c r="C14" s="108" t="str">
        <f t="shared" si="1"/>
        <v>20100128GSNM</v>
      </c>
      <c r="D14" s="108" t="s">
        <v>413</v>
      </c>
      <c r="E14" s="108" t="str">
        <f t="shared" si="2"/>
        <v>20100128LGCME557</v>
      </c>
      <c r="F14" s="4">
        <v>10</v>
      </c>
      <c r="G14" s="5">
        <v>7.5789999999999996E-2</v>
      </c>
      <c r="H14" s="5">
        <v>0</v>
      </c>
      <c r="I14" s="5">
        <v>0</v>
      </c>
      <c r="J14" s="5">
        <v>0</v>
      </c>
      <c r="K14" s="5">
        <v>3.29E-3</v>
      </c>
      <c r="L14" s="5">
        <v>2.0580000000000001E-2</v>
      </c>
      <c r="M14" s="5">
        <v>5.1919999999999994E-2</v>
      </c>
      <c r="N14" s="5">
        <f t="shared" si="3"/>
        <v>0</v>
      </c>
      <c r="O14" s="5">
        <f t="shared" si="3"/>
        <v>0</v>
      </c>
      <c r="P14" s="5">
        <f t="shared" si="3"/>
        <v>0</v>
      </c>
      <c r="Q14" s="4">
        <v>0</v>
      </c>
      <c r="R14" s="4">
        <v>0</v>
      </c>
      <c r="S14" s="4">
        <v>0</v>
      </c>
      <c r="T14" s="4">
        <v>0</v>
      </c>
      <c r="U14" s="4">
        <v>0</v>
      </c>
      <c r="V14" s="4">
        <v>0</v>
      </c>
      <c r="W14" s="4">
        <v>0</v>
      </c>
      <c r="X14" s="4">
        <v>0</v>
      </c>
      <c r="Y14" s="4">
        <v>0</v>
      </c>
    </row>
    <row r="15" spans="1:29">
      <c r="A15" s="7">
        <v>20100128</v>
      </c>
      <c r="B15" s="112" t="s">
        <v>455</v>
      </c>
      <c r="C15" s="108" t="str">
        <f t="shared" si="1"/>
        <v>20100128GSSH</v>
      </c>
      <c r="D15" s="108" t="s">
        <v>411</v>
      </c>
      <c r="E15" s="108" t="str">
        <f t="shared" si="2"/>
        <v>20100128LGCME552</v>
      </c>
      <c r="F15" s="4">
        <v>0</v>
      </c>
      <c r="G15" s="5">
        <v>7.5789999999999996E-2</v>
      </c>
      <c r="H15" s="5">
        <v>0</v>
      </c>
      <c r="I15" s="5">
        <v>0</v>
      </c>
      <c r="J15" s="5">
        <v>0</v>
      </c>
      <c r="K15" s="5">
        <v>3.29E-3</v>
      </c>
      <c r="L15" s="5">
        <v>2.0580000000000001E-2</v>
      </c>
      <c r="M15" s="5">
        <v>5.1919999999999994E-2</v>
      </c>
      <c r="N15" s="5">
        <f t="shared" si="3"/>
        <v>0</v>
      </c>
      <c r="O15" s="5">
        <f t="shared" si="3"/>
        <v>0</v>
      </c>
      <c r="P15" s="5">
        <f t="shared" si="3"/>
        <v>0</v>
      </c>
      <c r="Q15" s="4">
        <v>0</v>
      </c>
      <c r="R15" s="4">
        <v>0</v>
      </c>
      <c r="S15" s="4">
        <v>0</v>
      </c>
      <c r="T15" s="4">
        <v>0</v>
      </c>
      <c r="U15" s="4">
        <v>0</v>
      </c>
      <c r="V15" s="4">
        <v>0</v>
      </c>
      <c r="W15" s="4">
        <v>0</v>
      </c>
      <c r="X15" s="4">
        <v>0</v>
      </c>
      <c r="Y15" s="4">
        <v>0</v>
      </c>
    </row>
    <row r="16" spans="1:29">
      <c r="A16" s="7">
        <v>20100128</v>
      </c>
      <c r="B16" s="112" t="s">
        <v>879</v>
      </c>
      <c r="C16" s="108" t="str">
        <f t="shared" si="1"/>
        <v>20100128GSRP</v>
      </c>
      <c r="D16" s="112" t="s">
        <v>412</v>
      </c>
      <c r="E16" s="108" t="str">
        <f t="shared" si="2"/>
        <v>20100128LGCME555</v>
      </c>
      <c r="F16" s="4">
        <v>20</v>
      </c>
      <c r="G16" s="5">
        <v>5.3179999999999998E-2</v>
      </c>
      <c r="H16" s="5">
        <v>6.8080000000000002E-2</v>
      </c>
      <c r="I16" s="5">
        <v>0.14247000000000001</v>
      </c>
      <c r="J16" s="5">
        <v>0.30861</v>
      </c>
      <c r="K16" s="5">
        <v>3.29E-3</v>
      </c>
      <c r="L16" s="5">
        <v>2.0580000000000001E-2</v>
      </c>
      <c r="M16" s="5">
        <v>2.9309999999999996E-2</v>
      </c>
      <c r="N16" s="5">
        <v>4.4209999999999999E-2</v>
      </c>
      <c r="O16" s="5">
        <v>0.11860000000000002</v>
      </c>
      <c r="P16" s="5">
        <v>0.28473999999999999</v>
      </c>
      <c r="Q16" s="4">
        <v>0</v>
      </c>
      <c r="R16" s="4">
        <v>0</v>
      </c>
      <c r="S16" s="4">
        <v>0</v>
      </c>
      <c r="T16" s="4">
        <v>0</v>
      </c>
      <c r="U16" s="4">
        <v>0</v>
      </c>
      <c r="V16" s="4">
        <v>0</v>
      </c>
      <c r="W16" s="4">
        <v>0</v>
      </c>
      <c r="X16" s="4">
        <v>0</v>
      </c>
      <c r="Y16" s="4">
        <v>0</v>
      </c>
    </row>
    <row r="17" spans="1:25">
      <c r="A17" s="7">
        <v>20100128</v>
      </c>
      <c r="B17" s="112" t="s">
        <v>765</v>
      </c>
      <c r="C17" s="108" t="str">
        <f t="shared" si="1"/>
        <v>20100128GS3P</v>
      </c>
      <c r="D17" s="108" t="s">
        <v>419</v>
      </c>
      <c r="E17" s="108" t="str">
        <f t="shared" si="2"/>
        <v>20100128LGCME650</v>
      </c>
      <c r="F17" s="4">
        <v>15</v>
      </c>
      <c r="G17" s="5">
        <v>7.5789999999999996E-2</v>
      </c>
      <c r="H17" s="5">
        <v>0</v>
      </c>
      <c r="I17" s="5">
        <v>0</v>
      </c>
      <c r="J17" s="5">
        <v>0</v>
      </c>
      <c r="K17" s="5">
        <v>3.29E-3</v>
      </c>
      <c r="L17" s="5">
        <v>2.0580000000000001E-2</v>
      </c>
      <c r="M17" s="5">
        <v>5.1919999999999994E-2</v>
      </c>
      <c r="N17" s="5">
        <f t="shared" si="3"/>
        <v>0</v>
      </c>
      <c r="O17" s="5">
        <f t="shared" si="3"/>
        <v>0</v>
      </c>
      <c r="P17" s="5">
        <f t="shared" si="3"/>
        <v>0</v>
      </c>
      <c r="Q17" s="4">
        <v>0</v>
      </c>
      <c r="R17" s="4">
        <v>0</v>
      </c>
      <c r="S17" s="4">
        <v>0</v>
      </c>
      <c r="T17" s="4">
        <v>0</v>
      </c>
      <c r="U17" s="4">
        <v>0</v>
      </c>
      <c r="V17" s="4">
        <v>0</v>
      </c>
      <c r="W17" s="4">
        <v>0</v>
      </c>
      <c r="X17" s="4">
        <v>0</v>
      </c>
      <c r="Y17" s="4">
        <v>0</v>
      </c>
    </row>
    <row r="18" spans="1:25">
      <c r="A18" s="7">
        <v>20100128</v>
      </c>
      <c r="B18" s="112" t="s">
        <v>14</v>
      </c>
      <c r="C18" s="108" t="str">
        <f t="shared" si="1"/>
        <v>20100128GS3</v>
      </c>
      <c r="D18" s="108" t="s">
        <v>420</v>
      </c>
      <c r="E18" s="108" t="str">
        <f t="shared" si="2"/>
        <v>20100128LGCME651</v>
      </c>
      <c r="F18" s="4">
        <v>15</v>
      </c>
      <c r="G18" s="5">
        <v>7.5789999999999996E-2</v>
      </c>
      <c r="H18" s="5">
        <v>0</v>
      </c>
      <c r="I18" s="5">
        <v>0</v>
      </c>
      <c r="J18" s="5">
        <v>0</v>
      </c>
      <c r="K18" s="5">
        <v>3.29E-3</v>
      </c>
      <c r="L18" s="5">
        <v>2.0580000000000001E-2</v>
      </c>
      <c r="M18" s="5">
        <v>5.1919999999999994E-2</v>
      </c>
      <c r="N18" s="5">
        <f t="shared" si="3"/>
        <v>0</v>
      </c>
      <c r="O18" s="5">
        <f t="shared" si="3"/>
        <v>0</v>
      </c>
      <c r="P18" s="5">
        <f t="shared" si="3"/>
        <v>0</v>
      </c>
      <c r="Q18" s="4">
        <v>0</v>
      </c>
      <c r="R18" s="4">
        <v>0</v>
      </c>
      <c r="S18" s="4">
        <v>0</v>
      </c>
      <c r="T18" s="4">
        <v>0</v>
      </c>
      <c r="U18" s="4">
        <v>0</v>
      </c>
      <c r="V18" s="4">
        <v>0</v>
      </c>
      <c r="W18" s="4">
        <v>0</v>
      </c>
      <c r="X18" s="4">
        <v>0</v>
      </c>
      <c r="Y18" s="4">
        <v>0</v>
      </c>
    </row>
    <row r="19" spans="1:25">
      <c r="A19" s="7">
        <v>20100128</v>
      </c>
      <c r="B19" s="112" t="s">
        <v>859</v>
      </c>
      <c r="C19" s="108" t="str">
        <f t="shared" si="1"/>
        <v>20100128GS3NM</v>
      </c>
      <c r="D19" s="108" t="s">
        <v>423</v>
      </c>
      <c r="E19" s="108" t="str">
        <f t="shared" si="2"/>
        <v>20100128LGCME657</v>
      </c>
      <c r="F19" s="4">
        <v>15</v>
      </c>
      <c r="G19" s="5">
        <v>7.5789999999999996E-2</v>
      </c>
      <c r="H19" s="5">
        <v>0</v>
      </c>
      <c r="I19" s="5">
        <v>0</v>
      </c>
      <c r="J19" s="5">
        <v>0</v>
      </c>
      <c r="K19" s="5">
        <v>3.29E-3</v>
      </c>
      <c r="L19" s="5">
        <v>2.0580000000000001E-2</v>
      </c>
      <c r="M19" s="5">
        <v>5.1919999999999994E-2</v>
      </c>
      <c r="N19" s="5">
        <f t="shared" si="3"/>
        <v>0</v>
      </c>
      <c r="O19" s="5">
        <f t="shared" si="3"/>
        <v>0</v>
      </c>
      <c r="P19" s="5">
        <f t="shared" si="3"/>
        <v>0</v>
      </c>
      <c r="Q19" s="4">
        <v>0</v>
      </c>
      <c r="R19" s="4">
        <v>0</v>
      </c>
      <c r="S19" s="4">
        <v>0</v>
      </c>
      <c r="T19" s="4">
        <v>0</v>
      </c>
      <c r="U19" s="4">
        <v>0</v>
      </c>
      <c r="V19" s="4">
        <v>0</v>
      </c>
      <c r="W19" s="4">
        <v>0</v>
      </c>
      <c r="X19" s="4">
        <v>0</v>
      </c>
      <c r="Y19" s="4">
        <v>0</v>
      </c>
    </row>
    <row r="20" spans="1:25">
      <c r="A20" s="7">
        <v>20100128</v>
      </c>
      <c r="B20" s="112" t="s">
        <v>858</v>
      </c>
      <c r="C20" s="108" t="str">
        <f t="shared" si="1"/>
        <v>20100128GS3SH</v>
      </c>
      <c r="D20" s="108" t="s">
        <v>421</v>
      </c>
      <c r="E20" s="108" t="str">
        <f t="shared" si="2"/>
        <v>20100128LGCME652</v>
      </c>
      <c r="F20" s="4">
        <v>0</v>
      </c>
      <c r="G20" s="5">
        <v>7.5789999999999996E-2</v>
      </c>
      <c r="H20" s="5">
        <v>0</v>
      </c>
      <c r="I20" s="5">
        <v>0</v>
      </c>
      <c r="J20" s="5">
        <v>0</v>
      </c>
      <c r="K20" s="5">
        <v>3.29E-3</v>
      </c>
      <c r="L20" s="5">
        <v>2.0580000000000001E-2</v>
      </c>
      <c r="M20" s="5">
        <v>5.1919999999999994E-2</v>
      </c>
      <c r="N20" s="5">
        <f t="shared" si="3"/>
        <v>0</v>
      </c>
      <c r="O20" s="5">
        <f t="shared" si="3"/>
        <v>0</v>
      </c>
      <c r="P20" s="5">
        <f t="shared" si="3"/>
        <v>0</v>
      </c>
      <c r="Q20" s="4">
        <v>0</v>
      </c>
      <c r="R20" s="4">
        <v>0</v>
      </c>
      <c r="S20" s="4">
        <v>0</v>
      </c>
      <c r="T20" s="4">
        <v>0</v>
      </c>
      <c r="U20" s="4">
        <v>0</v>
      </c>
      <c r="V20" s="4">
        <v>0</v>
      </c>
      <c r="W20" s="4">
        <v>0</v>
      </c>
      <c r="X20" s="4">
        <v>0</v>
      </c>
      <c r="Y20" s="4">
        <v>0</v>
      </c>
    </row>
    <row r="21" spans="1:25">
      <c r="A21" s="7">
        <v>20100128</v>
      </c>
      <c r="B21" s="112" t="s">
        <v>716</v>
      </c>
      <c r="C21" s="108" t="str">
        <f t="shared" si="1"/>
        <v>20100128G3RP</v>
      </c>
      <c r="D21" s="112" t="s">
        <v>422</v>
      </c>
      <c r="E21" s="108" t="str">
        <f t="shared" si="2"/>
        <v>20100128LGCME656</v>
      </c>
      <c r="F21" s="4">
        <v>20</v>
      </c>
      <c r="G21" s="5">
        <v>5.3179999999999998E-2</v>
      </c>
      <c r="H21" s="5">
        <v>6.8080000000000002E-2</v>
      </c>
      <c r="I21" s="5">
        <v>0.14247000000000001</v>
      </c>
      <c r="J21" s="5">
        <v>0.30861</v>
      </c>
      <c r="K21" s="5">
        <v>3.29E-3</v>
      </c>
      <c r="L21" s="5">
        <v>2.0580000000000001E-2</v>
      </c>
      <c r="M21" s="5">
        <v>2.9309999999999996E-2</v>
      </c>
      <c r="N21" s="5">
        <v>4.4209999999999999E-2</v>
      </c>
      <c r="O21" s="5">
        <v>0.11860000000000002</v>
      </c>
      <c r="P21" s="5">
        <v>0.28473999999999999</v>
      </c>
      <c r="Q21" s="4">
        <v>0</v>
      </c>
      <c r="R21" s="4">
        <v>0</v>
      </c>
      <c r="S21" s="4">
        <v>0</v>
      </c>
      <c r="T21" s="4">
        <v>0</v>
      </c>
      <c r="U21" s="4">
        <v>0</v>
      </c>
      <c r="V21" s="4">
        <v>0</v>
      </c>
      <c r="W21" s="4">
        <v>0</v>
      </c>
      <c r="X21" s="4">
        <v>0</v>
      </c>
      <c r="Y21" s="4">
        <v>0</v>
      </c>
    </row>
    <row r="22" spans="1:25">
      <c r="A22" s="7">
        <v>20100128</v>
      </c>
      <c r="B22" s="108" t="s">
        <v>20</v>
      </c>
      <c r="C22" s="108" t="str">
        <f t="shared" si="1"/>
        <v>20100128PSS</v>
      </c>
      <c r="D22" s="108" t="s">
        <v>414</v>
      </c>
      <c r="E22" s="108" t="str">
        <f t="shared" si="2"/>
        <v>20100128LGCME561</v>
      </c>
      <c r="F22" s="4">
        <v>65</v>
      </c>
      <c r="G22" s="5">
        <v>2.9559999999999999E-2</v>
      </c>
      <c r="H22" s="5">
        <v>0</v>
      </c>
      <c r="I22" s="5">
        <v>0</v>
      </c>
      <c r="J22" s="5">
        <v>0</v>
      </c>
      <c r="K22" s="5">
        <v>0</v>
      </c>
      <c r="L22" s="5">
        <v>2.0580000000000001E-2</v>
      </c>
      <c r="M22" s="5">
        <v>8.9799999999999984E-3</v>
      </c>
      <c r="N22" s="5">
        <f t="shared" si="3"/>
        <v>0</v>
      </c>
      <c r="O22" s="5">
        <f t="shared" si="3"/>
        <v>0</v>
      </c>
      <c r="P22" s="5">
        <f t="shared" si="3"/>
        <v>0</v>
      </c>
      <c r="Q22" s="4">
        <v>0</v>
      </c>
      <c r="R22" s="4">
        <v>11.93</v>
      </c>
      <c r="S22" s="4">
        <v>14.99</v>
      </c>
      <c r="T22" s="4">
        <v>0</v>
      </c>
      <c r="U22" s="4">
        <v>1.04</v>
      </c>
      <c r="V22" s="4">
        <v>1.04</v>
      </c>
      <c r="W22" s="4">
        <v>0</v>
      </c>
      <c r="X22" s="4">
        <v>12.82</v>
      </c>
      <c r="Y22" s="4">
        <v>15.07</v>
      </c>
    </row>
    <row r="23" spans="1:25">
      <c r="A23" s="7">
        <v>20100128</v>
      </c>
      <c r="B23" s="108" t="s">
        <v>21</v>
      </c>
      <c r="C23" s="108" t="str">
        <f t="shared" si="1"/>
        <v>20100128PSP</v>
      </c>
      <c r="D23" s="108" t="s">
        <v>415</v>
      </c>
      <c r="E23" s="108" t="str">
        <f t="shared" si="2"/>
        <v>20100128LGCME563</v>
      </c>
      <c r="F23" s="4">
        <v>65</v>
      </c>
      <c r="G23" s="5">
        <v>2.9559999999999999E-2</v>
      </c>
      <c r="H23" s="5">
        <v>0</v>
      </c>
      <c r="I23" s="5">
        <v>0</v>
      </c>
      <c r="J23" s="5">
        <v>0</v>
      </c>
      <c r="K23" s="5">
        <v>0</v>
      </c>
      <c r="L23" s="5">
        <v>2.0580000000000001E-2</v>
      </c>
      <c r="M23" s="5">
        <v>8.9799999999999984E-3</v>
      </c>
      <c r="N23" s="5">
        <f t="shared" si="3"/>
        <v>0</v>
      </c>
      <c r="O23" s="5">
        <f t="shared" si="3"/>
        <v>0</v>
      </c>
      <c r="P23" s="5">
        <f t="shared" si="3"/>
        <v>0</v>
      </c>
      <c r="Q23" s="4">
        <v>0</v>
      </c>
      <c r="R23" s="4">
        <v>10.35</v>
      </c>
      <c r="S23" s="4">
        <v>13.15</v>
      </c>
      <c r="T23" s="4">
        <v>0</v>
      </c>
      <c r="U23" s="4">
        <v>1.04</v>
      </c>
      <c r="V23" s="4">
        <v>1.04</v>
      </c>
      <c r="W23" s="4">
        <v>0</v>
      </c>
      <c r="X23" s="4">
        <v>10.99</v>
      </c>
      <c r="Y23" s="4">
        <v>13.23</v>
      </c>
    </row>
    <row r="24" spans="1:25">
      <c r="A24" s="7">
        <v>20100128</v>
      </c>
      <c r="B24" s="108" t="s">
        <v>20</v>
      </c>
      <c r="C24" s="108" t="str">
        <f t="shared" si="1"/>
        <v>20100128PSS</v>
      </c>
      <c r="D24" s="112" t="s">
        <v>416</v>
      </c>
      <c r="E24" s="108" t="str">
        <f t="shared" si="2"/>
        <v>20100128LGCME567</v>
      </c>
      <c r="F24" s="4">
        <v>65</v>
      </c>
      <c r="G24" s="5">
        <v>2.9559999999999999E-2</v>
      </c>
      <c r="H24" s="5">
        <v>0</v>
      </c>
      <c r="I24" s="5">
        <v>0</v>
      </c>
      <c r="J24" s="5">
        <v>0</v>
      </c>
      <c r="K24" s="5">
        <v>0</v>
      </c>
      <c r="L24" s="5">
        <v>2.0580000000000001E-2</v>
      </c>
      <c r="M24" s="5">
        <v>8.9799999999999984E-3</v>
      </c>
      <c r="N24" s="5">
        <f t="shared" si="3"/>
        <v>0</v>
      </c>
      <c r="O24" s="5">
        <f t="shared" si="3"/>
        <v>0</v>
      </c>
      <c r="P24" s="5">
        <f t="shared" si="3"/>
        <v>0</v>
      </c>
      <c r="Q24" s="4">
        <v>0</v>
      </c>
      <c r="R24" s="4">
        <v>11.93</v>
      </c>
      <c r="S24" s="4">
        <v>14.99</v>
      </c>
      <c r="T24" s="4">
        <v>0</v>
      </c>
      <c r="U24" s="4">
        <v>1.04</v>
      </c>
      <c r="V24" s="4">
        <v>1.04</v>
      </c>
      <c r="W24" s="4">
        <v>0</v>
      </c>
      <c r="X24" s="4">
        <v>12.82</v>
      </c>
      <c r="Y24" s="4">
        <v>15.07</v>
      </c>
    </row>
    <row r="25" spans="1:25">
      <c r="A25" s="7">
        <v>20100128</v>
      </c>
      <c r="B25" s="108" t="s">
        <v>449</v>
      </c>
      <c r="C25" s="108" t="str">
        <f t="shared" si="1"/>
        <v>20100128CTODS</v>
      </c>
      <c r="D25" s="108" t="s">
        <v>417</v>
      </c>
      <c r="E25" s="108" t="str">
        <f t="shared" si="2"/>
        <v>20100128LGCME591</v>
      </c>
      <c r="F25" s="4">
        <v>200</v>
      </c>
      <c r="G25" s="5">
        <v>3.2259999999999997E-2</v>
      </c>
      <c r="H25" s="5">
        <v>0</v>
      </c>
      <c r="I25" s="5">
        <v>0</v>
      </c>
      <c r="J25" s="5">
        <v>0</v>
      </c>
      <c r="K25" s="5">
        <v>0</v>
      </c>
      <c r="L25" s="5">
        <v>2.0580000000000001E-2</v>
      </c>
      <c r="M25" s="5">
        <v>9.0200000000000002E-3</v>
      </c>
      <c r="N25" s="5">
        <f t="shared" si="3"/>
        <v>0</v>
      </c>
      <c r="O25" s="5">
        <f t="shared" si="3"/>
        <v>0</v>
      </c>
      <c r="P25" s="5">
        <f t="shared" si="3"/>
        <v>0</v>
      </c>
      <c r="Q25" s="4">
        <v>3.79</v>
      </c>
      <c r="R25" s="4">
        <v>4.28</v>
      </c>
      <c r="S25" s="4">
        <v>5.81</v>
      </c>
      <c r="T25" s="4">
        <v>0.56000000000000005</v>
      </c>
      <c r="U25" s="4">
        <v>0.56000000000000005</v>
      </c>
      <c r="V25" s="4">
        <v>0.56000000000000005</v>
      </c>
      <c r="W25" s="4">
        <v>3.65</v>
      </c>
      <c r="X25" s="4">
        <v>4.1400000000000006</v>
      </c>
      <c r="Y25" s="4">
        <v>5.67</v>
      </c>
    </row>
    <row r="26" spans="1:25">
      <c r="A26" s="7">
        <v>20100128</v>
      </c>
      <c r="B26" s="108" t="s">
        <v>448</v>
      </c>
      <c r="C26" s="108" t="str">
        <f t="shared" si="1"/>
        <v>20100128CTODP</v>
      </c>
      <c r="D26" s="108" t="s">
        <v>418</v>
      </c>
      <c r="E26" s="108" t="str">
        <f t="shared" si="2"/>
        <v>20100128LGCME593</v>
      </c>
      <c r="F26" s="4">
        <v>200</v>
      </c>
      <c r="G26" s="5">
        <v>2.9600000000000001E-2</v>
      </c>
      <c r="H26" s="5">
        <v>0</v>
      </c>
      <c r="I26" s="5">
        <v>0</v>
      </c>
      <c r="J26" s="5">
        <v>0</v>
      </c>
      <c r="K26" s="5">
        <v>0</v>
      </c>
      <c r="L26" s="5">
        <v>2.0580000000000001E-2</v>
      </c>
      <c r="M26" s="5">
        <v>9.0200000000000002E-3</v>
      </c>
      <c r="N26" s="5">
        <f t="shared" si="3"/>
        <v>0</v>
      </c>
      <c r="O26" s="5">
        <f t="shared" si="3"/>
        <v>0</v>
      </c>
      <c r="P26" s="5">
        <f t="shared" si="3"/>
        <v>0</v>
      </c>
      <c r="Q26" s="4">
        <v>2.64</v>
      </c>
      <c r="R26" s="4">
        <v>7.7</v>
      </c>
      <c r="S26" s="4">
        <v>10.5</v>
      </c>
      <c r="T26" s="4">
        <v>0.56000000000000005</v>
      </c>
      <c r="U26" s="4">
        <v>0.56000000000000005</v>
      </c>
      <c r="V26" s="4">
        <v>0.56000000000000005</v>
      </c>
      <c r="W26" s="4">
        <v>2.5</v>
      </c>
      <c r="X26" s="4">
        <v>4.0600000000000005</v>
      </c>
      <c r="Y26" s="4">
        <v>5.5600000000000005</v>
      </c>
    </row>
    <row r="27" spans="1:25">
      <c r="A27" s="7">
        <v>20100128</v>
      </c>
      <c r="B27" s="108" t="s">
        <v>20</v>
      </c>
      <c r="C27" s="108" t="str">
        <f t="shared" si="1"/>
        <v>20100128PSS</v>
      </c>
      <c r="D27" s="108" t="s">
        <v>428</v>
      </c>
      <c r="E27" s="108" t="str">
        <f t="shared" si="2"/>
        <v>20100128LGINE661</v>
      </c>
      <c r="F27" s="4">
        <v>65</v>
      </c>
      <c r="G27" s="5">
        <v>2.9559999999999999E-2</v>
      </c>
      <c r="H27" s="5">
        <v>0</v>
      </c>
      <c r="I27" s="5">
        <v>0</v>
      </c>
      <c r="J27" s="5">
        <v>0</v>
      </c>
      <c r="K27" s="5">
        <v>0</v>
      </c>
      <c r="L27" s="5">
        <v>2.0580000000000001E-2</v>
      </c>
      <c r="M27" s="5">
        <v>5.5300000000000002E-3</v>
      </c>
      <c r="N27" s="5">
        <f t="shared" si="3"/>
        <v>0</v>
      </c>
      <c r="O27" s="5">
        <f t="shared" si="3"/>
        <v>0</v>
      </c>
      <c r="P27" s="5">
        <f t="shared" si="3"/>
        <v>0</v>
      </c>
      <c r="Q27" s="4">
        <v>0</v>
      </c>
      <c r="R27" s="4">
        <v>11.93</v>
      </c>
      <c r="S27" s="4">
        <v>14.99</v>
      </c>
      <c r="T27" s="4">
        <v>0</v>
      </c>
      <c r="U27" s="4">
        <v>0.95</v>
      </c>
      <c r="V27" s="4">
        <v>0.95</v>
      </c>
      <c r="W27" s="4">
        <v>0</v>
      </c>
      <c r="X27" s="4">
        <v>11.56</v>
      </c>
      <c r="Y27" s="4">
        <v>14.15</v>
      </c>
    </row>
    <row r="28" spans="1:25">
      <c r="A28" s="7">
        <v>20100128</v>
      </c>
      <c r="B28" s="108" t="s">
        <v>21</v>
      </c>
      <c r="C28" s="108" t="str">
        <f t="shared" si="1"/>
        <v>20100128PSP</v>
      </c>
      <c r="D28" s="108" t="s">
        <v>429</v>
      </c>
      <c r="E28" s="108" t="str">
        <f t="shared" si="2"/>
        <v>20100128LGINE663</v>
      </c>
      <c r="F28" s="4">
        <v>65</v>
      </c>
      <c r="G28" s="5">
        <v>2.9559999999999999E-2</v>
      </c>
      <c r="H28" s="5">
        <v>0</v>
      </c>
      <c r="I28" s="5">
        <v>0</v>
      </c>
      <c r="J28" s="5">
        <v>0</v>
      </c>
      <c r="K28" s="5">
        <v>0</v>
      </c>
      <c r="L28" s="5">
        <v>2.0580000000000001E-2</v>
      </c>
      <c r="M28" s="5">
        <v>5.5300000000000002E-3</v>
      </c>
      <c r="N28" s="5">
        <f t="shared" si="3"/>
        <v>0</v>
      </c>
      <c r="O28" s="5">
        <f t="shared" si="3"/>
        <v>0</v>
      </c>
      <c r="P28" s="5">
        <f t="shared" si="3"/>
        <v>0</v>
      </c>
      <c r="Q28" s="4">
        <v>0</v>
      </c>
      <c r="R28" s="4">
        <v>10.35</v>
      </c>
      <c r="S28" s="4">
        <v>13.15</v>
      </c>
      <c r="T28" s="4">
        <v>0</v>
      </c>
      <c r="U28" s="4">
        <v>0.95</v>
      </c>
      <c r="V28" s="4">
        <v>0.95</v>
      </c>
      <c r="W28" s="4">
        <v>0</v>
      </c>
      <c r="X28" s="4">
        <v>9.8000000000000007</v>
      </c>
      <c r="Y28" s="4">
        <v>12.39</v>
      </c>
    </row>
    <row r="29" spans="1:25">
      <c r="A29" s="7">
        <v>20100128</v>
      </c>
      <c r="B29" s="108" t="s">
        <v>461</v>
      </c>
      <c r="C29" s="108" t="str">
        <f t="shared" si="1"/>
        <v>20100128ITODS</v>
      </c>
      <c r="D29" s="108" t="s">
        <v>430</v>
      </c>
      <c r="E29" s="108" t="str">
        <f t="shared" si="2"/>
        <v>20100128LGINE691</v>
      </c>
      <c r="F29" s="4">
        <v>120</v>
      </c>
      <c r="G29" s="5">
        <v>2.6159999999999999E-2</v>
      </c>
      <c r="H29" s="5">
        <v>0</v>
      </c>
      <c r="I29" s="5">
        <v>0</v>
      </c>
      <c r="J29" s="5">
        <v>0</v>
      </c>
      <c r="K29" s="5">
        <v>0</v>
      </c>
      <c r="L29" s="5">
        <v>2.0580000000000001E-2</v>
      </c>
      <c r="M29" s="5">
        <v>5.5799999999999982E-3</v>
      </c>
      <c r="N29" s="5">
        <f t="shared" si="3"/>
        <v>0</v>
      </c>
      <c r="O29" s="5">
        <f t="shared" si="3"/>
        <v>0</v>
      </c>
      <c r="P29" s="5">
        <f t="shared" si="3"/>
        <v>0</v>
      </c>
      <c r="Q29" s="4">
        <v>4.91</v>
      </c>
      <c r="R29" s="4">
        <v>7.46</v>
      </c>
      <c r="S29" s="4">
        <v>10.050000000000001</v>
      </c>
      <c r="T29" s="4">
        <v>0.48</v>
      </c>
      <c r="U29" s="4">
        <v>0.48</v>
      </c>
      <c r="V29" s="4">
        <v>0.48</v>
      </c>
      <c r="W29" s="4">
        <v>4.43</v>
      </c>
      <c r="X29" s="4">
        <v>6.98</v>
      </c>
      <c r="Y29" s="4">
        <v>9.57</v>
      </c>
    </row>
    <row r="30" spans="1:25">
      <c r="A30" s="7">
        <v>20100128</v>
      </c>
      <c r="B30" s="108" t="s">
        <v>460</v>
      </c>
      <c r="C30" s="108" t="str">
        <f t="shared" si="1"/>
        <v>20100128ITODP</v>
      </c>
      <c r="D30" s="108" t="s">
        <v>431</v>
      </c>
      <c r="E30" s="108" t="str">
        <f t="shared" si="2"/>
        <v>20100128LGINE693</v>
      </c>
      <c r="F30" s="4">
        <v>120</v>
      </c>
      <c r="G30" s="5">
        <v>2.6159999999999999E-2</v>
      </c>
      <c r="H30" s="5">
        <v>0</v>
      </c>
      <c r="I30" s="5">
        <v>0</v>
      </c>
      <c r="J30" s="5">
        <v>0</v>
      </c>
      <c r="K30" s="5">
        <v>0</v>
      </c>
      <c r="L30" s="5">
        <v>2.0580000000000001E-2</v>
      </c>
      <c r="M30" s="5">
        <v>5.5799999999999982E-3</v>
      </c>
      <c r="N30" s="5">
        <f t="shared" si="3"/>
        <v>0</v>
      </c>
      <c r="O30" s="5">
        <f t="shared" si="3"/>
        <v>0</v>
      </c>
      <c r="P30" s="5">
        <f t="shared" si="3"/>
        <v>0</v>
      </c>
      <c r="Q30" s="4">
        <v>3.85</v>
      </c>
      <c r="R30" s="4">
        <v>6.76</v>
      </c>
      <c r="S30" s="4">
        <v>9.35</v>
      </c>
      <c r="T30" s="4">
        <v>0.48</v>
      </c>
      <c r="U30" s="4">
        <v>0.48</v>
      </c>
      <c r="V30" s="4">
        <v>0.48</v>
      </c>
      <c r="W30" s="4">
        <v>3.37</v>
      </c>
      <c r="X30" s="4">
        <v>6.2799999999999994</v>
      </c>
      <c r="Y30" s="4">
        <v>8.8699999999999992</v>
      </c>
    </row>
    <row r="31" spans="1:25">
      <c r="A31" s="7">
        <v>20100128</v>
      </c>
      <c r="B31" s="108" t="s">
        <v>460</v>
      </c>
      <c r="C31" s="108" t="str">
        <f t="shared" si="1"/>
        <v>20100128ITODP</v>
      </c>
      <c r="D31" s="108" t="s">
        <v>432</v>
      </c>
      <c r="E31" s="108" t="str">
        <f t="shared" si="2"/>
        <v>20100128LGINE694</v>
      </c>
      <c r="F31" s="4">
        <v>120</v>
      </c>
      <c r="G31" s="5">
        <v>2.6159999999999999E-2</v>
      </c>
      <c r="H31" s="5">
        <v>0</v>
      </c>
      <c r="I31" s="5">
        <v>0</v>
      </c>
      <c r="J31" s="5">
        <v>0</v>
      </c>
      <c r="K31" s="5">
        <v>0</v>
      </c>
      <c r="L31" s="5">
        <v>2.0580000000000001E-2</v>
      </c>
      <c r="M31" s="5">
        <v>5.5799999999999982E-3</v>
      </c>
      <c r="N31" s="5">
        <f t="shared" si="3"/>
        <v>0</v>
      </c>
      <c r="O31" s="5">
        <f t="shared" si="3"/>
        <v>0</v>
      </c>
      <c r="P31" s="5">
        <f t="shared" si="3"/>
        <v>0</v>
      </c>
      <c r="Q31" s="4">
        <v>3.85</v>
      </c>
      <c r="R31" s="4">
        <v>6.76</v>
      </c>
      <c r="S31" s="4">
        <v>9.35</v>
      </c>
      <c r="T31" s="4">
        <v>0.48</v>
      </c>
      <c r="U31" s="4">
        <v>0.48</v>
      </c>
      <c r="V31" s="4">
        <v>0.48</v>
      </c>
      <c r="W31" s="4">
        <v>3.37</v>
      </c>
      <c r="X31" s="4">
        <v>6.2799999999999994</v>
      </c>
      <c r="Y31" s="4">
        <v>8.8699999999999992</v>
      </c>
    </row>
    <row r="32" spans="1:25">
      <c r="A32" s="7">
        <v>20100128</v>
      </c>
      <c r="B32" s="108" t="s">
        <v>15</v>
      </c>
      <c r="C32" s="108" t="str">
        <f t="shared" si="1"/>
        <v>20100128RTS</v>
      </c>
      <c r="D32" s="108" t="s">
        <v>427</v>
      </c>
      <c r="E32" s="108" t="str">
        <f t="shared" si="2"/>
        <v>20100128LGINE643</v>
      </c>
      <c r="F32" s="4">
        <v>120</v>
      </c>
      <c r="G32" s="5">
        <v>2.6159999999999999E-2</v>
      </c>
      <c r="H32" s="5">
        <v>0</v>
      </c>
      <c r="I32" s="5">
        <v>0</v>
      </c>
      <c r="J32" s="5">
        <v>0</v>
      </c>
      <c r="K32" s="5">
        <v>0</v>
      </c>
      <c r="L32" s="5">
        <v>2.0580000000000001E-2</v>
      </c>
      <c r="M32" s="5">
        <v>5.5799999999999982E-3</v>
      </c>
      <c r="N32" s="5">
        <v>0</v>
      </c>
      <c r="O32" s="5">
        <v>0</v>
      </c>
      <c r="P32" s="5">
        <v>0</v>
      </c>
      <c r="Q32" s="4">
        <v>2.36</v>
      </c>
      <c r="R32" s="4">
        <v>5.9</v>
      </c>
      <c r="S32" s="4">
        <v>8.15</v>
      </c>
      <c r="T32" s="4">
        <v>0.45</v>
      </c>
      <c r="U32" s="4">
        <v>0.45</v>
      </c>
      <c r="V32" s="4">
        <v>0.45</v>
      </c>
      <c r="W32" s="4">
        <v>1.91</v>
      </c>
      <c r="X32" s="4">
        <v>5.45</v>
      </c>
      <c r="Y32" s="4">
        <v>7.7</v>
      </c>
    </row>
    <row r="33" spans="1:25">
      <c r="A33" s="7">
        <v>20100128</v>
      </c>
      <c r="B33" s="108" t="s">
        <v>496</v>
      </c>
      <c r="C33" s="108" t="str">
        <f t="shared" si="1"/>
        <v>20100128ISS</v>
      </c>
      <c r="D33" s="108" t="s">
        <v>496</v>
      </c>
      <c r="E33" s="108" t="str">
        <f t="shared" si="2"/>
        <v>20100128ISS</v>
      </c>
      <c r="F33" s="4">
        <v>120</v>
      </c>
      <c r="G33" s="5">
        <v>2.6159999999999999E-2</v>
      </c>
      <c r="H33" s="5">
        <v>0</v>
      </c>
      <c r="I33" s="5">
        <v>0</v>
      </c>
      <c r="J33" s="5">
        <v>0</v>
      </c>
      <c r="K33" s="5">
        <v>0</v>
      </c>
      <c r="L33" s="5">
        <v>2.0580000000000001E-2</v>
      </c>
      <c r="M33" s="5">
        <v>5.5799999999999982E-3</v>
      </c>
      <c r="N33" s="5">
        <f t="shared" si="3"/>
        <v>0</v>
      </c>
      <c r="O33" s="5">
        <f t="shared" si="3"/>
        <v>0</v>
      </c>
      <c r="P33" s="5">
        <f t="shared" si="3"/>
        <v>0</v>
      </c>
      <c r="Q33" s="4">
        <v>2.38</v>
      </c>
      <c r="R33" s="4">
        <v>3.64</v>
      </c>
      <c r="S33" s="4">
        <v>4.9400000000000004</v>
      </c>
      <c r="T33" s="4">
        <v>0.45</v>
      </c>
      <c r="U33" s="4">
        <v>0.45</v>
      </c>
      <c r="V33" s="4">
        <v>0.45</v>
      </c>
      <c r="W33" s="4">
        <v>1.93</v>
      </c>
      <c r="X33" s="4">
        <v>3.19</v>
      </c>
      <c r="Y33" s="4">
        <v>4.49</v>
      </c>
    </row>
    <row r="34" spans="1:25">
      <c r="A34" s="7">
        <v>20100128</v>
      </c>
      <c r="B34" s="108" t="s">
        <v>497</v>
      </c>
      <c r="C34" s="108" t="str">
        <f t="shared" si="1"/>
        <v>20100128ISP</v>
      </c>
      <c r="D34" s="108" t="s">
        <v>497</v>
      </c>
      <c r="E34" s="108" t="str">
        <f t="shared" si="2"/>
        <v>20100128ISP</v>
      </c>
      <c r="F34" s="4">
        <v>120</v>
      </c>
      <c r="G34" s="5">
        <v>2.6159999999999999E-2</v>
      </c>
      <c r="H34" s="5">
        <v>0</v>
      </c>
      <c r="I34" s="5">
        <v>0</v>
      </c>
      <c r="J34" s="5">
        <v>0</v>
      </c>
      <c r="K34" s="5">
        <v>0</v>
      </c>
      <c r="L34" s="5">
        <v>2.0580000000000001E-2</v>
      </c>
      <c r="M34" s="5">
        <v>5.5799999999999982E-3</v>
      </c>
      <c r="N34" s="5">
        <f t="shared" si="3"/>
        <v>0</v>
      </c>
      <c r="O34" s="5">
        <f t="shared" si="3"/>
        <v>0</v>
      </c>
      <c r="P34" s="5">
        <f t="shared" si="3"/>
        <v>0</v>
      </c>
      <c r="Q34" s="4">
        <v>1.83</v>
      </c>
      <c r="R34" s="4">
        <v>3.29</v>
      </c>
      <c r="S34" s="4">
        <v>4.59</v>
      </c>
      <c r="T34" s="4">
        <v>0.45</v>
      </c>
      <c r="U34" s="4">
        <v>0.45</v>
      </c>
      <c r="V34" s="4">
        <v>0.45</v>
      </c>
      <c r="W34" s="4">
        <v>1.3800000000000001</v>
      </c>
      <c r="X34" s="4">
        <v>2.84</v>
      </c>
      <c r="Y34" s="4">
        <v>4.1399999999999997</v>
      </c>
    </row>
    <row r="35" spans="1:25">
      <c r="A35" s="7">
        <v>20100128</v>
      </c>
      <c r="B35" s="108" t="s">
        <v>16</v>
      </c>
      <c r="C35" s="108" t="str">
        <f t="shared" si="1"/>
        <v>20100128IST</v>
      </c>
      <c r="D35" s="108" t="s">
        <v>16</v>
      </c>
      <c r="E35" s="108" t="str">
        <f t="shared" si="2"/>
        <v>20100128IST</v>
      </c>
      <c r="F35" s="4">
        <v>120</v>
      </c>
      <c r="G35" s="5">
        <v>2.6159999999999999E-2</v>
      </c>
      <c r="H35" s="5">
        <v>0</v>
      </c>
      <c r="I35" s="5">
        <v>0</v>
      </c>
      <c r="J35" s="5">
        <v>0</v>
      </c>
      <c r="K35" s="5">
        <v>0</v>
      </c>
      <c r="L35" s="5">
        <v>2.0580000000000001E-2</v>
      </c>
      <c r="M35" s="5">
        <v>5.5799999999999982E-3</v>
      </c>
      <c r="N35" s="5">
        <f t="shared" si="3"/>
        <v>0</v>
      </c>
      <c r="O35" s="5">
        <f t="shared" si="3"/>
        <v>0</v>
      </c>
      <c r="P35" s="5">
        <f t="shared" si="3"/>
        <v>0</v>
      </c>
      <c r="Q35" s="4">
        <v>1.24</v>
      </c>
      <c r="R35" s="4">
        <v>3.29</v>
      </c>
      <c r="S35" s="4">
        <v>4.58</v>
      </c>
      <c r="T35" s="4">
        <v>0.45</v>
      </c>
      <c r="U35" s="4">
        <v>0.45</v>
      </c>
      <c r="V35" s="4">
        <v>0.45</v>
      </c>
      <c r="W35" s="4">
        <v>0.79</v>
      </c>
      <c r="X35" s="4">
        <v>2.84</v>
      </c>
      <c r="Y35" s="4">
        <v>4.13</v>
      </c>
    </row>
    <row r="36" spans="1:25">
      <c r="A36" s="7">
        <v>20100128</v>
      </c>
      <c r="B36" s="108" t="s">
        <v>17</v>
      </c>
      <c r="C36" s="108" t="str">
        <f t="shared" si="1"/>
        <v>20100128LE</v>
      </c>
      <c r="D36" s="108" t="s">
        <v>433</v>
      </c>
      <c r="E36" s="108" t="str">
        <f t="shared" si="2"/>
        <v>20100128LGMLE570</v>
      </c>
      <c r="F36" s="4">
        <v>0</v>
      </c>
      <c r="G36" s="5">
        <v>4.4819999999999999E-2</v>
      </c>
      <c r="H36" s="5">
        <v>0</v>
      </c>
      <c r="I36" s="5">
        <v>0</v>
      </c>
      <c r="J36" s="5">
        <v>0</v>
      </c>
      <c r="K36" s="5">
        <v>2.2100000000000002E-3</v>
      </c>
      <c r="L36" s="5">
        <v>2.0580000000000001E-2</v>
      </c>
      <c r="M36" s="5">
        <v>2.2029999999999994E-2</v>
      </c>
      <c r="N36" s="5">
        <f t="shared" si="3"/>
        <v>0</v>
      </c>
      <c r="O36" s="5">
        <f t="shared" si="3"/>
        <v>0</v>
      </c>
      <c r="P36" s="5">
        <f t="shared" si="3"/>
        <v>0</v>
      </c>
      <c r="Q36" s="4">
        <v>0</v>
      </c>
      <c r="R36" s="4">
        <v>0</v>
      </c>
      <c r="S36" s="4">
        <v>0</v>
      </c>
      <c r="T36" s="4">
        <v>0</v>
      </c>
      <c r="U36" s="4">
        <v>0</v>
      </c>
      <c r="V36" s="4">
        <v>0</v>
      </c>
      <c r="W36" s="4">
        <v>0</v>
      </c>
      <c r="X36" s="4">
        <v>0</v>
      </c>
      <c r="Y36" s="4">
        <v>0</v>
      </c>
    </row>
    <row r="37" spans="1:25">
      <c r="A37" s="7">
        <v>20100128</v>
      </c>
      <c r="B37" s="108" t="s">
        <v>17</v>
      </c>
      <c r="C37" s="108" t="str">
        <f t="shared" si="1"/>
        <v>20100128LE</v>
      </c>
      <c r="D37" s="108" t="s">
        <v>434</v>
      </c>
      <c r="E37" s="108" t="str">
        <f t="shared" si="2"/>
        <v>20100128LGMLE571</v>
      </c>
      <c r="F37" s="4">
        <v>0</v>
      </c>
      <c r="G37" s="5">
        <v>4.4819999999999999E-2</v>
      </c>
      <c r="H37" s="5">
        <v>0</v>
      </c>
      <c r="I37" s="5">
        <v>0</v>
      </c>
      <c r="J37" s="5">
        <v>0</v>
      </c>
      <c r="K37" s="5">
        <v>2.2100000000000002E-3</v>
      </c>
      <c r="L37" s="5">
        <v>2.0580000000000001E-2</v>
      </c>
      <c r="M37" s="5">
        <v>2.2029999999999994E-2</v>
      </c>
      <c r="N37" s="5">
        <f t="shared" si="3"/>
        <v>0</v>
      </c>
      <c r="O37" s="5">
        <f t="shared" si="3"/>
        <v>0</v>
      </c>
      <c r="P37" s="5">
        <f t="shared" si="3"/>
        <v>0</v>
      </c>
      <c r="Q37" s="4">
        <v>0</v>
      </c>
      <c r="R37" s="4">
        <v>0</v>
      </c>
      <c r="S37" s="4">
        <v>0</v>
      </c>
      <c r="T37" s="4">
        <v>0</v>
      </c>
      <c r="U37" s="4">
        <v>0</v>
      </c>
      <c r="V37" s="4">
        <v>0</v>
      </c>
      <c r="W37" s="4">
        <v>0</v>
      </c>
      <c r="X37" s="4">
        <v>0</v>
      </c>
      <c r="Y37" s="4">
        <v>0</v>
      </c>
    </row>
    <row r="38" spans="1:25">
      <c r="A38" s="7">
        <v>20100128</v>
      </c>
      <c r="B38" s="108" t="s">
        <v>17</v>
      </c>
      <c r="C38" s="108" t="str">
        <f t="shared" si="1"/>
        <v>20100128LE</v>
      </c>
      <c r="D38" s="108" t="s">
        <v>435</v>
      </c>
      <c r="E38" s="108" t="str">
        <f t="shared" si="2"/>
        <v>20100128LGMLE572</v>
      </c>
      <c r="F38" s="4">
        <v>0</v>
      </c>
      <c r="G38" s="5">
        <v>4.4819999999999999E-2</v>
      </c>
      <c r="H38" s="5">
        <v>0</v>
      </c>
      <c r="I38" s="5">
        <v>0</v>
      </c>
      <c r="J38" s="5">
        <v>0</v>
      </c>
      <c r="K38" s="5">
        <v>2.2100000000000002E-3</v>
      </c>
      <c r="L38" s="5">
        <v>2.0580000000000001E-2</v>
      </c>
      <c r="M38" s="5">
        <v>2.2029999999999994E-2</v>
      </c>
      <c r="N38" s="5">
        <f t="shared" si="3"/>
        <v>0</v>
      </c>
      <c r="O38" s="5">
        <f t="shared" si="3"/>
        <v>0</v>
      </c>
      <c r="P38" s="5">
        <f t="shared" si="3"/>
        <v>0</v>
      </c>
      <c r="Q38" s="4">
        <v>0</v>
      </c>
      <c r="R38" s="4">
        <v>0</v>
      </c>
      <c r="S38" s="4">
        <v>0</v>
      </c>
      <c r="T38" s="4">
        <v>0</v>
      </c>
      <c r="U38" s="4">
        <v>0</v>
      </c>
      <c r="V38" s="4">
        <v>0</v>
      </c>
      <c r="W38" s="4">
        <v>0</v>
      </c>
      <c r="X38" s="4">
        <v>0</v>
      </c>
      <c r="Y38" s="4">
        <v>0</v>
      </c>
    </row>
    <row r="39" spans="1:25">
      <c r="A39" s="7">
        <v>20100128</v>
      </c>
      <c r="B39" s="108" t="s">
        <v>18</v>
      </c>
      <c r="C39" s="108" t="str">
        <f t="shared" si="1"/>
        <v>20100128TE</v>
      </c>
      <c r="D39" s="108" t="s">
        <v>436</v>
      </c>
      <c r="E39" s="108" t="str">
        <f t="shared" si="2"/>
        <v>20100128LGMLE573</v>
      </c>
      <c r="F39" s="4">
        <v>2.8</v>
      </c>
      <c r="G39" s="5">
        <v>5.9139999999999998E-2</v>
      </c>
      <c r="H39" s="5">
        <v>0</v>
      </c>
      <c r="I39" s="5">
        <v>0</v>
      </c>
      <c r="J39" s="5">
        <v>0</v>
      </c>
      <c r="K39" s="5">
        <v>2.2100000000000002E-3</v>
      </c>
      <c r="L39" s="5">
        <v>2.0580000000000001E-2</v>
      </c>
      <c r="M39" s="5">
        <v>3.6349999999999993E-2</v>
      </c>
      <c r="N39" s="5">
        <f t="shared" si="3"/>
        <v>0</v>
      </c>
      <c r="O39" s="5">
        <f t="shared" si="3"/>
        <v>0</v>
      </c>
      <c r="P39" s="5">
        <f t="shared" si="3"/>
        <v>0</v>
      </c>
      <c r="Q39" s="4">
        <v>0</v>
      </c>
      <c r="R39" s="4">
        <v>0</v>
      </c>
      <c r="S39" s="4">
        <v>0</v>
      </c>
      <c r="T39" s="4">
        <v>0</v>
      </c>
      <c r="U39" s="4">
        <v>0</v>
      </c>
      <c r="V39" s="4">
        <v>0</v>
      </c>
      <c r="W39" s="4">
        <v>0</v>
      </c>
      <c r="X39" s="4">
        <v>0</v>
      </c>
      <c r="Y39" s="4">
        <v>0</v>
      </c>
    </row>
    <row r="40" spans="1:25">
      <c r="A40" s="7">
        <v>20100128</v>
      </c>
      <c r="B40" s="108" t="s">
        <v>18</v>
      </c>
      <c r="C40" s="108" t="str">
        <f t="shared" si="1"/>
        <v>20100128TE</v>
      </c>
      <c r="D40" s="108" t="s">
        <v>437</v>
      </c>
      <c r="E40" s="108" t="str">
        <f t="shared" si="2"/>
        <v>20100128LGMLE574</v>
      </c>
      <c r="F40" s="4">
        <v>2.8</v>
      </c>
      <c r="G40" s="5">
        <v>5.9139999999999998E-2</v>
      </c>
      <c r="H40" s="5">
        <v>0</v>
      </c>
      <c r="I40" s="5">
        <v>0</v>
      </c>
      <c r="J40" s="5">
        <v>0</v>
      </c>
      <c r="K40" s="5">
        <v>2.2100000000000002E-3</v>
      </c>
      <c r="L40" s="5">
        <v>2.0580000000000001E-2</v>
      </c>
      <c r="M40" s="5">
        <v>3.6349999999999993E-2</v>
      </c>
      <c r="N40" s="5">
        <f t="shared" si="3"/>
        <v>0</v>
      </c>
      <c r="O40" s="5">
        <f t="shared" si="3"/>
        <v>0</v>
      </c>
      <c r="P40" s="5">
        <f t="shared" si="3"/>
        <v>0</v>
      </c>
      <c r="Q40" s="4">
        <v>0</v>
      </c>
      <c r="R40" s="4">
        <v>0</v>
      </c>
      <c r="S40" s="4">
        <v>0</v>
      </c>
      <c r="T40" s="4">
        <v>0</v>
      </c>
      <c r="U40" s="4">
        <v>0</v>
      </c>
      <c r="V40" s="4">
        <v>0</v>
      </c>
      <c r="W40" s="4">
        <v>0</v>
      </c>
      <c r="X40" s="4">
        <v>0</v>
      </c>
      <c r="Y40" s="4">
        <v>0</v>
      </c>
    </row>
    <row r="41" spans="1:25">
      <c r="A41" s="7">
        <v>20100128</v>
      </c>
      <c r="B41" s="108" t="s">
        <v>451</v>
      </c>
      <c r="C41" s="108" t="str">
        <f t="shared" si="1"/>
        <v>20100128FK</v>
      </c>
      <c r="D41" s="108" t="s">
        <v>426</v>
      </c>
      <c r="E41" s="108" t="str">
        <f t="shared" si="2"/>
        <v>20100128LGINE599</v>
      </c>
      <c r="F41" s="4">
        <v>0</v>
      </c>
      <c r="G41" s="5">
        <v>2.6190000000000001E-2</v>
      </c>
      <c r="H41" s="5">
        <v>0</v>
      </c>
      <c r="I41" s="5">
        <v>0</v>
      </c>
      <c r="J41" s="5">
        <v>0</v>
      </c>
      <c r="K41" s="5">
        <v>0</v>
      </c>
      <c r="L41" s="5">
        <v>2.0580000000000001E-2</v>
      </c>
      <c r="M41" s="5">
        <v>5.6100000000000004E-3</v>
      </c>
      <c r="N41" s="5">
        <f t="shared" si="3"/>
        <v>0</v>
      </c>
      <c r="O41" s="5">
        <f t="shared" si="3"/>
        <v>0</v>
      </c>
      <c r="P41" s="5">
        <f t="shared" si="3"/>
        <v>0</v>
      </c>
      <c r="Q41" s="4">
        <v>0</v>
      </c>
      <c r="R41" s="4">
        <v>10.44</v>
      </c>
      <c r="S41" s="4">
        <v>12.63</v>
      </c>
      <c r="T41" s="4">
        <v>0</v>
      </c>
      <c r="U41" s="4">
        <v>0.99</v>
      </c>
      <c r="V41" s="4">
        <v>0.99</v>
      </c>
      <c r="W41" s="4">
        <v>0</v>
      </c>
      <c r="X41" s="4">
        <v>9.4499999999999993</v>
      </c>
      <c r="Y41" s="4">
        <v>11.64</v>
      </c>
    </row>
    <row r="42" spans="1:25">
      <c r="A42" s="7">
        <v>20100128</v>
      </c>
      <c r="B42" s="108" t="s">
        <v>464</v>
      </c>
      <c r="C42" s="108" t="str">
        <f t="shared" si="1"/>
        <v>20100128LWC</v>
      </c>
      <c r="D42" s="108" t="s">
        <v>424</v>
      </c>
      <c r="E42" s="108" t="str">
        <f t="shared" si="2"/>
        <v>20100128LGCME671</v>
      </c>
      <c r="F42" s="4">
        <v>0</v>
      </c>
      <c r="G42" s="5">
        <v>2.6179999999999998E-2</v>
      </c>
      <c r="H42" s="5">
        <v>0</v>
      </c>
      <c r="I42" s="5">
        <v>0</v>
      </c>
      <c r="J42" s="5">
        <v>0</v>
      </c>
      <c r="K42" s="5">
        <v>0</v>
      </c>
      <c r="L42" s="5">
        <v>2.0580000000000001E-2</v>
      </c>
      <c r="M42" s="5">
        <v>5.5999999999999973E-3</v>
      </c>
      <c r="N42" s="5">
        <f t="shared" si="3"/>
        <v>0</v>
      </c>
      <c r="O42" s="5">
        <f t="shared" si="3"/>
        <v>0</v>
      </c>
      <c r="P42" s="5">
        <f t="shared" si="3"/>
        <v>0</v>
      </c>
      <c r="Q42" s="4">
        <v>0</v>
      </c>
      <c r="R42" s="4">
        <v>8.92</v>
      </c>
      <c r="S42" s="4">
        <v>8.92</v>
      </c>
      <c r="T42" s="4">
        <v>0</v>
      </c>
      <c r="U42" s="4">
        <v>0.9</v>
      </c>
      <c r="V42" s="4">
        <v>0.9</v>
      </c>
      <c r="W42" s="4">
        <v>0</v>
      </c>
      <c r="X42" s="4">
        <v>8.02</v>
      </c>
      <c r="Y42" s="4">
        <v>8.02</v>
      </c>
    </row>
    <row r="43" spans="1:25">
      <c r="A43" s="8">
        <v>20100729</v>
      </c>
      <c r="B43" s="109" t="s">
        <v>13</v>
      </c>
      <c r="C43" s="109" t="str">
        <f>A43&amp;B43</f>
        <v>20100729RS</v>
      </c>
      <c r="D43" s="109" t="s">
        <v>438</v>
      </c>
      <c r="E43" s="109" t="str">
        <f>A43&amp;D43</f>
        <v>20100729LGRSE411</v>
      </c>
      <c r="F43" s="58">
        <v>0</v>
      </c>
      <c r="G43" s="82">
        <v>7.0680000000000007E-2</v>
      </c>
      <c r="H43" s="82">
        <v>0</v>
      </c>
      <c r="I43" s="82">
        <v>0</v>
      </c>
      <c r="J43" s="82">
        <v>0</v>
      </c>
      <c r="K43" s="82">
        <v>7.2999999999999996E-4</v>
      </c>
      <c r="L43" s="82">
        <v>2.0580000000000001E-2</v>
      </c>
      <c r="M43" s="82">
        <v>4.9370000000000011E-2</v>
      </c>
      <c r="N43" s="82">
        <f t="shared" ref="N43:P81" si="4">IF(H43=0,0,H43-$K43-$L43)</f>
        <v>0</v>
      </c>
      <c r="O43" s="82">
        <f t="shared" si="4"/>
        <v>0</v>
      </c>
      <c r="P43" s="82">
        <f t="shared" si="4"/>
        <v>0</v>
      </c>
      <c r="Q43" s="58">
        <v>0</v>
      </c>
      <c r="R43" s="58">
        <v>0</v>
      </c>
      <c r="S43" s="58">
        <v>0</v>
      </c>
      <c r="T43" s="58">
        <v>0</v>
      </c>
      <c r="U43" s="58">
        <v>0</v>
      </c>
      <c r="V43" s="58">
        <v>0</v>
      </c>
      <c r="W43" s="58">
        <v>0</v>
      </c>
      <c r="X43" s="58">
        <v>0</v>
      </c>
      <c r="Y43" s="58">
        <v>0</v>
      </c>
    </row>
    <row r="44" spans="1:25">
      <c r="A44" s="8">
        <v>20100729</v>
      </c>
      <c r="B44" s="113" t="s">
        <v>456</v>
      </c>
      <c r="C44" s="109" t="str">
        <f>A44&amp;B44</f>
        <v>20100729GSWH</v>
      </c>
      <c r="D44" s="109" t="s">
        <v>407</v>
      </c>
      <c r="E44" s="109" t="str">
        <f>A44&amp;D44</f>
        <v>20100729LGCME451</v>
      </c>
      <c r="F44" s="58">
        <v>0</v>
      </c>
      <c r="G44" s="82">
        <v>8.0509999999999998E-2</v>
      </c>
      <c r="H44" s="82">
        <v>0</v>
      </c>
      <c r="I44" s="82">
        <v>0</v>
      </c>
      <c r="J44" s="82">
        <v>0</v>
      </c>
      <c r="K44" s="82">
        <v>8.0000000000000004E-4</v>
      </c>
      <c r="L44" s="82">
        <v>2.0580000000000001E-2</v>
      </c>
      <c r="M44" s="82">
        <v>5.9130000000000002E-2</v>
      </c>
      <c r="N44" s="82">
        <f t="shared" si="4"/>
        <v>0</v>
      </c>
      <c r="O44" s="82">
        <f t="shared" si="4"/>
        <v>0</v>
      </c>
      <c r="P44" s="82">
        <f t="shared" si="4"/>
        <v>0</v>
      </c>
      <c r="Q44" s="58">
        <v>0</v>
      </c>
      <c r="R44" s="58">
        <v>0</v>
      </c>
      <c r="S44" s="58">
        <v>0</v>
      </c>
      <c r="T44" s="58">
        <v>0</v>
      </c>
      <c r="U44" s="58">
        <v>0</v>
      </c>
      <c r="V44" s="58">
        <v>0</v>
      </c>
      <c r="W44" s="58">
        <v>0</v>
      </c>
      <c r="X44" s="58">
        <v>0</v>
      </c>
      <c r="Y44" s="58">
        <v>0</v>
      </c>
    </row>
    <row r="45" spans="1:25">
      <c r="A45" s="8">
        <v>20100729</v>
      </c>
      <c r="B45" s="109" t="s">
        <v>13</v>
      </c>
      <c r="C45" s="109" t="str">
        <f>A45&amp;B45</f>
        <v>20100729RS</v>
      </c>
      <c r="D45" s="109" t="s">
        <v>439</v>
      </c>
      <c r="E45" s="109" t="str">
        <f>A45&amp;D45</f>
        <v>20100729LGRSE511</v>
      </c>
      <c r="F45" s="58">
        <v>8.5</v>
      </c>
      <c r="G45" s="82">
        <v>7.0680000000000007E-2</v>
      </c>
      <c r="H45" s="82">
        <v>0</v>
      </c>
      <c r="I45" s="82">
        <v>0</v>
      </c>
      <c r="J45" s="82">
        <v>0</v>
      </c>
      <c r="K45" s="82">
        <v>7.2999999999999996E-4</v>
      </c>
      <c r="L45" s="82">
        <v>2.0580000000000001E-2</v>
      </c>
      <c r="M45" s="82">
        <v>4.9370000000000011E-2</v>
      </c>
      <c r="N45" s="82">
        <f t="shared" si="4"/>
        <v>0</v>
      </c>
      <c r="O45" s="82">
        <f t="shared" si="4"/>
        <v>0</v>
      </c>
      <c r="P45" s="82">
        <f t="shared" si="4"/>
        <v>0</v>
      </c>
      <c r="Q45" s="58">
        <v>0</v>
      </c>
      <c r="R45" s="58">
        <v>0</v>
      </c>
      <c r="S45" s="58">
        <v>0</v>
      </c>
      <c r="T45" s="58">
        <v>0</v>
      </c>
      <c r="U45" s="58">
        <v>0</v>
      </c>
      <c r="V45" s="58">
        <v>0</v>
      </c>
      <c r="W45" s="58">
        <v>0</v>
      </c>
      <c r="X45" s="58">
        <v>0</v>
      </c>
      <c r="Y45" s="58">
        <v>0</v>
      </c>
    </row>
    <row r="46" spans="1:25">
      <c r="A46" s="8">
        <v>20100729</v>
      </c>
      <c r="B46" s="109" t="s">
        <v>13</v>
      </c>
      <c r="C46" s="109" t="str">
        <f>A46&amp;B46</f>
        <v>20100729RS</v>
      </c>
      <c r="D46" s="109" t="s">
        <v>440</v>
      </c>
      <c r="E46" s="109" t="str">
        <f>A46&amp;D46</f>
        <v>20100729LGRSE519</v>
      </c>
      <c r="F46" s="58">
        <v>8.5</v>
      </c>
      <c r="G46" s="82">
        <v>7.0680000000000007E-2</v>
      </c>
      <c r="H46" s="82">
        <v>0</v>
      </c>
      <c r="I46" s="82">
        <v>0</v>
      </c>
      <c r="J46" s="82">
        <v>0</v>
      </c>
      <c r="K46" s="82">
        <v>7.2999999999999996E-4</v>
      </c>
      <c r="L46" s="82">
        <v>2.0580000000000001E-2</v>
      </c>
      <c r="M46" s="82">
        <v>4.9370000000000011E-2</v>
      </c>
      <c r="N46" s="82">
        <f t="shared" si="4"/>
        <v>0</v>
      </c>
      <c r="O46" s="82">
        <f t="shared" si="4"/>
        <v>0</v>
      </c>
      <c r="P46" s="82">
        <f t="shared" si="4"/>
        <v>0</v>
      </c>
      <c r="Q46" s="58">
        <v>0</v>
      </c>
      <c r="R46" s="58">
        <v>0</v>
      </c>
      <c r="S46" s="58">
        <v>0</v>
      </c>
      <c r="T46" s="58">
        <v>0</v>
      </c>
      <c r="U46" s="58">
        <v>0</v>
      </c>
      <c r="V46" s="58">
        <v>0</v>
      </c>
      <c r="W46" s="58">
        <v>0</v>
      </c>
      <c r="X46" s="58">
        <v>0</v>
      </c>
      <c r="Y46" s="58">
        <v>0</v>
      </c>
    </row>
    <row r="47" spans="1:25">
      <c r="A47" s="8">
        <v>20100729</v>
      </c>
      <c r="B47" s="109" t="s">
        <v>745</v>
      </c>
      <c r="C47" s="109" t="str">
        <f t="shared" ref="C47:C81" si="5">A47&amp;B47</f>
        <v>20100729VFD</v>
      </c>
      <c r="D47" s="109" t="s">
        <v>441</v>
      </c>
      <c r="E47" s="109" t="str">
        <f t="shared" ref="E47:E81" si="6">A47&amp;D47</f>
        <v>20100729LGRSE540</v>
      </c>
      <c r="F47" s="58">
        <v>8.5</v>
      </c>
      <c r="G47" s="82">
        <v>7.0680000000000007E-2</v>
      </c>
      <c r="H47" s="82">
        <v>0</v>
      </c>
      <c r="I47" s="82">
        <v>0</v>
      </c>
      <c r="J47" s="82">
        <v>0</v>
      </c>
      <c r="K47" s="82">
        <v>7.2999999999999996E-4</v>
      </c>
      <c r="L47" s="82">
        <v>2.0580000000000001E-2</v>
      </c>
      <c r="M47" s="82">
        <v>4.9370000000000011E-2</v>
      </c>
      <c r="N47" s="82">
        <f t="shared" si="4"/>
        <v>0</v>
      </c>
      <c r="O47" s="82">
        <f t="shared" si="4"/>
        <v>0</v>
      </c>
      <c r="P47" s="82">
        <f t="shared" si="4"/>
        <v>0</v>
      </c>
      <c r="Q47" s="58">
        <v>0</v>
      </c>
      <c r="R47" s="58">
        <v>0</v>
      </c>
      <c r="S47" s="58">
        <v>0</v>
      </c>
      <c r="T47" s="58">
        <v>0</v>
      </c>
      <c r="U47" s="58">
        <v>0</v>
      </c>
      <c r="V47" s="58">
        <v>0</v>
      </c>
      <c r="W47" s="58">
        <v>0</v>
      </c>
      <c r="X47" s="58">
        <v>0</v>
      </c>
      <c r="Y47" s="58">
        <v>0</v>
      </c>
    </row>
    <row r="48" spans="1:25">
      <c r="A48" s="8">
        <v>20100729</v>
      </c>
      <c r="B48" s="113" t="s">
        <v>465</v>
      </c>
      <c r="C48" s="109" t="str">
        <f t="shared" si="5"/>
        <v>20100729RRP</v>
      </c>
      <c r="D48" s="113" t="s">
        <v>442</v>
      </c>
      <c r="E48" s="109" t="str">
        <f t="shared" si="6"/>
        <v>20100729LGRSE541</v>
      </c>
      <c r="F48" s="58">
        <v>13.5</v>
      </c>
      <c r="G48" s="82">
        <v>4.8719999999999999E-2</v>
      </c>
      <c r="H48" s="82">
        <v>6.1679999999999999E-2</v>
      </c>
      <c r="I48" s="82">
        <v>0.11873</v>
      </c>
      <c r="J48" s="82">
        <v>0.32363999999999998</v>
      </c>
      <c r="K48" s="82">
        <v>7.2999999999999996E-4</v>
      </c>
      <c r="L48" s="82">
        <v>2.0580000000000001E-2</v>
      </c>
      <c r="M48" s="82">
        <v>2.7409999999999997E-2</v>
      </c>
      <c r="N48" s="82">
        <v>4.0369999999999996E-2</v>
      </c>
      <c r="O48" s="82">
        <v>9.7420000000000007E-2</v>
      </c>
      <c r="P48" s="82">
        <v>0.30232999999999999</v>
      </c>
      <c r="Q48" s="58">
        <v>0</v>
      </c>
      <c r="R48" s="58">
        <v>0</v>
      </c>
      <c r="S48" s="58">
        <v>0</v>
      </c>
      <c r="T48" s="58">
        <v>0</v>
      </c>
      <c r="U48" s="58">
        <v>0</v>
      </c>
      <c r="V48" s="58">
        <v>0</v>
      </c>
      <c r="W48" s="58">
        <v>0</v>
      </c>
      <c r="X48" s="58">
        <v>0</v>
      </c>
      <c r="Y48" s="58">
        <v>0</v>
      </c>
    </row>
    <row r="49" spans="1:25">
      <c r="A49" s="8">
        <v>20100729</v>
      </c>
      <c r="B49" s="113" t="s">
        <v>883</v>
      </c>
      <c r="C49" s="109" t="str">
        <f t="shared" si="5"/>
        <v>20100729GSP</v>
      </c>
      <c r="D49" s="109" t="s">
        <v>408</v>
      </c>
      <c r="E49" s="109" t="str">
        <f t="shared" si="6"/>
        <v>20100729LGCME550</v>
      </c>
      <c r="F49" s="58">
        <v>17.5</v>
      </c>
      <c r="G49" s="82">
        <v>8.0509999999999998E-2</v>
      </c>
      <c r="H49" s="82">
        <v>0</v>
      </c>
      <c r="I49" s="82">
        <v>0</v>
      </c>
      <c r="J49" s="82">
        <v>0</v>
      </c>
      <c r="K49" s="82">
        <v>8.0000000000000004E-4</v>
      </c>
      <c r="L49" s="82">
        <v>2.0580000000000001E-2</v>
      </c>
      <c r="M49" s="82">
        <v>5.9130000000000002E-2</v>
      </c>
      <c r="N49" s="82">
        <f t="shared" si="4"/>
        <v>0</v>
      </c>
      <c r="O49" s="82">
        <f t="shared" si="4"/>
        <v>0</v>
      </c>
      <c r="P49" s="82">
        <f t="shared" si="4"/>
        <v>0</v>
      </c>
      <c r="Q49" s="58">
        <v>0</v>
      </c>
      <c r="R49" s="58">
        <v>0</v>
      </c>
      <c r="S49" s="58">
        <v>0</v>
      </c>
      <c r="T49" s="58">
        <v>0</v>
      </c>
      <c r="U49" s="58">
        <v>0</v>
      </c>
      <c r="V49" s="58">
        <v>0</v>
      </c>
      <c r="W49" s="58">
        <v>0</v>
      </c>
      <c r="X49" s="58">
        <v>0</v>
      </c>
      <c r="Y49" s="58">
        <v>0</v>
      </c>
    </row>
    <row r="50" spans="1:25">
      <c r="A50" s="8">
        <v>20100729</v>
      </c>
      <c r="B50" s="109" t="s">
        <v>453</v>
      </c>
      <c r="C50" s="109" t="str">
        <f t="shared" si="5"/>
        <v>20100729GSS</v>
      </c>
      <c r="D50" s="109" t="s">
        <v>409</v>
      </c>
      <c r="E50" s="109" t="str">
        <f t="shared" si="6"/>
        <v>20100729LGCME551</v>
      </c>
      <c r="F50" s="58">
        <v>17.5</v>
      </c>
      <c r="G50" s="82">
        <v>8.0509999999999998E-2</v>
      </c>
      <c r="H50" s="82">
        <v>0</v>
      </c>
      <c r="I50" s="82">
        <v>0</v>
      </c>
      <c r="J50" s="82">
        <v>0</v>
      </c>
      <c r="K50" s="82">
        <v>8.0000000000000004E-4</v>
      </c>
      <c r="L50" s="82">
        <v>2.0580000000000001E-2</v>
      </c>
      <c r="M50" s="82">
        <v>5.9130000000000002E-2</v>
      </c>
      <c r="N50" s="82">
        <f t="shared" si="4"/>
        <v>0</v>
      </c>
      <c r="O50" s="82">
        <f t="shared" si="4"/>
        <v>0</v>
      </c>
      <c r="P50" s="82">
        <f t="shared" si="4"/>
        <v>0</v>
      </c>
      <c r="Q50" s="58">
        <v>0</v>
      </c>
      <c r="R50" s="58">
        <v>0</v>
      </c>
      <c r="S50" s="58">
        <v>0</v>
      </c>
      <c r="T50" s="58">
        <v>0</v>
      </c>
      <c r="U50" s="58">
        <v>0</v>
      </c>
      <c r="V50" s="58">
        <v>0</v>
      </c>
      <c r="W50" s="58">
        <v>0</v>
      </c>
      <c r="X50" s="58">
        <v>0</v>
      </c>
      <c r="Y50" s="58">
        <v>0</v>
      </c>
    </row>
    <row r="51" spans="1:25">
      <c r="A51" s="8">
        <v>20100729</v>
      </c>
      <c r="B51" s="109" t="s">
        <v>882</v>
      </c>
      <c r="C51" s="109" t="str">
        <f t="shared" si="5"/>
        <v>20100729GSUM</v>
      </c>
      <c r="D51" s="109" t="s">
        <v>410</v>
      </c>
      <c r="E51" s="109" t="str">
        <f t="shared" si="6"/>
        <v>20100729LGCME551UM</v>
      </c>
      <c r="F51" s="58">
        <v>17.5</v>
      </c>
      <c r="G51" s="82">
        <v>8.0509999999999998E-2</v>
      </c>
      <c r="H51" s="82">
        <v>0</v>
      </c>
      <c r="I51" s="82">
        <v>0</v>
      </c>
      <c r="J51" s="82">
        <v>0</v>
      </c>
      <c r="K51" s="82">
        <v>8.0000000000000004E-4</v>
      </c>
      <c r="L51" s="82">
        <v>2.0580000000000001E-2</v>
      </c>
      <c r="M51" s="82">
        <v>5.9130000000000002E-2</v>
      </c>
      <c r="N51" s="82">
        <f t="shared" si="4"/>
        <v>0</v>
      </c>
      <c r="O51" s="82">
        <f t="shared" si="4"/>
        <v>0</v>
      </c>
      <c r="P51" s="82">
        <f t="shared" si="4"/>
        <v>0</v>
      </c>
      <c r="Q51" s="58">
        <v>0</v>
      </c>
      <c r="R51" s="58">
        <v>0</v>
      </c>
      <c r="S51" s="58">
        <v>0</v>
      </c>
      <c r="T51" s="58">
        <v>0</v>
      </c>
      <c r="U51" s="58">
        <v>0</v>
      </c>
      <c r="V51" s="58">
        <v>0</v>
      </c>
      <c r="W51" s="58">
        <v>0</v>
      </c>
      <c r="X51" s="58">
        <v>0</v>
      </c>
      <c r="Y51" s="58">
        <v>0</v>
      </c>
    </row>
    <row r="52" spans="1:25">
      <c r="A52" s="8">
        <v>20100729</v>
      </c>
      <c r="B52" s="113" t="s">
        <v>877</v>
      </c>
      <c r="C52" s="109" t="str">
        <f t="shared" si="5"/>
        <v>20100729GSNM</v>
      </c>
      <c r="D52" s="109" t="s">
        <v>413</v>
      </c>
      <c r="E52" s="109" t="str">
        <f t="shared" si="6"/>
        <v>20100729LGCME557</v>
      </c>
      <c r="F52" s="58">
        <v>17.5</v>
      </c>
      <c r="G52" s="82">
        <v>8.0509999999999998E-2</v>
      </c>
      <c r="H52" s="82">
        <v>0</v>
      </c>
      <c r="I52" s="82">
        <v>0</v>
      </c>
      <c r="J52" s="82">
        <v>0</v>
      </c>
      <c r="K52" s="82">
        <v>8.0000000000000004E-4</v>
      </c>
      <c r="L52" s="82">
        <v>2.0580000000000001E-2</v>
      </c>
      <c r="M52" s="82">
        <v>5.9130000000000002E-2</v>
      </c>
      <c r="N52" s="82">
        <f t="shared" si="4"/>
        <v>0</v>
      </c>
      <c r="O52" s="82">
        <f t="shared" si="4"/>
        <v>0</v>
      </c>
      <c r="P52" s="82">
        <f t="shared" si="4"/>
        <v>0</v>
      </c>
      <c r="Q52" s="58">
        <v>0</v>
      </c>
      <c r="R52" s="58">
        <v>0</v>
      </c>
      <c r="S52" s="58">
        <v>0</v>
      </c>
      <c r="T52" s="58">
        <v>0</v>
      </c>
      <c r="U52" s="58">
        <v>0</v>
      </c>
      <c r="V52" s="58">
        <v>0</v>
      </c>
      <c r="W52" s="58">
        <v>0</v>
      </c>
      <c r="X52" s="58">
        <v>0</v>
      </c>
      <c r="Y52" s="58">
        <v>0</v>
      </c>
    </row>
    <row r="53" spans="1:25">
      <c r="A53" s="8">
        <v>20100729</v>
      </c>
      <c r="B53" s="113" t="s">
        <v>455</v>
      </c>
      <c r="C53" s="109" t="str">
        <f t="shared" si="5"/>
        <v>20100729GSSH</v>
      </c>
      <c r="D53" s="109" t="s">
        <v>411</v>
      </c>
      <c r="E53" s="109" t="str">
        <f t="shared" si="6"/>
        <v>20100729LGCME552</v>
      </c>
      <c r="F53" s="58">
        <v>0</v>
      </c>
      <c r="G53" s="82">
        <v>8.0509999999999998E-2</v>
      </c>
      <c r="H53" s="82">
        <v>0</v>
      </c>
      <c r="I53" s="82">
        <v>0</v>
      </c>
      <c r="J53" s="82">
        <v>0</v>
      </c>
      <c r="K53" s="82">
        <v>8.0000000000000004E-4</v>
      </c>
      <c r="L53" s="82">
        <v>2.0580000000000001E-2</v>
      </c>
      <c r="M53" s="82">
        <v>5.9130000000000002E-2</v>
      </c>
      <c r="N53" s="82">
        <f t="shared" si="4"/>
        <v>0</v>
      </c>
      <c r="O53" s="82">
        <f t="shared" si="4"/>
        <v>0</v>
      </c>
      <c r="P53" s="82">
        <f t="shared" si="4"/>
        <v>0</v>
      </c>
      <c r="Q53" s="58">
        <v>0</v>
      </c>
      <c r="R53" s="58">
        <v>0</v>
      </c>
      <c r="S53" s="58">
        <v>0</v>
      </c>
      <c r="T53" s="58">
        <v>0</v>
      </c>
      <c r="U53" s="58">
        <v>0</v>
      </c>
      <c r="V53" s="58">
        <v>0</v>
      </c>
      <c r="W53" s="58">
        <v>0</v>
      </c>
      <c r="X53" s="58">
        <v>0</v>
      </c>
      <c r="Y53" s="58">
        <v>0</v>
      </c>
    </row>
    <row r="54" spans="1:25">
      <c r="A54" s="8">
        <v>20100729</v>
      </c>
      <c r="B54" s="113" t="s">
        <v>879</v>
      </c>
      <c r="C54" s="109" t="str">
        <f t="shared" si="5"/>
        <v>20100729GSRP</v>
      </c>
      <c r="D54" s="113" t="s">
        <v>412</v>
      </c>
      <c r="E54" s="109" t="str">
        <f t="shared" si="6"/>
        <v>20100729LGCME555</v>
      </c>
      <c r="F54" s="58">
        <v>27.5</v>
      </c>
      <c r="G54" s="82">
        <v>5.6489999999999999E-2</v>
      </c>
      <c r="H54" s="82">
        <v>7.2319999999999995E-2</v>
      </c>
      <c r="I54" s="82">
        <v>0.15134</v>
      </c>
      <c r="J54" s="82">
        <v>0.32783000000000001</v>
      </c>
      <c r="K54" s="82">
        <v>8.0000000000000004E-4</v>
      </c>
      <c r="L54" s="82">
        <v>2.0580000000000001E-2</v>
      </c>
      <c r="M54" s="82">
        <v>3.5109999999999995E-2</v>
      </c>
      <c r="N54" s="82">
        <v>5.0939999999999999E-2</v>
      </c>
      <c r="O54" s="82">
        <v>0.12996000000000002</v>
      </c>
      <c r="P54" s="82">
        <v>0.30645</v>
      </c>
      <c r="Q54" s="58">
        <v>0</v>
      </c>
      <c r="R54" s="58">
        <v>0</v>
      </c>
      <c r="S54" s="58">
        <v>0</v>
      </c>
      <c r="T54" s="58">
        <v>0</v>
      </c>
      <c r="U54" s="58">
        <v>0</v>
      </c>
      <c r="V54" s="58">
        <v>0</v>
      </c>
      <c r="W54" s="58">
        <v>0</v>
      </c>
      <c r="X54" s="58">
        <v>0</v>
      </c>
      <c r="Y54" s="58">
        <v>0</v>
      </c>
    </row>
    <row r="55" spans="1:25">
      <c r="A55" s="8">
        <v>20100729</v>
      </c>
      <c r="B55" s="113" t="s">
        <v>765</v>
      </c>
      <c r="C55" s="109" t="str">
        <f t="shared" si="5"/>
        <v>20100729GS3P</v>
      </c>
      <c r="D55" s="109" t="s">
        <v>419</v>
      </c>
      <c r="E55" s="109" t="str">
        <f t="shared" si="6"/>
        <v>20100729LGCME650</v>
      </c>
      <c r="F55" s="58">
        <v>32.5</v>
      </c>
      <c r="G55" s="82">
        <v>8.0509999999999998E-2</v>
      </c>
      <c r="H55" s="82">
        <v>0</v>
      </c>
      <c r="I55" s="82">
        <v>0</v>
      </c>
      <c r="J55" s="82">
        <v>0</v>
      </c>
      <c r="K55" s="82">
        <v>8.0000000000000004E-4</v>
      </c>
      <c r="L55" s="82">
        <v>2.0580000000000001E-2</v>
      </c>
      <c r="M55" s="82">
        <v>5.9130000000000002E-2</v>
      </c>
      <c r="N55" s="82">
        <f t="shared" si="4"/>
        <v>0</v>
      </c>
      <c r="O55" s="82">
        <f t="shared" si="4"/>
        <v>0</v>
      </c>
      <c r="P55" s="82">
        <f t="shared" si="4"/>
        <v>0</v>
      </c>
      <c r="Q55" s="58">
        <v>0</v>
      </c>
      <c r="R55" s="58">
        <v>0</v>
      </c>
      <c r="S55" s="58">
        <v>0</v>
      </c>
      <c r="T55" s="58">
        <v>0</v>
      </c>
      <c r="U55" s="58">
        <v>0</v>
      </c>
      <c r="V55" s="58">
        <v>0</v>
      </c>
      <c r="W55" s="58">
        <v>0</v>
      </c>
      <c r="X55" s="58">
        <v>0</v>
      </c>
      <c r="Y55" s="58">
        <v>0</v>
      </c>
    </row>
    <row r="56" spans="1:25">
      <c r="A56" s="8">
        <v>20100729</v>
      </c>
      <c r="B56" s="109" t="s">
        <v>14</v>
      </c>
      <c r="C56" s="109" t="str">
        <f t="shared" si="5"/>
        <v>20100729GS3</v>
      </c>
      <c r="D56" s="109" t="s">
        <v>420</v>
      </c>
      <c r="E56" s="109" t="str">
        <f t="shared" si="6"/>
        <v>20100729LGCME651</v>
      </c>
      <c r="F56" s="58">
        <v>32.5</v>
      </c>
      <c r="G56" s="82">
        <v>8.0509999999999998E-2</v>
      </c>
      <c r="H56" s="82">
        <v>0</v>
      </c>
      <c r="I56" s="82">
        <v>0</v>
      </c>
      <c r="J56" s="82">
        <v>0</v>
      </c>
      <c r="K56" s="82">
        <v>8.0000000000000004E-4</v>
      </c>
      <c r="L56" s="82">
        <v>2.0580000000000001E-2</v>
      </c>
      <c r="M56" s="82">
        <v>5.9130000000000002E-2</v>
      </c>
      <c r="N56" s="82">
        <f t="shared" si="4"/>
        <v>0</v>
      </c>
      <c r="O56" s="82">
        <f t="shared" si="4"/>
        <v>0</v>
      </c>
      <c r="P56" s="82">
        <f t="shared" si="4"/>
        <v>0</v>
      </c>
      <c r="Q56" s="58">
        <v>0</v>
      </c>
      <c r="R56" s="58">
        <v>0</v>
      </c>
      <c r="S56" s="58">
        <v>0</v>
      </c>
      <c r="T56" s="58">
        <v>0</v>
      </c>
      <c r="U56" s="58">
        <v>0</v>
      </c>
      <c r="V56" s="58">
        <v>0</v>
      </c>
      <c r="W56" s="58">
        <v>0</v>
      </c>
      <c r="X56" s="58">
        <v>0</v>
      </c>
      <c r="Y56" s="58">
        <v>0</v>
      </c>
    </row>
    <row r="57" spans="1:25">
      <c r="A57" s="8">
        <v>20100729</v>
      </c>
      <c r="B57" s="113" t="s">
        <v>859</v>
      </c>
      <c r="C57" s="109" t="str">
        <f t="shared" si="5"/>
        <v>20100729GS3NM</v>
      </c>
      <c r="D57" s="113" t="s">
        <v>423</v>
      </c>
      <c r="E57" s="109" t="str">
        <f t="shared" si="6"/>
        <v>20100729LGCME657</v>
      </c>
      <c r="F57" s="58">
        <v>32.5</v>
      </c>
      <c r="G57" s="82">
        <v>8.0509999999999998E-2</v>
      </c>
      <c r="H57" s="82">
        <v>0</v>
      </c>
      <c r="I57" s="82">
        <v>0</v>
      </c>
      <c r="J57" s="82">
        <v>0</v>
      </c>
      <c r="K57" s="82">
        <v>8.0000000000000004E-4</v>
      </c>
      <c r="L57" s="82">
        <v>2.0580000000000001E-2</v>
      </c>
      <c r="M57" s="82">
        <v>5.9130000000000002E-2</v>
      </c>
      <c r="N57" s="82">
        <f t="shared" si="4"/>
        <v>0</v>
      </c>
      <c r="O57" s="82">
        <f t="shared" si="4"/>
        <v>0</v>
      </c>
      <c r="P57" s="82">
        <f t="shared" si="4"/>
        <v>0</v>
      </c>
      <c r="Q57" s="58">
        <v>0</v>
      </c>
      <c r="R57" s="58">
        <v>0</v>
      </c>
      <c r="S57" s="58">
        <v>0</v>
      </c>
      <c r="T57" s="58">
        <v>0</v>
      </c>
      <c r="U57" s="58">
        <v>0</v>
      </c>
      <c r="V57" s="58">
        <v>0</v>
      </c>
      <c r="W57" s="58">
        <v>0</v>
      </c>
      <c r="X57" s="58">
        <v>0</v>
      </c>
      <c r="Y57" s="58">
        <v>0</v>
      </c>
    </row>
    <row r="58" spans="1:25">
      <c r="A58" s="8">
        <v>20100729</v>
      </c>
      <c r="B58" s="113" t="s">
        <v>858</v>
      </c>
      <c r="C58" s="109" t="str">
        <f t="shared" si="5"/>
        <v>20100729GS3SH</v>
      </c>
      <c r="D58" s="113" t="s">
        <v>421</v>
      </c>
      <c r="E58" s="109" t="str">
        <f t="shared" si="6"/>
        <v>20100729LGCME652</v>
      </c>
      <c r="F58" s="58">
        <v>0</v>
      </c>
      <c r="G58" s="82">
        <v>8.0509999999999998E-2</v>
      </c>
      <c r="H58" s="82">
        <v>0</v>
      </c>
      <c r="I58" s="82">
        <v>0</v>
      </c>
      <c r="J58" s="82">
        <v>0</v>
      </c>
      <c r="K58" s="82">
        <v>8.0000000000000004E-4</v>
      </c>
      <c r="L58" s="82">
        <v>2.0580000000000001E-2</v>
      </c>
      <c r="M58" s="82">
        <v>5.9130000000000002E-2</v>
      </c>
      <c r="N58" s="82">
        <f t="shared" si="4"/>
        <v>0</v>
      </c>
      <c r="O58" s="82">
        <f t="shared" si="4"/>
        <v>0</v>
      </c>
      <c r="P58" s="82">
        <f t="shared" si="4"/>
        <v>0</v>
      </c>
      <c r="Q58" s="58">
        <v>0</v>
      </c>
      <c r="R58" s="58">
        <v>0</v>
      </c>
      <c r="S58" s="58">
        <v>0</v>
      </c>
      <c r="T58" s="58">
        <v>0</v>
      </c>
      <c r="U58" s="58">
        <v>0</v>
      </c>
      <c r="V58" s="58">
        <v>0</v>
      </c>
      <c r="W58" s="58">
        <v>0</v>
      </c>
      <c r="X58" s="58">
        <v>0</v>
      </c>
      <c r="Y58" s="58">
        <v>0</v>
      </c>
    </row>
    <row r="59" spans="1:25">
      <c r="A59" s="8">
        <v>20100729</v>
      </c>
      <c r="B59" s="109" t="s">
        <v>716</v>
      </c>
      <c r="C59" s="109" t="str">
        <f t="shared" si="5"/>
        <v>20100729G3RP</v>
      </c>
      <c r="D59" s="113" t="s">
        <v>422</v>
      </c>
      <c r="E59" s="109" t="str">
        <f t="shared" si="6"/>
        <v>20100729LGCME656</v>
      </c>
      <c r="F59" s="58">
        <v>42.5</v>
      </c>
      <c r="G59" s="82">
        <v>5.6489999999999999E-2</v>
      </c>
      <c r="H59" s="82">
        <v>7.2319999999999995E-2</v>
      </c>
      <c r="I59" s="82">
        <v>0.15134</v>
      </c>
      <c r="J59" s="82">
        <v>0.32783000000000001</v>
      </c>
      <c r="K59" s="82">
        <v>8.0000000000000004E-4</v>
      </c>
      <c r="L59" s="82">
        <v>2.0580000000000001E-2</v>
      </c>
      <c r="M59" s="82">
        <v>3.5109999999999995E-2</v>
      </c>
      <c r="N59" s="82">
        <v>5.0939999999999999E-2</v>
      </c>
      <c r="O59" s="82">
        <v>0.12996000000000002</v>
      </c>
      <c r="P59" s="82">
        <v>0.30645</v>
      </c>
      <c r="Q59" s="58">
        <v>0</v>
      </c>
      <c r="R59" s="58">
        <v>0</v>
      </c>
      <c r="S59" s="58">
        <v>0</v>
      </c>
      <c r="T59" s="58">
        <v>0</v>
      </c>
      <c r="U59" s="58">
        <v>0</v>
      </c>
      <c r="V59" s="58">
        <v>0</v>
      </c>
      <c r="W59" s="58">
        <v>0</v>
      </c>
      <c r="X59" s="58">
        <v>0</v>
      </c>
      <c r="Y59" s="58">
        <v>0</v>
      </c>
    </row>
    <row r="60" spans="1:25">
      <c r="A60" s="8">
        <v>20100729</v>
      </c>
      <c r="B60" s="109" t="s">
        <v>20</v>
      </c>
      <c r="C60" s="109" t="str">
        <f t="shared" si="5"/>
        <v>20100729PSS</v>
      </c>
      <c r="D60" s="113" t="s">
        <v>414</v>
      </c>
      <c r="E60" s="109" t="str">
        <f t="shared" si="6"/>
        <v>20100729LGCME561</v>
      </c>
      <c r="F60" s="58">
        <v>90</v>
      </c>
      <c r="G60" s="82">
        <v>3.2640000000000002E-2</v>
      </c>
      <c r="H60" s="82">
        <v>0</v>
      </c>
      <c r="I60" s="82">
        <v>0</v>
      </c>
      <c r="J60" s="82">
        <v>0</v>
      </c>
      <c r="K60" s="82">
        <v>0</v>
      </c>
      <c r="L60" s="82">
        <v>2.0580000000000001E-2</v>
      </c>
      <c r="M60" s="82">
        <v>1.2060000000000001E-2</v>
      </c>
      <c r="N60" s="82">
        <f t="shared" si="4"/>
        <v>0</v>
      </c>
      <c r="O60" s="82">
        <f t="shared" si="4"/>
        <v>0</v>
      </c>
      <c r="P60" s="82">
        <f t="shared" si="4"/>
        <v>0</v>
      </c>
      <c r="Q60" s="58">
        <v>0</v>
      </c>
      <c r="R60" s="58">
        <v>13.07</v>
      </c>
      <c r="S60" s="58">
        <v>15.32</v>
      </c>
      <c r="T60" s="58">
        <v>0</v>
      </c>
      <c r="U60" s="58">
        <v>0.25</v>
      </c>
      <c r="V60" s="58">
        <v>0.25</v>
      </c>
      <c r="W60" s="58">
        <v>0</v>
      </c>
      <c r="X60" s="58">
        <v>12.82</v>
      </c>
      <c r="Y60" s="58">
        <v>15.07</v>
      </c>
    </row>
    <row r="61" spans="1:25">
      <c r="A61" s="8">
        <v>20100729</v>
      </c>
      <c r="B61" s="109" t="s">
        <v>21</v>
      </c>
      <c r="C61" s="109" t="str">
        <f t="shared" si="5"/>
        <v>20100729PSP</v>
      </c>
      <c r="D61" s="109" t="s">
        <v>415</v>
      </c>
      <c r="E61" s="109" t="str">
        <f t="shared" si="6"/>
        <v>20100729LGCME563</v>
      </c>
      <c r="F61" s="58">
        <v>90</v>
      </c>
      <c r="G61" s="82">
        <v>3.2640000000000002E-2</v>
      </c>
      <c r="H61" s="82">
        <v>0</v>
      </c>
      <c r="I61" s="82">
        <v>0</v>
      </c>
      <c r="J61" s="82">
        <v>0</v>
      </c>
      <c r="K61" s="82">
        <v>0</v>
      </c>
      <c r="L61" s="82">
        <v>2.0580000000000001E-2</v>
      </c>
      <c r="M61" s="82">
        <v>1.2060000000000001E-2</v>
      </c>
      <c r="N61" s="82">
        <f t="shared" si="4"/>
        <v>0</v>
      </c>
      <c r="O61" s="82">
        <f t="shared" si="4"/>
        <v>0</v>
      </c>
      <c r="P61" s="82">
        <f t="shared" si="4"/>
        <v>0</v>
      </c>
      <c r="Q61" s="58">
        <v>0</v>
      </c>
      <c r="R61" s="58">
        <v>11.24</v>
      </c>
      <c r="S61" s="58">
        <v>13.48</v>
      </c>
      <c r="T61" s="58">
        <v>0</v>
      </c>
      <c r="U61" s="58">
        <v>0.25</v>
      </c>
      <c r="V61" s="58">
        <v>0.25</v>
      </c>
      <c r="W61" s="58">
        <v>0</v>
      </c>
      <c r="X61" s="58">
        <v>10.99</v>
      </c>
      <c r="Y61" s="58">
        <v>13.23</v>
      </c>
    </row>
    <row r="62" spans="1:25">
      <c r="A62" s="8">
        <v>20100729</v>
      </c>
      <c r="B62" s="109" t="s">
        <v>20</v>
      </c>
      <c r="C62" s="109" t="str">
        <f t="shared" si="5"/>
        <v>20100729PSS</v>
      </c>
      <c r="D62" s="109" t="s">
        <v>416</v>
      </c>
      <c r="E62" s="109" t="str">
        <f t="shared" si="6"/>
        <v>20100729LGCME567</v>
      </c>
      <c r="F62" s="58">
        <v>90</v>
      </c>
      <c r="G62" s="82">
        <v>3.2640000000000002E-2</v>
      </c>
      <c r="H62" s="82">
        <v>0</v>
      </c>
      <c r="I62" s="82">
        <v>0</v>
      </c>
      <c r="J62" s="82">
        <v>0</v>
      </c>
      <c r="K62" s="82">
        <v>0</v>
      </c>
      <c r="L62" s="82">
        <v>2.0580000000000001E-2</v>
      </c>
      <c r="M62" s="82">
        <v>1.2060000000000001E-2</v>
      </c>
      <c r="N62" s="82">
        <f t="shared" si="4"/>
        <v>0</v>
      </c>
      <c r="O62" s="82">
        <f t="shared" si="4"/>
        <v>0</v>
      </c>
      <c r="P62" s="82">
        <f t="shared" si="4"/>
        <v>0</v>
      </c>
      <c r="Q62" s="58">
        <v>0</v>
      </c>
      <c r="R62" s="58">
        <v>13.07</v>
      </c>
      <c r="S62" s="58">
        <v>15.32</v>
      </c>
      <c r="T62" s="58">
        <v>0</v>
      </c>
      <c r="U62" s="58">
        <v>0.25</v>
      </c>
      <c r="V62" s="58">
        <v>0.25</v>
      </c>
      <c r="W62" s="58">
        <v>0</v>
      </c>
      <c r="X62" s="58">
        <v>12.82</v>
      </c>
      <c r="Y62" s="58">
        <v>15.07</v>
      </c>
    </row>
    <row r="63" spans="1:25">
      <c r="A63" s="8">
        <v>20100729</v>
      </c>
      <c r="B63" s="109" t="s">
        <v>449</v>
      </c>
      <c r="C63" s="109" t="str">
        <f t="shared" si="5"/>
        <v>20100729CTODS</v>
      </c>
      <c r="D63" s="109" t="s">
        <v>417</v>
      </c>
      <c r="E63" s="109" t="str">
        <f t="shared" si="6"/>
        <v>20100729LGCME591</v>
      </c>
      <c r="F63" s="58">
        <v>200</v>
      </c>
      <c r="G63" s="82">
        <v>3.2259999999999997E-2</v>
      </c>
      <c r="H63" s="82">
        <v>0</v>
      </c>
      <c r="I63" s="82">
        <v>0</v>
      </c>
      <c r="J63" s="82">
        <v>0</v>
      </c>
      <c r="K63" s="82">
        <v>0</v>
      </c>
      <c r="L63" s="82">
        <v>2.0580000000000001E-2</v>
      </c>
      <c r="M63" s="82">
        <v>1.1679999999999996E-2</v>
      </c>
      <c r="N63" s="82">
        <f t="shared" si="4"/>
        <v>0</v>
      </c>
      <c r="O63" s="82">
        <f t="shared" si="4"/>
        <v>0</v>
      </c>
      <c r="P63" s="82">
        <f t="shared" si="4"/>
        <v>0</v>
      </c>
      <c r="Q63" s="58">
        <v>3.79</v>
      </c>
      <c r="R63" s="58">
        <v>4.28</v>
      </c>
      <c r="S63" s="58">
        <v>5.81</v>
      </c>
      <c r="T63" s="58">
        <v>0.14000000000000001</v>
      </c>
      <c r="U63" s="58">
        <v>0.14000000000000001</v>
      </c>
      <c r="V63" s="58">
        <v>0.14000000000000001</v>
      </c>
      <c r="W63" s="58">
        <v>3.65</v>
      </c>
      <c r="X63" s="58">
        <v>4.1400000000000006</v>
      </c>
      <c r="Y63" s="58">
        <v>5.67</v>
      </c>
    </row>
    <row r="64" spans="1:25">
      <c r="A64" s="8">
        <v>20100729</v>
      </c>
      <c r="B64" s="109" t="s">
        <v>448</v>
      </c>
      <c r="C64" s="109" t="str">
        <f t="shared" si="5"/>
        <v>20100729CTODP</v>
      </c>
      <c r="D64" s="109" t="s">
        <v>418</v>
      </c>
      <c r="E64" s="109" t="str">
        <f t="shared" si="6"/>
        <v>20100729LGCME593</v>
      </c>
      <c r="F64" s="58">
        <v>200</v>
      </c>
      <c r="G64" s="82">
        <v>3.2259999999999997E-2</v>
      </c>
      <c r="H64" s="82">
        <v>0</v>
      </c>
      <c r="I64" s="82">
        <v>0</v>
      </c>
      <c r="J64" s="82">
        <v>0</v>
      </c>
      <c r="K64" s="82">
        <v>0</v>
      </c>
      <c r="L64" s="82">
        <v>2.0580000000000001E-2</v>
      </c>
      <c r="M64" s="82">
        <v>1.1679999999999996E-2</v>
      </c>
      <c r="N64" s="82">
        <f t="shared" si="4"/>
        <v>0</v>
      </c>
      <c r="O64" s="82">
        <f t="shared" si="4"/>
        <v>0</v>
      </c>
      <c r="P64" s="82">
        <f t="shared" si="4"/>
        <v>0</v>
      </c>
      <c r="Q64" s="58">
        <v>2.64</v>
      </c>
      <c r="R64" s="58">
        <v>4.2</v>
      </c>
      <c r="S64" s="58">
        <v>5.7</v>
      </c>
      <c r="T64" s="58">
        <v>0.14000000000000001</v>
      </c>
      <c r="U64" s="58">
        <v>0.14000000000000001</v>
      </c>
      <c r="V64" s="58">
        <v>0.14000000000000001</v>
      </c>
      <c r="W64" s="58">
        <v>2.5</v>
      </c>
      <c r="X64" s="58">
        <v>4.0600000000000005</v>
      </c>
      <c r="Y64" s="58">
        <v>5.5600000000000005</v>
      </c>
    </row>
    <row r="65" spans="1:25">
      <c r="A65" s="8">
        <v>20100729</v>
      </c>
      <c r="B65" s="109" t="s">
        <v>20</v>
      </c>
      <c r="C65" s="109" t="str">
        <f t="shared" si="5"/>
        <v>20100729PSS</v>
      </c>
      <c r="D65" s="109" t="s">
        <v>428</v>
      </c>
      <c r="E65" s="109" t="str">
        <f t="shared" si="6"/>
        <v>20100729LGINE661</v>
      </c>
      <c r="F65" s="58">
        <v>90</v>
      </c>
      <c r="G65" s="82">
        <v>3.2640000000000002E-2</v>
      </c>
      <c r="H65" s="82">
        <v>0</v>
      </c>
      <c r="I65" s="82">
        <v>0</v>
      </c>
      <c r="J65" s="82">
        <v>0</v>
      </c>
      <c r="K65" s="82">
        <v>0</v>
      </c>
      <c r="L65" s="82">
        <v>2.0580000000000001E-2</v>
      </c>
      <c r="M65" s="82">
        <v>1.2060000000000001E-2</v>
      </c>
      <c r="N65" s="82">
        <f t="shared" si="4"/>
        <v>0</v>
      </c>
      <c r="O65" s="82">
        <f t="shared" si="4"/>
        <v>0</v>
      </c>
      <c r="P65" s="82">
        <f t="shared" si="4"/>
        <v>0</v>
      </c>
      <c r="Q65" s="58">
        <v>0</v>
      </c>
      <c r="R65" s="58">
        <v>13.07</v>
      </c>
      <c r="S65" s="58">
        <v>15.32</v>
      </c>
      <c r="T65" s="58">
        <v>0</v>
      </c>
      <c r="U65" s="58">
        <v>0.25</v>
      </c>
      <c r="V65" s="58">
        <v>0.25</v>
      </c>
      <c r="W65" s="58">
        <v>0</v>
      </c>
      <c r="X65" s="58">
        <v>12.82</v>
      </c>
      <c r="Y65" s="58">
        <v>15.07</v>
      </c>
    </row>
    <row r="66" spans="1:25">
      <c r="A66" s="8">
        <v>20100729</v>
      </c>
      <c r="B66" s="109" t="s">
        <v>21</v>
      </c>
      <c r="C66" s="109" t="str">
        <f t="shared" si="5"/>
        <v>20100729PSP</v>
      </c>
      <c r="D66" s="109" t="s">
        <v>429</v>
      </c>
      <c r="E66" s="109" t="str">
        <f t="shared" si="6"/>
        <v>20100729LGINE663</v>
      </c>
      <c r="F66" s="58">
        <v>90</v>
      </c>
      <c r="G66" s="82">
        <v>3.2640000000000002E-2</v>
      </c>
      <c r="H66" s="82">
        <v>0</v>
      </c>
      <c r="I66" s="82">
        <v>0</v>
      </c>
      <c r="J66" s="82">
        <v>0</v>
      </c>
      <c r="K66" s="82">
        <v>0</v>
      </c>
      <c r="L66" s="82">
        <v>2.0580000000000001E-2</v>
      </c>
      <c r="M66" s="82">
        <v>1.2060000000000001E-2</v>
      </c>
      <c r="N66" s="82">
        <f t="shared" si="4"/>
        <v>0</v>
      </c>
      <c r="O66" s="82">
        <f t="shared" si="4"/>
        <v>0</v>
      </c>
      <c r="P66" s="82">
        <f t="shared" si="4"/>
        <v>0</v>
      </c>
      <c r="Q66" s="58">
        <v>0</v>
      </c>
      <c r="R66" s="58">
        <v>11.24</v>
      </c>
      <c r="S66" s="58">
        <v>13.48</v>
      </c>
      <c r="T66" s="58">
        <v>0</v>
      </c>
      <c r="U66" s="58">
        <v>0.25</v>
      </c>
      <c r="V66" s="58">
        <v>0.25</v>
      </c>
      <c r="W66" s="58">
        <v>0</v>
      </c>
      <c r="X66" s="58">
        <v>10.99</v>
      </c>
      <c r="Y66" s="58">
        <v>13.23</v>
      </c>
    </row>
    <row r="67" spans="1:25">
      <c r="A67" s="8">
        <v>20100729</v>
      </c>
      <c r="B67" s="109" t="s">
        <v>461</v>
      </c>
      <c r="C67" s="109" t="str">
        <f t="shared" si="5"/>
        <v>20100729ITODS</v>
      </c>
      <c r="D67" s="109" t="s">
        <v>430</v>
      </c>
      <c r="E67" s="109" t="str">
        <f t="shared" si="6"/>
        <v>20100729LGINE691</v>
      </c>
      <c r="F67" s="58">
        <v>300</v>
      </c>
      <c r="G67" s="82">
        <v>2.827E-2</v>
      </c>
      <c r="H67" s="82">
        <v>0</v>
      </c>
      <c r="I67" s="82">
        <v>0</v>
      </c>
      <c r="J67" s="82">
        <v>0</v>
      </c>
      <c r="K67" s="82">
        <v>0</v>
      </c>
      <c r="L67" s="82">
        <v>2.0580000000000001E-2</v>
      </c>
      <c r="M67" s="82">
        <v>7.6899999999999989E-3</v>
      </c>
      <c r="N67" s="82">
        <f t="shared" si="4"/>
        <v>0</v>
      </c>
      <c r="O67" s="82">
        <f t="shared" si="4"/>
        <v>0</v>
      </c>
      <c r="P67" s="82">
        <f t="shared" si="4"/>
        <v>0</v>
      </c>
      <c r="Q67" s="58">
        <v>5.48</v>
      </c>
      <c r="R67" s="58">
        <v>3.7</v>
      </c>
      <c r="S67" s="58">
        <v>5.2</v>
      </c>
      <c r="T67" s="58">
        <v>0.12</v>
      </c>
      <c r="U67" s="58">
        <v>0.12</v>
      </c>
      <c r="V67" s="58">
        <v>0.12</v>
      </c>
      <c r="W67" s="58">
        <v>5.36</v>
      </c>
      <c r="X67" s="58">
        <v>3.58</v>
      </c>
      <c r="Y67" s="58">
        <v>5.08</v>
      </c>
    </row>
    <row r="68" spans="1:25">
      <c r="A68" s="8">
        <v>20100729</v>
      </c>
      <c r="B68" s="109" t="s">
        <v>460</v>
      </c>
      <c r="C68" s="109" t="str">
        <f t="shared" si="5"/>
        <v>20100729ITODP</v>
      </c>
      <c r="D68" s="109" t="s">
        <v>431</v>
      </c>
      <c r="E68" s="109" t="str">
        <f t="shared" si="6"/>
        <v>20100729LGINE693</v>
      </c>
      <c r="F68" s="58">
        <v>300</v>
      </c>
      <c r="G68" s="82">
        <v>2.827E-2</v>
      </c>
      <c r="H68" s="82">
        <v>0</v>
      </c>
      <c r="I68" s="82">
        <v>0</v>
      </c>
      <c r="J68" s="82">
        <v>0</v>
      </c>
      <c r="K68" s="82">
        <v>0</v>
      </c>
      <c r="L68" s="82">
        <v>2.0580000000000001E-2</v>
      </c>
      <c r="M68" s="82">
        <v>7.6899999999999989E-3</v>
      </c>
      <c r="N68" s="82">
        <f t="shared" si="4"/>
        <v>0</v>
      </c>
      <c r="O68" s="82">
        <f t="shared" si="4"/>
        <v>0</v>
      </c>
      <c r="P68" s="82">
        <f t="shared" si="4"/>
        <v>0</v>
      </c>
      <c r="Q68" s="58">
        <v>4.16</v>
      </c>
      <c r="R68" s="58">
        <v>7.31</v>
      </c>
      <c r="S68" s="58">
        <v>10.11</v>
      </c>
      <c r="T68" s="58">
        <v>0.12</v>
      </c>
      <c r="U68" s="58">
        <v>0.12</v>
      </c>
      <c r="V68" s="58">
        <v>0.12</v>
      </c>
      <c r="W68" s="58">
        <v>4.04</v>
      </c>
      <c r="X68" s="58">
        <v>7.1899999999999995</v>
      </c>
      <c r="Y68" s="58">
        <v>9.99</v>
      </c>
    </row>
    <row r="69" spans="1:25">
      <c r="A69" s="8">
        <v>20100729</v>
      </c>
      <c r="B69" s="109" t="s">
        <v>460</v>
      </c>
      <c r="C69" s="109" t="str">
        <f t="shared" si="5"/>
        <v>20100729ITODP</v>
      </c>
      <c r="D69" s="109" t="s">
        <v>432</v>
      </c>
      <c r="E69" s="109" t="str">
        <f t="shared" si="6"/>
        <v>20100729LGINE694</v>
      </c>
      <c r="F69" s="58">
        <v>300</v>
      </c>
      <c r="G69" s="82">
        <v>2.827E-2</v>
      </c>
      <c r="H69" s="82">
        <v>0</v>
      </c>
      <c r="I69" s="82">
        <v>0</v>
      </c>
      <c r="J69" s="82">
        <v>0</v>
      </c>
      <c r="K69" s="82">
        <v>0</v>
      </c>
      <c r="L69" s="82">
        <v>2.0580000000000001E-2</v>
      </c>
      <c r="M69" s="82">
        <v>7.6899999999999989E-3</v>
      </c>
      <c r="N69" s="82">
        <f t="shared" si="4"/>
        <v>0</v>
      </c>
      <c r="O69" s="82">
        <f t="shared" si="4"/>
        <v>0</v>
      </c>
      <c r="P69" s="82">
        <f t="shared" si="4"/>
        <v>0</v>
      </c>
      <c r="Q69" s="58">
        <v>4.16</v>
      </c>
      <c r="R69" s="58">
        <v>7.31</v>
      </c>
      <c r="S69" s="58">
        <v>10.11</v>
      </c>
      <c r="T69" s="58">
        <v>0.12</v>
      </c>
      <c r="U69" s="58">
        <v>0.12</v>
      </c>
      <c r="V69" s="58">
        <v>0.12</v>
      </c>
      <c r="W69" s="58">
        <v>4.04</v>
      </c>
      <c r="X69" s="58">
        <v>7.1899999999999995</v>
      </c>
      <c r="Y69" s="58">
        <v>9.99</v>
      </c>
    </row>
    <row r="70" spans="1:25">
      <c r="A70" s="8">
        <v>20100729</v>
      </c>
      <c r="B70" s="109" t="s">
        <v>15</v>
      </c>
      <c r="C70" s="109" t="str">
        <f t="shared" si="5"/>
        <v>20100729RTS</v>
      </c>
      <c r="D70" s="109" t="s">
        <v>427</v>
      </c>
      <c r="E70" s="109" t="str">
        <f t="shared" si="6"/>
        <v>20100729LGINE643</v>
      </c>
      <c r="F70" s="58">
        <v>500</v>
      </c>
      <c r="G70" s="82">
        <v>2.827E-2</v>
      </c>
      <c r="H70" s="82">
        <v>0</v>
      </c>
      <c r="I70" s="82">
        <v>0</v>
      </c>
      <c r="J70" s="82">
        <v>0</v>
      </c>
      <c r="K70" s="82">
        <v>0</v>
      </c>
      <c r="L70" s="82">
        <v>2.0580000000000001E-2</v>
      </c>
      <c r="M70" s="82">
        <v>7.6899999999999989E-3</v>
      </c>
      <c r="N70" s="82">
        <f t="shared" si="4"/>
        <v>0</v>
      </c>
      <c r="O70" s="82">
        <f t="shared" si="4"/>
        <v>0</v>
      </c>
      <c r="P70" s="82">
        <f t="shared" si="4"/>
        <v>0</v>
      </c>
      <c r="Q70" s="58">
        <v>2.61</v>
      </c>
      <c r="R70" s="58">
        <v>2.86</v>
      </c>
      <c r="S70" s="58">
        <v>4.3600000000000003</v>
      </c>
      <c r="T70" s="58">
        <v>0.11</v>
      </c>
      <c r="U70" s="58">
        <v>0.11</v>
      </c>
      <c r="V70" s="58">
        <v>0.11</v>
      </c>
      <c r="W70" s="58">
        <v>2.5</v>
      </c>
      <c r="X70" s="58">
        <v>2.75</v>
      </c>
      <c r="Y70" s="58">
        <v>4.25</v>
      </c>
    </row>
    <row r="71" spans="1:25">
      <c r="A71" s="8">
        <v>20100729</v>
      </c>
      <c r="B71" s="109" t="s">
        <v>496</v>
      </c>
      <c r="C71" s="109" t="str">
        <f t="shared" si="5"/>
        <v>20100729ISS</v>
      </c>
      <c r="D71" s="109" t="s">
        <v>496</v>
      </c>
      <c r="E71" s="109" t="str">
        <f t="shared" si="6"/>
        <v>20100729ISS</v>
      </c>
      <c r="F71" s="82">
        <v>0</v>
      </c>
      <c r="G71" s="82">
        <v>0</v>
      </c>
      <c r="H71" s="82">
        <v>0</v>
      </c>
      <c r="I71" s="82">
        <v>0</v>
      </c>
      <c r="J71" s="82">
        <v>0</v>
      </c>
      <c r="K71" s="82">
        <v>0</v>
      </c>
      <c r="L71" s="82">
        <v>0</v>
      </c>
      <c r="M71" s="82">
        <v>0</v>
      </c>
      <c r="N71" s="82">
        <f t="shared" si="4"/>
        <v>0</v>
      </c>
      <c r="O71" s="82">
        <f t="shared" si="4"/>
        <v>0</v>
      </c>
      <c r="P71" s="82">
        <f t="shared" si="4"/>
        <v>0</v>
      </c>
      <c r="Q71" s="82">
        <f t="shared" ref="Q71:S71" si="7">IF(K71=0,0,K71-$K71-$L71)</f>
        <v>0</v>
      </c>
      <c r="R71" s="82">
        <f t="shared" si="7"/>
        <v>0</v>
      </c>
      <c r="S71" s="82">
        <f t="shared" si="7"/>
        <v>0</v>
      </c>
      <c r="T71" s="58"/>
      <c r="U71" s="58">
        <v>0</v>
      </c>
      <c r="V71" s="58">
        <v>0</v>
      </c>
      <c r="W71" s="58">
        <v>0</v>
      </c>
      <c r="X71" s="58">
        <v>0</v>
      </c>
      <c r="Y71" s="58">
        <v>0</v>
      </c>
    </row>
    <row r="72" spans="1:25">
      <c r="A72" s="8">
        <v>20100729</v>
      </c>
      <c r="B72" s="109" t="s">
        <v>22</v>
      </c>
      <c r="C72" s="109" t="str">
        <f t="shared" si="5"/>
        <v>20100729FLSP</v>
      </c>
      <c r="D72" s="109" t="s">
        <v>22</v>
      </c>
      <c r="E72" s="109" t="str">
        <f t="shared" si="6"/>
        <v>20100729FLSP</v>
      </c>
      <c r="F72" s="58">
        <v>500</v>
      </c>
      <c r="G72" s="82">
        <v>3.5529999999999999E-2</v>
      </c>
      <c r="H72" s="82">
        <v>0</v>
      </c>
      <c r="I72" s="82">
        <v>0</v>
      </c>
      <c r="J72" s="82">
        <v>0</v>
      </c>
      <c r="K72" s="82">
        <v>0</v>
      </c>
      <c r="L72" s="82">
        <v>2.0580000000000001E-2</v>
      </c>
      <c r="M72" s="82">
        <v>1.4949999999999998E-2</v>
      </c>
      <c r="N72" s="82">
        <f t="shared" si="4"/>
        <v>0</v>
      </c>
      <c r="O72" s="82">
        <f t="shared" si="4"/>
        <v>0</v>
      </c>
      <c r="P72" s="82">
        <f t="shared" si="4"/>
        <v>0</v>
      </c>
      <c r="Q72" s="58">
        <v>1.75</v>
      </c>
      <c r="R72" s="58">
        <v>1.75</v>
      </c>
      <c r="S72" s="58">
        <v>2.75</v>
      </c>
      <c r="T72" s="58">
        <v>1.64</v>
      </c>
      <c r="U72" s="58">
        <v>1.64</v>
      </c>
      <c r="V72" s="58">
        <v>2.64</v>
      </c>
      <c r="W72" s="58">
        <v>0.11</v>
      </c>
      <c r="X72" s="58">
        <v>0.11</v>
      </c>
      <c r="Y72" s="58">
        <v>0.11</v>
      </c>
    </row>
    <row r="73" spans="1:25">
      <c r="A73" s="8">
        <v>20100729</v>
      </c>
      <c r="B73" s="109" t="s">
        <v>23</v>
      </c>
      <c r="C73" s="109" t="str">
        <f t="shared" si="5"/>
        <v>20100729FLST</v>
      </c>
      <c r="D73" s="109" t="s">
        <v>23</v>
      </c>
      <c r="E73" s="109" t="str">
        <f t="shared" si="6"/>
        <v>20100729FLST</v>
      </c>
      <c r="F73" s="58">
        <v>500</v>
      </c>
      <c r="G73" s="82">
        <v>3.2710000000000003E-2</v>
      </c>
      <c r="H73" s="82">
        <v>0</v>
      </c>
      <c r="I73" s="82">
        <v>0</v>
      </c>
      <c r="J73" s="82">
        <v>0</v>
      </c>
      <c r="K73" s="82">
        <v>0</v>
      </c>
      <c r="L73" s="82">
        <v>2.0580000000000001E-2</v>
      </c>
      <c r="M73" s="82">
        <v>1.2130000000000002E-2</v>
      </c>
      <c r="N73" s="82">
        <f t="shared" si="4"/>
        <v>0</v>
      </c>
      <c r="O73" s="82">
        <f t="shared" si="4"/>
        <v>0</v>
      </c>
      <c r="P73" s="82">
        <f t="shared" si="4"/>
        <v>0</v>
      </c>
      <c r="Q73" s="58">
        <v>1</v>
      </c>
      <c r="R73" s="58">
        <v>1.75</v>
      </c>
      <c r="S73" s="58">
        <v>2.75</v>
      </c>
      <c r="T73" s="58">
        <v>0.89</v>
      </c>
      <c r="U73" s="58">
        <v>1.64</v>
      </c>
      <c r="V73" s="58">
        <v>2.64</v>
      </c>
      <c r="W73" s="58">
        <v>0.11</v>
      </c>
      <c r="X73" s="58">
        <v>0.11</v>
      </c>
      <c r="Y73" s="58">
        <v>0.11</v>
      </c>
    </row>
    <row r="74" spans="1:25">
      <c r="A74" s="8">
        <v>20100729</v>
      </c>
      <c r="B74" s="109" t="s">
        <v>17</v>
      </c>
      <c r="C74" s="109" t="str">
        <f t="shared" si="5"/>
        <v>20100729LE</v>
      </c>
      <c r="D74" s="109" t="s">
        <v>433</v>
      </c>
      <c r="E74" s="109" t="str">
        <f t="shared" si="6"/>
        <v>20100729LGMLE570</v>
      </c>
      <c r="F74" s="58">
        <v>0</v>
      </c>
      <c r="G74" s="82">
        <v>5.4649999999999997E-2</v>
      </c>
      <c r="H74" s="82">
        <v>0</v>
      </c>
      <c r="I74" s="82">
        <v>0</v>
      </c>
      <c r="J74" s="82">
        <v>0</v>
      </c>
      <c r="K74" s="82">
        <v>5.1000000000000004E-4</v>
      </c>
      <c r="L74" s="82">
        <v>2.0580000000000001E-2</v>
      </c>
      <c r="M74" s="82">
        <v>3.3559999999999993E-2</v>
      </c>
      <c r="N74" s="82">
        <f t="shared" si="4"/>
        <v>0</v>
      </c>
      <c r="O74" s="82">
        <f t="shared" si="4"/>
        <v>0</v>
      </c>
      <c r="P74" s="82">
        <f t="shared" si="4"/>
        <v>0</v>
      </c>
      <c r="Q74" s="58">
        <v>0</v>
      </c>
      <c r="R74" s="58">
        <v>0</v>
      </c>
      <c r="S74" s="58">
        <v>0</v>
      </c>
      <c r="T74" s="58">
        <v>0</v>
      </c>
      <c r="U74" s="58">
        <v>0</v>
      </c>
      <c r="V74" s="58">
        <v>0</v>
      </c>
      <c r="W74" s="58">
        <v>0</v>
      </c>
      <c r="X74" s="58">
        <v>0</v>
      </c>
      <c r="Y74" s="58">
        <v>0</v>
      </c>
    </row>
    <row r="75" spans="1:25">
      <c r="A75" s="8">
        <v>20100729</v>
      </c>
      <c r="B75" s="109" t="s">
        <v>17</v>
      </c>
      <c r="C75" s="109" t="str">
        <f t="shared" si="5"/>
        <v>20100729LE</v>
      </c>
      <c r="D75" s="109" t="s">
        <v>434</v>
      </c>
      <c r="E75" s="109" t="str">
        <f t="shared" si="6"/>
        <v>20100729LGMLE571</v>
      </c>
      <c r="F75" s="58">
        <v>0</v>
      </c>
      <c r="G75" s="82">
        <v>5.4649999999999997E-2</v>
      </c>
      <c r="H75" s="82">
        <v>0</v>
      </c>
      <c r="I75" s="82">
        <v>0</v>
      </c>
      <c r="J75" s="82">
        <v>0</v>
      </c>
      <c r="K75" s="82">
        <v>5.1000000000000004E-4</v>
      </c>
      <c r="L75" s="82">
        <v>2.0580000000000001E-2</v>
      </c>
      <c r="M75" s="82">
        <v>3.3559999999999993E-2</v>
      </c>
      <c r="N75" s="82">
        <f t="shared" si="4"/>
        <v>0</v>
      </c>
      <c r="O75" s="82">
        <f t="shared" si="4"/>
        <v>0</v>
      </c>
      <c r="P75" s="82">
        <f t="shared" si="4"/>
        <v>0</v>
      </c>
      <c r="Q75" s="58">
        <v>0</v>
      </c>
      <c r="R75" s="58">
        <v>0</v>
      </c>
      <c r="S75" s="58">
        <v>0</v>
      </c>
      <c r="T75" s="58">
        <v>0</v>
      </c>
      <c r="U75" s="58">
        <v>0</v>
      </c>
      <c r="V75" s="58">
        <v>0</v>
      </c>
      <c r="W75" s="58">
        <v>0</v>
      </c>
      <c r="X75" s="58">
        <v>0</v>
      </c>
      <c r="Y75" s="58">
        <v>0</v>
      </c>
    </row>
    <row r="76" spans="1:25">
      <c r="A76" s="8">
        <v>20100729</v>
      </c>
      <c r="B76" s="109" t="s">
        <v>17</v>
      </c>
      <c r="C76" s="109" t="str">
        <f t="shared" si="5"/>
        <v>20100729LE</v>
      </c>
      <c r="D76" s="109" t="s">
        <v>435</v>
      </c>
      <c r="E76" s="109" t="str">
        <f t="shared" si="6"/>
        <v>20100729LGMLE572</v>
      </c>
      <c r="F76" s="58">
        <v>0</v>
      </c>
      <c r="G76" s="82">
        <v>5.4649999999999997E-2</v>
      </c>
      <c r="H76" s="82">
        <v>0</v>
      </c>
      <c r="I76" s="82">
        <v>0</v>
      </c>
      <c r="J76" s="82">
        <v>0</v>
      </c>
      <c r="K76" s="82">
        <v>5.1000000000000004E-4</v>
      </c>
      <c r="L76" s="82">
        <v>2.0580000000000001E-2</v>
      </c>
      <c r="M76" s="82">
        <v>3.3559999999999993E-2</v>
      </c>
      <c r="N76" s="82">
        <f t="shared" si="4"/>
        <v>0</v>
      </c>
      <c r="O76" s="82">
        <f t="shared" si="4"/>
        <v>0</v>
      </c>
      <c r="P76" s="82">
        <f t="shared" si="4"/>
        <v>0</v>
      </c>
      <c r="Q76" s="58">
        <v>0</v>
      </c>
      <c r="R76" s="58">
        <v>0</v>
      </c>
      <c r="S76" s="58">
        <v>0</v>
      </c>
      <c r="T76" s="58">
        <v>0</v>
      </c>
      <c r="U76" s="58">
        <v>0</v>
      </c>
      <c r="V76" s="58">
        <v>0</v>
      </c>
      <c r="W76" s="58">
        <v>0</v>
      </c>
      <c r="X76" s="58">
        <v>0</v>
      </c>
      <c r="Y76" s="58">
        <v>0</v>
      </c>
    </row>
    <row r="77" spans="1:25">
      <c r="A77" s="8">
        <v>20100729</v>
      </c>
      <c r="B77" s="109" t="s">
        <v>18</v>
      </c>
      <c r="C77" s="109" t="str">
        <f t="shared" si="5"/>
        <v>20100729TE</v>
      </c>
      <c r="D77" s="109" t="s">
        <v>436</v>
      </c>
      <c r="E77" s="109" t="str">
        <f t="shared" si="6"/>
        <v>20100729LGMLE573</v>
      </c>
      <c r="F77" s="58">
        <v>3.14</v>
      </c>
      <c r="G77" s="82">
        <v>6.6229999999999997E-2</v>
      </c>
      <c r="H77" s="82">
        <v>0</v>
      </c>
      <c r="I77" s="82">
        <v>0</v>
      </c>
      <c r="J77" s="82">
        <v>0</v>
      </c>
      <c r="K77" s="82">
        <v>5.1000000000000004E-4</v>
      </c>
      <c r="L77" s="82">
        <v>2.0580000000000001E-2</v>
      </c>
      <c r="M77" s="82">
        <v>4.514E-2</v>
      </c>
      <c r="N77" s="82">
        <f t="shared" si="4"/>
        <v>0</v>
      </c>
      <c r="O77" s="82">
        <f t="shared" si="4"/>
        <v>0</v>
      </c>
      <c r="P77" s="82">
        <f t="shared" si="4"/>
        <v>0</v>
      </c>
      <c r="Q77" s="58">
        <v>0</v>
      </c>
      <c r="R77" s="58">
        <v>0</v>
      </c>
      <c r="S77" s="58">
        <v>0</v>
      </c>
      <c r="T77" s="58">
        <v>0</v>
      </c>
      <c r="U77" s="58">
        <v>0</v>
      </c>
      <c r="V77" s="58">
        <v>0</v>
      </c>
      <c r="W77" s="58">
        <v>0</v>
      </c>
      <c r="X77" s="58">
        <v>0</v>
      </c>
      <c r="Y77" s="58">
        <v>0</v>
      </c>
    </row>
    <row r="78" spans="1:25">
      <c r="A78" s="8">
        <v>20100729</v>
      </c>
      <c r="B78" s="109" t="s">
        <v>18</v>
      </c>
      <c r="C78" s="109" t="str">
        <f t="shared" si="5"/>
        <v>20100729TE</v>
      </c>
      <c r="D78" s="109" t="s">
        <v>437</v>
      </c>
      <c r="E78" s="109" t="str">
        <f t="shared" si="6"/>
        <v>20100729LGMLE574</v>
      </c>
      <c r="F78" s="58">
        <v>3.14</v>
      </c>
      <c r="G78" s="82">
        <v>6.6229999999999997E-2</v>
      </c>
      <c r="H78" s="82">
        <v>0</v>
      </c>
      <c r="I78" s="82">
        <v>0</v>
      </c>
      <c r="J78" s="82">
        <v>0</v>
      </c>
      <c r="K78" s="82">
        <v>5.1000000000000004E-4</v>
      </c>
      <c r="L78" s="82">
        <v>2.0580000000000001E-2</v>
      </c>
      <c r="M78" s="82">
        <v>4.514E-2</v>
      </c>
      <c r="N78" s="82">
        <f t="shared" si="4"/>
        <v>0</v>
      </c>
      <c r="O78" s="82">
        <f t="shared" si="4"/>
        <v>0</v>
      </c>
      <c r="P78" s="82">
        <f t="shared" si="4"/>
        <v>0</v>
      </c>
      <c r="Q78" s="58">
        <v>0</v>
      </c>
      <c r="R78" s="58">
        <v>0</v>
      </c>
      <c r="S78" s="58">
        <v>0</v>
      </c>
      <c r="T78" s="58">
        <v>0</v>
      </c>
      <c r="U78" s="58">
        <v>0</v>
      </c>
      <c r="V78" s="58">
        <v>0</v>
      </c>
      <c r="W78" s="58">
        <v>0</v>
      </c>
      <c r="X78" s="58">
        <v>0</v>
      </c>
      <c r="Y78" s="58">
        <v>0</v>
      </c>
    </row>
    <row r="79" spans="1:25">
      <c r="A79" s="8">
        <v>20100729</v>
      </c>
      <c r="B79" s="109" t="s">
        <v>451</v>
      </c>
      <c r="C79" s="109" t="str">
        <f t="shared" si="5"/>
        <v>20100729FK</v>
      </c>
      <c r="D79" s="109" t="s">
        <v>426</v>
      </c>
      <c r="E79" s="109" t="str">
        <f t="shared" si="6"/>
        <v>20100729LGINE599</v>
      </c>
      <c r="F79" s="58">
        <v>0</v>
      </c>
      <c r="G79" s="82">
        <v>2.8830000000000001E-2</v>
      </c>
      <c r="H79" s="82">
        <v>0</v>
      </c>
      <c r="I79" s="82">
        <v>0</v>
      </c>
      <c r="J79" s="82">
        <v>0</v>
      </c>
      <c r="K79" s="82">
        <v>0</v>
      </c>
      <c r="L79" s="82">
        <v>2.0580000000000001E-2</v>
      </c>
      <c r="M79" s="82">
        <v>8.2500000000000004E-3</v>
      </c>
      <c r="N79" s="82">
        <f t="shared" si="4"/>
        <v>0</v>
      </c>
      <c r="O79" s="82">
        <f t="shared" si="4"/>
        <v>0</v>
      </c>
      <c r="P79" s="82">
        <f t="shared" si="4"/>
        <v>0</v>
      </c>
      <c r="Q79" s="58">
        <v>0</v>
      </c>
      <c r="R79" s="58">
        <v>11.63</v>
      </c>
      <c r="S79" s="58">
        <v>13.82</v>
      </c>
      <c r="T79" s="58">
        <v>0</v>
      </c>
      <c r="U79" s="58">
        <v>0.24</v>
      </c>
      <c r="V79" s="58">
        <v>0.24</v>
      </c>
      <c r="W79" s="58">
        <v>0</v>
      </c>
      <c r="X79" s="58">
        <v>11.39</v>
      </c>
      <c r="Y79" s="58">
        <v>13.58</v>
      </c>
    </row>
    <row r="80" spans="1:25">
      <c r="A80" s="8">
        <v>20100729</v>
      </c>
      <c r="B80" s="109" t="s">
        <v>464</v>
      </c>
      <c r="C80" s="109" t="str">
        <f t="shared" si="5"/>
        <v>20100729LWC</v>
      </c>
      <c r="D80" s="109" t="s">
        <v>424</v>
      </c>
      <c r="E80" s="109" t="str">
        <f t="shared" si="6"/>
        <v>20100729LGCME671</v>
      </c>
      <c r="F80" s="58">
        <v>0</v>
      </c>
      <c r="G80" s="82">
        <v>2.8819999999999998E-2</v>
      </c>
      <c r="H80" s="82">
        <v>0</v>
      </c>
      <c r="I80" s="82">
        <v>0</v>
      </c>
      <c r="J80" s="82">
        <v>0</v>
      </c>
      <c r="K80" s="82">
        <v>0</v>
      </c>
      <c r="L80" s="82">
        <v>2.0580000000000001E-2</v>
      </c>
      <c r="M80" s="82">
        <v>8.2399999999999973E-3</v>
      </c>
      <c r="N80" s="82">
        <f t="shared" si="4"/>
        <v>0</v>
      </c>
      <c r="O80" s="82">
        <f t="shared" si="4"/>
        <v>0</v>
      </c>
      <c r="P80" s="82">
        <f t="shared" si="4"/>
        <v>0</v>
      </c>
      <c r="Q80" s="58">
        <v>0</v>
      </c>
      <c r="R80" s="58">
        <v>9.85</v>
      </c>
      <c r="S80" s="58">
        <v>9.85</v>
      </c>
      <c r="T80" s="58">
        <v>0</v>
      </c>
      <c r="U80" s="58">
        <v>0.22</v>
      </c>
      <c r="V80" s="58">
        <v>0.22</v>
      </c>
      <c r="W80" s="58">
        <v>0</v>
      </c>
      <c r="X80" s="58">
        <v>9.6300000000000008</v>
      </c>
      <c r="Y80" s="58">
        <v>9.6300000000000008</v>
      </c>
    </row>
    <row r="81" spans="1:25">
      <c r="A81" s="8">
        <v>20100729</v>
      </c>
      <c r="B81" s="109" t="s">
        <v>680</v>
      </c>
      <c r="C81" s="109" t="str">
        <f t="shared" si="5"/>
        <v>20100729LEV</v>
      </c>
      <c r="D81" s="113" t="s">
        <v>755</v>
      </c>
      <c r="E81" s="109" t="str">
        <f t="shared" si="6"/>
        <v>20100729LGRSE543</v>
      </c>
      <c r="F81" s="58">
        <v>8.5</v>
      </c>
      <c r="G81" s="82">
        <v>4.8719999999999999E-2</v>
      </c>
      <c r="H81" s="82">
        <v>6.8959999999999994E-2</v>
      </c>
      <c r="I81" s="82">
        <v>0.13274</v>
      </c>
      <c r="J81" s="82">
        <v>0</v>
      </c>
      <c r="K81" s="82">
        <v>7.2999999999999996E-4</v>
      </c>
      <c r="L81" s="82">
        <v>2.0580000000000001E-2</v>
      </c>
      <c r="M81" s="82">
        <v>2.7409999999999997E-2</v>
      </c>
      <c r="N81" s="82">
        <v>4.7649999999999998E-2</v>
      </c>
      <c r="O81" s="82">
        <v>0.11142999999999999</v>
      </c>
      <c r="P81" s="82">
        <f t="shared" si="4"/>
        <v>0</v>
      </c>
      <c r="Q81" s="58">
        <v>0</v>
      </c>
      <c r="R81" s="58">
        <v>0</v>
      </c>
      <c r="S81" s="58">
        <v>0</v>
      </c>
      <c r="T81" s="58">
        <v>0</v>
      </c>
      <c r="U81" s="58">
        <v>0</v>
      </c>
      <c r="V81" s="58">
        <v>0</v>
      </c>
      <c r="W81" s="58">
        <v>0</v>
      </c>
      <c r="X81" s="58">
        <v>0</v>
      </c>
      <c r="Y81" s="58">
        <v>0</v>
      </c>
    </row>
    <row r="82" spans="1:25">
      <c r="A82" s="80">
        <v>20110629</v>
      </c>
      <c r="B82" s="110" t="s">
        <v>13</v>
      </c>
      <c r="C82" s="110" t="str">
        <f t="shared" ref="C82:C94" si="8">A82&amp;B82</f>
        <v>20110629RS</v>
      </c>
      <c r="D82" s="110" t="s">
        <v>438</v>
      </c>
      <c r="E82" s="110" t="str">
        <f t="shared" ref="E82:E94" si="9">A82&amp;D82</f>
        <v>20110629LGRSE411</v>
      </c>
      <c r="F82" s="83">
        <v>0</v>
      </c>
      <c r="G82" s="81">
        <v>7.2249999999999995E-2</v>
      </c>
      <c r="H82" s="81">
        <v>0</v>
      </c>
      <c r="I82" s="81">
        <v>0</v>
      </c>
      <c r="J82" s="81">
        <v>0</v>
      </c>
      <c r="K82" s="81">
        <v>7.2999999999999996E-4</v>
      </c>
      <c r="L82" s="81">
        <v>2.215E-2</v>
      </c>
      <c r="M82" s="81">
        <v>4.9370000000000011E-2</v>
      </c>
      <c r="N82" s="81">
        <f t="shared" ref="N82:P119" si="10">IF(H82=0,0,H82-$K82-$L82)</f>
        <v>0</v>
      </c>
      <c r="O82" s="81">
        <f t="shared" si="10"/>
        <v>0</v>
      </c>
      <c r="P82" s="81">
        <f t="shared" si="10"/>
        <v>0</v>
      </c>
      <c r="Q82" s="83">
        <v>0</v>
      </c>
      <c r="R82" s="83">
        <v>0</v>
      </c>
      <c r="S82" s="83">
        <v>0</v>
      </c>
      <c r="T82" s="83">
        <v>0</v>
      </c>
      <c r="U82" s="83">
        <v>0</v>
      </c>
      <c r="V82" s="83">
        <v>0</v>
      </c>
      <c r="W82" s="83">
        <v>0</v>
      </c>
      <c r="X82" s="83">
        <v>0</v>
      </c>
      <c r="Y82" s="83">
        <v>0</v>
      </c>
    </row>
    <row r="83" spans="1:25">
      <c r="A83" s="80">
        <v>20110629</v>
      </c>
      <c r="B83" s="114" t="s">
        <v>456</v>
      </c>
      <c r="C83" s="110" t="str">
        <f t="shared" si="8"/>
        <v>20110629GSWH</v>
      </c>
      <c r="D83" s="110" t="s">
        <v>407</v>
      </c>
      <c r="E83" s="110" t="str">
        <f t="shared" si="9"/>
        <v>20110629LGCME451</v>
      </c>
      <c r="F83" s="83">
        <v>0</v>
      </c>
      <c r="G83" s="81">
        <v>8.208E-2</v>
      </c>
      <c r="H83" s="81">
        <v>0</v>
      </c>
      <c r="I83" s="81">
        <v>0</v>
      </c>
      <c r="J83" s="81">
        <v>0</v>
      </c>
      <c r="K83" s="81">
        <v>8.0000000000000004E-4</v>
      </c>
      <c r="L83" s="81">
        <f>$L$84</f>
        <v>2.215E-2</v>
      </c>
      <c r="M83" s="81">
        <v>5.9130000000000002E-2</v>
      </c>
      <c r="N83" s="81">
        <f t="shared" si="10"/>
        <v>0</v>
      </c>
      <c r="O83" s="81">
        <f t="shared" si="10"/>
        <v>0</v>
      </c>
      <c r="P83" s="81">
        <f t="shared" si="10"/>
        <v>0</v>
      </c>
      <c r="Q83" s="83">
        <v>0</v>
      </c>
      <c r="R83" s="83">
        <v>0</v>
      </c>
      <c r="S83" s="83">
        <v>0</v>
      </c>
      <c r="T83" s="83">
        <v>0</v>
      </c>
      <c r="U83" s="83">
        <v>0</v>
      </c>
      <c r="V83" s="83">
        <v>0</v>
      </c>
      <c r="W83" s="83">
        <v>0</v>
      </c>
      <c r="X83" s="83">
        <v>0</v>
      </c>
      <c r="Y83" s="83">
        <v>0</v>
      </c>
    </row>
    <row r="84" spans="1:25">
      <c r="A84" s="80">
        <v>20110629</v>
      </c>
      <c r="B84" s="110" t="s">
        <v>13</v>
      </c>
      <c r="C84" s="110" t="str">
        <f t="shared" si="8"/>
        <v>20110629RS</v>
      </c>
      <c r="D84" s="110" t="s">
        <v>439</v>
      </c>
      <c r="E84" s="110" t="str">
        <f t="shared" si="9"/>
        <v>20110629LGRSE511</v>
      </c>
      <c r="F84" s="83">
        <v>8.5</v>
      </c>
      <c r="G84" s="81">
        <v>7.2249999999999995E-2</v>
      </c>
      <c r="H84" s="81">
        <v>0</v>
      </c>
      <c r="I84" s="81">
        <v>0</v>
      </c>
      <c r="J84" s="81">
        <v>0</v>
      </c>
      <c r="K84" s="81">
        <v>7.2999999999999996E-4</v>
      </c>
      <c r="L84" s="81">
        <v>2.215E-2</v>
      </c>
      <c r="M84" s="81">
        <v>4.9370000000000011E-2</v>
      </c>
      <c r="N84" s="81">
        <f t="shared" si="10"/>
        <v>0</v>
      </c>
      <c r="O84" s="81">
        <f t="shared" si="10"/>
        <v>0</v>
      </c>
      <c r="P84" s="81">
        <f t="shared" si="10"/>
        <v>0</v>
      </c>
      <c r="Q84" s="83">
        <v>0</v>
      </c>
      <c r="R84" s="83">
        <v>0</v>
      </c>
      <c r="S84" s="83">
        <v>0</v>
      </c>
      <c r="T84" s="83">
        <v>0</v>
      </c>
      <c r="U84" s="83">
        <v>0</v>
      </c>
      <c r="V84" s="83">
        <v>0</v>
      </c>
      <c r="W84" s="83">
        <v>0</v>
      </c>
      <c r="X84" s="83">
        <v>0</v>
      </c>
      <c r="Y84" s="83">
        <v>0</v>
      </c>
    </row>
    <row r="85" spans="1:25">
      <c r="A85" s="80">
        <f>A84</f>
        <v>20110629</v>
      </c>
      <c r="B85" s="110" t="s">
        <v>13</v>
      </c>
      <c r="C85" s="110" t="str">
        <f t="shared" si="8"/>
        <v>20110629RS</v>
      </c>
      <c r="D85" s="110" t="s">
        <v>440</v>
      </c>
      <c r="E85" s="110" t="str">
        <f t="shared" si="9"/>
        <v>20110629LGRSE519</v>
      </c>
      <c r="F85" s="83">
        <v>8.5</v>
      </c>
      <c r="G85" s="81">
        <v>7.2249999999999995E-2</v>
      </c>
      <c r="H85" s="81">
        <v>0</v>
      </c>
      <c r="I85" s="81">
        <v>0</v>
      </c>
      <c r="J85" s="81">
        <v>0</v>
      </c>
      <c r="K85" s="81">
        <v>7.2999999999999996E-4</v>
      </c>
      <c r="L85" s="81">
        <v>2.215E-2</v>
      </c>
      <c r="M85" s="81">
        <v>4.9370000000000011E-2</v>
      </c>
      <c r="N85" s="81">
        <f t="shared" si="10"/>
        <v>0</v>
      </c>
      <c r="O85" s="81">
        <f t="shared" si="10"/>
        <v>0</v>
      </c>
      <c r="P85" s="81">
        <f t="shared" si="10"/>
        <v>0</v>
      </c>
      <c r="Q85" s="83">
        <v>0</v>
      </c>
      <c r="R85" s="83">
        <v>0</v>
      </c>
      <c r="S85" s="83">
        <v>0</v>
      </c>
      <c r="T85" s="83">
        <v>0</v>
      </c>
      <c r="U85" s="83">
        <v>0</v>
      </c>
      <c r="V85" s="83">
        <v>0</v>
      </c>
      <c r="W85" s="83">
        <v>0</v>
      </c>
      <c r="X85" s="83">
        <v>0</v>
      </c>
      <c r="Y85" s="83">
        <v>0</v>
      </c>
    </row>
    <row r="86" spans="1:25">
      <c r="A86" s="80">
        <f t="shared" ref="A86:A119" si="11">A85</f>
        <v>20110629</v>
      </c>
      <c r="B86" s="110" t="s">
        <v>745</v>
      </c>
      <c r="C86" s="110" t="str">
        <f t="shared" si="8"/>
        <v>20110629VFD</v>
      </c>
      <c r="D86" s="110" t="s">
        <v>441</v>
      </c>
      <c r="E86" s="110" t="str">
        <f t="shared" si="9"/>
        <v>20110629LGRSE540</v>
      </c>
      <c r="F86" s="83">
        <v>8.5</v>
      </c>
      <c r="G86" s="81">
        <v>7.2249999999999995E-2</v>
      </c>
      <c r="H86" s="81">
        <v>0</v>
      </c>
      <c r="I86" s="81">
        <v>0</v>
      </c>
      <c r="J86" s="81">
        <v>0</v>
      </c>
      <c r="K86" s="81">
        <v>7.2999999999999996E-4</v>
      </c>
      <c r="L86" s="81">
        <v>2.215E-2</v>
      </c>
      <c r="M86" s="81">
        <v>4.9370000000000011E-2</v>
      </c>
      <c r="N86" s="81">
        <f t="shared" si="10"/>
        <v>0</v>
      </c>
      <c r="O86" s="81">
        <f t="shared" si="10"/>
        <v>0</v>
      </c>
      <c r="P86" s="81">
        <f t="shared" si="10"/>
        <v>0</v>
      </c>
      <c r="Q86" s="83">
        <v>0</v>
      </c>
      <c r="R86" s="83">
        <v>0</v>
      </c>
      <c r="S86" s="83">
        <v>0</v>
      </c>
      <c r="T86" s="83">
        <v>0</v>
      </c>
      <c r="U86" s="83">
        <v>0</v>
      </c>
      <c r="V86" s="83">
        <v>0</v>
      </c>
      <c r="W86" s="83">
        <v>0</v>
      </c>
      <c r="X86" s="83">
        <v>0</v>
      </c>
      <c r="Y86" s="83">
        <v>0</v>
      </c>
    </row>
    <row r="87" spans="1:25">
      <c r="A87" s="80">
        <f>A86</f>
        <v>20110629</v>
      </c>
      <c r="B87" s="114" t="s">
        <v>465</v>
      </c>
      <c r="C87" s="110" t="str">
        <f t="shared" si="8"/>
        <v>20110629RRP</v>
      </c>
      <c r="D87" s="114" t="s">
        <v>442</v>
      </c>
      <c r="E87" s="110" t="str">
        <f t="shared" si="9"/>
        <v>20110629LGRSE541</v>
      </c>
      <c r="F87" s="83">
        <v>13.5</v>
      </c>
      <c r="G87" s="81">
        <v>5.0290000000000001E-2</v>
      </c>
      <c r="H87" s="81">
        <v>6.3250000000000001E-2</v>
      </c>
      <c r="I87" s="81">
        <v>0.1203</v>
      </c>
      <c r="J87" s="81">
        <v>0.32521</v>
      </c>
      <c r="K87" s="81">
        <v>7.2999999999999996E-4</v>
      </c>
      <c r="L87" s="81">
        <v>2.215E-2</v>
      </c>
      <c r="M87" s="116">
        <v>2.741E-2</v>
      </c>
      <c r="N87" s="116">
        <v>4.0369999999999996E-2</v>
      </c>
      <c r="O87" s="116">
        <v>9.7420000000000007E-2</v>
      </c>
      <c r="P87" s="116">
        <v>0.30232999999999999</v>
      </c>
      <c r="Q87" s="83">
        <v>0</v>
      </c>
      <c r="R87" s="83">
        <v>0</v>
      </c>
      <c r="S87" s="83">
        <v>0</v>
      </c>
      <c r="T87" s="83">
        <v>0</v>
      </c>
      <c r="U87" s="83">
        <v>0</v>
      </c>
      <c r="V87" s="83">
        <v>0</v>
      </c>
      <c r="W87" s="83">
        <v>0</v>
      </c>
      <c r="X87" s="83">
        <v>0</v>
      </c>
      <c r="Y87" s="83">
        <v>0</v>
      </c>
    </row>
    <row r="88" spans="1:25">
      <c r="A88" s="80">
        <f>A87</f>
        <v>20110629</v>
      </c>
      <c r="B88" s="114" t="s">
        <v>883</v>
      </c>
      <c r="C88" s="110" t="str">
        <f t="shared" si="8"/>
        <v>20110629GSP</v>
      </c>
      <c r="D88" s="110" t="s">
        <v>408</v>
      </c>
      <c r="E88" s="110" t="str">
        <f t="shared" si="9"/>
        <v>20110629LGCME550</v>
      </c>
      <c r="F88" s="83">
        <v>17.5</v>
      </c>
      <c r="G88" s="81">
        <v>8.208E-2</v>
      </c>
      <c r="H88" s="81">
        <v>0</v>
      </c>
      <c r="I88" s="81">
        <v>0</v>
      </c>
      <c r="J88" s="81">
        <v>0</v>
      </c>
      <c r="K88" s="81">
        <v>8.0000000000000004E-4</v>
      </c>
      <c r="L88" s="81">
        <v>2.215E-2</v>
      </c>
      <c r="M88" s="81">
        <v>5.9130000000000002E-2</v>
      </c>
      <c r="N88" s="81">
        <f>IF(H88=0,0,H88-$K88-$L88)</f>
        <v>0</v>
      </c>
      <c r="O88" s="81">
        <f>IF(I88=0,0,I88-$K88-$L88)</f>
        <v>0</v>
      </c>
      <c r="P88" s="81">
        <f>IF(J88=0,0,J88-$K88-$L88)</f>
        <v>0</v>
      </c>
      <c r="Q88" s="83">
        <v>0</v>
      </c>
      <c r="R88" s="83">
        <v>0</v>
      </c>
      <c r="S88" s="83">
        <v>0</v>
      </c>
      <c r="T88" s="83">
        <v>0</v>
      </c>
      <c r="U88" s="83">
        <v>0</v>
      </c>
      <c r="V88" s="83">
        <v>0</v>
      </c>
      <c r="W88" s="83">
        <v>0</v>
      </c>
      <c r="X88" s="83">
        <v>0</v>
      </c>
      <c r="Y88" s="83">
        <v>0</v>
      </c>
    </row>
    <row r="89" spans="1:25">
      <c r="A89" s="80">
        <f t="shared" si="11"/>
        <v>20110629</v>
      </c>
      <c r="B89" s="110" t="s">
        <v>453</v>
      </c>
      <c r="C89" s="110" t="str">
        <f t="shared" si="8"/>
        <v>20110629GSS</v>
      </c>
      <c r="D89" s="110" t="s">
        <v>409</v>
      </c>
      <c r="E89" s="110" t="str">
        <f t="shared" si="9"/>
        <v>20110629LGCME551</v>
      </c>
      <c r="F89" s="83">
        <v>17.5</v>
      </c>
      <c r="G89" s="81">
        <v>8.208E-2</v>
      </c>
      <c r="H89" s="81">
        <v>0</v>
      </c>
      <c r="I89" s="81">
        <v>0</v>
      </c>
      <c r="J89" s="81">
        <v>0</v>
      </c>
      <c r="K89" s="81">
        <v>8.0000000000000004E-4</v>
      </c>
      <c r="L89" s="81">
        <v>2.215E-2</v>
      </c>
      <c r="M89" s="81">
        <v>5.9130000000000002E-2</v>
      </c>
      <c r="N89" s="81">
        <f t="shared" si="10"/>
        <v>0</v>
      </c>
      <c r="O89" s="81">
        <f t="shared" si="10"/>
        <v>0</v>
      </c>
      <c r="P89" s="81">
        <f t="shared" si="10"/>
        <v>0</v>
      </c>
      <c r="Q89" s="83">
        <v>0</v>
      </c>
      <c r="R89" s="83">
        <v>0</v>
      </c>
      <c r="S89" s="83">
        <v>0</v>
      </c>
      <c r="T89" s="83">
        <v>0</v>
      </c>
      <c r="U89" s="83">
        <v>0</v>
      </c>
      <c r="V89" s="83">
        <v>0</v>
      </c>
      <c r="W89" s="83">
        <v>0</v>
      </c>
      <c r="X89" s="83">
        <v>0</v>
      </c>
      <c r="Y89" s="83">
        <v>0</v>
      </c>
    </row>
    <row r="90" spans="1:25">
      <c r="A90" s="80">
        <f t="shared" si="11"/>
        <v>20110629</v>
      </c>
      <c r="B90" s="110" t="s">
        <v>882</v>
      </c>
      <c r="C90" s="110" t="str">
        <f t="shared" si="8"/>
        <v>20110629GSUM</v>
      </c>
      <c r="D90" s="110" t="s">
        <v>410</v>
      </c>
      <c r="E90" s="110" t="str">
        <f t="shared" si="9"/>
        <v>20110629LGCME551UM</v>
      </c>
      <c r="F90" s="83">
        <v>17.5</v>
      </c>
      <c r="G90" s="81">
        <v>8.208E-2</v>
      </c>
      <c r="H90" s="81">
        <v>0</v>
      </c>
      <c r="I90" s="81">
        <v>0</v>
      </c>
      <c r="J90" s="81">
        <v>0</v>
      </c>
      <c r="K90" s="81">
        <v>8.0000000000000004E-4</v>
      </c>
      <c r="L90" s="81">
        <v>2.215E-2</v>
      </c>
      <c r="M90" s="81">
        <v>5.9130000000000002E-2</v>
      </c>
      <c r="N90" s="81">
        <f t="shared" si="10"/>
        <v>0</v>
      </c>
      <c r="O90" s="81">
        <f t="shared" si="10"/>
        <v>0</v>
      </c>
      <c r="P90" s="81">
        <f t="shared" si="10"/>
        <v>0</v>
      </c>
      <c r="Q90" s="83">
        <v>0</v>
      </c>
      <c r="R90" s="83">
        <v>0</v>
      </c>
      <c r="S90" s="83">
        <v>0</v>
      </c>
      <c r="T90" s="83">
        <v>0</v>
      </c>
      <c r="U90" s="83">
        <v>0</v>
      </c>
      <c r="V90" s="83">
        <v>0</v>
      </c>
      <c r="W90" s="83">
        <v>0</v>
      </c>
      <c r="X90" s="83">
        <v>0</v>
      </c>
      <c r="Y90" s="83">
        <v>0</v>
      </c>
    </row>
    <row r="91" spans="1:25">
      <c r="A91" s="80">
        <f t="shared" si="11"/>
        <v>20110629</v>
      </c>
      <c r="B91" s="114" t="s">
        <v>877</v>
      </c>
      <c r="C91" s="110" t="str">
        <f t="shared" si="8"/>
        <v>20110629GSNM</v>
      </c>
      <c r="D91" s="110" t="s">
        <v>413</v>
      </c>
      <c r="E91" s="110" t="str">
        <f t="shared" si="9"/>
        <v>20110629LGCME557</v>
      </c>
      <c r="F91" s="83">
        <v>17.5</v>
      </c>
      <c r="G91" s="81">
        <v>8.208E-2</v>
      </c>
      <c r="H91" s="81">
        <v>0</v>
      </c>
      <c r="I91" s="81">
        <v>0</v>
      </c>
      <c r="J91" s="81">
        <v>0</v>
      </c>
      <c r="K91" s="81">
        <v>8.0000000000000004E-4</v>
      </c>
      <c r="L91" s="81">
        <v>2.215E-2</v>
      </c>
      <c r="M91" s="81">
        <v>5.9130000000000002E-2</v>
      </c>
      <c r="N91" s="81">
        <f t="shared" si="10"/>
        <v>0</v>
      </c>
      <c r="O91" s="81">
        <f t="shared" si="10"/>
        <v>0</v>
      </c>
      <c r="P91" s="81">
        <f t="shared" si="10"/>
        <v>0</v>
      </c>
      <c r="Q91" s="83">
        <v>0</v>
      </c>
      <c r="R91" s="83">
        <v>0</v>
      </c>
      <c r="S91" s="83">
        <v>0</v>
      </c>
      <c r="T91" s="83">
        <v>0</v>
      </c>
      <c r="U91" s="83">
        <v>0</v>
      </c>
      <c r="V91" s="83">
        <v>0</v>
      </c>
      <c r="W91" s="83">
        <v>0</v>
      </c>
      <c r="X91" s="83">
        <v>0</v>
      </c>
      <c r="Y91" s="83">
        <v>0</v>
      </c>
    </row>
    <row r="92" spans="1:25">
      <c r="A92" s="80">
        <f t="shared" si="11"/>
        <v>20110629</v>
      </c>
      <c r="B92" s="114" t="s">
        <v>455</v>
      </c>
      <c r="C92" s="110" t="str">
        <f t="shared" si="8"/>
        <v>20110629GSSH</v>
      </c>
      <c r="D92" s="110" t="s">
        <v>411</v>
      </c>
      <c r="E92" s="110" t="str">
        <f t="shared" si="9"/>
        <v>20110629LGCME552</v>
      </c>
      <c r="F92" s="83">
        <v>0</v>
      </c>
      <c r="G92" s="81">
        <v>8.208E-2</v>
      </c>
      <c r="H92" s="81">
        <v>0</v>
      </c>
      <c r="I92" s="81">
        <v>0</v>
      </c>
      <c r="J92" s="81">
        <v>0</v>
      </c>
      <c r="K92" s="81">
        <v>8.0000000000000004E-4</v>
      </c>
      <c r="L92" s="81">
        <v>2.215E-2</v>
      </c>
      <c r="M92" s="81">
        <v>5.9130000000000002E-2</v>
      </c>
      <c r="N92" s="81">
        <f t="shared" si="10"/>
        <v>0</v>
      </c>
      <c r="O92" s="81">
        <f t="shared" si="10"/>
        <v>0</v>
      </c>
      <c r="P92" s="81">
        <f t="shared" si="10"/>
        <v>0</v>
      </c>
      <c r="Q92" s="83">
        <v>0</v>
      </c>
      <c r="R92" s="83">
        <v>0</v>
      </c>
      <c r="S92" s="83">
        <v>0</v>
      </c>
      <c r="T92" s="83">
        <v>0</v>
      </c>
      <c r="U92" s="83">
        <v>0</v>
      </c>
      <c r="V92" s="83">
        <v>0</v>
      </c>
      <c r="W92" s="83">
        <v>0</v>
      </c>
      <c r="X92" s="83">
        <v>0</v>
      </c>
      <c r="Y92" s="83">
        <v>0</v>
      </c>
    </row>
    <row r="93" spans="1:25">
      <c r="A93" s="80">
        <f t="shared" si="11"/>
        <v>20110629</v>
      </c>
      <c r="B93" s="114" t="s">
        <v>879</v>
      </c>
      <c r="C93" s="110" t="str">
        <f t="shared" si="8"/>
        <v>20110629GSRP</v>
      </c>
      <c r="D93" s="114" t="s">
        <v>412</v>
      </c>
      <c r="E93" s="110" t="str">
        <f t="shared" si="9"/>
        <v>20110629LGCME555</v>
      </c>
      <c r="F93" s="83">
        <v>27.5</v>
      </c>
      <c r="G93" s="81">
        <v>5.806E-2</v>
      </c>
      <c r="H93" s="81">
        <v>7.3889999999999997E-2</v>
      </c>
      <c r="I93" s="81">
        <v>0.15290999999999999</v>
      </c>
      <c r="J93" s="81">
        <v>0.32940000000000003</v>
      </c>
      <c r="K93" s="81">
        <v>8.0000000000000004E-4</v>
      </c>
      <c r="L93" s="81">
        <v>2.215E-2</v>
      </c>
      <c r="M93" s="81">
        <v>3.5110000000000002E-2</v>
      </c>
      <c r="N93" s="81">
        <v>5.0939999999999999E-2</v>
      </c>
      <c r="O93" s="81">
        <v>0.12996000000000002</v>
      </c>
      <c r="P93" s="81">
        <v>0.30645</v>
      </c>
      <c r="Q93" s="83">
        <v>0</v>
      </c>
      <c r="R93" s="83">
        <v>0</v>
      </c>
      <c r="S93" s="83">
        <v>0</v>
      </c>
      <c r="T93" s="83">
        <v>0</v>
      </c>
      <c r="U93" s="83">
        <v>0</v>
      </c>
      <c r="V93" s="83">
        <v>0</v>
      </c>
      <c r="W93" s="83">
        <v>0</v>
      </c>
      <c r="X93" s="83">
        <v>0</v>
      </c>
      <c r="Y93" s="83">
        <v>0</v>
      </c>
    </row>
    <row r="94" spans="1:25">
      <c r="A94" s="80">
        <f t="shared" si="11"/>
        <v>20110629</v>
      </c>
      <c r="B94" s="114" t="s">
        <v>765</v>
      </c>
      <c r="C94" s="110" t="str">
        <f t="shared" si="8"/>
        <v>20110629GS3P</v>
      </c>
      <c r="D94" s="110" t="s">
        <v>419</v>
      </c>
      <c r="E94" s="110" t="str">
        <f t="shared" si="9"/>
        <v>20110629LGCME650</v>
      </c>
      <c r="F94" s="83">
        <v>32.5</v>
      </c>
      <c r="G94" s="81">
        <f>$G$88</f>
        <v>8.208E-2</v>
      </c>
      <c r="H94" s="81">
        <v>0</v>
      </c>
      <c r="I94" s="81">
        <v>0</v>
      </c>
      <c r="J94" s="81">
        <v>0</v>
      </c>
      <c r="K94" s="81">
        <v>8.0000000000000004E-4</v>
      </c>
      <c r="L94" s="81">
        <v>2.215E-2</v>
      </c>
      <c r="M94" s="81">
        <v>5.9130000000000002E-2</v>
      </c>
      <c r="N94" s="81">
        <f t="shared" si="10"/>
        <v>0</v>
      </c>
      <c r="O94" s="81">
        <f t="shared" si="10"/>
        <v>0</v>
      </c>
      <c r="P94" s="81">
        <f t="shared" si="10"/>
        <v>0</v>
      </c>
      <c r="Q94" s="83">
        <v>0</v>
      </c>
      <c r="R94" s="83">
        <v>0</v>
      </c>
      <c r="S94" s="83">
        <v>0</v>
      </c>
      <c r="T94" s="83">
        <v>0</v>
      </c>
      <c r="U94" s="83">
        <v>0</v>
      </c>
      <c r="V94" s="83">
        <v>0</v>
      </c>
      <c r="W94" s="83">
        <v>0</v>
      </c>
      <c r="X94" s="83">
        <v>0</v>
      </c>
      <c r="Y94" s="83">
        <v>0</v>
      </c>
    </row>
    <row r="95" spans="1:25">
      <c r="A95" s="80">
        <f t="shared" si="11"/>
        <v>20110629</v>
      </c>
      <c r="B95" s="110" t="s">
        <v>14</v>
      </c>
      <c r="C95" s="110" t="str">
        <f t="shared" ref="C95:C158" si="12">A95&amp;B95</f>
        <v>20110629GS3</v>
      </c>
      <c r="D95" s="110" t="s">
        <v>420</v>
      </c>
      <c r="E95" s="110" t="str">
        <f t="shared" ref="E95:E158" si="13">A95&amp;D95</f>
        <v>20110629LGCME651</v>
      </c>
      <c r="F95" s="83">
        <f>$F$94</f>
        <v>32.5</v>
      </c>
      <c r="G95" s="81">
        <f>$G$88</f>
        <v>8.208E-2</v>
      </c>
      <c r="H95" s="81">
        <v>0</v>
      </c>
      <c r="I95" s="81">
        <v>0</v>
      </c>
      <c r="J95" s="81">
        <v>0</v>
      </c>
      <c r="K95" s="81">
        <v>8.0000000000000004E-4</v>
      </c>
      <c r="L95" s="81">
        <v>2.215E-2</v>
      </c>
      <c r="M95" s="81">
        <v>5.9130000000000002E-2</v>
      </c>
      <c r="N95" s="81">
        <f t="shared" si="10"/>
        <v>0</v>
      </c>
      <c r="O95" s="81">
        <f t="shared" si="10"/>
        <v>0</v>
      </c>
      <c r="P95" s="81">
        <f t="shared" si="10"/>
        <v>0</v>
      </c>
      <c r="Q95" s="83">
        <v>0</v>
      </c>
      <c r="R95" s="83">
        <v>0</v>
      </c>
      <c r="S95" s="83">
        <v>0</v>
      </c>
      <c r="T95" s="83">
        <v>0</v>
      </c>
      <c r="U95" s="83">
        <v>0</v>
      </c>
      <c r="V95" s="83">
        <v>0</v>
      </c>
      <c r="W95" s="83">
        <v>0</v>
      </c>
      <c r="X95" s="83">
        <v>0</v>
      </c>
      <c r="Y95" s="83">
        <v>0</v>
      </c>
    </row>
    <row r="96" spans="1:25">
      <c r="A96" s="80">
        <f t="shared" si="11"/>
        <v>20110629</v>
      </c>
      <c r="B96" s="114" t="s">
        <v>859</v>
      </c>
      <c r="C96" s="110" t="str">
        <f t="shared" si="12"/>
        <v>20110629GS3NM</v>
      </c>
      <c r="D96" s="110" t="s">
        <v>423</v>
      </c>
      <c r="E96" s="110" t="str">
        <f t="shared" si="13"/>
        <v>20110629LGCME657</v>
      </c>
      <c r="F96" s="83">
        <v>32.5</v>
      </c>
      <c r="G96" s="81">
        <v>8.208E-2</v>
      </c>
      <c r="H96" s="81">
        <v>0</v>
      </c>
      <c r="I96" s="81">
        <v>0</v>
      </c>
      <c r="J96" s="81">
        <v>0</v>
      </c>
      <c r="K96" s="81">
        <v>8.0000000000000004E-4</v>
      </c>
      <c r="L96" s="81">
        <v>2.215E-2</v>
      </c>
      <c r="M96" s="81">
        <v>5.9130000000000002E-2</v>
      </c>
      <c r="N96" s="81">
        <f t="shared" si="10"/>
        <v>0</v>
      </c>
      <c r="O96" s="81">
        <f t="shared" si="10"/>
        <v>0</v>
      </c>
      <c r="P96" s="81">
        <f t="shared" si="10"/>
        <v>0</v>
      </c>
      <c r="Q96" s="83">
        <v>0</v>
      </c>
      <c r="R96" s="83">
        <v>0</v>
      </c>
      <c r="S96" s="83">
        <v>0</v>
      </c>
      <c r="T96" s="83">
        <v>0</v>
      </c>
      <c r="U96" s="83">
        <v>0</v>
      </c>
      <c r="V96" s="83">
        <v>0</v>
      </c>
      <c r="W96" s="83">
        <v>0</v>
      </c>
      <c r="X96" s="83">
        <v>0</v>
      </c>
      <c r="Y96" s="83">
        <v>0</v>
      </c>
    </row>
    <row r="97" spans="1:25">
      <c r="A97" s="80">
        <f t="shared" si="11"/>
        <v>20110629</v>
      </c>
      <c r="B97" s="114" t="s">
        <v>858</v>
      </c>
      <c r="C97" s="110" t="str">
        <f t="shared" si="12"/>
        <v>20110629GS3SH</v>
      </c>
      <c r="D97" s="110" t="s">
        <v>421</v>
      </c>
      <c r="E97" s="110" t="str">
        <f t="shared" si="13"/>
        <v>20110629LGCME652</v>
      </c>
      <c r="F97" s="83">
        <v>0</v>
      </c>
      <c r="G97" s="81">
        <f>$G$88</f>
        <v>8.208E-2</v>
      </c>
      <c r="H97" s="81">
        <v>0</v>
      </c>
      <c r="I97" s="81">
        <v>0</v>
      </c>
      <c r="J97" s="81">
        <v>0</v>
      </c>
      <c r="K97" s="81">
        <v>8.0000000000000004E-4</v>
      </c>
      <c r="L97" s="81">
        <v>2.215E-2</v>
      </c>
      <c r="M97" s="81">
        <v>5.9130000000000002E-2</v>
      </c>
      <c r="N97" s="81">
        <f t="shared" si="10"/>
        <v>0</v>
      </c>
      <c r="O97" s="81">
        <f t="shared" si="10"/>
        <v>0</v>
      </c>
      <c r="P97" s="81">
        <f t="shared" si="10"/>
        <v>0</v>
      </c>
      <c r="Q97" s="83">
        <v>0</v>
      </c>
      <c r="R97" s="83">
        <v>0</v>
      </c>
      <c r="S97" s="83">
        <v>0</v>
      </c>
      <c r="T97" s="83">
        <v>0</v>
      </c>
      <c r="U97" s="83">
        <v>0</v>
      </c>
      <c r="V97" s="83">
        <v>0</v>
      </c>
      <c r="W97" s="83">
        <v>0</v>
      </c>
      <c r="X97" s="83">
        <v>0</v>
      </c>
      <c r="Y97" s="83">
        <v>0</v>
      </c>
    </row>
    <row r="98" spans="1:25">
      <c r="A98" s="80">
        <f t="shared" si="11"/>
        <v>20110629</v>
      </c>
      <c r="B98" s="110" t="s">
        <v>716</v>
      </c>
      <c r="C98" s="110" t="str">
        <f t="shared" si="12"/>
        <v>20110629G3RP</v>
      </c>
      <c r="D98" s="114" t="s">
        <v>422</v>
      </c>
      <c r="E98" s="110" t="str">
        <f t="shared" si="13"/>
        <v>20110629LGCME656</v>
      </c>
      <c r="F98" s="83">
        <v>42.5</v>
      </c>
      <c r="G98" s="81">
        <v>5.806E-2</v>
      </c>
      <c r="H98" s="81">
        <v>7.3889999999999997E-2</v>
      </c>
      <c r="I98" s="81">
        <v>0.15290999999999999</v>
      </c>
      <c r="J98" s="81">
        <v>0.32940000000000003</v>
      </c>
      <c r="K98" s="81">
        <v>8.0000000000000004E-4</v>
      </c>
      <c r="L98" s="81">
        <v>2.215E-2</v>
      </c>
      <c r="M98" s="81">
        <v>3.5110000000000002E-2</v>
      </c>
      <c r="N98" s="81">
        <v>5.0939999999999999E-2</v>
      </c>
      <c r="O98" s="81">
        <v>0.12995999999999999</v>
      </c>
      <c r="P98" s="81">
        <v>0.30645</v>
      </c>
      <c r="Q98" s="83">
        <v>0</v>
      </c>
      <c r="R98" s="83">
        <v>0</v>
      </c>
      <c r="S98" s="83">
        <v>0</v>
      </c>
      <c r="T98" s="83">
        <v>0</v>
      </c>
      <c r="U98" s="83">
        <v>0</v>
      </c>
      <c r="V98" s="83">
        <v>0</v>
      </c>
      <c r="W98" s="83">
        <v>0</v>
      </c>
      <c r="X98" s="83">
        <v>0</v>
      </c>
      <c r="Y98" s="83">
        <v>0</v>
      </c>
    </row>
    <row r="99" spans="1:25">
      <c r="A99" s="80">
        <f t="shared" si="11"/>
        <v>20110629</v>
      </c>
      <c r="B99" s="110" t="s">
        <v>20</v>
      </c>
      <c r="C99" s="110" t="str">
        <f t="shared" si="12"/>
        <v>20110629PSS</v>
      </c>
      <c r="D99" s="110" t="s">
        <v>414</v>
      </c>
      <c r="E99" s="110" t="str">
        <f t="shared" si="13"/>
        <v>20110629LGCME561</v>
      </c>
      <c r="F99" s="83">
        <v>90</v>
      </c>
      <c r="G99" s="81">
        <v>3.4209999999999997E-2</v>
      </c>
      <c r="H99" s="81">
        <v>0</v>
      </c>
      <c r="I99" s="81">
        <v>0</v>
      </c>
      <c r="J99" s="81">
        <v>0</v>
      </c>
      <c r="K99" s="81">
        <v>0</v>
      </c>
      <c r="L99" s="81">
        <f>$L$84</f>
        <v>2.215E-2</v>
      </c>
      <c r="M99" s="81">
        <f>G99-K99-L99</f>
        <v>1.2059999999999998E-2</v>
      </c>
      <c r="N99" s="81">
        <f t="shared" si="10"/>
        <v>0</v>
      </c>
      <c r="O99" s="81">
        <f t="shared" si="10"/>
        <v>0</v>
      </c>
      <c r="P99" s="81">
        <f t="shared" si="10"/>
        <v>0</v>
      </c>
      <c r="Q99" s="83">
        <v>0</v>
      </c>
      <c r="R99" s="83">
        <v>13.07</v>
      </c>
      <c r="S99" s="83">
        <v>15.32</v>
      </c>
      <c r="T99" s="83"/>
      <c r="U99" s="83">
        <v>0.25</v>
      </c>
      <c r="V99" s="83"/>
      <c r="W99" s="83">
        <v>0</v>
      </c>
      <c r="X99" s="83">
        <v>12.82</v>
      </c>
      <c r="Y99" s="83">
        <v>15.07</v>
      </c>
    </row>
    <row r="100" spans="1:25">
      <c r="A100" s="80">
        <f t="shared" si="11"/>
        <v>20110629</v>
      </c>
      <c r="B100" s="110" t="s">
        <v>21</v>
      </c>
      <c r="C100" s="110" t="str">
        <f t="shared" si="12"/>
        <v>20110629PSP</v>
      </c>
      <c r="D100" s="110" t="s">
        <v>415</v>
      </c>
      <c r="E100" s="110" t="str">
        <f t="shared" si="13"/>
        <v>20110629LGCME563</v>
      </c>
      <c r="F100" s="83">
        <v>90</v>
      </c>
      <c r="G100" s="81">
        <v>3.4209999999999997E-2</v>
      </c>
      <c r="H100" s="81">
        <v>0</v>
      </c>
      <c r="I100" s="81">
        <v>0</v>
      </c>
      <c r="J100" s="81">
        <v>0</v>
      </c>
      <c r="K100" s="81">
        <v>0</v>
      </c>
      <c r="L100" s="81">
        <f>$L$84</f>
        <v>2.215E-2</v>
      </c>
      <c r="M100" s="81">
        <f>G100-K100-L100</f>
        <v>1.2059999999999998E-2</v>
      </c>
      <c r="N100" s="81">
        <f t="shared" si="10"/>
        <v>0</v>
      </c>
      <c r="O100" s="81">
        <f t="shared" si="10"/>
        <v>0</v>
      </c>
      <c r="P100" s="81">
        <f t="shared" si="10"/>
        <v>0</v>
      </c>
      <c r="Q100" s="83">
        <v>0</v>
      </c>
      <c r="R100" s="83">
        <v>11.24</v>
      </c>
      <c r="S100" s="83">
        <v>13.48</v>
      </c>
      <c r="T100" s="83"/>
      <c r="U100" s="83">
        <f>U99</f>
        <v>0.25</v>
      </c>
      <c r="V100" s="83"/>
      <c r="W100" s="83">
        <v>0</v>
      </c>
      <c r="X100" s="83">
        <v>10.99</v>
      </c>
      <c r="Y100" s="83">
        <v>13.23</v>
      </c>
    </row>
    <row r="101" spans="1:25">
      <c r="A101" s="80">
        <f t="shared" si="11"/>
        <v>20110629</v>
      </c>
      <c r="B101" s="110" t="s">
        <v>20</v>
      </c>
      <c r="C101" s="110" t="str">
        <f t="shared" si="12"/>
        <v>20110629PSS</v>
      </c>
      <c r="D101" s="114" t="s">
        <v>416</v>
      </c>
      <c r="E101" s="110" t="str">
        <f t="shared" si="13"/>
        <v>20110629LGCME567</v>
      </c>
      <c r="F101" s="83">
        <v>90</v>
      </c>
      <c r="G101" s="81">
        <v>3.4209999999999997E-2</v>
      </c>
      <c r="H101" s="81">
        <v>0</v>
      </c>
      <c r="I101" s="81">
        <v>0</v>
      </c>
      <c r="J101" s="81">
        <v>0</v>
      </c>
      <c r="K101" s="81">
        <v>0</v>
      </c>
      <c r="L101" s="81">
        <f>$L$84</f>
        <v>2.215E-2</v>
      </c>
      <c r="M101" s="81">
        <f>G101-K101-L101</f>
        <v>1.2059999999999998E-2</v>
      </c>
      <c r="N101" s="81">
        <f t="shared" si="10"/>
        <v>0</v>
      </c>
      <c r="O101" s="81">
        <f t="shared" si="10"/>
        <v>0</v>
      </c>
      <c r="P101" s="81">
        <f t="shared" si="10"/>
        <v>0</v>
      </c>
      <c r="Q101" s="83">
        <v>0</v>
      </c>
      <c r="R101" s="83">
        <f>$R99</f>
        <v>13.07</v>
      </c>
      <c r="S101" s="83">
        <f>$S99</f>
        <v>15.32</v>
      </c>
      <c r="T101" s="83"/>
      <c r="U101" s="83">
        <f>U99</f>
        <v>0.25</v>
      </c>
      <c r="V101" s="83"/>
      <c r="W101" s="83">
        <v>0</v>
      </c>
      <c r="X101" s="83">
        <v>12.82</v>
      </c>
      <c r="Y101" s="83">
        <v>15.07</v>
      </c>
    </row>
    <row r="102" spans="1:25">
      <c r="A102" s="80">
        <f t="shared" si="11"/>
        <v>20110629</v>
      </c>
      <c r="B102" s="110" t="s">
        <v>449</v>
      </c>
      <c r="C102" s="110" t="str">
        <f t="shared" si="12"/>
        <v>20110629CTODS</v>
      </c>
      <c r="D102" s="110" t="s">
        <v>417</v>
      </c>
      <c r="E102" s="110" t="str">
        <f t="shared" si="13"/>
        <v>20110629LGCME591</v>
      </c>
      <c r="F102" s="83">
        <v>200</v>
      </c>
      <c r="G102" s="81">
        <v>3.3829999999999999E-2</v>
      </c>
      <c r="H102" s="81">
        <v>0</v>
      </c>
      <c r="I102" s="81">
        <v>0</v>
      </c>
      <c r="J102" s="81">
        <v>0</v>
      </c>
      <c r="K102" s="81">
        <v>0</v>
      </c>
      <c r="L102" s="81">
        <f>$L$84</f>
        <v>2.215E-2</v>
      </c>
      <c r="M102" s="81">
        <f>G102-K102-L102</f>
        <v>1.1679999999999999E-2</v>
      </c>
      <c r="N102" s="81">
        <f t="shared" si="10"/>
        <v>0</v>
      </c>
      <c r="O102" s="81">
        <f t="shared" si="10"/>
        <v>0</v>
      </c>
      <c r="P102" s="81">
        <f t="shared" si="10"/>
        <v>0</v>
      </c>
      <c r="Q102" s="83">
        <v>3.79</v>
      </c>
      <c r="R102" s="83">
        <v>4.28</v>
      </c>
      <c r="S102" s="83">
        <v>5.81</v>
      </c>
      <c r="T102" s="83"/>
      <c r="U102" s="83">
        <v>0.14000000000000001</v>
      </c>
      <c r="V102" s="83"/>
      <c r="W102" s="83">
        <v>3.79</v>
      </c>
      <c r="X102" s="83">
        <v>4.1400000000000006</v>
      </c>
      <c r="Y102" s="83">
        <v>5.67</v>
      </c>
    </row>
    <row r="103" spans="1:25">
      <c r="A103" s="80">
        <f t="shared" si="11"/>
        <v>20110629</v>
      </c>
      <c r="B103" s="110" t="s">
        <v>448</v>
      </c>
      <c r="C103" s="110" t="str">
        <f t="shared" si="12"/>
        <v>20110629CTODP</v>
      </c>
      <c r="D103" s="110" t="s">
        <v>418</v>
      </c>
      <c r="E103" s="110" t="str">
        <f t="shared" si="13"/>
        <v>20110629LGCME593</v>
      </c>
      <c r="F103" s="83">
        <f>$F$102</f>
        <v>200</v>
      </c>
      <c r="G103" s="81">
        <v>3.3829999999999999E-2</v>
      </c>
      <c r="H103" s="81">
        <v>0</v>
      </c>
      <c r="I103" s="81">
        <v>0</v>
      </c>
      <c r="J103" s="81">
        <v>0</v>
      </c>
      <c r="K103" s="81">
        <v>0</v>
      </c>
      <c r="L103" s="81">
        <f>$L$84</f>
        <v>2.215E-2</v>
      </c>
      <c r="M103" s="81">
        <f>G103-K103-L103</f>
        <v>1.1679999999999999E-2</v>
      </c>
      <c r="N103" s="81">
        <f t="shared" si="10"/>
        <v>0</v>
      </c>
      <c r="O103" s="81">
        <f t="shared" si="10"/>
        <v>0</v>
      </c>
      <c r="P103" s="81">
        <f t="shared" si="10"/>
        <v>0</v>
      </c>
      <c r="Q103" s="83">
        <v>2.64</v>
      </c>
      <c r="R103" s="83">
        <v>4.2</v>
      </c>
      <c r="S103" s="83">
        <v>5.7</v>
      </c>
      <c r="T103" s="83"/>
      <c r="U103" s="83">
        <f>U102</f>
        <v>0.14000000000000001</v>
      </c>
      <c r="V103" s="83"/>
      <c r="W103" s="83">
        <v>2.64</v>
      </c>
      <c r="X103" s="83">
        <v>4.0600000000000005</v>
      </c>
      <c r="Y103" s="83">
        <v>5.5600000000000005</v>
      </c>
    </row>
    <row r="104" spans="1:25">
      <c r="A104" s="80">
        <f t="shared" si="11"/>
        <v>20110629</v>
      </c>
      <c r="B104" s="110" t="s">
        <v>20</v>
      </c>
      <c r="C104" s="110" t="str">
        <f t="shared" si="12"/>
        <v>20110629PSS</v>
      </c>
      <c r="D104" s="110" t="s">
        <v>428</v>
      </c>
      <c r="E104" s="110" t="str">
        <f t="shared" si="13"/>
        <v>20110629LGINE661</v>
      </c>
      <c r="F104" s="83">
        <v>90</v>
      </c>
      <c r="G104" s="116">
        <f>SUM(K104:M104)</f>
        <v>3.4210000000000004E-2</v>
      </c>
      <c r="H104" s="81">
        <v>0</v>
      </c>
      <c r="I104" s="81">
        <v>0</v>
      </c>
      <c r="J104" s="81">
        <v>0</v>
      </c>
      <c r="K104" s="81">
        <v>0</v>
      </c>
      <c r="L104" s="116">
        <v>2.215E-2</v>
      </c>
      <c r="M104" s="81">
        <v>1.2060000000000001E-2</v>
      </c>
      <c r="N104" s="81">
        <f t="shared" si="10"/>
        <v>0</v>
      </c>
      <c r="O104" s="81">
        <f t="shared" si="10"/>
        <v>0</v>
      </c>
      <c r="P104" s="81">
        <f t="shared" si="10"/>
        <v>0</v>
      </c>
      <c r="Q104" s="83">
        <v>0</v>
      </c>
      <c r="R104" s="83">
        <v>13.07</v>
      </c>
      <c r="S104" s="83">
        <v>15.32</v>
      </c>
      <c r="T104" s="83">
        <v>0</v>
      </c>
      <c r="U104" s="83">
        <v>0.25</v>
      </c>
      <c r="V104" s="83">
        <v>0.25</v>
      </c>
      <c r="W104" s="83">
        <v>0</v>
      </c>
      <c r="X104" s="83">
        <v>12.82</v>
      </c>
      <c r="Y104" s="83">
        <v>15.07</v>
      </c>
    </row>
    <row r="105" spans="1:25">
      <c r="A105" s="80">
        <f t="shared" si="11"/>
        <v>20110629</v>
      </c>
      <c r="B105" s="110" t="s">
        <v>21</v>
      </c>
      <c r="C105" s="110" t="str">
        <f t="shared" si="12"/>
        <v>20110629PSP</v>
      </c>
      <c r="D105" s="110" t="s">
        <v>429</v>
      </c>
      <c r="E105" s="110" t="str">
        <f t="shared" si="13"/>
        <v>20110629LGINE663</v>
      </c>
      <c r="F105" s="83">
        <v>90</v>
      </c>
      <c r="G105" s="116">
        <f>SUM(K105:M105)</f>
        <v>3.4210000000000004E-2</v>
      </c>
      <c r="H105" s="81">
        <v>0</v>
      </c>
      <c r="I105" s="81">
        <v>0</v>
      </c>
      <c r="J105" s="81">
        <v>0</v>
      </c>
      <c r="K105" s="81">
        <v>0</v>
      </c>
      <c r="L105" s="116">
        <v>2.215E-2</v>
      </c>
      <c r="M105" s="81">
        <v>1.2060000000000001E-2</v>
      </c>
      <c r="N105" s="81">
        <f t="shared" si="10"/>
        <v>0</v>
      </c>
      <c r="O105" s="81">
        <f t="shared" si="10"/>
        <v>0</v>
      </c>
      <c r="P105" s="81">
        <f t="shared" si="10"/>
        <v>0</v>
      </c>
      <c r="Q105" s="83">
        <v>0</v>
      </c>
      <c r="R105" s="83">
        <v>11.24</v>
      </c>
      <c r="S105" s="83">
        <v>13.48</v>
      </c>
      <c r="T105" s="83">
        <v>0</v>
      </c>
      <c r="U105" s="83">
        <v>0.25</v>
      </c>
      <c r="V105" s="83">
        <v>0.25</v>
      </c>
      <c r="W105" s="83">
        <v>0</v>
      </c>
      <c r="X105" s="83">
        <v>10.99</v>
      </c>
      <c r="Y105" s="83">
        <v>13.23</v>
      </c>
    </row>
    <row r="106" spans="1:25">
      <c r="A106" s="80">
        <f t="shared" si="11"/>
        <v>20110629</v>
      </c>
      <c r="B106" s="110" t="s">
        <v>461</v>
      </c>
      <c r="C106" s="110" t="str">
        <f t="shared" si="12"/>
        <v>20110629ITODS</v>
      </c>
      <c r="D106" s="110" t="s">
        <v>430</v>
      </c>
      <c r="E106" s="110" t="str">
        <f t="shared" si="13"/>
        <v>20110629LGINE691</v>
      </c>
      <c r="F106" s="83">
        <v>300</v>
      </c>
      <c r="G106" s="81">
        <v>2.9839999999999998E-2</v>
      </c>
      <c r="H106" s="81">
        <v>0</v>
      </c>
      <c r="I106" s="81">
        <v>0</v>
      </c>
      <c r="J106" s="81">
        <v>0</v>
      </c>
      <c r="K106" s="81">
        <v>0</v>
      </c>
      <c r="L106" s="81">
        <v>2.215E-2</v>
      </c>
      <c r="M106" s="81">
        <v>7.6899999999999989E-3</v>
      </c>
      <c r="N106" s="81">
        <f t="shared" si="10"/>
        <v>0</v>
      </c>
      <c r="O106" s="81">
        <f t="shared" si="10"/>
        <v>0</v>
      </c>
      <c r="P106" s="81">
        <f t="shared" si="10"/>
        <v>0</v>
      </c>
      <c r="Q106" s="83">
        <v>5.48</v>
      </c>
      <c r="R106" s="83">
        <v>3.7</v>
      </c>
      <c r="S106" s="83">
        <v>5.2</v>
      </c>
      <c r="T106" s="83">
        <v>0.12</v>
      </c>
      <c r="U106" s="83">
        <v>0.12</v>
      </c>
      <c r="V106" s="83">
        <v>0.12</v>
      </c>
      <c r="W106" s="83">
        <v>5.36</v>
      </c>
      <c r="X106" s="83">
        <v>3.58</v>
      </c>
      <c r="Y106" s="83">
        <v>5.08</v>
      </c>
    </row>
    <row r="107" spans="1:25">
      <c r="A107" s="80">
        <f t="shared" si="11"/>
        <v>20110629</v>
      </c>
      <c r="B107" s="110" t="s">
        <v>460</v>
      </c>
      <c r="C107" s="110" t="str">
        <f t="shared" si="12"/>
        <v>20110629ITODP</v>
      </c>
      <c r="D107" s="110" t="s">
        <v>431</v>
      </c>
      <c r="E107" s="110" t="str">
        <f t="shared" si="13"/>
        <v>20110629LGINE693</v>
      </c>
      <c r="F107" s="83">
        <f>$F$106</f>
        <v>300</v>
      </c>
      <c r="G107" s="81">
        <v>2.9839999999999998E-2</v>
      </c>
      <c r="H107" s="81">
        <v>0</v>
      </c>
      <c r="I107" s="81">
        <v>0</v>
      </c>
      <c r="J107" s="81">
        <v>0</v>
      </c>
      <c r="K107" s="81">
        <v>0</v>
      </c>
      <c r="L107" s="81">
        <v>2.215E-2</v>
      </c>
      <c r="M107" s="81">
        <v>7.6899999999999989E-3</v>
      </c>
      <c r="N107" s="81">
        <f t="shared" si="10"/>
        <v>0</v>
      </c>
      <c r="O107" s="81">
        <f t="shared" si="10"/>
        <v>0</v>
      </c>
      <c r="P107" s="81">
        <f t="shared" si="10"/>
        <v>0</v>
      </c>
      <c r="Q107" s="83">
        <v>4.16</v>
      </c>
      <c r="R107" s="83">
        <v>7.31</v>
      </c>
      <c r="S107" s="83">
        <v>10.11</v>
      </c>
      <c r="T107" s="83">
        <v>0.12</v>
      </c>
      <c r="U107" s="83">
        <f>U106</f>
        <v>0.12</v>
      </c>
      <c r="V107" s="83">
        <v>0.12</v>
      </c>
      <c r="W107" s="83">
        <v>4.04</v>
      </c>
      <c r="X107" s="83">
        <v>7.1899999999999995</v>
      </c>
      <c r="Y107" s="83">
        <v>9.99</v>
      </c>
    </row>
    <row r="108" spans="1:25">
      <c r="A108" s="80">
        <f t="shared" si="11"/>
        <v>20110629</v>
      </c>
      <c r="B108" s="110" t="s">
        <v>460</v>
      </c>
      <c r="C108" s="110" t="str">
        <f t="shared" si="12"/>
        <v>20110629ITODP</v>
      </c>
      <c r="D108" s="110" t="s">
        <v>432</v>
      </c>
      <c r="E108" s="110" t="str">
        <f t="shared" si="13"/>
        <v>20110629LGINE694</v>
      </c>
      <c r="F108" s="83">
        <f>$F$106</f>
        <v>300</v>
      </c>
      <c r="G108" s="81">
        <v>2.9839999999999998E-2</v>
      </c>
      <c r="H108" s="81">
        <v>0</v>
      </c>
      <c r="I108" s="81">
        <v>0</v>
      </c>
      <c r="J108" s="81">
        <v>0</v>
      </c>
      <c r="K108" s="81">
        <v>0</v>
      </c>
      <c r="L108" s="81">
        <v>2.215E-2</v>
      </c>
      <c r="M108" s="81">
        <v>7.6899999999999989E-3</v>
      </c>
      <c r="N108" s="81">
        <f t="shared" si="10"/>
        <v>0</v>
      </c>
      <c r="O108" s="81">
        <f t="shared" si="10"/>
        <v>0</v>
      </c>
      <c r="P108" s="81">
        <f t="shared" si="10"/>
        <v>0</v>
      </c>
      <c r="Q108" s="83">
        <v>4.16</v>
      </c>
      <c r="R108" s="83">
        <v>7.31</v>
      </c>
      <c r="S108" s="83">
        <v>10.11</v>
      </c>
      <c r="T108" s="83">
        <v>0.12</v>
      </c>
      <c r="U108" s="83">
        <f>U107</f>
        <v>0.12</v>
      </c>
      <c r="V108" s="83">
        <v>0.12</v>
      </c>
      <c r="W108" s="83">
        <v>4.04</v>
      </c>
      <c r="X108" s="83">
        <v>7.1899999999999995</v>
      </c>
      <c r="Y108" s="83">
        <v>9.99</v>
      </c>
    </row>
    <row r="109" spans="1:25">
      <c r="A109" s="80">
        <f t="shared" si="11"/>
        <v>20110629</v>
      </c>
      <c r="B109" s="110" t="s">
        <v>15</v>
      </c>
      <c r="C109" s="110" t="str">
        <f t="shared" si="12"/>
        <v>20110629RTS</v>
      </c>
      <c r="D109" s="110" t="s">
        <v>427</v>
      </c>
      <c r="E109" s="110" t="str">
        <f t="shared" si="13"/>
        <v>20110629LGINE643</v>
      </c>
      <c r="F109" s="83">
        <v>500</v>
      </c>
      <c r="G109" s="81">
        <f>$G$106</f>
        <v>2.9839999999999998E-2</v>
      </c>
      <c r="H109" s="81">
        <v>0</v>
      </c>
      <c r="I109" s="81">
        <v>0</v>
      </c>
      <c r="J109" s="81">
        <v>0</v>
      </c>
      <c r="K109" s="81">
        <v>0</v>
      </c>
      <c r="L109" s="81">
        <f>$L$84</f>
        <v>2.215E-2</v>
      </c>
      <c r="M109" s="81">
        <f>G109-K109-L109</f>
        <v>7.6899999999999989E-3</v>
      </c>
      <c r="N109" s="81">
        <f t="shared" si="10"/>
        <v>0</v>
      </c>
      <c r="O109" s="81">
        <f t="shared" si="10"/>
        <v>0</v>
      </c>
      <c r="P109" s="81">
        <f t="shared" si="10"/>
        <v>0</v>
      </c>
      <c r="Q109" s="83">
        <v>2.61</v>
      </c>
      <c r="R109" s="83">
        <v>2.86</v>
      </c>
      <c r="S109" s="83">
        <v>4.3600000000000003</v>
      </c>
      <c r="T109" s="83">
        <v>0.11</v>
      </c>
      <c r="U109" s="83">
        <v>0.11</v>
      </c>
      <c r="V109" s="83">
        <v>0.11</v>
      </c>
      <c r="W109" s="83">
        <v>2.5</v>
      </c>
      <c r="X109" s="83">
        <v>2.75</v>
      </c>
      <c r="Y109" s="83">
        <v>4.25</v>
      </c>
    </row>
    <row r="110" spans="1:25">
      <c r="A110" s="80">
        <f t="shared" si="11"/>
        <v>20110629</v>
      </c>
      <c r="B110" s="110" t="s">
        <v>22</v>
      </c>
      <c r="C110" s="110" t="str">
        <f t="shared" si="12"/>
        <v>20110629FLSP</v>
      </c>
      <c r="D110" s="110" t="s">
        <v>22</v>
      </c>
      <c r="E110" s="110" t="str">
        <f t="shared" si="13"/>
        <v>20110629FLSP</v>
      </c>
      <c r="F110" s="83">
        <v>500</v>
      </c>
      <c r="G110" s="81">
        <v>3.7100000000000001E-2</v>
      </c>
      <c r="H110" s="81">
        <v>0</v>
      </c>
      <c r="I110" s="81">
        <v>0</v>
      </c>
      <c r="J110" s="81">
        <v>0</v>
      </c>
      <c r="K110" s="81">
        <v>0</v>
      </c>
      <c r="L110" s="81">
        <f>$L$84</f>
        <v>2.215E-2</v>
      </c>
      <c r="M110" s="81">
        <f>G110-K110-L110</f>
        <v>1.4950000000000001E-2</v>
      </c>
      <c r="N110" s="81">
        <f t="shared" si="10"/>
        <v>0</v>
      </c>
      <c r="O110" s="81">
        <f t="shared" si="10"/>
        <v>0</v>
      </c>
      <c r="P110" s="81">
        <f t="shared" si="10"/>
        <v>0</v>
      </c>
      <c r="Q110" s="83">
        <v>1.75</v>
      </c>
      <c r="R110" s="83">
        <v>1.75</v>
      </c>
      <c r="S110" s="83">
        <v>2.75</v>
      </c>
      <c r="T110" s="83">
        <v>0.11</v>
      </c>
      <c r="U110" s="83">
        <v>0.11</v>
      </c>
      <c r="V110" s="83">
        <v>0.11</v>
      </c>
      <c r="W110" s="83" t="e">
        <f>#REF!-T110</f>
        <v>#REF!</v>
      </c>
      <c r="X110" s="83" t="e">
        <f>#REF!-U110</f>
        <v>#REF!</v>
      </c>
      <c r="Y110" s="83" t="e">
        <f>#REF!-U110</f>
        <v>#REF!</v>
      </c>
    </row>
    <row r="111" spans="1:25">
      <c r="A111" s="80">
        <f t="shared" si="11"/>
        <v>20110629</v>
      </c>
      <c r="B111" s="110" t="s">
        <v>23</v>
      </c>
      <c r="C111" s="110" t="str">
        <f t="shared" si="12"/>
        <v>20110629FLST</v>
      </c>
      <c r="D111" s="110" t="s">
        <v>23</v>
      </c>
      <c r="E111" s="110" t="str">
        <f t="shared" si="13"/>
        <v>20110629FLST</v>
      </c>
      <c r="F111" s="83">
        <v>500</v>
      </c>
      <c r="G111" s="81">
        <v>3.4279999999999998E-2</v>
      </c>
      <c r="H111" s="81">
        <v>0</v>
      </c>
      <c r="I111" s="81">
        <v>0</v>
      </c>
      <c r="J111" s="81">
        <v>0</v>
      </c>
      <c r="K111" s="81">
        <v>0</v>
      </c>
      <c r="L111" s="81">
        <f>$L$84</f>
        <v>2.215E-2</v>
      </c>
      <c r="M111" s="81">
        <f>G111-K111-L111</f>
        <v>1.2129999999999998E-2</v>
      </c>
      <c r="N111" s="81">
        <f t="shared" si="10"/>
        <v>0</v>
      </c>
      <c r="O111" s="81">
        <f t="shared" si="10"/>
        <v>0</v>
      </c>
      <c r="P111" s="81">
        <f t="shared" si="10"/>
        <v>0</v>
      </c>
      <c r="Q111" s="83">
        <v>1</v>
      </c>
      <c r="R111" s="83">
        <v>1.75</v>
      </c>
      <c r="S111" s="83">
        <v>2.75</v>
      </c>
      <c r="T111" s="83">
        <f>T110</f>
        <v>0.11</v>
      </c>
      <c r="U111" s="83">
        <f>U110</f>
        <v>0.11</v>
      </c>
      <c r="V111" s="83">
        <f>V110</f>
        <v>0.11</v>
      </c>
      <c r="W111" s="83" t="e">
        <f>#REF!-T111</f>
        <v>#REF!</v>
      </c>
      <c r="X111" s="83" t="e">
        <f>#REF!-U111</f>
        <v>#REF!</v>
      </c>
      <c r="Y111" s="83" t="e">
        <f>#REF!-U111</f>
        <v>#REF!</v>
      </c>
    </row>
    <row r="112" spans="1:25">
      <c r="A112" s="80">
        <f t="shared" si="11"/>
        <v>20110629</v>
      </c>
      <c r="B112" s="110" t="s">
        <v>17</v>
      </c>
      <c r="C112" s="110" t="str">
        <f t="shared" si="12"/>
        <v>20110629LE</v>
      </c>
      <c r="D112" s="110" t="s">
        <v>433</v>
      </c>
      <c r="E112" s="110" t="str">
        <f t="shared" si="13"/>
        <v>20110629LGMLE570</v>
      </c>
      <c r="F112" s="83">
        <v>0</v>
      </c>
      <c r="G112" s="81">
        <v>5.6219999999999999E-2</v>
      </c>
      <c r="H112" s="81">
        <v>0</v>
      </c>
      <c r="I112" s="81">
        <v>0</v>
      </c>
      <c r="J112" s="81">
        <v>0</v>
      </c>
      <c r="K112" s="81">
        <v>5.1000000000000004E-4</v>
      </c>
      <c r="L112" s="81">
        <v>2.215E-2</v>
      </c>
      <c r="M112" s="81">
        <v>3.3559999999999993E-2</v>
      </c>
      <c r="N112" s="81">
        <f t="shared" si="10"/>
        <v>0</v>
      </c>
      <c r="O112" s="81">
        <f t="shared" si="10"/>
        <v>0</v>
      </c>
      <c r="P112" s="81">
        <f t="shared" si="10"/>
        <v>0</v>
      </c>
      <c r="Q112" s="83">
        <v>0</v>
      </c>
      <c r="R112" s="83">
        <v>0</v>
      </c>
      <c r="S112" s="83">
        <v>0</v>
      </c>
      <c r="T112" s="83">
        <v>0</v>
      </c>
      <c r="U112" s="83">
        <v>0</v>
      </c>
      <c r="V112" s="83">
        <v>0</v>
      </c>
      <c r="W112" s="83">
        <v>0</v>
      </c>
      <c r="X112" s="83">
        <v>0</v>
      </c>
      <c r="Y112" s="83">
        <v>0</v>
      </c>
    </row>
    <row r="113" spans="1:25">
      <c r="A113" s="80">
        <f t="shared" si="11"/>
        <v>20110629</v>
      </c>
      <c r="B113" s="110" t="s">
        <v>17</v>
      </c>
      <c r="C113" s="110" t="str">
        <f t="shared" si="12"/>
        <v>20110629LE</v>
      </c>
      <c r="D113" s="110" t="s">
        <v>434</v>
      </c>
      <c r="E113" s="110" t="str">
        <f t="shared" si="13"/>
        <v>20110629LGMLE571</v>
      </c>
      <c r="F113" s="83">
        <v>0</v>
      </c>
      <c r="G113" s="81">
        <v>5.6219999999999999E-2</v>
      </c>
      <c r="H113" s="81">
        <v>0</v>
      </c>
      <c r="I113" s="81">
        <v>0</v>
      </c>
      <c r="J113" s="81">
        <v>0</v>
      </c>
      <c r="K113" s="81">
        <v>5.1000000000000004E-4</v>
      </c>
      <c r="L113" s="81">
        <v>2.215E-2</v>
      </c>
      <c r="M113" s="81">
        <v>3.3559999999999993E-2</v>
      </c>
      <c r="N113" s="81">
        <f t="shared" si="10"/>
        <v>0</v>
      </c>
      <c r="O113" s="81">
        <f t="shared" si="10"/>
        <v>0</v>
      </c>
      <c r="P113" s="81">
        <f t="shared" si="10"/>
        <v>0</v>
      </c>
      <c r="Q113" s="83">
        <v>0</v>
      </c>
      <c r="R113" s="83">
        <v>0</v>
      </c>
      <c r="S113" s="83">
        <v>0</v>
      </c>
      <c r="T113" s="83">
        <v>0</v>
      </c>
      <c r="U113" s="83">
        <v>0</v>
      </c>
      <c r="V113" s="83">
        <v>0</v>
      </c>
      <c r="W113" s="83">
        <v>0</v>
      </c>
      <c r="X113" s="83">
        <v>0</v>
      </c>
      <c r="Y113" s="83">
        <v>0</v>
      </c>
    </row>
    <row r="114" spans="1:25">
      <c r="A114" s="80">
        <f t="shared" si="11"/>
        <v>20110629</v>
      </c>
      <c r="B114" s="110" t="s">
        <v>17</v>
      </c>
      <c r="C114" s="110" t="str">
        <f t="shared" si="12"/>
        <v>20110629LE</v>
      </c>
      <c r="D114" s="110" t="s">
        <v>435</v>
      </c>
      <c r="E114" s="110" t="str">
        <f t="shared" si="13"/>
        <v>20110629LGMLE572</v>
      </c>
      <c r="F114" s="83">
        <v>0</v>
      </c>
      <c r="G114" s="81">
        <v>5.6219999999999999E-2</v>
      </c>
      <c r="H114" s="81">
        <v>0</v>
      </c>
      <c r="I114" s="81">
        <v>0</v>
      </c>
      <c r="J114" s="81">
        <v>0</v>
      </c>
      <c r="K114" s="81">
        <v>5.1000000000000004E-4</v>
      </c>
      <c r="L114" s="81">
        <v>2.215E-2</v>
      </c>
      <c r="M114" s="81">
        <v>3.3559999999999993E-2</v>
      </c>
      <c r="N114" s="81">
        <f t="shared" si="10"/>
        <v>0</v>
      </c>
      <c r="O114" s="81">
        <f t="shared" si="10"/>
        <v>0</v>
      </c>
      <c r="P114" s="81">
        <f t="shared" si="10"/>
        <v>0</v>
      </c>
      <c r="Q114" s="83">
        <v>0</v>
      </c>
      <c r="R114" s="83">
        <v>0</v>
      </c>
      <c r="S114" s="83">
        <v>0</v>
      </c>
      <c r="T114" s="83">
        <v>0</v>
      </c>
      <c r="U114" s="83">
        <v>0</v>
      </c>
      <c r="V114" s="83">
        <v>0</v>
      </c>
      <c r="W114" s="83">
        <v>0</v>
      </c>
      <c r="X114" s="83">
        <v>0</v>
      </c>
      <c r="Y114" s="83">
        <v>0</v>
      </c>
    </row>
    <row r="115" spans="1:25">
      <c r="A115" s="80">
        <f t="shared" si="11"/>
        <v>20110629</v>
      </c>
      <c r="B115" s="110" t="s">
        <v>18</v>
      </c>
      <c r="C115" s="110" t="str">
        <f t="shared" si="12"/>
        <v>20110629TE</v>
      </c>
      <c r="D115" s="110" t="s">
        <v>436</v>
      </c>
      <c r="E115" s="110" t="str">
        <f t="shared" si="13"/>
        <v>20110629LGMLE573</v>
      </c>
      <c r="F115" s="83">
        <v>3.14</v>
      </c>
      <c r="G115" s="81">
        <v>6.7799999999999999E-2</v>
      </c>
      <c r="H115" s="81">
        <v>0</v>
      </c>
      <c r="I115" s="81">
        <v>0</v>
      </c>
      <c r="J115" s="81">
        <v>0</v>
      </c>
      <c r="K115" s="81">
        <v>5.1000000000000004E-4</v>
      </c>
      <c r="L115" s="81">
        <v>2.215E-2</v>
      </c>
      <c r="M115" s="81">
        <v>4.514E-2</v>
      </c>
      <c r="N115" s="81">
        <f t="shared" si="10"/>
        <v>0</v>
      </c>
      <c r="O115" s="81">
        <f t="shared" si="10"/>
        <v>0</v>
      </c>
      <c r="P115" s="81">
        <f t="shared" si="10"/>
        <v>0</v>
      </c>
      <c r="Q115" s="83">
        <v>0</v>
      </c>
      <c r="R115" s="83">
        <v>0</v>
      </c>
      <c r="S115" s="83">
        <v>0</v>
      </c>
      <c r="T115" s="83">
        <v>0</v>
      </c>
      <c r="U115" s="83">
        <v>0</v>
      </c>
      <c r="V115" s="83">
        <v>0</v>
      </c>
      <c r="W115" s="83">
        <v>0</v>
      </c>
      <c r="X115" s="83">
        <v>0</v>
      </c>
      <c r="Y115" s="83">
        <v>0</v>
      </c>
    </row>
    <row r="116" spans="1:25">
      <c r="A116" s="80">
        <f t="shared" si="11"/>
        <v>20110629</v>
      </c>
      <c r="B116" s="110" t="s">
        <v>18</v>
      </c>
      <c r="C116" s="110" t="str">
        <f t="shared" si="12"/>
        <v>20110629TE</v>
      </c>
      <c r="D116" s="110" t="s">
        <v>437</v>
      </c>
      <c r="E116" s="110" t="str">
        <f t="shared" si="13"/>
        <v>20110629LGMLE574</v>
      </c>
      <c r="F116" s="83">
        <f>$F$115</f>
        <v>3.14</v>
      </c>
      <c r="G116" s="81">
        <v>6.7799999999999999E-2</v>
      </c>
      <c r="H116" s="81">
        <v>0</v>
      </c>
      <c r="I116" s="81">
        <v>0</v>
      </c>
      <c r="J116" s="81">
        <v>0</v>
      </c>
      <c r="K116" s="81">
        <v>5.1000000000000004E-4</v>
      </c>
      <c r="L116" s="81">
        <v>2.215E-2</v>
      </c>
      <c r="M116" s="81">
        <v>4.514E-2</v>
      </c>
      <c r="N116" s="81">
        <f t="shared" si="10"/>
        <v>0</v>
      </c>
      <c r="O116" s="81">
        <f t="shared" si="10"/>
        <v>0</v>
      </c>
      <c r="P116" s="81">
        <f t="shared" si="10"/>
        <v>0</v>
      </c>
      <c r="Q116" s="83">
        <v>0</v>
      </c>
      <c r="R116" s="83">
        <v>0</v>
      </c>
      <c r="S116" s="83">
        <v>0</v>
      </c>
      <c r="T116" s="83">
        <v>0</v>
      </c>
      <c r="U116" s="83">
        <v>0</v>
      </c>
      <c r="V116" s="83">
        <v>0</v>
      </c>
      <c r="W116" s="83">
        <v>0</v>
      </c>
      <c r="X116" s="83">
        <v>0</v>
      </c>
      <c r="Y116" s="83">
        <v>0</v>
      </c>
    </row>
    <row r="117" spans="1:25">
      <c r="A117" s="80">
        <f t="shared" si="11"/>
        <v>20110629</v>
      </c>
      <c r="B117" s="110" t="s">
        <v>451</v>
      </c>
      <c r="C117" s="110" t="str">
        <f t="shared" si="12"/>
        <v>20110629FK</v>
      </c>
      <c r="D117" s="110" t="s">
        <v>426</v>
      </c>
      <c r="E117" s="110" t="str">
        <f t="shared" si="13"/>
        <v>20110629LGINE599</v>
      </c>
      <c r="F117" s="83">
        <v>0</v>
      </c>
      <c r="G117" s="81">
        <v>3.04E-2</v>
      </c>
      <c r="H117" s="81">
        <v>0</v>
      </c>
      <c r="I117" s="81">
        <v>0</v>
      </c>
      <c r="J117" s="81">
        <v>0</v>
      </c>
      <c r="K117" s="81">
        <v>0</v>
      </c>
      <c r="L117" s="81">
        <v>2.215E-2</v>
      </c>
      <c r="M117" s="81">
        <v>8.2500000000000004E-3</v>
      </c>
      <c r="N117" s="81">
        <f t="shared" si="10"/>
        <v>0</v>
      </c>
      <c r="O117" s="81">
        <f t="shared" si="10"/>
        <v>0</v>
      </c>
      <c r="P117" s="81">
        <f t="shared" si="10"/>
        <v>0</v>
      </c>
      <c r="Q117" s="83">
        <v>0</v>
      </c>
      <c r="R117" s="83">
        <v>11.63</v>
      </c>
      <c r="S117" s="83">
        <v>13.82</v>
      </c>
      <c r="T117" s="83"/>
      <c r="U117" s="83">
        <v>0.24</v>
      </c>
      <c r="V117" s="83">
        <v>0.24</v>
      </c>
      <c r="W117" s="83">
        <v>0</v>
      </c>
      <c r="X117" s="83">
        <v>11.39</v>
      </c>
      <c r="Y117" s="83">
        <v>13.58</v>
      </c>
    </row>
    <row r="118" spans="1:25">
      <c r="A118" s="80">
        <f t="shared" si="11"/>
        <v>20110629</v>
      </c>
      <c r="B118" s="110" t="s">
        <v>464</v>
      </c>
      <c r="C118" s="110" t="str">
        <f t="shared" si="12"/>
        <v>20110629LWC</v>
      </c>
      <c r="D118" s="110" t="s">
        <v>424</v>
      </c>
      <c r="E118" s="110" t="str">
        <f t="shared" si="13"/>
        <v>20110629LGCME671</v>
      </c>
      <c r="F118" s="83">
        <v>0</v>
      </c>
      <c r="G118" s="81">
        <v>3.039E-2</v>
      </c>
      <c r="H118" s="81">
        <v>0</v>
      </c>
      <c r="I118" s="81">
        <v>0</v>
      </c>
      <c r="J118" s="81">
        <v>0</v>
      </c>
      <c r="K118" s="81">
        <v>0</v>
      </c>
      <c r="L118" s="81">
        <v>2.215E-2</v>
      </c>
      <c r="M118" s="81">
        <v>8.2400000000000008E-3</v>
      </c>
      <c r="N118" s="81">
        <f t="shared" si="10"/>
        <v>0</v>
      </c>
      <c r="O118" s="81">
        <f t="shared" si="10"/>
        <v>0</v>
      </c>
      <c r="P118" s="81">
        <f t="shared" si="10"/>
        <v>0</v>
      </c>
      <c r="Q118" s="83">
        <v>0</v>
      </c>
      <c r="R118" s="83">
        <v>9.85</v>
      </c>
      <c r="S118" s="83">
        <v>9.85</v>
      </c>
      <c r="T118" s="83"/>
      <c r="U118" s="83">
        <v>0.22</v>
      </c>
      <c r="V118" s="83">
        <v>0.22</v>
      </c>
      <c r="W118" s="83">
        <v>0</v>
      </c>
      <c r="X118" s="83">
        <v>9.6300000000000008</v>
      </c>
      <c r="Y118" s="83">
        <v>9.6300000000000008</v>
      </c>
    </row>
    <row r="119" spans="1:25">
      <c r="A119" s="80">
        <f t="shared" si="11"/>
        <v>20110629</v>
      </c>
      <c r="B119" s="110" t="s">
        <v>680</v>
      </c>
      <c r="C119" s="110" t="str">
        <f t="shared" si="12"/>
        <v>20110629LEV</v>
      </c>
      <c r="D119" s="114" t="s">
        <v>755</v>
      </c>
      <c r="E119" s="110" t="str">
        <f t="shared" si="13"/>
        <v>20110629LGRSE543</v>
      </c>
      <c r="F119" s="83">
        <v>8.5</v>
      </c>
      <c r="G119" s="81">
        <v>5.0290000000000001E-2</v>
      </c>
      <c r="H119" s="81">
        <v>7.0529999999999995E-2</v>
      </c>
      <c r="I119" s="81">
        <v>0.13431000000000001</v>
      </c>
      <c r="J119" s="81">
        <v>0</v>
      </c>
      <c r="K119" s="81">
        <v>7.2999999999999996E-4</v>
      </c>
      <c r="L119" s="81">
        <v>2.215E-2</v>
      </c>
      <c r="M119" s="81">
        <f>G119-K119-L119</f>
        <v>2.741E-2</v>
      </c>
      <c r="N119" s="81">
        <v>4.7649999999999998E-2</v>
      </c>
      <c r="O119" s="81">
        <v>0.11142999999999999</v>
      </c>
      <c r="P119" s="81">
        <f t="shared" si="10"/>
        <v>0</v>
      </c>
      <c r="Q119" s="83">
        <v>0</v>
      </c>
      <c r="R119" s="83">
        <v>0</v>
      </c>
      <c r="S119" s="83">
        <v>0</v>
      </c>
      <c r="T119" s="83">
        <v>0</v>
      </c>
      <c r="U119" s="83">
        <v>0</v>
      </c>
      <c r="V119" s="83">
        <v>0</v>
      </c>
      <c r="W119" s="83">
        <v>0</v>
      </c>
      <c r="X119" s="83">
        <v>0</v>
      </c>
      <c r="Y119" s="83">
        <v>0</v>
      </c>
    </row>
    <row r="120" spans="1:25">
      <c r="A120" s="102">
        <v>20120301</v>
      </c>
      <c r="B120" s="111" t="s">
        <v>13</v>
      </c>
      <c r="C120" s="111" t="str">
        <f t="shared" si="12"/>
        <v>20120301RS</v>
      </c>
      <c r="D120" s="111" t="s">
        <v>438</v>
      </c>
      <c r="E120" s="111" t="str">
        <f t="shared" si="13"/>
        <v>20120301LGRSE411</v>
      </c>
      <c r="F120" s="103">
        <v>0</v>
      </c>
      <c r="G120" s="104">
        <v>7.2419999999999998E-2</v>
      </c>
      <c r="H120" s="104">
        <v>0</v>
      </c>
      <c r="I120" s="104">
        <v>0</v>
      </c>
      <c r="J120" s="104">
        <v>0</v>
      </c>
      <c r="K120" s="104">
        <v>6.9999999999999994E-5</v>
      </c>
      <c r="L120" s="107">
        <v>2.215E-2</v>
      </c>
      <c r="M120" s="104">
        <f t="shared" ref="M120:M160" si="14">G120-K120-L120</f>
        <v>5.0199999999999995E-2</v>
      </c>
      <c r="N120" s="104">
        <f t="shared" ref="N120:P157" si="15">IF(H120=0,0,H120-$K120-$L120)</f>
        <v>0</v>
      </c>
      <c r="O120" s="104">
        <f t="shared" si="15"/>
        <v>0</v>
      </c>
      <c r="P120" s="104">
        <f t="shared" si="15"/>
        <v>0</v>
      </c>
      <c r="Q120" s="103">
        <v>0</v>
      </c>
      <c r="R120" s="103">
        <v>0</v>
      </c>
      <c r="S120" s="103">
        <v>0</v>
      </c>
      <c r="T120" s="103">
        <v>0</v>
      </c>
      <c r="U120" s="103">
        <v>0</v>
      </c>
      <c r="V120" s="103">
        <v>0</v>
      </c>
      <c r="W120" s="103">
        <v>0</v>
      </c>
      <c r="X120" s="103">
        <v>0</v>
      </c>
      <c r="Y120" s="103">
        <v>0</v>
      </c>
    </row>
    <row r="121" spans="1:25">
      <c r="A121" s="102">
        <v>20120301</v>
      </c>
      <c r="B121" s="129" t="s">
        <v>456</v>
      </c>
      <c r="C121" s="111" t="str">
        <f t="shared" si="12"/>
        <v>20120301GSWH</v>
      </c>
      <c r="D121" s="111" t="s">
        <v>407</v>
      </c>
      <c r="E121" s="111" t="str">
        <f t="shared" si="13"/>
        <v>20120301LGCME451</v>
      </c>
      <c r="F121" s="103">
        <v>0</v>
      </c>
      <c r="G121" s="104">
        <v>8.2400000000000001E-2</v>
      </c>
      <c r="H121" s="104">
        <v>0</v>
      </c>
      <c r="I121" s="104">
        <v>0</v>
      </c>
      <c r="J121" s="104">
        <v>0</v>
      </c>
      <c r="K121" s="104">
        <v>9.0000000000000006E-5</v>
      </c>
      <c r="L121" s="104">
        <f>$L$83</f>
        <v>2.215E-2</v>
      </c>
      <c r="M121" s="104">
        <f t="shared" si="14"/>
        <v>6.0159999999999991E-2</v>
      </c>
      <c r="N121" s="104">
        <f t="shared" si="15"/>
        <v>0</v>
      </c>
      <c r="O121" s="104">
        <f t="shared" si="15"/>
        <v>0</v>
      </c>
      <c r="P121" s="104">
        <f t="shared" si="15"/>
        <v>0</v>
      </c>
      <c r="Q121" s="103">
        <v>0</v>
      </c>
      <c r="R121" s="103">
        <v>0</v>
      </c>
      <c r="S121" s="103">
        <v>0</v>
      </c>
      <c r="T121" s="103">
        <v>0</v>
      </c>
      <c r="U121" s="103">
        <v>0</v>
      </c>
      <c r="V121" s="103">
        <v>0</v>
      </c>
      <c r="W121" s="103">
        <v>0</v>
      </c>
      <c r="X121" s="103">
        <v>0</v>
      </c>
      <c r="Y121" s="103">
        <v>0</v>
      </c>
    </row>
    <row r="122" spans="1:25">
      <c r="A122" s="102">
        <v>20120301</v>
      </c>
      <c r="B122" s="111" t="s">
        <v>13</v>
      </c>
      <c r="C122" s="111" t="str">
        <f t="shared" si="12"/>
        <v>20120301RS</v>
      </c>
      <c r="D122" s="111" t="s">
        <v>439</v>
      </c>
      <c r="E122" s="111" t="str">
        <f t="shared" si="13"/>
        <v>20120301LGRSE511</v>
      </c>
      <c r="F122" s="103">
        <v>8.5</v>
      </c>
      <c r="G122" s="104">
        <v>7.2419999999999998E-2</v>
      </c>
      <c r="H122" s="104">
        <v>0</v>
      </c>
      <c r="I122" s="104">
        <v>0</v>
      </c>
      <c r="J122" s="104">
        <v>0</v>
      </c>
      <c r="K122" s="104">
        <v>6.9999999999999994E-5</v>
      </c>
      <c r="L122" s="107">
        <v>2.215E-2</v>
      </c>
      <c r="M122" s="104">
        <f t="shared" si="14"/>
        <v>5.0199999999999995E-2</v>
      </c>
      <c r="N122" s="104">
        <f t="shared" si="15"/>
        <v>0</v>
      </c>
      <c r="O122" s="104">
        <f t="shared" si="15"/>
        <v>0</v>
      </c>
      <c r="P122" s="104">
        <f t="shared" si="15"/>
        <v>0</v>
      </c>
      <c r="Q122" s="103">
        <v>0</v>
      </c>
      <c r="R122" s="103">
        <v>0</v>
      </c>
      <c r="S122" s="103">
        <v>0</v>
      </c>
      <c r="T122" s="103">
        <v>0</v>
      </c>
      <c r="U122" s="103">
        <v>0</v>
      </c>
      <c r="V122" s="103">
        <v>0</v>
      </c>
      <c r="W122" s="103">
        <v>0</v>
      </c>
      <c r="X122" s="103">
        <v>0</v>
      </c>
      <c r="Y122" s="103">
        <v>0</v>
      </c>
    </row>
    <row r="123" spans="1:25">
      <c r="A123" s="102">
        <v>20120301</v>
      </c>
      <c r="B123" s="111" t="s">
        <v>13</v>
      </c>
      <c r="C123" s="111" t="str">
        <f t="shared" si="12"/>
        <v>20120301RS</v>
      </c>
      <c r="D123" s="111" t="s">
        <v>440</v>
      </c>
      <c r="E123" s="111" t="str">
        <f t="shared" si="13"/>
        <v>20120301LGRSE519</v>
      </c>
      <c r="F123" s="103">
        <v>8.5</v>
      </c>
      <c r="G123" s="104">
        <v>7.2419999999999998E-2</v>
      </c>
      <c r="H123" s="104">
        <v>0</v>
      </c>
      <c r="I123" s="104">
        <v>0</v>
      </c>
      <c r="J123" s="104">
        <v>0</v>
      </c>
      <c r="K123" s="104">
        <v>6.9999999999999994E-5</v>
      </c>
      <c r="L123" s="107">
        <v>2.215E-2</v>
      </c>
      <c r="M123" s="104">
        <f t="shared" si="14"/>
        <v>5.0199999999999995E-2</v>
      </c>
      <c r="N123" s="104">
        <f t="shared" si="15"/>
        <v>0</v>
      </c>
      <c r="O123" s="104">
        <f t="shared" si="15"/>
        <v>0</v>
      </c>
      <c r="P123" s="104">
        <f t="shared" si="15"/>
        <v>0</v>
      </c>
      <c r="Q123" s="103">
        <v>0</v>
      </c>
      <c r="R123" s="103">
        <v>0</v>
      </c>
      <c r="S123" s="103">
        <v>0</v>
      </c>
      <c r="T123" s="103">
        <v>0</v>
      </c>
      <c r="U123" s="103">
        <v>0</v>
      </c>
      <c r="V123" s="103">
        <v>0</v>
      </c>
      <c r="W123" s="103">
        <v>0</v>
      </c>
      <c r="X123" s="103">
        <v>0</v>
      </c>
      <c r="Y123" s="103">
        <v>0</v>
      </c>
    </row>
    <row r="124" spans="1:25">
      <c r="A124" s="102">
        <v>20120301</v>
      </c>
      <c r="B124" s="111" t="s">
        <v>745</v>
      </c>
      <c r="C124" s="111" t="str">
        <f t="shared" si="12"/>
        <v>20120301VFD</v>
      </c>
      <c r="D124" s="111" t="s">
        <v>441</v>
      </c>
      <c r="E124" s="111" t="str">
        <f t="shared" si="13"/>
        <v>20120301LGRSE540</v>
      </c>
      <c r="F124" s="103">
        <v>8.5</v>
      </c>
      <c r="G124" s="104">
        <v>7.2419999999999998E-2</v>
      </c>
      <c r="H124" s="104">
        <v>0</v>
      </c>
      <c r="I124" s="104">
        <v>0</v>
      </c>
      <c r="J124" s="104">
        <v>0</v>
      </c>
      <c r="K124" s="104">
        <v>6.9999999999999994E-5</v>
      </c>
      <c r="L124" s="107">
        <v>2.215E-2</v>
      </c>
      <c r="M124" s="104">
        <f t="shared" si="14"/>
        <v>5.0199999999999995E-2</v>
      </c>
      <c r="N124" s="104">
        <f t="shared" si="15"/>
        <v>0</v>
      </c>
      <c r="O124" s="104">
        <f t="shared" si="15"/>
        <v>0</v>
      </c>
      <c r="P124" s="104">
        <f t="shared" si="15"/>
        <v>0</v>
      </c>
      <c r="Q124" s="103">
        <v>0</v>
      </c>
      <c r="R124" s="103">
        <v>0</v>
      </c>
      <c r="S124" s="103">
        <v>0</v>
      </c>
      <c r="T124" s="103">
        <v>0</v>
      </c>
      <c r="U124" s="103">
        <v>0</v>
      </c>
      <c r="V124" s="103">
        <v>0</v>
      </c>
      <c r="W124" s="103">
        <v>0</v>
      </c>
      <c r="X124" s="103">
        <v>0</v>
      </c>
      <c r="Y124" s="103">
        <v>0</v>
      </c>
    </row>
    <row r="125" spans="1:25">
      <c r="A125" s="102">
        <v>20120301</v>
      </c>
      <c r="B125" s="115" t="s">
        <v>465</v>
      </c>
      <c r="C125" s="111" t="str">
        <f t="shared" si="12"/>
        <v>20120301RRP</v>
      </c>
      <c r="D125" s="115" t="s">
        <v>442</v>
      </c>
      <c r="E125" s="111" t="str">
        <f t="shared" si="13"/>
        <v>20120301LGRSE541</v>
      </c>
      <c r="F125" s="103">
        <v>13.5</v>
      </c>
      <c r="G125" s="104">
        <v>5.0460000000000005E-2</v>
      </c>
      <c r="H125" s="104">
        <v>6.3420000000000004E-2</v>
      </c>
      <c r="I125" s="104">
        <v>0.12046999999999999</v>
      </c>
      <c r="J125" s="104">
        <v>0.32538</v>
      </c>
      <c r="K125" s="104">
        <v>6.9999999999999994E-5</v>
      </c>
      <c r="L125" s="107">
        <v>2.215E-2</v>
      </c>
      <c r="M125" s="104">
        <f t="shared" si="14"/>
        <v>2.8240000000000005E-2</v>
      </c>
      <c r="N125" s="104">
        <f>H125-K125-L125</f>
        <v>4.1200000000000001E-2</v>
      </c>
      <c r="O125" s="104">
        <f>I125-K125-L125</f>
        <v>9.824999999999999E-2</v>
      </c>
      <c r="P125" s="104">
        <f>J125-K125-L125</f>
        <v>0.30315999999999999</v>
      </c>
      <c r="Q125" s="103">
        <v>0</v>
      </c>
      <c r="R125" s="103">
        <v>0</v>
      </c>
      <c r="S125" s="103">
        <v>0</v>
      </c>
      <c r="T125" s="103">
        <v>0</v>
      </c>
      <c r="U125" s="103">
        <v>0</v>
      </c>
      <c r="V125" s="103">
        <v>0</v>
      </c>
      <c r="W125" s="103">
        <v>0</v>
      </c>
      <c r="X125" s="103">
        <v>0</v>
      </c>
      <c r="Y125" s="103">
        <v>0</v>
      </c>
    </row>
    <row r="126" spans="1:25">
      <c r="A126" s="102">
        <v>20120301</v>
      </c>
      <c r="B126" s="129" t="s">
        <v>883</v>
      </c>
      <c r="C126" s="111" t="str">
        <f t="shared" si="12"/>
        <v>20120301GSP</v>
      </c>
      <c r="D126" s="111" t="s">
        <v>408</v>
      </c>
      <c r="E126" s="111" t="str">
        <f t="shared" si="13"/>
        <v>20120301LGCME550</v>
      </c>
      <c r="F126" s="103">
        <v>17.5</v>
      </c>
      <c r="G126" s="104">
        <v>8.2400000000000001E-2</v>
      </c>
      <c r="H126" s="104">
        <v>0</v>
      </c>
      <c r="I126" s="104">
        <v>0</v>
      </c>
      <c r="J126" s="104">
        <v>0</v>
      </c>
      <c r="K126" s="104">
        <v>9.0000000000000006E-5</v>
      </c>
      <c r="L126" s="104">
        <v>2.215E-2</v>
      </c>
      <c r="M126" s="104">
        <f t="shared" si="14"/>
        <v>6.0159999999999991E-2</v>
      </c>
      <c r="N126" s="104">
        <f t="shared" si="15"/>
        <v>0</v>
      </c>
      <c r="O126" s="104">
        <f t="shared" si="15"/>
        <v>0</v>
      </c>
      <c r="P126" s="104">
        <f t="shared" si="15"/>
        <v>0</v>
      </c>
      <c r="Q126" s="103">
        <v>0</v>
      </c>
      <c r="R126" s="103">
        <v>0</v>
      </c>
      <c r="S126" s="103">
        <v>0</v>
      </c>
      <c r="T126" s="103">
        <v>0</v>
      </c>
      <c r="U126" s="103">
        <v>0</v>
      </c>
      <c r="V126" s="103">
        <v>0</v>
      </c>
      <c r="W126" s="103">
        <v>0</v>
      </c>
      <c r="X126" s="103">
        <v>0</v>
      </c>
      <c r="Y126" s="103">
        <v>0</v>
      </c>
    </row>
    <row r="127" spans="1:25">
      <c r="A127" s="102">
        <v>20120301</v>
      </c>
      <c r="B127" s="111" t="s">
        <v>453</v>
      </c>
      <c r="C127" s="111" t="str">
        <f t="shared" si="12"/>
        <v>20120301GSS</v>
      </c>
      <c r="D127" s="111" t="s">
        <v>409</v>
      </c>
      <c r="E127" s="111" t="str">
        <f t="shared" si="13"/>
        <v>20120301LGCME551</v>
      </c>
      <c r="F127" s="103">
        <v>17.5</v>
      </c>
      <c r="G127" s="104">
        <v>8.2400000000000001E-2</v>
      </c>
      <c r="H127" s="104">
        <v>0</v>
      </c>
      <c r="I127" s="104">
        <v>0</v>
      </c>
      <c r="J127" s="104">
        <v>0</v>
      </c>
      <c r="K127" s="104">
        <v>9.0000000000000006E-5</v>
      </c>
      <c r="L127" s="104">
        <v>2.215E-2</v>
      </c>
      <c r="M127" s="104">
        <f t="shared" si="14"/>
        <v>6.0159999999999991E-2</v>
      </c>
      <c r="N127" s="104">
        <f t="shared" si="15"/>
        <v>0</v>
      </c>
      <c r="O127" s="104">
        <f t="shared" si="15"/>
        <v>0</v>
      </c>
      <c r="P127" s="104">
        <f t="shared" si="15"/>
        <v>0</v>
      </c>
      <c r="Q127" s="103">
        <v>0</v>
      </c>
      <c r="R127" s="103">
        <v>0</v>
      </c>
      <c r="S127" s="103">
        <v>0</v>
      </c>
      <c r="T127" s="103">
        <v>0</v>
      </c>
      <c r="U127" s="103">
        <v>0</v>
      </c>
      <c r="V127" s="103">
        <v>0</v>
      </c>
      <c r="W127" s="103">
        <v>0</v>
      </c>
      <c r="X127" s="103">
        <v>0</v>
      </c>
      <c r="Y127" s="103">
        <v>0</v>
      </c>
    </row>
    <row r="128" spans="1:25">
      <c r="A128" s="102">
        <v>20120301</v>
      </c>
      <c r="B128" s="111" t="s">
        <v>882</v>
      </c>
      <c r="C128" s="111" t="str">
        <f t="shared" si="12"/>
        <v>20120301GSUM</v>
      </c>
      <c r="D128" s="111" t="s">
        <v>410</v>
      </c>
      <c r="E128" s="111" t="str">
        <f t="shared" si="13"/>
        <v>20120301LGCME551UM</v>
      </c>
      <c r="F128" s="103">
        <v>17.5</v>
      </c>
      <c r="G128" s="104">
        <v>8.2400000000000001E-2</v>
      </c>
      <c r="H128" s="104">
        <v>0</v>
      </c>
      <c r="I128" s="104">
        <v>0</v>
      </c>
      <c r="J128" s="104">
        <v>0</v>
      </c>
      <c r="K128" s="104">
        <v>9.0000000000000006E-5</v>
      </c>
      <c r="L128" s="104">
        <v>2.215E-2</v>
      </c>
      <c r="M128" s="104">
        <f t="shared" si="14"/>
        <v>6.0159999999999991E-2</v>
      </c>
      <c r="N128" s="104">
        <f t="shared" si="15"/>
        <v>0</v>
      </c>
      <c r="O128" s="104">
        <f t="shared" si="15"/>
        <v>0</v>
      </c>
      <c r="P128" s="104">
        <f t="shared" si="15"/>
        <v>0</v>
      </c>
      <c r="Q128" s="103">
        <v>0</v>
      </c>
      <c r="R128" s="103">
        <v>0</v>
      </c>
      <c r="S128" s="103">
        <v>0</v>
      </c>
      <c r="T128" s="103">
        <v>0</v>
      </c>
      <c r="U128" s="103">
        <v>0</v>
      </c>
      <c r="V128" s="103">
        <v>0</v>
      </c>
      <c r="W128" s="103">
        <v>0</v>
      </c>
      <c r="X128" s="103">
        <v>0</v>
      </c>
      <c r="Y128" s="103">
        <v>0</v>
      </c>
    </row>
    <row r="129" spans="1:25">
      <c r="A129" s="102">
        <v>20120301</v>
      </c>
      <c r="B129" s="129" t="s">
        <v>877</v>
      </c>
      <c r="C129" s="111" t="str">
        <f t="shared" si="12"/>
        <v>20120301GSNM</v>
      </c>
      <c r="D129" s="111" t="s">
        <v>413</v>
      </c>
      <c r="E129" s="111" t="str">
        <f t="shared" si="13"/>
        <v>20120301LGCME557</v>
      </c>
      <c r="F129" s="103">
        <v>17.5</v>
      </c>
      <c r="G129" s="104">
        <v>8.2400000000000001E-2</v>
      </c>
      <c r="H129" s="104">
        <v>0</v>
      </c>
      <c r="I129" s="104">
        <v>0</v>
      </c>
      <c r="J129" s="104">
        <v>0</v>
      </c>
      <c r="K129" s="104">
        <v>9.0000000000000006E-5</v>
      </c>
      <c r="L129" s="104">
        <v>2.215E-2</v>
      </c>
      <c r="M129" s="104">
        <f t="shared" si="14"/>
        <v>6.0159999999999991E-2</v>
      </c>
      <c r="N129" s="104">
        <f t="shared" si="15"/>
        <v>0</v>
      </c>
      <c r="O129" s="104">
        <f t="shared" si="15"/>
        <v>0</v>
      </c>
      <c r="P129" s="104">
        <f t="shared" si="15"/>
        <v>0</v>
      </c>
      <c r="Q129" s="103">
        <v>0</v>
      </c>
      <c r="R129" s="103">
        <v>0</v>
      </c>
      <c r="S129" s="103">
        <v>0</v>
      </c>
      <c r="T129" s="103">
        <v>0</v>
      </c>
      <c r="U129" s="103">
        <v>0</v>
      </c>
      <c r="V129" s="103">
        <v>0</v>
      </c>
      <c r="W129" s="103">
        <v>0</v>
      </c>
      <c r="X129" s="103">
        <v>0</v>
      </c>
      <c r="Y129" s="103">
        <v>0</v>
      </c>
    </row>
    <row r="130" spans="1:25">
      <c r="A130" s="102">
        <v>20120301</v>
      </c>
      <c r="B130" s="129" t="s">
        <v>455</v>
      </c>
      <c r="C130" s="111" t="str">
        <f t="shared" si="12"/>
        <v>20120301GSSH</v>
      </c>
      <c r="D130" s="111" t="s">
        <v>411</v>
      </c>
      <c r="E130" s="111" t="str">
        <f t="shared" si="13"/>
        <v>20120301LGCME552</v>
      </c>
      <c r="F130" s="103">
        <v>0</v>
      </c>
      <c r="G130" s="104">
        <v>8.2400000000000001E-2</v>
      </c>
      <c r="H130" s="104">
        <v>0</v>
      </c>
      <c r="I130" s="104">
        <v>0</v>
      </c>
      <c r="J130" s="104">
        <v>0</v>
      </c>
      <c r="K130" s="104">
        <v>9.0000000000000006E-5</v>
      </c>
      <c r="L130" s="104">
        <v>2.215E-2</v>
      </c>
      <c r="M130" s="104">
        <f t="shared" si="14"/>
        <v>6.0159999999999991E-2</v>
      </c>
      <c r="N130" s="104">
        <f t="shared" si="15"/>
        <v>0</v>
      </c>
      <c r="O130" s="104">
        <f t="shared" si="15"/>
        <v>0</v>
      </c>
      <c r="P130" s="104">
        <f t="shared" si="15"/>
        <v>0</v>
      </c>
      <c r="Q130" s="103">
        <v>0</v>
      </c>
      <c r="R130" s="103">
        <v>0</v>
      </c>
      <c r="S130" s="103">
        <v>0</v>
      </c>
      <c r="T130" s="103">
        <v>0</v>
      </c>
      <c r="U130" s="103">
        <v>0</v>
      </c>
      <c r="V130" s="103">
        <v>0</v>
      </c>
      <c r="W130" s="103">
        <v>0</v>
      </c>
      <c r="X130" s="103">
        <v>0</v>
      </c>
      <c r="Y130" s="103">
        <v>0</v>
      </c>
    </row>
    <row r="131" spans="1:25">
      <c r="A131" s="102">
        <v>20120301</v>
      </c>
      <c r="B131" s="129" t="s">
        <v>879</v>
      </c>
      <c r="C131" s="111" t="str">
        <f t="shared" si="12"/>
        <v>20120301GSRP</v>
      </c>
      <c r="D131" s="115" t="s">
        <v>412</v>
      </c>
      <c r="E131" s="111" t="str">
        <f t="shared" si="13"/>
        <v>20120301LGCME555</v>
      </c>
      <c r="F131" s="103">
        <v>27.5</v>
      </c>
      <c r="G131" s="104">
        <v>5.8380000000000001E-2</v>
      </c>
      <c r="H131" s="104">
        <v>7.4209999999999998E-2</v>
      </c>
      <c r="I131" s="104">
        <v>0.15323000000000001</v>
      </c>
      <c r="J131" s="104">
        <v>0.32972000000000001</v>
      </c>
      <c r="K131" s="104">
        <v>9.0000000000000006E-5</v>
      </c>
      <c r="L131" s="104">
        <v>2.215E-2</v>
      </c>
      <c r="M131" s="104">
        <f t="shared" si="14"/>
        <v>3.6140000000000005E-2</v>
      </c>
      <c r="N131" s="104">
        <f>H131-K131-L131</f>
        <v>5.1969999999999988E-2</v>
      </c>
      <c r="O131" s="104">
        <f>I131-K131-L131</f>
        <v>0.13099</v>
      </c>
      <c r="P131" s="104">
        <f>J131-K131-L131</f>
        <v>0.30748000000000003</v>
      </c>
      <c r="Q131" s="103">
        <v>0</v>
      </c>
      <c r="R131" s="103">
        <v>0</v>
      </c>
      <c r="S131" s="103">
        <v>0</v>
      </c>
      <c r="T131" s="103">
        <v>0</v>
      </c>
      <c r="U131" s="103">
        <v>0</v>
      </c>
      <c r="V131" s="103">
        <v>0</v>
      </c>
      <c r="W131" s="103">
        <v>0</v>
      </c>
      <c r="X131" s="103">
        <v>0</v>
      </c>
      <c r="Y131" s="103">
        <v>0</v>
      </c>
    </row>
    <row r="132" spans="1:25">
      <c r="A132" s="102">
        <v>20120301</v>
      </c>
      <c r="B132" s="129" t="s">
        <v>765</v>
      </c>
      <c r="C132" s="111" t="str">
        <f t="shared" si="12"/>
        <v>20120301GS3P</v>
      </c>
      <c r="D132" s="111" t="s">
        <v>419</v>
      </c>
      <c r="E132" s="111" t="str">
        <f t="shared" si="13"/>
        <v>20120301LGCME650</v>
      </c>
      <c r="F132" s="103">
        <v>32.5</v>
      </c>
      <c r="G132" s="104">
        <v>8.2400000000000001E-2</v>
      </c>
      <c r="H132" s="104">
        <v>0</v>
      </c>
      <c r="I132" s="104">
        <v>0</v>
      </c>
      <c r="J132" s="104">
        <v>0</v>
      </c>
      <c r="K132" s="104">
        <v>9.0000000000000006E-5</v>
      </c>
      <c r="L132" s="104">
        <v>2.215E-2</v>
      </c>
      <c r="M132" s="104">
        <f t="shared" si="14"/>
        <v>6.0159999999999991E-2</v>
      </c>
      <c r="N132" s="104">
        <f t="shared" si="15"/>
        <v>0</v>
      </c>
      <c r="O132" s="104">
        <f t="shared" si="15"/>
        <v>0</v>
      </c>
      <c r="P132" s="104">
        <f t="shared" si="15"/>
        <v>0</v>
      </c>
      <c r="Q132" s="103">
        <v>0</v>
      </c>
      <c r="R132" s="103">
        <v>0</v>
      </c>
      <c r="S132" s="103">
        <v>0</v>
      </c>
      <c r="T132" s="103">
        <v>0</v>
      </c>
      <c r="U132" s="103">
        <v>0</v>
      </c>
      <c r="V132" s="103">
        <v>0</v>
      </c>
      <c r="W132" s="103">
        <v>0</v>
      </c>
      <c r="X132" s="103">
        <v>0</v>
      </c>
      <c r="Y132" s="103">
        <v>0</v>
      </c>
    </row>
    <row r="133" spans="1:25">
      <c r="A133" s="102">
        <v>20120301</v>
      </c>
      <c r="B133" s="111" t="s">
        <v>14</v>
      </c>
      <c r="C133" s="111" t="str">
        <f t="shared" si="12"/>
        <v>20120301GS3</v>
      </c>
      <c r="D133" s="111" t="s">
        <v>420</v>
      </c>
      <c r="E133" s="111" t="str">
        <f t="shared" si="13"/>
        <v>20120301LGCME651</v>
      </c>
      <c r="F133" s="103">
        <v>32.5</v>
      </c>
      <c r="G133" s="104">
        <v>8.2400000000000001E-2</v>
      </c>
      <c r="H133" s="104">
        <v>0</v>
      </c>
      <c r="I133" s="104">
        <v>0</v>
      </c>
      <c r="J133" s="104">
        <v>0</v>
      </c>
      <c r="K133" s="104">
        <v>9.0000000000000006E-5</v>
      </c>
      <c r="L133" s="104">
        <v>2.215E-2</v>
      </c>
      <c r="M133" s="104">
        <f t="shared" si="14"/>
        <v>6.0159999999999991E-2</v>
      </c>
      <c r="N133" s="104">
        <f t="shared" si="15"/>
        <v>0</v>
      </c>
      <c r="O133" s="104">
        <f t="shared" si="15"/>
        <v>0</v>
      </c>
      <c r="P133" s="104">
        <f t="shared" si="15"/>
        <v>0</v>
      </c>
      <c r="Q133" s="103">
        <v>0</v>
      </c>
      <c r="R133" s="103">
        <v>0</v>
      </c>
      <c r="S133" s="103">
        <v>0</v>
      </c>
      <c r="T133" s="103">
        <v>0</v>
      </c>
      <c r="U133" s="103">
        <v>0</v>
      </c>
      <c r="V133" s="103">
        <v>0</v>
      </c>
      <c r="W133" s="103">
        <v>0</v>
      </c>
      <c r="X133" s="103">
        <v>0</v>
      </c>
      <c r="Y133" s="103">
        <v>0</v>
      </c>
    </row>
    <row r="134" spans="1:25">
      <c r="A134" s="102">
        <v>20120301</v>
      </c>
      <c r="B134" s="129" t="s">
        <v>859</v>
      </c>
      <c r="C134" s="111" t="str">
        <f t="shared" si="12"/>
        <v>20120301GS3NM</v>
      </c>
      <c r="D134" s="111" t="s">
        <v>423</v>
      </c>
      <c r="E134" s="111" t="str">
        <f t="shared" si="13"/>
        <v>20120301LGCME657</v>
      </c>
      <c r="F134" s="103">
        <v>32.5</v>
      </c>
      <c r="G134" s="104">
        <v>8.2400000000000001E-2</v>
      </c>
      <c r="H134" s="104">
        <v>0</v>
      </c>
      <c r="I134" s="104">
        <v>0</v>
      </c>
      <c r="J134" s="104">
        <v>0</v>
      </c>
      <c r="K134" s="104">
        <v>9.0000000000000006E-5</v>
      </c>
      <c r="L134" s="104">
        <v>2.215E-2</v>
      </c>
      <c r="M134" s="104">
        <f t="shared" si="14"/>
        <v>6.0159999999999991E-2</v>
      </c>
      <c r="N134" s="104">
        <f t="shared" si="15"/>
        <v>0</v>
      </c>
      <c r="O134" s="104">
        <f t="shared" si="15"/>
        <v>0</v>
      </c>
      <c r="P134" s="104">
        <f t="shared" si="15"/>
        <v>0</v>
      </c>
      <c r="Q134" s="103">
        <v>0</v>
      </c>
      <c r="R134" s="103">
        <v>0</v>
      </c>
      <c r="S134" s="103">
        <v>0</v>
      </c>
      <c r="T134" s="103">
        <v>0</v>
      </c>
      <c r="U134" s="103">
        <v>0</v>
      </c>
      <c r="V134" s="103">
        <v>0</v>
      </c>
      <c r="W134" s="103">
        <v>0</v>
      </c>
      <c r="X134" s="103">
        <v>0</v>
      </c>
      <c r="Y134" s="103">
        <v>0</v>
      </c>
    </row>
    <row r="135" spans="1:25">
      <c r="A135" s="102">
        <v>20120301</v>
      </c>
      <c r="B135" s="129" t="s">
        <v>858</v>
      </c>
      <c r="C135" s="111" t="str">
        <f t="shared" si="12"/>
        <v>20120301GS3SH</v>
      </c>
      <c r="D135" s="111" t="s">
        <v>421</v>
      </c>
      <c r="E135" s="111" t="str">
        <f t="shared" si="13"/>
        <v>20120301LGCME652</v>
      </c>
      <c r="F135" s="103">
        <v>0</v>
      </c>
      <c r="G135" s="104">
        <v>8.2400000000000001E-2</v>
      </c>
      <c r="H135" s="104">
        <v>0</v>
      </c>
      <c r="I135" s="104">
        <v>0</v>
      </c>
      <c r="J135" s="104">
        <v>0</v>
      </c>
      <c r="K135" s="104">
        <v>9.0000000000000006E-5</v>
      </c>
      <c r="L135" s="104">
        <v>2.215E-2</v>
      </c>
      <c r="M135" s="104">
        <f t="shared" si="14"/>
        <v>6.0159999999999991E-2</v>
      </c>
      <c r="N135" s="104">
        <f t="shared" si="15"/>
        <v>0</v>
      </c>
      <c r="O135" s="104">
        <f t="shared" si="15"/>
        <v>0</v>
      </c>
      <c r="P135" s="104">
        <f t="shared" si="15"/>
        <v>0</v>
      </c>
      <c r="Q135" s="103">
        <v>0</v>
      </c>
      <c r="R135" s="103">
        <v>0</v>
      </c>
      <c r="S135" s="103">
        <v>0</v>
      </c>
      <c r="T135" s="103">
        <v>0</v>
      </c>
      <c r="U135" s="103">
        <v>0</v>
      </c>
      <c r="V135" s="103">
        <v>0</v>
      </c>
      <c r="W135" s="103">
        <v>0</v>
      </c>
      <c r="X135" s="103">
        <v>0</v>
      </c>
      <c r="Y135" s="103">
        <v>0</v>
      </c>
    </row>
    <row r="136" spans="1:25">
      <c r="A136" s="102">
        <v>20120301</v>
      </c>
      <c r="B136" s="111" t="s">
        <v>716</v>
      </c>
      <c r="C136" s="111" t="str">
        <f t="shared" si="12"/>
        <v>20120301G3RP</v>
      </c>
      <c r="D136" s="115" t="s">
        <v>422</v>
      </c>
      <c r="E136" s="111" t="str">
        <f t="shared" si="13"/>
        <v>20120301LGCME656</v>
      </c>
      <c r="F136" s="103">
        <v>42.5</v>
      </c>
      <c r="G136" s="104">
        <v>5.8380000000000001E-2</v>
      </c>
      <c r="H136" s="104">
        <v>7.4209999999999998E-2</v>
      </c>
      <c r="I136" s="104">
        <v>0.15323000000000001</v>
      </c>
      <c r="J136" s="104">
        <v>0.32972000000000001</v>
      </c>
      <c r="K136" s="104">
        <v>9.0000000000000006E-5</v>
      </c>
      <c r="L136" s="104">
        <v>2.215E-2</v>
      </c>
      <c r="M136" s="104">
        <f t="shared" si="14"/>
        <v>3.6140000000000005E-2</v>
      </c>
      <c r="N136" s="104">
        <f>H136-K136-L136</f>
        <v>5.1969999999999988E-2</v>
      </c>
      <c r="O136" s="104">
        <f>I136-K136-L136</f>
        <v>0.13099</v>
      </c>
      <c r="P136" s="104">
        <f>J136-K136-L136</f>
        <v>0.30748000000000003</v>
      </c>
      <c r="Q136" s="103">
        <v>0</v>
      </c>
      <c r="R136" s="103">
        <v>0</v>
      </c>
      <c r="S136" s="103">
        <v>0</v>
      </c>
      <c r="T136" s="103">
        <v>0</v>
      </c>
      <c r="U136" s="103">
        <v>0</v>
      </c>
      <c r="V136" s="103">
        <v>0</v>
      </c>
      <c r="W136" s="103">
        <v>0</v>
      </c>
      <c r="X136" s="103">
        <v>0</v>
      </c>
      <c r="Y136" s="103">
        <v>0</v>
      </c>
    </row>
    <row r="137" spans="1:25">
      <c r="A137" s="102">
        <v>20120301</v>
      </c>
      <c r="B137" s="111" t="s">
        <v>20</v>
      </c>
      <c r="C137" s="111" t="str">
        <f t="shared" si="12"/>
        <v>20120301PSS</v>
      </c>
      <c r="D137" s="111" t="s">
        <v>414</v>
      </c>
      <c r="E137" s="111" t="str">
        <f t="shared" si="13"/>
        <v>20120301LGCME561</v>
      </c>
      <c r="F137" s="103">
        <v>90</v>
      </c>
      <c r="G137" s="104">
        <v>3.4209999999999997E-2</v>
      </c>
      <c r="H137" s="104">
        <v>0</v>
      </c>
      <c r="I137" s="104">
        <v>0</v>
      </c>
      <c r="J137" s="104">
        <v>0</v>
      </c>
      <c r="K137" s="104">
        <v>0</v>
      </c>
      <c r="L137" s="104">
        <f t="shared" ref="L137:L142" si="16">$L$83</f>
        <v>2.215E-2</v>
      </c>
      <c r="M137" s="104">
        <f t="shared" si="14"/>
        <v>1.2059999999999998E-2</v>
      </c>
      <c r="N137" s="104">
        <f t="shared" si="15"/>
        <v>0</v>
      </c>
      <c r="O137" s="104">
        <f t="shared" si="15"/>
        <v>0</v>
      </c>
      <c r="P137" s="104">
        <f t="shared" si="15"/>
        <v>0</v>
      </c>
      <c r="Q137" s="103">
        <v>0</v>
      </c>
      <c r="R137" s="103">
        <v>13.14</v>
      </c>
      <c r="S137" s="103">
        <v>15.39</v>
      </c>
      <c r="T137" s="103">
        <v>0</v>
      </c>
      <c r="U137" s="103">
        <v>0.03</v>
      </c>
      <c r="V137" s="103">
        <v>0.03</v>
      </c>
      <c r="W137" s="106">
        <v>0</v>
      </c>
      <c r="X137" s="106">
        <f t="shared" ref="X137:X150" si="17">R137-U137</f>
        <v>13.110000000000001</v>
      </c>
      <c r="Y137" s="106">
        <f t="shared" ref="Y137:Y150" si="18">S137-V137</f>
        <v>15.360000000000001</v>
      </c>
    </row>
    <row r="138" spans="1:25">
      <c r="A138" s="102">
        <v>20120301</v>
      </c>
      <c r="B138" s="111" t="s">
        <v>21</v>
      </c>
      <c r="C138" s="111" t="str">
        <f t="shared" si="12"/>
        <v>20120301PSP</v>
      </c>
      <c r="D138" s="111" t="s">
        <v>415</v>
      </c>
      <c r="E138" s="111" t="str">
        <f t="shared" si="13"/>
        <v>20120301LGCME563</v>
      </c>
      <c r="F138" s="103">
        <v>90</v>
      </c>
      <c r="G138" s="104">
        <v>3.4209999999999997E-2</v>
      </c>
      <c r="H138" s="104">
        <v>0</v>
      </c>
      <c r="I138" s="104">
        <v>0</v>
      </c>
      <c r="J138" s="104">
        <v>0</v>
      </c>
      <c r="K138" s="104">
        <v>0</v>
      </c>
      <c r="L138" s="104">
        <f t="shared" si="16"/>
        <v>2.215E-2</v>
      </c>
      <c r="M138" s="104">
        <f t="shared" si="14"/>
        <v>1.2059999999999998E-2</v>
      </c>
      <c r="N138" s="104">
        <f t="shared" si="15"/>
        <v>0</v>
      </c>
      <c r="O138" s="104">
        <f t="shared" si="15"/>
        <v>0</v>
      </c>
      <c r="P138" s="104">
        <f t="shared" si="15"/>
        <v>0</v>
      </c>
      <c r="Q138" s="103">
        <v>0</v>
      </c>
      <c r="R138" s="103">
        <v>11.31</v>
      </c>
      <c r="S138" s="103">
        <v>13.55</v>
      </c>
      <c r="T138" s="103">
        <v>0</v>
      </c>
      <c r="U138" s="103">
        <v>0.03</v>
      </c>
      <c r="V138" s="103">
        <v>0.03</v>
      </c>
      <c r="W138" s="106">
        <v>0</v>
      </c>
      <c r="X138" s="106">
        <f t="shared" si="17"/>
        <v>11.280000000000001</v>
      </c>
      <c r="Y138" s="106">
        <f t="shared" si="18"/>
        <v>13.520000000000001</v>
      </c>
    </row>
    <row r="139" spans="1:25">
      <c r="A139" s="102">
        <v>20120301</v>
      </c>
      <c r="B139" s="111" t="s">
        <v>20</v>
      </c>
      <c r="C139" s="111" t="str">
        <f t="shared" si="12"/>
        <v>20120301PSS</v>
      </c>
      <c r="D139" s="115" t="s">
        <v>416</v>
      </c>
      <c r="E139" s="111" t="str">
        <f t="shared" si="13"/>
        <v>20120301LGCME567</v>
      </c>
      <c r="F139" s="103">
        <v>90</v>
      </c>
      <c r="G139" s="104">
        <v>3.4209999999999997E-2</v>
      </c>
      <c r="H139" s="104">
        <v>0</v>
      </c>
      <c r="I139" s="104">
        <v>0</v>
      </c>
      <c r="J139" s="104">
        <v>0</v>
      </c>
      <c r="K139" s="104">
        <v>0</v>
      </c>
      <c r="L139" s="104">
        <f t="shared" si="16"/>
        <v>2.215E-2</v>
      </c>
      <c r="M139" s="104">
        <f t="shared" si="14"/>
        <v>1.2059999999999998E-2</v>
      </c>
      <c r="N139" s="104">
        <f t="shared" si="15"/>
        <v>0</v>
      </c>
      <c r="O139" s="104">
        <f t="shared" si="15"/>
        <v>0</v>
      </c>
      <c r="P139" s="104">
        <f t="shared" si="15"/>
        <v>0</v>
      </c>
      <c r="Q139" s="103">
        <v>0</v>
      </c>
      <c r="R139" s="103">
        <v>13.14</v>
      </c>
      <c r="S139" s="103">
        <v>15.39</v>
      </c>
      <c r="T139" s="103">
        <v>0</v>
      </c>
      <c r="U139" s="103">
        <v>0.03</v>
      </c>
      <c r="V139" s="103">
        <v>0.03</v>
      </c>
      <c r="W139" s="106">
        <v>0</v>
      </c>
      <c r="X139" s="106">
        <f t="shared" si="17"/>
        <v>13.110000000000001</v>
      </c>
      <c r="Y139" s="106">
        <f t="shared" si="18"/>
        <v>15.360000000000001</v>
      </c>
    </row>
    <row r="140" spans="1:25">
      <c r="A140" s="102">
        <v>20120301</v>
      </c>
      <c r="B140" s="115" t="s">
        <v>865</v>
      </c>
      <c r="C140" s="111" t="str">
        <f t="shared" si="12"/>
        <v>20120301PSPNM</v>
      </c>
      <c r="D140" s="115" t="s">
        <v>866</v>
      </c>
      <c r="E140" s="111" t="str">
        <f t="shared" si="13"/>
        <v>20120301LGCME569</v>
      </c>
      <c r="F140" s="103">
        <v>90</v>
      </c>
      <c r="G140" s="104">
        <v>3.4209999999999997E-2</v>
      </c>
      <c r="H140" s="104">
        <v>0</v>
      </c>
      <c r="I140" s="104">
        <v>0</v>
      </c>
      <c r="J140" s="104">
        <v>0</v>
      </c>
      <c r="K140" s="104">
        <v>0</v>
      </c>
      <c r="L140" s="104">
        <f t="shared" si="16"/>
        <v>2.215E-2</v>
      </c>
      <c r="M140" s="104">
        <f t="shared" si="14"/>
        <v>1.2059999999999998E-2</v>
      </c>
      <c r="N140" s="104">
        <f t="shared" si="15"/>
        <v>0</v>
      </c>
      <c r="O140" s="104">
        <f t="shared" si="15"/>
        <v>0</v>
      </c>
      <c r="P140" s="104">
        <f t="shared" si="15"/>
        <v>0</v>
      </c>
      <c r="Q140" s="103">
        <v>0</v>
      </c>
      <c r="R140" s="103">
        <v>11.31</v>
      </c>
      <c r="S140" s="103">
        <v>13.55</v>
      </c>
      <c r="T140" s="103">
        <v>0</v>
      </c>
      <c r="U140" s="103">
        <v>0.03</v>
      </c>
      <c r="V140" s="103">
        <v>0.03</v>
      </c>
      <c r="W140" s="106">
        <v>0</v>
      </c>
      <c r="X140" s="106">
        <f t="shared" si="17"/>
        <v>11.280000000000001</v>
      </c>
      <c r="Y140" s="106">
        <f t="shared" si="18"/>
        <v>13.520000000000001</v>
      </c>
    </row>
    <row r="141" spans="1:25">
      <c r="A141" s="102">
        <v>20120301</v>
      </c>
      <c r="B141" s="111" t="s">
        <v>449</v>
      </c>
      <c r="C141" s="111" t="str">
        <f t="shared" si="12"/>
        <v>20120301CTODS</v>
      </c>
      <c r="D141" s="111" t="s">
        <v>417</v>
      </c>
      <c r="E141" s="111" t="str">
        <f t="shared" si="13"/>
        <v>20120301LGCME591</v>
      </c>
      <c r="F141" s="103">
        <v>200</v>
      </c>
      <c r="G141" s="104">
        <v>3.3829999999999999E-2</v>
      </c>
      <c r="H141" s="104">
        <v>0</v>
      </c>
      <c r="I141" s="104">
        <v>0</v>
      </c>
      <c r="J141" s="104">
        <v>0</v>
      </c>
      <c r="K141" s="104">
        <v>0</v>
      </c>
      <c r="L141" s="104">
        <f t="shared" si="16"/>
        <v>2.215E-2</v>
      </c>
      <c r="M141" s="104">
        <f t="shared" si="14"/>
        <v>1.1679999999999999E-2</v>
      </c>
      <c r="N141" s="104">
        <f t="shared" si="15"/>
        <v>0</v>
      </c>
      <c r="O141" s="104">
        <f t="shared" si="15"/>
        <v>0</v>
      </c>
      <c r="P141" s="104">
        <f t="shared" si="15"/>
        <v>0</v>
      </c>
      <c r="Q141" s="103">
        <v>3.76</v>
      </c>
      <c r="R141" s="103">
        <v>4.25</v>
      </c>
      <c r="S141" s="103">
        <v>5.78</v>
      </c>
      <c r="T141" s="103">
        <v>0.01</v>
      </c>
      <c r="U141" s="103">
        <v>0.01</v>
      </c>
      <c r="V141" s="103">
        <v>0.01</v>
      </c>
      <c r="W141" s="106">
        <f>Q141-T141</f>
        <v>3.75</v>
      </c>
      <c r="X141" s="106">
        <f t="shared" si="17"/>
        <v>4.24</v>
      </c>
      <c r="Y141" s="106">
        <f t="shared" si="18"/>
        <v>5.7700000000000005</v>
      </c>
    </row>
    <row r="142" spans="1:25">
      <c r="A142" s="102">
        <v>20120301</v>
      </c>
      <c r="B142" s="111" t="s">
        <v>448</v>
      </c>
      <c r="C142" s="111" t="str">
        <f t="shared" si="12"/>
        <v>20120301CTODP</v>
      </c>
      <c r="D142" s="111" t="s">
        <v>418</v>
      </c>
      <c r="E142" s="111" t="str">
        <f t="shared" si="13"/>
        <v>20120301LGCME593</v>
      </c>
      <c r="F142" s="103">
        <f>$F$102</f>
        <v>200</v>
      </c>
      <c r="G142" s="104">
        <v>3.3829999999999999E-2</v>
      </c>
      <c r="H142" s="104">
        <v>0</v>
      </c>
      <c r="I142" s="104">
        <v>0</v>
      </c>
      <c r="J142" s="104">
        <v>0</v>
      </c>
      <c r="K142" s="104">
        <v>0</v>
      </c>
      <c r="L142" s="104">
        <f t="shared" si="16"/>
        <v>2.215E-2</v>
      </c>
      <c r="M142" s="104">
        <f t="shared" si="14"/>
        <v>1.1679999999999999E-2</v>
      </c>
      <c r="N142" s="104">
        <f t="shared" si="15"/>
        <v>0</v>
      </c>
      <c r="O142" s="104">
        <f t="shared" si="15"/>
        <v>0</v>
      </c>
      <c r="P142" s="104">
        <f t="shared" si="15"/>
        <v>0</v>
      </c>
      <c r="Q142" s="103">
        <v>2.59</v>
      </c>
      <c r="R142" s="103">
        <v>4.1500000000000004</v>
      </c>
      <c r="S142" s="103">
        <v>5.65</v>
      </c>
      <c r="T142" s="103">
        <v>0.01</v>
      </c>
      <c r="U142" s="103">
        <v>0.01</v>
      </c>
      <c r="V142" s="103">
        <v>0.01</v>
      </c>
      <c r="W142" s="106">
        <f>Q142-T142</f>
        <v>2.58</v>
      </c>
      <c r="X142" s="106">
        <f t="shared" si="17"/>
        <v>4.1400000000000006</v>
      </c>
      <c r="Y142" s="106">
        <f t="shared" si="18"/>
        <v>5.6400000000000006</v>
      </c>
    </row>
    <row r="143" spans="1:25">
      <c r="A143" s="102">
        <v>20120301</v>
      </c>
      <c r="B143" s="111" t="s">
        <v>20</v>
      </c>
      <c r="C143" s="111" t="str">
        <f t="shared" si="12"/>
        <v>20120301PSS</v>
      </c>
      <c r="D143" s="111" t="s">
        <v>428</v>
      </c>
      <c r="E143" s="111" t="str">
        <f t="shared" si="13"/>
        <v>20120301LGINE661</v>
      </c>
      <c r="F143" s="103">
        <v>90</v>
      </c>
      <c r="G143" s="104">
        <v>3.4209999999999997E-2</v>
      </c>
      <c r="H143" s="104">
        <v>0</v>
      </c>
      <c r="I143" s="104">
        <v>0</v>
      </c>
      <c r="J143" s="104">
        <v>0</v>
      </c>
      <c r="K143" s="104">
        <v>0</v>
      </c>
      <c r="L143" s="104">
        <v>2.215E-2</v>
      </c>
      <c r="M143" s="107">
        <f t="shared" si="14"/>
        <v>1.2059999999999998E-2</v>
      </c>
      <c r="N143" s="104">
        <f t="shared" si="15"/>
        <v>0</v>
      </c>
      <c r="O143" s="104">
        <f t="shared" si="15"/>
        <v>0</v>
      </c>
      <c r="P143" s="104">
        <f t="shared" si="15"/>
        <v>0</v>
      </c>
      <c r="Q143" s="103">
        <v>0</v>
      </c>
      <c r="R143" s="103">
        <v>13.14</v>
      </c>
      <c r="S143" s="103">
        <v>15.39</v>
      </c>
      <c r="T143" s="103">
        <v>0</v>
      </c>
      <c r="U143" s="103">
        <v>0.03</v>
      </c>
      <c r="V143" s="103">
        <v>0.03</v>
      </c>
      <c r="W143" s="106">
        <v>0</v>
      </c>
      <c r="X143" s="106">
        <f t="shared" si="17"/>
        <v>13.110000000000001</v>
      </c>
      <c r="Y143" s="106">
        <f t="shared" si="18"/>
        <v>15.360000000000001</v>
      </c>
    </row>
    <row r="144" spans="1:25">
      <c r="A144" s="102">
        <v>20120301</v>
      </c>
      <c r="B144" s="111" t="s">
        <v>21</v>
      </c>
      <c r="C144" s="111" t="str">
        <f t="shared" si="12"/>
        <v>20120301PSP</v>
      </c>
      <c r="D144" s="111" t="s">
        <v>429</v>
      </c>
      <c r="E144" s="111" t="str">
        <f t="shared" si="13"/>
        <v>20120301LGINE663</v>
      </c>
      <c r="F144" s="103">
        <v>90</v>
      </c>
      <c r="G144" s="104">
        <v>3.4209999999999997E-2</v>
      </c>
      <c r="H144" s="104">
        <v>0</v>
      </c>
      <c r="I144" s="104">
        <v>0</v>
      </c>
      <c r="J144" s="104">
        <v>0</v>
      </c>
      <c r="K144" s="104">
        <v>0</v>
      </c>
      <c r="L144" s="104">
        <v>2.215E-2</v>
      </c>
      <c r="M144" s="107">
        <f t="shared" si="14"/>
        <v>1.2059999999999998E-2</v>
      </c>
      <c r="N144" s="104">
        <f t="shared" si="15"/>
        <v>0</v>
      </c>
      <c r="O144" s="104">
        <f t="shared" si="15"/>
        <v>0</v>
      </c>
      <c r="P144" s="104">
        <f t="shared" si="15"/>
        <v>0</v>
      </c>
      <c r="Q144" s="103">
        <v>0</v>
      </c>
      <c r="R144" s="103">
        <v>11.31</v>
      </c>
      <c r="S144" s="103">
        <v>13.55</v>
      </c>
      <c r="T144" s="103">
        <v>0</v>
      </c>
      <c r="U144" s="103">
        <v>0.03</v>
      </c>
      <c r="V144" s="103">
        <v>0.03</v>
      </c>
      <c r="W144" s="106">
        <v>0</v>
      </c>
      <c r="X144" s="106">
        <f t="shared" si="17"/>
        <v>11.280000000000001</v>
      </c>
      <c r="Y144" s="106">
        <f t="shared" si="18"/>
        <v>13.520000000000001</v>
      </c>
    </row>
    <row r="145" spans="1:25">
      <c r="A145" s="102">
        <v>20120301</v>
      </c>
      <c r="B145" s="111" t="s">
        <v>461</v>
      </c>
      <c r="C145" s="111" t="str">
        <f t="shared" si="12"/>
        <v>20120301ITODS</v>
      </c>
      <c r="D145" s="111" t="s">
        <v>430</v>
      </c>
      <c r="E145" s="111" t="str">
        <f t="shared" si="13"/>
        <v>20120301LGINE691</v>
      </c>
      <c r="F145" s="103">
        <v>300</v>
      </c>
      <c r="G145" s="107">
        <v>2.9839999999999998E-2</v>
      </c>
      <c r="H145" s="104">
        <v>0</v>
      </c>
      <c r="I145" s="104">
        <v>0</v>
      </c>
      <c r="J145" s="104">
        <v>0</v>
      </c>
      <c r="K145" s="104">
        <v>0</v>
      </c>
      <c r="L145" s="107">
        <v>2.215E-2</v>
      </c>
      <c r="M145" s="107">
        <f t="shared" si="14"/>
        <v>7.6899999999999989E-3</v>
      </c>
      <c r="N145" s="104">
        <f t="shared" si="15"/>
        <v>0</v>
      </c>
      <c r="O145" s="104">
        <f t="shared" si="15"/>
        <v>0</v>
      </c>
      <c r="P145" s="104">
        <f t="shared" si="15"/>
        <v>0</v>
      </c>
      <c r="Q145" s="103">
        <v>5.46</v>
      </c>
      <c r="R145" s="103">
        <v>3.68</v>
      </c>
      <c r="S145" s="103">
        <v>5.18</v>
      </c>
      <c r="T145" s="103">
        <v>0.01</v>
      </c>
      <c r="U145" s="103">
        <v>0.01</v>
      </c>
      <c r="V145" s="103">
        <v>0.01</v>
      </c>
      <c r="W145" s="106">
        <f t="shared" ref="W145:W150" si="19">Q145-T145</f>
        <v>5.45</v>
      </c>
      <c r="X145" s="106">
        <f t="shared" si="17"/>
        <v>3.6700000000000004</v>
      </c>
      <c r="Y145" s="106">
        <f t="shared" si="18"/>
        <v>5.17</v>
      </c>
    </row>
    <row r="146" spans="1:25">
      <c r="A146" s="102">
        <v>20120301</v>
      </c>
      <c r="B146" s="111" t="s">
        <v>460</v>
      </c>
      <c r="C146" s="111" t="str">
        <f t="shared" si="12"/>
        <v>20120301ITODP</v>
      </c>
      <c r="D146" s="111" t="s">
        <v>431</v>
      </c>
      <c r="E146" s="111" t="str">
        <f t="shared" si="13"/>
        <v>20120301LGINE693</v>
      </c>
      <c r="F146" s="103">
        <f>$F$106</f>
        <v>300</v>
      </c>
      <c r="G146" s="107">
        <v>2.9839999999999998E-2</v>
      </c>
      <c r="H146" s="104">
        <v>0</v>
      </c>
      <c r="I146" s="104">
        <v>0</v>
      </c>
      <c r="J146" s="104">
        <v>0</v>
      </c>
      <c r="K146" s="104">
        <v>0</v>
      </c>
      <c r="L146" s="107">
        <v>2.215E-2</v>
      </c>
      <c r="M146" s="107">
        <f t="shared" si="14"/>
        <v>7.6899999999999989E-3</v>
      </c>
      <c r="N146" s="104">
        <f t="shared" si="15"/>
        <v>0</v>
      </c>
      <c r="O146" s="104">
        <f t="shared" si="15"/>
        <v>0</v>
      </c>
      <c r="P146" s="104">
        <f t="shared" si="15"/>
        <v>0</v>
      </c>
      <c r="Q146" s="103">
        <v>4.17</v>
      </c>
      <c r="R146" s="103">
        <v>7.32</v>
      </c>
      <c r="S146" s="103">
        <v>10.119999999999999</v>
      </c>
      <c r="T146" s="103">
        <v>0.01</v>
      </c>
      <c r="U146" s="103">
        <v>0.01</v>
      </c>
      <c r="V146" s="103">
        <v>0.01</v>
      </c>
      <c r="W146" s="106">
        <f t="shared" si="19"/>
        <v>4.16</v>
      </c>
      <c r="X146" s="106">
        <f t="shared" si="17"/>
        <v>7.3100000000000005</v>
      </c>
      <c r="Y146" s="106">
        <f t="shared" si="18"/>
        <v>10.11</v>
      </c>
    </row>
    <row r="147" spans="1:25">
      <c r="A147" s="102">
        <v>20120301</v>
      </c>
      <c r="B147" s="111" t="s">
        <v>460</v>
      </c>
      <c r="C147" s="111" t="str">
        <f t="shared" si="12"/>
        <v>20120301ITODP</v>
      </c>
      <c r="D147" s="111" t="s">
        <v>432</v>
      </c>
      <c r="E147" s="111" t="str">
        <f t="shared" si="13"/>
        <v>20120301LGINE694</v>
      </c>
      <c r="F147" s="103">
        <f>$F$106</f>
        <v>300</v>
      </c>
      <c r="G147" s="107">
        <v>2.9839999999999998E-2</v>
      </c>
      <c r="H147" s="104">
        <v>0</v>
      </c>
      <c r="I147" s="104">
        <v>0</v>
      </c>
      <c r="J147" s="104">
        <v>0</v>
      </c>
      <c r="K147" s="104">
        <v>0</v>
      </c>
      <c r="L147" s="107">
        <v>2.215E-2</v>
      </c>
      <c r="M147" s="107">
        <f t="shared" si="14"/>
        <v>7.6899999999999989E-3</v>
      </c>
      <c r="N147" s="104">
        <f t="shared" si="15"/>
        <v>0</v>
      </c>
      <c r="O147" s="104">
        <f t="shared" si="15"/>
        <v>0</v>
      </c>
      <c r="P147" s="104">
        <f t="shared" si="15"/>
        <v>0</v>
      </c>
      <c r="Q147" s="103">
        <v>4.17</v>
      </c>
      <c r="R147" s="103">
        <v>7.32</v>
      </c>
      <c r="S147" s="103">
        <v>10.119999999999999</v>
      </c>
      <c r="T147" s="103">
        <v>0.01</v>
      </c>
      <c r="U147" s="103">
        <v>0.01</v>
      </c>
      <c r="V147" s="103">
        <v>0.01</v>
      </c>
      <c r="W147" s="106">
        <f t="shared" si="19"/>
        <v>4.16</v>
      </c>
      <c r="X147" s="106">
        <f t="shared" si="17"/>
        <v>7.3100000000000005</v>
      </c>
      <c r="Y147" s="106">
        <f t="shared" si="18"/>
        <v>10.11</v>
      </c>
    </row>
    <row r="148" spans="1:25">
      <c r="A148" s="102">
        <v>20120301</v>
      </c>
      <c r="B148" s="111" t="s">
        <v>15</v>
      </c>
      <c r="C148" s="111" t="str">
        <f t="shared" si="12"/>
        <v>20120301RTS</v>
      </c>
      <c r="D148" s="111" t="s">
        <v>427</v>
      </c>
      <c r="E148" s="111" t="str">
        <f t="shared" si="13"/>
        <v>20120301LGINE643</v>
      </c>
      <c r="F148" s="103">
        <v>500</v>
      </c>
      <c r="G148" s="104">
        <v>2.9839999999999998E-2</v>
      </c>
      <c r="H148" s="104">
        <v>0</v>
      </c>
      <c r="I148" s="104">
        <v>0</v>
      </c>
      <c r="J148" s="104">
        <v>0</v>
      </c>
      <c r="K148" s="104">
        <v>0</v>
      </c>
      <c r="L148" s="104">
        <v>2.215E-2</v>
      </c>
      <c r="M148" s="104">
        <f t="shared" si="14"/>
        <v>7.6899999999999989E-3</v>
      </c>
      <c r="N148" s="104">
        <f t="shared" si="15"/>
        <v>0</v>
      </c>
      <c r="O148" s="104">
        <f t="shared" si="15"/>
        <v>0</v>
      </c>
      <c r="P148" s="104">
        <f t="shared" si="15"/>
        <v>0</v>
      </c>
      <c r="Q148" s="103">
        <v>2.57</v>
      </c>
      <c r="R148" s="103">
        <v>2.82</v>
      </c>
      <c r="S148" s="103">
        <v>4.32</v>
      </c>
      <c r="T148" s="103">
        <v>0.01</v>
      </c>
      <c r="U148" s="103">
        <v>0.01</v>
      </c>
      <c r="V148" s="103">
        <v>0.01</v>
      </c>
      <c r="W148" s="106">
        <f t="shared" si="19"/>
        <v>2.56</v>
      </c>
      <c r="X148" s="106">
        <f t="shared" si="17"/>
        <v>2.81</v>
      </c>
      <c r="Y148" s="106">
        <f t="shared" si="18"/>
        <v>4.3100000000000005</v>
      </c>
    </row>
    <row r="149" spans="1:25">
      <c r="A149" s="102">
        <v>20120301</v>
      </c>
      <c r="B149" s="111" t="s">
        <v>22</v>
      </c>
      <c r="C149" s="111" t="str">
        <f t="shared" si="12"/>
        <v>20120301FLSP</v>
      </c>
      <c r="D149" s="115" t="s">
        <v>867</v>
      </c>
      <c r="E149" s="111" t="str">
        <f t="shared" si="13"/>
        <v>20120301LGINE682</v>
      </c>
      <c r="F149" s="103">
        <v>500</v>
      </c>
      <c r="G149" s="104">
        <v>3.7100000000000001E-2</v>
      </c>
      <c r="H149" s="104">
        <v>0</v>
      </c>
      <c r="I149" s="104">
        <v>0</v>
      </c>
      <c r="J149" s="104">
        <v>0</v>
      </c>
      <c r="K149" s="104">
        <v>0</v>
      </c>
      <c r="L149" s="104">
        <v>2.215E-2</v>
      </c>
      <c r="M149" s="104">
        <f t="shared" si="14"/>
        <v>1.4950000000000001E-2</v>
      </c>
      <c r="N149" s="104">
        <f t="shared" si="15"/>
        <v>0</v>
      </c>
      <c r="O149" s="104">
        <f t="shared" si="15"/>
        <v>0</v>
      </c>
      <c r="P149" s="104">
        <f t="shared" si="15"/>
        <v>0</v>
      </c>
      <c r="Q149" s="103">
        <v>1.71</v>
      </c>
      <c r="R149" s="103">
        <v>1.71</v>
      </c>
      <c r="S149" s="103">
        <v>2.71</v>
      </c>
      <c r="T149" s="103">
        <v>0.01</v>
      </c>
      <c r="U149" s="103">
        <v>0.01</v>
      </c>
      <c r="V149" s="103">
        <v>0.01</v>
      </c>
      <c r="W149" s="106">
        <f t="shared" si="19"/>
        <v>1.7</v>
      </c>
      <c r="X149" s="106">
        <f t="shared" si="17"/>
        <v>1.7</v>
      </c>
      <c r="Y149" s="106">
        <f t="shared" si="18"/>
        <v>2.7</v>
      </c>
    </row>
    <row r="150" spans="1:25">
      <c r="A150" s="102">
        <v>20120301</v>
      </c>
      <c r="B150" s="111" t="s">
        <v>23</v>
      </c>
      <c r="C150" s="111" t="str">
        <f t="shared" si="12"/>
        <v>20120301FLST</v>
      </c>
      <c r="D150" s="115" t="s">
        <v>868</v>
      </c>
      <c r="E150" s="111" t="str">
        <f t="shared" si="13"/>
        <v>20120301LGINE683</v>
      </c>
      <c r="F150" s="103">
        <v>500</v>
      </c>
      <c r="G150" s="104">
        <v>3.4279999999999998E-2</v>
      </c>
      <c r="H150" s="104">
        <v>0</v>
      </c>
      <c r="I150" s="104">
        <v>0</v>
      </c>
      <c r="J150" s="104">
        <v>0</v>
      </c>
      <c r="K150" s="104">
        <v>0</v>
      </c>
      <c r="L150" s="104">
        <v>2.215E-2</v>
      </c>
      <c r="M150" s="104">
        <f t="shared" si="14"/>
        <v>1.2129999999999998E-2</v>
      </c>
      <c r="N150" s="104">
        <f t="shared" si="15"/>
        <v>0</v>
      </c>
      <c r="O150" s="104">
        <f t="shared" si="15"/>
        <v>0</v>
      </c>
      <c r="P150" s="104">
        <f t="shared" si="15"/>
        <v>0</v>
      </c>
      <c r="Q150" s="103">
        <v>0.96</v>
      </c>
      <c r="R150" s="103">
        <v>1.71</v>
      </c>
      <c r="S150" s="103">
        <v>2.71</v>
      </c>
      <c r="T150" s="103">
        <v>0.01</v>
      </c>
      <c r="U150" s="103">
        <v>0.01</v>
      </c>
      <c r="V150" s="103">
        <v>0.01</v>
      </c>
      <c r="W150" s="106">
        <f t="shared" si="19"/>
        <v>0.95</v>
      </c>
      <c r="X150" s="106">
        <f t="shared" si="17"/>
        <v>1.7</v>
      </c>
      <c r="Y150" s="106">
        <f t="shared" si="18"/>
        <v>2.7</v>
      </c>
    </row>
    <row r="151" spans="1:25">
      <c r="A151" s="102">
        <v>20120301</v>
      </c>
      <c r="B151" s="111" t="s">
        <v>17</v>
      </c>
      <c r="C151" s="111" t="str">
        <f t="shared" si="12"/>
        <v>20120301LE</v>
      </c>
      <c r="D151" s="111" t="s">
        <v>433</v>
      </c>
      <c r="E151" s="111" t="str">
        <f t="shared" si="13"/>
        <v>20120301LGMLE570</v>
      </c>
      <c r="F151" s="103">
        <v>0</v>
      </c>
      <c r="G151" s="104">
        <v>5.6460000000000003E-2</v>
      </c>
      <c r="H151" s="104">
        <v>0</v>
      </c>
      <c r="I151" s="104">
        <v>0</v>
      </c>
      <c r="J151" s="104">
        <v>0</v>
      </c>
      <c r="K151" s="104">
        <v>6.0000000000000002E-5</v>
      </c>
      <c r="L151" s="107">
        <v>2.215E-2</v>
      </c>
      <c r="M151" s="107">
        <f t="shared" si="14"/>
        <v>3.4250000000000003E-2</v>
      </c>
      <c r="N151" s="104">
        <f t="shared" si="15"/>
        <v>0</v>
      </c>
      <c r="O151" s="104">
        <f t="shared" si="15"/>
        <v>0</v>
      </c>
      <c r="P151" s="104">
        <f t="shared" si="15"/>
        <v>0</v>
      </c>
      <c r="Q151" s="103">
        <v>0</v>
      </c>
      <c r="R151" s="103">
        <v>0</v>
      </c>
      <c r="S151" s="103">
        <v>0</v>
      </c>
      <c r="T151" s="103">
        <v>0</v>
      </c>
      <c r="U151" s="103">
        <v>0</v>
      </c>
      <c r="V151" s="103">
        <v>0</v>
      </c>
      <c r="W151" s="103">
        <v>0</v>
      </c>
      <c r="X151" s="103">
        <v>0</v>
      </c>
      <c r="Y151" s="103">
        <v>0</v>
      </c>
    </row>
    <row r="152" spans="1:25">
      <c r="A152" s="102">
        <v>20120301</v>
      </c>
      <c r="B152" s="111" t="s">
        <v>17</v>
      </c>
      <c r="C152" s="111" t="str">
        <f t="shared" si="12"/>
        <v>20120301LE</v>
      </c>
      <c r="D152" s="111" t="s">
        <v>434</v>
      </c>
      <c r="E152" s="111" t="str">
        <f t="shared" si="13"/>
        <v>20120301LGMLE571</v>
      </c>
      <c r="F152" s="103">
        <v>0</v>
      </c>
      <c r="G152" s="104">
        <v>5.6460000000000003E-2</v>
      </c>
      <c r="H152" s="104">
        <v>0</v>
      </c>
      <c r="I152" s="104">
        <v>0</v>
      </c>
      <c r="J152" s="104">
        <v>0</v>
      </c>
      <c r="K152" s="104">
        <v>6.0000000000000002E-5</v>
      </c>
      <c r="L152" s="107">
        <v>2.215E-2</v>
      </c>
      <c r="M152" s="107">
        <f t="shared" si="14"/>
        <v>3.4250000000000003E-2</v>
      </c>
      <c r="N152" s="104">
        <f t="shared" si="15"/>
        <v>0</v>
      </c>
      <c r="O152" s="104">
        <f t="shared" si="15"/>
        <v>0</v>
      </c>
      <c r="P152" s="104">
        <f t="shared" si="15"/>
        <v>0</v>
      </c>
      <c r="Q152" s="103">
        <v>0</v>
      </c>
      <c r="R152" s="103">
        <v>0</v>
      </c>
      <c r="S152" s="103">
        <v>0</v>
      </c>
      <c r="T152" s="103">
        <v>0</v>
      </c>
      <c r="U152" s="103">
        <v>0</v>
      </c>
      <c r="V152" s="103">
        <v>0</v>
      </c>
      <c r="W152" s="103">
        <v>0</v>
      </c>
      <c r="X152" s="103">
        <v>0</v>
      </c>
      <c r="Y152" s="103">
        <v>0</v>
      </c>
    </row>
    <row r="153" spans="1:25">
      <c r="A153" s="102">
        <v>20120301</v>
      </c>
      <c r="B153" s="111" t="s">
        <v>17</v>
      </c>
      <c r="C153" s="111" t="str">
        <f t="shared" si="12"/>
        <v>20120301LE</v>
      </c>
      <c r="D153" s="111" t="s">
        <v>435</v>
      </c>
      <c r="E153" s="111" t="str">
        <f t="shared" si="13"/>
        <v>20120301LGMLE572</v>
      </c>
      <c r="F153" s="103">
        <v>0</v>
      </c>
      <c r="G153" s="104">
        <v>5.6460000000000003E-2</v>
      </c>
      <c r="H153" s="104">
        <v>0</v>
      </c>
      <c r="I153" s="104">
        <v>0</v>
      </c>
      <c r="J153" s="104">
        <v>0</v>
      </c>
      <c r="K153" s="104">
        <v>6.0000000000000002E-5</v>
      </c>
      <c r="L153" s="107">
        <v>2.215E-2</v>
      </c>
      <c r="M153" s="107">
        <f t="shared" si="14"/>
        <v>3.4250000000000003E-2</v>
      </c>
      <c r="N153" s="104">
        <f t="shared" si="15"/>
        <v>0</v>
      </c>
      <c r="O153" s="104">
        <f t="shared" si="15"/>
        <v>0</v>
      </c>
      <c r="P153" s="104">
        <f t="shared" si="15"/>
        <v>0</v>
      </c>
      <c r="Q153" s="103">
        <v>0</v>
      </c>
      <c r="R153" s="103">
        <v>0</v>
      </c>
      <c r="S153" s="103">
        <v>0</v>
      </c>
      <c r="T153" s="103">
        <v>0</v>
      </c>
      <c r="U153" s="103">
        <v>0</v>
      </c>
      <c r="V153" s="103">
        <v>0</v>
      </c>
      <c r="W153" s="103">
        <v>0</v>
      </c>
      <c r="X153" s="103">
        <v>0</v>
      </c>
      <c r="Y153" s="103">
        <v>0</v>
      </c>
    </row>
    <row r="154" spans="1:25">
      <c r="A154" s="102">
        <v>20120301</v>
      </c>
      <c r="B154" s="111" t="s">
        <v>18</v>
      </c>
      <c r="C154" s="111" t="str">
        <f t="shared" si="12"/>
        <v>20120301TE</v>
      </c>
      <c r="D154" s="111" t="s">
        <v>436</v>
      </c>
      <c r="E154" s="111" t="str">
        <f t="shared" si="13"/>
        <v>20120301LGMLE573</v>
      </c>
      <c r="F154" s="103">
        <v>3.14</v>
      </c>
      <c r="G154" s="104">
        <v>6.8040000000000003E-2</v>
      </c>
      <c r="H154" s="104">
        <v>0</v>
      </c>
      <c r="I154" s="104">
        <v>0</v>
      </c>
      <c r="J154" s="104">
        <v>0</v>
      </c>
      <c r="K154" s="104">
        <v>6.0000000000000002E-5</v>
      </c>
      <c r="L154" s="107">
        <v>2.215E-2</v>
      </c>
      <c r="M154" s="107">
        <f t="shared" si="14"/>
        <v>4.5829999999999996E-2</v>
      </c>
      <c r="N154" s="104">
        <f t="shared" si="15"/>
        <v>0</v>
      </c>
      <c r="O154" s="104">
        <f t="shared" si="15"/>
        <v>0</v>
      </c>
      <c r="P154" s="104">
        <f t="shared" si="15"/>
        <v>0</v>
      </c>
      <c r="Q154" s="103">
        <v>0</v>
      </c>
      <c r="R154" s="103">
        <v>0</v>
      </c>
      <c r="S154" s="103">
        <v>0</v>
      </c>
      <c r="T154" s="103">
        <v>0</v>
      </c>
      <c r="U154" s="103">
        <v>0</v>
      </c>
      <c r="V154" s="103">
        <v>0</v>
      </c>
      <c r="W154" s="103">
        <v>0</v>
      </c>
      <c r="X154" s="103">
        <v>0</v>
      </c>
      <c r="Y154" s="103">
        <v>0</v>
      </c>
    </row>
    <row r="155" spans="1:25">
      <c r="A155" s="102">
        <v>20120301</v>
      </c>
      <c r="B155" s="111" t="s">
        <v>18</v>
      </c>
      <c r="C155" s="111" t="str">
        <f t="shared" si="12"/>
        <v>20120301TE</v>
      </c>
      <c r="D155" s="111" t="s">
        <v>437</v>
      </c>
      <c r="E155" s="111" t="str">
        <f t="shared" si="13"/>
        <v>20120301LGMLE574</v>
      </c>
      <c r="F155" s="103">
        <v>3.14</v>
      </c>
      <c r="G155" s="104">
        <v>6.8040000000000003E-2</v>
      </c>
      <c r="H155" s="104">
        <v>0</v>
      </c>
      <c r="I155" s="104">
        <v>0</v>
      </c>
      <c r="J155" s="104">
        <v>0</v>
      </c>
      <c r="K155" s="104">
        <v>6.0000000000000002E-5</v>
      </c>
      <c r="L155" s="107">
        <v>2.215E-2</v>
      </c>
      <c r="M155" s="107">
        <f t="shared" si="14"/>
        <v>4.5829999999999996E-2</v>
      </c>
      <c r="N155" s="104">
        <f t="shared" si="15"/>
        <v>0</v>
      </c>
      <c r="O155" s="104">
        <f t="shared" si="15"/>
        <v>0</v>
      </c>
      <c r="P155" s="104">
        <f t="shared" si="15"/>
        <v>0</v>
      </c>
      <c r="Q155" s="103">
        <v>0</v>
      </c>
      <c r="R155" s="103">
        <v>0</v>
      </c>
      <c r="S155" s="103">
        <v>0</v>
      </c>
      <c r="T155" s="103">
        <v>0</v>
      </c>
      <c r="U155" s="103">
        <v>0</v>
      </c>
      <c r="V155" s="103">
        <v>0</v>
      </c>
      <c r="W155" s="103">
        <v>0</v>
      </c>
      <c r="X155" s="103">
        <v>0</v>
      </c>
      <c r="Y155" s="103">
        <v>0</v>
      </c>
    </row>
    <row r="156" spans="1:25">
      <c r="A156" s="102">
        <v>20120301</v>
      </c>
      <c r="B156" s="111" t="s">
        <v>18</v>
      </c>
      <c r="C156" s="111" t="str">
        <f t="shared" si="12"/>
        <v>20120301TE</v>
      </c>
      <c r="D156" s="115" t="s">
        <v>869</v>
      </c>
      <c r="E156" s="111" t="str">
        <f t="shared" si="13"/>
        <v>20120301LGMLE575</v>
      </c>
      <c r="F156" s="103">
        <v>3.14</v>
      </c>
      <c r="G156" s="104">
        <v>6.8040000000000003E-2</v>
      </c>
      <c r="H156" s="104">
        <v>0</v>
      </c>
      <c r="I156" s="104">
        <v>0</v>
      </c>
      <c r="J156" s="104">
        <v>0</v>
      </c>
      <c r="K156" s="104">
        <v>6.0000000000000002E-5</v>
      </c>
      <c r="L156" s="107">
        <v>2.215E-2</v>
      </c>
      <c r="M156" s="107">
        <f t="shared" si="14"/>
        <v>4.5829999999999996E-2</v>
      </c>
      <c r="N156" s="104">
        <f t="shared" si="15"/>
        <v>0</v>
      </c>
      <c r="O156" s="104">
        <f t="shared" si="15"/>
        <v>0</v>
      </c>
      <c r="P156" s="104">
        <f t="shared" si="15"/>
        <v>0</v>
      </c>
      <c r="Q156" s="103">
        <v>0</v>
      </c>
      <c r="R156" s="103">
        <v>0</v>
      </c>
      <c r="S156" s="103">
        <v>0</v>
      </c>
      <c r="T156" s="103">
        <v>0</v>
      </c>
      <c r="U156" s="103">
        <v>0</v>
      </c>
      <c r="V156" s="103">
        <v>0</v>
      </c>
      <c r="W156" s="103">
        <v>0</v>
      </c>
      <c r="X156" s="103">
        <v>0</v>
      </c>
      <c r="Y156" s="103">
        <v>0</v>
      </c>
    </row>
    <row r="157" spans="1:25">
      <c r="A157" s="102">
        <v>20120301</v>
      </c>
      <c r="B157" s="111" t="s">
        <v>18</v>
      </c>
      <c r="C157" s="111" t="str">
        <f t="shared" si="12"/>
        <v>20120301TE</v>
      </c>
      <c r="D157" s="115" t="s">
        <v>870</v>
      </c>
      <c r="E157" s="111" t="str">
        <f t="shared" si="13"/>
        <v>20120301LGMLE577</v>
      </c>
      <c r="F157" s="103">
        <v>3.14</v>
      </c>
      <c r="G157" s="104">
        <v>6.8040000000000003E-2</v>
      </c>
      <c r="H157" s="104">
        <v>0</v>
      </c>
      <c r="I157" s="104">
        <v>0</v>
      </c>
      <c r="J157" s="104">
        <v>0</v>
      </c>
      <c r="K157" s="104">
        <v>6.0000000000000002E-5</v>
      </c>
      <c r="L157" s="107">
        <v>2.215E-2</v>
      </c>
      <c r="M157" s="107">
        <f t="shared" si="14"/>
        <v>4.5829999999999996E-2</v>
      </c>
      <c r="N157" s="104">
        <f t="shared" si="15"/>
        <v>0</v>
      </c>
      <c r="O157" s="104">
        <f t="shared" si="15"/>
        <v>0</v>
      </c>
      <c r="P157" s="104">
        <f t="shared" si="15"/>
        <v>0</v>
      </c>
      <c r="Q157" s="103">
        <v>0</v>
      </c>
      <c r="R157" s="103">
        <v>0</v>
      </c>
      <c r="S157" s="103">
        <v>0</v>
      </c>
      <c r="T157" s="103">
        <v>0</v>
      </c>
      <c r="U157" s="103">
        <v>0</v>
      </c>
      <c r="V157" s="103">
        <v>0</v>
      </c>
      <c r="W157" s="103">
        <v>0</v>
      </c>
      <c r="X157" s="103">
        <v>0</v>
      </c>
      <c r="Y157" s="103">
        <v>0</v>
      </c>
    </row>
    <row r="158" spans="1:25">
      <c r="A158" s="102">
        <v>20120301</v>
      </c>
      <c r="B158" s="111" t="s">
        <v>451</v>
      </c>
      <c r="C158" s="111" t="str">
        <f t="shared" si="12"/>
        <v>20120301FK</v>
      </c>
      <c r="D158" s="111" t="s">
        <v>426</v>
      </c>
      <c r="E158" s="111" t="str">
        <f t="shared" si="13"/>
        <v>20120301LGINE599</v>
      </c>
      <c r="F158" s="103">
        <v>0</v>
      </c>
      <c r="G158" s="104">
        <v>3.04E-2</v>
      </c>
      <c r="H158" s="104">
        <v>0</v>
      </c>
      <c r="I158" s="104">
        <v>0</v>
      </c>
      <c r="J158" s="104">
        <v>0</v>
      </c>
      <c r="K158" s="104">
        <v>0</v>
      </c>
      <c r="L158" s="104">
        <v>2.215E-2</v>
      </c>
      <c r="M158" s="104">
        <f t="shared" si="14"/>
        <v>8.2500000000000004E-3</v>
      </c>
      <c r="N158" s="104">
        <v>0</v>
      </c>
      <c r="O158" s="104">
        <v>0</v>
      </c>
      <c r="P158" s="104">
        <v>0</v>
      </c>
      <c r="Q158" s="104">
        <v>0</v>
      </c>
      <c r="R158" s="103">
        <v>11.65</v>
      </c>
      <c r="S158" s="103">
        <v>13.84</v>
      </c>
      <c r="T158" s="103">
        <v>0</v>
      </c>
      <c r="U158" s="103">
        <v>0.02</v>
      </c>
      <c r="V158" s="103">
        <v>0.02</v>
      </c>
      <c r="W158" s="103">
        <v>0</v>
      </c>
      <c r="X158" s="106">
        <f>R158-U158</f>
        <v>11.63</v>
      </c>
      <c r="Y158" s="106">
        <f>S158-V158</f>
        <v>13.82</v>
      </c>
    </row>
    <row r="159" spans="1:25">
      <c r="A159" s="102">
        <v>20120301</v>
      </c>
      <c r="B159" s="111" t="s">
        <v>464</v>
      </c>
      <c r="C159" s="111" t="str">
        <f>A159&amp;B159</f>
        <v>20120301LWC</v>
      </c>
      <c r="D159" s="111" t="s">
        <v>424</v>
      </c>
      <c r="E159" s="111" t="str">
        <f>A159&amp;D159</f>
        <v>20120301LGCME671</v>
      </c>
      <c r="F159" s="103">
        <v>0</v>
      </c>
      <c r="G159" s="104">
        <v>3.039E-2</v>
      </c>
      <c r="H159" s="104">
        <v>0</v>
      </c>
      <c r="I159" s="104">
        <v>0</v>
      </c>
      <c r="J159" s="104">
        <v>0</v>
      </c>
      <c r="K159" s="104">
        <v>0</v>
      </c>
      <c r="L159" s="104">
        <v>2.215E-2</v>
      </c>
      <c r="M159" s="104">
        <f t="shared" si="14"/>
        <v>8.2400000000000008E-3</v>
      </c>
      <c r="N159" s="104">
        <v>0</v>
      </c>
      <c r="O159" s="104">
        <v>0</v>
      </c>
      <c r="P159" s="104">
        <v>0</v>
      </c>
      <c r="Q159" s="104">
        <v>0</v>
      </c>
      <c r="R159" s="103">
        <v>9.8699999999999992</v>
      </c>
      <c r="S159" s="103">
        <v>9.8699999999999992</v>
      </c>
      <c r="T159" s="103">
        <v>0</v>
      </c>
      <c r="U159" s="103">
        <v>0.02</v>
      </c>
      <c r="V159" s="103">
        <v>0.02</v>
      </c>
      <c r="W159" s="103">
        <v>0</v>
      </c>
      <c r="X159" s="106">
        <f>R159-U159</f>
        <v>9.85</v>
      </c>
      <c r="Y159" s="106">
        <f>S159-V159</f>
        <v>9.85</v>
      </c>
    </row>
    <row r="160" spans="1:25">
      <c r="A160" s="102">
        <v>20120301</v>
      </c>
      <c r="B160" s="111" t="s">
        <v>680</v>
      </c>
      <c r="C160" s="111" t="str">
        <f>A160&amp;B160</f>
        <v>20120301LEV</v>
      </c>
      <c r="D160" s="115" t="s">
        <v>755</v>
      </c>
      <c r="E160" s="111" t="str">
        <f>A160&amp;D160</f>
        <v>20120301LGRSE543</v>
      </c>
      <c r="F160" s="103">
        <v>8.5</v>
      </c>
      <c r="G160" s="104">
        <v>5.0460000000000005E-2</v>
      </c>
      <c r="H160" s="104">
        <v>7.0699999999999999E-2</v>
      </c>
      <c r="I160" s="104">
        <v>0.13447999999999999</v>
      </c>
      <c r="J160" s="104">
        <v>0</v>
      </c>
      <c r="K160" s="104">
        <v>6.9999999999999994E-5</v>
      </c>
      <c r="L160" s="107">
        <v>2.215E-2</v>
      </c>
      <c r="M160" s="104">
        <f t="shared" si="14"/>
        <v>2.8240000000000005E-2</v>
      </c>
      <c r="N160" s="104">
        <f>H160-K160-L160</f>
        <v>4.8479999999999995E-2</v>
      </c>
      <c r="O160" s="104">
        <f>I160-K160-L160</f>
        <v>0.11226</v>
      </c>
      <c r="P160" s="104">
        <v>0</v>
      </c>
      <c r="Q160" s="103">
        <v>0</v>
      </c>
      <c r="R160" s="103">
        <v>0</v>
      </c>
      <c r="S160" s="103">
        <v>0</v>
      </c>
      <c r="T160" s="103">
        <v>0</v>
      </c>
      <c r="U160" s="103">
        <v>0</v>
      </c>
      <c r="V160" s="103">
        <v>0</v>
      </c>
      <c r="W160" s="103">
        <v>0</v>
      </c>
      <c r="X160" s="103">
        <v>0</v>
      </c>
      <c r="Y160" s="103">
        <v>0</v>
      </c>
    </row>
    <row r="161" spans="1:25">
      <c r="A161" s="136">
        <v>20130101</v>
      </c>
      <c r="B161" s="131" t="s">
        <v>13</v>
      </c>
      <c r="C161" s="131" t="str">
        <f t="shared" ref="C161:C199" si="20">A161&amp;B161</f>
        <v>20130101RS</v>
      </c>
      <c r="D161" s="131" t="s">
        <v>438</v>
      </c>
      <c r="E161" s="131" t="str">
        <f t="shared" ref="E161:E199" si="21">A161&amp;D161</f>
        <v>20130101LGRSE411</v>
      </c>
      <c r="F161" s="132">
        <v>0</v>
      </c>
      <c r="G161" s="133">
        <v>7.4389999999999998E-2</v>
      </c>
      <c r="H161" s="133">
        <v>0</v>
      </c>
      <c r="I161" s="133">
        <v>0</v>
      </c>
      <c r="J161" s="133">
        <v>0</v>
      </c>
      <c r="K161" s="133">
        <v>6.9999999999999994E-5</v>
      </c>
      <c r="L161" s="82">
        <v>2.215E-2</v>
      </c>
      <c r="M161" s="133">
        <f t="shared" ref="M161:M224" si="22">G161-K161-L161</f>
        <v>5.2169999999999994E-2</v>
      </c>
      <c r="N161" s="133">
        <f t="shared" ref="N161:P165" si="23">IF(H161=0,0,H161-$K161-$L161)</f>
        <v>0</v>
      </c>
      <c r="O161" s="133">
        <f t="shared" si="23"/>
        <v>0</v>
      </c>
      <c r="P161" s="133">
        <f t="shared" si="23"/>
        <v>0</v>
      </c>
      <c r="Q161" s="132">
        <v>0</v>
      </c>
      <c r="R161" s="132">
        <v>0</v>
      </c>
      <c r="S161" s="132">
        <v>0</v>
      </c>
      <c r="T161" s="132">
        <v>0</v>
      </c>
      <c r="U161" s="132">
        <v>0</v>
      </c>
      <c r="V161" s="132">
        <v>0</v>
      </c>
      <c r="W161" s="132">
        <v>0</v>
      </c>
      <c r="X161" s="132">
        <v>0</v>
      </c>
      <c r="Y161" s="132">
        <v>0</v>
      </c>
    </row>
    <row r="162" spans="1:25">
      <c r="A162" s="136">
        <v>20130101</v>
      </c>
      <c r="B162" s="134" t="s">
        <v>456</v>
      </c>
      <c r="C162" s="131" t="str">
        <f t="shared" si="20"/>
        <v>20130101GSWH</v>
      </c>
      <c r="D162" s="131" t="s">
        <v>407</v>
      </c>
      <c r="E162" s="131" t="str">
        <f t="shared" si="21"/>
        <v>20130101LGCME451</v>
      </c>
      <c r="F162" s="132">
        <v>0</v>
      </c>
      <c r="G162" s="133">
        <v>8.4659999999999999E-2</v>
      </c>
      <c r="H162" s="133">
        <v>0</v>
      </c>
      <c r="I162" s="133">
        <v>0</v>
      </c>
      <c r="J162" s="133">
        <v>0</v>
      </c>
      <c r="K162" s="133">
        <v>9.0000000000000006E-5</v>
      </c>
      <c r="L162" s="133">
        <f>$L$83</f>
        <v>2.215E-2</v>
      </c>
      <c r="M162" s="133">
        <f t="shared" si="22"/>
        <v>6.2419999999999989E-2</v>
      </c>
      <c r="N162" s="133">
        <f t="shared" si="23"/>
        <v>0</v>
      </c>
      <c r="O162" s="133">
        <f t="shared" si="23"/>
        <v>0</v>
      </c>
      <c r="P162" s="133">
        <f t="shared" si="23"/>
        <v>0</v>
      </c>
      <c r="Q162" s="132">
        <v>0</v>
      </c>
      <c r="R162" s="132">
        <v>0</v>
      </c>
      <c r="S162" s="132">
        <v>0</v>
      </c>
      <c r="T162" s="132">
        <v>0</v>
      </c>
      <c r="U162" s="132">
        <v>0</v>
      </c>
      <c r="V162" s="132">
        <v>0</v>
      </c>
      <c r="W162" s="132">
        <v>0</v>
      </c>
      <c r="X162" s="132">
        <v>0</v>
      </c>
      <c r="Y162" s="132">
        <v>0</v>
      </c>
    </row>
    <row r="163" spans="1:25">
      <c r="A163" s="136">
        <v>20130101</v>
      </c>
      <c r="B163" s="131" t="s">
        <v>13</v>
      </c>
      <c r="C163" s="131" t="str">
        <f t="shared" si="20"/>
        <v>20130101RS</v>
      </c>
      <c r="D163" s="131" t="s">
        <v>439</v>
      </c>
      <c r="E163" s="131" t="str">
        <f t="shared" si="21"/>
        <v>20130101LGRSE511</v>
      </c>
      <c r="F163" s="132">
        <v>10.75</v>
      </c>
      <c r="G163" s="133">
        <v>7.4389999999999998E-2</v>
      </c>
      <c r="H163" s="133">
        <v>0</v>
      </c>
      <c r="I163" s="133">
        <v>0</v>
      </c>
      <c r="J163" s="133">
        <v>0</v>
      </c>
      <c r="K163" s="133">
        <v>6.9999999999999994E-5</v>
      </c>
      <c r="L163" s="82">
        <v>2.215E-2</v>
      </c>
      <c r="M163" s="133">
        <f t="shared" si="22"/>
        <v>5.2169999999999994E-2</v>
      </c>
      <c r="N163" s="133">
        <f t="shared" si="23"/>
        <v>0</v>
      </c>
      <c r="O163" s="133">
        <f t="shared" si="23"/>
        <v>0</v>
      </c>
      <c r="P163" s="133">
        <f t="shared" si="23"/>
        <v>0</v>
      </c>
      <c r="Q163" s="132">
        <v>0</v>
      </c>
      <c r="R163" s="132">
        <v>0</v>
      </c>
      <c r="S163" s="132">
        <v>0</v>
      </c>
      <c r="T163" s="132">
        <v>0</v>
      </c>
      <c r="U163" s="132">
        <v>0</v>
      </c>
      <c r="V163" s="132">
        <v>0</v>
      </c>
      <c r="W163" s="132">
        <v>0</v>
      </c>
      <c r="X163" s="132">
        <v>0</v>
      </c>
      <c r="Y163" s="132">
        <v>0</v>
      </c>
    </row>
    <row r="164" spans="1:25">
      <c r="A164" s="136">
        <v>20130101</v>
      </c>
      <c r="B164" s="131" t="s">
        <v>13</v>
      </c>
      <c r="C164" s="131" t="str">
        <f t="shared" si="20"/>
        <v>20130101RS</v>
      </c>
      <c r="D164" s="131" t="s">
        <v>440</v>
      </c>
      <c r="E164" s="131" t="str">
        <f t="shared" si="21"/>
        <v>20130101LGRSE519</v>
      </c>
      <c r="F164" s="132">
        <v>10.75</v>
      </c>
      <c r="G164" s="133">
        <v>7.4389999999999998E-2</v>
      </c>
      <c r="H164" s="133">
        <v>0</v>
      </c>
      <c r="I164" s="133">
        <v>0</v>
      </c>
      <c r="J164" s="133">
        <v>0</v>
      </c>
      <c r="K164" s="133">
        <v>6.9999999999999994E-5</v>
      </c>
      <c r="L164" s="82">
        <v>2.215E-2</v>
      </c>
      <c r="M164" s="133">
        <f t="shared" si="22"/>
        <v>5.2169999999999994E-2</v>
      </c>
      <c r="N164" s="133">
        <f t="shared" si="23"/>
        <v>0</v>
      </c>
      <c r="O164" s="133">
        <f t="shared" si="23"/>
        <v>0</v>
      </c>
      <c r="P164" s="133">
        <f t="shared" si="23"/>
        <v>0</v>
      </c>
      <c r="Q164" s="132">
        <v>0</v>
      </c>
      <c r="R164" s="132">
        <v>0</v>
      </c>
      <c r="S164" s="132">
        <v>0</v>
      </c>
      <c r="T164" s="132">
        <v>0</v>
      </c>
      <c r="U164" s="132">
        <v>0</v>
      </c>
      <c r="V164" s="132">
        <v>0</v>
      </c>
      <c r="W164" s="132">
        <v>0</v>
      </c>
      <c r="X164" s="132">
        <v>0</v>
      </c>
      <c r="Y164" s="132">
        <v>0</v>
      </c>
    </row>
    <row r="165" spans="1:25">
      <c r="A165" s="136">
        <v>20130101</v>
      </c>
      <c r="B165" s="131" t="s">
        <v>745</v>
      </c>
      <c r="C165" s="131" t="str">
        <f t="shared" si="20"/>
        <v>20130101VFD</v>
      </c>
      <c r="D165" s="131" t="s">
        <v>441</v>
      </c>
      <c r="E165" s="131" t="str">
        <f t="shared" si="21"/>
        <v>20130101LGRSE540</v>
      </c>
      <c r="F165" s="132">
        <v>10.75</v>
      </c>
      <c r="G165" s="133">
        <v>7.4389999999999998E-2</v>
      </c>
      <c r="H165" s="133">
        <v>0</v>
      </c>
      <c r="I165" s="133">
        <v>0</v>
      </c>
      <c r="J165" s="133">
        <v>0</v>
      </c>
      <c r="K165" s="133">
        <v>6.9999999999999994E-5</v>
      </c>
      <c r="L165" s="82">
        <v>2.215E-2</v>
      </c>
      <c r="M165" s="133">
        <f t="shared" si="22"/>
        <v>5.2169999999999994E-2</v>
      </c>
      <c r="N165" s="133">
        <f t="shared" si="23"/>
        <v>0</v>
      </c>
      <c r="O165" s="133">
        <f t="shared" si="23"/>
        <v>0</v>
      </c>
      <c r="P165" s="133">
        <f t="shared" si="23"/>
        <v>0</v>
      </c>
      <c r="Q165" s="132">
        <v>0</v>
      </c>
      <c r="R165" s="132">
        <v>0</v>
      </c>
      <c r="S165" s="132">
        <v>0</v>
      </c>
      <c r="T165" s="132">
        <v>0</v>
      </c>
      <c r="U165" s="132">
        <v>0</v>
      </c>
      <c r="V165" s="132">
        <v>0</v>
      </c>
      <c r="W165" s="132">
        <v>0</v>
      </c>
      <c r="X165" s="132">
        <v>0</v>
      </c>
      <c r="Y165" s="132">
        <v>0</v>
      </c>
    </row>
    <row r="166" spans="1:25">
      <c r="A166" s="136">
        <v>20130101</v>
      </c>
      <c r="B166" s="135" t="s">
        <v>465</v>
      </c>
      <c r="C166" s="131" t="str">
        <f t="shared" si="20"/>
        <v>20130101RRP</v>
      </c>
      <c r="D166" s="135" t="s">
        <v>442</v>
      </c>
      <c r="E166" s="131" t="str">
        <f t="shared" si="21"/>
        <v>20130101LGRSE541</v>
      </c>
      <c r="F166" s="132">
        <v>0</v>
      </c>
      <c r="G166" s="133">
        <v>0</v>
      </c>
      <c r="H166" s="133">
        <v>0</v>
      </c>
      <c r="I166" s="133">
        <v>0</v>
      </c>
      <c r="J166" s="133">
        <v>0</v>
      </c>
      <c r="K166" s="133">
        <v>0</v>
      </c>
      <c r="L166" s="82">
        <v>0</v>
      </c>
      <c r="M166" s="133">
        <f t="shared" si="22"/>
        <v>0</v>
      </c>
      <c r="N166" s="133">
        <f>H166-K166-L166</f>
        <v>0</v>
      </c>
      <c r="O166" s="133">
        <f>I166-K166-L166</f>
        <v>0</v>
      </c>
      <c r="P166" s="133">
        <f>J166-K166-L166</f>
        <v>0</v>
      </c>
      <c r="Q166" s="132">
        <v>0</v>
      </c>
      <c r="R166" s="132">
        <v>0</v>
      </c>
      <c r="S166" s="132">
        <v>0</v>
      </c>
      <c r="T166" s="132">
        <v>0</v>
      </c>
      <c r="U166" s="132">
        <v>0</v>
      </c>
      <c r="V166" s="132">
        <v>0</v>
      </c>
      <c r="W166" s="132">
        <v>0</v>
      </c>
      <c r="X166" s="132">
        <v>0</v>
      </c>
      <c r="Y166" s="132">
        <v>0</v>
      </c>
    </row>
    <row r="167" spans="1:25">
      <c r="A167" s="136">
        <v>20130101</v>
      </c>
      <c r="B167" s="134" t="s">
        <v>883</v>
      </c>
      <c r="C167" s="131" t="str">
        <f t="shared" si="20"/>
        <v>20130101GSP</v>
      </c>
      <c r="D167" s="131" t="s">
        <v>408</v>
      </c>
      <c r="E167" s="131" t="str">
        <f t="shared" si="21"/>
        <v>20130101LGCME550</v>
      </c>
      <c r="F167" s="132">
        <v>20</v>
      </c>
      <c r="G167" s="133">
        <v>8.4659999999999999E-2</v>
      </c>
      <c r="H167" s="133">
        <v>0</v>
      </c>
      <c r="I167" s="133">
        <v>0</v>
      </c>
      <c r="J167" s="133">
        <v>0</v>
      </c>
      <c r="K167" s="133">
        <v>9.0000000000000006E-5</v>
      </c>
      <c r="L167" s="133">
        <v>2.215E-2</v>
      </c>
      <c r="M167" s="133">
        <f t="shared" si="22"/>
        <v>6.2419999999999989E-2</v>
      </c>
      <c r="N167" s="133">
        <f t="shared" ref="N167:P171" si="24">IF(H167=0,0,H167-$K167-$L167)</f>
        <v>0</v>
      </c>
      <c r="O167" s="133">
        <f t="shared" si="24"/>
        <v>0</v>
      </c>
      <c r="P167" s="133">
        <f t="shared" si="24"/>
        <v>0</v>
      </c>
      <c r="Q167" s="132">
        <v>0</v>
      </c>
      <c r="R167" s="132">
        <v>0</v>
      </c>
      <c r="S167" s="132">
        <v>0</v>
      </c>
      <c r="T167" s="132">
        <v>0</v>
      </c>
      <c r="U167" s="132">
        <v>0</v>
      </c>
      <c r="V167" s="132">
        <v>0</v>
      </c>
      <c r="W167" s="132">
        <v>0</v>
      </c>
      <c r="X167" s="132">
        <v>0</v>
      </c>
      <c r="Y167" s="132">
        <v>0</v>
      </c>
    </row>
    <row r="168" spans="1:25">
      <c r="A168" s="136">
        <v>20130101</v>
      </c>
      <c r="B168" s="131" t="s">
        <v>453</v>
      </c>
      <c r="C168" s="131" t="str">
        <f t="shared" si="20"/>
        <v>20130101GSS</v>
      </c>
      <c r="D168" s="131" t="s">
        <v>409</v>
      </c>
      <c r="E168" s="131" t="str">
        <f t="shared" si="21"/>
        <v>20130101LGCME551</v>
      </c>
      <c r="F168" s="132">
        <v>20</v>
      </c>
      <c r="G168" s="133">
        <v>8.4659999999999999E-2</v>
      </c>
      <c r="H168" s="133">
        <v>0</v>
      </c>
      <c r="I168" s="133">
        <v>0</v>
      </c>
      <c r="J168" s="133">
        <v>0</v>
      </c>
      <c r="K168" s="133">
        <v>9.0000000000000006E-5</v>
      </c>
      <c r="L168" s="133">
        <v>2.215E-2</v>
      </c>
      <c r="M168" s="133">
        <f t="shared" si="22"/>
        <v>6.2419999999999989E-2</v>
      </c>
      <c r="N168" s="133">
        <f t="shared" si="24"/>
        <v>0</v>
      </c>
      <c r="O168" s="133">
        <f t="shared" si="24"/>
        <v>0</v>
      </c>
      <c r="P168" s="133">
        <f t="shared" si="24"/>
        <v>0</v>
      </c>
      <c r="Q168" s="132">
        <v>0</v>
      </c>
      <c r="R168" s="132">
        <v>0</v>
      </c>
      <c r="S168" s="132">
        <v>0</v>
      </c>
      <c r="T168" s="132">
        <v>0</v>
      </c>
      <c r="U168" s="132">
        <v>0</v>
      </c>
      <c r="V168" s="132">
        <v>0</v>
      </c>
      <c r="W168" s="132">
        <v>0</v>
      </c>
      <c r="X168" s="132">
        <v>0</v>
      </c>
      <c r="Y168" s="132">
        <v>0</v>
      </c>
    </row>
    <row r="169" spans="1:25">
      <c r="A169" s="136">
        <v>20130101</v>
      </c>
      <c r="B169" s="131" t="s">
        <v>882</v>
      </c>
      <c r="C169" s="131" t="str">
        <f t="shared" si="20"/>
        <v>20130101GSUM</v>
      </c>
      <c r="D169" s="131" t="s">
        <v>410</v>
      </c>
      <c r="E169" s="131" t="str">
        <f t="shared" si="21"/>
        <v>20130101LGCME551UM</v>
      </c>
      <c r="F169" s="132">
        <v>20</v>
      </c>
      <c r="G169" s="133">
        <v>8.4659999999999999E-2</v>
      </c>
      <c r="H169" s="133">
        <v>0</v>
      </c>
      <c r="I169" s="133">
        <v>0</v>
      </c>
      <c r="J169" s="133">
        <v>0</v>
      </c>
      <c r="K169" s="133">
        <v>9.0000000000000006E-5</v>
      </c>
      <c r="L169" s="133">
        <v>2.215E-2</v>
      </c>
      <c r="M169" s="133">
        <f t="shared" si="22"/>
        <v>6.2419999999999989E-2</v>
      </c>
      <c r="N169" s="133">
        <f t="shared" si="24"/>
        <v>0</v>
      </c>
      <c r="O169" s="133">
        <f t="shared" si="24"/>
        <v>0</v>
      </c>
      <c r="P169" s="133">
        <f t="shared" si="24"/>
        <v>0</v>
      </c>
      <c r="Q169" s="132">
        <v>0</v>
      </c>
      <c r="R169" s="132">
        <v>0</v>
      </c>
      <c r="S169" s="132">
        <v>0</v>
      </c>
      <c r="T169" s="132">
        <v>0</v>
      </c>
      <c r="U169" s="132">
        <v>0</v>
      </c>
      <c r="V169" s="132">
        <v>0</v>
      </c>
      <c r="W169" s="132">
        <v>0</v>
      </c>
      <c r="X169" s="132">
        <v>0</v>
      </c>
      <c r="Y169" s="132">
        <v>0</v>
      </c>
    </row>
    <row r="170" spans="1:25">
      <c r="A170" s="136">
        <v>20130101</v>
      </c>
      <c r="B170" s="134" t="s">
        <v>877</v>
      </c>
      <c r="C170" s="131" t="str">
        <f t="shared" si="20"/>
        <v>20130101GSNM</v>
      </c>
      <c r="D170" s="131" t="s">
        <v>413</v>
      </c>
      <c r="E170" s="131" t="str">
        <f t="shared" si="21"/>
        <v>20130101LGCME557</v>
      </c>
      <c r="F170" s="132">
        <v>20</v>
      </c>
      <c r="G170" s="133">
        <v>8.4659999999999999E-2</v>
      </c>
      <c r="H170" s="133">
        <v>0</v>
      </c>
      <c r="I170" s="133">
        <v>0</v>
      </c>
      <c r="J170" s="133">
        <v>0</v>
      </c>
      <c r="K170" s="133">
        <v>9.0000000000000006E-5</v>
      </c>
      <c r="L170" s="133">
        <v>2.215E-2</v>
      </c>
      <c r="M170" s="133">
        <f t="shared" si="22"/>
        <v>6.2419999999999989E-2</v>
      </c>
      <c r="N170" s="133">
        <f t="shared" si="24"/>
        <v>0</v>
      </c>
      <c r="O170" s="133">
        <f t="shared" si="24"/>
        <v>0</v>
      </c>
      <c r="P170" s="133">
        <f t="shared" si="24"/>
        <v>0</v>
      </c>
      <c r="Q170" s="132">
        <v>0</v>
      </c>
      <c r="R170" s="132">
        <v>0</v>
      </c>
      <c r="S170" s="132">
        <v>0</v>
      </c>
      <c r="T170" s="132">
        <v>0</v>
      </c>
      <c r="U170" s="132">
        <v>0</v>
      </c>
      <c r="V170" s="132">
        <v>0</v>
      </c>
      <c r="W170" s="132">
        <v>0</v>
      </c>
      <c r="X170" s="132">
        <v>0</v>
      </c>
      <c r="Y170" s="132">
        <v>0</v>
      </c>
    </row>
    <row r="171" spans="1:25">
      <c r="A171" s="136">
        <v>20130101</v>
      </c>
      <c r="B171" s="134" t="s">
        <v>455</v>
      </c>
      <c r="C171" s="131" t="str">
        <f t="shared" si="20"/>
        <v>20130101GSSH</v>
      </c>
      <c r="D171" s="131" t="s">
        <v>411</v>
      </c>
      <c r="E171" s="131" t="str">
        <f t="shared" si="21"/>
        <v>20130101LGCME552</v>
      </c>
      <c r="F171" s="132">
        <v>0</v>
      </c>
      <c r="G171" s="133">
        <v>8.4659999999999999E-2</v>
      </c>
      <c r="H171" s="133">
        <v>0</v>
      </c>
      <c r="I171" s="133">
        <v>0</v>
      </c>
      <c r="J171" s="133">
        <v>0</v>
      </c>
      <c r="K171" s="133">
        <v>9.0000000000000006E-5</v>
      </c>
      <c r="L171" s="133">
        <v>2.215E-2</v>
      </c>
      <c r="M171" s="133">
        <f t="shared" si="22"/>
        <v>6.2419999999999989E-2</v>
      </c>
      <c r="N171" s="133">
        <f t="shared" si="24"/>
        <v>0</v>
      </c>
      <c r="O171" s="133">
        <f t="shared" si="24"/>
        <v>0</v>
      </c>
      <c r="P171" s="133">
        <f t="shared" si="24"/>
        <v>0</v>
      </c>
      <c r="Q171" s="132">
        <v>0</v>
      </c>
      <c r="R171" s="132">
        <v>0</v>
      </c>
      <c r="S171" s="132">
        <v>0</v>
      </c>
      <c r="T171" s="132">
        <v>0</v>
      </c>
      <c r="U171" s="132">
        <v>0</v>
      </c>
      <c r="V171" s="132">
        <v>0</v>
      </c>
      <c r="W171" s="132">
        <v>0</v>
      </c>
      <c r="X171" s="132">
        <v>0</v>
      </c>
      <c r="Y171" s="132">
        <v>0</v>
      </c>
    </row>
    <row r="172" spans="1:25">
      <c r="A172" s="136">
        <v>20130101</v>
      </c>
      <c r="B172" s="134" t="s">
        <v>879</v>
      </c>
      <c r="C172" s="131" t="str">
        <f t="shared" si="20"/>
        <v>20130101GSRP</v>
      </c>
      <c r="D172" s="135" t="s">
        <v>412</v>
      </c>
      <c r="E172" s="131" t="str">
        <f t="shared" si="21"/>
        <v>20130101LGCME555</v>
      </c>
      <c r="F172" s="132">
        <v>0</v>
      </c>
      <c r="G172" s="133">
        <v>0</v>
      </c>
      <c r="H172" s="133">
        <v>0</v>
      </c>
      <c r="I172" s="133">
        <v>0</v>
      </c>
      <c r="J172" s="133">
        <v>0</v>
      </c>
      <c r="K172" s="133">
        <v>0</v>
      </c>
      <c r="L172" s="133">
        <v>0</v>
      </c>
      <c r="M172" s="133">
        <f t="shared" si="22"/>
        <v>0</v>
      </c>
      <c r="N172" s="133">
        <f>H172-K172-L172</f>
        <v>0</v>
      </c>
      <c r="O172" s="133">
        <f>I172-K172-L172</f>
        <v>0</v>
      </c>
      <c r="P172" s="133">
        <f>J172-K172-L172</f>
        <v>0</v>
      </c>
      <c r="Q172" s="132">
        <v>0</v>
      </c>
      <c r="R172" s="132">
        <v>0</v>
      </c>
      <c r="S172" s="132">
        <v>0</v>
      </c>
      <c r="T172" s="132">
        <v>0</v>
      </c>
      <c r="U172" s="132">
        <v>0</v>
      </c>
      <c r="V172" s="132">
        <v>0</v>
      </c>
      <c r="W172" s="132">
        <v>0</v>
      </c>
      <c r="X172" s="132">
        <v>0</v>
      </c>
      <c r="Y172" s="132">
        <v>0</v>
      </c>
    </row>
    <row r="173" spans="1:25">
      <c r="A173" s="136">
        <v>20130101</v>
      </c>
      <c r="B173" s="134" t="s">
        <v>765</v>
      </c>
      <c r="C173" s="131" t="str">
        <f t="shared" si="20"/>
        <v>20130101GS3P</v>
      </c>
      <c r="D173" s="131" t="s">
        <v>419</v>
      </c>
      <c r="E173" s="131" t="str">
        <f t="shared" si="21"/>
        <v>20130101LGCME650</v>
      </c>
      <c r="F173" s="132">
        <v>35</v>
      </c>
      <c r="G173" s="133">
        <v>8.4659999999999999E-2</v>
      </c>
      <c r="H173" s="133">
        <v>0</v>
      </c>
      <c r="I173" s="133">
        <v>0</v>
      </c>
      <c r="J173" s="133">
        <v>0</v>
      </c>
      <c r="K173" s="133">
        <v>9.0000000000000006E-5</v>
      </c>
      <c r="L173" s="133">
        <v>2.215E-2</v>
      </c>
      <c r="M173" s="133">
        <f t="shared" si="22"/>
        <v>6.2419999999999989E-2</v>
      </c>
      <c r="N173" s="133">
        <f t="shared" ref="N173:P176" si="25">IF(H173=0,0,H173-$K173-$L173)</f>
        <v>0</v>
      </c>
      <c r="O173" s="133">
        <f t="shared" si="25"/>
        <v>0</v>
      </c>
      <c r="P173" s="133">
        <f t="shared" si="25"/>
        <v>0</v>
      </c>
      <c r="Q173" s="132">
        <v>0</v>
      </c>
      <c r="R173" s="132">
        <v>0</v>
      </c>
      <c r="S173" s="132">
        <v>0</v>
      </c>
      <c r="T173" s="132">
        <v>0</v>
      </c>
      <c r="U173" s="132">
        <v>0</v>
      </c>
      <c r="V173" s="132">
        <v>0</v>
      </c>
      <c r="W173" s="132">
        <v>0</v>
      </c>
      <c r="X173" s="132">
        <v>0</v>
      </c>
      <c r="Y173" s="132">
        <v>0</v>
      </c>
    </row>
    <row r="174" spans="1:25">
      <c r="A174" s="136">
        <v>20130101</v>
      </c>
      <c r="B174" s="131" t="s">
        <v>14</v>
      </c>
      <c r="C174" s="131" t="str">
        <f t="shared" si="20"/>
        <v>20130101GS3</v>
      </c>
      <c r="D174" s="131" t="s">
        <v>420</v>
      </c>
      <c r="E174" s="131" t="str">
        <f t="shared" si="21"/>
        <v>20130101LGCME651</v>
      </c>
      <c r="F174" s="132">
        <v>35</v>
      </c>
      <c r="G174" s="133">
        <v>8.4659999999999999E-2</v>
      </c>
      <c r="H174" s="133">
        <v>0</v>
      </c>
      <c r="I174" s="133">
        <v>0</v>
      </c>
      <c r="J174" s="133">
        <v>0</v>
      </c>
      <c r="K174" s="133">
        <v>9.0000000000000006E-5</v>
      </c>
      <c r="L174" s="133">
        <v>2.215E-2</v>
      </c>
      <c r="M174" s="133">
        <f t="shared" si="22"/>
        <v>6.2419999999999989E-2</v>
      </c>
      <c r="N174" s="133">
        <f t="shared" si="25"/>
        <v>0</v>
      </c>
      <c r="O174" s="133">
        <f t="shared" si="25"/>
        <v>0</v>
      </c>
      <c r="P174" s="133">
        <f t="shared" si="25"/>
        <v>0</v>
      </c>
      <c r="Q174" s="132">
        <v>0</v>
      </c>
      <c r="R174" s="132">
        <v>0</v>
      </c>
      <c r="S174" s="132">
        <v>0</v>
      </c>
      <c r="T174" s="132">
        <v>0</v>
      </c>
      <c r="U174" s="132">
        <v>0</v>
      </c>
      <c r="V174" s="132">
        <v>0</v>
      </c>
      <c r="W174" s="132">
        <v>0</v>
      </c>
      <c r="X174" s="132">
        <v>0</v>
      </c>
      <c r="Y174" s="132">
        <v>0</v>
      </c>
    </row>
    <row r="175" spans="1:25">
      <c r="A175" s="136">
        <v>20130101</v>
      </c>
      <c r="B175" s="134" t="s">
        <v>859</v>
      </c>
      <c r="C175" s="131" t="str">
        <f t="shared" si="20"/>
        <v>20130101GS3NM</v>
      </c>
      <c r="D175" s="131" t="s">
        <v>423</v>
      </c>
      <c r="E175" s="131" t="str">
        <f t="shared" si="21"/>
        <v>20130101LGCME657</v>
      </c>
      <c r="F175" s="132">
        <v>35</v>
      </c>
      <c r="G175" s="133">
        <v>8.4659999999999999E-2</v>
      </c>
      <c r="H175" s="133">
        <v>0</v>
      </c>
      <c r="I175" s="133">
        <v>0</v>
      </c>
      <c r="J175" s="133">
        <v>0</v>
      </c>
      <c r="K175" s="133">
        <v>9.0000000000000006E-5</v>
      </c>
      <c r="L175" s="133">
        <v>2.215E-2</v>
      </c>
      <c r="M175" s="133">
        <f t="shared" si="22"/>
        <v>6.2419999999999989E-2</v>
      </c>
      <c r="N175" s="133">
        <f t="shared" si="25"/>
        <v>0</v>
      </c>
      <c r="O175" s="133">
        <f t="shared" si="25"/>
        <v>0</v>
      </c>
      <c r="P175" s="133">
        <f t="shared" si="25"/>
        <v>0</v>
      </c>
      <c r="Q175" s="132">
        <v>0</v>
      </c>
      <c r="R175" s="132">
        <v>0</v>
      </c>
      <c r="S175" s="132">
        <v>0</v>
      </c>
      <c r="T175" s="132">
        <v>0</v>
      </c>
      <c r="U175" s="132">
        <v>0</v>
      </c>
      <c r="V175" s="132">
        <v>0</v>
      </c>
      <c r="W175" s="132">
        <v>0</v>
      </c>
      <c r="X175" s="132">
        <v>0</v>
      </c>
      <c r="Y175" s="132">
        <v>0</v>
      </c>
    </row>
    <row r="176" spans="1:25">
      <c r="A176" s="136">
        <v>20130101</v>
      </c>
      <c r="B176" s="134" t="s">
        <v>858</v>
      </c>
      <c r="C176" s="131" t="str">
        <f t="shared" si="20"/>
        <v>20130101GS3SH</v>
      </c>
      <c r="D176" s="131" t="s">
        <v>421</v>
      </c>
      <c r="E176" s="131" t="str">
        <f t="shared" si="21"/>
        <v>20130101LGCME652</v>
      </c>
      <c r="F176" s="132">
        <v>0</v>
      </c>
      <c r="G176" s="133">
        <v>8.4659999999999999E-2</v>
      </c>
      <c r="H176" s="133">
        <v>0</v>
      </c>
      <c r="I176" s="133">
        <v>0</v>
      </c>
      <c r="J176" s="133">
        <v>0</v>
      </c>
      <c r="K176" s="133">
        <v>9.0000000000000006E-5</v>
      </c>
      <c r="L176" s="133">
        <v>2.215E-2</v>
      </c>
      <c r="M176" s="133">
        <f t="shared" si="22"/>
        <v>6.2419999999999989E-2</v>
      </c>
      <c r="N176" s="133">
        <f t="shared" si="25"/>
        <v>0</v>
      </c>
      <c r="O176" s="133">
        <f t="shared" si="25"/>
        <v>0</v>
      </c>
      <c r="P176" s="133">
        <f t="shared" si="25"/>
        <v>0</v>
      </c>
      <c r="Q176" s="132">
        <v>0</v>
      </c>
      <c r="R176" s="132">
        <v>0</v>
      </c>
      <c r="S176" s="132">
        <v>0</v>
      </c>
      <c r="T176" s="132">
        <v>0</v>
      </c>
      <c r="U176" s="132">
        <v>0</v>
      </c>
      <c r="V176" s="132">
        <v>0</v>
      </c>
      <c r="W176" s="132">
        <v>0</v>
      </c>
      <c r="X176" s="132">
        <v>0</v>
      </c>
      <c r="Y176" s="132">
        <v>0</v>
      </c>
    </row>
    <row r="177" spans="1:25">
      <c r="A177" s="136">
        <v>20130101</v>
      </c>
      <c r="B177" s="131" t="s">
        <v>716</v>
      </c>
      <c r="C177" s="131" t="str">
        <f t="shared" si="20"/>
        <v>20130101G3RP</v>
      </c>
      <c r="D177" s="135" t="s">
        <v>422</v>
      </c>
      <c r="E177" s="131" t="str">
        <f t="shared" si="21"/>
        <v>20130101LGCME656</v>
      </c>
      <c r="F177" s="132">
        <v>0</v>
      </c>
      <c r="G177" s="132">
        <v>0</v>
      </c>
      <c r="H177" s="132">
        <v>0</v>
      </c>
      <c r="I177" s="132">
        <v>0</v>
      </c>
      <c r="J177" s="132">
        <v>0</v>
      </c>
      <c r="K177" s="132">
        <v>0</v>
      </c>
      <c r="L177" s="132">
        <v>0</v>
      </c>
      <c r="M177" s="133">
        <f t="shared" si="22"/>
        <v>0</v>
      </c>
      <c r="N177" s="133">
        <f>H177-K177-L177</f>
        <v>0</v>
      </c>
      <c r="O177" s="133">
        <f>I177-K177-L177</f>
        <v>0</v>
      </c>
      <c r="P177" s="133">
        <f>J177-K177-L177</f>
        <v>0</v>
      </c>
      <c r="Q177" s="132">
        <v>0</v>
      </c>
      <c r="R177" s="132">
        <v>0</v>
      </c>
      <c r="S177" s="132">
        <v>0</v>
      </c>
      <c r="T177" s="132">
        <v>0</v>
      </c>
      <c r="U177" s="132">
        <v>0</v>
      </c>
      <c r="V177" s="132">
        <v>0</v>
      </c>
      <c r="W177" s="132">
        <v>0</v>
      </c>
      <c r="X177" s="132">
        <v>0</v>
      </c>
      <c r="Y177" s="132">
        <v>0</v>
      </c>
    </row>
    <row r="178" spans="1:25">
      <c r="A178" s="136">
        <v>20130101</v>
      </c>
      <c r="B178" s="131" t="s">
        <v>20</v>
      </c>
      <c r="C178" s="131" t="str">
        <f t="shared" si="20"/>
        <v>20130101PSS</v>
      </c>
      <c r="D178" s="131" t="s">
        <v>414</v>
      </c>
      <c r="E178" s="131" t="str">
        <f t="shared" si="21"/>
        <v>20130101LGCME561</v>
      </c>
      <c r="F178" s="132">
        <v>90</v>
      </c>
      <c r="G178" s="133">
        <v>3.5499999999999997E-2</v>
      </c>
      <c r="H178" s="133">
        <v>0</v>
      </c>
      <c r="I178" s="133">
        <v>0</v>
      </c>
      <c r="J178" s="133">
        <v>0</v>
      </c>
      <c r="K178" s="133">
        <v>0</v>
      </c>
      <c r="L178" s="133">
        <f t="shared" ref="L178:L183" si="26">$L$83</f>
        <v>2.215E-2</v>
      </c>
      <c r="M178" s="133">
        <f t="shared" si="22"/>
        <v>1.3349999999999997E-2</v>
      </c>
      <c r="N178" s="133">
        <f t="shared" ref="N178:N198" si="27">IF(H178=0,0,H178-$K178-$L178)</f>
        <v>0</v>
      </c>
      <c r="O178" s="133">
        <f t="shared" ref="O178:O198" si="28">IF(I178=0,0,I178-$K178-$L178)</f>
        <v>0</v>
      </c>
      <c r="P178" s="133">
        <f t="shared" ref="P178:P198" si="29">IF(J178=0,0,J178-$K178-$L178)</f>
        <v>0</v>
      </c>
      <c r="Q178" s="132">
        <v>0</v>
      </c>
      <c r="R178" s="132">
        <v>13.56</v>
      </c>
      <c r="S178" s="132">
        <v>15.95</v>
      </c>
      <c r="T178" s="132">
        <v>0</v>
      </c>
      <c r="U178" s="132">
        <v>0.03</v>
      </c>
      <c r="V178" s="132">
        <v>0.03</v>
      </c>
      <c r="W178" s="58">
        <v>0</v>
      </c>
      <c r="X178" s="58">
        <f t="shared" ref="X178:X191" si="30">R178-U178</f>
        <v>13.530000000000001</v>
      </c>
      <c r="Y178" s="58">
        <f t="shared" ref="Y178:Y191" si="31">S178-V178</f>
        <v>15.92</v>
      </c>
    </row>
    <row r="179" spans="1:25">
      <c r="A179" s="136">
        <v>20130101</v>
      </c>
      <c r="B179" s="131" t="s">
        <v>21</v>
      </c>
      <c r="C179" s="131" t="str">
        <f t="shared" si="20"/>
        <v>20130101PSP</v>
      </c>
      <c r="D179" s="131" t="s">
        <v>415</v>
      </c>
      <c r="E179" s="131" t="str">
        <f t="shared" si="21"/>
        <v>20130101LGCME563</v>
      </c>
      <c r="F179" s="132">
        <v>170</v>
      </c>
      <c r="G179" s="133">
        <v>3.4160000000000003E-2</v>
      </c>
      <c r="H179" s="133">
        <v>0</v>
      </c>
      <c r="I179" s="133">
        <v>0</v>
      </c>
      <c r="J179" s="133">
        <v>0</v>
      </c>
      <c r="K179" s="133">
        <v>0</v>
      </c>
      <c r="L179" s="133">
        <f t="shared" si="26"/>
        <v>2.215E-2</v>
      </c>
      <c r="M179" s="133">
        <f t="shared" si="22"/>
        <v>1.2010000000000003E-2</v>
      </c>
      <c r="N179" s="133">
        <f t="shared" si="27"/>
        <v>0</v>
      </c>
      <c r="O179" s="133">
        <f t="shared" si="28"/>
        <v>0</v>
      </c>
      <c r="P179" s="133">
        <f t="shared" si="29"/>
        <v>0</v>
      </c>
      <c r="Q179" s="132">
        <v>0</v>
      </c>
      <c r="R179" s="132">
        <v>11.21</v>
      </c>
      <c r="S179" s="132">
        <v>13.5</v>
      </c>
      <c r="T179" s="132">
        <v>0</v>
      </c>
      <c r="U179" s="132">
        <v>0.03</v>
      </c>
      <c r="V179" s="132">
        <v>0.03</v>
      </c>
      <c r="W179" s="58">
        <v>0</v>
      </c>
      <c r="X179" s="58">
        <f t="shared" si="30"/>
        <v>11.180000000000001</v>
      </c>
      <c r="Y179" s="58">
        <f t="shared" si="31"/>
        <v>13.47</v>
      </c>
    </row>
    <row r="180" spans="1:25">
      <c r="A180" s="136">
        <v>20130101</v>
      </c>
      <c r="B180" s="131" t="s">
        <v>20</v>
      </c>
      <c r="C180" s="131" t="str">
        <f t="shared" si="20"/>
        <v>20130101PSS</v>
      </c>
      <c r="D180" s="135" t="s">
        <v>416</v>
      </c>
      <c r="E180" s="131" t="str">
        <f t="shared" si="21"/>
        <v>20130101LGCME567</v>
      </c>
      <c r="F180" s="132">
        <v>90</v>
      </c>
      <c r="G180" s="133">
        <v>3.5499999999999997E-2</v>
      </c>
      <c r="H180" s="133">
        <v>0</v>
      </c>
      <c r="I180" s="133">
        <v>0</v>
      </c>
      <c r="J180" s="133">
        <v>0</v>
      </c>
      <c r="K180" s="133">
        <v>0</v>
      </c>
      <c r="L180" s="133">
        <f t="shared" si="26"/>
        <v>2.215E-2</v>
      </c>
      <c r="M180" s="133">
        <f t="shared" si="22"/>
        <v>1.3349999999999997E-2</v>
      </c>
      <c r="N180" s="133">
        <f t="shared" si="27"/>
        <v>0</v>
      </c>
      <c r="O180" s="133">
        <f t="shared" si="28"/>
        <v>0</v>
      </c>
      <c r="P180" s="133">
        <f t="shared" si="29"/>
        <v>0</v>
      </c>
      <c r="Q180" s="132">
        <v>0</v>
      </c>
      <c r="R180" s="132">
        <v>13.56</v>
      </c>
      <c r="S180" s="132">
        <v>15.95</v>
      </c>
      <c r="T180" s="132">
        <v>0</v>
      </c>
      <c r="U180" s="132">
        <v>0.03</v>
      </c>
      <c r="V180" s="132">
        <v>0.03</v>
      </c>
      <c r="W180" s="58">
        <v>0</v>
      </c>
      <c r="X180" s="58">
        <f t="shared" si="30"/>
        <v>13.530000000000001</v>
      </c>
      <c r="Y180" s="58">
        <f t="shared" si="31"/>
        <v>15.92</v>
      </c>
    </row>
    <row r="181" spans="1:25">
      <c r="A181" s="136">
        <v>20130101</v>
      </c>
      <c r="B181" s="135" t="s">
        <v>865</v>
      </c>
      <c r="C181" s="131" t="str">
        <f t="shared" si="20"/>
        <v>20130101PSPNM</v>
      </c>
      <c r="D181" s="135" t="s">
        <v>866</v>
      </c>
      <c r="E181" s="131" t="str">
        <f t="shared" si="21"/>
        <v>20130101LGCME569</v>
      </c>
      <c r="F181" s="132">
        <v>170</v>
      </c>
      <c r="G181" s="133">
        <v>3.4160000000000003E-2</v>
      </c>
      <c r="H181" s="133">
        <v>0</v>
      </c>
      <c r="I181" s="133">
        <v>0</v>
      </c>
      <c r="J181" s="133">
        <v>0</v>
      </c>
      <c r="K181" s="133">
        <v>0</v>
      </c>
      <c r="L181" s="133">
        <f t="shared" si="26"/>
        <v>2.215E-2</v>
      </c>
      <c r="M181" s="133">
        <f t="shared" si="22"/>
        <v>1.2010000000000003E-2</v>
      </c>
      <c r="N181" s="133">
        <f t="shared" si="27"/>
        <v>0</v>
      </c>
      <c r="O181" s="133">
        <f t="shared" si="28"/>
        <v>0</v>
      </c>
      <c r="P181" s="133">
        <f t="shared" si="29"/>
        <v>0</v>
      </c>
      <c r="Q181" s="132">
        <v>0</v>
      </c>
      <c r="R181" s="132">
        <v>11.21</v>
      </c>
      <c r="S181" s="132">
        <v>13.5</v>
      </c>
      <c r="T181" s="132">
        <v>0</v>
      </c>
      <c r="U181" s="132">
        <v>0.03</v>
      </c>
      <c r="V181" s="132">
        <v>0.03</v>
      </c>
      <c r="W181" s="58">
        <v>0</v>
      </c>
      <c r="X181" s="58">
        <f t="shared" si="30"/>
        <v>11.180000000000001</v>
      </c>
      <c r="Y181" s="58">
        <f t="shared" si="31"/>
        <v>13.47</v>
      </c>
    </row>
    <row r="182" spans="1:25">
      <c r="A182" s="136">
        <v>20130101</v>
      </c>
      <c r="B182" s="131" t="s">
        <v>449</v>
      </c>
      <c r="C182" s="131" t="str">
        <f t="shared" si="20"/>
        <v>20130101CTODS</v>
      </c>
      <c r="D182" s="131" t="s">
        <v>417</v>
      </c>
      <c r="E182" s="131" t="str">
        <f t="shared" si="21"/>
        <v>20130101LGCME591</v>
      </c>
      <c r="F182" s="132">
        <v>200</v>
      </c>
      <c r="G182" s="133">
        <v>3.4799999999999998E-2</v>
      </c>
      <c r="H182" s="133">
        <v>0</v>
      </c>
      <c r="I182" s="133">
        <v>0</v>
      </c>
      <c r="J182" s="133">
        <v>0</v>
      </c>
      <c r="K182" s="133">
        <v>0</v>
      </c>
      <c r="L182" s="133">
        <f t="shared" si="26"/>
        <v>2.215E-2</v>
      </c>
      <c r="M182" s="133">
        <f t="shared" si="22"/>
        <v>1.2649999999999998E-2</v>
      </c>
      <c r="N182" s="133">
        <f t="shared" si="27"/>
        <v>0</v>
      </c>
      <c r="O182" s="133">
        <f t="shared" si="28"/>
        <v>0</v>
      </c>
      <c r="P182" s="133">
        <f t="shared" si="29"/>
        <v>0</v>
      </c>
      <c r="Q182" s="132">
        <v>3.85</v>
      </c>
      <c r="R182" s="132">
        <v>4.3600000000000003</v>
      </c>
      <c r="S182" s="132">
        <v>5.96</v>
      </c>
      <c r="T182" s="132">
        <v>0.01</v>
      </c>
      <c r="U182" s="132">
        <v>0.01</v>
      </c>
      <c r="V182" s="132">
        <v>0.01</v>
      </c>
      <c r="W182" s="58">
        <f>Q182-T182</f>
        <v>3.8400000000000003</v>
      </c>
      <c r="X182" s="58">
        <f t="shared" si="30"/>
        <v>4.3500000000000005</v>
      </c>
      <c r="Y182" s="58">
        <f t="shared" si="31"/>
        <v>5.95</v>
      </c>
    </row>
    <row r="183" spans="1:25">
      <c r="A183" s="136">
        <v>20130101</v>
      </c>
      <c r="B183" s="131" t="s">
        <v>448</v>
      </c>
      <c r="C183" s="131" t="str">
        <f t="shared" si="20"/>
        <v>20130101CTODP</v>
      </c>
      <c r="D183" s="131" t="s">
        <v>418</v>
      </c>
      <c r="E183" s="131" t="str">
        <f t="shared" si="21"/>
        <v>20130101LGCME593</v>
      </c>
      <c r="F183" s="132">
        <v>300</v>
      </c>
      <c r="G183" s="133">
        <v>3.3000000000000002E-2</v>
      </c>
      <c r="H183" s="133">
        <v>0</v>
      </c>
      <c r="I183" s="133">
        <v>0</v>
      </c>
      <c r="J183" s="133">
        <v>0</v>
      </c>
      <c r="K183" s="133">
        <v>0</v>
      </c>
      <c r="L183" s="133">
        <f t="shared" si="26"/>
        <v>2.215E-2</v>
      </c>
      <c r="M183" s="133">
        <f t="shared" si="22"/>
        <v>1.0850000000000002E-2</v>
      </c>
      <c r="N183" s="133">
        <f t="shared" si="27"/>
        <v>0</v>
      </c>
      <c r="O183" s="133">
        <f t="shared" si="28"/>
        <v>0</v>
      </c>
      <c r="P183" s="133">
        <f t="shared" si="29"/>
        <v>0</v>
      </c>
      <c r="Q183" s="132">
        <v>3.85</v>
      </c>
      <c r="R183" s="132">
        <v>4</v>
      </c>
      <c r="S183" s="132">
        <v>5.7</v>
      </c>
      <c r="T183" s="132">
        <v>0.01</v>
      </c>
      <c r="U183" s="132">
        <v>0.01</v>
      </c>
      <c r="V183" s="132">
        <v>0.01</v>
      </c>
      <c r="W183" s="58">
        <f>Q183-T183</f>
        <v>3.8400000000000003</v>
      </c>
      <c r="X183" s="58">
        <f t="shared" si="30"/>
        <v>3.99</v>
      </c>
      <c r="Y183" s="58">
        <f t="shared" si="31"/>
        <v>5.69</v>
      </c>
    </row>
    <row r="184" spans="1:25">
      <c r="A184" s="136">
        <v>20130101</v>
      </c>
      <c r="B184" s="131" t="s">
        <v>20</v>
      </c>
      <c r="C184" s="131" t="str">
        <f t="shared" si="20"/>
        <v>20130101PSS</v>
      </c>
      <c r="D184" s="131" t="s">
        <v>428</v>
      </c>
      <c r="E184" s="131" t="str">
        <f t="shared" si="21"/>
        <v>20130101LGINE661</v>
      </c>
      <c r="F184" s="132">
        <v>90</v>
      </c>
      <c r="G184" s="133">
        <v>3.5499999999999997E-2</v>
      </c>
      <c r="H184" s="133">
        <v>0</v>
      </c>
      <c r="I184" s="133">
        <v>0</v>
      </c>
      <c r="J184" s="133">
        <v>0</v>
      </c>
      <c r="K184" s="133">
        <v>0</v>
      </c>
      <c r="L184" s="133">
        <v>2.215E-2</v>
      </c>
      <c r="M184" s="82">
        <f t="shared" si="22"/>
        <v>1.3349999999999997E-2</v>
      </c>
      <c r="N184" s="133">
        <f t="shared" si="27"/>
        <v>0</v>
      </c>
      <c r="O184" s="133">
        <f t="shared" si="28"/>
        <v>0</v>
      </c>
      <c r="P184" s="133">
        <f t="shared" si="29"/>
        <v>0</v>
      </c>
      <c r="Q184" s="132">
        <v>0</v>
      </c>
      <c r="R184" s="132">
        <v>13.56</v>
      </c>
      <c r="S184" s="132">
        <v>15.95</v>
      </c>
      <c r="T184" s="132">
        <v>0</v>
      </c>
      <c r="U184" s="132">
        <v>0.03</v>
      </c>
      <c r="V184" s="132">
        <v>0.03</v>
      </c>
      <c r="W184" s="58">
        <v>0</v>
      </c>
      <c r="X184" s="58">
        <f t="shared" si="30"/>
        <v>13.530000000000001</v>
      </c>
      <c r="Y184" s="58">
        <f t="shared" si="31"/>
        <v>15.92</v>
      </c>
    </row>
    <row r="185" spans="1:25">
      <c r="A185" s="136">
        <v>20130101</v>
      </c>
      <c r="B185" s="131" t="s">
        <v>21</v>
      </c>
      <c r="C185" s="131" t="str">
        <f t="shared" si="20"/>
        <v>20130101PSP</v>
      </c>
      <c r="D185" s="131" t="s">
        <v>429</v>
      </c>
      <c r="E185" s="131" t="str">
        <f t="shared" si="21"/>
        <v>20130101LGINE663</v>
      </c>
      <c r="F185" s="132">
        <v>170</v>
      </c>
      <c r="G185" s="133">
        <v>3.4160000000000003E-2</v>
      </c>
      <c r="H185" s="133">
        <v>0</v>
      </c>
      <c r="I185" s="133">
        <v>0</v>
      </c>
      <c r="J185" s="133">
        <v>0</v>
      </c>
      <c r="K185" s="133">
        <v>0</v>
      </c>
      <c r="L185" s="133">
        <v>2.215E-2</v>
      </c>
      <c r="M185" s="82">
        <f t="shared" si="22"/>
        <v>1.2010000000000003E-2</v>
      </c>
      <c r="N185" s="133">
        <f t="shared" si="27"/>
        <v>0</v>
      </c>
      <c r="O185" s="133">
        <f t="shared" si="28"/>
        <v>0</v>
      </c>
      <c r="P185" s="133">
        <f t="shared" si="29"/>
        <v>0</v>
      </c>
      <c r="Q185" s="132">
        <v>0</v>
      </c>
      <c r="R185" s="132">
        <v>11.21</v>
      </c>
      <c r="S185" s="132">
        <v>13.5</v>
      </c>
      <c r="T185" s="132">
        <v>0</v>
      </c>
      <c r="U185" s="132">
        <v>0.03</v>
      </c>
      <c r="V185" s="132">
        <v>0.03</v>
      </c>
      <c r="W185" s="58">
        <v>0</v>
      </c>
      <c r="X185" s="58">
        <f t="shared" si="30"/>
        <v>11.180000000000001</v>
      </c>
      <c r="Y185" s="58">
        <f t="shared" si="31"/>
        <v>13.47</v>
      </c>
    </row>
    <row r="186" spans="1:25">
      <c r="A186" s="136">
        <v>20130101</v>
      </c>
      <c r="B186" s="131" t="s">
        <v>461</v>
      </c>
      <c r="C186" s="131" t="str">
        <f t="shared" si="20"/>
        <v>20130101ITODS</v>
      </c>
      <c r="D186" s="131" t="s">
        <v>430</v>
      </c>
      <c r="E186" s="131" t="str">
        <f t="shared" si="21"/>
        <v>20130101LGINE691</v>
      </c>
      <c r="F186" s="132">
        <v>200</v>
      </c>
      <c r="G186" s="82">
        <v>3.4799999999999998E-2</v>
      </c>
      <c r="H186" s="133">
        <v>0</v>
      </c>
      <c r="I186" s="133">
        <v>0</v>
      </c>
      <c r="J186" s="133">
        <v>0</v>
      </c>
      <c r="K186" s="133">
        <v>0</v>
      </c>
      <c r="L186" s="82">
        <v>2.215E-2</v>
      </c>
      <c r="M186" s="82">
        <f t="shared" si="22"/>
        <v>1.2649999999999998E-2</v>
      </c>
      <c r="N186" s="133">
        <f t="shared" si="27"/>
        <v>0</v>
      </c>
      <c r="O186" s="133">
        <f t="shared" si="28"/>
        <v>0</v>
      </c>
      <c r="P186" s="133">
        <f t="shared" si="29"/>
        <v>0</v>
      </c>
      <c r="Q186" s="132">
        <v>3.85</v>
      </c>
      <c r="R186" s="132">
        <v>4.3600000000000003</v>
      </c>
      <c r="S186" s="132">
        <v>5.96</v>
      </c>
      <c r="T186" s="132">
        <v>0.01</v>
      </c>
      <c r="U186" s="132">
        <v>0.01</v>
      </c>
      <c r="V186" s="132">
        <v>0.01</v>
      </c>
      <c r="W186" s="58">
        <f t="shared" ref="W186:W191" si="32">Q186-T186</f>
        <v>3.8400000000000003</v>
      </c>
      <c r="X186" s="58">
        <f t="shared" si="30"/>
        <v>4.3500000000000005</v>
      </c>
      <c r="Y186" s="58">
        <f t="shared" si="31"/>
        <v>5.95</v>
      </c>
    </row>
    <row r="187" spans="1:25">
      <c r="A187" s="136">
        <v>20130101</v>
      </c>
      <c r="B187" s="131" t="s">
        <v>460</v>
      </c>
      <c r="C187" s="131" t="str">
        <f t="shared" si="20"/>
        <v>20130101ITODP</v>
      </c>
      <c r="D187" s="131" t="s">
        <v>431</v>
      </c>
      <c r="E187" s="131" t="str">
        <f t="shared" si="21"/>
        <v>20130101LGINE693</v>
      </c>
      <c r="F187" s="132">
        <f>$F$106</f>
        <v>300</v>
      </c>
      <c r="G187" s="82">
        <v>3.0280000000000001E-2</v>
      </c>
      <c r="H187" s="133">
        <v>0</v>
      </c>
      <c r="I187" s="133">
        <v>0</v>
      </c>
      <c r="J187" s="133">
        <v>0</v>
      </c>
      <c r="K187" s="133">
        <v>0</v>
      </c>
      <c r="L187" s="82">
        <v>2.215E-2</v>
      </c>
      <c r="M187" s="82">
        <f t="shared" si="22"/>
        <v>8.1300000000000018E-3</v>
      </c>
      <c r="N187" s="133">
        <f t="shared" si="27"/>
        <v>0</v>
      </c>
      <c r="O187" s="133">
        <f t="shared" si="28"/>
        <v>0</v>
      </c>
      <c r="P187" s="133">
        <f t="shared" si="29"/>
        <v>0</v>
      </c>
      <c r="Q187" s="132">
        <v>3.5</v>
      </c>
      <c r="R187" s="132">
        <v>3.66</v>
      </c>
      <c r="S187" s="132">
        <v>4.5</v>
      </c>
      <c r="T187" s="132">
        <v>0.01</v>
      </c>
      <c r="U187" s="132">
        <v>0.01</v>
      </c>
      <c r="V187" s="132">
        <v>0.01</v>
      </c>
      <c r="W187" s="58">
        <f t="shared" si="32"/>
        <v>3.49</v>
      </c>
      <c r="X187" s="58">
        <f t="shared" si="30"/>
        <v>3.6500000000000004</v>
      </c>
      <c r="Y187" s="58">
        <f t="shared" si="31"/>
        <v>4.49</v>
      </c>
    </row>
    <row r="188" spans="1:25">
      <c r="A188" s="136">
        <v>20130101</v>
      </c>
      <c r="B188" s="131" t="s">
        <v>460</v>
      </c>
      <c r="C188" s="131" t="str">
        <f t="shared" si="20"/>
        <v>20130101ITODP</v>
      </c>
      <c r="D188" s="131" t="s">
        <v>432</v>
      </c>
      <c r="E188" s="131" t="str">
        <f t="shared" si="21"/>
        <v>20130101LGINE694</v>
      </c>
      <c r="F188" s="132">
        <f>$F$106</f>
        <v>300</v>
      </c>
      <c r="G188" s="82">
        <v>3.0280000000000001E-2</v>
      </c>
      <c r="H188" s="133">
        <v>0</v>
      </c>
      <c r="I188" s="133">
        <v>0</v>
      </c>
      <c r="J188" s="133">
        <v>0</v>
      </c>
      <c r="K188" s="133">
        <v>0</v>
      </c>
      <c r="L188" s="82">
        <v>2.215E-2</v>
      </c>
      <c r="M188" s="82">
        <f t="shared" si="22"/>
        <v>8.1300000000000018E-3</v>
      </c>
      <c r="N188" s="133">
        <f t="shared" si="27"/>
        <v>0</v>
      </c>
      <c r="O188" s="133">
        <f t="shared" si="28"/>
        <v>0</v>
      </c>
      <c r="P188" s="133">
        <f t="shared" si="29"/>
        <v>0</v>
      </c>
      <c r="Q188" s="132">
        <v>3.5</v>
      </c>
      <c r="R188" s="132">
        <v>3.66</v>
      </c>
      <c r="S188" s="132">
        <v>4.5</v>
      </c>
      <c r="T188" s="132">
        <v>0.01</v>
      </c>
      <c r="U188" s="132">
        <v>0.01</v>
      </c>
      <c r="V188" s="132">
        <v>0.01</v>
      </c>
      <c r="W188" s="58">
        <f t="shared" si="32"/>
        <v>3.49</v>
      </c>
      <c r="X188" s="58">
        <f t="shared" si="30"/>
        <v>3.6500000000000004</v>
      </c>
      <c r="Y188" s="58">
        <f t="shared" si="31"/>
        <v>4.49</v>
      </c>
    </row>
    <row r="189" spans="1:25">
      <c r="A189" s="136">
        <v>20130101</v>
      </c>
      <c r="B189" s="131" t="s">
        <v>15</v>
      </c>
      <c r="C189" s="131" t="str">
        <f t="shared" si="20"/>
        <v>20130101RTS</v>
      </c>
      <c r="D189" s="131" t="s">
        <v>427</v>
      </c>
      <c r="E189" s="131" t="str">
        <f t="shared" si="21"/>
        <v>20130101LGINE643</v>
      </c>
      <c r="F189" s="132">
        <v>750</v>
      </c>
      <c r="G189" s="133">
        <v>3.1E-2</v>
      </c>
      <c r="H189" s="133">
        <v>0</v>
      </c>
      <c r="I189" s="133">
        <v>0</v>
      </c>
      <c r="J189" s="133">
        <v>0</v>
      </c>
      <c r="K189" s="133">
        <v>0</v>
      </c>
      <c r="L189" s="133">
        <v>2.215E-2</v>
      </c>
      <c r="M189" s="133">
        <f t="shared" si="22"/>
        <v>8.8500000000000002E-3</v>
      </c>
      <c r="N189" s="133">
        <f t="shared" si="27"/>
        <v>0</v>
      </c>
      <c r="O189" s="133">
        <f t="shared" si="28"/>
        <v>0</v>
      </c>
      <c r="P189" s="133">
        <f t="shared" si="29"/>
        <v>0</v>
      </c>
      <c r="Q189" s="132">
        <v>2.65</v>
      </c>
      <c r="R189" s="132">
        <v>2.9</v>
      </c>
      <c r="S189" s="132">
        <v>4.45</v>
      </c>
      <c r="T189" s="132">
        <v>0.01</v>
      </c>
      <c r="U189" s="132">
        <v>0.01</v>
      </c>
      <c r="V189" s="132">
        <v>0.01</v>
      </c>
      <c r="W189" s="58">
        <f t="shared" si="32"/>
        <v>2.64</v>
      </c>
      <c r="X189" s="58">
        <f t="shared" si="30"/>
        <v>2.89</v>
      </c>
      <c r="Y189" s="58">
        <f t="shared" si="31"/>
        <v>4.4400000000000004</v>
      </c>
    </row>
    <row r="190" spans="1:25">
      <c r="A190" s="136">
        <v>20130101</v>
      </c>
      <c r="B190" s="131" t="s">
        <v>22</v>
      </c>
      <c r="C190" s="131" t="str">
        <f t="shared" si="20"/>
        <v>20130101FLSP</v>
      </c>
      <c r="D190" s="135" t="s">
        <v>867</v>
      </c>
      <c r="E190" s="131" t="str">
        <f t="shared" si="21"/>
        <v>20130101LGINE682</v>
      </c>
      <c r="F190" s="132">
        <v>750</v>
      </c>
      <c r="G190" s="133">
        <v>3.1E-2</v>
      </c>
      <c r="H190" s="133">
        <v>0</v>
      </c>
      <c r="I190" s="133">
        <v>0</v>
      </c>
      <c r="J190" s="133">
        <v>0</v>
      </c>
      <c r="K190" s="133">
        <v>0</v>
      </c>
      <c r="L190" s="133">
        <v>2.215E-2</v>
      </c>
      <c r="M190" s="133">
        <f t="shared" si="22"/>
        <v>8.8500000000000002E-3</v>
      </c>
      <c r="N190" s="133">
        <f t="shared" si="27"/>
        <v>0</v>
      </c>
      <c r="O190" s="133">
        <f t="shared" si="28"/>
        <v>0</v>
      </c>
      <c r="P190" s="133">
        <f t="shared" si="29"/>
        <v>0</v>
      </c>
      <c r="Q190" s="132">
        <v>1.79</v>
      </c>
      <c r="R190" s="132">
        <v>1.79</v>
      </c>
      <c r="S190" s="132">
        <v>2.84</v>
      </c>
      <c r="T190" s="132">
        <v>0.01</v>
      </c>
      <c r="U190" s="132">
        <v>0.01</v>
      </c>
      <c r="V190" s="132">
        <v>0.01</v>
      </c>
      <c r="W190" s="58">
        <f t="shared" si="32"/>
        <v>1.78</v>
      </c>
      <c r="X190" s="58">
        <f t="shared" si="30"/>
        <v>1.78</v>
      </c>
      <c r="Y190" s="58">
        <f t="shared" si="31"/>
        <v>2.83</v>
      </c>
    </row>
    <row r="191" spans="1:25">
      <c r="A191" s="136">
        <v>20130101</v>
      </c>
      <c r="B191" s="131" t="s">
        <v>23</v>
      </c>
      <c r="C191" s="131" t="str">
        <f t="shared" si="20"/>
        <v>20130101FLST</v>
      </c>
      <c r="D191" s="135" t="s">
        <v>868</v>
      </c>
      <c r="E191" s="131" t="str">
        <f t="shared" si="21"/>
        <v>20130101LGINE683</v>
      </c>
      <c r="F191" s="132">
        <v>750</v>
      </c>
      <c r="G191" s="133">
        <v>3.1E-2</v>
      </c>
      <c r="H191" s="133">
        <v>0</v>
      </c>
      <c r="I191" s="133">
        <v>0</v>
      </c>
      <c r="J191" s="133">
        <v>0</v>
      </c>
      <c r="K191" s="133">
        <v>0</v>
      </c>
      <c r="L191" s="133">
        <v>2.215E-2</v>
      </c>
      <c r="M191" s="133">
        <f t="shared" si="22"/>
        <v>8.8500000000000002E-3</v>
      </c>
      <c r="N191" s="133">
        <f t="shared" si="27"/>
        <v>0</v>
      </c>
      <c r="O191" s="133">
        <f t="shared" si="28"/>
        <v>0</v>
      </c>
      <c r="P191" s="133">
        <f t="shared" si="29"/>
        <v>0</v>
      </c>
      <c r="Q191" s="132">
        <v>1.04</v>
      </c>
      <c r="R191" s="132">
        <v>1.79</v>
      </c>
      <c r="S191" s="132">
        <v>2.84</v>
      </c>
      <c r="T191" s="132">
        <v>0.01</v>
      </c>
      <c r="U191" s="132">
        <v>0.01</v>
      </c>
      <c r="V191" s="132">
        <v>0.01</v>
      </c>
      <c r="W191" s="58">
        <f t="shared" si="32"/>
        <v>1.03</v>
      </c>
      <c r="X191" s="58">
        <f t="shared" si="30"/>
        <v>1.78</v>
      </c>
      <c r="Y191" s="58">
        <f t="shared" si="31"/>
        <v>2.83</v>
      </c>
    </row>
    <row r="192" spans="1:25">
      <c r="A192" s="136">
        <v>20130101</v>
      </c>
      <c r="B192" s="131" t="s">
        <v>17</v>
      </c>
      <c r="C192" s="131" t="str">
        <f t="shared" si="20"/>
        <v>20130101LE</v>
      </c>
      <c r="D192" s="131" t="s">
        <v>433</v>
      </c>
      <c r="E192" s="131" t="str">
        <f t="shared" si="21"/>
        <v>20130101LGMLE570</v>
      </c>
      <c r="F192" s="132">
        <v>0</v>
      </c>
      <c r="G192" s="133">
        <v>5.8470000000000001E-2</v>
      </c>
      <c r="H192" s="133">
        <v>0</v>
      </c>
      <c r="I192" s="133">
        <v>0</v>
      </c>
      <c r="J192" s="133">
        <v>0</v>
      </c>
      <c r="K192" s="133">
        <v>6.0000000000000002E-5</v>
      </c>
      <c r="L192" s="82">
        <v>2.215E-2</v>
      </c>
      <c r="M192" s="82">
        <f t="shared" si="22"/>
        <v>3.6260000000000001E-2</v>
      </c>
      <c r="N192" s="133">
        <f t="shared" si="27"/>
        <v>0</v>
      </c>
      <c r="O192" s="133">
        <f t="shared" si="28"/>
        <v>0</v>
      </c>
      <c r="P192" s="133">
        <f t="shared" si="29"/>
        <v>0</v>
      </c>
      <c r="Q192" s="132">
        <v>0</v>
      </c>
      <c r="R192" s="132">
        <v>0</v>
      </c>
      <c r="S192" s="132">
        <v>0</v>
      </c>
      <c r="T192" s="132">
        <v>0</v>
      </c>
      <c r="U192" s="132">
        <v>0</v>
      </c>
      <c r="V192" s="132">
        <v>0</v>
      </c>
      <c r="W192" s="132">
        <v>0</v>
      </c>
      <c r="X192" s="132">
        <v>0</v>
      </c>
      <c r="Y192" s="132">
        <v>0</v>
      </c>
    </row>
    <row r="193" spans="1:25">
      <c r="A193" s="136">
        <v>20130101</v>
      </c>
      <c r="B193" s="131" t="s">
        <v>17</v>
      </c>
      <c r="C193" s="131" t="str">
        <f t="shared" si="20"/>
        <v>20130101LE</v>
      </c>
      <c r="D193" s="131" t="s">
        <v>434</v>
      </c>
      <c r="E193" s="131" t="str">
        <f t="shared" si="21"/>
        <v>20130101LGMLE571</v>
      </c>
      <c r="F193" s="132">
        <v>0</v>
      </c>
      <c r="G193" s="133">
        <v>5.8470000000000001E-2</v>
      </c>
      <c r="H193" s="133">
        <v>0</v>
      </c>
      <c r="I193" s="133">
        <v>0</v>
      </c>
      <c r="J193" s="133">
        <v>0</v>
      </c>
      <c r="K193" s="133">
        <v>6.0000000000000002E-5</v>
      </c>
      <c r="L193" s="82">
        <v>2.215E-2</v>
      </c>
      <c r="M193" s="82">
        <f t="shared" si="22"/>
        <v>3.6260000000000001E-2</v>
      </c>
      <c r="N193" s="133">
        <f t="shared" si="27"/>
        <v>0</v>
      </c>
      <c r="O193" s="133">
        <f t="shared" si="28"/>
        <v>0</v>
      </c>
      <c r="P193" s="133">
        <f t="shared" si="29"/>
        <v>0</v>
      </c>
      <c r="Q193" s="132">
        <v>0</v>
      </c>
      <c r="R193" s="132">
        <v>0</v>
      </c>
      <c r="S193" s="132">
        <v>0</v>
      </c>
      <c r="T193" s="132">
        <v>0</v>
      </c>
      <c r="U193" s="132">
        <v>0</v>
      </c>
      <c r="V193" s="132">
        <v>0</v>
      </c>
      <c r="W193" s="132">
        <v>0</v>
      </c>
      <c r="X193" s="132">
        <v>0</v>
      </c>
      <c r="Y193" s="132">
        <v>0</v>
      </c>
    </row>
    <row r="194" spans="1:25">
      <c r="A194" s="136">
        <v>20130101</v>
      </c>
      <c r="B194" s="131" t="s">
        <v>17</v>
      </c>
      <c r="C194" s="131" t="str">
        <f t="shared" si="20"/>
        <v>20130101LE</v>
      </c>
      <c r="D194" s="131" t="s">
        <v>435</v>
      </c>
      <c r="E194" s="131" t="str">
        <f t="shared" si="21"/>
        <v>20130101LGMLE572</v>
      </c>
      <c r="F194" s="132">
        <v>0</v>
      </c>
      <c r="G194" s="133">
        <v>5.8470000000000001E-2</v>
      </c>
      <c r="H194" s="133">
        <v>0</v>
      </c>
      <c r="I194" s="133">
        <v>0</v>
      </c>
      <c r="J194" s="133">
        <v>0</v>
      </c>
      <c r="K194" s="133">
        <v>6.0000000000000002E-5</v>
      </c>
      <c r="L194" s="82">
        <v>2.215E-2</v>
      </c>
      <c r="M194" s="82">
        <f t="shared" si="22"/>
        <v>3.6260000000000001E-2</v>
      </c>
      <c r="N194" s="133">
        <f t="shared" si="27"/>
        <v>0</v>
      </c>
      <c r="O194" s="133">
        <f t="shared" si="28"/>
        <v>0</v>
      </c>
      <c r="P194" s="133">
        <f t="shared" si="29"/>
        <v>0</v>
      </c>
      <c r="Q194" s="132">
        <v>0</v>
      </c>
      <c r="R194" s="132">
        <v>0</v>
      </c>
      <c r="S194" s="132">
        <v>0</v>
      </c>
      <c r="T194" s="132">
        <v>0</v>
      </c>
      <c r="U194" s="132">
        <v>0</v>
      </c>
      <c r="V194" s="132">
        <v>0</v>
      </c>
      <c r="W194" s="132">
        <v>0</v>
      </c>
      <c r="X194" s="132">
        <v>0</v>
      </c>
      <c r="Y194" s="132">
        <v>0</v>
      </c>
    </row>
    <row r="195" spans="1:25">
      <c r="A195" s="136">
        <v>20130101</v>
      </c>
      <c r="B195" s="131" t="s">
        <v>18</v>
      </c>
      <c r="C195" s="131" t="str">
        <f t="shared" si="20"/>
        <v>20130101TE</v>
      </c>
      <c r="D195" s="131" t="s">
        <v>436</v>
      </c>
      <c r="E195" s="131" t="str">
        <f t="shared" si="21"/>
        <v>20130101LGMLE573</v>
      </c>
      <c r="F195" s="132">
        <v>3.25</v>
      </c>
      <c r="G195" s="133">
        <v>7.0440000000000003E-2</v>
      </c>
      <c r="H195" s="133">
        <v>0</v>
      </c>
      <c r="I195" s="133">
        <v>0</v>
      </c>
      <c r="J195" s="133">
        <v>0</v>
      </c>
      <c r="K195" s="133">
        <v>6.0000000000000002E-5</v>
      </c>
      <c r="L195" s="82">
        <v>2.215E-2</v>
      </c>
      <c r="M195" s="82">
        <f t="shared" si="22"/>
        <v>4.8229999999999995E-2</v>
      </c>
      <c r="N195" s="133">
        <f t="shared" si="27"/>
        <v>0</v>
      </c>
      <c r="O195" s="133">
        <f t="shared" si="28"/>
        <v>0</v>
      </c>
      <c r="P195" s="133">
        <f t="shared" si="29"/>
        <v>0</v>
      </c>
      <c r="Q195" s="132">
        <v>0</v>
      </c>
      <c r="R195" s="132">
        <v>0</v>
      </c>
      <c r="S195" s="132">
        <v>0</v>
      </c>
      <c r="T195" s="132">
        <v>0</v>
      </c>
      <c r="U195" s="132">
        <v>0</v>
      </c>
      <c r="V195" s="132">
        <v>0</v>
      </c>
      <c r="W195" s="132">
        <v>0</v>
      </c>
      <c r="X195" s="132">
        <v>0</v>
      </c>
      <c r="Y195" s="132">
        <v>0</v>
      </c>
    </row>
    <row r="196" spans="1:25">
      <c r="A196" s="136">
        <v>20130101</v>
      </c>
      <c r="B196" s="131" t="s">
        <v>18</v>
      </c>
      <c r="C196" s="131" t="str">
        <f t="shared" si="20"/>
        <v>20130101TE</v>
      </c>
      <c r="D196" s="131" t="s">
        <v>437</v>
      </c>
      <c r="E196" s="131" t="str">
        <f t="shared" si="21"/>
        <v>20130101LGMLE574</v>
      </c>
      <c r="F196" s="132">
        <v>3.25</v>
      </c>
      <c r="G196" s="133">
        <v>7.0440000000000003E-2</v>
      </c>
      <c r="H196" s="133">
        <v>0</v>
      </c>
      <c r="I196" s="133">
        <v>0</v>
      </c>
      <c r="J196" s="133">
        <v>0</v>
      </c>
      <c r="K196" s="133">
        <v>6.0000000000000002E-5</v>
      </c>
      <c r="L196" s="82">
        <v>2.215E-2</v>
      </c>
      <c r="M196" s="82">
        <f t="shared" si="22"/>
        <v>4.8229999999999995E-2</v>
      </c>
      <c r="N196" s="133">
        <f t="shared" si="27"/>
        <v>0</v>
      </c>
      <c r="O196" s="133">
        <f t="shared" si="28"/>
        <v>0</v>
      </c>
      <c r="P196" s="133">
        <f t="shared" si="29"/>
        <v>0</v>
      </c>
      <c r="Q196" s="132">
        <v>0</v>
      </c>
      <c r="R196" s="132">
        <v>0</v>
      </c>
      <c r="S196" s="132">
        <v>0</v>
      </c>
      <c r="T196" s="132">
        <v>0</v>
      </c>
      <c r="U196" s="132">
        <v>0</v>
      </c>
      <c r="V196" s="132">
        <v>0</v>
      </c>
      <c r="W196" s="132">
        <v>0</v>
      </c>
      <c r="X196" s="132">
        <v>0</v>
      </c>
      <c r="Y196" s="132">
        <v>0</v>
      </c>
    </row>
    <row r="197" spans="1:25">
      <c r="A197" s="136">
        <v>20130101</v>
      </c>
      <c r="B197" s="131" t="s">
        <v>18</v>
      </c>
      <c r="C197" s="131" t="str">
        <f t="shared" si="20"/>
        <v>20130101TE</v>
      </c>
      <c r="D197" s="135" t="s">
        <v>869</v>
      </c>
      <c r="E197" s="131" t="str">
        <f t="shared" si="21"/>
        <v>20130101LGMLE575</v>
      </c>
      <c r="F197" s="132">
        <v>3.25</v>
      </c>
      <c r="G197" s="133">
        <v>7.0440000000000003E-2</v>
      </c>
      <c r="H197" s="133">
        <v>0</v>
      </c>
      <c r="I197" s="133">
        <v>0</v>
      </c>
      <c r="J197" s="133">
        <v>0</v>
      </c>
      <c r="K197" s="133">
        <v>6.0000000000000002E-5</v>
      </c>
      <c r="L197" s="82">
        <v>2.215E-2</v>
      </c>
      <c r="M197" s="82">
        <f t="shared" si="22"/>
        <v>4.8229999999999995E-2</v>
      </c>
      <c r="N197" s="133">
        <f t="shared" si="27"/>
        <v>0</v>
      </c>
      <c r="O197" s="133">
        <f t="shared" si="28"/>
        <v>0</v>
      </c>
      <c r="P197" s="133">
        <f t="shared" si="29"/>
        <v>0</v>
      </c>
      <c r="Q197" s="132">
        <v>0</v>
      </c>
      <c r="R197" s="132">
        <v>0</v>
      </c>
      <c r="S197" s="132">
        <v>0</v>
      </c>
      <c r="T197" s="132">
        <v>0</v>
      </c>
      <c r="U197" s="132">
        <v>0</v>
      </c>
      <c r="V197" s="132">
        <v>0</v>
      </c>
      <c r="W197" s="132">
        <v>0</v>
      </c>
      <c r="X197" s="132">
        <v>0</v>
      </c>
      <c r="Y197" s="132">
        <v>0</v>
      </c>
    </row>
    <row r="198" spans="1:25">
      <c r="A198" s="136">
        <v>20130101</v>
      </c>
      <c r="B198" s="131" t="s">
        <v>18</v>
      </c>
      <c r="C198" s="131" t="str">
        <f t="shared" si="20"/>
        <v>20130101TE</v>
      </c>
      <c r="D198" s="135" t="s">
        <v>870</v>
      </c>
      <c r="E198" s="131" t="str">
        <f t="shared" si="21"/>
        <v>20130101LGMLE577</v>
      </c>
      <c r="F198" s="132">
        <v>3.25</v>
      </c>
      <c r="G198" s="133">
        <v>7.0440000000000003E-2</v>
      </c>
      <c r="H198" s="133">
        <v>0</v>
      </c>
      <c r="I198" s="133">
        <v>0</v>
      </c>
      <c r="J198" s="133">
        <v>0</v>
      </c>
      <c r="K198" s="133">
        <v>6.0000000000000002E-5</v>
      </c>
      <c r="L198" s="82">
        <v>2.215E-2</v>
      </c>
      <c r="M198" s="82">
        <f t="shared" si="22"/>
        <v>4.8229999999999995E-2</v>
      </c>
      <c r="N198" s="133">
        <f t="shared" si="27"/>
        <v>0</v>
      </c>
      <c r="O198" s="133">
        <f t="shared" si="28"/>
        <v>0</v>
      </c>
      <c r="P198" s="133">
        <f t="shared" si="29"/>
        <v>0</v>
      </c>
      <c r="Q198" s="132">
        <v>0</v>
      </c>
      <c r="R198" s="132">
        <v>0</v>
      </c>
      <c r="S198" s="132">
        <v>0</v>
      </c>
      <c r="T198" s="132">
        <v>0</v>
      </c>
      <c r="U198" s="132">
        <v>0</v>
      </c>
      <c r="V198" s="132">
        <v>0</v>
      </c>
      <c r="W198" s="132">
        <v>0</v>
      </c>
      <c r="X198" s="132">
        <v>0</v>
      </c>
      <c r="Y198" s="132">
        <v>0</v>
      </c>
    </row>
    <row r="199" spans="1:25">
      <c r="A199" s="136">
        <v>20130101</v>
      </c>
      <c r="B199" s="131" t="s">
        <v>451</v>
      </c>
      <c r="C199" s="131" t="str">
        <f t="shared" si="20"/>
        <v>20130101FK</v>
      </c>
      <c r="D199" s="131" t="s">
        <v>426</v>
      </c>
      <c r="E199" s="131" t="str">
        <f t="shared" si="21"/>
        <v>20130101LGINE599</v>
      </c>
      <c r="F199" s="132">
        <v>0</v>
      </c>
      <c r="G199" s="133">
        <v>3.2300000000000002E-2</v>
      </c>
      <c r="H199" s="133">
        <v>0</v>
      </c>
      <c r="I199" s="133">
        <v>0</v>
      </c>
      <c r="J199" s="133">
        <v>0</v>
      </c>
      <c r="K199" s="133">
        <v>0</v>
      </c>
      <c r="L199" s="133">
        <v>2.215E-2</v>
      </c>
      <c r="M199" s="133">
        <f t="shared" si="22"/>
        <v>1.0150000000000003E-2</v>
      </c>
      <c r="N199" s="133">
        <v>0</v>
      </c>
      <c r="O199" s="133">
        <v>0</v>
      </c>
      <c r="P199" s="133">
        <v>0</v>
      </c>
      <c r="Q199" s="133">
        <v>0</v>
      </c>
      <c r="R199" s="132">
        <v>12.35</v>
      </c>
      <c r="S199" s="132">
        <v>14.67</v>
      </c>
      <c r="T199" s="132">
        <v>0</v>
      </c>
      <c r="U199" s="132">
        <v>0.02</v>
      </c>
      <c r="V199" s="132">
        <v>0.02</v>
      </c>
      <c r="W199" s="132">
        <v>0</v>
      </c>
      <c r="X199" s="58">
        <f>R199-U199</f>
        <v>12.33</v>
      </c>
      <c r="Y199" s="58">
        <f>S199-V199</f>
        <v>14.65</v>
      </c>
    </row>
    <row r="200" spans="1:25">
      <c r="A200" s="136">
        <v>20130101</v>
      </c>
      <c r="B200" s="131" t="s">
        <v>464</v>
      </c>
      <c r="C200" s="131" t="str">
        <f>A200&amp;B200</f>
        <v>20130101LWC</v>
      </c>
      <c r="D200" s="131" t="s">
        <v>424</v>
      </c>
      <c r="E200" s="131" t="str">
        <f>A200&amp;D200</f>
        <v>20130101LGCME671</v>
      </c>
      <c r="F200" s="132">
        <v>0</v>
      </c>
      <c r="G200" s="133">
        <v>3.1919999999999997E-2</v>
      </c>
      <c r="H200" s="133">
        <v>0</v>
      </c>
      <c r="I200" s="133">
        <v>0</v>
      </c>
      <c r="J200" s="133">
        <v>0</v>
      </c>
      <c r="K200" s="133">
        <v>0</v>
      </c>
      <c r="L200" s="133">
        <v>2.215E-2</v>
      </c>
      <c r="M200" s="133">
        <f t="shared" si="22"/>
        <v>9.7699999999999974E-3</v>
      </c>
      <c r="N200" s="133">
        <v>0</v>
      </c>
      <c r="O200" s="133">
        <v>0</v>
      </c>
      <c r="P200" s="133">
        <v>0</v>
      </c>
      <c r="Q200" s="133">
        <v>0</v>
      </c>
      <c r="R200" s="132">
        <v>10</v>
      </c>
      <c r="S200" s="132">
        <v>10</v>
      </c>
      <c r="T200" s="132">
        <v>0</v>
      </c>
      <c r="U200" s="132">
        <v>0.02</v>
      </c>
      <c r="V200" s="132">
        <v>0.02</v>
      </c>
      <c r="W200" s="132">
        <v>0</v>
      </c>
      <c r="X200" s="58">
        <f>R200-U200</f>
        <v>9.98</v>
      </c>
      <c r="Y200" s="58">
        <f>S200-V200</f>
        <v>9.98</v>
      </c>
    </row>
    <row r="201" spans="1:25">
      <c r="A201" s="136">
        <v>20130101</v>
      </c>
      <c r="B201" s="131" t="s">
        <v>680</v>
      </c>
      <c r="C201" s="131" t="str">
        <f>A201&amp;B201</f>
        <v>20130101LEV</v>
      </c>
      <c r="D201" s="135" t="s">
        <v>755</v>
      </c>
      <c r="E201" s="131" t="str">
        <f>A201&amp;D201</f>
        <v>20130101LGRSE543</v>
      </c>
      <c r="F201" s="132">
        <v>10.75</v>
      </c>
      <c r="G201" s="133">
        <v>5.1830000000000001E-2</v>
      </c>
      <c r="H201" s="133">
        <v>7.2620000000000004E-2</v>
      </c>
      <c r="I201" s="133">
        <v>0.13814000000000001</v>
      </c>
      <c r="J201" s="133">
        <v>0</v>
      </c>
      <c r="K201" s="133">
        <v>6.9999999999999994E-5</v>
      </c>
      <c r="L201" s="82">
        <v>2.215E-2</v>
      </c>
      <c r="M201" s="133">
        <f t="shared" si="22"/>
        <v>2.9610000000000001E-2</v>
      </c>
      <c r="N201" s="133">
        <f>H201-K201-L201</f>
        <v>5.04E-2</v>
      </c>
      <c r="O201" s="133">
        <f>I201-K201-L201</f>
        <v>0.11592000000000002</v>
      </c>
      <c r="P201" s="133">
        <v>0</v>
      </c>
      <c r="Q201" s="132">
        <v>0</v>
      </c>
      <c r="R201" s="132">
        <v>0</v>
      </c>
      <c r="S201" s="132">
        <v>0</v>
      </c>
      <c r="T201" s="132">
        <v>0</v>
      </c>
      <c r="U201" s="132">
        <v>0</v>
      </c>
      <c r="V201" s="132">
        <v>0</v>
      </c>
      <c r="W201" s="132">
        <v>0</v>
      </c>
      <c r="X201" s="132">
        <v>0</v>
      </c>
      <c r="Y201" s="132">
        <v>0</v>
      </c>
    </row>
    <row r="202" spans="1:25">
      <c r="A202" s="212">
        <v>20130701</v>
      </c>
      <c r="B202" s="213" t="s">
        <v>13</v>
      </c>
      <c r="C202" s="213" t="str">
        <f t="shared" ref="C202:C237" si="33">A202&amp;B202</f>
        <v>20130701RS</v>
      </c>
      <c r="D202" s="213" t="s">
        <v>438</v>
      </c>
      <c r="E202" s="213" t="str">
        <f t="shared" ref="E202:E237" si="34">A202&amp;D202</f>
        <v>20130701LGRSE411</v>
      </c>
      <c r="F202" s="214">
        <v>0</v>
      </c>
      <c r="G202" s="215">
        <v>7.9490000000000005E-2</v>
      </c>
      <c r="H202" s="215">
        <v>0</v>
      </c>
      <c r="I202" s="215">
        <v>0</v>
      </c>
      <c r="J202" s="215">
        <v>0</v>
      </c>
      <c r="K202" s="215">
        <v>6.9999999999999994E-5</v>
      </c>
      <c r="L202" s="216">
        <v>2.725E-2</v>
      </c>
      <c r="M202" s="215">
        <f t="shared" si="22"/>
        <v>5.2170000000000008E-2</v>
      </c>
      <c r="N202" s="215">
        <f t="shared" ref="N202:N236" si="35">IF(H202=0,0,H202-$K202-$L202)</f>
        <v>0</v>
      </c>
      <c r="O202" s="215">
        <f t="shared" ref="O202:O236" si="36">IF(I202=0,0,I202-$K202-$L202)</f>
        <v>0</v>
      </c>
      <c r="P202" s="215">
        <f t="shared" ref="P202:P236" si="37">IF(J202=0,0,J202-$K202-$L202)</f>
        <v>0</v>
      </c>
      <c r="Q202" s="214">
        <v>0</v>
      </c>
      <c r="R202" s="214">
        <v>0</v>
      </c>
      <c r="S202" s="214">
        <v>0</v>
      </c>
      <c r="T202" s="214">
        <v>0</v>
      </c>
      <c r="U202" s="214">
        <v>0</v>
      </c>
      <c r="V202" s="214">
        <v>0</v>
      </c>
      <c r="W202" s="214">
        <v>0</v>
      </c>
      <c r="X202" s="214">
        <v>0</v>
      </c>
      <c r="Y202" s="214">
        <v>0</v>
      </c>
    </row>
    <row r="203" spans="1:25">
      <c r="A203" s="212">
        <v>20130701</v>
      </c>
      <c r="B203" s="217" t="s">
        <v>456</v>
      </c>
      <c r="C203" s="213" t="str">
        <f t="shared" si="33"/>
        <v>20130701GSWH</v>
      </c>
      <c r="D203" s="213" t="s">
        <v>407</v>
      </c>
      <c r="E203" s="213" t="str">
        <f t="shared" si="34"/>
        <v>20130701LGCME451</v>
      </c>
      <c r="F203" s="214">
        <v>0</v>
      </c>
      <c r="G203" s="215">
        <v>8.9760000000000006E-2</v>
      </c>
      <c r="H203" s="215">
        <v>0</v>
      </c>
      <c r="I203" s="215">
        <v>0</v>
      </c>
      <c r="J203" s="215">
        <v>0</v>
      </c>
      <c r="K203" s="215">
        <v>9.0000000000000006E-5</v>
      </c>
      <c r="L203" s="215">
        <f>$L$240</f>
        <v>2.725E-2</v>
      </c>
      <c r="M203" s="215">
        <f t="shared" si="22"/>
        <v>6.2420000000000003E-2</v>
      </c>
      <c r="N203" s="215">
        <f t="shared" si="35"/>
        <v>0</v>
      </c>
      <c r="O203" s="215">
        <f t="shared" si="36"/>
        <v>0</v>
      </c>
      <c r="P203" s="215">
        <f t="shared" si="37"/>
        <v>0</v>
      </c>
      <c r="Q203" s="214">
        <v>0</v>
      </c>
      <c r="R203" s="214">
        <v>0</v>
      </c>
      <c r="S203" s="214">
        <v>0</v>
      </c>
      <c r="T203" s="214">
        <v>0</v>
      </c>
      <c r="U203" s="214">
        <v>0</v>
      </c>
      <c r="V203" s="214">
        <v>0</v>
      </c>
      <c r="W203" s="214">
        <v>0</v>
      </c>
      <c r="X203" s="214">
        <v>0</v>
      </c>
      <c r="Y203" s="214">
        <v>0</v>
      </c>
    </row>
    <row r="204" spans="1:25">
      <c r="A204" s="212">
        <v>20130701</v>
      </c>
      <c r="B204" s="213" t="s">
        <v>13</v>
      </c>
      <c r="C204" s="213" t="str">
        <f t="shared" si="33"/>
        <v>20130701RS</v>
      </c>
      <c r="D204" s="213" t="s">
        <v>439</v>
      </c>
      <c r="E204" s="213" t="str">
        <f t="shared" si="34"/>
        <v>20130701LGRSE511</v>
      </c>
      <c r="F204" s="214">
        <v>10.75</v>
      </c>
      <c r="G204" s="215">
        <v>7.9490000000000005E-2</v>
      </c>
      <c r="H204" s="215">
        <v>0</v>
      </c>
      <c r="I204" s="215">
        <v>0</v>
      </c>
      <c r="J204" s="215">
        <v>0</v>
      </c>
      <c r="K204" s="215">
        <v>6.9999999999999994E-5</v>
      </c>
      <c r="L204" s="215">
        <f t="shared" ref="L204:L239" si="38">$L$240</f>
        <v>2.725E-2</v>
      </c>
      <c r="M204" s="215">
        <f t="shared" si="22"/>
        <v>5.2170000000000008E-2</v>
      </c>
      <c r="N204" s="215">
        <f t="shared" si="35"/>
        <v>0</v>
      </c>
      <c r="O204" s="215">
        <f t="shared" si="36"/>
        <v>0</v>
      </c>
      <c r="P204" s="215">
        <f t="shared" si="37"/>
        <v>0</v>
      </c>
      <c r="Q204" s="214">
        <v>0</v>
      </c>
      <c r="R204" s="214">
        <v>0</v>
      </c>
      <c r="S204" s="214">
        <v>0</v>
      </c>
      <c r="T204" s="214">
        <v>0</v>
      </c>
      <c r="U204" s="214">
        <v>0</v>
      </c>
      <c r="V204" s="214">
        <v>0</v>
      </c>
      <c r="W204" s="214">
        <v>0</v>
      </c>
      <c r="X204" s="214">
        <v>0</v>
      </c>
      <c r="Y204" s="214">
        <v>0</v>
      </c>
    </row>
    <row r="205" spans="1:25">
      <c r="A205" s="212">
        <v>20130701</v>
      </c>
      <c r="B205" s="213" t="s">
        <v>13</v>
      </c>
      <c r="C205" s="213" t="str">
        <f t="shared" si="33"/>
        <v>20130701RS</v>
      </c>
      <c r="D205" s="213" t="s">
        <v>440</v>
      </c>
      <c r="E205" s="213" t="str">
        <f t="shared" si="34"/>
        <v>20130701LGRSE519</v>
      </c>
      <c r="F205" s="214">
        <v>10.75</v>
      </c>
      <c r="G205" s="215">
        <v>7.9490000000000005E-2</v>
      </c>
      <c r="H205" s="215">
        <v>0</v>
      </c>
      <c r="I205" s="215">
        <v>0</v>
      </c>
      <c r="J205" s="215">
        <v>0</v>
      </c>
      <c r="K205" s="215">
        <v>6.9999999999999994E-5</v>
      </c>
      <c r="L205" s="215">
        <f t="shared" si="38"/>
        <v>2.725E-2</v>
      </c>
      <c r="M205" s="215">
        <f t="shared" si="22"/>
        <v>5.2170000000000008E-2</v>
      </c>
      <c r="N205" s="215">
        <f t="shared" si="35"/>
        <v>0</v>
      </c>
      <c r="O205" s="215">
        <f t="shared" si="36"/>
        <v>0</v>
      </c>
      <c r="P205" s="215">
        <f t="shared" si="37"/>
        <v>0</v>
      </c>
      <c r="Q205" s="214">
        <v>0</v>
      </c>
      <c r="R205" s="214">
        <v>0</v>
      </c>
      <c r="S205" s="214">
        <v>0</v>
      </c>
      <c r="T205" s="214">
        <v>0</v>
      </c>
      <c r="U205" s="214">
        <v>0</v>
      </c>
      <c r="V205" s="214">
        <v>0</v>
      </c>
      <c r="W205" s="214">
        <v>0</v>
      </c>
      <c r="X205" s="214">
        <v>0</v>
      </c>
      <c r="Y205" s="214">
        <v>0</v>
      </c>
    </row>
    <row r="206" spans="1:25">
      <c r="A206" s="212">
        <v>20130701</v>
      </c>
      <c r="B206" s="213" t="s">
        <v>745</v>
      </c>
      <c r="C206" s="213" t="str">
        <f t="shared" si="33"/>
        <v>20130701VFD</v>
      </c>
      <c r="D206" s="213" t="s">
        <v>441</v>
      </c>
      <c r="E206" s="213" t="str">
        <f t="shared" si="34"/>
        <v>20130701LGRSE540</v>
      </c>
      <c r="F206" s="214">
        <v>10.75</v>
      </c>
      <c r="G206" s="215">
        <v>7.9490000000000005E-2</v>
      </c>
      <c r="H206" s="215">
        <v>0</v>
      </c>
      <c r="I206" s="215">
        <v>0</v>
      </c>
      <c r="J206" s="215">
        <v>0</v>
      </c>
      <c r="K206" s="215">
        <v>6.9999999999999994E-5</v>
      </c>
      <c r="L206" s="215">
        <f t="shared" si="38"/>
        <v>2.725E-2</v>
      </c>
      <c r="M206" s="215">
        <f t="shared" si="22"/>
        <v>5.2170000000000008E-2</v>
      </c>
      <c r="N206" s="215">
        <f t="shared" si="35"/>
        <v>0</v>
      </c>
      <c r="O206" s="215">
        <f t="shared" si="36"/>
        <v>0</v>
      </c>
      <c r="P206" s="215">
        <f t="shared" si="37"/>
        <v>0</v>
      </c>
      <c r="Q206" s="214">
        <v>0</v>
      </c>
      <c r="R206" s="214">
        <v>0</v>
      </c>
      <c r="S206" s="214">
        <v>0</v>
      </c>
      <c r="T206" s="214">
        <v>0</v>
      </c>
      <c r="U206" s="214">
        <v>0</v>
      </c>
      <c r="V206" s="214">
        <v>0</v>
      </c>
      <c r="W206" s="214">
        <v>0</v>
      </c>
      <c r="X206" s="214">
        <v>0</v>
      </c>
      <c r="Y206" s="214">
        <v>0</v>
      </c>
    </row>
    <row r="207" spans="1:25">
      <c r="A207" s="212">
        <v>20130701</v>
      </c>
      <c r="B207" s="217" t="s">
        <v>883</v>
      </c>
      <c r="C207" s="213" t="str">
        <f t="shared" si="33"/>
        <v>20130701GSP</v>
      </c>
      <c r="D207" s="213" t="s">
        <v>408</v>
      </c>
      <c r="E207" s="213" t="str">
        <f t="shared" si="34"/>
        <v>20130701LGCME550</v>
      </c>
      <c r="F207" s="214">
        <v>20</v>
      </c>
      <c r="G207" s="215">
        <v>8.9760000000000006E-2</v>
      </c>
      <c r="H207" s="215">
        <v>0</v>
      </c>
      <c r="I207" s="215">
        <v>0</v>
      </c>
      <c r="J207" s="215">
        <v>0</v>
      </c>
      <c r="K207" s="215">
        <v>9.0000000000000006E-5</v>
      </c>
      <c r="L207" s="215">
        <f t="shared" si="38"/>
        <v>2.725E-2</v>
      </c>
      <c r="M207" s="215">
        <f t="shared" si="22"/>
        <v>6.2420000000000003E-2</v>
      </c>
      <c r="N207" s="215">
        <f t="shared" si="35"/>
        <v>0</v>
      </c>
      <c r="O207" s="215">
        <f t="shared" si="36"/>
        <v>0</v>
      </c>
      <c r="P207" s="215">
        <f t="shared" si="37"/>
        <v>0</v>
      </c>
      <c r="Q207" s="214">
        <v>0</v>
      </c>
      <c r="R207" s="214">
        <v>0</v>
      </c>
      <c r="S207" s="214">
        <v>0</v>
      </c>
      <c r="T207" s="214">
        <v>0</v>
      </c>
      <c r="U207" s="214">
        <v>0</v>
      </c>
      <c r="V207" s="214">
        <v>0</v>
      </c>
      <c r="W207" s="214">
        <v>0</v>
      </c>
      <c r="X207" s="214">
        <v>0</v>
      </c>
      <c r="Y207" s="214">
        <v>0</v>
      </c>
    </row>
    <row r="208" spans="1:25">
      <c r="A208" s="212">
        <v>20130701</v>
      </c>
      <c r="B208" s="213" t="s">
        <v>453</v>
      </c>
      <c r="C208" s="213" t="str">
        <f t="shared" si="33"/>
        <v>20130701GSS</v>
      </c>
      <c r="D208" s="213" t="s">
        <v>409</v>
      </c>
      <c r="E208" s="213" t="str">
        <f t="shared" si="34"/>
        <v>20130701LGCME551</v>
      </c>
      <c r="F208" s="214">
        <v>20</v>
      </c>
      <c r="G208" s="215">
        <v>8.9760000000000006E-2</v>
      </c>
      <c r="H208" s="215">
        <v>0</v>
      </c>
      <c r="I208" s="215">
        <v>0</v>
      </c>
      <c r="J208" s="215">
        <v>0</v>
      </c>
      <c r="K208" s="215">
        <v>9.0000000000000006E-5</v>
      </c>
      <c r="L208" s="215">
        <f t="shared" si="38"/>
        <v>2.725E-2</v>
      </c>
      <c r="M208" s="215">
        <f t="shared" si="22"/>
        <v>6.2420000000000003E-2</v>
      </c>
      <c r="N208" s="215">
        <f t="shared" si="35"/>
        <v>0</v>
      </c>
      <c r="O208" s="215">
        <f t="shared" si="36"/>
        <v>0</v>
      </c>
      <c r="P208" s="215">
        <f t="shared" si="37"/>
        <v>0</v>
      </c>
      <c r="Q208" s="214">
        <v>0</v>
      </c>
      <c r="R208" s="214">
        <v>0</v>
      </c>
      <c r="S208" s="214">
        <v>0</v>
      </c>
      <c r="T208" s="214">
        <v>0</v>
      </c>
      <c r="U208" s="214">
        <v>0</v>
      </c>
      <c r="V208" s="214">
        <v>0</v>
      </c>
      <c r="W208" s="214">
        <v>0</v>
      </c>
      <c r="X208" s="214">
        <v>0</v>
      </c>
      <c r="Y208" s="214">
        <v>0</v>
      </c>
    </row>
    <row r="209" spans="1:25">
      <c r="A209" s="212">
        <v>20130701</v>
      </c>
      <c r="B209" s="213" t="s">
        <v>882</v>
      </c>
      <c r="C209" s="213" t="str">
        <f t="shared" si="33"/>
        <v>20130701GSUM</v>
      </c>
      <c r="D209" s="213" t="s">
        <v>410</v>
      </c>
      <c r="E209" s="213" t="str">
        <f t="shared" si="34"/>
        <v>20130701LGCME551UM</v>
      </c>
      <c r="F209" s="214">
        <v>20</v>
      </c>
      <c r="G209" s="215">
        <v>8.9760000000000006E-2</v>
      </c>
      <c r="H209" s="215">
        <v>0</v>
      </c>
      <c r="I209" s="215">
        <v>0</v>
      </c>
      <c r="J209" s="215">
        <v>0</v>
      </c>
      <c r="K209" s="215">
        <v>9.0000000000000006E-5</v>
      </c>
      <c r="L209" s="215">
        <f t="shared" si="38"/>
        <v>2.725E-2</v>
      </c>
      <c r="M209" s="215">
        <f t="shared" si="22"/>
        <v>6.2420000000000003E-2</v>
      </c>
      <c r="N209" s="215">
        <f t="shared" si="35"/>
        <v>0</v>
      </c>
      <c r="O209" s="215">
        <f t="shared" si="36"/>
        <v>0</v>
      </c>
      <c r="P209" s="215">
        <f t="shared" si="37"/>
        <v>0</v>
      </c>
      <c r="Q209" s="214">
        <v>0</v>
      </c>
      <c r="R209" s="214">
        <v>0</v>
      </c>
      <c r="S209" s="214">
        <v>0</v>
      </c>
      <c r="T209" s="214">
        <v>0</v>
      </c>
      <c r="U209" s="214">
        <v>0</v>
      </c>
      <c r="V209" s="214">
        <v>0</v>
      </c>
      <c r="W209" s="214">
        <v>0</v>
      </c>
      <c r="X209" s="214">
        <v>0</v>
      </c>
      <c r="Y209" s="214">
        <v>0</v>
      </c>
    </row>
    <row r="210" spans="1:25">
      <c r="A210" s="212">
        <v>20130701</v>
      </c>
      <c r="B210" s="217" t="s">
        <v>877</v>
      </c>
      <c r="C210" s="213" t="str">
        <f t="shared" si="33"/>
        <v>20130701GSNM</v>
      </c>
      <c r="D210" s="213" t="s">
        <v>413</v>
      </c>
      <c r="E210" s="213" t="str">
        <f t="shared" si="34"/>
        <v>20130701LGCME557</v>
      </c>
      <c r="F210" s="214">
        <v>20</v>
      </c>
      <c r="G210" s="215">
        <v>8.9760000000000006E-2</v>
      </c>
      <c r="H210" s="215">
        <v>0</v>
      </c>
      <c r="I210" s="215">
        <v>0</v>
      </c>
      <c r="J210" s="215">
        <v>0</v>
      </c>
      <c r="K210" s="215">
        <v>9.0000000000000006E-5</v>
      </c>
      <c r="L210" s="215">
        <f t="shared" si="38"/>
        <v>2.725E-2</v>
      </c>
      <c r="M210" s="215">
        <f t="shared" si="22"/>
        <v>6.2420000000000003E-2</v>
      </c>
      <c r="N210" s="215">
        <f t="shared" si="35"/>
        <v>0</v>
      </c>
      <c r="O210" s="215">
        <f t="shared" si="36"/>
        <v>0</v>
      </c>
      <c r="P210" s="215">
        <f t="shared" si="37"/>
        <v>0</v>
      </c>
      <c r="Q210" s="214">
        <v>0</v>
      </c>
      <c r="R210" s="214">
        <v>0</v>
      </c>
      <c r="S210" s="214">
        <v>0</v>
      </c>
      <c r="T210" s="214">
        <v>0</v>
      </c>
      <c r="U210" s="214">
        <v>0</v>
      </c>
      <c r="V210" s="214">
        <v>0</v>
      </c>
      <c r="W210" s="214">
        <v>0</v>
      </c>
      <c r="X210" s="214">
        <v>0</v>
      </c>
      <c r="Y210" s="214">
        <v>0</v>
      </c>
    </row>
    <row r="211" spans="1:25">
      <c r="A211" s="212">
        <v>20130701</v>
      </c>
      <c r="B211" s="217" t="s">
        <v>455</v>
      </c>
      <c r="C211" s="213" t="str">
        <f t="shared" si="33"/>
        <v>20130701GSSH</v>
      </c>
      <c r="D211" s="213" t="s">
        <v>411</v>
      </c>
      <c r="E211" s="213" t="str">
        <f t="shared" si="34"/>
        <v>20130701LGCME552</v>
      </c>
      <c r="F211" s="214">
        <v>0</v>
      </c>
      <c r="G211" s="215">
        <v>8.9760000000000006E-2</v>
      </c>
      <c r="H211" s="215">
        <v>0</v>
      </c>
      <c r="I211" s="215">
        <v>0</v>
      </c>
      <c r="J211" s="215">
        <v>0</v>
      </c>
      <c r="K211" s="215">
        <v>9.0000000000000006E-5</v>
      </c>
      <c r="L211" s="215">
        <f t="shared" si="38"/>
        <v>2.725E-2</v>
      </c>
      <c r="M211" s="215">
        <f t="shared" si="22"/>
        <v>6.2420000000000003E-2</v>
      </c>
      <c r="N211" s="215">
        <f t="shared" si="35"/>
        <v>0</v>
      </c>
      <c r="O211" s="215">
        <f t="shared" si="36"/>
        <v>0</v>
      </c>
      <c r="P211" s="215">
        <f t="shared" si="37"/>
        <v>0</v>
      </c>
      <c r="Q211" s="214">
        <v>0</v>
      </c>
      <c r="R211" s="214">
        <v>0</v>
      </c>
      <c r="S211" s="214">
        <v>0</v>
      </c>
      <c r="T211" s="214">
        <v>0</v>
      </c>
      <c r="U211" s="214">
        <v>0</v>
      </c>
      <c r="V211" s="214">
        <v>0</v>
      </c>
      <c r="W211" s="214">
        <v>0</v>
      </c>
      <c r="X211" s="214">
        <v>0</v>
      </c>
      <c r="Y211" s="214">
        <v>0</v>
      </c>
    </row>
    <row r="212" spans="1:25">
      <c r="A212" s="212">
        <v>20130701</v>
      </c>
      <c r="B212" s="217" t="s">
        <v>765</v>
      </c>
      <c r="C212" s="213" t="str">
        <f t="shared" si="33"/>
        <v>20130701GS3P</v>
      </c>
      <c r="D212" s="213" t="s">
        <v>419</v>
      </c>
      <c r="E212" s="213" t="str">
        <f t="shared" si="34"/>
        <v>20130701LGCME650</v>
      </c>
      <c r="F212" s="214">
        <v>35</v>
      </c>
      <c r="G212" s="215">
        <v>8.9760000000000006E-2</v>
      </c>
      <c r="H212" s="215">
        <v>0</v>
      </c>
      <c r="I212" s="215">
        <v>0</v>
      </c>
      <c r="J212" s="215">
        <v>0</v>
      </c>
      <c r="K212" s="215">
        <v>9.0000000000000006E-5</v>
      </c>
      <c r="L212" s="215">
        <f t="shared" si="38"/>
        <v>2.725E-2</v>
      </c>
      <c r="M212" s="215">
        <f t="shared" si="22"/>
        <v>6.2420000000000003E-2</v>
      </c>
      <c r="N212" s="215">
        <f t="shared" si="35"/>
        <v>0</v>
      </c>
      <c r="O212" s="215">
        <f t="shared" si="36"/>
        <v>0</v>
      </c>
      <c r="P212" s="215">
        <f t="shared" si="37"/>
        <v>0</v>
      </c>
      <c r="Q212" s="214">
        <v>0</v>
      </c>
      <c r="R212" s="214">
        <v>0</v>
      </c>
      <c r="S212" s="214">
        <v>0</v>
      </c>
      <c r="T212" s="214">
        <v>0</v>
      </c>
      <c r="U212" s="214">
        <v>0</v>
      </c>
      <c r="V212" s="214">
        <v>0</v>
      </c>
      <c r="W212" s="214">
        <v>0</v>
      </c>
      <c r="X212" s="214">
        <v>0</v>
      </c>
      <c r="Y212" s="214">
        <v>0</v>
      </c>
    </row>
    <row r="213" spans="1:25">
      <c r="A213" s="212">
        <v>20130701</v>
      </c>
      <c r="B213" s="213" t="s">
        <v>14</v>
      </c>
      <c r="C213" s="213" t="str">
        <f t="shared" si="33"/>
        <v>20130701GS3</v>
      </c>
      <c r="D213" s="213" t="s">
        <v>420</v>
      </c>
      <c r="E213" s="213" t="str">
        <f t="shared" si="34"/>
        <v>20130701LGCME651</v>
      </c>
      <c r="F213" s="214">
        <v>35</v>
      </c>
      <c r="G213" s="215">
        <v>8.9760000000000006E-2</v>
      </c>
      <c r="H213" s="215">
        <v>0</v>
      </c>
      <c r="I213" s="215">
        <v>0</v>
      </c>
      <c r="J213" s="215">
        <v>0</v>
      </c>
      <c r="K213" s="215">
        <v>9.0000000000000006E-5</v>
      </c>
      <c r="L213" s="215">
        <f t="shared" si="38"/>
        <v>2.725E-2</v>
      </c>
      <c r="M213" s="215">
        <f t="shared" si="22"/>
        <v>6.2420000000000003E-2</v>
      </c>
      <c r="N213" s="215">
        <f t="shared" si="35"/>
        <v>0</v>
      </c>
      <c r="O213" s="215">
        <f t="shared" si="36"/>
        <v>0</v>
      </c>
      <c r="P213" s="215">
        <f t="shared" si="37"/>
        <v>0</v>
      </c>
      <c r="Q213" s="214">
        <v>0</v>
      </c>
      <c r="R213" s="214">
        <v>0</v>
      </c>
      <c r="S213" s="214">
        <v>0</v>
      </c>
      <c r="T213" s="214">
        <v>0</v>
      </c>
      <c r="U213" s="214">
        <v>0</v>
      </c>
      <c r="V213" s="214">
        <v>0</v>
      </c>
      <c r="W213" s="214">
        <v>0</v>
      </c>
      <c r="X213" s="214">
        <v>0</v>
      </c>
      <c r="Y213" s="214">
        <v>0</v>
      </c>
    </row>
    <row r="214" spans="1:25">
      <c r="A214" s="212">
        <v>20130701</v>
      </c>
      <c r="B214" s="217" t="s">
        <v>859</v>
      </c>
      <c r="C214" s="213" t="str">
        <f t="shared" si="33"/>
        <v>20130701GS3NM</v>
      </c>
      <c r="D214" s="213" t="s">
        <v>423</v>
      </c>
      <c r="E214" s="213" t="str">
        <f t="shared" si="34"/>
        <v>20130701LGCME657</v>
      </c>
      <c r="F214" s="214">
        <v>35</v>
      </c>
      <c r="G214" s="215">
        <v>8.9760000000000006E-2</v>
      </c>
      <c r="H214" s="215">
        <v>0</v>
      </c>
      <c r="I214" s="215">
        <v>0</v>
      </c>
      <c r="J214" s="215">
        <v>0</v>
      </c>
      <c r="K214" s="215">
        <v>9.0000000000000006E-5</v>
      </c>
      <c r="L214" s="215">
        <f t="shared" si="38"/>
        <v>2.725E-2</v>
      </c>
      <c r="M214" s="215">
        <f t="shared" si="22"/>
        <v>6.2420000000000003E-2</v>
      </c>
      <c r="N214" s="215">
        <f t="shared" si="35"/>
        <v>0</v>
      </c>
      <c r="O214" s="215">
        <f t="shared" si="36"/>
        <v>0</v>
      </c>
      <c r="P214" s="215">
        <f t="shared" si="37"/>
        <v>0</v>
      </c>
      <c r="Q214" s="214">
        <v>0</v>
      </c>
      <c r="R214" s="214">
        <v>0</v>
      </c>
      <c r="S214" s="214">
        <v>0</v>
      </c>
      <c r="T214" s="214">
        <v>0</v>
      </c>
      <c r="U214" s="214">
        <v>0</v>
      </c>
      <c r="V214" s="214">
        <v>0</v>
      </c>
      <c r="W214" s="214">
        <v>0</v>
      </c>
      <c r="X214" s="214">
        <v>0</v>
      </c>
      <c r="Y214" s="214">
        <v>0</v>
      </c>
    </row>
    <row r="215" spans="1:25">
      <c r="A215" s="212">
        <v>20130701</v>
      </c>
      <c r="B215" s="217" t="s">
        <v>858</v>
      </c>
      <c r="C215" s="213" t="str">
        <f t="shared" si="33"/>
        <v>20130701GS3SH</v>
      </c>
      <c r="D215" s="213" t="s">
        <v>421</v>
      </c>
      <c r="E215" s="213" t="str">
        <f t="shared" si="34"/>
        <v>20130701LGCME652</v>
      </c>
      <c r="F215" s="214">
        <v>0</v>
      </c>
      <c r="G215" s="215">
        <v>8.9760000000000006E-2</v>
      </c>
      <c r="H215" s="215">
        <v>0</v>
      </c>
      <c r="I215" s="215">
        <v>0</v>
      </c>
      <c r="J215" s="215">
        <v>0</v>
      </c>
      <c r="K215" s="215">
        <v>9.0000000000000006E-5</v>
      </c>
      <c r="L215" s="215">
        <f t="shared" si="38"/>
        <v>2.725E-2</v>
      </c>
      <c r="M215" s="215">
        <f t="shared" si="22"/>
        <v>6.2420000000000003E-2</v>
      </c>
      <c r="N215" s="215">
        <f t="shared" si="35"/>
        <v>0</v>
      </c>
      <c r="O215" s="215">
        <f t="shared" si="36"/>
        <v>0</v>
      </c>
      <c r="P215" s="215">
        <f t="shared" si="37"/>
        <v>0</v>
      </c>
      <c r="Q215" s="214">
        <v>0</v>
      </c>
      <c r="R215" s="214">
        <v>0</v>
      </c>
      <c r="S215" s="214">
        <v>0</v>
      </c>
      <c r="T215" s="214">
        <v>0</v>
      </c>
      <c r="U215" s="214">
        <v>0</v>
      </c>
      <c r="V215" s="214">
        <v>0</v>
      </c>
      <c r="W215" s="214">
        <v>0</v>
      </c>
      <c r="X215" s="214">
        <v>0</v>
      </c>
      <c r="Y215" s="214">
        <v>0</v>
      </c>
    </row>
    <row r="216" spans="1:25">
      <c r="A216" s="212">
        <v>20130701</v>
      </c>
      <c r="B216" s="213" t="s">
        <v>20</v>
      </c>
      <c r="C216" s="213" t="str">
        <f t="shared" si="33"/>
        <v>20130701PSS</v>
      </c>
      <c r="D216" s="213" t="s">
        <v>414</v>
      </c>
      <c r="E216" s="213" t="str">
        <f t="shared" si="34"/>
        <v>20130701LGCME561</v>
      </c>
      <c r="F216" s="214">
        <v>90</v>
      </c>
      <c r="G216" s="215">
        <v>4.0599999999999997E-2</v>
      </c>
      <c r="H216" s="215">
        <v>0</v>
      </c>
      <c r="I216" s="215">
        <v>0</v>
      </c>
      <c r="J216" s="215">
        <v>0</v>
      </c>
      <c r="K216" s="215">
        <v>0</v>
      </c>
      <c r="L216" s="215">
        <f t="shared" si="38"/>
        <v>2.725E-2</v>
      </c>
      <c r="M216" s="215">
        <f t="shared" si="22"/>
        <v>1.3349999999999997E-2</v>
      </c>
      <c r="N216" s="215">
        <f t="shared" si="35"/>
        <v>0</v>
      </c>
      <c r="O216" s="215">
        <f t="shared" si="36"/>
        <v>0</v>
      </c>
      <c r="P216" s="215">
        <f t="shared" si="37"/>
        <v>0</v>
      </c>
      <c r="Q216" s="214">
        <v>0</v>
      </c>
      <c r="R216" s="214">
        <v>13.56</v>
      </c>
      <c r="S216" s="214">
        <v>15.95</v>
      </c>
      <c r="T216" s="214">
        <v>0</v>
      </c>
      <c r="U216" s="214">
        <v>0.03</v>
      </c>
      <c r="V216" s="214">
        <v>0.03</v>
      </c>
      <c r="W216" s="219">
        <v>0</v>
      </c>
      <c r="X216" s="219">
        <f t="shared" ref="X216:X229" si="39">R216-U216</f>
        <v>13.530000000000001</v>
      </c>
      <c r="Y216" s="219">
        <f t="shared" ref="Y216:Y229" si="40">S216-V216</f>
        <v>15.92</v>
      </c>
    </row>
    <row r="217" spans="1:25">
      <c r="A217" s="212">
        <v>20130701</v>
      </c>
      <c r="B217" s="213" t="s">
        <v>21</v>
      </c>
      <c r="C217" s="213" t="str">
        <f t="shared" si="33"/>
        <v>20130701PSP</v>
      </c>
      <c r="D217" s="213" t="s">
        <v>415</v>
      </c>
      <c r="E217" s="213" t="str">
        <f t="shared" si="34"/>
        <v>20130701LGCME563</v>
      </c>
      <c r="F217" s="214">
        <v>170</v>
      </c>
      <c r="G217" s="215">
        <v>3.9260000000000003E-2</v>
      </c>
      <c r="H217" s="215">
        <v>0</v>
      </c>
      <c r="I217" s="215">
        <v>0</v>
      </c>
      <c r="J217" s="215">
        <v>0</v>
      </c>
      <c r="K217" s="215">
        <v>0</v>
      </c>
      <c r="L217" s="215">
        <f t="shared" si="38"/>
        <v>2.725E-2</v>
      </c>
      <c r="M217" s="215">
        <f t="shared" si="22"/>
        <v>1.2010000000000003E-2</v>
      </c>
      <c r="N217" s="215">
        <f t="shared" si="35"/>
        <v>0</v>
      </c>
      <c r="O217" s="215">
        <f t="shared" si="36"/>
        <v>0</v>
      </c>
      <c r="P217" s="215">
        <f t="shared" si="37"/>
        <v>0</v>
      </c>
      <c r="Q217" s="214">
        <v>0</v>
      </c>
      <c r="R217" s="214">
        <v>11.21</v>
      </c>
      <c r="S217" s="214">
        <v>13.5</v>
      </c>
      <c r="T217" s="214">
        <v>0</v>
      </c>
      <c r="U217" s="214">
        <v>0.03</v>
      </c>
      <c r="V217" s="214">
        <v>0.03</v>
      </c>
      <c r="W217" s="219">
        <v>0</v>
      </c>
      <c r="X217" s="219">
        <f t="shared" si="39"/>
        <v>11.180000000000001</v>
      </c>
      <c r="Y217" s="219">
        <f t="shared" si="40"/>
        <v>13.47</v>
      </c>
    </row>
    <row r="218" spans="1:25">
      <c r="A218" s="212">
        <v>20130701</v>
      </c>
      <c r="B218" s="213" t="s">
        <v>20</v>
      </c>
      <c r="C218" s="213" t="str">
        <f t="shared" si="33"/>
        <v>20130701PSS</v>
      </c>
      <c r="D218" s="218" t="s">
        <v>416</v>
      </c>
      <c r="E218" s="213" t="str">
        <f t="shared" si="34"/>
        <v>20130701LGCME567</v>
      </c>
      <c r="F218" s="214">
        <v>90</v>
      </c>
      <c r="G218" s="215">
        <v>4.0599999999999997E-2</v>
      </c>
      <c r="H218" s="215">
        <v>0</v>
      </c>
      <c r="I218" s="215">
        <v>0</v>
      </c>
      <c r="J218" s="215">
        <v>0</v>
      </c>
      <c r="K218" s="215">
        <v>0</v>
      </c>
      <c r="L218" s="215">
        <f t="shared" si="38"/>
        <v>2.725E-2</v>
      </c>
      <c r="M218" s="215">
        <f t="shared" si="22"/>
        <v>1.3349999999999997E-2</v>
      </c>
      <c r="N218" s="215">
        <f t="shared" si="35"/>
        <v>0</v>
      </c>
      <c r="O218" s="215">
        <f t="shared" si="36"/>
        <v>0</v>
      </c>
      <c r="P218" s="215">
        <f t="shared" si="37"/>
        <v>0</v>
      </c>
      <c r="Q218" s="214">
        <v>0</v>
      </c>
      <c r="R218" s="214">
        <v>13.56</v>
      </c>
      <c r="S218" s="214">
        <v>15.95</v>
      </c>
      <c r="T218" s="214">
        <v>0</v>
      </c>
      <c r="U218" s="214">
        <v>0.03</v>
      </c>
      <c r="V218" s="214">
        <v>0.03</v>
      </c>
      <c r="W218" s="219">
        <v>0</v>
      </c>
      <c r="X218" s="219">
        <f t="shared" si="39"/>
        <v>13.530000000000001</v>
      </c>
      <c r="Y218" s="219">
        <f t="shared" si="40"/>
        <v>15.92</v>
      </c>
    </row>
    <row r="219" spans="1:25">
      <c r="A219" s="212">
        <v>20130701</v>
      </c>
      <c r="B219" s="218" t="s">
        <v>865</v>
      </c>
      <c r="C219" s="213" t="str">
        <f t="shared" si="33"/>
        <v>20130701PSPNM</v>
      </c>
      <c r="D219" s="218" t="s">
        <v>866</v>
      </c>
      <c r="E219" s="213" t="str">
        <f t="shared" si="34"/>
        <v>20130701LGCME569</v>
      </c>
      <c r="F219" s="214">
        <v>170</v>
      </c>
      <c r="G219" s="215">
        <v>3.9260000000000003E-2</v>
      </c>
      <c r="H219" s="215">
        <v>0</v>
      </c>
      <c r="I219" s="215">
        <v>0</v>
      </c>
      <c r="J219" s="215">
        <v>0</v>
      </c>
      <c r="K219" s="215">
        <v>0</v>
      </c>
      <c r="L219" s="215">
        <f t="shared" si="38"/>
        <v>2.725E-2</v>
      </c>
      <c r="M219" s="215">
        <f t="shared" si="22"/>
        <v>1.2010000000000003E-2</v>
      </c>
      <c r="N219" s="215">
        <f t="shared" si="35"/>
        <v>0</v>
      </c>
      <c r="O219" s="215">
        <f t="shared" si="36"/>
        <v>0</v>
      </c>
      <c r="P219" s="215">
        <f t="shared" si="37"/>
        <v>0</v>
      </c>
      <c r="Q219" s="214">
        <v>0</v>
      </c>
      <c r="R219" s="214">
        <v>11.21</v>
      </c>
      <c r="S219" s="214">
        <v>13.5</v>
      </c>
      <c r="T219" s="214">
        <v>0</v>
      </c>
      <c r="U219" s="214">
        <v>0.03</v>
      </c>
      <c r="V219" s="214">
        <v>0.03</v>
      </c>
      <c r="W219" s="219">
        <v>0</v>
      </c>
      <c r="X219" s="219">
        <f t="shared" si="39"/>
        <v>11.180000000000001</v>
      </c>
      <c r="Y219" s="219">
        <f t="shared" si="40"/>
        <v>13.47</v>
      </c>
    </row>
    <row r="220" spans="1:25">
      <c r="A220" s="212">
        <v>20130701</v>
      </c>
      <c r="B220" s="213" t="s">
        <v>449</v>
      </c>
      <c r="C220" s="213" t="str">
        <f t="shared" si="33"/>
        <v>20130701CTODS</v>
      </c>
      <c r="D220" s="213" t="s">
        <v>417</v>
      </c>
      <c r="E220" s="213" t="str">
        <f t="shared" si="34"/>
        <v>20130701LGCME591</v>
      </c>
      <c r="F220" s="214">
        <v>200</v>
      </c>
      <c r="G220" s="215">
        <v>3.9899999999999998E-2</v>
      </c>
      <c r="H220" s="215">
        <v>0</v>
      </c>
      <c r="I220" s="215">
        <v>0</v>
      </c>
      <c r="J220" s="215">
        <v>0</v>
      </c>
      <c r="K220" s="215">
        <v>0</v>
      </c>
      <c r="L220" s="215">
        <f t="shared" si="38"/>
        <v>2.725E-2</v>
      </c>
      <c r="M220" s="215">
        <f t="shared" si="22"/>
        <v>1.2649999999999998E-2</v>
      </c>
      <c r="N220" s="215">
        <f t="shared" si="35"/>
        <v>0</v>
      </c>
      <c r="O220" s="215">
        <f t="shared" si="36"/>
        <v>0</v>
      </c>
      <c r="P220" s="215">
        <f t="shared" si="37"/>
        <v>0</v>
      </c>
      <c r="Q220" s="214">
        <v>3.85</v>
      </c>
      <c r="R220" s="214">
        <v>4.3600000000000003</v>
      </c>
      <c r="S220" s="214">
        <v>5.96</v>
      </c>
      <c r="T220" s="214">
        <v>0.01</v>
      </c>
      <c r="U220" s="214">
        <v>0.01</v>
      </c>
      <c r="V220" s="214">
        <v>0.01</v>
      </c>
      <c r="W220" s="219">
        <f>Q220-T220</f>
        <v>3.8400000000000003</v>
      </c>
      <c r="X220" s="219">
        <f t="shared" si="39"/>
        <v>4.3500000000000005</v>
      </c>
      <c r="Y220" s="219">
        <f t="shared" si="40"/>
        <v>5.95</v>
      </c>
    </row>
    <row r="221" spans="1:25">
      <c r="A221" s="212">
        <v>20130701</v>
      </c>
      <c r="B221" s="213" t="s">
        <v>448</v>
      </c>
      <c r="C221" s="213" t="str">
        <f t="shared" si="33"/>
        <v>20130701CTODP</v>
      </c>
      <c r="D221" s="213" t="s">
        <v>418</v>
      </c>
      <c r="E221" s="213" t="str">
        <f t="shared" si="34"/>
        <v>20130701LGCME593</v>
      </c>
      <c r="F221" s="214">
        <v>300</v>
      </c>
      <c r="G221" s="215">
        <v>3.8100000000000002E-2</v>
      </c>
      <c r="H221" s="215">
        <v>0</v>
      </c>
      <c r="I221" s="215">
        <v>0</v>
      </c>
      <c r="J221" s="215">
        <v>0</v>
      </c>
      <c r="K221" s="215">
        <v>0</v>
      </c>
      <c r="L221" s="215">
        <f t="shared" si="38"/>
        <v>2.725E-2</v>
      </c>
      <c r="M221" s="215">
        <f t="shared" si="22"/>
        <v>1.0850000000000002E-2</v>
      </c>
      <c r="N221" s="215">
        <f t="shared" si="35"/>
        <v>0</v>
      </c>
      <c r="O221" s="215">
        <f t="shared" si="36"/>
        <v>0</v>
      </c>
      <c r="P221" s="215">
        <f t="shared" si="37"/>
        <v>0</v>
      </c>
      <c r="Q221" s="214">
        <v>3.85</v>
      </c>
      <c r="R221" s="214">
        <v>4</v>
      </c>
      <c r="S221" s="214">
        <v>5.7</v>
      </c>
      <c r="T221" s="214">
        <v>0.01</v>
      </c>
      <c r="U221" s="214">
        <v>0.01</v>
      </c>
      <c r="V221" s="214">
        <v>0.01</v>
      </c>
      <c r="W221" s="219">
        <f>Q221-T221</f>
        <v>3.8400000000000003</v>
      </c>
      <c r="X221" s="219">
        <f t="shared" si="39"/>
        <v>3.99</v>
      </c>
      <c r="Y221" s="219">
        <f t="shared" si="40"/>
        <v>5.69</v>
      </c>
    </row>
    <row r="222" spans="1:25">
      <c r="A222" s="212">
        <v>20130701</v>
      </c>
      <c r="B222" s="213" t="s">
        <v>20</v>
      </c>
      <c r="C222" s="213" t="str">
        <f t="shared" si="33"/>
        <v>20130701PSS</v>
      </c>
      <c r="D222" s="213" t="s">
        <v>428</v>
      </c>
      <c r="E222" s="213" t="str">
        <f t="shared" si="34"/>
        <v>20130701LGINE661</v>
      </c>
      <c r="F222" s="214">
        <v>90</v>
      </c>
      <c r="G222" s="215">
        <v>4.0599999999999997E-2</v>
      </c>
      <c r="H222" s="215">
        <v>0</v>
      </c>
      <c r="I222" s="215">
        <v>0</v>
      </c>
      <c r="J222" s="215">
        <v>0</v>
      </c>
      <c r="K222" s="215">
        <v>0</v>
      </c>
      <c r="L222" s="215">
        <f t="shared" si="38"/>
        <v>2.725E-2</v>
      </c>
      <c r="M222" s="216">
        <f t="shared" si="22"/>
        <v>1.3349999999999997E-2</v>
      </c>
      <c r="N222" s="215">
        <f t="shared" si="35"/>
        <v>0</v>
      </c>
      <c r="O222" s="215">
        <f t="shared" si="36"/>
        <v>0</v>
      </c>
      <c r="P222" s="215">
        <f t="shared" si="37"/>
        <v>0</v>
      </c>
      <c r="Q222" s="214">
        <v>0</v>
      </c>
      <c r="R222" s="214">
        <v>13.56</v>
      </c>
      <c r="S222" s="214">
        <v>15.95</v>
      </c>
      <c r="T222" s="214">
        <v>0</v>
      </c>
      <c r="U222" s="214">
        <v>0.03</v>
      </c>
      <c r="V222" s="214">
        <v>0.03</v>
      </c>
      <c r="W222" s="219">
        <v>0</v>
      </c>
      <c r="X222" s="219">
        <f t="shared" si="39"/>
        <v>13.530000000000001</v>
      </c>
      <c r="Y222" s="219">
        <f t="shared" si="40"/>
        <v>15.92</v>
      </c>
    </row>
    <row r="223" spans="1:25">
      <c r="A223" s="212">
        <v>20130701</v>
      </c>
      <c r="B223" s="213" t="s">
        <v>21</v>
      </c>
      <c r="C223" s="213" t="str">
        <f t="shared" si="33"/>
        <v>20130701PSP</v>
      </c>
      <c r="D223" s="213" t="s">
        <v>429</v>
      </c>
      <c r="E223" s="213" t="str">
        <f t="shared" si="34"/>
        <v>20130701LGINE663</v>
      </c>
      <c r="F223" s="214">
        <v>170</v>
      </c>
      <c r="G223" s="215">
        <v>3.9260000000000003E-2</v>
      </c>
      <c r="H223" s="215">
        <v>0</v>
      </c>
      <c r="I223" s="215">
        <v>0</v>
      </c>
      <c r="J223" s="215">
        <v>0</v>
      </c>
      <c r="K223" s="215">
        <v>0</v>
      </c>
      <c r="L223" s="215">
        <f t="shared" si="38"/>
        <v>2.725E-2</v>
      </c>
      <c r="M223" s="216">
        <f t="shared" si="22"/>
        <v>1.2010000000000003E-2</v>
      </c>
      <c r="N223" s="215">
        <f t="shared" si="35"/>
        <v>0</v>
      </c>
      <c r="O223" s="215">
        <f t="shared" si="36"/>
        <v>0</v>
      </c>
      <c r="P223" s="215">
        <f t="shared" si="37"/>
        <v>0</v>
      </c>
      <c r="Q223" s="214">
        <v>0</v>
      </c>
      <c r="R223" s="214">
        <v>11.21</v>
      </c>
      <c r="S223" s="214">
        <v>13.5</v>
      </c>
      <c r="T223" s="214">
        <v>0</v>
      </c>
      <c r="U223" s="214">
        <v>0.03</v>
      </c>
      <c r="V223" s="214">
        <v>0.03</v>
      </c>
      <c r="W223" s="219">
        <v>0</v>
      </c>
      <c r="X223" s="219">
        <f t="shared" si="39"/>
        <v>11.180000000000001</v>
      </c>
      <c r="Y223" s="219">
        <f t="shared" si="40"/>
        <v>13.47</v>
      </c>
    </row>
    <row r="224" spans="1:25">
      <c r="A224" s="212">
        <v>20130701</v>
      </c>
      <c r="B224" s="213" t="s">
        <v>461</v>
      </c>
      <c r="C224" s="213" t="str">
        <f t="shared" si="33"/>
        <v>20130701ITODS</v>
      </c>
      <c r="D224" s="213" t="s">
        <v>430</v>
      </c>
      <c r="E224" s="213" t="str">
        <f t="shared" si="34"/>
        <v>20130701LGINE691</v>
      </c>
      <c r="F224" s="214">
        <v>200</v>
      </c>
      <c r="G224" s="216">
        <v>3.9899999999999998E-2</v>
      </c>
      <c r="H224" s="215">
        <v>0</v>
      </c>
      <c r="I224" s="215">
        <v>0</v>
      </c>
      <c r="J224" s="215">
        <v>0</v>
      </c>
      <c r="K224" s="215">
        <v>0</v>
      </c>
      <c r="L224" s="215">
        <f t="shared" si="38"/>
        <v>2.725E-2</v>
      </c>
      <c r="M224" s="216">
        <f t="shared" si="22"/>
        <v>1.2649999999999998E-2</v>
      </c>
      <c r="N224" s="215">
        <f t="shared" si="35"/>
        <v>0</v>
      </c>
      <c r="O224" s="215">
        <f t="shared" si="36"/>
        <v>0</v>
      </c>
      <c r="P224" s="215">
        <f t="shared" si="37"/>
        <v>0</v>
      </c>
      <c r="Q224" s="214">
        <v>3.85</v>
      </c>
      <c r="R224" s="214">
        <v>4.3600000000000003</v>
      </c>
      <c r="S224" s="214">
        <v>5.96</v>
      </c>
      <c r="T224" s="214">
        <v>0.01</v>
      </c>
      <c r="U224" s="214">
        <v>0.01</v>
      </c>
      <c r="V224" s="214">
        <v>0.01</v>
      </c>
      <c r="W224" s="219">
        <f t="shared" ref="W224:W229" si="41">Q224-T224</f>
        <v>3.8400000000000003</v>
      </c>
      <c r="X224" s="219">
        <f t="shared" si="39"/>
        <v>4.3500000000000005</v>
      </c>
      <c r="Y224" s="219">
        <f t="shared" si="40"/>
        <v>5.95</v>
      </c>
    </row>
    <row r="225" spans="1:25">
      <c r="A225" s="212">
        <v>20130701</v>
      </c>
      <c r="B225" s="213" t="s">
        <v>460</v>
      </c>
      <c r="C225" s="213" t="str">
        <f t="shared" si="33"/>
        <v>20130701ITODP</v>
      </c>
      <c r="D225" s="213" t="s">
        <v>431</v>
      </c>
      <c r="E225" s="213" t="str">
        <f t="shared" si="34"/>
        <v>20130701LGINE693</v>
      </c>
      <c r="F225" s="214">
        <f>$F$106</f>
        <v>300</v>
      </c>
      <c r="G225" s="216">
        <v>3.5380000000000002E-2</v>
      </c>
      <c r="H225" s="215">
        <v>0</v>
      </c>
      <c r="I225" s="215">
        <v>0</v>
      </c>
      <c r="J225" s="215">
        <v>0</v>
      </c>
      <c r="K225" s="215">
        <v>0</v>
      </c>
      <c r="L225" s="215">
        <f t="shared" si="38"/>
        <v>2.725E-2</v>
      </c>
      <c r="M225" s="216">
        <f t="shared" ref="M225:M239" si="42">G225-K225-L225</f>
        <v>8.1300000000000018E-3</v>
      </c>
      <c r="N225" s="215">
        <f t="shared" si="35"/>
        <v>0</v>
      </c>
      <c r="O225" s="215">
        <f t="shared" si="36"/>
        <v>0</v>
      </c>
      <c r="P225" s="215">
        <f t="shared" si="37"/>
        <v>0</v>
      </c>
      <c r="Q225" s="214">
        <v>3.5</v>
      </c>
      <c r="R225" s="214">
        <v>3.66</v>
      </c>
      <c r="S225" s="214">
        <v>4.5</v>
      </c>
      <c r="T225" s="214">
        <v>0.01</v>
      </c>
      <c r="U225" s="214">
        <v>0.01</v>
      </c>
      <c r="V225" s="214">
        <v>0.01</v>
      </c>
      <c r="W225" s="219">
        <f t="shared" si="41"/>
        <v>3.49</v>
      </c>
      <c r="X225" s="219">
        <f t="shared" si="39"/>
        <v>3.6500000000000004</v>
      </c>
      <c r="Y225" s="219">
        <f t="shared" si="40"/>
        <v>4.49</v>
      </c>
    </row>
    <row r="226" spans="1:25">
      <c r="A226" s="212">
        <v>20130701</v>
      </c>
      <c r="B226" s="213" t="s">
        <v>460</v>
      </c>
      <c r="C226" s="213" t="str">
        <f t="shared" si="33"/>
        <v>20130701ITODP</v>
      </c>
      <c r="D226" s="213" t="s">
        <v>432</v>
      </c>
      <c r="E226" s="213" t="str">
        <f t="shared" si="34"/>
        <v>20130701LGINE694</v>
      </c>
      <c r="F226" s="214">
        <f>$F$106</f>
        <v>300</v>
      </c>
      <c r="G226" s="216">
        <v>3.5380000000000002E-2</v>
      </c>
      <c r="H226" s="215">
        <v>0</v>
      </c>
      <c r="I226" s="215">
        <v>0</v>
      </c>
      <c r="J226" s="215">
        <v>0</v>
      </c>
      <c r="K226" s="215">
        <v>0</v>
      </c>
      <c r="L226" s="215">
        <f t="shared" si="38"/>
        <v>2.725E-2</v>
      </c>
      <c r="M226" s="216">
        <f t="shared" si="42"/>
        <v>8.1300000000000018E-3</v>
      </c>
      <c r="N226" s="215">
        <f t="shared" si="35"/>
        <v>0</v>
      </c>
      <c r="O226" s="215">
        <f t="shared" si="36"/>
        <v>0</v>
      </c>
      <c r="P226" s="215">
        <f t="shared" si="37"/>
        <v>0</v>
      </c>
      <c r="Q226" s="214">
        <v>3.5</v>
      </c>
      <c r="R226" s="214">
        <v>3.66</v>
      </c>
      <c r="S226" s="214">
        <v>4.5</v>
      </c>
      <c r="T226" s="214">
        <v>0.01</v>
      </c>
      <c r="U226" s="214">
        <v>0.01</v>
      </c>
      <c r="V226" s="214">
        <v>0.01</v>
      </c>
      <c r="W226" s="219">
        <f t="shared" si="41"/>
        <v>3.49</v>
      </c>
      <c r="X226" s="219">
        <f t="shared" si="39"/>
        <v>3.6500000000000004</v>
      </c>
      <c r="Y226" s="219">
        <f t="shared" si="40"/>
        <v>4.49</v>
      </c>
    </row>
    <row r="227" spans="1:25">
      <c r="A227" s="212">
        <v>20130701</v>
      </c>
      <c r="B227" s="213" t="s">
        <v>15</v>
      </c>
      <c r="C227" s="213" t="str">
        <f t="shared" si="33"/>
        <v>20130701RTS</v>
      </c>
      <c r="D227" s="213" t="s">
        <v>427</v>
      </c>
      <c r="E227" s="213" t="str">
        <f t="shared" si="34"/>
        <v>20130701LGINE643</v>
      </c>
      <c r="F227" s="214">
        <v>750</v>
      </c>
      <c r="G227" s="215">
        <v>3.61E-2</v>
      </c>
      <c r="H227" s="215">
        <v>0</v>
      </c>
      <c r="I227" s="215">
        <v>0</v>
      </c>
      <c r="J227" s="215">
        <v>0</v>
      </c>
      <c r="K227" s="215">
        <v>0</v>
      </c>
      <c r="L227" s="215">
        <f t="shared" si="38"/>
        <v>2.725E-2</v>
      </c>
      <c r="M227" s="215">
        <f t="shared" si="42"/>
        <v>8.8500000000000002E-3</v>
      </c>
      <c r="N227" s="215">
        <f t="shared" si="35"/>
        <v>0</v>
      </c>
      <c r="O227" s="215">
        <f t="shared" si="36"/>
        <v>0</v>
      </c>
      <c r="P227" s="215">
        <f t="shared" si="37"/>
        <v>0</v>
      </c>
      <c r="Q227" s="214">
        <v>2.65</v>
      </c>
      <c r="R227" s="214">
        <v>2.9</v>
      </c>
      <c r="S227" s="214">
        <v>4.45</v>
      </c>
      <c r="T227" s="214">
        <v>0.01</v>
      </c>
      <c r="U227" s="214">
        <v>0.01</v>
      </c>
      <c r="V227" s="214">
        <v>0.01</v>
      </c>
      <c r="W227" s="219">
        <f t="shared" si="41"/>
        <v>2.64</v>
      </c>
      <c r="X227" s="219">
        <f t="shared" si="39"/>
        <v>2.89</v>
      </c>
      <c r="Y227" s="219">
        <f t="shared" si="40"/>
        <v>4.4400000000000004</v>
      </c>
    </row>
    <row r="228" spans="1:25">
      <c r="A228" s="212">
        <v>20130701</v>
      </c>
      <c r="B228" s="213" t="s">
        <v>22</v>
      </c>
      <c r="C228" s="213" t="str">
        <f t="shared" si="33"/>
        <v>20130701FLSP</v>
      </c>
      <c r="D228" s="218" t="s">
        <v>867</v>
      </c>
      <c r="E228" s="213" t="str">
        <f t="shared" si="34"/>
        <v>20130701LGINE682</v>
      </c>
      <c r="F228" s="214">
        <v>750</v>
      </c>
      <c r="G228" s="215">
        <v>3.61E-2</v>
      </c>
      <c r="H228" s="215">
        <v>0</v>
      </c>
      <c r="I228" s="215">
        <v>0</v>
      </c>
      <c r="J228" s="215">
        <v>0</v>
      </c>
      <c r="K228" s="215">
        <v>0</v>
      </c>
      <c r="L228" s="215">
        <f t="shared" si="38"/>
        <v>2.725E-2</v>
      </c>
      <c r="M228" s="215">
        <f t="shared" si="42"/>
        <v>8.8500000000000002E-3</v>
      </c>
      <c r="N228" s="215">
        <f t="shared" si="35"/>
        <v>0</v>
      </c>
      <c r="O228" s="215">
        <f t="shared" si="36"/>
        <v>0</v>
      </c>
      <c r="P228" s="215">
        <f t="shared" si="37"/>
        <v>0</v>
      </c>
      <c r="Q228" s="214">
        <v>1.79</v>
      </c>
      <c r="R228" s="214">
        <v>1.79</v>
      </c>
      <c r="S228" s="214">
        <v>2.84</v>
      </c>
      <c r="T228" s="214">
        <v>0.01</v>
      </c>
      <c r="U228" s="214">
        <v>0.01</v>
      </c>
      <c r="V228" s="214">
        <v>0.01</v>
      </c>
      <c r="W228" s="219">
        <f t="shared" si="41"/>
        <v>1.78</v>
      </c>
      <c r="X228" s="219">
        <f t="shared" si="39"/>
        <v>1.78</v>
      </c>
      <c r="Y228" s="219">
        <f t="shared" si="40"/>
        <v>2.83</v>
      </c>
    </row>
    <row r="229" spans="1:25">
      <c r="A229" s="212">
        <v>20130701</v>
      </c>
      <c r="B229" s="213" t="s">
        <v>23</v>
      </c>
      <c r="C229" s="213" t="str">
        <f t="shared" si="33"/>
        <v>20130701FLST</v>
      </c>
      <c r="D229" s="218" t="s">
        <v>868</v>
      </c>
      <c r="E229" s="213" t="str">
        <f t="shared" si="34"/>
        <v>20130701LGINE683</v>
      </c>
      <c r="F229" s="214">
        <v>750</v>
      </c>
      <c r="G229" s="215">
        <v>3.61E-2</v>
      </c>
      <c r="H229" s="215">
        <v>0</v>
      </c>
      <c r="I229" s="215">
        <v>0</v>
      </c>
      <c r="J229" s="215">
        <v>0</v>
      </c>
      <c r="K229" s="215">
        <v>0</v>
      </c>
      <c r="L229" s="215">
        <f t="shared" si="38"/>
        <v>2.725E-2</v>
      </c>
      <c r="M229" s="215">
        <f t="shared" si="42"/>
        <v>8.8500000000000002E-3</v>
      </c>
      <c r="N229" s="215">
        <f t="shared" si="35"/>
        <v>0</v>
      </c>
      <c r="O229" s="215">
        <f t="shared" si="36"/>
        <v>0</v>
      </c>
      <c r="P229" s="215">
        <f t="shared" si="37"/>
        <v>0</v>
      </c>
      <c r="Q229" s="214">
        <v>1.04</v>
      </c>
      <c r="R229" s="214">
        <v>1.79</v>
      </c>
      <c r="S229" s="214">
        <v>2.84</v>
      </c>
      <c r="T229" s="214">
        <v>0.01</v>
      </c>
      <c r="U229" s="214">
        <v>0.01</v>
      </c>
      <c r="V229" s="214">
        <v>0.01</v>
      </c>
      <c r="W229" s="219">
        <f t="shared" si="41"/>
        <v>1.03</v>
      </c>
      <c r="X229" s="219">
        <f t="shared" si="39"/>
        <v>1.78</v>
      </c>
      <c r="Y229" s="219">
        <f t="shared" si="40"/>
        <v>2.83</v>
      </c>
    </row>
    <row r="230" spans="1:25">
      <c r="A230" s="212">
        <v>20130701</v>
      </c>
      <c r="B230" s="213" t="s">
        <v>17</v>
      </c>
      <c r="C230" s="213" t="str">
        <f t="shared" si="33"/>
        <v>20130701LE</v>
      </c>
      <c r="D230" s="213" t="s">
        <v>433</v>
      </c>
      <c r="E230" s="213" t="str">
        <f t="shared" si="34"/>
        <v>20130701LGMLE570</v>
      </c>
      <c r="F230" s="214">
        <v>0</v>
      </c>
      <c r="G230" s="215">
        <v>6.3570000000000002E-2</v>
      </c>
      <c r="H230" s="215">
        <v>0</v>
      </c>
      <c r="I230" s="215">
        <v>0</v>
      </c>
      <c r="J230" s="215">
        <v>0</v>
      </c>
      <c r="K230" s="215">
        <v>6.0000000000000002E-5</v>
      </c>
      <c r="L230" s="215">
        <f t="shared" si="38"/>
        <v>2.725E-2</v>
      </c>
      <c r="M230" s="216">
        <f t="shared" si="42"/>
        <v>3.6260000000000001E-2</v>
      </c>
      <c r="N230" s="215">
        <f t="shared" si="35"/>
        <v>0</v>
      </c>
      <c r="O230" s="215">
        <f t="shared" si="36"/>
        <v>0</v>
      </c>
      <c r="P230" s="215">
        <f t="shared" si="37"/>
        <v>0</v>
      </c>
      <c r="Q230" s="214">
        <v>0</v>
      </c>
      <c r="R230" s="214">
        <v>0</v>
      </c>
      <c r="S230" s="214">
        <v>0</v>
      </c>
      <c r="T230" s="214">
        <v>0</v>
      </c>
      <c r="U230" s="214">
        <v>0</v>
      </c>
      <c r="V230" s="214">
        <v>0</v>
      </c>
      <c r="W230" s="214">
        <v>0</v>
      </c>
      <c r="X230" s="214">
        <v>0</v>
      </c>
      <c r="Y230" s="214">
        <v>0</v>
      </c>
    </row>
    <row r="231" spans="1:25">
      <c r="A231" s="212">
        <v>20130701</v>
      </c>
      <c r="B231" s="213" t="s">
        <v>17</v>
      </c>
      <c r="C231" s="213" t="str">
        <f t="shared" si="33"/>
        <v>20130701LE</v>
      </c>
      <c r="D231" s="213" t="s">
        <v>434</v>
      </c>
      <c r="E231" s="213" t="str">
        <f t="shared" si="34"/>
        <v>20130701LGMLE571</v>
      </c>
      <c r="F231" s="214">
        <v>0</v>
      </c>
      <c r="G231" s="215">
        <v>6.3570000000000002E-2</v>
      </c>
      <c r="H231" s="215">
        <v>0</v>
      </c>
      <c r="I231" s="215">
        <v>0</v>
      </c>
      <c r="J231" s="215">
        <v>0</v>
      </c>
      <c r="K231" s="215">
        <v>6.0000000000000002E-5</v>
      </c>
      <c r="L231" s="215">
        <f t="shared" si="38"/>
        <v>2.725E-2</v>
      </c>
      <c r="M231" s="216">
        <f t="shared" si="42"/>
        <v>3.6260000000000001E-2</v>
      </c>
      <c r="N231" s="215">
        <f t="shared" si="35"/>
        <v>0</v>
      </c>
      <c r="O231" s="215">
        <f t="shared" si="36"/>
        <v>0</v>
      </c>
      <c r="P231" s="215">
        <f t="shared" si="37"/>
        <v>0</v>
      </c>
      <c r="Q231" s="214">
        <v>0</v>
      </c>
      <c r="R231" s="214">
        <v>0</v>
      </c>
      <c r="S231" s="214">
        <v>0</v>
      </c>
      <c r="T231" s="214">
        <v>0</v>
      </c>
      <c r="U231" s="214">
        <v>0</v>
      </c>
      <c r="V231" s="214">
        <v>0</v>
      </c>
      <c r="W231" s="214">
        <v>0</v>
      </c>
      <c r="X231" s="214">
        <v>0</v>
      </c>
      <c r="Y231" s="214">
        <v>0</v>
      </c>
    </row>
    <row r="232" spans="1:25">
      <c r="A232" s="212">
        <v>20130701</v>
      </c>
      <c r="B232" s="213" t="s">
        <v>17</v>
      </c>
      <c r="C232" s="213" t="str">
        <f t="shared" si="33"/>
        <v>20130701LE</v>
      </c>
      <c r="D232" s="213" t="s">
        <v>435</v>
      </c>
      <c r="E232" s="213" t="str">
        <f t="shared" si="34"/>
        <v>20130701LGMLE572</v>
      </c>
      <c r="F232" s="214">
        <v>0</v>
      </c>
      <c r="G232" s="215">
        <v>6.3570000000000002E-2</v>
      </c>
      <c r="H232" s="215">
        <v>0</v>
      </c>
      <c r="I232" s="215">
        <v>0</v>
      </c>
      <c r="J232" s="215">
        <v>0</v>
      </c>
      <c r="K232" s="215">
        <v>6.0000000000000002E-5</v>
      </c>
      <c r="L232" s="215">
        <f t="shared" si="38"/>
        <v>2.725E-2</v>
      </c>
      <c r="M232" s="216">
        <f t="shared" si="42"/>
        <v>3.6260000000000001E-2</v>
      </c>
      <c r="N232" s="215">
        <f t="shared" si="35"/>
        <v>0</v>
      </c>
      <c r="O232" s="215">
        <f t="shared" si="36"/>
        <v>0</v>
      </c>
      <c r="P232" s="215">
        <f t="shared" si="37"/>
        <v>0</v>
      </c>
      <c r="Q232" s="214">
        <v>0</v>
      </c>
      <c r="R232" s="214">
        <v>0</v>
      </c>
      <c r="S232" s="214">
        <v>0</v>
      </c>
      <c r="T232" s="214">
        <v>0</v>
      </c>
      <c r="U232" s="214">
        <v>0</v>
      </c>
      <c r="V232" s="214">
        <v>0</v>
      </c>
      <c r="W232" s="214">
        <v>0</v>
      </c>
      <c r="X232" s="214">
        <v>0</v>
      </c>
      <c r="Y232" s="214">
        <v>0</v>
      </c>
    </row>
    <row r="233" spans="1:25">
      <c r="A233" s="212">
        <v>20130701</v>
      </c>
      <c r="B233" s="213" t="s">
        <v>18</v>
      </c>
      <c r="C233" s="213" t="str">
        <f t="shared" si="33"/>
        <v>20130701TE</v>
      </c>
      <c r="D233" s="213" t="s">
        <v>436</v>
      </c>
      <c r="E233" s="213" t="str">
        <f t="shared" si="34"/>
        <v>20130701LGMLE573</v>
      </c>
      <c r="F233" s="214">
        <v>3.25</v>
      </c>
      <c r="G233" s="215">
        <v>7.5539999999999996E-2</v>
      </c>
      <c r="H233" s="215">
        <v>0</v>
      </c>
      <c r="I233" s="215">
        <v>0</v>
      </c>
      <c r="J233" s="215">
        <v>0</v>
      </c>
      <c r="K233" s="215">
        <v>6.0000000000000002E-5</v>
      </c>
      <c r="L233" s="215">
        <f t="shared" si="38"/>
        <v>2.725E-2</v>
      </c>
      <c r="M233" s="216">
        <f t="shared" si="42"/>
        <v>4.8229999999999995E-2</v>
      </c>
      <c r="N233" s="215">
        <f t="shared" si="35"/>
        <v>0</v>
      </c>
      <c r="O233" s="215">
        <f t="shared" si="36"/>
        <v>0</v>
      </c>
      <c r="P233" s="215">
        <f t="shared" si="37"/>
        <v>0</v>
      </c>
      <c r="Q233" s="214">
        <v>0</v>
      </c>
      <c r="R233" s="214">
        <v>0</v>
      </c>
      <c r="S233" s="214">
        <v>0</v>
      </c>
      <c r="T233" s="214">
        <v>0</v>
      </c>
      <c r="U233" s="214">
        <v>0</v>
      </c>
      <c r="V233" s="214">
        <v>0</v>
      </c>
      <c r="W233" s="214">
        <v>0</v>
      </c>
      <c r="X233" s="214">
        <v>0</v>
      </c>
      <c r="Y233" s="214">
        <v>0</v>
      </c>
    </row>
    <row r="234" spans="1:25">
      <c r="A234" s="212">
        <v>20130701</v>
      </c>
      <c r="B234" s="213" t="s">
        <v>18</v>
      </c>
      <c r="C234" s="213" t="str">
        <f t="shared" si="33"/>
        <v>20130701TE</v>
      </c>
      <c r="D234" s="213" t="s">
        <v>437</v>
      </c>
      <c r="E234" s="213" t="str">
        <f t="shared" si="34"/>
        <v>20130701LGMLE574</v>
      </c>
      <c r="F234" s="214">
        <v>3.25</v>
      </c>
      <c r="G234" s="215">
        <v>7.5539999999999996E-2</v>
      </c>
      <c r="H234" s="215">
        <v>0</v>
      </c>
      <c r="I234" s="215">
        <v>0</v>
      </c>
      <c r="J234" s="215">
        <v>0</v>
      </c>
      <c r="K234" s="215">
        <v>6.0000000000000002E-5</v>
      </c>
      <c r="L234" s="215">
        <f t="shared" si="38"/>
        <v>2.725E-2</v>
      </c>
      <c r="M234" s="216">
        <f t="shared" si="42"/>
        <v>4.8229999999999995E-2</v>
      </c>
      <c r="N234" s="215">
        <f t="shared" si="35"/>
        <v>0</v>
      </c>
      <c r="O234" s="215">
        <f t="shared" si="36"/>
        <v>0</v>
      </c>
      <c r="P234" s="215">
        <f t="shared" si="37"/>
        <v>0</v>
      </c>
      <c r="Q234" s="214">
        <v>0</v>
      </c>
      <c r="R234" s="214">
        <v>0</v>
      </c>
      <c r="S234" s="214">
        <v>0</v>
      </c>
      <c r="T234" s="214">
        <v>0</v>
      </c>
      <c r="U234" s="214">
        <v>0</v>
      </c>
      <c r="V234" s="214">
        <v>0</v>
      </c>
      <c r="W234" s="214">
        <v>0</v>
      </c>
      <c r="X234" s="214">
        <v>0</v>
      </c>
      <c r="Y234" s="214">
        <v>0</v>
      </c>
    </row>
    <row r="235" spans="1:25">
      <c r="A235" s="212">
        <v>20130701</v>
      </c>
      <c r="B235" s="213" t="s">
        <v>18</v>
      </c>
      <c r="C235" s="213" t="str">
        <f t="shared" si="33"/>
        <v>20130701TE</v>
      </c>
      <c r="D235" s="218" t="s">
        <v>869</v>
      </c>
      <c r="E235" s="213" t="str">
        <f t="shared" si="34"/>
        <v>20130701LGMLE575</v>
      </c>
      <c r="F235" s="214">
        <v>3.25</v>
      </c>
      <c r="G235" s="215">
        <v>7.5539999999999996E-2</v>
      </c>
      <c r="H235" s="215">
        <v>0</v>
      </c>
      <c r="I235" s="215">
        <v>0</v>
      </c>
      <c r="J235" s="215">
        <v>0</v>
      </c>
      <c r="K235" s="215">
        <v>6.0000000000000002E-5</v>
      </c>
      <c r="L235" s="215">
        <f t="shared" si="38"/>
        <v>2.725E-2</v>
      </c>
      <c r="M235" s="216">
        <f t="shared" si="42"/>
        <v>4.8229999999999995E-2</v>
      </c>
      <c r="N235" s="215">
        <f t="shared" si="35"/>
        <v>0</v>
      </c>
      <c r="O235" s="215">
        <f t="shared" si="36"/>
        <v>0</v>
      </c>
      <c r="P235" s="215">
        <f t="shared" si="37"/>
        <v>0</v>
      </c>
      <c r="Q235" s="214">
        <v>0</v>
      </c>
      <c r="R235" s="214">
        <v>0</v>
      </c>
      <c r="S235" s="214">
        <v>0</v>
      </c>
      <c r="T235" s="214">
        <v>0</v>
      </c>
      <c r="U235" s="214">
        <v>0</v>
      </c>
      <c r="V235" s="214">
        <v>0</v>
      </c>
      <c r="W235" s="214">
        <v>0</v>
      </c>
      <c r="X235" s="214">
        <v>0</v>
      </c>
      <c r="Y235" s="214">
        <v>0</v>
      </c>
    </row>
    <row r="236" spans="1:25">
      <c r="A236" s="212">
        <v>20130701</v>
      </c>
      <c r="B236" s="213" t="s">
        <v>18</v>
      </c>
      <c r="C236" s="213" t="str">
        <f t="shared" si="33"/>
        <v>20130701TE</v>
      </c>
      <c r="D236" s="218" t="s">
        <v>870</v>
      </c>
      <c r="E236" s="213" t="str">
        <f t="shared" si="34"/>
        <v>20130701LGMLE577</v>
      </c>
      <c r="F236" s="214">
        <v>3.25</v>
      </c>
      <c r="G236" s="215">
        <v>7.5539999999999996E-2</v>
      </c>
      <c r="H236" s="215">
        <v>0</v>
      </c>
      <c r="I236" s="215">
        <v>0</v>
      </c>
      <c r="J236" s="215">
        <v>0</v>
      </c>
      <c r="K236" s="215">
        <v>6.0000000000000002E-5</v>
      </c>
      <c r="L236" s="215">
        <f t="shared" si="38"/>
        <v>2.725E-2</v>
      </c>
      <c r="M236" s="216">
        <f t="shared" si="42"/>
        <v>4.8229999999999995E-2</v>
      </c>
      <c r="N236" s="215">
        <f t="shared" si="35"/>
        <v>0</v>
      </c>
      <c r="O236" s="215">
        <f t="shared" si="36"/>
        <v>0</v>
      </c>
      <c r="P236" s="215">
        <f t="shared" si="37"/>
        <v>0</v>
      </c>
      <c r="Q236" s="214">
        <v>0</v>
      </c>
      <c r="R236" s="214">
        <v>0</v>
      </c>
      <c r="S236" s="214">
        <v>0</v>
      </c>
      <c r="T236" s="214">
        <v>0</v>
      </c>
      <c r="U236" s="214">
        <v>0</v>
      </c>
      <c r="V236" s="214">
        <v>0</v>
      </c>
      <c r="W236" s="214">
        <v>0</v>
      </c>
      <c r="X236" s="214">
        <v>0</v>
      </c>
      <c r="Y236" s="214">
        <v>0</v>
      </c>
    </row>
    <row r="237" spans="1:25">
      <c r="A237" s="212">
        <v>20130701</v>
      </c>
      <c r="B237" s="213" t="s">
        <v>451</v>
      </c>
      <c r="C237" s="213" t="str">
        <f t="shared" si="33"/>
        <v>20130701FK</v>
      </c>
      <c r="D237" s="213" t="s">
        <v>426</v>
      </c>
      <c r="E237" s="213" t="str">
        <f t="shared" si="34"/>
        <v>20130701LGINE599</v>
      </c>
      <c r="F237" s="214">
        <v>0</v>
      </c>
      <c r="G237" s="215">
        <v>3.7400000000000003E-2</v>
      </c>
      <c r="H237" s="215">
        <v>0</v>
      </c>
      <c r="I237" s="215">
        <v>0</v>
      </c>
      <c r="J237" s="215">
        <v>0</v>
      </c>
      <c r="K237" s="215">
        <v>0</v>
      </c>
      <c r="L237" s="215">
        <f t="shared" si="38"/>
        <v>2.725E-2</v>
      </c>
      <c r="M237" s="215">
        <f t="shared" si="42"/>
        <v>1.0150000000000003E-2</v>
      </c>
      <c r="N237" s="215">
        <v>0</v>
      </c>
      <c r="O237" s="215">
        <v>0</v>
      </c>
      <c r="P237" s="215">
        <v>0</v>
      </c>
      <c r="Q237" s="215">
        <v>0</v>
      </c>
      <c r="R237" s="214">
        <v>12.35</v>
      </c>
      <c r="S237" s="214">
        <f>U237+Y237</f>
        <v>14.67</v>
      </c>
      <c r="T237" s="214">
        <v>0</v>
      </c>
      <c r="U237" s="214">
        <v>0.02</v>
      </c>
      <c r="V237" s="214">
        <v>0.02</v>
      </c>
      <c r="W237" s="214">
        <v>0</v>
      </c>
      <c r="X237" s="219">
        <f>R237-U237</f>
        <v>12.33</v>
      </c>
      <c r="Y237" s="219">
        <v>14.65</v>
      </c>
    </row>
    <row r="238" spans="1:25">
      <c r="A238" s="212">
        <v>20130701</v>
      </c>
      <c r="B238" s="213" t="s">
        <v>464</v>
      </c>
      <c r="C238" s="213" t="str">
        <f>A238&amp;B238</f>
        <v>20130701LWC</v>
      </c>
      <c r="D238" s="213" t="s">
        <v>424</v>
      </c>
      <c r="E238" s="213" t="str">
        <f>A238&amp;D238</f>
        <v>20130701LGCME671</v>
      </c>
      <c r="F238" s="214">
        <v>0</v>
      </c>
      <c r="G238" s="215">
        <v>3.7019999999999997E-2</v>
      </c>
      <c r="H238" s="215">
        <v>0</v>
      </c>
      <c r="I238" s="215">
        <v>0</v>
      </c>
      <c r="J238" s="215">
        <v>0</v>
      </c>
      <c r="K238" s="215">
        <v>0</v>
      </c>
      <c r="L238" s="215">
        <f t="shared" si="38"/>
        <v>2.725E-2</v>
      </c>
      <c r="M238" s="215">
        <f t="shared" si="42"/>
        <v>9.7699999999999974E-3</v>
      </c>
      <c r="N238" s="215">
        <v>0</v>
      </c>
      <c r="O238" s="215">
        <v>0</v>
      </c>
      <c r="P238" s="215">
        <v>0</v>
      </c>
      <c r="Q238" s="215">
        <v>0</v>
      </c>
      <c r="R238" s="214">
        <v>10</v>
      </c>
      <c r="S238" s="214">
        <v>10</v>
      </c>
      <c r="T238" s="214">
        <v>0</v>
      </c>
      <c r="U238" s="214">
        <v>0.02</v>
      </c>
      <c r="V238" s="214">
        <v>0.02</v>
      </c>
      <c r="W238" s="214">
        <v>0</v>
      </c>
      <c r="X238" s="219">
        <f>R238-U238</f>
        <v>9.98</v>
      </c>
      <c r="Y238" s="219">
        <f>S238-V238</f>
        <v>9.98</v>
      </c>
    </row>
    <row r="239" spans="1:25">
      <c r="A239" s="212">
        <v>20130701</v>
      </c>
      <c r="B239" s="213" t="s">
        <v>680</v>
      </c>
      <c r="C239" s="213" t="str">
        <f>A239&amp;B239</f>
        <v>20130701LEV</v>
      </c>
      <c r="D239" s="218" t="s">
        <v>755</v>
      </c>
      <c r="E239" s="213" t="str">
        <f>A239&amp;D239</f>
        <v>20130701LGRSE543</v>
      </c>
      <c r="F239" s="214">
        <v>10.75</v>
      </c>
      <c r="G239" s="215">
        <v>5.6930000000000001E-2</v>
      </c>
      <c r="H239" s="215">
        <v>7.7719999999999997E-2</v>
      </c>
      <c r="I239" s="215">
        <v>0.14324000000000001</v>
      </c>
      <c r="J239" s="215">
        <v>0</v>
      </c>
      <c r="K239" s="215">
        <v>6.9999999999999994E-5</v>
      </c>
      <c r="L239" s="215">
        <f t="shared" si="38"/>
        <v>2.725E-2</v>
      </c>
      <c r="M239" s="215">
        <f t="shared" si="42"/>
        <v>2.9610000000000001E-2</v>
      </c>
      <c r="N239" s="215">
        <f>H239-K239-L239</f>
        <v>5.04E-2</v>
      </c>
      <c r="O239" s="215">
        <f>I239-K239-L239</f>
        <v>0.11592000000000002</v>
      </c>
      <c r="P239" s="215">
        <v>0</v>
      </c>
      <c r="Q239" s="214">
        <v>0</v>
      </c>
      <c r="R239" s="214">
        <v>0</v>
      </c>
      <c r="S239" s="214">
        <v>0</v>
      </c>
      <c r="T239" s="214">
        <v>0</v>
      </c>
      <c r="U239" s="214">
        <v>0</v>
      </c>
      <c r="V239" s="214">
        <v>0</v>
      </c>
      <c r="W239" s="214">
        <v>0</v>
      </c>
      <c r="X239" s="214">
        <v>0</v>
      </c>
      <c r="Y239" s="214">
        <v>0</v>
      </c>
    </row>
    <row r="240" spans="1:25">
      <c r="A240" s="224">
        <v>20140101</v>
      </c>
      <c r="B240" s="225" t="s">
        <v>13</v>
      </c>
      <c r="C240" s="225" t="str">
        <f t="shared" ref="C240:C275" si="43">A240&amp;B240</f>
        <v>20140101RS</v>
      </c>
      <c r="D240" s="225" t="s">
        <v>438</v>
      </c>
      <c r="E240" s="225" t="str">
        <f t="shared" ref="E240:E275" si="44">A240&amp;D240</f>
        <v>20140101LGRSE411</v>
      </c>
      <c r="F240" s="226">
        <v>0</v>
      </c>
      <c r="G240" s="227">
        <f>SUM(K240:M240)</f>
        <v>8.0760000000000012E-2</v>
      </c>
      <c r="H240" s="227">
        <v>0</v>
      </c>
      <c r="I240" s="227">
        <v>0</v>
      </c>
      <c r="J240" s="227">
        <v>0</v>
      </c>
      <c r="K240" s="227">
        <v>1.34E-3</v>
      </c>
      <c r="L240" s="228">
        <v>2.725E-2</v>
      </c>
      <c r="M240" s="227">
        <v>5.2170000000000008E-2</v>
      </c>
      <c r="N240" s="227">
        <v>0</v>
      </c>
      <c r="O240" s="227">
        <v>0</v>
      </c>
      <c r="P240" s="227">
        <f t="shared" ref="P240:P244" si="45">IF(J240=0,0,J240-$K240-$L240)</f>
        <v>0</v>
      </c>
      <c r="Q240" s="226">
        <v>0</v>
      </c>
      <c r="R240" s="226">
        <v>0</v>
      </c>
      <c r="S240" s="226">
        <v>0</v>
      </c>
      <c r="T240" s="226">
        <v>0</v>
      </c>
      <c r="U240" s="226">
        <v>0</v>
      </c>
      <c r="V240" s="226">
        <v>0</v>
      </c>
      <c r="W240" s="226">
        <v>0</v>
      </c>
      <c r="X240" s="226">
        <v>0</v>
      </c>
      <c r="Y240" s="226">
        <v>0</v>
      </c>
    </row>
    <row r="241" spans="1:25">
      <c r="A241" s="224">
        <v>20140101</v>
      </c>
      <c r="B241" s="229" t="s">
        <v>456</v>
      </c>
      <c r="C241" s="225" t="str">
        <f t="shared" si="43"/>
        <v>20140101GSWH</v>
      </c>
      <c r="D241" s="225" t="s">
        <v>407</v>
      </c>
      <c r="E241" s="225" t="str">
        <f t="shared" si="44"/>
        <v>20140101LGCME451</v>
      </c>
      <c r="F241" s="226">
        <v>0</v>
      </c>
      <c r="G241" s="227">
        <f t="shared" ref="G241:G278" si="46">SUM(K241:M241)</f>
        <v>9.1340000000000005E-2</v>
      </c>
      <c r="H241" s="227">
        <v>0</v>
      </c>
      <c r="I241" s="227">
        <v>0</v>
      </c>
      <c r="J241" s="227">
        <v>0</v>
      </c>
      <c r="K241" s="227">
        <v>1.67E-3</v>
      </c>
      <c r="L241" s="227">
        <f>$L$240</f>
        <v>2.725E-2</v>
      </c>
      <c r="M241" s="227">
        <v>6.2420000000000003E-2</v>
      </c>
      <c r="N241" s="227">
        <v>0</v>
      </c>
      <c r="O241" s="227">
        <v>0</v>
      </c>
      <c r="P241" s="227">
        <f t="shared" si="45"/>
        <v>0</v>
      </c>
      <c r="Q241" s="226">
        <v>0</v>
      </c>
      <c r="R241" s="226">
        <v>0</v>
      </c>
      <c r="S241" s="226">
        <v>0</v>
      </c>
      <c r="T241" s="226">
        <v>0</v>
      </c>
      <c r="U241" s="226">
        <v>0</v>
      </c>
      <c r="V241" s="226">
        <v>0</v>
      </c>
      <c r="W241" s="226">
        <v>0</v>
      </c>
      <c r="X241" s="226">
        <v>0</v>
      </c>
      <c r="Y241" s="226">
        <v>0</v>
      </c>
    </row>
    <row r="242" spans="1:25">
      <c r="A242" s="224">
        <v>20140101</v>
      </c>
      <c r="B242" s="225" t="s">
        <v>13</v>
      </c>
      <c r="C242" s="225" t="str">
        <f t="shared" si="43"/>
        <v>20140101RS</v>
      </c>
      <c r="D242" s="225" t="s">
        <v>439</v>
      </c>
      <c r="E242" s="225" t="str">
        <f t="shared" si="44"/>
        <v>20140101LGRSE511</v>
      </c>
      <c r="F242" s="226">
        <v>10.75</v>
      </c>
      <c r="G242" s="227">
        <f t="shared" si="46"/>
        <v>8.0760000000000012E-2</v>
      </c>
      <c r="H242" s="227">
        <v>0</v>
      </c>
      <c r="I242" s="227">
        <v>0</v>
      </c>
      <c r="J242" s="227">
        <v>0</v>
      </c>
      <c r="K242" s="227">
        <v>1.34E-3</v>
      </c>
      <c r="L242" s="227">
        <f t="shared" ref="L242:L278" si="47">$L$240</f>
        <v>2.725E-2</v>
      </c>
      <c r="M242" s="227">
        <v>5.2170000000000008E-2</v>
      </c>
      <c r="N242" s="227">
        <v>0</v>
      </c>
      <c r="O242" s="227">
        <v>0</v>
      </c>
      <c r="P242" s="227">
        <f t="shared" si="45"/>
        <v>0</v>
      </c>
      <c r="Q242" s="226">
        <v>0</v>
      </c>
      <c r="R242" s="226">
        <v>0</v>
      </c>
      <c r="S242" s="226">
        <v>0</v>
      </c>
      <c r="T242" s="226">
        <v>0</v>
      </c>
      <c r="U242" s="226">
        <v>0</v>
      </c>
      <c r="V242" s="226">
        <v>0</v>
      </c>
      <c r="W242" s="226">
        <v>0</v>
      </c>
      <c r="X242" s="226">
        <v>0</v>
      </c>
      <c r="Y242" s="226">
        <v>0</v>
      </c>
    </row>
    <row r="243" spans="1:25">
      <c r="A243" s="224">
        <v>20140101</v>
      </c>
      <c r="B243" s="225" t="s">
        <v>13</v>
      </c>
      <c r="C243" s="225" t="str">
        <f t="shared" si="43"/>
        <v>20140101RS</v>
      </c>
      <c r="D243" s="225" t="s">
        <v>440</v>
      </c>
      <c r="E243" s="225" t="str">
        <f t="shared" si="44"/>
        <v>20140101LGRSE519</v>
      </c>
      <c r="F243" s="226">
        <v>10.75</v>
      </c>
      <c r="G243" s="227">
        <f t="shared" si="46"/>
        <v>8.0760000000000012E-2</v>
      </c>
      <c r="H243" s="227">
        <v>0</v>
      </c>
      <c r="I243" s="227">
        <v>0</v>
      </c>
      <c r="J243" s="227">
        <v>0</v>
      </c>
      <c r="K243" s="227">
        <v>1.34E-3</v>
      </c>
      <c r="L243" s="227">
        <f t="shared" si="47"/>
        <v>2.725E-2</v>
      </c>
      <c r="M243" s="227">
        <v>5.2170000000000008E-2</v>
      </c>
      <c r="N243" s="227">
        <v>0</v>
      </c>
      <c r="O243" s="227">
        <v>0</v>
      </c>
      <c r="P243" s="227">
        <f t="shared" si="45"/>
        <v>0</v>
      </c>
      <c r="Q243" s="226">
        <v>0</v>
      </c>
      <c r="R243" s="226">
        <v>0</v>
      </c>
      <c r="S243" s="226">
        <v>0</v>
      </c>
      <c r="T243" s="226">
        <v>0</v>
      </c>
      <c r="U243" s="226">
        <v>0</v>
      </c>
      <c r="V243" s="226">
        <v>0</v>
      </c>
      <c r="W243" s="226">
        <v>0</v>
      </c>
      <c r="X243" s="226">
        <v>0</v>
      </c>
      <c r="Y243" s="226">
        <v>0</v>
      </c>
    </row>
    <row r="244" spans="1:25">
      <c r="A244" s="224">
        <v>20140101</v>
      </c>
      <c r="B244" s="225" t="s">
        <v>745</v>
      </c>
      <c r="C244" s="225" t="str">
        <f t="shared" si="43"/>
        <v>20140101VFD</v>
      </c>
      <c r="D244" s="225" t="s">
        <v>441</v>
      </c>
      <c r="E244" s="225" t="str">
        <f t="shared" si="44"/>
        <v>20140101LGRSE540</v>
      </c>
      <c r="F244" s="226">
        <v>10.75</v>
      </c>
      <c r="G244" s="227">
        <f t="shared" si="46"/>
        <v>8.0760000000000012E-2</v>
      </c>
      <c r="H244" s="227">
        <v>0</v>
      </c>
      <c r="I244" s="227">
        <v>0</v>
      </c>
      <c r="J244" s="227">
        <v>0</v>
      </c>
      <c r="K244" s="227">
        <v>1.34E-3</v>
      </c>
      <c r="L244" s="227">
        <f t="shared" si="47"/>
        <v>2.725E-2</v>
      </c>
      <c r="M244" s="227">
        <v>5.2170000000000008E-2</v>
      </c>
      <c r="N244" s="227">
        <v>0</v>
      </c>
      <c r="O244" s="227">
        <v>0</v>
      </c>
      <c r="P244" s="227">
        <f t="shared" si="45"/>
        <v>0</v>
      </c>
      <c r="Q244" s="226">
        <v>0</v>
      </c>
      <c r="R244" s="226">
        <v>0</v>
      </c>
      <c r="S244" s="226">
        <v>0</v>
      </c>
      <c r="T244" s="226">
        <v>0</v>
      </c>
      <c r="U244" s="226">
        <v>0</v>
      </c>
      <c r="V244" s="226">
        <v>0</v>
      </c>
      <c r="W244" s="226">
        <v>0</v>
      </c>
      <c r="X244" s="226">
        <v>0</v>
      </c>
      <c r="Y244" s="226">
        <v>0</v>
      </c>
    </row>
    <row r="245" spans="1:25">
      <c r="A245" s="224">
        <v>20140101</v>
      </c>
      <c r="B245" s="229" t="s">
        <v>883</v>
      </c>
      <c r="C245" s="225" t="str">
        <f t="shared" si="43"/>
        <v>20140101GSP</v>
      </c>
      <c r="D245" s="225" t="s">
        <v>408</v>
      </c>
      <c r="E245" s="225" t="str">
        <f t="shared" si="44"/>
        <v>20140101LGCME550</v>
      </c>
      <c r="F245" s="226">
        <v>20</v>
      </c>
      <c r="G245" s="227">
        <f t="shared" si="46"/>
        <v>9.1340000000000005E-2</v>
      </c>
      <c r="H245" s="227">
        <v>0</v>
      </c>
      <c r="I245" s="227">
        <v>0</v>
      </c>
      <c r="J245" s="227">
        <v>0</v>
      </c>
      <c r="K245" s="227">
        <v>1.67E-3</v>
      </c>
      <c r="L245" s="227">
        <f t="shared" si="47"/>
        <v>2.725E-2</v>
      </c>
      <c r="M245" s="227">
        <v>6.2420000000000003E-2</v>
      </c>
      <c r="N245" s="227">
        <v>0</v>
      </c>
      <c r="O245" s="227">
        <v>0</v>
      </c>
      <c r="P245" s="227">
        <f t="shared" ref="P245:P249" si="48">IF(J245=0,0,J245-$K245-$L245)</f>
        <v>0</v>
      </c>
      <c r="Q245" s="226">
        <v>0</v>
      </c>
      <c r="R245" s="226">
        <v>0</v>
      </c>
      <c r="S245" s="226">
        <v>0</v>
      </c>
      <c r="T245" s="226">
        <v>0</v>
      </c>
      <c r="U245" s="226">
        <v>0</v>
      </c>
      <c r="V245" s="226">
        <v>0</v>
      </c>
      <c r="W245" s="226">
        <v>0</v>
      </c>
      <c r="X245" s="226">
        <v>0</v>
      </c>
      <c r="Y245" s="226">
        <v>0</v>
      </c>
    </row>
    <row r="246" spans="1:25">
      <c r="A246" s="224">
        <v>20140101</v>
      </c>
      <c r="B246" s="225" t="s">
        <v>453</v>
      </c>
      <c r="C246" s="225" t="str">
        <f t="shared" si="43"/>
        <v>20140101GSS</v>
      </c>
      <c r="D246" s="225" t="s">
        <v>409</v>
      </c>
      <c r="E246" s="225" t="str">
        <f t="shared" si="44"/>
        <v>20140101LGCME551</v>
      </c>
      <c r="F246" s="226">
        <v>20</v>
      </c>
      <c r="G246" s="227">
        <f t="shared" si="46"/>
        <v>9.1340000000000005E-2</v>
      </c>
      <c r="H246" s="227">
        <v>0</v>
      </c>
      <c r="I246" s="227">
        <v>0</v>
      </c>
      <c r="J246" s="227">
        <v>0</v>
      </c>
      <c r="K246" s="227">
        <v>1.67E-3</v>
      </c>
      <c r="L246" s="227">
        <f t="shared" si="47"/>
        <v>2.725E-2</v>
      </c>
      <c r="M246" s="227">
        <v>6.2420000000000003E-2</v>
      </c>
      <c r="N246" s="227">
        <v>0</v>
      </c>
      <c r="O246" s="227">
        <v>0</v>
      </c>
      <c r="P246" s="227">
        <f t="shared" si="48"/>
        <v>0</v>
      </c>
      <c r="Q246" s="226">
        <v>0</v>
      </c>
      <c r="R246" s="226">
        <v>0</v>
      </c>
      <c r="S246" s="226">
        <v>0</v>
      </c>
      <c r="T246" s="226">
        <v>0</v>
      </c>
      <c r="U246" s="226">
        <v>0</v>
      </c>
      <c r="V246" s="226">
        <v>0</v>
      </c>
      <c r="W246" s="226">
        <v>0</v>
      </c>
      <c r="X246" s="226">
        <v>0</v>
      </c>
      <c r="Y246" s="226">
        <v>0</v>
      </c>
    </row>
    <row r="247" spans="1:25">
      <c r="A247" s="224">
        <v>20140101</v>
      </c>
      <c r="B247" s="225" t="s">
        <v>882</v>
      </c>
      <c r="C247" s="225" t="str">
        <f t="shared" si="43"/>
        <v>20140101GSUM</v>
      </c>
      <c r="D247" s="225" t="s">
        <v>410</v>
      </c>
      <c r="E247" s="225" t="str">
        <f t="shared" si="44"/>
        <v>20140101LGCME551UM</v>
      </c>
      <c r="F247" s="226">
        <v>20</v>
      </c>
      <c r="G247" s="227">
        <f t="shared" si="46"/>
        <v>9.1340000000000005E-2</v>
      </c>
      <c r="H247" s="227">
        <v>0</v>
      </c>
      <c r="I247" s="227">
        <v>0</v>
      </c>
      <c r="J247" s="227">
        <v>0</v>
      </c>
      <c r="K247" s="227">
        <v>1.67E-3</v>
      </c>
      <c r="L247" s="227">
        <f t="shared" si="47"/>
        <v>2.725E-2</v>
      </c>
      <c r="M247" s="227">
        <v>6.2420000000000003E-2</v>
      </c>
      <c r="N247" s="227">
        <v>0</v>
      </c>
      <c r="O247" s="227">
        <v>0</v>
      </c>
      <c r="P247" s="227">
        <f t="shared" si="48"/>
        <v>0</v>
      </c>
      <c r="Q247" s="226">
        <v>0</v>
      </c>
      <c r="R247" s="226">
        <v>0</v>
      </c>
      <c r="S247" s="226">
        <v>0</v>
      </c>
      <c r="T247" s="226">
        <v>0</v>
      </c>
      <c r="U247" s="226">
        <v>0</v>
      </c>
      <c r="V247" s="226">
        <v>0</v>
      </c>
      <c r="W247" s="226">
        <v>0</v>
      </c>
      <c r="X247" s="226">
        <v>0</v>
      </c>
      <c r="Y247" s="226">
        <v>0</v>
      </c>
    </row>
    <row r="248" spans="1:25">
      <c r="A248" s="224">
        <v>20140101</v>
      </c>
      <c r="B248" s="229" t="s">
        <v>877</v>
      </c>
      <c r="C248" s="225" t="str">
        <f t="shared" si="43"/>
        <v>20140101GSNM</v>
      </c>
      <c r="D248" s="225" t="s">
        <v>413</v>
      </c>
      <c r="E248" s="225" t="str">
        <f t="shared" si="44"/>
        <v>20140101LGCME557</v>
      </c>
      <c r="F248" s="226">
        <v>20</v>
      </c>
      <c r="G248" s="227">
        <f t="shared" si="46"/>
        <v>9.1340000000000005E-2</v>
      </c>
      <c r="H248" s="227">
        <v>0</v>
      </c>
      <c r="I248" s="227">
        <v>0</v>
      </c>
      <c r="J248" s="227">
        <v>0</v>
      </c>
      <c r="K248" s="227">
        <v>1.67E-3</v>
      </c>
      <c r="L248" s="227">
        <f t="shared" si="47"/>
        <v>2.725E-2</v>
      </c>
      <c r="M248" s="227">
        <v>6.2420000000000003E-2</v>
      </c>
      <c r="N248" s="227">
        <v>0</v>
      </c>
      <c r="O248" s="227">
        <v>0</v>
      </c>
      <c r="P248" s="227">
        <f t="shared" si="48"/>
        <v>0</v>
      </c>
      <c r="Q248" s="226">
        <v>0</v>
      </c>
      <c r="R248" s="226">
        <v>0</v>
      </c>
      <c r="S248" s="226">
        <v>0</v>
      </c>
      <c r="T248" s="226">
        <v>0</v>
      </c>
      <c r="U248" s="226">
        <v>0</v>
      </c>
      <c r="V248" s="226">
        <v>0</v>
      </c>
      <c r="W248" s="226">
        <v>0</v>
      </c>
      <c r="X248" s="226">
        <v>0</v>
      </c>
      <c r="Y248" s="226">
        <v>0</v>
      </c>
    </row>
    <row r="249" spans="1:25">
      <c r="A249" s="224">
        <v>20140101</v>
      </c>
      <c r="B249" s="229" t="s">
        <v>455</v>
      </c>
      <c r="C249" s="225" t="str">
        <f t="shared" si="43"/>
        <v>20140101GSSH</v>
      </c>
      <c r="D249" s="225" t="s">
        <v>411</v>
      </c>
      <c r="E249" s="225" t="str">
        <f t="shared" si="44"/>
        <v>20140101LGCME552</v>
      </c>
      <c r="F249" s="226">
        <v>0</v>
      </c>
      <c r="G249" s="227">
        <f t="shared" si="46"/>
        <v>9.1340000000000005E-2</v>
      </c>
      <c r="H249" s="227">
        <v>0</v>
      </c>
      <c r="I249" s="227">
        <v>0</v>
      </c>
      <c r="J249" s="227">
        <v>0</v>
      </c>
      <c r="K249" s="227">
        <v>1.67E-3</v>
      </c>
      <c r="L249" s="227">
        <f t="shared" si="47"/>
        <v>2.725E-2</v>
      </c>
      <c r="M249" s="227">
        <v>6.2420000000000003E-2</v>
      </c>
      <c r="N249" s="227">
        <v>0</v>
      </c>
      <c r="O249" s="227">
        <v>0</v>
      </c>
      <c r="P249" s="227">
        <f t="shared" si="48"/>
        <v>0</v>
      </c>
      <c r="Q249" s="226">
        <v>0</v>
      </c>
      <c r="R249" s="226">
        <v>0</v>
      </c>
      <c r="S249" s="226">
        <v>0</v>
      </c>
      <c r="T249" s="226">
        <v>0</v>
      </c>
      <c r="U249" s="226">
        <v>0</v>
      </c>
      <c r="V249" s="226">
        <v>0</v>
      </c>
      <c r="W249" s="226">
        <v>0</v>
      </c>
      <c r="X249" s="226">
        <v>0</v>
      </c>
      <c r="Y249" s="226">
        <v>0</v>
      </c>
    </row>
    <row r="250" spans="1:25">
      <c r="A250" s="224">
        <v>20140101</v>
      </c>
      <c r="B250" s="229" t="s">
        <v>765</v>
      </c>
      <c r="C250" s="225" t="str">
        <f t="shared" si="43"/>
        <v>20140101GS3P</v>
      </c>
      <c r="D250" s="225" t="s">
        <v>419</v>
      </c>
      <c r="E250" s="225" t="str">
        <f t="shared" si="44"/>
        <v>20140101LGCME650</v>
      </c>
      <c r="F250" s="226">
        <v>35</v>
      </c>
      <c r="G250" s="227">
        <f t="shared" si="46"/>
        <v>9.1340000000000005E-2</v>
      </c>
      <c r="H250" s="227">
        <v>0</v>
      </c>
      <c r="I250" s="227">
        <v>0</v>
      </c>
      <c r="J250" s="227">
        <v>0</v>
      </c>
      <c r="K250" s="227">
        <v>1.67E-3</v>
      </c>
      <c r="L250" s="227">
        <f t="shared" si="47"/>
        <v>2.725E-2</v>
      </c>
      <c r="M250" s="227">
        <v>6.2420000000000003E-2</v>
      </c>
      <c r="N250" s="227">
        <v>0</v>
      </c>
      <c r="O250" s="227">
        <v>0</v>
      </c>
      <c r="P250" s="227">
        <f t="shared" ref="P250:P253" si="49">IF(J250=0,0,J250-$K250-$L250)</f>
        <v>0</v>
      </c>
      <c r="Q250" s="226">
        <v>0</v>
      </c>
      <c r="R250" s="226">
        <v>0</v>
      </c>
      <c r="S250" s="226">
        <v>0</v>
      </c>
      <c r="T250" s="226">
        <v>0</v>
      </c>
      <c r="U250" s="226">
        <v>0</v>
      </c>
      <c r="V250" s="226">
        <v>0</v>
      </c>
      <c r="W250" s="226">
        <v>0</v>
      </c>
      <c r="X250" s="226">
        <v>0</v>
      </c>
      <c r="Y250" s="226">
        <v>0</v>
      </c>
    </row>
    <row r="251" spans="1:25">
      <c r="A251" s="224">
        <v>20140101</v>
      </c>
      <c r="B251" s="225" t="s">
        <v>14</v>
      </c>
      <c r="C251" s="225" t="str">
        <f t="shared" si="43"/>
        <v>20140101GS3</v>
      </c>
      <c r="D251" s="225" t="s">
        <v>420</v>
      </c>
      <c r="E251" s="225" t="str">
        <f t="shared" si="44"/>
        <v>20140101LGCME651</v>
      </c>
      <c r="F251" s="226">
        <v>35</v>
      </c>
      <c r="G251" s="227">
        <f t="shared" si="46"/>
        <v>9.1340000000000005E-2</v>
      </c>
      <c r="H251" s="227">
        <v>0</v>
      </c>
      <c r="I251" s="227">
        <v>0</v>
      </c>
      <c r="J251" s="227">
        <v>0</v>
      </c>
      <c r="K251" s="227">
        <v>1.67E-3</v>
      </c>
      <c r="L251" s="227">
        <f t="shared" si="47"/>
        <v>2.725E-2</v>
      </c>
      <c r="M251" s="227">
        <v>6.2420000000000003E-2</v>
      </c>
      <c r="N251" s="227">
        <v>0</v>
      </c>
      <c r="O251" s="227">
        <v>0</v>
      </c>
      <c r="P251" s="227">
        <f t="shared" si="49"/>
        <v>0</v>
      </c>
      <c r="Q251" s="226">
        <v>0</v>
      </c>
      <c r="R251" s="226">
        <v>0</v>
      </c>
      <c r="S251" s="226">
        <v>0</v>
      </c>
      <c r="T251" s="226">
        <v>0</v>
      </c>
      <c r="U251" s="226">
        <v>0</v>
      </c>
      <c r="V251" s="226">
        <v>0</v>
      </c>
      <c r="W251" s="226">
        <v>0</v>
      </c>
      <c r="X251" s="226">
        <v>0</v>
      </c>
      <c r="Y251" s="226">
        <v>0</v>
      </c>
    </row>
    <row r="252" spans="1:25">
      <c r="A252" s="224">
        <v>20140101</v>
      </c>
      <c r="B252" s="229" t="s">
        <v>859</v>
      </c>
      <c r="C252" s="225" t="str">
        <f t="shared" si="43"/>
        <v>20140101GS3NM</v>
      </c>
      <c r="D252" s="225" t="s">
        <v>423</v>
      </c>
      <c r="E252" s="225" t="str">
        <f t="shared" si="44"/>
        <v>20140101LGCME657</v>
      </c>
      <c r="F252" s="226">
        <v>35</v>
      </c>
      <c r="G252" s="227">
        <f t="shared" si="46"/>
        <v>9.1340000000000005E-2</v>
      </c>
      <c r="H252" s="227">
        <v>0</v>
      </c>
      <c r="I252" s="227">
        <v>0</v>
      </c>
      <c r="J252" s="227">
        <v>0</v>
      </c>
      <c r="K252" s="227">
        <v>1.67E-3</v>
      </c>
      <c r="L252" s="227">
        <f t="shared" si="47"/>
        <v>2.725E-2</v>
      </c>
      <c r="M252" s="227">
        <v>6.2420000000000003E-2</v>
      </c>
      <c r="N252" s="227">
        <v>0</v>
      </c>
      <c r="O252" s="227">
        <v>0</v>
      </c>
      <c r="P252" s="227">
        <f t="shared" si="49"/>
        <v>0</v>
      </c>
      <c r="Q252" s="226">
        <v>0</v>
      </c>
      <c r="R252" s="226">
        <v>0</v>
      </c>
      <c r="S252" s="226">
        <v>0</v>
      </c>
      <c r="T252" s="226">
        <v>0</v>
      </c>
      <c r="U252" s="226">
        <v>0</v>
      </c>
      <c r="V252" s="226">
        <v>0</v>
      </c>
      <c r="W252" s="226">
        <v>0</v>
      </c>
      <c r="X252" s="226">
        <v>0</v>
      </c>
      <c r="Y252" s="226">
        <v>0</v>
      </c>
    </row>
    <row r="253" spans="1:25">
      <c r="A253" s="224">
        <v>20140101</v>
      </c>
      <c r="B253" s="229" t="s">
        <v>858</v>
      </c>
      <c r="C253" s="225" t="str">
        <f t="shared" si="43"/>
        <v>20140101GS3SH</v>
      </c>
      <c r="D253" s="225" t="s">
        <v>421</v>
      </c>
      <c r="E253" s="225" t="str">
        <f t="shared" si="44"/>
        <v>20140101LGCME652</v>
      </c>
      <c r="F253" s="226">
        <v>0</v>
      </c>
      <c r="G253" s="227">
        <f t="shared" si="46"/>
        <v>9.1340000000000005E-2</v>
      </c>
      <c r="H253" s="227">
        <v>0</v>
      </c>
      <c r="I253" s="227">
        <v>0</v>
      </c>
      <c r="J253" s="227">
        <v>0</v>
      </c>
      <c r="K253" s="227">
        <v>1.67E-3</v>
      </c>
      <c r="L253" s="227">
        <f t="shared" si="47"/>
        <v>2.725E-2</v>
      </c>
      <c r="M253" s="227">
        <v>6.2420000000000003E-2</v>
      </c>
      <c r="N253" s="227">
        <v>0</v>
      </c>
      <c r="O253" s="227">
        <v>0</v>
      </c>
      <c r="P253" s="227">
        <f t="shared" si="49"/>
        <v>0</v>
      </c>
      <c r="Q253" s="226">
        <v>0</v>
      </c>
      <c r="R253" s="226">
        <v>0</v>
      </c>
      <c r="S253" s="226">
        <v>0</v>
      </c>
      <c r="T253" s="226">
        <v>0</v>
      </c>
      <c r="U253" s="226">
        <v>0</v>
      </c>
      <c r="V253" s="226">
        <v>0</v>
      </c>
      <c r="W253" s="226">
        <v>0</v>
      </c>
      <c r="X253" s="226">
        <v>0</v>
      </c>
      <c r="Y253" s="226">
        <v>0</v>
      </c>
    </row>
    <row r="254" spans="1:25">
      <c r="A254" s="224">
        <v>20140101</v>
      </c>
      <c r="B254" s="225" t="s">
        <v>20</v>
      </c>
      <c r="C254" s="225" t="str">
        <f t="shared" si="43"/>
        <v>20140101PSS</v>
      </c>
      <c r="D254" s="225" t="s">
        <v>414</v>
      </c>
      <c r="E254" s="225" t="str">
        <f t="shared" si="44"/>
        <v>20140101LGCME561</v>
      </c>
      <c r="F254" s="226">
        <v>90</v>
      </c>
      <c r="G254" s="227">
        <f t="shared" si="46"/>
        <v>4.0599999999999997E-2</v>
      </c>
      <c r="H254" s="227">
        <v>0</v>
      </c>
      <c r="I254" s="227">
        <v>0</v>
      </c>
      <c r="J254" s="227">
        <v>0</v>
      </c>
      <c r="K254" s="227">
        <v>0</v>
      </c>
      <c r="L254" s="227">
        <f t="shared" si="47"/>
        <v>2.725E-2</v>
      </c>
      <c r="M254" s="227">
        <v>1.3349999999999997E-2</v>
      </c>
      <c r="N254" s="227">
        <v>0</v>
      </c>
      <c r="O254" s="227">
        <v>0</v>
      </c>
      <c r="P254" s="227">
        <f t="shared" ref="P254:P274" si="50">IF(J254=0,0,J254-$K254-$L254)</f>
        <v>0</v>
      </c>
      <c r="Q254" s="226">
        <f>T254+W254</f>
        <v>0</v>
      </c>
      <c r="R254" s="226">
        <f t="shared" ref="R254:R278" si="51">U254+X254</f>
        <v>14.010000000000002</v>
      </c>
      <c r="S254" s="226">
        <f t="shared" ref="S254:S278" si="52">V254+Y254</f>
        <v>16.399999999999999</v>
      </c>
      <c r="T254" s="226">
        <v>0</v>
      </c>
      <c r="U254" s="226">
        <v>0.48</v>
      </c>
      <c r="V254" s="226">
        <v>0.48</v>
      </c>
      <c r="W254" s="90">
        <v>0</v>
      </c>
      <c r="X254" s="90">
        <v>13.530000000000001</v>
      </c>
      <c r="Y254" s="90">
        <v>15.92</v>
      </c>
    </row>
    <row r="255" spans="1:25">
      <c r="A255" s="224">
        <v>20140101</v>
      </c>
      <c r="B255" s="225" t="s">
        <v>21</v>
      </c>
      <c r="C255" s="225" t="str">
        <f t="shared" si="43"/>
        <v>20140101PSP</v>
      </c>
      <c r="D255" s="225" t="s">
        <v>415</v>
      </c>
      <c r="E255" s="225" t="str">
        <f t="shared" si="44"/>
        <v>20140101LGCME563</v>
      </c>
      <c r="F255" s="226">
        <v>170</v>
      </c>
      <c r="G255" s="227">
        <f t="shared" si="46"/>
        <v>3.9260000000000003E-2</v>
      </c>
      <c r="H255" s="227">
        <v>0</v>
      </c>
      <c r="I255" s="227">
        <v>0</v>
      </c>
      <c r="J255" s="227">
        <v>0</v>
      </c>
      <c r="K255" s="227">
        <v>0</v>
      </c>
      <c r="L255" s="227">
        <f t="shared" si="47"/>
        <v>2.725E-2</v>
      </c>
      <c r="M255" s="227">
        <v>1.2010000000000003E-2</v>
      </c>
      <c r="N255" s="227">
        <v>0</v>
      </c>
      <c r="O255" s="227">
        <v>0</v>
      </c>
      <c r="P255" s="227">
        <f t="shared" si="50"/>
        <v>0</v>
      </c>
      <c r="Q255" s="226">
        <f t="shared" ref="Q255:Q278" si="53">T255+W255</f>
        <v>0</v>
      </c>
      <c r="R255" s="226">
        <f t="shared" si="51"/>
        <v>11.660000000000002</v>
      </c>
      <c r="S255" s="226">
        <f t="shared" si="52"/>
        <v>13.950000000000001</v>
      </c>
      <c r="T255" s="226">
        <v>0</v>
      </c>
      <c r="U255" s="226">
        <v>0.48</v>
      </c>
      <c r="V255" s="226">
        <v>0.48</v>
      </c>
      <c r="W255" s="90">
        <v>0</v>
      </c>
      <c r="X255" s="90">
        <v>11.180000000000001</v>
      </c>
      <c r="Y255" s="90">
        <v>13.47</v>
      </c>
    </row>
    <row r="256" spans="1:25">
      <c r="A256" s="224">
        <v>20140101</v>
      </c>
      <c r="B256" s="225" t="s">
        <v>20</v>
      </c>
      <c r="C256" s="225" t="str">
        <f t="shared" si="43"/>
        <v>20140101PSS</v>
      </c>
      <c r="D256" s="231" t="s">
        <v>416</v>
      </c>
      <c r="E256" s="225" t="str">
        <f t="shared" si="44"/>
        <v>20140101LGCME567</v>
      </c>
      <c r="F256" s="226">
        <v>90</v>
      </c>
      <c r="G256" s="227">
        <f t="shared" si="46"/>
        <v>4.0599999999999997E-2</v>
      </c>
      <c r="H256" s="227">
        <v>0</v>
      </c>
      <c r="I256" s="227">
        <v>0</v>
      </c>
      <c r="J256" s="227">
        <v>0</v>
      </c>
      <c r="K256" s="227">
        <v>0</v>
      </c>
      <c r="L256" s="227">
        <f t="shared" si="47"/>
        <v>2.725E-2</v>
      </c>
      <c r="M256" s="227">
        <v>1.3349999999999997E-2</v>
      </c>
      <c r="N256" s="227">
        <v>0</v>
      </c>
      <c r="O256" s="227">
        <v>0</v>
      </c>
      <c r="P256" s="227">
        <f t="shared" si="50"/>
        <v>0</v>
      </c>
      <c r="Q256" s="226">
        <f t="shared" si="53"/>
        <v>0</v>
      </c>
      <c r="R256" s="226">
        <f t="shared" si="51"/>
        <v>14.010000000000002</v>
      </c>
      <c r="S256" s="226">
        <f t="shared" si="52"/>
        <v>16.399999999999999</v>
      </c>
      <c r="T256" s="226">
        <v>0</v>
      </c>
      <c r="U256" s="226">
        <v>0.48</v>
      </c>
      <c r="V256" s="226">
        <v>0.48</v>
      </c>
      <c r="W256" s="90">
        <v>0</v>
      </c>
      <c r="X256" s="90">
        <v>13.530000000000001</v>
      </c>
      <c r="Y256" s="90">
        <v>15.92</v>
      </c>
    </row>
    <row r="257" spans="1:25">
      <c r="A257" s="224">
        <v>20140101</v>
      </c>
      <c r="B257" s="231" t="s">
        <v>865</v>
      </c>
      <c r="C257" s="225" t="str">
        <f t="shared" si="43"/>
        <v>20140101PSPNM</v>
      </c>
      <c r="D257" s="231" t="s">
        <v>866</v>
      </c>
      <c r="E257" s="225" t="str">
        <f t="shared" si="44"/>
        <v>20140101LGCME569</v>
      </c>
      <c r="F257" s="226">
        <v>170</v>
      </c>
      <c r="G257" s="227">
        <f t="shared" si="46"/>
        <v>3.9260000000000003E-2</v>
      </c>
      <c r="H257" s="227">
        <v>0</v>
      </c>
      <c r="I257" s="227">
        <v>0</v>
      </c>
      <c r="J257" s="227">
        <v>0</v>
      </c>
      <c r="K257" s="227">
        <v>0</v>
      </c>
      <c r="L257" s="227">
        <f t="shared" si="47"/>
        <v>2.725E-2</v>
      </c>
      <c r="M257" s="227">
        <v>1.2010000000000003E-2</v>
      </c>
      <c r="N257" s="227">
        <v>0</v>
      </c>
      <c r="O257" s="227">
        <v>0</v>
      </c>
      <c r="P257" s="227">
        <f t="shared" si="50"/>
        <v>0</v>
      </c>
      <c r="Q257" s="226">
        <f t="shared" si="53"/>
        <v>0</v>
      </c>
      <c r="R257" s="226">
        <f t="shared" si="51"/>
        <v>11.660000000000002</v>
      </c>
      <c r="S257" s="226">
        <f t="shared" si="52"/>
        <v>13.950000000000001</v>
      </c>
      <c r="T257" s="226">
        <v>0</v>
      </c>
      <c r="U257" s="226">
        <v>0.48</v>
      </c>
      <c r="V257" s="226">
        <v>0.48</v>
      </c>
      <c r="W257" s="90">
        <v>0</v>
      </c>
      <c r="X257" s="90">
        <v>11.180000000000001</v>
      </c>
      <c r="Y257" s="90">
        <v>13.47</v>
      </c>
    </row>
    <row r="258" spans="1:25">
      <c r="A258" s="224">
        <v>20140101</v>
      </c>
      <c r="B258" s="229" t="s">
        <v>920</v>
      </c>
      <c r="C258" s="225" t="str">
        <f t="shared" si="43"/>
        <v>20140101TODS</v>
      </c>
      <c r="D258" s="225" t="s">
        <v>417</v>
      </c>
      <c r="E258" s="225" t="str">
        <f t="shared" si="44"/>
        <v>20140101LGCME591</v>
      </c>
      <c r="F258" s="226">
        <v>200</v>
      </c>
      <c r="G258" s="227">
        <f t="shared" si="46"/>
        <v>3.9899999999999998E-2</v>
      </c>
      <c r="H258" s="227">
        <v>0</v>
      </c>
      <c r="I258" s="227">
        <v>0</v>
      </c>
      <c r="J258" s="227">
        <v>0</v>
      </c>
      <c r="K258" s="227">
        <v>0</v>
      </c>
      <c r="L258" s="227">
        <f t="shared" si="47"/>
        <v>2.725E-2</v>
      </c>
      <c r="M258" s="227">
        <v>1.2649999999999998E-2</v>
      </c>
      <c r="N258" s="227">
        <v>0</v>
      </c>
      <c r="O258" s="227">
        <v>0</v>
      </c>
      <c r="P258" s="227">
        <f t="shared" si="50"/>
        <v>0</v>
      </c>
      <c r="Q258" s="226">
        <f t="shared" si="53"/>
        <v>4</v>
      </c>
      <c r="R258" s="226">
        <f t="shared" si="51"/>
        <v>4.5100000000000007</v>
      </c>
      <c r="S258" s="226">
        <f t="shared" si="52"/>
        <v>6.11</v>
      </c>
      <c r="T258" s="226">
        <v>0.16</v>
      </c>
      <c r="U258" s="226">
        <v>0.16</v>
      </c>
      <c r="V258" s="226">
        <v>0.16</v>
      </c>
      <c r="W258" s="90">
        <v>3.8400000000000003</v>
      </c>
      <c r="X258" s="90">
        <v>4.3500000000000005</v>
      </c>
      <c r="Y258" s="90">
        <v>5.95</v>
      </c>
    </row>
    <row r="259" spans="1:25">
      <c r="A259" s="224">
        <v>20140101</v>
      </c>
      <c r="B259" s="229" t="s">
        <v>448</v>
      </c>
      <c r="C259" s="225" t="str">
        <f t="shared" si="43"/>
        <v>20140101CTODP</v>
      </c>
      <c r="D259" s="225" t="s">
        <v>418</v>
      </c>
      <c r="E259" s="225" t="str">
        <f t="shared" si="44"/>
        <v>20140101LGCME593</v>
      </c>
      <c r="F259" s="226">
        <v>300</v>
      </c>
      <c r="G259" s="227">
        <f t="shared" si="46"/>
        <v>3.8100000000000002E-2</v>
      </c>
      <c r="H259" s="227">
        <v>0</v>
      </c>
      <c r="I259" s="227">
        <v>0</v>
      </c>
      <c r="J259" s="227">
        <v>0</v>
      </c>
      <c r="K259" s="227">
        <v>0</v>
      </c>
      <c r="L259" s="227">
        <f t="shared" si="47"/>
        <v>2.725E-2</v>
      </c>
      <c r="M259" s="227">
        <v>1.0850000000000002E-2</v>
      </c>
      <c r="N259" s="227">
        <v>0</v>
      </c>
      <c r="O259" s="227">
        <v>0</v>
      </c>
      <c r="P259" s="227">
        <f t="shared" si="50"/>
        <v>0</v>
      </c>
      <c r="Q259" s="226">
        <f t="shared" si="53"/>
        <v>3.9800000000000004</v>
      </c>
      <c r="R259" s="226">
        <f t="shared" si="51"/>
        <v>4.13</v>
      </c>
      <c r="S259" s="226">
        <f t="shared" si="52"/>
        <v>5.83</v>
      </c>
      <c r="T259" s="226">
        <v>0.14000000000000001</v>
      </c>
      <c r="U259" s="226">
        <v>0.14000000000000001</v>
      </c>
      <c r="V259" s="226">
        <v>0.14000000000000001</v>
      </c>
      <c r="W259" s="90">
        <v>3.8400000000000003</v>
      </c>
      <c r="X259" s="90">
        <v>3.99</v>
      </c>
      <c r="Y259" s="90">
        <v>5.69</v>
      </c>
    </row>
    <row r="260" spans="1:25">
      <c r="A260" s="224">
        <v>20140101</v>
      </c>
      <c r="B260" s="225" t="s">
        <v>20</v>
      </c>
      <c r="C260" s="225" t="str">
        <f t="shared" si="43"/>
        <v>20140101PSS</v>
      </c>
      <c r="D260" s="225" t="s">
        <v>428</v>
      </c>
      <c r="E260" s="225" t="str">
        <f t="shared" si="44"/>
        <v>20140101LGINE661</v>
      </c>
      <c r="F260" s="226">
        <v>90</v>
      </c>
      <c r="G260" s="227">
        <f t="shared" si="46"/>
        <v>4.0599999999999997E-2</v>
      </c>
      <c r="H260" s="227">
        <v>0</v>
      </c>
      <c r="I260" s="227">
        <v>0</v>
      </c>
      <c r="J260" s="227">
        <v>0</v>
      </c>
      <c r="K260" s="227">
        <v>0</v>
      </c>
      <c r="L260" s="227">
        <f t="shared" si="47"/>
        <v>2.725E-2</v>
      </c>
      <c r="M260" s="228">
        <v>1.3349999999999997E-2</v>
      </c>
      <c r="N260" s="227">
        <v>0</v>
      </c>
      <c r="O260" s="227">
        <v>0</v>
      </c>
      <c r="P260" s="227">
        <f t="shared" si="50"/>
        <v>0</v>
      </c>
      <c r="Q260" s="226">
        <f t="shared" si="53"/>
        <v>0</v>
      </c>
      <c r="R260" s="226">
        <f t="shared" si="51"/>
        <v>14.010000000000002</v>
      </c>
      <c r="S260" s="226">
        <f t="shared" si="52"/>
        <v>16.399999999999999</v>
      </c>
      <c r="T260" s="226">
        <v>0</v>
      </c>
      <c r="U260" s="226">
        <v>0.48</v>
      </c>
      <c r="V260" s="226">
        <v>0.48</v>
      </c>
      <c r="W260" s="90">
        <v>0</v>
      </c>
      <c r="X260" s="90">
        <v>13.530000000000001</v>
      </c>
      <c r="Y260" s="90">
        <v>15.92</v>
      </c>
    </row>
    <row r="261" spans="1:25">
      <c r="A261" s="224">
        <v>20140101</v>
      </c>
      <c r="B261" s="225" t="s">
        <v>21</v>
      </c>
      <c r="C261" s="225" t="str">
        <f t="shared" si="43"/>
        <v>20140101PSP</v>
      </c>
      <c r="D261" s="225" t="s">
        <v>429</v>
      </c>
      <c r="E261" s="225" t="str">
        <f t="shared" si="44"/>
        <v>20140101LGINE663</v>
      </c>
      <c r="F261" s="226">
        <v>170</v>
      </c>
      <c r="G261" s="227">
        <f t="shared" si="46"/>
        <v>3.9260000000000003E-2</v>
      </c>
      <c r="H261" s="227">
        <v>0</v>
      </c>
      <c r="I261" s="227">
        <v>0</v>
      </c>
      <c r="J261" s="227">
        <v>0</v>
      </c>
      <c r="K261" s="227">
        <v>0</v>
      </c>
      <c r="L261" s="227">
        <f t="shared" si="47"/>
        <v>2.725E-2</v>
      </c>
      <c r="M261" s="228">
        <v>1.2010000000000003E-2</v>
      </c>
      <c r="N261" s="227">
        <v>0</v>
      </c>
      <c r="O261" s="227">
        <v>0</v>
      </c>
      <c r="P261" s="227">
        <f t="shared" si="50"/>
        <v>0</v>
      </c>
      <c r="Q261" s="226">
        <f t="shared" si="53"/>
        <v>0</v>
      </c>
      <c r="R261" s="226">
        <f t="shared" si="51"/>
        <v>11.660000000000002</v>
      </c>
      <c r="S261" s="226">
        <f t="shared" si="52"/>
        <v>13.950000000000001</v>
      </c>
      <c r="T261" s="226">
        <v>0</v>
      </c>
      <c r="U261" s="226">
        <v>0.48</v>
      </c>
      <c r="V261" s="226">
        <v>0.48</v>
      </c>
      <c r="W261" s="90">
        <v>0</v>
      </c>
      <c r="X261" s="90">
        <v>11.180000000000001</v>
      </c>
      <c r="Y261" s="90">
        <v>13.47</v>
      </c>
    </row>
    <row r="262" spans="1:25">
      <c r="A262" s="224">
        <v>20140101</v>
      </c>
      <c r="B262" s="229" t="s">
        <v>920</v>
      </c>
      <c r="C262" s="225" t="str">
        <f t="shared" si="43"/>
        <v>20140101TODS</v>
      </c>
      <c r="D262" s="225" t="s">
        <v>430</v>
      </c>
      <c r="E262" s="225" t="str">
        <f t="shared" si="44"/>
        <v>20140101LGINE691</v>
      </c>
      <c r="F262" s="226">
        <v>200</v>
      </c>
      <c r="G262" s="227">
        <f t="shared" si="46"/>
        <v>3.9899999999999998E-2</v>
      </c>
      <c r="H262" s="227">
        <v>0</v>
      </c>
      <c r="I262" s="227">
        <v>0</v>
      </c>
      <c r="J262" s="227">
        <v>0</v>
      </c>
      <c r="K262" s="227">
        <v>0</v>
      </c>
      <c r="L262" s="227">
        <f t="shared" si="47"/>
        <v>2.725E-2</v>
      </c>
      <c r="M262" s="228">
        <v>1.2649999999999998E-2</v>
      </c>
      <c r="N262" s="227">
        <v>0</v>
      </c>
      <c r="O262" s="227">
        <v>0</v>
      </c>
      <c r="P262" s="227">
        <f t="shared" si="50"/>
        <v>0</v>
      </c>
      <c r="Q262" s="226">
        <f t="shared" si="53"/>
        <v>4</v>
      </c>
      <c r="R262" s="226">
        <f t="shared" si="51"/>
        <v>4.5100000000000007</v>
      </c>
      <c r="S262" s="226">
        <f t="shared" si="52"/>
        <v>6.11</v>
      </c>
      <c r="T262" s="226">
        <v>0.16</v>
      </c>
      <c r="U262" s="226">
        <v>0.16</v>
      </c>
      <c r="V262" s="226">
        <v>0.16</v>
      </c>
      <c r="W262" s="90">
        <v>3.8400000000000003</v>
      </c>
      <c r="X262" s="90">
        <v>4.3500000000000005</v>
      </c>
      <c r="Y262" s="90">
        <v>5.95</v>
      </c>
    </row>
    <row r="263" spans="1:25">
      <c r="A263" s="224">
        <v>20140101</v>
      </c>
      <c r="B263" s="225" t="s">
        <v>460</v>
      </c>
      <c r="C263" s="225" t="str">
        <f t="shared" si="43"/>
        <v>20140101ITODP</v>
      </c>
      <c r="D263" s="225" t="s">
        <v>431</v>
      </c>
      <c r="E263" s="225" t="str">
        <f t="shared" si="44"/>
        <v>20140101LGINE693</v>
      </c>
      <c r="F263" s="226">
        <f>$F$106</f>
        <v>300</v>
      </c>
      <c r="G263" s="227">
        <f t="shared" si="46"/>
        <v>3.5380000000000002E-2</v>
      </c>
      <c r="H263" s="227">
        <v>0</v>
      </c>
      <c r="I263" s="227">
        <v>0</v>
      </c>
      <c r="J263" s="227">
        <v>0</v>
      </c>
      <c r="K263" s="227">
        <v>0</v>
      </c>
      <c r="L263" s="227">
        <f t="shared" si="47"/>
        <v>2.725E-2</v>
      </c>
      <c r="M263" s="228">
        <v>8.1300000000000018E-3</v>
      </c>
      <c r="N263" s="227">
        <v>0</v>
      </c>
      <c r="O263" s="227">
        <v>0</v>
      </c>
      <c r="P263" s="227">
        <f t="shared" si="50"/>
        <v>0</v>
      </c>
      <c r="Q263" s="226">
        <f t="shared" si="53"/>
        <v>3.6300000000000003</v>
      </c>
      <c r="R263" s="226">
        <f t="shared" si="51"/>
        <v>3.7900000000000005</v>
      </c>
      <c r="S263" s="226">
        <f t="shared" si="52"/>
        <v>4.63</v>
      </c>
      <c r="T263" s="226">
        <v>0.14000000000000001</v>
      </c>
      <c r="U263" s="226">
        <v>0.14000000000000001</v>
      </c>
      <c r="V263" s="226">
        <v>0.14000000000000001</v>
      </c>
      <c r="W263" s="90">
        <v>3.49</v>
      </c>
      <c r="X263" s="90">
        <v>3.6500000000000004</v>
      </c>
      <c r="Y263" s="90">
        <v>4.49</v>
      </c>
    </row>
    <row r="264" spans="1:25">
      <c r="A264" s="224">
        <v>20140101</v>
      </c>
      <c r="B264" s="225" t="s">
        <v>460</v>
      </c>
      <c r="C264" s="225" t="str">
        <f t="shared" si="43"/>
        <v>20140101ITODP</v>
      </c>
      <c r="D264" s="225" t="s">
        <v>432</v>
      </c>
      <c r="E264" s="225" t="str">
        <f t="shared" si="44"/>
        <v>20140101LGINE694</v>
      </c>
      <c r="F264" s="226">
        <f>$F$106</f>
        <v>300</v>
      </c>
      <c r="G264" s="227">
        <f t="shared" si="46"/>
        <v>3.5380000000000002E-2</v>
      </c>
      <c r="H264" s="227">
        <v>0</v>
      </c>
      <c r="I264" s="227">
        <v>0</v>
      </c>
      <c r="J264" s="227">
        <v>0</v>
      </c>
      <c r="K264" s="227">
        <v>0</v>
      </c>
      <c r="L264" s="227">
        <f t="shared" si="47"/>
        <v>2.725E-2</v>
      </c>
      <c r="M264" s="228">
        <v>8.1300000000000018E-3</v>
      </c>
      <c r="N264" s="227">
        <v>0</v>
      </c>
      <c r="O264" s="227">
        <v>0</v>
      </c>
      <c r="P264" s="227">
        <f t="shared" si="50"/>
        <v>0</v>
      </c>
      <c r="Q264" s="226">
        <f t="shared" si="53"/>
        <v>3.6300000000000003</v>
      </c>
      <c r="R264" s="226">
        <f t="shared" si="51"/>
        <v>3.7900000000000005</v>
      </c>
      <c r="S264" s="226">
        <f t="shared" si="52"/>
        <v>4.63</v>
      </c>
      <c r="T264" s="226">
        <v>0.14000000000000001</v>
      </c>
      <c r="U264" s="226">
        <v>0.14000000000000001</v>
      </c>
      <c r="V264" s="226">
        <v>0.14000000000000001</v>
      </c>
      <c r="W264" s="90">
        <v>3.49</v>
      </c>
      <c r="X264" s="90">
        <v>3.6500000000000004</v>
      </c>
      <c r="Y264" s="90">
        <v>4.49</v>
      </c>
    </row>
    <row r="265" spans="1:25">
      <c r="A265" s="224">
        <v>20140101</v>
      </c>
      <c r="B265" s="225" t="s">
        <v>15</v>
      </c>
      <c r="C265" s="225" t="str">
        <f t="shared" si="43"/>
        <v>20140101RTS</v>
      </c>
      <c r="D265" s="225" t="s">
        <v>427</v>
      </c>
      <c r="E265" s="225" t="str">
        <f t="shared" si="44"/>
        <v>20140101LGINE643</v>
      </c>
      <c r="F265" s="226">
        <v>750</v>
      </c>
      <c r="G265" s="227">
        <f t="shared" si="46"/>
        <v>3.61E-2</v>
      </c>
      <c r="H265" s="227">
        <v>0</v>
      </c>
      <c r="I265" s="227">
        <v>0</v>
      </c>
      <c r="J265" s="227">
        <v>0</v>
      </c>
      <c r="K265" s="227">
        <v>0</v>
      </c>
      <c r="L265" s="227">
        <f t="shared" si="47"/>
        <v>2.725E-2</v>
      </c>
      <c r="M265" s="227">
        <v>8.8500000000000002E-3</v>
      </c>
      <c r="N265" s="227">
        <v>0</v>
      </c>
      <c r="O265" s="227">
        <v>0</v>
      </c>
      <c r="P265" s="227">
        <f t="shared" si="50"/>
        <v>0</v>
      </c>
      <c r="Q265" s="226">
        <f t="shared" si="53"/>
        <v>2.75</v>
      </c>
      <c r="R265" s="226">
        <f t="shared" si="51"/>
        <v>3</v>
      </c>
      <c r="S265" s="226">
        <f t="shared" si="52"/>
        <v>4.5500000000000007</v>
      </c>
      <c r="T265" s="226">
        <v>0.11</v>
      </c>
      <c r="U265" s="226">
        <v>0.11</v>
      </c>
      <c r="V265" s="226">
        <v>0.11</v>
      </c>
      <c r="W265" s="90">
        <v>2.64</v>
      </c>
      <c r="X265" s="90">
        <v>2.89</v>
      </c>
      <c r="Y265" s="90">
        <v>4.4400000000000004</v>
      </c>
    </row>
    <row r="266" spans="1:25">
      <c r="A266" s="224">
        <v>20140101</v>
      </c>
      <c r="B266" s="225" t="s">
        <v>22</v>
      </c>
      <c r="C266" s="225" t="str">
        <f t="shared" si="43"/>
        <v>20140101FLSP</v>
      </c>
      <c r="D266" s="231" t="s">
        <v>867</v>
      </c>
      <c r="E266" s="225" t="str">
        <f t="shared" si="44"/>
        <v>20140101LGINE682</v>
      </c>
      <c r="F266" s="226">
        <v>750</v>
      </c>
      <c r="G266" s="227">
        <f t="shared" si="46"/>
        <v>3.61E-2</v>
      </c>
      <c r="H266" s="227">
        <v>0</v>
      </c>
      <c r="I266" s="227">
        <v>0</v>
      </c>
      <c r="J266" s="227">
        <v>0</v>
      </c>
      <c r="K266" s="227">
        <v>0</v>
      </c>
      <c r="L266" s="227">
        <f t="shared" si="47"/>
        <v>2.725E-2</v>
      </c>
      <c r="M266" s="227">
        <v>8.8500000000000002E-3</v>
      </c>
      <c r="N266" s="227">
        <v>0</v>
      </c>
      <c r="O266" s="227">
        <v>0</v>
      </c>
      <c r="P266" s="227">
        <f t="shared" si="50"/>
        <v>0</v>
      </c>
      <c r="Q266" s="226">
        <f t="shared" si="53"/>
        <v>1.8900000000000001</v>
      </c>
      <c r="R266" s="226">
        <f t="shared" si="51"/>
        <v>1.8900000000000001</v>
      </c>
      <c r="S266" s="226">
        <f t="shared" si="52"/>
        <v>2.94</v>
      </c>
      <c r="T266" s="226">
        <v>0.11</v>
      </c>
      <c r="U266" s="226">
        <v>0.11</v>
      </c>
      <c r="V266" s="226">
        <v>0.11</v>
      </c>
      <c r="W266" s="90">
        <v>1.78</v>
      </c>
      <c r="X266" s="90">
        <v>1.78</v>
      </c>
      <c r="Y266" s="90">
        <v>2.83</v>
      </c>
    </row>
    <row r="267" spans="1:25">
      <c r="A267" s="224">
        <v>20140101</v>
      </c>
      <c r="B267" s="225" t="s">
        <v>23</v>
      </c>
      <c r="C267" s="225" t="str">
        <f t="shared" si="43"/>
        <v>20140101FLST</v>
      </c>
      <c r="D267" s="231" t="s">
        <v>868</v>
      </c>
      <c r="E267" s="225" t="str">
        <f t="shared" si="44"/>
        <v>20140101LGINE683</v>
      </c>
      <c r="F267" s="226">
        <v>750</v>
      </c>
      <c r="G267" s="227">
        <f t="shared" si="46"/>
        <v>3.61E-2</v>
      </c>
      <c r="H267" s="227">
        <v>0</v>
      </c>
      <c r="I267" s="227">
        <v>0</v>
      </c>
      <c r="J267" s="227">
        <v>0</v>
      </c>
      <c r="K267" s="227">
        <v>0</v>
      </c>
      <c r="L267" s="227">
        <f t="shared" si="47"/>
        <v>2.725E-2</v>
      </c>
      <c r="M267" s="227">
        <v>8.8500000000000002E-3</v>
      </c>
      <c r="N267" s="227">
        <v>0</v>
      </c>
      <c r="O267" s="227">
        <v>0</v>
      </c>
      <c r="P267" s="227">
        <f t="shared" si="50"/>
        <v>0</v>
      </c>
      <c r="Q267" s="226">
        <f t="shared" si="53"/>
        <v>1.1400000000000001</v>
      </c>
      <c r="R267" s="226">
        <f t="shared" si="51"/>
        <v>1.8900000000000001</v>
      </c>
      <c r="S267" s="226">
        <f t="shared" si="52"/>
        <v>2.94</v>
      </c>
      <c r="T267" s="226">
        <v>0.11</v>
      </c>
      <c r="U267" s="226">
        <v>0.11</v>
      </c>
      <c r="V267" s="226">
        <v>0.11</v>
      </c>
      <c r="W267" s="90">
        <v>1.03</v>
      </c>
      <c r="X267" s="90">
        <v>1.78</v>
      </c>
      <c r="Y267" s="90">
        <v>2.83</v>
      </c>
    </row>
    <row r="268" spans="1:25">
      <c r="A268" s="224">
        <v>20140101</v>
      </c>
      <c r="B268" s="225" t="s">
        <v>17</v>
      </c>
      <c r="C268" s="225" t="str">
        <f t="shared" si="43"/>
        <v>20140101LE</v>
      </c>
      <c r="D268" s="225" t="s">
        <v>433</v>
      </c>
      <c r="E268" s="225" t="str">
        <f t="shared" si="44"/>
        <v>20140101LGMLE570</v>
      </c>
      <c r="F268" s="226">
        <v>0</v>
      </c>
      <c r="G268" s="227">
        <f t="shared" si="46"/>
        <v>6.4610000000000001E-2</v>
      </c>
      <c r="H268" s="227">
        <v>0</v>
      </c>
      <c r="I268" s="227">
        <v>0</v>
      </c>
      <c r="J268" s="227">
        <v>0</v>
      </c>
      <c r="K268" s="227">
        <v>1.1000000000000001E-3</v>
      </c>
      <c r="L268" s="227">
        <f t="shared" si="47"/>
        <v>2.725E-2</v>
      </c>
      <c r="M268" s="228">
        <v>3.6260000000000001E-2</v>
      </c>
      <c r="N268" s="227">
        <v>0</v>
      </c>
      <c r="O268" s="227">
        <v>0</v>
      </c>
      <c r="P268" s="227">
        <f t="shared" si="50"/>
        <v>0</v>
      </c>
      <c r="Q268" s="226">
        <f t="shared" si="53"/>
        <v>0</v>
      </c>
      <c r="R268" s="226">
        <f t="shared" si="51"/>
        <v>0</v>
      </c>
      <c r="S268" s="226">
        <f t="shared" si="52"/>
        <v>0</v>
      </c>
      <c r="T268" s="226">
        <v>0</v>
      </c>
      <c r="U268" s="226">
        <v>0</v>
      </c>
      <c r="V268" s="226">
        <v>0</v>
      </c>
      <c r="W268" s="226">
        <v>0</v>
      </c>
      <c r="X268" s="226">
        <v>0</v>
      </c>
      <c r="Y268" s="226">
        <v>0</v>
      </c>
    </row>
    <row r="269" spans="1:25">
      <c r="A269" s="224">
        <v>20140101</v>
      </c>
      <c r="B269" s="225" t="s">
        <v>17</v>
      </c>
      <c r="C269" s="225" t="str">
        <f t="shared" si="43"/>
        <v>20140101LE</v>
      </c>
      <c r="D269" s="225" t="s">
        <v>434</v>
      </c>
      <c r="E269" s="225" t="str">
        <f t="shared" si="44"/>
        <v>20140101LGMLE571</v>
      </c>
      <c r="F269" s="226">
        <v>0</v>
      </c>
      <c r="G269" s="227">
        <f t="shared" si="46"/>
        <v>6.4610000000000001E-2</v>
      </c>
      <c r="H269" s="227">
        <v>0</v>
      </c>
      <c r="I269" s="227">
        <v>0</v>
      </c>
      <c r="J269" s="227">
        <v>0</v>
      </c>
      <c r="K269" s="227">
        <v>1.1000000000000001E-3</v>
      </c>
      <c r="L269" s="227">
        <f t="shared" si="47"/>
        <v>2.725E-2</v>
      </c>
      <c r="M269" s="228">
        <v>3.6260000000000001E-2</v>
      </c>
      <c r="N269" s="227">
        <v>0</v>
      </c>
      <c r="O269" s="227">
        <v>0</v>
      </c>
      <c r="P269" s="227">
        <f t="shared" si="50"/>
        <v>0</v>
      </c>
      <c r="Q269" s="226">
        <f t="shared" si="53"/>
        <v>0</v>
      </c>
      <c r="R269" s="226">
        <f t="shared" si="51"/>
        <v>0</v>
      </c>
      <c r="S269" s="226">
        <f t="shared" si="52"/>
        <v>0</v>
      </c>
      <c r="T269" s="226">
        <v>0</v>
      </c>
      <c r="U269" s="226">
        <v>0</v>
      </c>
      <c r="V269" s="226">
        <v>0</v>
      </c>
      <c r="W269" s="226">
        <v>0</v>
      </c>
      <c r="X269" s="226">
        <v>0</v>
      </c>
      <c r="Y269" s="226">
        <v>0</v>
      </c>
    </row>
    <row r="270" spans="1:25">
      <c r="A270" s="224">
        <v>20140101</v>
      </c>
      <c r="B270" s="225" t="s">
        <v>17</v>
      </c>
      <c r="C270" s="225" t="str">
        <f t="shared" si="43"/>
        <v>20140101LE</v>
      </c>
      <c r="D270" s="225" t="s">
        <v>435</v>
      </c>
      <c r="E270" s="225" t="str">
        <f t="shared" si="44"/>
        <v>20140101LGMLE572</v>
      </c>
      <c r="F270" s="226">
        <v>0</v>
      </c>
      <c r="G270" s="227">
        <f t="shared" si="46"/>
        <v>6.4610000000000001E-2</v>
      </c>
      <c r="H270" s="227">
        <v>0</v>
      </c>
      <c r="I270" s="227">
        <v>0</v>
      </c>
      <c r="J270" s="227">
        <v>0</v>
      </c>
      <c r="K270" s="227">
        <v>1.1000000000000001E-3</v>
      </c>
      <c r="L270" s="227">
        <f t="shared" si="47"/>
        <v>2.725E-2</v>
      </c>
      <c r="M270" s="228">
        <v>3.6260000000000001E-2</v>
      </c>
      <c r="N270" s="227">
        <v>0</v>
      </c>
      <c r="O270" s="227">
        <v>0</v>
      </c>
      <c r="P270" s="227">
        <f t="shared" si="50"/>
        <v>0</v>
      </c>
      <c r="Q270" s="226">
        <f t="shared" si="53"/>
        <v>0</v>
      </c>
      <c r="R270" s="226">
        <f t="shared" si="51"/>
        <v>0</v>
      </c>
      <c r="S270" s="226">
        <f t="shared" si="52"/>
        <v>0</v>
      </c>
      <c r="T270" s="226">
        <v>0</v>
      </c>
      <c r="U270" s="226">
        <v>0</v>
      </c>
      <c r="V270" s="226">
        <v>0</v>
      </c>
      <c r="W270" s="226">
        <v>0</v>
      </c>
      <c r="X270" s="226">
        <v>0</v>
      </c>
      <c r="Y270" s="226">
        <v>0</v>
      </c>
    </row>
    <row r="271" spans="1:25">
      <c r="A271" s="224">
        <v>20140101</v>
      </c>
      <c r="B271" s="225" t="s">
        <v>18</v>
      </c>
      <c r="C271" s="225" t="str">
        <f t="shared" si="43"/>
        <v>20140101TE</v>
      </c>
      <c r="D271" s="225" t="s">
        <v>436</v>
      </c>
      <c r="E271" s="225" t="str">
        <f t="shared" si="44"/>
        <v>20140101LGMLE573</v>
      </c>
      <c r="F271" s="226">
        <v>3.25</v>
      </c>
      <c r="G271" s="227">
        <f t="shared" si="46"/>
        <v>7.6579999999999995E-2</v>
      </c>
      <c r="H271" s="227">
        <v>0</v>
      </c>
      <c r="I271" s="227">
        <v>0</v>
      </c>
      <c r="J271" s="227">
        <v>0</v>
      </c>
      <c r="K271" s="227">
        <v>1.1000000000000001E-3</v>
      </c>
      <c r="L271" s="227">
        <f t="shared" si="47"/>
        <v>2.725E-2</v>
      </c>
      <c r="M271" s="228">
        <v>4.8229999999999995E-2</v>
      </c>
      <c r="N271" s="227">
        <v>0</v>
      </c>
      <c r="O271" s="227">
        <v>0</v>
      </c>
      <c r="P271" s="227">
        <f t="shared" si="50"/>
        <v>0</v>
      </c>
      <c r="Q271" s="226">
        <f t="shared" si="53"/>
        <v>0</v>
      </c>
      <c r="R271" s="226">
        <f t="shared" si="51"/>
        <v>0</v>
      </c>
      <c r="S271" s="226">
        <f t="shared" si="52"/>
        <v>0</v>
      </c>
      <c r="T271" s="226">
        <v>0</v>
      </c>
      <c r="U271" s="226">
        <v>0</v>
      </c>
      <c r="V271" s="226">
        <v>0</v>
      </c>
      <c r="W271" s="226">
        <v>0</v>
      </c>
      <c r="X271" s="226">
        <v>0</v>
      </c>
      <c r="Y271" s="226">
        <v>0</v>
      </c>
    </row>
    <row r="272" spans="1:25">
      <c r="A272" s="224">
        <v>20140101</v>
      </c>
      <c r="B272" s="225" t="s">
        <v>18</v>
      </c>
      <c r="C272" s="225" t="str">
        <f t="shared" si="43"/>
        <v>20140101TE</v>
      </c>
      <c r="D272" s="225" t="s">
        <v>437</v>
      </c>
      <c r="E272" s="225" t="str">
        <f t="shared" si="44"/>
        <v>20140101LGMLE574</v>
      </c>
      <c r="F272" s="226">
        <v>3.25</v>
      </c>
      <c r="G272" s="227">
        <f t="shared" si="46"/>
        <v>7.6579999999999995E-2</v>
      </c>
      <c r="H272" s="227">
        <v>0</v>
      </c>
      <c r="I272" s="227">
        <v>0</v>
      </c>
      <c r="J272" s="227">
        <v>0</v>
      </c>
      <c r="K272" s="227">
        <v>1.1000000000000001E-3</v>
      </c>
      <c r="L272" s="227">
        <f t="shared" si="47"/>
        <v>2.725E-2</v>
      </c>
      <c r="M272" s="228">
        <v>4.8229999999999995E-2</v>
      </c>
      <c r="N272" s="227">
        <v>0</v>
      </c>
      <c r="O272" s="227">
        <v>0</v>
      </c>
      <c r="P272" s="227">
        <f t="shared" si="50"/>
        <v>0</v>
      </c>
      <c r="Q272" s="226">
        <f t="shared" si="53"/>
        <v>0</v>
      </c>
      <c r="R272" s="226">
        <f t="shared" si="51"/>
        <v>0</v>
      </c>
      <c r="S272" s="226">
        <f t="shared" si="52"/>
        <v>0</v>
      </c>
      <c r="T272" s="226">
        <v>0</v>
      </c>
      <c r="U272" s="226">
        <v>0</v>
      </c>
      <c r="V272" s="226">
        <v>0</v>
      </c>
      <c r="W272" s="226">
        <v>0</v>
      </c>
      <c r="X272" s="226">
        <v>0</v>
      </c>
      <c r="Y272" s="226">
        <v>0</v>
      </c>
    </row>
    <row r="273" spans="1:25">
      <c r="A273" s="224">
        <v>20140101</v>
      </c>
      <c r="B273" s="225" t="s">
        <v>18</v>
      </c>
      <c r="C273" s="225" t="str">
        <f t="shared" si="43"/>
        <v>20140101TE</v>
      </c>
      <c r="D273" s="231" t="s">
        <v>869</v>
      </c>
      <c r="E273" s="225" t="str">
        <f t="shared" si="44"/>
        <v>20140101LGMLE575</v>
      </c>
      <c r="F273" s="226">
        <v>3.25</v>
      </c>
      <c r="G273" s="227">
        <f t="shared" si="46"/>
        <v>7.6579999999999995E-2</v>
      </c>
      <c r="H273" s="227">
        <v>0</v>
      </c>
      <c r="I273" s="227">
        <v>0</v>
      </c>
      <c r="J273" s="227">
        <v>0</v>
      </c>
      <c r="K273" s="227">
        <v>1.1000000000000001E-3</v>
      </c>
      <c r="L273" s="227">
        <f t="shared" si="47"/>
        <v>2.725E-2</v>
      </c>
      <c r="M273" s="228">
        <v>4.8229999999999995E-2</v>
      </c>
      <c r="N273" s="227">
        <v>0</v>
      </c>
      <c r="O273" s="227">
        <v>0</v>
      </c>
      <c r="P273" s="227">
        <f t="shared" si="50"/>
        <v>0</v>
      </c>
      <c r="Q273" s="226">
        <f t="shared" si="53"/>
        <v>0</v>
      </c>
      <c r="R273" s="226">
        <f t="shared" si="51"/>
        <v>0</v>
      </c>
      <c r="S273" s="226">
        <f t="shared" si="52"/>
        <v>0</v>
      </c>
      <c r="T273" s="226">
        <v>0</v>
      </c>
      <c r="U273" s="226">
        <v>0</v>
      </c>
      <c r="V273" s="226">
        <v>0</v>
      </c>
      <c r="W273" s="226">
        <v>0</v>
      </c>
      <c r="X273" s="226">
        <v>0</v>
      </c>
      <c r="Y273" s="226">
        <v>0</v>
      </c>
    </row>
    <row r="274" spans="1:25">
      <c r="A274" s="224">
        <v>20140101</v>
      </c>
      <c r="B274" s="225" t="s">
        <v>18</v>
      </c>
      <c r="C274" s="225" t="str">
        <f t="shared" si="43"/>
        <v>20140101TE</v>
      </c>
      <c r="D274" s="231" t="s">
        <v>870</v>
      </c>
      <c r="E274" s="225" t="str">
        <f t="shared" si="44"/>
        <v>20140101LGMLE577</v>
      </c>
      <c r="F274" s="226">
        <v>3.25</v>
      </c>
      <c r="G274" s="227">
        <f t="shared" si="46"/>
        <v>7.6579999999999995E-2</v>
      </c>
      <c r="H274" s="227">
        <v>0</v>
      </c>
      <c r="I274" s="227">
        <v>0</v>
      </c>
      <c r="J274" s="227">
        <v>0</v>
      </c>
      <c r="K274" s="227">
        <v>1.1000000000000001E-3</v>
      </c>
      <c r="L274" s="227">
        <f t="shared" si="47"/>
        <v>2.725E-2</v>
      </c>
      <c r="M274" s="228">
        <v>4.8229999999999995E-2</v>
      </c>
      <c r="N274" s="227">
        <v>0</v>
      </c>
      <c r="O274" s="227">
        <v>0</v>
      </c>
      <c r="P274" s="227">
        <f t="shared" si="50"/>
        <v>0</v>
      </c>
      <c r="Q274" s="226">
        <f t="shared" si="53"/>
        <v>0</v>
      </c>
      <c r="R274" s="226">
        <f t="shared" si="51"/>
        <v>0</v>
      </c>
      <c r="S274" s="226">
        <f t="shared" si="52"/>
        <v>0</v>
      </c>
      <c r="T274" s="226">
        <v>0</v>
      </c>
      <c r="U274" s="226">
        <v>0</v>
      </c>
      <c r="V274" s="226">
        <v>0</v>
      </c>
      <c r="W274" s="226">
        <v>0</v>
      </c>
      <c r="X274" s="226">
        <v>0</v>
      </c>
      <c r="Y274" s="226">
        <v>0</v>
      </c>
    </row>
    <row r="275" spans="1:25">
      <c r="A275" s="224">
        <v>20140101</v>
      </c>
      <c r="B275" s="225" t="s">
        <v>451</v>
      </c>
      <c r="C275" s="225" t="str">
        <f t="shared" si="43"/>
        <v>20140101FK</v>
      </c>
      <c r="D275" s="225" t="s">
        <v>426</v>
      </c>
      <c r="E275" s="225" t="str">
        <f t="shared" si="44"/>
        <v>20140101LGINE599</v>
      </c>
      <c r="F275" s="226">
        <v>0</v>
      </c>
      <c r="G275" s="227">
        <f t="shared" si="46"/>
        <v>3.7400000000000003E-2</v>
      </c>
      <c r="H275" s="227">
        <v>0</v>
      </c>
      <c r="I275" s="227">
        <v>0</v>
      </c>
      <c r="J275" s="227">
        <v>0</v>
      </c>
      <c r="K275" s="227">
        <v>0</v>
      </c>
      <c r="L275" s="227">
        <f t="shared" si="47"/>
        <v>2.725E-2</v>
      </c>
      <c r="M275" s="227">
        <v>1.0150000000000003E-2</v>
      </c>
      <c r="N275" s="227">
        <v>0</v>
      </c>
      <c r="O275" s="227">
        <v>0</v>
      </c>
      <c r="P275" s="227">
        <v>0</v>
      </c>
      <c r="Q275" s="226">
        <f t="shared" si="53"/>
        <v>0</v>
      </c>
      <c r="R275" s="226">
        <f t="shared" si="51"/>
        <v>12.72</v>
      </c>
      <c r="S275" s="226">
        <f t="shared" si="52"/>
        <v>15.040000000000001</v>
      </c>
      <c r="T275" s="226">
        <v>0</v>
      </c>
      <c r="U275" s="226">
        <v>0.39</v>
      </c>
      <c r="V275" s="226">
        <v>0.39</v>
      </c>
      <c r="W275" s="226">
        <v>0</v>
      </c>
      <c r="X275" s="90">
        <v>12.33</v>
      </c>
      <c r="Y275" s="90">
        <v>14.65</v>
      </c>
    </row>
    <row r="276" spans="1:25">
      <c r="A276" s="224">
        <v>20140101</v>
      </c>
      <c r="B276" s="225" t="s">
        <v>464</v>
      </c>
      <c r="C276" s="225" t="str">
        <f>A276&amp;B276</f>
        <v>20140101LWC</v>
      </c>
      <c r="D276" s="225" t="s">
        <v>424</v>
      </c>
      <c r="E276" s="225" t="str">
        <f>A276&amp;D276</f>
        <v>20140101LGCME671</v>
      </c>
      <c r="F276" s="226">
        <v>0</v>
      </c>
      <c r="G276" s="227">
        <f t="shared" si="46"/>
        <v>3.7019999999999997E-2</v>
      </c>
      <c r="H276" s="227">
        <v>0</v>
      </c>
      <c r="I276" s="227">
        <v>0</v>
      </c>
      <c r="J276" s="227">
        <v>0</v>
      </c>
      <c r="K276" s="227">
        <v>0</v>
      </c>
      <c r="L276" s="227">
        <f t="shared" si="47"/>
        <v>2.725E-2</v>
      </c>
      <c r="M276" s="227">
        <v>9.7699999999999974E-3</v>
      </c>
      <c r="N276" s="227">
        <v>0</v>
      </c>
      <c r="O276" s="227">
        <v>0</v>
      </c>
      <c r="P276" s="227">
        <v>0</v>
      </c>
      <c r="Q276" s="226">
        <f t="shared" si="53"/>
        <v>0</v>
      </c>
      <c r="R276" s="226">
        <f t="shared" si="51"/>
        <v>10.35</v>
      </c>
      <c r="S276" s="226">
        <f t="shared" si="52"/>
        <v>10.35</v>
      </c>
      <c r="T276" s="226">
        <v>0</v>
      </c>
      <c r="U276" s="226">
        <v>0.37</v>
      </c>
      <c r="V276" s="226">
        <v>0.37</v>
      </c>
      <c r="W276" s="226">
        <v>0</v>
      </c>
      <c r="X276" s="90">
        <v>9.98</v>
      </c>
      <c r="Y276" s="90">
        <v>9.98</v>
      </c>
    </row>
    <row r="277" spans="1:25">
      <c r="A277" s="224">
        <v>20140101</v>
      </c>
      <c r="B277" s="225" t="s">
        <v>680</v>
      </c>
      <c r="C277" s="225" t="str">
        <f>A277&amp;B277</f>
        <v>20140101LEV</v>
      </c>
      <c r="D277" s="231" t="s">
        <v>755</v>
      </c>
      <c r="E277" s="225" t="str">
        <f>A277&amp;D277</f>
        <v>20140101LGRSE543</v>
      </c>
      <c r="F277" s="226">
        <v>10.75</v>
      </c>
      <c r="G277" s="227">
        <f t="shared" ref="G277" si="54">SUM(K277:M277)</f>
        <v>5.8200000000000002E-2</v>
      </c>
      <c r="H277" s="227">
        <f>SUM(K277:L277,N277)</f>
        <v>7.8990000000000005E-2</v>
      </c>
      <c r="I277" s="227">
        <f>SUM(K277:L277,O277)</f>
        <v>0.14451000000000003</v>
      </c>
      <c r="J277" s="227">
        <v>0</v>
      </c>
      <c r="K277" s="227">
        <v>1.34E-3</v>
      </c>
      <c r="L277" s="227">
        <f t="shared" si="47"/>
        <v>2.725E-2</v>
      </c>
      <c r="M277" s="227">
        <v>2.9610000000000001E-2</v>
      </c>
      <c r="N277" s="227">
        <v>5.04E-2</v>
      </c>
      <c r="O277" s="227">
        <v>0.11592000000000002</v>
      </c>
      <c r="P277" s="227">
        <v>0</v>
      </c>
      <c r="Q277" s="226">
        <f t="shared" ref="Q277" si="55">T277+W277</f>
        <v>0</v>
      </c>
      <c r="R277" s="226">
        <f t="shared" ref="R277" si="56">U277+X277</f>
        <v>0</v>
      </c>
      <c r="S277" s="226">
        <f t="shared" ref="S277" si="57">V277+Y277</f>
        <v>0</v>
      </c>
      <c r="T277" s="226">
        <v>0</v>
      </c>
      <c r="U277" s="226">
        <v>0</v>
      </c>
      <c r="V277" s="226">
        <v>0</v>
      </c>
      <c r="W277" s="226">
        <v>0</v>
      </c>
      <c r="X277" s="226">
        <v>0</v>
      </c>
      <c r="Y277" s="226">
        <v>0</v>
      </c>
    </row>
    <row r="278" spans="1:25">
      <c r="A278" s="224">
        <v>20140101</v>
      </c>
      <c r="B278" s="225" t="s">
        <v>680</v>
      </c>
      <c r="C278" s="225" t="str">
        <f>A278&amp;B278</f>
        <v>20140101LEV</v>
      </c>
      <c r="D278" s="229" t="s">
        <v>1208</v>
      </c>
      <c r="E278" s="225" t="str">
        <f>A278&amp;D278</f>
        <v>20140101LGRSE547</v>
      </c>
      <c r="F278" s="226">
        <v>10.75</v>
      </c>
      <c r="G278" s="227">
        <f t="shared" si="46"/>
        <v>5.8200000000000002E-2</v>
      </c>
      <c r="H278" s="227">
        <f>SUM(K278:L278,N278)</f>
        <v>7.8990000000000005E-2</v>
      </c>
      <c r="I278" s="227">
        <f>SUM(K278:L278,O278)</f>
        <v>0.14451000000000003</v>
      </c>
      <c r="J278" s="227">
        <v>0</v>
      </c>
      <c r="K278" s="227">
        <v>1.34E-3</v>
      </c>
      <c r="L278" s="227">
        <f t="shared" si="47"/>
        <v>2.725E-2</v>
      </c>
      <c r="M278" s="227">
        <v>2.9610000000000001E-2</v>
      </c>
      <c r="N278" s="227">
        <v>5.04E-2</v>
      </c>
      <c r="O278" s="227">
        <v>0.11592000000000002</v>
      </c>
      <c r="P278" s="227">
        <v>0</v>
      </c>
      <c r="Q278" s="226">
        <f t="shared" si="53"/>
        <v>0</v>
      </c>
      <c r="R278" s="226">
        <f t="shared" si="51"/>
        <v>0</v>
      </c>
      <c r="S278" s="226">
        <f t="shared" si="52"/>
        <v>0</v>
      </c>
      <c r="T278" s="226">
        <v>0</v>
      </c>
      <c r="U278" s="226">
        <v>0</v>
      </c>
      <c r="V278" s="226">
        <v>0</v>
      </c>
      <c r="W278" s="226">
        <v>0</v>
      </c>
      <c r="X278" s="226">
        <v>0</v>
      </c>
      <c r="Y278" s="226">
        <v>0</v>
      </c>
    </row>
  </sheetData>
  <autoFilter ref="A2:T278"/>
  <sortState ref="A882:Q903">
    <sortCondition ref="D882:D903"/>
  </sortState>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P1446"/>
  <sheetViews>
    <sheetView workbookViewId="0"/>
  </sheetViews>
  <sheetFormatPr defaultColWidth="9.33203125" defaultRowHeight="12"/>
  <cols>
    <col min="1" max="1" width="9.1640625" customWidth="1"/>
    <col min="2" max="3" width="9.33203125" style="39"/>
    <col min="4" max="4" width="15" style="39" bestFit="1" customWidth="1"/>
    <col min="5" max="5" width="23.33203125" style="39" bestFit="1" customWidth="1"/>
    <col min="6" max="6" width="15.1640625" bestFit="1" customWidth="1"/>
    <col min="7" max="9" width="9.1640625"/>
    <col min="10" max="10" width="11.5" customWidth="1"/>
    <col min="11" max="16384" width="9.33203125" style="39"/>
  </cols>
  <sheetData>
    <row r="1" spans="1:14">
      <c r="A1" s="39"/>
      <c r="F1" s="39"/>
      <c r="G1" s="39"/>
      <c r="H1" s="39"/>
      <c r="I1" s="39"/>
      <c r="J1" s="39"/>
    </row>
    <row r="2" spans="1:14" ht="72">
      <c r="A2" t="s">
        <v>8</v>
      </c>
      <c r="B2" s="40" t="s">
        <v>9</v>
      </c>
      <c r="C2" s="40"/>
      <c r="D2" s="40" t="s">
        <v>4</v>
      </c>
      <c r="E2" s="40" t="s">
        <v>10</v>
      </c>
      <c r="F2" s="38" t="s">
        <v>24</v>
      </c>
      <c r="G2" s="38" t="s">
        <v>11</v>
      </c>
      <c r="H2" s="38" t="s">
        <v>12</v>
      </c>
      <c r="I2" s="38" t="s">
        <v>474</v>
      </c>
      <c r="J2" s="37" t="s">
        <v>478</v>
      </c>
      <c r="K2" s="40"/>
      <c r="L2" s="40"/>
      <c r="M2" s="40"/>
      <c r="N2" s="40"/>
    </row>
    <row r="3" spans="1:14">
      <c r="A3">
        <v>1</v>
      </c>
      <c r="B3" s="39">
        <f>A3+1</f>
        <v>2</v>
      </c>
      <c r="D3" s="39">
        <f>B3+1</f>
        <v>3</v>
      </c>
      <c r="E3" s="39">
        <f t="shared" ref="E3:J3" si="0">D3+1</f>
        <v>4</v>
      </c>
      <c r="F3" s="39">
        <f t="shared" si="0"/>
        <v>5</v>
      </c>
      <c r="G3" s="39">
        <f t="shared" si="0"/>
        <v>6</v>
      </c>
      <c r="H3" s="39">
        <f t="shared" si="0"/>
        <v>7</v>
      </c>
      <c r="I3" s="39">
        <f t="shared" si="0"/>
        <v>8</v>
      </c>
      <c r="J3" s="39">
        <f t="shared" si="0"/>
        <v>9</v>
      </c>
    </row>
    <row r="4" spans="1:14">
      <c r="A4" s="7">
        <v>20100128</v>
      </c>
      <c r="B4" s="108" t="s">
        <v>498</v>
      </c>
      <c r="C4" s="108" t="str">
        <f t="shared" ref="C4:C29" si="1">A4&amp;B4</f>
        <v>20100128RLS</v>
      </c>
      <c r="D4" s="108" t="s">
        <v>164</v>
      </c>
      <c r="E4" s="108" t="str">
        <f t="shared" ref="E4:E29" si="2">A4&amp;D4</f>
        <v>20100128LGUM_001</v>
      </c>
      <c r="F4" s="4">
        <v>7.89</v>
      </c>
      <c r="G4" s="4">
        <v>0.57999999999999996</v>
      </c>
      <c r="H4" s="4">
        <v>0.86</v>
      </c>
      <c r="I4" s="4">
        <v>6.4499999999999993</v>
      </c>
      <c r="J4" s="7" t="s">
        <v>499</v>
      </c>
    </row>
    <row r="5" spans="1:14">
      <c r="A5" s="7">
        <v>20100128</v>
      </c>
      <c r="B5" s="108" t="s">
        <v>498</v>
      </c>
      <c r="C5" s="108" t="str">
        <f t="shared" si="1"/>
        <v>20100128RLS</v>
      </c>
      <c r="D5" s="108" t="s">
        <v>196</v>
      </c>
      <c r="E5" s="108" t="str">
        <f t="shared" si="2"/>
        <v>20100128LGUM_101</v>
      </c>
      <c r="F5" s="4">
        <v>7.89</v>
      </c>
      <c r="G5" s="4">
        <v>0.57999999999999996</v>
      </c>
      <c r="H5" s="4">
        <v>0.86</v>
      </c>
      <c r="I5" s="4">
        <v>6.4499999999999993</v>
      </c>
      <c r="J5" s="7" t="s">
        <v>499</v>
      </c>
    </row>
    <row r="6" spans="1:14">
      <c r="A6" s="7">
        <v>20100128</v>
      </c>
      <c r="B6" s="108" t="s">
        <v>498</v>
      </c>
      <c r="C6" s="108" t="str">
        <f t="shared" si="1"/>
        <v>20100128RLS</v>
      </c>
      <c r="D6" s="108" t="s">
        <v>379</v>
      </c>
      <c r="E6" s="108" t="str">
        <f t="shared" si="2"/>
        <v>20100128LGUM_201</v>
      </c>
      <c r="F6" s="4">
        <v>7.89</v>
      </c>
      <c r="G6" s="4">
        <v>0.57999999999999996</v>
      </c>
      <c r="H6" s="4">
        <v>0.86</v>
      </c>
      <c r="I6" s="4">
        <v>6.4499999999999993</v>
      </c>
      <c r="J6" s="7" t="s">
        <v>499</v>
      </c>
    </row>
    <row r="7" spans="1:14">
      <c r="A7" s="7">
        <v>20100128</v>
      </c>
      <c r="B7" s="108" t="s">
        <v>498</v>
      </c>
      <c r="C7" s="108" t="str">
        <f t="shared" si="1"/>
        <v>20100128RLS</v>
      </c>
      <c r="D7" s="108" t="s">
        <v>165</v>
      </c>
      <c r="E7" s="108" t="str">
        <f t="shared" si="2"/>
        <v>20100128LGUM_002</v>
      </c>
      <c r="F7" s="4">
        <v>8.82</v>
      </c>
      <c r="G7" s="4">
        <v>0.41</v>
      </c>
      <c r="H7" s="4">
        <v>1.44</v>
      </c>
      <c r="I7" s="4">
        <v>6.9700000000000006</v>
      </c>
      <c r="J7" s="7" t="s">
        <v>500</v>
      </c>
    </row>
    <row r="8" spans="1:14">
      <c r="A8" s="7">
        <v>20100128</v>
      </c>
      <c r="B8" s="108" t="s">
        <v>498</v>
      </c>
      <c r="C8" s="108" t="str">
        <f t="shared" si="1"/>
        <v>20100128RLS</v>
      </c>
      <c r="D8" s="108" t="s">
        <v>197</v>
      </c>
      <c r="E8" s="108" t="str">
        <f t="shared" si="2"/>
        <v>20100128LGUM_102</v>
      </c>
      <c r="F8" s="4">
        <v>8.82</v>
      </c>
      <c r="G8" s="4">
        <v>0.41</v>
      </c>
      <c r="H8" s="4">
        <v>1.44</v>
      </c>
      <c r="I8" s="4">
        <v>6.9700000000000006</v>
      </c>
      <c r="J8" s="7" t="s">
        <v>500</v>
      </c>
    </row>
    <row r="9" spans="1:14">
      <c r="A9" s="7">
        <v>20100128</v>
      </c>
      <c r="B9" s="108" t="s">
        <v>498</v>
      </c>
      <c r="C9" s="108" t="str">
        <f t="shared" si="1"/>
        <v>20100128RLS</v>
      </c>
      <c r="D9" s="108" t="s">
        <v>239</v>
      </c>
      <c r="E9" s="108" t="str">
        <f t="shared" si="2"/>
        <v>20100128LGUM_202</v>
      </c>
      <c r="F9" s="4">
        <v>8.82</v>
      </c>
      <c r="G9" s="4">
        <v>0.41</v>
      </c>
      <c r="H9" s="4">
        <v>1.44</v>
      </c>
      <c r="I9" s="4">
        <v>6.9700000000000006</v>
      </c>
      <c r="J9" s="7" t="s">
        <v>500</v>
      </c>
    </row>
    <row r="10" spans="1:14">
      <c r="A10" s="7">
        <v>20100128</v>
      </c>
      <c r="B10" s="108" t="s">
        <v>498</v>
      </c>
      <c r="C10" s="108" t="str">
        <f t="shared" si="1"/>
        <v>20100128RLS</v>
      </c>
      <c r="D10" s="108" t="s">
        <v>166</v>
      </c>
      <c r="E10" s="108" t="str">
        <f t="shared" si="2"/>
        <v>20100128LGUM_003</v>
      </c>
      <c r="F10" s="4">
        <v>10.18</v>
      </c>
      <c r="G10" s="4">
        <v>0.53</v>
      </c>
      <c r="H10" s="4">
        <v>2.04</v>
      </c>
      <c r="I10" s="4">
        <v>7.61</v>
      </c>
      <c r="J10" s="7" t="s">
        <v>501</v>
      </c>
    </row>
    <row r="11" spans="1:14">
      <c r="A11" s="7">
        <v>20100128</v>
      </c>
      <c r="B11" s="108" t="s">
        <v>498</v>
      </c>
      <c r="C11" s="108" t="str">
        <f t="shared" si="1"/>
        <v>20100128RLS</v>
      </c>
      <c r="D11" s="108" t="s">
        <v>198</v>
      </c>
      <c r="E11" s="108" t="str">
        <f t="shared" si="2"/>
        <v>20100128LGUM_103</v>
      </c>
      <c r="F11" s="4">
        <v>10.18</v>
      </c>
      <c r="G11" s="4">
        <v>0.53</v>
      </c>
      <c r="H11" s="4">
        <v>2.04</v>
      </c>
      <c r="I11" s="4">
        <v>7.61</v>
      </c>
      <c r="J11" s="7" t="s">
        <v>501</v>
      </c>
    </row>
    <row r="12" spans="1:14">
      <c r="A12" s="7">
        <v>20100128</v>
      </c>
      <c r="B12" s="108" t="s">
        <v>498</v>
      </c>
      <c r="C12" s="108" t="str">
        <f t="shared" si="1"/>
        <v>20100128RLS</v>
      </c>
      <c r="D12" s="108" t="s">
        <v>241</v>
      </c>
      <c r="E12" s="108" t="str">
        <f t="shared" si="2"/>
        <v>20100128LGUM_203</v>
      </c>
      <c r="F12" s="4">
        <v>10.18</v>
      </c>
      <c r="G12" s="4">
        <v>0.53</v>
      </c>
      <c r="H12" s="4">
        <v>2.04</v>
      </c>
      <c r="I12" s="4">
        <v>7.61</v>
      </c>
      <c r="J12" s="7" t="s">
        <v>501</v>
      </c>
    </row>
    <row r="13" spans="1:14">
      <c r="A13" s="7">
        <v>20100128</v>
      </c>
      <c r="B13" s="108" t="s">
        <v>498</v>
      </c>
      <c r="C13" s="108" t="str">
        <f t="shared" si="1"/>
        <v>20100128RLS</v>
      </c>
      <c r="D13" s="108" t="s">
        <v>167</v>
      </c>
      <c r="E13" s="108" t="str">
        <f t="shared" si="2"/>
        <v>20100128LGUM_004</v>
      </c>
      <c r="F13" s="4">
        <v>12.54</v>
      </c>
      <c r="G13" s="4">
        <v>0.6</v>
      </c>
      <c r="H13" s="4">
        <v>3.18</v>
      </c>
      <c r="I13" s="4">
        <v>8.76</v>
      </c>
      <c r="J13" s="7" t="s">
        <v>502</v>
      </c>
    </row>
    <row r="14" spans="1:14">
      <c r="A14" s="7">
        <v>20100128</v>
      </c>
      <c r="B14" s="108" t="s">
        <v>498</v>
      </c>
      <c r="C14" s="108" t="str">
        <f t="shared" si="1"/>
        <v>20100128RLS</v>
      </c>
      <c r="D14" s="108" t="s">
        <v>199</v>
      </c>
      <c r="E14" s="108" t="str">
        <f t="shared" si="2"/>
        <v>20100128LGUM_104</v>
      </c>
      <c r="F14" s="4">
        <v>12.54</v>
      </c>
      <c r="G14" s="4">
        <v>0.6</v>
      </c>
      <c r="H14" s="4">
        <v>3.18</v>
      </c>
      <c r="I14" s="4">
        <v>8.76</v>
      </c>
      <c r="J14" s="7" t="s">
        <v>502</v>
      </c>
    </row>
    <row r="15" spans="1:14">
      <c r="A15" s="7">
        <v>20100128</v>
      </c>
      <c r="B15" s="108" t="s">
        <v>498</v>
      </c>
      <c r="C15" s="108" t="str">
        <f t="shared" si="1"/>
        <v>20100128RLS</v>
      </c>
      <c r="D15" s="108" t="s">
        <v>242</v>
      </c>
      <c r="E15" s="108" t="str">
        <f t="shared" si="2"/>
        <v>20100128LGUM_204</v>
      </c>
      <c r="F15" s="4">
        <v>12.54</v>
      </c>
      <c r="G15" s="4">
        <v>0.6</v>
      </c>
      <c r="H15" s="4">
        <v>3.18</v>
      </c>
      <c r="I15" s="4">
        <v>8.76</v>
      </c>
      <c r="J15" s="7" t="s">
        <v>502</v>
      </c>
    </row>
    <row r="16" spans="1:14">
      <c r="A16" s="7">
        <v>20100128</v>
      </c>
      <c r="B16" s="108" t="s">
        <v>498</v>
      </c>
      <c r="C16" s="108" t="str">
        <f t="shared" si="1"/>
        <v>20100128RLS</v>
      </c>
      <c r="D16" s="108" t="s">
        <v>168</v>
      </c>
      <c r="E16" s="108" t="str">
        <f t="shared" si="2"/>
        <v>20100128LGUM_005</v>
      </c>
      <c r="F16" s="4">
        <v>8.7100000000000009</v>
      </c>
      <c r="G16" s="4">
        <v>0.57999999999999996</v>
      </c>
      <c r="H16" s="4">
        <v>0.99</v>
      </c>
      <c r="I16" s="4">
        <v>7.1400000000000006</v>
      </c>
      <c r="J16" s="7" t="s">
        <v>503</v>
      </c>
    </row>
    <row r="17" spans="1:10">
      <c r="A17" s="7">
        <v>20100128</v>
      </c>
      <c r="B17" s="108" t="s">
        <v>498</v>
      </c>
      <c r="C17" s="108" t="str">
        <f t="shared" si="1"/>
        <v>20100128RLS</v>
      </c>
      <c r="D17" s="108" t="s">
        <v>200</v>
      </c>
      <c r="E17" s="108" t="str">
        <f t="shared" si="2"/>
        <v>20100128LGUM_105</v>
      </c>
      <c r="F17" s="4">
        <v>8.7100000000000009</v>
      </c>
      <c r="G17" s="4">
        <v>0.57999999999999996</v>
      </c>
      <c r="H17" s="4">
        <v>0.99</v>
      </c>
      <c r="I17" s="4">
        <v>7.1400000000000006</v>
      </c>
      <c r="J17" s="7" t="s">
        <v>503</v>
      </c>
    </row>
    <row r="18" spans="1:10">
      <c r="A18" s="7">
        <v>20100128</v>
      </c>
      <c r="B18" s="108" t="s">
        <v>498</v>
      </c>
      <c r="C18" s="108" t="str">
        <f t="shared" si="1"/>
        <v>20100128RLS</v>
      </c>
      <c r="D18" s="108" t="s">
        <v>380</v>
      </c>
      <c r="E18" s="108" t="str">
        <f t="shared" si="2"/>
        <v>20100128LGUM_205</v>
      </c>
      <c r="F18" s="4">
        <v>8.7100000000000009</v>
      </c>
      <c r="G18" s="4">
        <v>0.57999999999999996</v>
      </c>
      <c r="H18" s="4">
        <v>0.99</v>
      </c>
      <c r="I18" s="4">
        <v>7.1400000000000006</v>
      </c>
      <c r="J18" s="7" t="s">
        <v>503</v>
      </c>
    </row>
    <row r="19" spans="1:10">
      <c r="A19" s="7">
        <v>20100128</v>
      </c>
      <c r="B19" s="108" t="s">
        <v>498</v>
      </c>
      <c r="C19" s="108" t="str">
        <f t="shared" si="1"/>
        <v>20100128RLS</v>
      </c>
      <c r="D19" s="108" t="s">
        <v>504</v>
      </c>
      <c r="E19" s="108" t="str">
        <f t="shared" si="2"/>
        <v>20100128LGUM_006</v>
      </c>
      <c r="F19" s="4">
        <v>13.13</v>
      </c>
      <c r="G19" s="4">
        <v>0.57999999999999996</v>
      </c>
      <c r="H19" s="4">
        <v>0.86</v>
      </c>
      <c r="I19" s="4">
        <v>11.690000000000001</v>
      </c>
      <c r="J19" s="7" t="s">
        <v>505</v>
      </c>
    </row>
    <row r="20" spans="1:10">
      <c r="A20" s="7">
        <v>20100128</v>
      </c>
      <c r="B20" s="108" t="s">
        <v>498</v>
      </c>
      <c r="C20" s="108" t="str">
        <f t="shared" si="1"/>
        <v>20100128RLS</v>
      </c>
      <c r="D20" s="108" t="s">
        <v>201</v>
      </c>
      <c r="E20" s="108" t="str">
        <f t="shared" si="2"/>
        <v>20100128LGUM_106</v>
      </c>
      <c r="F20" s="4">
        <v>13.13</v>
      </c>
      <c r="G20" s="4">
        <v>0.57999999999999996</v>
      </c>
      <c r="H20" s="4">
        <v>0.86</v>
      </c>
      <c r="I20" s="4">
        <v>11.690000000000001</v>
      </c>
      <c r="J20" s="7" t="s">
        <v>505</v>
      </c>
    </row>
    <row r="21" spans="1:10">
      <c r="A21" s="7">
        <v>20100128</v>
      </c>
      <c r="B21" s="108" t="s">
        <v>498</v>
      </c>
      <c r="C21" s="108" t="str">
        <f t="shared" si="1"/>
        <v>20100128RLS</v>
      </c>
      <c r="D21" s="108" t="s">
        <v>243</v>
      </c>
      <c r="E21" s="108" t="str">
        <f t="shared" si="2"/>
        <v>20100128LGUM_206</v>
      </c>
      <c r="F21" s="4">
        <v>13.13</v>
      </c>
      <c r="G21" s="4">
        <v>0.57999999999999996</v>
      </c>
      <c r="H21" s="4">
        <v>0.86</v>
      </c>
      <c r="I21" s="4">
        <v>11.690000000000001</v>
      </c>
      <c r="J21" s="7" t="s">
        <v>505</v>
      </c>
    </row>
    <row r="22" spans="1:10">
      <c r="A22" s="7">
        <v>20100128</v>
      </c>
      <c r="B22" s="108" t="s">
        <v>498</v>
      </c>
      <c r="C22" s="108" t="str">
        <f t="shared" si="1"/>
        <v>20100128RLS</v>
      </c>
      <c r="D22" s="108" t="s">
        <v>169</v>
      </c>
      <c r="E22" s="108" t="str">
        <f t="shared" si="2"/>
        <v>20100128LGUM_007</v>
      </c>
      <c r="F22" s="4">
        <v>12.54</v>
      </c>
      <c r="G22" s="4">
        <v>0.6</v>
      </c>
      <c r="H22" s="4">
        <v>3.18</v>
      </c>
      <c r="I22" s="4">
        <v>8.76</v>
      </c>
      <c r="J22" s="7" t="s">
        <v>506</v>
      </c>
    </row>
    <row r="23" spans="1:10">
      <c r="A23" s="7">
        <v>20100128</v>
      </c>
      <c r="B23" s="108" t="s">
        <v>498</v>
      </c>
      <c r="C23" s="108" t="str">
        <f t="shared" si="1"/>
        <v>20100128RLS</v>
      </c>
      <c r="D23" s="108" t="s">
        <v>202</v>
      </c>
      <c r="E23" s="108" t="str">
        <f t="shared" si="2"/>
        <v>20100128LGUM_107</v>
      </c>
      <c r="F23" s="4">
        <v>12.54</v>
      </c>
      <c r="G23" s="4">
        <v>0.6</v>
      </c>
      <c r="H23" s="4">
        <v>3.18</v>
      </c>
      <c r="I23" s="4">
        <v>8.76</v>
      </c>
      <c r="J23" s="7" t="s">
        <v>506</v>
      </c>
    </row>
    <row r="24" spans="1:10">
      <c r="A24" s="7">
        <v>20100128</v>
      </c>
      <c r="B24" s="108" t="s">
        <v>498</v>
      </c>
      <c r="C24" s="108" t="str">
        <f t="shared" si="1"/>
        <v>20100128RLS</v>
      </c>
      <c r="D24" s="108" t="s">
        <v>244</v>
      </c>
      <c r="E24" s="108" t="str">
        <f t="shared" si="2"/>
        <v>20100128LGUM_207</v>
      </c>
      <c r="F24" s="4">
        <v>12.54</v>
      </c>
      <c r="G24" s="4">
        <v>0.6</v>
      </c>
      <c r="H24" s="4">
        <v>3.18</v>
      </c>
      <c r="I24" s="4">
        <v>8.76</v>
      </c>
      <c r="J24" s="7" t="s">
        <v>506</v>
      </c>
    </row>
    <row r="25" spans="1:10">
      <c r="A25" s="7">
        <v>20100128</v>
      </c>
      <c r="B25" s="108" t="s">
        <v>498</v>
      </c>
      <c r="C25" s="108" t="str">
        <f t="shared" si="1"/>
        <v>20100128RLS</v>
      </c>
      <c r="D25" s="108" t="s">
        <v>170</v>
      </c>
      <c r="E25" s="108" t="str">
        <f t="shared" si="2"/>
        <v>20100128LGUM_008</v>
      </c>
      <c r="F25" s="4">
        <v>13.91</v>
      </c>
      <c r="G25" s="4">
        <v>0.41</v>
      </c>
      <c r="H25" s="4">
        <v>1.44</v>
      </c>
      <c r="I25" s="4">
        <v>12.06</v>
      </c>
      <c r="J25" s="7" t="s">
        <v>507</v>
      </c>
    </row>
    <row r="26" spans="1:10">
      <c r="A26" s="7">
        <v>20100128</v>
      </c>
      <c r="B26" s="108" t="s">
        <v>498</v>
      </c>
      <c r="C26" s="108" t="str">
        <f t="shared" si="1"/>
        <v>20100128RLS</v>
      </c>
      <c r="D26" s="108" t="s">
        <v>203</v>
      </c>
      <c r="E26" s="108" t="str">
        <f t="shared" si="2"/>
        <v>20100128LGUM_108</v>
      </c>
      <c r="F26" s="4">
        <v>13.91</v>
      </c>
      <c r="G26" s="4">
        <v>0.41</v>
      </c>
      <c r="H26" s="4">
        <v>1.44</v>
      </c>
      <c r="I26" s="4">
        <v>12.06</v>
      </c>
      <c r="J26" s="7" t="s">
        <v>507</v>
      </c>
    </row>
    <row r="27" spans="1:10">
      <c r="A27" s="7">
        <v>20100128</v>
      </c>
      <c r="B27" s="108" t="s">
        <v>498</v>
      </c>
      <c r="C27" s="108" t="str">
        <f t="shared" si="1"/>
        <v>20100128RLS</v>
      </c>
      <c r="D27" s="108" t="s">
        <v>245</v>
      </c>
      <c r="E27" s="108" t="str">
        <f t="shared" si="2"/>
        <v>20100128LGUM_208</v>
      </c>
      <c r="F27" s="4">
        <v>13.91</v>
      </c>
      <c r="G27" s="4">
        <v>0.41</v>
      </c>
      <c r="H27" s="4">
        <v>1.44</v>
      </c>
      <c r="I27" s="4">
        <v>12.06</v>
      </c>
      <c r="J27" s="7" t="s">
        <v>507</v>
      </c>
    </row>
    <row r="28" spans="1:10">
      <c r="A28" s="7">
        <v>20100128</v>
      </c>
      <c r="B28" s="108" t="s">
        <v>498</v>
      </c>
      <c r="C28" s="108" t="str">
        <f t="shared" si="1"/>
        <v>20100128RLS</v>
      </c>
      <c r="D28" s="108" t="s">
        <v>508</v>
      </c>
      <c r="E28" s="108" t="str">
        <f t="shared" si="2"/>
        <v>20100128LGUM_009</v>
      </c>
      <c r="F28" s="4">
        <v>23.44</v>
      </c>
      <c r="G28" s="4">
        <v>1.0900000000000001</v>
      </c>
      <c r="H28" s="4">
        <v>7.58</v>
      </c>
      <c r="I28" s="4">
        <v>14.770000000000001</v>
      </c>
      <c r="J28" s="7" t="s">
        <v>509</v>
      </c>
    </row>
    <row r="29" spans="1:10">
      <c r="A29" s="7">
        <v>20100128</v>
      </c>
      <c r="B29" s="108" t="s">
        <v>498</v>
      </c>
      <c r="C29" s="108" t="str">
        <f t="shared" si="1"/>
        <v>20100128RLS</v>
      </c>
      <c r="D29" s="108" t="s">
        <v>204</v>
      </c>
      <c r="E29" s="108" t="str">
        <f t="shared" si="2"/>
        <v>20100128LGUM_109</v>
      </c>
      <c r="F29" s="4">
        <v>23.44</v>
      </c>
      <c r="G29" s="4">
        <v>1.0900000000000001</v>
      </c>
      <c r="H29" s="4">
        <v>7.58</v>
      </c>
      <c r="I29" s="4">
        <v>14.770000000000001</v>
      </c>
      <c r="J29" s="7" t="s">
        <v>509</v>
      </c>
    </row>
    <row r="30" spans="1:10">
      <c r="A30" s="7">
        <v>20100128</v>
      </c>
      <c r="B30" s="108" t="s">
        <v>498</v>
      </c>
      <c r="C30" s="108" t="str">
        <f t="shared" ref="C30:C93" si="3">A30&amp;B30</f>
        <v>20100128RLS</v>
      </c>
      <c r="D30" s="108" t="s">
        <v>381</v>
      </c>
      <c r="E30" s="108" t="str">
        <f t="shared" ref="E30:E93" si="4">A30&amp;D30</f>
        <v>20100128LGUM_209</v>
      </c>
      <c r="F30" s="4">
        <v>23.44</v>
      </c>
      <c r="G30" s="4">
        <v>1.0900000000000001</v>
      </c>
      <c r="H30" s="4">
        <v>7.58</v>
      </c>
      <c r="I30" s="4">
        <v>14.770000000000001</v>
      </c>
      <c r="J30" s="7" t="s">
        <v>509</v>
      </c>
    </row>
    <row r="31" spans="1:10">
      <c r="A31" s="7">
        <v>20100128</v>
      </c>
      <c r="B31" s="108" t="s">
        <v>498</v>
      </c>
      <c r="C31" s="108" t="str">
        <f t="shared" si="3"/>
        <v>20100128RLS</v>
      </c>
      <c r="D31" s="108" t="s">
        <v>171</v>
      </c>
      <c r="E31" s="108" t="str">
        <f t="shared" si="4"/>
        <v>20100128LGUM_010</v>
      </c>
      <c r="F31" s="4">
        <v>23.44</v>
      </c>
      <c r="G31" s="4">
        <v>1.0900000000000001</v>
      </c>
      <c r="H31" s="4">
        <v>7.58</v>
      </c>
      <c r="I31" s="4">
        <v>14.770000000000001</v>
      </c>
      <c r="J31" s="7" t="s">
        <v>510</v>
      </c>
    </row>
    <row r="32" spans="1:10">
      <c r="A32" s="7">
        <v>20100128</v>
      </c>
      <c r="B32" s="108" t="s">
        <v>498</v>
      </c>
      <c r="C32" s="108" t="str">
        <f t="shared" si="3"/>
        <v>20100128RLS</v>
      </c>
      <c r="D32" s="108" t="s">
        <v>205</v>
      </c>
      <c r="E32" s="108" t="str">
        <f t="shared" si="4"/>
        <v>20100128LGUM_110</v>
      </c>
      <c r="F32" s="4">
        <v>23.44</v>
      </c>
      <c r="G32" s="4">
        <v>1.0900000000000001</v>
      </c>
      <c r="H32" s="4">
        <v>7.58</v>
      </c>
      <c r="I32" s="4">
        <v>14.770000000000001</v>
      </c>
      <c r="J32" s="7" t="s">
        <v>510</v>
      </c>
    </row>
    <row r="33" spans="1:10">
      <c r="A33" s="7">
        <v>20100128</v>
      </c>
      <c r="B33" s="108" t="s">
        <v>498</v>
      </c>
      <c r="C33" s="108" t="str">
        <f t="shared" si="3"/>
        <v>20100128RLS</v>
      </c>
      <c r="D33" s="108" t="s">
        <v>246</v>
      </c>
      <c r="E33" s="108" t="str">
        <f t="shared" si="4"/>
        <v>20100128LGUM_210</v>
      </c>
      <c r="F33" s="4">
        <v>23.44</v>
      </c>
      <c r="G33" s="4">
        <v>1.0900000000000001</v>
      </c>
      <c r="H33" s="4">
        <v>7.58</v>
      </c>
      <c r="I33" s="4">
        <v>14.770000000000001</v>
      </c>
      <c r="J33" s="7" t="s">
        <v>510</v>
      </c>
    </row>
    <row r="34" spans="1:10">
      <c r="A34" s="7">
        <v>20100128</v>
      </c>
      <c r="B34" s="108" t="s">
        <v>498</v>
      </c>
      <c r="C34" s="108" t="str">
        <f t="shared" si="3"/>
        <v>20100128RLS</v>
      </c>
      <c r="D34" s="108" t="s">
        <v>172</v>
      </c>
      <c r="E34" s="108" t="str">
        <f t="shared" si="4"/>
        <v>20100128LGUM_011</v>
      </c>
      <c r="F34" s="4">
        <v>13</v>
      </c>
      <c r="G34" s="4">
        <v>0.53</v>
      </c>
      <c r="H34" s="4">
        <v>2.14</v>
      </c>
      <c r="I34" s="4">
        <v>10.33</v>
      </c>
      <c r="J34" s="7" t="s">
        <v>511</v>
      </c>
    </row>
    <row r="35" spans="1:10">
      <c r="A35" s="7">
        <v>20100128</v>
      </c>
      <c r="B35" s="108" t="s">
        <v>498</v>
      </c>
      <c r="C35" s="108" t="str">
        <f t="shared" si="3"/>
        <v>20100128RLS</v>
      </c>
      <c r="D35" s="108" t="s">
        <v>206</v>
      </c>
      <c r="E35" s="108" t="str">
        <f t="shared" si="4"/>
        <v>20100128LGUM_111</v>
      </c>
      <c r="F35" s="4">
        <v>13</v>
      </c>
      <c r="G35" s="4">
        <v>0.53</v>
      </c>
      <c r="H35" s="4">
        <v>2.14</v>
      </c>
      <c r="I35" s="4">
        <v>10.33</v>
      </c>
      <c r="J35" s="7" t="s">
        <v>511</v>
      </c>
    </row>
    <row r="36" spans="1:10">
      <c r="A36" s="7">
        <v>20100128</v>
      </c>
      <c r="B36" s="108" t="s">
        <v>498</v>
      </c>
      <c r="C36" s="108" t="str">
        <f t="shared" si="3"/>
        <v>20100128RLS</v>
      </c>
      <c r="D36" s="108" t="s">
        <v>247</v>
      </c>
      <c r="E36" s="108" t="str">
        <f t="shared" si="4"/>
        <v>20100128LGUM_211</v>
      </c>
      <c r="F36" s="4">
        <v>13</v>
      </c>
      <c r="G36" s="4">
        <v>0.53</v>
      </c>
      <c r="H36" s="4">
        <v>2.14</v>
      </c>
      <c r="I36" s="4">
        <v>10.33</v>
      </c>
      <c r="J36" s="7" t="s">
        <v>511</v>
      </c>
    </row>
    <row r="37" spans="1:10">
      <c r="A37" s="7">
        <v>20100128</v>
      </c>
      <c r="B37" s="108" t="s">
        <v>498</v>
      </c>
      <c r="C37" s="108" t="str">
        <f t="shared" si="3"/>
        <v>20100128RLS</v>
      </c>
      <c r="D37" s="108" t="s">
        <v>173</v>
      </c>
      <c r="E37" s="108" t="str">
        <f t="shared" si="4"/>
        <v>20100128LGUM_012</v>
      </c>
      <c r="F37" s="4">
        <v>14.13</v>
      </c>
      <c r="G37" s="4">
        <v>0.6</v>
      </c>
      <c r="H37" s="4">
        <v>3.4</v>
      </c>
      <c r="I37" s="4">
        <v>10.130000000000001</v>
      </c>
      <c r="J37" s="7" t="s">
        <v>512</v>
      </c>
    </row>
    <row r="38" spans="1:10">
      <c r="A38" s="7">
        <v>20100128</v>
      </c>
      <c r="B38" s="108" t="s">
        <v>498</v>
      </c>
      <c r="C38" s="108" t="str">
        <f t="shared" si="3"/>
        <v>20100128RLS</v>
      </c>
      <c r="D38" s="108" t="s">
        <v>207</v>
      </c>
      <c r="E38" s="108" t="str">
        <f t="shared" si="4"/>
        <v>20100128LGUM_112</v>
      </c>
      <c r="F38" s="4">
        <v>14.13</v>
      </c>
      <c r="G38" s="4">
        <v>0.6</v>
      </c>
      <c r="H38" s="4">
        <v>3.4</v>
      </c>
      <c r="I38" s="4">
        <v>10.130000000000001</v>
      </c>
      <c r="J38" s="7" t="s">
        <v>512</v>
      </c>
    </row>
    <row r="39" spans="1:10">
      <c r="A39" s="7">
        <v>20100128</v>
      </c>
      <c r="B39" s="108" t="s">
        <v>498</v>
      </c>
      <c r="C39" s="108" t="str">
        <f t="shared" si="3"/>
        <v>20100128RLS</v>
      </c>
      <c r="D39" s="108" t="s">
        <v>248</v>
      </c>
      <c r="E39" s="108" t="str">
        <f t="shared" si="4"/>
        <v>20100128LGUM_212</v>
      </c>
      <c r="F39" s="4">
        <v>14.13</v>
      </c>
      <c r="G39" s="4">
        <v>0.6</v>
      </c>
      <c r="H39" s="4">
        <v>3.4</v>
      </c>
      <c r="I39" s="4">
        <v>10.130000000000001</v>
      </c>
      <c r="J39" s="7" t="s">
        <v>512</v>
      </c>
    </row>
    <row r="40" spans="1:10">
      <c r="A40" s="7">
        <v>20100128</v>
      </c>
      <c r="B40" s="108" t="s">
        <v>498</v>
      </c>
      <c r="C40" s="108" t="str">
        <f t="shared" si="3"/>
        <v>20100128RLS</v>
      </c>
      <c r="D40" s="108" t="s">
        <v>174</v>
      </c>
      <c r="E40" s="108" t="str">
        <f t="shared" si="4"/>
        <v>20100128LGUM_013</v>
      </c>
      <c r="F40" s="4">
        <v>14.13</v>
      </c>
      <c r="G40" s="4">
        <v>0.6</v>
      </c>
      <c r="H40" s="4">
        <v>3.4</v>
      </c>
      <c r="I40" s="4">
        <v>10.130000000000001</v>
      </c>
      <c r="J40" s="7" t="s">
        <v>513</v>
      </c>
    </row>
    <row r="41" spans="1:10">
      <c r="A41" s="7">
        <v>20100128</v>
      </c>
      <c r="B41" s="108" t="s">
        <v>498</v>
      </c>
      <c r="C41" s="108" t="str">
        <f t="shared" si="3"/>
        <v>20100128RLS</v>
      </c>
      <c r="D41" s="108" t="s">
        <v>208</v>
      </c>
      <c r="E41" s="108" t="str">
        <f t="shared" si="4"/>
        <v>20100128LGUM_113</v>
      </c>
      <c r="F41" s="4">
        <v>14.13</v>
      </c>
      <c r="G41" s="4">
        <v>0.6</v>
      </c>
      <c r="H41" s="4">
        <v>3.4</v>
      </c>
      <c r="I41" s="4">
        <v>10.130000000000001</v>
      </c>
      <c r="J41" s="7" t="s">
        <v>513</v>
      </c>
    </row>
    <row r="42" spans="1:10">
      <c r="A42" s="7">
        <v>20100128</v>
      </c>
      <c r="B42" s="108" t="s">
        <v>498</v>
      </c>
      <c r="C42" s="108" t="str">
        <f t="shared" si="3"/>
        <v>20100128RLS</v>
      </c>
      <c r="D42" s="108" t="s">
        <v>382</v>
      </c>
      <c r="E42" s="108" t="str">
        <f t="shared" si="4"/>
        <v>20100128LGUM_213</v>
      </c>
      <c r="F42" s="4">
        <v>14.13</v>
      </c>
      <c r="G42" s="4">
        <v>0.6</v>
      </c>
      <c r="H42" s="4">
        <v>3.4</v>
      </c>
      <c r="I42" s="4">
        <v>10.130000000000001</v>
      </c>
      <c r="J42" s="7" t="s">
        <v>513</v>
      </c>
    </row>
    <row r="43" spans="1:10">
      <c r="A43" s="7">
        <v>20100128</v>
      </c>
      <c r="B43" s="108" t="s">
        <v>498</v>
      </c>
      <c r="C43" s="108" t="str">
        <f t="shared" si="3"/>
        <v>20100128RLS</v>
      </c>
      <c r="D43" s="108" t="s">
        <v>514</v>
      </c>
      <c r="E43" s="108" t="str">
        <f t="shared" si="4"/>
        <v>20100128LGUM_016</v>
      </c>
      <c r="F43" s="4">
        <v>23.72</v>
      </c>
      <c r="G43" s="4">
        <v>0.53</v>
      </c>
      <c r="H43" s="4">
        <v>2.14</v>
      </c>
      <c r="I43" s="4">
        <v>21.049999999999997</v>
      </c>
      <c r="J43" s="7" t="s">
        <v>515</v>
      </c>
    </row>
    <row r="44" spans="1:10">
      <c r="A44" s="7">
        <v>20100128</v>
      </c>
      <c r="B44" s="108" t="s">
        <v>498</v>
      </c>
      <c r="C44" s="108" t="str">
        <f t="shared" si="3"/>
        <v>20100128RLS</v>
      </c>
      <c r="D44" s="108" t="s">
        <v>209</v>
      </c>
      <c r="E44" s="108" t="str">
        <f t="shared" si="4"/>
        <v>20100128LGUM_116</v>
      </c>
      <c r="F44" s="4">
        <v>23.72</v>
      </c>
      <c r="G44" s="4">
        <v>0.53</v>
      </c>
      <c r="H44" s="4">
        <v>2.14</v>
      </c>
      <c r="I44" s="4">
        <v>21.049999999999997</v>
      </c>
      <c r="J44" s="7" t="s">
        <v>515</v>
      </c>
    </row>
    <row r="45" spans="1:10">
      <c r="A45" s="7">
        <v>20100128</v>
      </c>
      <c r="B45" s="108" t="s">
        <v>498</v>
      </c>
      <c r="C45" s="108" t="str">
        <f t="shared" si="3"/>
        <v>20100128RLS</v>
      </c>
      <c r="D45" s="108" t="s">
        <v>384</v>
      </c>
      <c r="E45" s="108" t="str">
        <f t="shared" si="4"/>
        <v>20100128LGUM_216</v>
      </c>
      <c r="F45" s="4">
        <v>23.72</v>
      </c>
      <c r="G45" s="4">
        <v>0.53</v>
      </c>
      <c r="H45" s="4">
        <v>2.14</v>
      </c>
      <c r="I45" s="4">
        <v>21.049999999999997</v>
      </c>
      <c r="J45" s="7" t="s">
        <v>515</v>
      </c>
    </row>
    <row r="46" spans="1:10">
      <c r="A46" s="7">
        <v>20100128</v>
      </c>
      <c r="B46" s="108" t="s">
        <v>498</v>
      </c>
      <c r="C46" s="108" t="str">
        <f t="shared" si="3"/>
        <v>20100128RLS</v>
      </c>
      <c r="D46" s="108" t="s">
        <v>516</v>
      </c>
      <c r="E46" s="108" t="str">
        <f t="shared" si="4"/>
        <v>20100128LGUM_017</v>
      </c>
      <c r="F46" s="4">
        <v>26.44</v>
      </c>
      <c r="G46" s="4">
        <v>0.6</v>
      </c>
      <c r="H46" s="4">
        <v>3.4</v>
      </c>
      <c r="I46" s="4">
        <v>22.44</v>
      </c>
      <c r="J46" s="7" t="s">
        <v>517</v>
      </c>
    </row>
    <row r="47" spans="1:10">
      <c r="A47" s="7">
        <v>20100128</v>
      </c>
      <c r="B47" s="108" t="s">
        <v>498</v>
      </c>
      <c r="C47" s="108" t="str">
        <f t="shared" si="3"/>
        <v>20100128RLS</v>
      </c>
      <c r="D47" s="108" t="s">
        <v>210</v>
      </c>
      <c r="E47" s="108" t="str">
        <f t="shared" si="4"/>
        <v>20100128LGUM_117</v>
      </c>
      <c r="F47" s="4">
        <v>26.44</v>
      </c>
      <c r="G47" s="4">
        <v>0.6</v>
      </c>
      <c r="H47" s="4">
        <v>3.4</v>
      </c>
      <c r="I47" s="4">
        <v>22.44</v>
      </c>
      <c r="J47" s="7" t="s">
        <v>517</v>
      </c>
    </row>
    <row r="48" spans="1:10">
      <c r="A48" s="7">
        <v>20100128</v>
      </c>
      <c r="B48" s="108" t="s">
        <v>498</v>
      </c>
      <c r="C48" s="108" t="str">
        <f t="shared" si="3"/>
        <v>20100128RLS</v>
      </c>
      <c r="D48" s="108" t="s">
        <v>385</v>
      </c>
      <c r="E48" s="108" t="str">
        <f t="shared" si="4"/>
        <v>20100128LGUM_217</v>
      </c>
      <c r="F48" s="4">
        <v>26.44</v>
      </c>
      <c r="G48" s="4">
        <v>0.6</v>
      </c>
      <c r="H48" s="4">
        <v>3.4</v>
      </c>
      <c r="I48" s="4">
        <v>22.44</v>
      </c>
      <c r="J48" s="7" t="s">
        <v>517</v>
      </c>
    </row>
    <row r="49" spans="1:10">
      <c r="A49" s="7">
        <v>20100128</v>
      </c>
      <c r="B49" s="108" t="s">
        <v>498</v>
      </c>
      <c r="C49" s="108" t="str">
        <f t="shared" si="3"/>
        <v>20100128RLS</v>
      </c>
      <c r="D49" s="108" t="s">
        <v>175</v>
      </c>
      <c r="E49" s="108" t="str">
        <f t="shared" si="4"/>
        <v>20100128LGUM_022</v>
      </c>
      <c r="F49" s="4">
        <v>11.02</v>
      </c>
      <c r="G49" s="4">
        <v>0.55000000000000004</v>
      </c>
      <c r="H49" s="4">
        <v>1.44</v>
      </c>
      <c r="I49" s="4">
        <v>9.0299999999999994</v>
      </c>
      <c r="J49" s="7" t="s">
        <v>518</v>
      </c>
    </row>
    <row r="50" spans="1:10">
      <c r="A50" s="7">
        <v>20100128</v>
      </c>
      <c r="B50" s="108" t="s">
        <v>498</v>
      </c>
      <c r="C50" s="108" t="str">
        <f t="shared" si="3"/>
        <v>20100128RLS</v>
      </c>
      <c r="D50" s="108" t="s">
        <v>211</v>
      </c>
      <c r="E50" s="108" t="str">
        <f t="shared" si="4"/>
        <v>20100128LGUM_122</v>
      </c>
      <c r="F50" s="4">
        <v>11.02</v>
      </c>
      <c r="G50" s="4">
        <v>0.55000000000000004</v>
      </c>
      <c r="H50" s="4">
        <v>1.44</v>
      </c>
      <c r="I50" s="4">
        <v>9.0299999999999994</v>
      </c>
      <c r="J50" s="7" t="s">
        <v>518</v>
      </c>
    </row>
    <row r="51" spans="1:10">
      <c r="A51" s="7">
        <v>20100128</v>
      </c>
      <c r="B51" s="108" t="s">
        <v>498</v>
      </c>
      <c r="C51" s="108" t="str">
        <f t="shared" si="3"/>
        <v>20100128RLS</v>
      </c>
      <c r="D51" s="108" t="s">
        <v>250</v>
      </c>
      <c r="E51" s="108" t="str">
        <f t="shared" si="4"/>
        <v>20100128LGUM_222</v>
      </c>
      <c r="F51" s="4">
        <v>11.02</v>
      </c>
      <c r="G51" s="4">
        <v>0.55000000000000004</v>
      </c>
      <c r="H51" s="4">
        <v>1.44</v>
      </c>
      <c r="I51" s="4">
        <v>9.0299999999999994</v>
      </c>
      <c r="J51" s="7" t="s">
        <v>518</v>
      </c>
    </row>
    <row r="52" spans="1:10">
      <c r="A52" s="7">
        <v>20100128</v>
      </c>
      <c r="B52" s="108" t="s">
        <v>498</v>
      </c>
      <c r="C52" s="108" t="str">
        <f t="shared" si="3"/>
        <v>20100128RLS</v>
      </c>
      <c r="D52" s="108" t="s">
        <v>176</v>
      </c>
      <c r="E52" s="108" t="str">
        <f t="shared" si="4"/>
        <v>20100128LGUM_023</v>
      </c>
      <c r="F52" s="4">
        <v>11.02</v>
      </c>
      <c r="G52" s="4">
        <v>0.55000000000000004</v>
      </c>
      <c r="H52" s="4">
        <v>1.44</v>
      </c>
      <c r="I52" s="4">
        <v>9.0299999999999994</v>
      </c>
      <c r="J52" s="7" t="s">
        <v>519</v>
      </c>
    </row>
    <row r="53" spans="1:10">
      <c r="A53" s="7">
        <v>20100128</v>
      </c>
      <c r="B53" s="108" t="s">
        <v>498</v>
      </c>
      <c r="C53" s="108" t="str">
        <f t="shared" si="3"/>
        <v>20100128RLS</v>
      </c>
      <c r="D53" s="108" t="s">
        <v>212</v>
      </c>
      <c r="E53" s="108" t="str">
        <f t="shared" si="4"/>
        <v>20100128LGUM_123</v>
      </c>
      <c r="F53" s="4">
        <v>11.02</v>
      </c>
      <c r="G53" s="4">
        <v>0.55000000000000004</v>
      </c>
      <c r="H53" s="4">
        <v>1.44</v>
      </c>
      <c r="I53" s="4">
        <v>9.0299999999999994</v>
      </c>
      <c r="J53" s="7" t="s">
        <v>519</v>
      </c>
    </row>
    <row r="54" spans="1:10">
      <c r="A54" s="7">
        <v>20100128</v>
      </c>
      <c r="B54" s="108" t="s">
        <v>498</v>
      </c>
      <c r="C54" s="108" t="str">
        <f t="shared" si="3"/>
        <v>20100128RLS</v>
      </c>
      <c r="D54" s="108" t="s">
        <v>386</v>
      </c>
      <c r="E54" s="108" t="str">
        <f t="shared" si="4"/>
        <v>20100128LGUM_223</v>
      </c>
      <c r="F54" s="4">
        <v>11.02</v>
      </c>
      <c r="G54" s="4">
        <v>0.55000000000000004</v>
      </c>
      <c r="H54" s="4">
        <v>1.44</v>
      </c>
      <c r="I54" s="4">
        <v>9.0299999999999994</v>
      </c>
      <c r="J54" s="7" t="s">
        <v>519</v>
      </c>
    </row>
    <row r="55" spans="1:10">
      <c r="A55" s="7">
        <v>20100128</v>
      </c>
      <c r="B55" s="108" t="s">
        <v>498</v>
      </c>
      <c r="C55" s="108" t="str">
        <f t="shared" si="3"/>
        <v>20100128RLS</v>
      </c>
      <c r="D55" s="108" t="s">
        <v>177</v>
      </c>
      <c r="E55" s="108" t="str">
        <f t="shared" si="4"/>
        <v>20100128LGUM_024</v>
      </c>
      <c r="F55" s="4">
        <v>15.31</v>
      </c>
      <c r="G55" s="4">
        <v>0.57999999999999996</v>
      </c>
      <c r="H55" s="4">
        <v>0.99</v>
      </c>
      <c r="I55" s="4">
        <v>13.74</v>
      </c>
      <c r="J55" s="7" t="s">
        <v>520</v>
      </c>
    </row>
    <row r="56" spans="1:10">
      <c r="A56" s="7">
        <v>20100128</v>
      </c>
      <c r="B56" s="108" t="s">
        <v>498</v>
      </c>
      <c r="C56" s="108" t="str">
        <f t="shared" si="3"/>
        <v>20100128RLS</v>
      </c>
      <c r="D56" s="108" t="s">
        <v>213</v>
      </c>
      <c r="E56" s="108" t="str">
        <f t="shared" si="4"/>
        <v>20100128LGUM_124</v>
      </c>
      <c r="F56" s="4">
        <v>15.31</v>
      </c>
      <c r="G56" s="4">
        <v>0.57999999999999996</v>
      </c>
      <c r="H56" s="4">
        <v>0.99</v>
      </c>
      <c r="I56" s="4">
        <v>13.74</v>
      </c>
      <c r="J56" s="7" t="s">
        <v>520</v>
      </c>
    </row>
    <row r="57" spans="1:10">
      <c r="A57" s="7">
        <v>20100128</v>
      </c>
      <c r="B57" s="108" t="s">
        <v>498</v>
      </c>
      <c r="C57" s="108" t="str">
        <f t="shared" si="3"/>
        <v>20100128RLS</v>
      </c>
      <c r="D57" s="108" t="s">
        <v>251</v>
      </c>
      <c r="E57" s="108" t="str">
        <f t="shared" si="4"/>
        <v>20100128LGUM_224</v>
      </c>
      <c r="F57" s="4">
        <v>15.31</v>
      </c>
      <c r="G57" s="4">
        <v>0.57999999999999996</v>
      </c>
      <c r="H57" s="4">
        <v>0.99</v>
      </c>
      <c r="I57" s="4">
        <v>13.74</v>
      </c>
      <c r="J57" s="7" t="s">
        <v>520</v>
      </c>
    </row>
    <row r="58" spans="1:10">
      <c r="A58" s="7">
        <v>20100128</v>
      </c>
      <c r="B58" s="108" t="s">
        <v>498</v>
      </c>
      <c r="C58" s="108" t="str">
        <f t="shared" si="3"/>
        <v>20100128RLS</v>
      </c>
      <c r="D58" s="108" t="s">
        <v>521</v>
      </c>
      <c r="E58" s="108" t="str">
        <f t="shared" si="4"/>
        <v>20100128LGUM_025</v>
      </c>
      <c r="F58" s="4">
        <v>20.63</v>
      </c>
      <c r="G58" s="4">
        <v>0.55000000000000004</v>
      </c>
      <c r="H58" s="4">
        <v>1.38</v>
      </c>
      <c r="I58" s="4">
        <v>18.7</v>
      </c>
      <c r="J58" s="7" t="s">
        <v>518</v>
      </c>
    </row>
    <row r="59" spans="1:10">
      <c r="A59" s="7">
        <v>20100128</v>
      </c>
      <c r="B59" s="108" t="s">
        <v>498</v>
      </c>
      <c r="C59" s="108" t="str">
        <f t="shared" si="3"/>
        <v>20100128RLS</v>
      </c>
      <c r="D59" s="108" t="s">
        <v>522</v>
      </c>
      <c r="E59" s="108" t="str">
        <f t="shared" si="4"/>
        <v>20100128LGUM_125</v>
      </c>
      <c r="F59" s="4">
        <v>20.63</v>
      </c>
      <c r="G59" s="4">
        <v>0.55000000000000004</v>
      </c>
      <c r="H59" s="4">
        <v>1.38</v>
      </c>
      <c r="I59" s="4">
        <v>18.7</v>
      </c>
      <c r="J59" s="7" t="s">
        <v>518</v>
      </c>
    </row>
    <row r="60" spans="1:10">
      <c r="A60" s="7">
        <v>20100128</v>
      </c>
      <c r="B60" s="108" t="s">
        <v>498</v>
      </c>
      <c r="C60" s="108" t="str">
        <f t="shared" si="3"/>
        <v>20100128RLS</v>
      </c>
      <c r="D60" s="108" t="s">
        <v>523</v>
      </c>
      <c r="E60" s="108" t="str">
        <f t="shared" si="4"/>
        <v>20100128LGUM_225</v>
      </c>
      <c r="F60" s="4">
        <v>20.63</v>
      </c>
      <c r="G60" s="4">
        <v>0.55000000000000004</v>
      </c>
      <c r="H60" s="4">
        <v>1.38</v>
      </c>
      <c r="I60" s="4">
        <v>18.7</v>
      </c>
      <c r="J60" s="7" t="s">
        <v>518</v>
      </c>
    </row>
    <row r="61" spans="1:10">
      <c r="A61" s="7">
        <v>20100128</v>
      </c>
      <c r="B61" s="108" t="s">
        <v>498</v>
      </c>
      <c r="C61" s="108" t="str">
        <f t="shared" si="3"/>
        <v>20100128RLS</v>
      </c>
      <c r="D61" s="108" t="s">
        <v>524</v>
      </c>
      <c r="E61" s="108" t="str">
        <f t="shared" si="4"/>
        <v>20100128LGUM_026</v>
      </c>
      <c r="F61" s="4">
        <v>11.65</v>
      </c>
      <c r="G61" s="4">
        <v>0.52</v>
      </c>
      <c r="H61" s="4">
        <v>0.69</v>
      </c>
      <c r="I61" s="4">
        <v>10.440000000000001</v>
      </c>
      <c r="J61" s="7" t="s">
        <v>525</v>
      </c>
    </row>
    <row r="62" spans="1:10">
      <c r="A62" s="7">
        <v>20100128</v>
      </c>
      <c r="B62" s="108" t="s">
        <v>498</v>
      </c>
      <c r="C62" s="108" t="str">
        <f t="shared" si="3"/>
        <v>20100128RLS</v>
      </c>
      <c r="D62" s="108" t="s">
        <v>526</v>
      </c>
      <c r="E62" s="108" t="str">
        <f t="shared" si="4"/>
        <v>20100128LGUM_126</v>
      </c>
      <c r="F62" s="4">
        <v>11.65</v>
      </c>
      <c r="G62" s="4">
        <v>0.52</v>
      </c>
      <c r="H62" s="4">
        <v>0.69</v>
      </c>
      <c r="I62" s="4">
        <v>10.440000000000001</v>
      </c>
      <c r="J62" s="7" t="s">
        <v>525</v>
      </c>
    </row>
    <row r="63" spans="1:10">
      <c r="A63" s="7">
        <v>20100128</v>
      </c>
      <c r="B63" s="108" t="s">
        <v>498</v>
      </c>
      <c r="C63" s="108" t="str">
        <f t="shared" si="3"/>
        <v>20100128RLS</v>
      </c>
      <c r="D63" s="108" t="s">
        <v>527</v>
      </c>
      <c r="E63" s="108" t="str">
        <f t="shared" si="4"/>
        <v>20100128LGUM_226</v>
      </c>
      <c r="F63" s="4">
        <v>11.65</v>
      </c>
      <c r="G63" s="4">
        <v>0.52</v>
      </c>
      <c r="H63" s="4">
        <v>0.69</v>
      </c>
      <c r="I63" s="4">
        <v>10.440000000000001</v>
      </c>
      <c r="J63" s="7" t="s">
        <v>525</v>
      </c>
    </row>
    <row r="64" spans="1:10">
      <c r="A64" s="7">
        <v>20100128</v>
      </c>
      <c r="B64" s="108" t="s">
        <v>498</v>
      </c>
      <c r="C64" s="108" t="str">
        <f t="shared" si="3"/>
        <v>20100128RLS</v>
      </c>
      <c r="D64" s="108" t="s">
        <v>528</v>
      </c>
      <c r="E64" s="108" t="str">
        <f t="shared" si="4"/>
        <v>20100128LGUM_251</v>
      </c>
      <c r="F64" s="4">
        <v>1.0000000000000001E-9</v>
      </c>
      <c r="G64" s="4">
        <v>0</v>
      </c>
      <c r="H64" s="4">
        <v>0</v>
      </c>
      <c r="I64" s="4">
        <v>0</v>
      </c>
      <c r="J64" s="7" t="s">
        <v>529</v>
      </c>
    </row>
    <row r="65" spans="1:10">
      <c r="A65" s="7">
        <v>20100128</v>
      </c>
      <c r="B65" s="108" t="s">
        <v>498</v>
      </c>
      <c r="C65" s="108" t="str">
        <f t="shared" si="3"/>
        <v>20100128RLS</v>
      </c>
      <c r="D65" s="108" t="s">
        <v>178</v>
      </c>
      <c r="E65" s="108" t="str">
        <f t="shared" si="4"/>
        <v>20100128LGUM_052</v>
      </c>
      <c r="F65" s="4">
        <v>10.220000000000001</v>
      </c>
      <c r="G65" s="4">
        <v>0.41</v>
      </c>
      <c r="H65" s="4">
        <v>1.44</v>
      </c>
      <c r="I65" s="4">
        <v>8.370000000000001</v>
      </c>
      <c r="J65" s="7" t="s">
        <v>530</v>
      </c>
    </row>
    <row r="66" spans="1:10">
      <c r="A66" s="7">
        <v>20100128</v>
      </c>
      <c r="B66" s="108" t="s">
        <v>498</v>
      </c>
      <c r="C66" s="108" t="str">
        <f t="shared" si="3"/>
        <v>20100128RLS</v>
      </c>
      <c r="D66" s="108" t="s">
        <v>214</v>
      </c>
      <c r="E66" s="108" t="str">
        <f t="shared" si="4"/>
        <v>20100128LGUM_152</v>
      </c>
      <c r="F66" s="4">
        <v>10.220000000000001</v>
      </c>
      <c r="G66" s="4">
        <v>0.41</v>
      </c>
      <c r="H66" s="4">
        <v>1.44</v>
      </c>
      <c r="I66" s="4">
        <v>8.370000000000001</v>
      </c>
      <c r="J66" s="7" t="s">
        <v>530</v>
      </c>
    </row>
    <row r="67" spans="1:10">
      <c r="A67" s="7">
        <v>20100128</v>
      </c>
      <c r="B67" s="108" t="s">
        <v>498</v>
      </c>
      <c r="C67" s="108" t="str">
        <f t="shared" si="3"/>
        <v>20100128RLS</v>
      </c>
      <c r="D67" s="108" t="s">
        <v>252</v>
      </c>
      <c r="E67" s="108" t="str">
        <f t="shared" si="4"/>
        <v>20100128LGUM_252</v>
      </c>
      <c r="F67" s="4">
        <v>10.220000000000001</v>
      </c>
      <c r="G67" s="4">
        <v>0.41</v>
      </c>
      <c r="H67" s="4">
        <v>1.44</v>
      </c>
      <c r="I67" s="4">
        <v>8.370000000000001</v>
      </c>
      <c r="J67" s="7" t="s">
        <v>530</v>
      </c>
    </row>
    <row r="68" spans="1:10">
      <c r="A68" s="7">
        <v>20100128</v>
      </c>
      <c r="B68" s="108" t="s">
        <v>498</v>
      </c>
      <c r="C68" s="108" t="str">
        <f t="shared" si="3"/>
        <v>20100128RLS</v>
      </c>
      <c r="D68" s="108" t="s">
        <v>179</v>
      </c>
      <c r="E68" s="108" t="str">
        <f t="shared" si="4"/>
        <v>20100128LGUM_053</v>
      </c>
      <c r="F68" s="4">
        <v>11.65</v>
      </c>
      <c r="G68" s="4">
        <v>0.53</v>
      </c>
      <c r="H68" s="4">
        <v>2.04</v>
      </c>
      <c r="I68" s="4">
        <v>9.0800000000000018</v>
      </c>
      <c r="J68" s="7" t="s">
        <v>531</v>
      </c>
    </row>
    <row r="69" spans="1:10">
      <c r="A69" s="7">
        <v>20100128</v>
      </c>
      <c r="B69" s="108" t="s">
        <v>498</v>
      </c>
      <c r="C69" s="108" t="str">
        <f t="shared" si="3"/>
        <v>20100128RLS</v>
      </c>
      <c r="D69" s="108" t="s">
        <v>215</v>
      </c>
      <c r="E69" s="108" t="str">
        <f t="shared" si="4"/>
        <v>20100128LGUM_153</v>
      </c>
      <c r="F69" s="4">
        <v>11.65</v>
      </c>
      <c r="G69" s="4">
        <v>0.53</v>
      </c>
      <c r="H69" s="4">
        <v>2.04</v>
      </c>
      <c r="I69" s="4">
        <v>9.0800000000000018</v>
      </c>
      <c r="J69" s="7" t="s">
        <v>531</v>
      </c>
    </row>
    <row r="70" spans="1:10">
      <c r="A70" s="7">
        <v>20100128</v>
      </c>
      <c r="B70" s="108" t="s">
        <v>498</v>
      </c>
      <c r="C70" s="108" t="str">
        <f t="shared" si="3"/>
        <v>20100128RLS</v>
      </c>
      <c r="D70" s="108" t="s">
        <v>253</v>
      </c>
      <c r="E70" s="108" t="str">
        <f t="shared" si="4"/>
        <v>20100128LGUM_253</v>
      </c>
      <c r="F70" s="4">
        <v>11.65</v>
      </c>
      <c r="G70" s="4">
        <v>0.53</v>
      </c>
      <c r="H70" s="4">
        <v>2.04</v>
      </c>
      <c r="I70" s="4">
        <v>9.0800000000000018</v>
      </c>
      <c r="J70" s="7" t="s">
        <v>531</v>
      </c>
    </row>
    <row r="71" spans="1:10">
      <c r="A71" s="7">
        <v>20100128</v>
      </c>
      <c r="B71" s="108" t="s">
        <v>498</v>
      </c>
      <c r="C71" s="108" t="str">
        <f t="shared" si="3"/>
        <v>20100128RLS</v>
      </c>
      <c r="D71" s="108" t="s">
        <v>180</v>
      </c>
      <c r="E71" s="108" t="str">
        <f t="shared" si="4"/>
        <v>20100128LGUM_054</v>
      </c>
      <c r="F71" s="4">
        <v>14.15</v>
      </c>
      <c r="G71" s="4">
        <v>0.6</v>
      </c>
      <c r="H71" s="4">
        <v>3.17</v>
      </c>
      <c r="I71" s="4">
        <v>10.38</v>
      </c>
      <c r="J71" s="7" t="s">
        <v>532</v>
      </c>
    </row>
    <row r="72" spans="1:10">
      <c r="A72" s="7">
        <v>20100128</v>
      </c>
      <c r="B72" s="108" t="s">
        <v>498</v>
      </c>
      <c r="C72" s="108" t="str">
        <f t="shared" si="3"/>
        <v>20100128RLS</v>
      </c>
      <c r="D72" s="108" t="s">
        <v>216</v>
      </c>
      <c r="E72" s="108" t="str">
        <f t="shared" si="4"/>
        <v>20100128LGUM_154</v>
      </c>
      <c r="F72" s="4">
        <v>14.15</v>
      </c>
      <c r="G72" s="4">
        <v>0.6</v>
      </c>
      <c r="H72" s="4">
        <v>3.17</v>
      </c>
      <c r="I72" s="4">
        <v>10.38</v>
      </c>
      <c r="J72" s="7" t="s">
        <v>532</v>
      </c>
    </row>
    <row r="73" spans="1:10">
      <c r="A73" s="7">
        <v>20100128</v>
      </c>
      <c r="B73" s="108" t="s">
        <v>498</v>
      </c>
      <c r="C73" s="108" t="str">
        <f t="shared" si="3"/>
        <v>20100128RLS</v>
      </c>
      <c r="D73" s="108" t="s">
        <v>387</v>
      </c>
      <c r="E73" s="108" t="str">
        <f t="shared" si="4"/>
        <v>20100128LGUM_254</v>
      </c>
      <c r="F73" s="4">
        <v>14.15</v>
      </c>
      <c r="G73" s="4">
        <v>0.6</v>
      </c>
      <c r="H73" s="4">
        <v>3.17</v>
      </c>
      <c r="I73" s="4">
        <v>10.38</v>
      </c>
      <c r="J73" s="7" t="s">
        <v>532</v>
      </c>
    </row>
    <row r="74" spans="1:10">
      <c r="A74" s="7">
        <v>20100128</v>
      </c>
      <c r="B74" s="108" t="s">
        <v>498</v>
      </c>
      <c r="C74" s="108" t="str">
        <f t="shared" si="3"/>
        <v>20100128RLS</v>
      </c>
      <c r="D74" s="108" t="s">
        <v>181</v>
      </c>
      <c r="E74" s="108" t="str">
        <f t="shared" si="4"/>
        <v>20100128LGUM_055</v>
      </c>
      <c r="F74" s="4">
        <v>8.7100000000000009</v>
      </c>
      <c r="G74" s="4">
        <v>0.57999999999999996</v>
      </c>
      <c r="H74" s="4">
        <v>0.99</v>
      </c>
      <c r="I74" s="4">
        <v>7.1400000000000006</v>
      </c>
      <c r="J74" s="7" t="s">
        <v>533</v>
      </c>
    </row>
    <row r="75" spans="1:10">
      <c r="A75" s="7">
        <v>20100128</v>
      </c>
      <c r="B75" s="108" t="s">
        <v>498</v>
      </c>
      <c r="C75" s="108" t="str">
        <f t="shared" si="3"/>
        <v>20100128RLS</v>
      </c>
      <c r="D75" s="108" t="s">
        <v>217</v>
      </c>
      <c r="E75" s="108" t="str">
        <f t="shared" si="4"/>
        <v>20100128LGUM_155</v>
      </c>
      <c r="F75" s="4">
        <v>8.7100000000000009</v>
      </c>
      <c r="G75" s="4">
        <v>0.57999999999999996</v>
      </c>
      <c r="H75" s="4">
        <v>0.99</v>
      </c>
      <c r="I75" s="4">
        <v>7.1400000000000006</v>
      </c>
      <c r="J75" s="7" t="s">
        <v>533</v>
      </c>
    </row>
    <row r="76" spans="1:10">
      <c r="A76" s="7">
        <v>20100128</v>
      </c>
      <c r="B76" s="108" t="s">
        <v>498</v>
      </c>
      <c r="C76" s="108" t="str">
        <f t="shared" si="3"/>
        <v>20100128RLS</v>
      </c>
      <c r="D76" s="108" t="s">
        <v>254</v>
      </c>
      <c r="E76" s="108" t="str">
        <f t="shared" si="4"/>
        <v>20100128LGUM_255</v>
      </c>
      <c r="F76" s="4">
        <v>8.7100000000000009</v>
      </c>
      <c r="G76" s="4">
        <v>0.57999999999999996</v>
      </c>
      <c r="H76" s="4">
        <v>0.99</v>
      </c>
      <c r="I76" s="4">
        <v>7.1400000000000006</v>
      </c>
      <c r="J76" s="7" t="s">
        <v>533</v>
      </c>
    </row>
    <row r="77" spans="1:10">
      <c r="A77" s="7">
        <v>20100128</v>
      </c>
      <c r="B77" s="108" t="s">
        <v>498</v>
      </c>
      <c r="C77" s="108" t="str">
        <f t="shared" si="3"/>
        <v>20100128RLS</v>
      </c>
      <c r="D77" s="108" t="s">
        <v>534</v>
      </c>
      <c r="E77" s="108" t="str">
        <f t="shared" si="4"/>
        <v>20100128LGUM_056</v>
      </c>
      <c r="F77" s="4">
        <v>13.12</v>
      </c>
      <c r="G77" s="4">
        <v>0.57999999999999996</v>
      </c>
      <c r="H77" s="4">
        <v>0.86</v>
      </c>
      <c r="I77" s="4">
        <v>11.68</v>
      </c>
      <c r="J77" s="7" t="s">
        <v>535</v>
      </c>
    </row>
    <row r="78" spans="1:10">
      <c r="A78" s="7">
        <v>20100128</v>
      </c>
      <c r="B78" s="108" t="s">
        <v>498</v>
      </c>
      <c r="C78" s="108" t="str">
        <f t="shared" si="3"/>
        <v>20100128RLS</v>
      </c>
      <c r="D78" s="108" t="s">
        <v>536</v>
      </c>
      <c r="E78" s="108" t="str">
        <f t="shared" si="4"/>
        <v>20100128LGUM_156</v>
      </c>
      <c r="F78" s="4">
        <v>13.12</v>
      </c>
      <c r="G78" s="4">
        <v>0.57999999999999996</v>
      </c>
      <c r="H78" s="4">
        <v>0.86</v>
      </c>
      <c r="I78" s="4">
        <v>11.68</v>
      </c>
      <c r="J78" s="7" t="s">
        <v>535</v>
      </c>
    </row>
    <row r="79" spans="1:10">
      <c r="A79" s="7">
        <v>20100128</v>
      </c>
      <c r="B79" s="108" t="s">
        <v>498</v>
      </c>
      <c r="C79" s="108" t="str">
        <f t="shared" si="3"/>
        <v>20100128RLS</v>
      </c>
      <c r="D79" s="108" t="s">
        <v>537</v>
      </c>
      <c r="E79" s="108" t="str">
        <f t="shared" si="4"/>
        <v>20100128LGUM_256</v>
      </c>
      <c r="F79" s="4">
        <v>13.12</v>
      </c>
      <c r="G79" s="4">
        <v>0.57999999999999996</v>
      </c>
      <c r="H79" s="4">
        <v>0.86</v>
      </c>
      <c r="I79" s="4">
        <v>11.68</v>
      </c>
      <c r="J79" s="7" t="s">
        <v>535</v>
      </c>
    </row>
    <row r="80" spans="1:10">
      <c r="A80" s="7">
        <v>20100128</v>
      </c>
      <c r="B80" s="108" t="s">
        <v>498</v>
      </c>
      <c r="C80" s="108" t="str">
        <f t="shared" si="3"/>
        <v>20100128RLS</v>
      </c>
      <c r="D80" s="108" t="s">
        <v>182</v>
      </c>
      <c r="E80" s="108" t="str">
        <f t="shared" si="4"/>
        <v>20100128LGUM_057</v>
      </c>
      <c r="F80" s="4">
        <v>14.15</v>
      </c>
      <c r="G80" s="4">
        <v>0.6</v>
      </c>
      <c r="H80" s="4">
        <v>3.17</v>
      </c>
      <c r="I80" s="4">
        <v>10.38</v>
      </c>
      <c r="J80" s="7" t="s">
        <v>538</v>
      </c>
    </row>
    <row r="81" spans="1:10">
      <c r="A81" s="7">
        <v>20100128</v>
      </c>
      <c r="B81" s="108" t="s">
        <v>498</v>
      </c>
      <c r="C81" s="108" t="str">
        <f t="shared" si="3"/>
        <v>20100128RLS</v>
      </c>
      <c r="D81" s="108" t="s">
        <v>218</v>
      </c>
      <c r="E81" s="108" t="str">
        <f t="shared" si="4"/>
        <v>20100128LGUM_157</v>
      </c>
      <c r="F81" s="4">
        <v>14.15</v>
      </c>
      <c r="G81" s="4">
        <v>0.6</v>
      </c>
      <c r="H81" s="4">
        <v>3.17</v>
      </c>
      <c r="I81" s="4">
        <v>10.38</v>
      </c>
      <c r="J81" s="7" t="s">
        <v>538</v>
      </c>
    </row>
    <row r="82" spans="1:10">
      <c r="A82" s="7">
        <v>20100128</v>
      </c>
      <c r="B82" s="108" t="s">
        <v>498</v>
      </c>
      <c r="C82" s="108" t="str">
        <f t="shared" si="3"/>
        <v>20100128RLS</v>
      </c>
      <c r="D82" s="108" t="s">
        <v>388</v>
      </c>
      <c r="E82" s="108" t="str">
        <f t="shared" si="4"/>
        <v>20100128LGUM_257</v>
      </c>
      <c r="F82" s="4">
        <v>14.15</v>
      </c>
      <c r="G82" s="4">
        <v>0.6</v>
      </c>
      <c r="H82" s="4">
        <v>3.17</v>
      </c>
      <c r="I82" s="4">
        <v>10.38</v>
      </c>
      <c r="J82" s="7" t="s">
        <v>538</v>
      </c>
    </row>
    <row r="83" spans="1:10">
      <c r="A83" s="7">
        <v>20100128</v>
      </c>
      <c r="B83" s="108" t="s">
        <v>498</v>
      </c>
      <c r="C83" s="108" t="str">
        <f t="shared" si="3"/>
        <v>20100128RLS</v>
      </c>
      <c r="D83" s="108" t="s">
        <v>183</v>
      </c>
      <c r="E83" s="108" t="str">
        <f t="shared" si="4"/>
        <v>20100128LGUM_058</v>
      </c>
      <c r="F83" s="4">
        <v>14.88</v>
      </c>
      <c r="G83" s="4">
        <v>0.41</v>
      </c>
      <c r="H83" s="4">
        <v>1.44</v>
      </c>
      <c r="I83" s="4">
        <v>13.030000000000001</v>
      </c>
      <c r="J83" s="7" t="s">
        <v>539</v>
      </c>
    </row>
    <row r="84" spans="1:10">
      <c r="A84" s="7">
        <v>20100128</v>
      </c>
      <c r="B84" s="108" t="s">
        <v>498</v>
      </c>
      <c r="C84" s="108" t="str">
        <f t="shared" si="3"/>
        <v>20100128RLS</v>
      </c>
      <c r="D84" s="108" t="s">
        <v>219</v>
      </c>
      <c r="E84" s="108" t="str">
        <f t="shared" si="4"/>
        <v>20100128LGUM_158</v>
      </c>
      <c r="F84" s="4">
        <v>14.88</v>
      </c>
      <c r="G84" s="4">
        <v>0.41</v>
      </c>
      <c r="H84" s="4">
        <v>1.44</v>
      </c>
      <c r="I84" s="4">
        <v>13.030000000000001</v>
      </c>
      <c r="J84" s="7" t="s">
        <v>539</v>
      </c>
    </row>
    <row r="85" spans="1:10">
      <c r="A85" s="7">
        <v>20100128</v>
      </c>
      <c r="B85" s="108" t="s">
        <v>498</v>
      </c>
      <c r="C85" s="108" t="str">
        <f t="shared" si="3"/>
        <v>20100128RLS</v>
      </c>
      <c r="D85" s="108" t="s">
        <v>256</v>
      </c>
      <c r="E85" s="108" t="str">
        <f t="shared" si="4"/>
        <v>20100128LGUM_258</v>
      </c>
      <c r="F85" s="4">
        <v>14.88</v>
      </c>
      <c r="G85" s="4">
        <v>0.41</v>
      </c>
      <c r="H85" s="4">
        <v>1.44</v>
      </c>
      <c r="I85" s="4">
        <v>13.030000000000001</v>
      </c>
      <c r="J85" s="7" t="s">
        <v>539</v>
      </c>
    </row>
    <row r="86" spans="1:10">
      <c r="A86" s="7">
        <v>20100128</v>
      </c>
      <c r="B86" s="108" t="s">
        <v>498</v>
      </c>
      <c r="C86" s="108" t="str">
        <f t="shared" si="3"/>
        <v>20100128RLS</v>
      </c>
      <c r="D86" s="108" t="s">
        <v>400</v>
      </c>
      <c r="E86" s="108" t="str">
        <f t="shared" si="4"/>
        <v>20100128LGUM_059</v>
      </c>
      <c r="F86" s="4">
        <v>26.08</v>
      </c>
      <c r="G86" s="4">
        <v>1.0900000000000001</v>
      </c>
      <c r="H86" s="4">
        <v>7.58</v>
      </c>
      <c r="I86" s="4">
        <v>17.409999999999997</v>
      </c>
      <c r="J86" s="7" t="s">
        <v>540</v>
      </c>
    </row>
    <row r="87" spans="1:10">
      <c r="A87" s="7">
        <v>20100128</v>
      </c>
      <c r="B87" s="108" t="s">
        <v>498</v>
      </c>
      <c r="C87" s="108" t="str">
        <f t="shared" si="3"/>
        <v>20100128RLS</v>
      </c>
      <c r="D87" s="108" t="s">
        <v>220</v>
      </c>
      <c r="E87" s="108" t="str">
        <f t="shared" si="4"/>
        <v>20100128LGUM_159</v>
      </c>
      <c r="F87" s="4">
        <v>26.08</v>
      </c>
      <c r="G87" s="4">
        <v>1.0900000000000001</v>
      </c>
      <c r="H87" s="4">
        <v>7.58</v>
      </c>
      <c r="I87" s="4">
        <v>17.409999999999997</v>
      </c>
      <c r="J87" s="7" t="s">
        <v>540</v>
      </c>
    </row>
    <row r="88" spans="1:10">
      <c r="A88" s="7">
        <v>20100128</v>
      </c>
      <c r="B88" s="108" t="s">
        <v>498</v>
      </c>
      <c r="C88" s="108" t="str">
        <f t="shared" si="3"/>
        <v>20100128RLS</v>
      </c>
      <c r="D88" s="108" t="s">
        <v>257</v>
      </c>
      <c r="E88" s="108" t="str">
        <f t="shared" si="4"/>
        <v>20100128LGUM_259</v>
      </c>
      <c r="F88" s="4">
        <v>26.08</v>
      </c>
      <c r="G88" s="4">
        <v>1.0900000000000001</v>
      </c>
      <c r="H88" s="4">
        <v>7.58</v>
      </c>
      <c r="I88" s="4">
        <v>17.409999999999997</v>
      </c>
      <c r="J88" s="7" t="s">
        <v>540</v>
      </c>
    </row>
    <row r="89" spans="1:10">
      <c r="A89" s="7">
        <v>20100128</v>
      </c>
      <c r="B89" s="108" t="s">
        <v>498</v>
      </c>
      <c r="C89" s="108" t="str">
        <f t="shared" si="3"/>
        <v>20100128RLS</v>
      </c>
      <c r="D89" s="108" t="s">
        <v>541</v>
      </c>
      <c r="E89" s="108" t="str">
        <f t="shared" si="4"/>
        <v>20100128LGUM_060</v>
      </c>
      <c r="F89" s="4">
        <v>26.21</v>
      </c>
      <c r="G89" s="4">
        <v>1.0900000000000001</v>
      </c>
      <c r="H89" s="4">
        <v>7.58</v>
      </c>
      <c r="I89" s="4">
        <v>17.54</v>
      </c>
      <c r="J89" s="7" t="s">
        <v>542</v>
      </c>
    </row>
    <row r="90" spans="1:10">
      <c r="A90" s="7">
        <v>20100128</v>
      </c>
      <c r="B90" s="108" t="s">
        <v>498</v>
      </c>
      <c r="C90" s="108" t="str">
        <f t="shared" si="3"/>
        <v>20100128RLS</v>
      </c>
      <c r="D90" s="108" t="s">
        <v>221</v>
      </c>
      <c r="E90" s="108" t="str">
        <f t="shared" si="4"/>
        <v>20100128LGUM_160</v>
      </c>
      <c r="F90" s="4">
        <v>26.21</v>
      </c>
      <c r="G90" s="4">
        <v>1.0900000000000001</v>
      </c>
      <c r="H90" s="4">
        <v>7.58</v>
      </c>
      <c r="I90" s="4">
        <v>17.54</v>
      </c>
      <c r="J90" s="7" t="s">
        <v>542</v>
      </c>
    </row>
    <row r="91" spans="1:10">
      <c r="A91" s="7">
        <v>20100128</v>
      </c>
      <c r="B91" s="108" t="s">
        <v>498</v>
      </c>
      <c r="C91" s="108" t="str">
        <f t="shared" si="3"/>
        <v>20100128RLS</v>
      </c>
      <c r="D91" s="108" t="s">
        <v>390</v>
      </c>
      <c r="E91" s="108" t="str">
        <f t="shared" si="4"/>
        <v>20100128LGUM_260</v>
      </c>
      <c r="F91" s="4">
        <v>26.21</v>
      </c>
      <c r="G91" s="4">
        <v>1.0900000000000001</v>
      </c>
      <c r="H91" s="4">
        <v>7.58</v>
      </c>
      <c r="I91" s="4">
        <v>17.54</v>
      </c>
      <c r="J91" s="7" t="s">
        <v>542</v>
      </c>
    </row>
    <row r="92" spans="1:10">
      <c r="A92" s="7">
        <v>20100128</v>
      </c>
      <c r="B92" s="108" t="s">
        <v>498</v>
      </c>
      <c r="C92" s="108" t="str">
        <f t="shared" si="3"/>
        <v>20100128RLS</v>
      </c>
      <c r="D92" s="108" t="s">
        <v>184</v>
      </c>
      <c r="E92" s="108" t="str">
        <f t="shared" si="4"/>
        <v>20100128LGUM_061</v>
      </c>
      <c r="F92" s="4">
        <v>13</v>
      </c>
      <c r="G92" s="4">
        <v>0.53</v>
      </c>
      <c r="H92" s="4">
        <v>2.14</v>
      </c>
      <c r="I92" s="4">
        <v>10.33</v>
      </c>
      <c r="J92" s="7" t="s">
        <v>543</v>
      </c>
    </row>
    <row r="93" spans="1:10">
      <c r="A93" s="7">
        <v>20100128</v>
      </c>
      <c r="B93" s="108" t="s">
        <v>498</v>
      </c>
      <c r="C93" s="108" t="str">
        <f t="shared" si="3"/>
        <v>20100128RLS</v>
      </c>
      <c r="D93" s="108" t="s">
        <v>222</v>
      </c>
      <c r="E93" s="108" t="str">
        <f t="shared" si="4"/>
        <v>20100128LGUM_161</v>
      </c>
      <c r="F93" s="4">
        <v>13</v>
      </c>
      <c r="G93" s="4">
        <v>0.53</v>
      </c>
      <c r="H93" s="4">
        <v>2.14</v>
      </c>
      <c r="I93" s="4">
        <v>10.33</v>
      </c>
      <c r="J93" s="7" t="s">
        <v>543</v>
      </c>
    </row>
    <row r="94" spans="1:10">
      <c r="A94" s="7">
        <v>20100128</v>
      </c>
      <c r="B94" s="108" t="s">
        <v>498</v>
      </c>
      <c r="C94" s="108" t="str">
        <f t="shared" ref="C94:C157" si="5">A94&amp;B94</f>
        <v>20100128RLS</v>
      </c>
      <c r="D94" s="108" t="s">
        <v>258</v>
      </c>
      <c r="E94" s="108" t="str">
        <f t="shared" ref="E94:E157" si="6">A94&amp;D94</f>
        <v>20100128LGUM_261</v>
      </c>
      <c r="F94" s="4">
        <v>13</v>
      </c>
      <c r="G94" s="4">
        <v>0.53</v>
      </c>
      <c r="H94" s="4">
        <v>2.14</v>
      </c>
      <c r="I94" s="4">
        <v>10.33</v>
      </c>
      <c r="J94" s="7" t="s">
        <v>543</v>
      </c>
    </row>
    <row r="95" spans="1:10">
      <c r="A95" s="7">
        <v>20100128</v>
      </c>
      <c r="B95" s="108" t="s">
        <v>498</v>
      </c>
      <c r="C95" s="108" t="str">
        <f t="shared" si="5"/>
        <v>20100128RLS</v>
      </c>
      <c r="D95" s="108" t="s">
        <v>185</v>
      </c>
      <c r="E95" s="108" t="str">
        <f t="shared" si="6"/>
        <v>20100128LGUM_062</v>
      </c>
      <c r="F95" s="4">
        <v>14.13</v>
      </c>
      <c r="G95" s="4">
        <v>0.6</v>
      </c>
      <c r="H95" s="4">
        <v>3.4</v>
      </c>
      <c r="I95" s="4">
        <v>10.130000000000001</v>
      </c>
      <c r="J95" s="7" t="s">
        <v>544</v>
      </c>
    </row>
    <row r="96" spans="1:10">
      <c r="A96" s="7">
        <v>20100128</v>
      </c>
      <c r="B96" s="108" t="s">
        <v>498</v>
      </c>
      <c r="C96" s="108" t="str">
        <f t="shared" si="5"/>
        <v>20100128RLS</v>
      </c>
      <c r="D96" s="108" t="s">
        <v>223</v>
      </c>
      <c r="E96" s="108" t="str">
        <f t="shared" si="6"/>
        <v>20100128LGUM_162</v>
      </c>
      <c r="F96" s="4">
        <v>14.13</v>
      </c>
      <c r="G96" s="4">
        <v>0.6</v>
      </c>
      <c r="H96" s="4">
        <v>3.4</v>
      </c>
      <c r="I96" s="4">
        <v>10.130000000000001</v>
      </c>
      <c r="J96" s="7" t="s">
        <v>544</v>
      </c>
    </row>
    <row r="97" spans="1:10">
      <c r="A97" s="7">
        <v>20100128</v>
      </c>
      <c r="B97" s="108" t="s">
        <v>498</v>
      </c>
      <c r="C97" s="108" t="str">
        <f t="shared" si="5"/>
        <v>20100128RLS</v>
      </c>
      <c r="D97" s="108" t="s">
        <v>259</v>
      </c>
      <c r="E97" s="108" t="str">
        <f t="shared" si="6"/>
        <v>20100128LGUM_262</v>
      </c>
      <c r="F97" s="4">
        <v>14.13</v>
      </c>
      <c r="G97" s="4">
        <v>0.6</v>
      </c>
      <c r="H97" s="4">
        <v>3.4</v>
      </c>
      <c r="I97" s="4">
        <v>10.130000000000001</v>
      </c>
      <c r="J97" s="7" t="s">
        <v>544</v>
      </c>
    </row>
    <row r="98" spans="1:10">
      <c r="A98" s="7">
        <v>20100128</v>
      </c>
      <c r="B98" s="108" t="s">
        <v>498</v>
      </c>
      <c r="C98" s="108" t="str">
        <f t="shared" si="5"/>
        <v>20100128RLS</v>
      </c>
      <c r="D98" s="108" t="s">
        <v>186</v>
      </c>
      <c r="E98" s="108" t="str">
        <f t="shared" si="6"/>
        <v>20100128LGUM_063</v>
      </c>
      <c r="F98" s="4">
        <v>14.13</v>
      </c>
      <c r="G98" s="4">
        <v>0.6</v>
      </c>
      <c r="H98" s="4">
        <v>3.4</v>
      </c>
      <c r="I98" s="4">
        <v>10.130000000000001</v>
      </c>
      <c r="J98" s="7" t="s">
        <v>545</v>
      </c>
    </row>
    <row r="99" spans="1:10">
      <c r="A99" s="7">
        <v>20100128</v>
      </c>
      <c r="B99" s="108" t="s">
        <v>498</v>
      </c>
      <c r="C99" s="108" t="str">
        <f t="shared" si="5"/>
        <v>20100128RLS</v>
      </c>
      <c r="D99" s="108" t="s">
        <v>224</v>
      </c>
      <c r="E99" s="108" t="str">
        <f t="shared" si="6"/>
        <v>20100128LGUM_163</v>
      </c>
      <c r="F99" s="4">
        <v>14.13</v>
      </c>
      <c r="G99" s="4">
        <v>0.6</v>
      </c>
      <c r="H99" s="4">
        <v>3.4</v>
      </c>
      <c r="I99" s="4">
        <v>10.130000000000001</v>
      </c>
      <c r="J99" s="7" t="s">
        <v>545</v>
      </c>
    </row>
    <row r="100" spans="1:10">
      <c r="A100" s="7">
        <v>20100128</v>
      </c>
      <c r="B100" s="108" t="s">
        <v>498</v>
      </c>
      <c r="C100" s="108" t="str">
        <f t="shared" si="5"/>
        <v>20100128RLS</v>
      </c>
      <c r="D100" s="108" t="s">
        <v>261</v>
      </c>
      <c r="E100" s="108" t="str">
        <f t="shared" si="6"/>
        <v>20100128LGUM_263</v>
      </c>
      <c r="F100" s="4">
        <v>14.13</v>
      </c>
      <c r="G100" s="4">
        <v>0.6</v>
      </c>
      <c r="H100" s="4">
        <v>3.4</v>
      </c>
      <c r="I100" s="4">
        <v>10.130000000000001</v>
      </c>
      <c r="J100" s="7" t="s">
        <v>545</v>
      </c>
    </row>
    <row r="101" spans="1:10">
      <c r="A101" s="7">
        <v>20100128</v>
      </c>
      <c r="B101" s="108" t="s">
        <v>498</v>
      </c>
      <c r="C101" s="108" t="str">
        <f t="shared" si="5"/>
        <v>20100128RLS</v>
      </c>
      <c r="D101" s="108" t="s">
        <v>187</v>
      </c>
      <c r="E101" s="108" t="str">
        <f t="shared" si="6"/>
        <v>20100128LGUM_066</v>
      </c>
      <c r="F101" s="4">
        <v>23.72</v>
      </c>
      <c r="G101" s="4">
        <v>0.53</v>
      </c>
      <c r="H101" s="4">
        <v>2.14</v>
      </c>
      <c r="I101" s="4">
        <v>21.049999999999997</v>
      </c>
      <c r="J101" s="7" t="s">
        <v>546</v>
      </c>
    </row>
    <row r="102" spans="1:10">
      <c r="A102" s="7">
        <v>20100128</v>
      </c>
      <c r="B102" s="108" t="s">
        <v>498</v>
      </c>
      <c r="C102" s="108" t="str">
        <f t="shared" si="5"/>
        <v>20100128RLS</v>
      </c>
      <c r="D102" s="108" t="s">
        <v>225</v>
      </c>
      <c r="E102" s="108" t="str">
        <f t="shared" si="6"/>
        <v>20100128LGUM_166</v>
      </c>
      <c r="F102" s="4">
        <v>23.72</v>
      </c>
      <c r="G102" s="4">
        <v>0.53</v>
      </c>
      <c r="H102" s="4">
        <v>2.14</v>
      </c>
      <c r="I102" s="4">
        <v>21.049999999999997</v>
      </c>
      <c r="J102" s="7" t="s">
        <v>546</v>
      </c>
    </row>
    <row r="103" spans="1:10">
      <c r="A103" s="7">
        <v>20100128</v>
      </c>
      <c r="B103" s="108" t="s">
        <v>498</v>
      </c>
      <c r="C103" s="108" t="str">
        <f t="shared" si="5"/>
        <v>20100128RLS</v>
      </c>
      <c r="D103" s="108" t="s">
        <v>263</v>
      </c>
      <c r="E103" s="108" t="str">
        <f t="shared" si="6"/>
        <v>20100128LGUM_266</v>
      </c>
      <c r="F103" s="4">
        <v>23.72</v>
      </c>
      <c r="G103" s="4">
        <v>0.53</v>
      </c>
      <c r="H103" s="4">
        <v>2.14</v>
      </c>
      <c r="I103" s="4">
        <v>21.049999999999997</v>
      </c>
      <c r="J103" s="7" t="s">
        <v>546</v>
      </c>
    </row>
    <row r="104" spans="1:10">
      <c r="A104" s="7">
        <v>20100128</v>
      </c>
      <c r="B104" s="108" t="s">
        <v>498</v>
      </c>
      <c r="C104" s="108" t="str">
        <f t="shared" si="5"/>
        <v>20100128RLS</v>
      </c>
      <c r="D104" s="108" t="s">
        <v>188</v>
      </c>
      <c r="E104" s="108" t="str">
        <f t="shared" si="6"/>
        <v>20100128LGUM_067</v>
      </c>
      <c r="F104" s="4">
        <v>26.44</v>
      </c>
      <c r="G104" s="4">
        <v>0.6</v>
      </c>
      <c r="H104" s="4">
        <v>2.94</v>
      </c>
      <c r="I104" s="4">
        <v>22.9</v>
      </c>
      <c r="J104" s="7" t="s">
        <v>547</v>
      </c>
    </row>
    <row r="105" spans="1:10">
      <c r="A105" s="7">
        <v>20100128</v>
      </c>
      <c r="B105" s="108" t="s">
        <v>498</v>
      </c>
      <c r="C105" s="108" t="str">
        <f t="shared" si="5"/>
        <v>20100128RLS</v>
      </c>
      <c r="D105" s="108" t="s">
        <v>226</v>
      </c>
      <c r="E105" s="108" t="str">
        <f t="shared" si="6"/>
        <v>20100128LGUM_167</v>
      </c>
      <c r="F105" s="4">
        <v>26.44</v>
      </c>
      <c r="G105" s="4">
        <v>0.6</v>
      </c>
      <c r="H105" s="4">
        <v>2.94</v>
      </c>
      <c r="I105" s="4">
        <v>22.9</v>
      </c>
      <c r="J105" s="7" t="s">
        <v>547</v>
      </c>
    </row>
    <row r="106" spans="1:10">
      <c r="A106" s="7">
        <v>20100128</v>
      </c>
      <c r="B106" s="108" t="s">
        <v>498</v>
      </c>
      <c r="C106" s="108" t="str">
        <f t="shared" si="5"/>
        <v>20100128RLS</v>
      </c>
      <c r="D106" s="108" t="s">
        <v>264</v>
      </c>
      <c r="E106" s="108" t="str">
        <f t="shared" si="6"/>
        <v>20100128LGUM_267</v>
      </c>
      <c r="F106" s="4">
        <v>26.44</v>
      </c>
      <c r="G106" s="4">
        <v>0.6</v>
      </c>
      <c r="H106" s="4">
        <v>2.94</v>
      </c>
      <c r="I106" s="4">
        <v>22.9</v>
      </c>
      <c r="J106" s="7" t="s">
        <v>547</v>
      </c>
    </row>
    <row r="107" spans="1:10">
      <c r="A107" s="7">
        <v>20100128</v>
      </c>
      <c r="B107" s="108" t="s">
        <v>498</v>
      </c>
      <c r="C107" s="108" t="str">
        <f t="shared" si="5"/>
        <v>20100128RLS</v>
      </c>
      <c r="D107" s="108" t="s">
        <v>189</v>
      </c>
      <c r="E107" s="108" t="str">
        <f t="shared" si="6"/>
        <v>20100128LGUM_072</v>
      </c>
      <c r="F107" s="4">
        <v>11.02</v>
      </c>
      <c r="G107" s="4">
        <v>0.55000000000000004</v>
      </c>
      <c r="H107" s="4">
        <v>1.44</v>
      </c>
      <c r="I107" s="4">
        <v>9.0299999999999994</v>
      </c>
      <c r="J107" s="7" t="s">
        <v>548</v>
      </c>
    </row>
    <row r="108" spans="1:10">
      <c r="A108" s="7">
        <v>20100128</v>
      </c>
      <c r="B108" s="108" t="s">
        <v>498</v>
      </c>
      <c r="C108" s="108" t="str">
        <f t="shared" si="5"/>
        <v>20100128RLS</v>
      </c>
      <c r="D108" s="108" t="s">
        <v>227</v>
      </c>
      <c r="E108" s="108" t="str">
        <f t="shared" si="6"/>
        <v>20100128LGUM_172</v>
      </c>
      <c r="F108" s="4">
        <v>11.02</v>
      </c>
      <c r="G108" s="4">
        <v>0.55000000000000004</v>
      </c>
      <c r="H108" s="4">
        <v>1.44</v>
      </c>
      <c r="I108" s="4">
        <v>9.0299999999999994</v>
      </c>
      <c r="J108" s="7" t="s">
        <v>548</v>
      </c>
    </row>
    <row r="109" spans="1:10">
      <c r="A109" s="7">
        <v>20100128</v>
      </c>
      <c r="B109" s="108" t="s">
        <v>498</v>
      </c>
      <c r="C109" s="108" t="str">
        <f t="shared" si="5"/>
        <v>20100128RLS</v>
      </c>
      <c r="D109" s="108" t="s">
        <v>265</v>
      </c>
      <c r="E109" s="108" t="str">
        <f t="shared" si="6"/>
        <v>20100128LGUM_272</v>
      </c>
      <c r="F109" s="4">
        <v>11.02</v>
      </c>
      <c r="G109" s="4">
        <v>0.55000000000000004</v>
      </c>
      <c r="H109" s="4">
        <v>1.44</v>
      </c>
      <c r="I109" s="4">
        <v>9.0299999999999994</v>
      </c>
      <c r="J109" s="7" t="s">
        <v>548</v>
      </c>
    </row>
    <row r="110" spans="1:10">
      <c r="A110" s="7">
        <v>20100128</v>
      </c>
      <c r="B110" s="108" t="s">
        <v>498</v>
      </c>
      <c r="C110" s="108" t="str">
        <f t="shared" si="5"/>
        <v>20100128RLS</v>
      </c>
      <c r="D110" s="108" t="s">
        <v>190</v>
      </c>
      <c r="E110" s="108" t="str">
        <f t="shared" si="6"/>
        <v>20100128LGUM_073</v>
      </c>
      <c r="F110" s="4">
        <v>11.02</v>
      </c>
      <c r="G110" s="4">
        <v>0.55000000000000004</v>
      </c>
      <c r="H110" s="4">
        <v>1.44</v>
      </c>
      <c r="I110" s="4">
        <v>9.0299999999999994</v>
      </c>
      <c r="J110" s="7" t="s">
        <v>549</v>
      </c>
    </row>
    <row r="111" spans="1:10">
      <c r="A111" s="7">
        <v>20100128</v>
      </c>
      <c r="B111" s="108" t="s">
        <v>498</v>
      </c>
      <c r="C111" s="108" t="str">
        <f t="shared" si="5"/>
        <v>20100128RLS</v>
      </c>
      <c r="D111" s="108" t="s">
        <v>228</v>
      </c>
      <c r="E111" s="108" t="str">
        <f t="shared" si="6"/>
        <v>20100128LGUM_173</v>
      </c>
      <c r="F111" s="4">
        <v>11.02</v>
      </c>
      <c r="G111" s="4">
        <v>0.55000000000000004</v>
      </c>
      <c r="H111" s="4">
        <v>1.44</v>
      </c>
      <c r="I111" s="4">
        <v>9.0299999999999994</v>
      </c>
      <c r="J111" s="7" t="s">
        <v>549</v>
      </c>
    </row>
    <row r="112" spans="1:10">
      <c r="A112" s="7">
        <v>20100128</v>
      </c>
      <c r="B112" s="108" t="s">
        <v>498</v>
      </c>
      <c r="C112" s="108" t="str">
        <f t="shared" si="5"/>
        <v>20100128RLS</v>
      </c>
      <c r="D112" s="108" t="s">
        <v>391</v>
      </c>
      <c r="E112" s="108" t="str">
        <f t="shared" si="6"/>
        <v>20100128LGUM_273</v>
      </c>
      <c r="F112" s="4">
        <v>11.02</v>
      </c>
      <c r="G112" s="4">
        <v>0.55000000000000004</v>
      </c>
      <c r="H112" s="4">
        <v>1.44</v>
      </c>
      <c r="I112" s="4">
        <v>9.0299999999999994</v>
      </c>
      <c r="J112" s="7" t="s">
        <v>549</v>
      </c>
    </row>
    <row r="113" spans="1:10">
      <c r="A113" s="7">
        <v>20100128</v>
      </c>
      <c r="B113" s="108" t="s">
        <v>498</v>
      </c>
      <c r="C113" s="108" t="str">
        <f t="shared" si="5"/>
        <v>20100128RLS</v>
      </c>
      <c r="D113" s="108" t="s">
        <v>191</v>
      </c>
      <c r="E113" s="108" t="str">
        <f t="shared" si="6"/>
        <v>20100128LGUM_074</v>
      </c>
      <c r="F113" s="4">
        <v>15.47</v>
      </c>
      <c r="G113" s="4">
        <v>0.57999999999999996</v>
      </c>
      <c r="H113" s="4">
        <v>0.99</v>
      </c>
      <c r="I113" s="4">
        <v>13.9</v>
      </c>
      <c r="J113" s="7" t="s">
        <v>550</v>
      </c>
    </row>
    <row r="114" spans="1:10">
      <c r="A114" s="7">
        <v>20100128</v>
      </c>
      <c r="B114" s="108" t="s">
        <v>498</v>
      </c>
      <c r="C114" s="108" t="str">
        <f t="shared" si="5"/>
        <v>20100128RLS</v>
      </c>
      <c r="D114" s="108" t="s">
        <v>229</v>
      </c>
      <c r="E114" s="108" t="str">
        <f t="shared" si="6"/>
        <v>20100128LGUM_174</v>
      </c>
      <c r="F114" s="4">
        <v>15.47</v>
      </c>
      <c r="G114" s="4">
        <v>0.57999999999999996</v>
      </c>
      <c r="H114" s="4">
        <v>0.99</v>
      </c>
      <c r="I114" s="4">
        <v>13.9</v>
      </c>
      <c r="J114" s="7" t="s">
        <v>550</v>
      </c>
    </row>
    <row r="115" spans="1:10">
      <c r="A115" s="7">
        <v>20100128</v>
      </c>
      <c r="B115" s="108" t="s">
        <v>498</v>
      </c>
      <c r="C115" s="108" t="str">
        <f t="shared" si="5"/>
        <v>20100128RLS</v>
      </c>
      <c r="D115" s="108" t="s">
        <v>267</v>
      </c>
      <c r="E115" s="108" t="str">
        <f t="shared" si="6"/>
        <v>20100128LGUM_274</v>
      </c>
      <c r="F115" s="4">
        <v>15.47</v>
      </c>
      <c r="G115" s="4">
        <v>0.57999999999999996</v>
      </c>
      <c r="H115" s="4">
        <v>0.99</v>
      </c>
      <c r="I115" s="4">
        <v>13.9</v>
      </c>
      <c r="J115" s="7" t="s">
        <v>550</v>
      </c>
    </row>
    <row r="116" spans="1:10">
      <c r="A116" s="7">
        <v>20100128</v>
      </c>
      <c r="B116" s="108" t="s">
        <v>498</v>
      </c>
      <c r="C116" s="108" t="str">
        <f t="shared" si="5"/>
        <v>20100128RLS</v>
      </c>
      <c r="D116" s="108" t="s">
        <v>192</v>
      </c>
      <c r="E116" s="108" t="str">
        <f t="shared" si="6"/>
        <v>20100128LGUM_075</v>
      </c>
      <c r="F116" s="4">
        <v>20.63</v>
      </c>
      <c r="G116" s="4">
        <v>0.55000000000000004</v>
      </c>
      <c r="H116" s="4">
        <v>1.38</v>
      </c>
      <c r="I116" s="4">
        <v>18.7</v>
      </c>
      <c r="J116" s="7" t="s">
        <v>548</v>
      </c>
    </row>
    <row r="117" spans="1:10">
      <c r="A117" s="7">
        <v>20100128</v>
      </c>
      <c r="B117" s="108" t="s">
        <v>498</v>
      </c>
      <c r="C117" s="108" t="str">
        <f t="shared" si="5"/>
        <v>20100128RLS</v>
      </c>
      <c r="D117" s="108" t="s">
        <v>230</v>
      </c>
      <c r="E117" s="108" t="str">
        <f t="shared" si="6"/>
        <v>20100128LGUM_175</v>
      </c>
      <c r="F117" s="4">
        <v>20.63</v>
      </c>
      <c r="G117" s="4">
        <v>0.55000000000000004</v>
      </c>
      <c r="H117" s="4">
        <v>1.38</v>
      </c>
      <c r="I117" s="4">
        <v>18.7</v>
      </c>
      <c r="J117" s="7" t="s">
        <v>548</v>
      </c>
    </row>
    <row r="118" spans="1:10">
      <c r="A118" s="7">
        <v>20100128</v>
      </c>
      <c r="B118" s="108" t="s">
        <v>498</v>
      </c>
      <c r="C118" s="108" t="str">
        <f t="shared" si="5"/>
        <v>20100128RLS</v>
      </c>
      <c r="D118" s="108" t="s">
        <v>392</v>
      </c>
      <c r="E118" s="108" t="str">
        <f t="shared" si="6"/>
        <v>20100128LGUM_275</v>
      </c>
      <c r="F118" s="4">
        <v>20.63</v>
      </c>
      <c r="G118" s="4">
        <v>0.55000000000000004</v>
      </c>
      <c r="H118" s="4">
        <v>1.38</v>
      </c>
      <c r="I118" s="4">
        <v>18.7</v>
      </c>
      <c r="J118" s="7" t="s">
        <v>548</v>
      </c>
    </row>
    <row r="119" spans="1:10">
      <c r="A119" s="7">
        <v>20100128</v>
      </c>
      <c r="B119" s="108" t="s">
        <v>498</v>
      </c>
      <c r="C119" s="108" t="str">
        <f t="shared" si="5"/>
        <v>20100128RLS</v>
      </c>
      <c r="D119" s="108" t="s">
        <v>193</v>
      </c>
      <c r="E119" s="108" t="str">
        <f t="shared" si="6"/>
        <v>20100128LGUM_076</v>
      </c>
      <c r="F119" s="4">
        <v>11.65</v>
      </c>
      <c r="G119" s="4">
        <v>0.52</v>
      </c>
      <c r="H119" s="4">
        <v>0.69</v>
      </c>
      <c r="I119" s="4">
        <v>10.440000000000001</v>
      </c>
      <c r="J119" s="7" t="s">
        <v>551</v>
      </c>
    </row>
    <row r="120" spans="1:10">
      <c r="A120" s="7">
        <v>20100128</v>
      </c>
      <c r="B120" s="108" t="s">
        <v>498</v>
      </c>
      <c r="C120" s="108" t="str">
        <f t="shared" si="5"/>
        <v>20100128RLS</v>
      </c>
      <c r="D120" s="108" t="s">
        <v>231</v>
      </c>
      <c r="E120" s="108" t="str">
        <f t="shared" si="6"/>
        <v>20100128LGUM_176</v>
      </c>
      <c r="F120" s="4">
        <v>11.65</v>
      </c>
      <c r="G120" s="4">
        <v>0.52</v>
      </c>
      <c r="H120" s="4">
        <v>0.69</v>
      </c>
      <c r="I120" s="4">
        <v>10.440000000000001</v>
      </c>
      <c r="J120" s="7" t="s">
        <v>551</v>
      </c>
    </row>
    <row r="121" spans="1:10">
      <c r="A121" s="7">
        <v>20100128</v>
      </c>
      <c r="B121" s="108" t="s">
        <v>498</v>
      </c>
      <c r="C121" s="108" t="str">
        <f t="shared" si="5"/>
        <v>20100128RLS</v>
      </c>
      <c r="D121" s="108" t="s">
        <v>268</v>
      </c>
      <c r="E121" s="108" t="str">
        <f t="shared" si="6"/>
        <v>20100128LGUM_276</v>
      </c>
      <c r="F121" s="4">
        <v>11.65</v>
      </c>
      <c r="G121" s="4">
        <v>0.52</v>
      </c>
      <c r="H121" s="4">
        <v>0.69</v>
      </c>
      <c r="I121" s="4">
        <v>10.440000000000001</v>
      </c>
      <c r="J121" s="7" t="s">
        <v>551</v>
      </c>
    </row>
    <row r="122" spans="1:10">
      <c r="A122" s="7">
        <v>20100128</v>
      </c>
      <c r="B122" s="108" t="s">
        <v>498</v>
      </c>
      <c r="C122" s="108" t="str">
        <f t="shared" si="5"/>
        <v>20100128RLS</v>
      </c>
      <c r="D122" s="108" t="s">
        <v>194</v>
      </c>
      <c r="E122" s="108" t="str">
        <f t="shared" si="6"/>
        <v>20100128LGUM_077</v>
      </c>
      <c r="F122" s="4">
        <v>18.48</v>
      </c>
      <c r="G122" s="4">
        <v>0.55000000000000004</v>
      </c>
      <c r="H122" s="4">
        <v>1.38</v>
      </c>
      <c r="I122" s="4">
        <v>16.55</v>
      </c>
      <c r="J122" s="7" t="s">
        <v>552</v>
      </c>
    </row>
    <row r="123" spans="1:10">
      <c r="A123" s="7">
        <v>20100128</v>
      </c>
      <c r="B123" s="108" t="s">
        <v>498</v>
      </c>
      <c r="C123" s="108" t="str">
        <f t="shared" si="5"/>
        <v>20100128RLS</v>
      </c>
      <c r="D123" s="108" t="s">
        <v>232</v>
      </c>
      <c r="E123" s="108" t="str">
        <f t="shared" si="6"/>
        <v>20100128LGUM_177</v>
      </c>
      <c r="F123" s="4">
        <v>18.48</v>
      </c>
      <c r="G123" s="4">
        <v>0.55000000000000004</v>
      </c>
      <c r="H123" s="4">
        <v>1.38</v>
      </c>
      <c r="I123" s="4">
        <v>16.55</v>
      </c>
      <c r="J123" s="7" t="s">
        <v>552</v>
      </c>
    </row>
    <row r="124" spans="1:10">
      <c r="A124" s="7">
        <v>20100128</v>
      </c>
      <c r="B124" s="108" t="s">
        <v>498</v>
      </c>
      <c r="C124" s="108" t="str">
        <f t="shared" si="5"/>
        <v>20100128RLS</v>
      </c>
      <c r="D124" s="108" t="s">
        <v>269</v>
      </c>
      <c r="E124" s="108" t="str">
        <f t="shared" si="6"/>
        <v>20100128LGUM_277</v>
      </c>
      <c r="F124" s="4">
        <v>18.48</v>
      </c>
      <c r="G124" s="4">
        <v>0.55000000000000004</v>
      </c>
      <c r="H124" s="4">
        <v>1.38</v>
      </c>
      <c r="I124" s="4">
        <v>16.55</v>
      </c>
      <c r="J124" s="7" t="s">
        <v>552</v>
      </c>
    </row>
    <row r="125" spans="1:10">
      <c r="A125" s="7">
        <v>20100128</v>
      </c>
      <c r="B125" s="108" t="s">
        <v>498</v>
      </c>
      <c r="C125" s="108" t="str">
        <f t="shared" si="5"/>
        <v>20100128RLS</v>
      </c>
      <c r="D125" s="108" t="s">
        <v>553</v>
      </c>
      <c r="E125" s="108" t="str">
        <f t="shared" si="6"/>
        <v>20100128LGUM_078</v>
      </c>
      <c r="F125" s="4">
        <v>59.2</v>
      </c>
      <c r="G125" s="4">
        <v>1.0900000000000001</v>
      </c>
      <c r="H125" s="4">
        <v>9.98</v>
      </c>
      <c r="I125" s="4">
        <v>48.129999999999995</v>
      </c>
      <c r="J125" s="7" t="s">
        <v>554</v>
      </c>
    </row>
    <row r="126" spans="1:10">
      <c r="A126" s="7">
        <v>20100128</v>
      </c>
      <c r="B126" s="108" t="s">
        <v>498</v>
      </c>
      <c r="C126" s="108" t="str">
        <f t="shared" si="5"/>
        <v>20100128RLS</v>
      </c>
      <c r="D126" s="108" t="s">
        <v>233</v>
      </c>
      <c r="E126" s="108" t="str">
        <f t="shared" si="6"/>
        <v>20100128LGUM_178</v>
      </c>
      <c r="F126" s="4">
        <v>59.2</v>
      </c>
      <c r="G126" s="4">
        <v>1.0900000000000001</v>
      </c>
      <c r="H126" s="4">
        <v>9.98</v>
      </c>
      <c r="I126" s="4">
        <v>48.129999999999995</v>
      </c>
      <c r="J126" s="7" t="s">
        <v>554</v>
      </c>
    </row>
    <row r="127" spans="1:10">
      <c r="A127" s="7">
        <v>20100128</v>
      </c>
      <c r="B127" s="108" t="s">
        <v>498</v>
      </c>
      <c r="C127" s="108" t="str">
        <f t="shared" si="5"/>
        <v>20100128RLS</v>
      </c>
      <c r="D127" s="108" t="s">
        <v>393</v>
      </c>
      <c r="E127" s="108" t="str">
        <f t="shared" si="6"/>
        <v>20100128LGUM_278</v>
      </c>
      <c r="F127" s="4">
        <v>59.2</v>
      </c>
      <c r="G127" s="4">
        <v>1.0900000000000001</v>
      </c>
      <c r="H127" s="4">
        <v>9.98</v>
      </c>
      <c r="I127" s="4">
        <v>48.129999999999995</v>
      </c>
      <c r="J127" s="7" t="s">
        <v>554</v>
      </c>
    </row>
    <row r="128" spans="1:10">
      <c r="A128" s="7">
        <v>20100128</v>
      </c>
      <c r="B128" s="108" t="s">
        <v>498</v>
      </c>
      <c r="C128" s="108" t="str">
        <f t="shared" si="5"/>
        <v>20100128RLS</v>
      </c>
      <c r="D128" s="108" t="s">
        <v>555</v>
      </c>
      <c r="E128" s="108" t="str">
        <f t="shared" si="6"/>
        <v>20100128LGUM_079</v>
      </c>
      <c r="F128" s="4">
        <v>32.96</v>
      </c>
      <c r="G128" s="4">
        <v>1.0900000000000001</v>
      </c>
      <c r="H128" s="4">
        <v>7.57</v>
      </c>
      <c r="I128" s="4">
        <v>24.3</v>
      </c>
      <c r="J128" s="7" t="s">
        <v>556</v>
      </c>
    </row>
    <row r="129" spans="1:10">
      <c r="A129" s="7">
        <v>20100128</v>
      </c>
      <c r="B129" s="108" t="s">
        <v>498</v>
      </c>
      <c r="C129" s="108" t="str">
        <f t="shared" si="5"/>
        <v>20100128RLS</v>
      </c>
      <c r="D129" s="108" t="s">
        <v>234</v>
      </c>
      <c r="E129" s="108" t="str">
        <f t="shared" si="6"/>
        <v>20100128LGUM_179</v>
      </c>
      <c r="F129" s="4">
        <v>32.96</v>
      </c>
      <c r="G129" s="4">
        <v>1.0900000000000001</v>
      </c>
      <c r="H129" s="4">
        <v>7.57</v>
      </c>
      <c r="I129" s="4">
        <v>24.3</v>
      </c>
      <c r="J129" s="7" t="s">
        <v>556</v>
      </c>
    </row>
    <row r="130" spans="1:10">
      <c r="A130" s="7">
        <v>20100128</v>
      </c>
      <c r="B130" s="108" t="s">
        <v>498</v>
      </c>
      <c r="C130" s="108" t="str">
        <f t="shared" si="5"/>
        <v>20100128RLS</v>
      </c>
      <c r="D130" s="108" t="s">
        <v>394</v>
      </c>
      <c r="E130" s="108" t="str">
        <f t="shared" si="6"/>
        <v>20100128LGUM_279</v>
      </c>
      <c r="F130" s="4">
        <v>32.96</v>
      </c>
      <c r="G130" s="4">
        <v>1.0900000000000001</v>
      </c>
      <c r="H130" s="4">
        <v>7.57</v>
      </c>
      <c r="I130" s="4">
        <v>24.3</v>
      </c>
      <c r="J130" s="7" t="s">
        <v>556</v>
      </c>
    </row>
    <row r="131" spans="1:10">
      <c r="A131" s="7">
        <v>20100128</v>
      </c>
      <c r="B131" s="108" t="s">
        <v>498</v>
      </c>
      <c r="C131" s="108" t="str">
        <f t="shared" si="5"/>
        <v>20100128RLS</v>
      </c>
      <c r="D131" s="108" t="s">
        <v>557</v>
      </c>
      <c r="E131" s="108" t="str">
        <f t="shared" si="6"/>
        <v>20100128LGUM_080</v>
      </c>
      <c r="F131" s="4">
        <v>16.190000000000001</v>
      </c>
      <c r="G131" s="4">
        <v>0.52</v>
      </c>
      <c r="H131" s="4">
        <v>0.69</v>
      </c>
      <c r="I131" s="4">
        <v>14.980000000000002</v>
      </c>
      <c r="J131" s="7" t="s">
        <v>558</v>
      </c>
    </row>
    <row r="132" spans="1:10">
      <c r="A132" s="7">
        <v>20100128</v>
      </c>
      <c r="B132" s="108" t="s">
        <v>498</v>
      </c>
      <c r="C132" s="108" t="str">
        <f t="shared" si="5"/>
        <v>20100128RLS</v>
      </c>
      <c r="D132" s="108" t="s">
        <v>235</v>
      </c>
      <c r="E132" s="108" t="str">
        <f t="shared" si="6"/>
        <v>20100128LGUM_180</v>
      </c>
      <c r="F132" s="4">
        <v>16.190000000000001</v>
      </c>
      <c r="G132" s="4">
        <v>0.52</v>
      </c>
      <c r="H132" s="4">
        <v>0.69</v>
      </c>
      <c r="I132" s="4">
        <v>14.980000000000002</v>
      </c>
      <c r="J132" s="7" t="s">
        <v>558</v>
      </c>
    </row>
    <row r="133" spans="1:10">
      <c r="A133" s="7">
        <v>20100128</v>
      </c>
      <c r="B133" s="108" t="s">
        <v>498</v>
      </c>
      <c r="C133" s="108" t="str">
        <f t="shared" si="5"/>
        <v>20100128RLS</v>
      </c>
      <c r="D133" s="108" t="s">
        <v>398</v>
      </c>
      <c r="E133" s="108" t="str">
        <f t="shared" si="6"/>
        <v>20100128LGUM_280</v>
      </c>
      <c r="F133" s="4">
        <v>16.190000000000001</v>
      </c>
      <c r="G133" s="4">
        <v>0.52</v>
      </c>
      <c r="H133" s="4">
        <v>0.69</v>
      </c>
      <c r="I133" s="4">
        <v>14.980000000000002</v>
      </c>
      <c r="J133" s="7" t="s">
        <v>558</v>
      </c>
    </row>
    <row r="134" spans="1:10">
      <c r="A134" s="7">
        <v>20100128</v>
      </c>
      <c r="B134" s="108" t="s">
        <v>498</v>
      </c>
      <c r="C134" s="108" t="str">
        <f t="shared" si="5"/>
        <v>20100128RLS</v>
      </c>
      <c r="D134" s="108" t="s">
        <v>375</v>
      </c>
      <c r="E134" s="108" t="str">
        <f t="shared" si="6"/>
        <v>20100128LGUM_081</v>
      </c>
      <c r="F134" s="4">
        <v>17.059999999999999</v>
      </c>
      <c r="G134" s="4">
        <v>0.57999999999999996</v>
      </c>
      <c r="H134" s="4">
        <v>0.99</v>
      </c>
      <c r="I134" s="4">
        <v>15.49</v>
      </c>
      <c r="J134" s="7" t="s">
        <v>559</v>
      </c>
    </row>
    <row r="135" spans="1:10">
      <c r="A135" s="7">
        <v>20100128</v>
      </c>
      <c r="B135" s="108" t="s">
        <v>498</v>
      </c>
      <c r="C135" s="108" t="str">
        <f t="shared" si="5"/>
        <v>20100128RLS</v>
      </c>
      <c r="D135" s="108" t="s">
        <v>236</v>
      </c>
      <c r="E135" s="108" t="str">
        <f t="shared" si="6"/>
        <v>20100128LGUM_181</v>
      </c>
      <c r="F135" s="4">
        <v>17.059999999999999</v>
      </c>
      <c r="G135" s="4">
        <v>0.57999999999999996</v>
      </c>
      <c r="H135" s="4">
        <v>0.99</v>
      </c>
      <c r="I135" s="4">
        <v>15.49</v>
      </c>
      <c r="J135" s="7" t="s">
        <v>559</v>
      </c>
    </row>
    <row r="136" spans="1:10">
      <c r="A136" s="7">
        <v>20100128</v>
      </c>
      <c r="B136" s="108" t="s">
        <v>498</v>
      </c>
      <c r="C136" s="108" t="str">
        <f t="shared" si="5"/>
        <v>20100128RLS</v>
      </c>
      <c r="D136" s="108" t="s">
        <v>395</v>
      </c>
      <c r="E136" s="108" t="str">
        <f t="shared" si="6"/>
        <v>20100128LGUM_281</v>
      </c>
      <c r="F136" s="4">
        <v>17.059999999999999</v>
      </c>
      <c r="G136" s="4">
        <v>0.57999999999999996</v>
      </c>
      <c r="H136" s="4">
        <v>0.99</v>
      </c>
      <c r="I136" s="4">
        <v>15.49</v>
      </c>
      <c r="J136" s="7" t="s">
        <v>559</v>
      </c>
    </row>
    <row r="137" spans="1:10">
      <c r="A137" s="7">
        <v>20100128</v>
      </c>
      <c r="B137" s="108" t="s">
        <v>498</v>
      </c>
      <c r="C137" s="108" t="str">
        <f t="shared" si="5"/>
        <v>20100128RLS</v>
      </c>
      <c r="D137" s="108" t="s">
        <v>195</v>
      </c>
      <c r="E137" s="108" t="str">
        <f t="shared" si="6"/>
        <v>20100128LGUM_082</v>
      </c>
      <c r="F137" s="4">
        <v>16.350000000000001</v>
      </c>
      <c r="G137" s="4">
        <v>0.52</v>
      </c>
      <c r="H137" s="4">
        <v>0.69</v>
      </c>
      <c r="I137" s="4">
        <v>15.140000000000002</v>
      </c>
      <c r="J137" s="7" t="s">
        <v>560</v>
      </c>
    </row>
    <row r="138" spans="1:10">
      <c r="A138" s="7">
        <v>20100128</v>
      </c>
      <c r="B138" s="108" t="s">
        <v>498</v>
      </c>
      <c r="C138" s="108" t="str">
        <f t="shared" si="5"/>
        <v>20100128RLS</v>
      </c>
      <c r="D138" s="108" t="s">
        <v>237</v>
      </c>
      <c r="E138" s="108" t="str">
        <f t="shared" si="6"/>
        <v>20100128LGUM_182</v>
      </c>
      <c r="F138" s="4">
        <v>16.350000000000001</v>
      </c>
      <c r="G138" s="4">
        <v>0.52</v>
      </c>
      <c r="H138" s="4">
        <v>0.69</v>
      </c>
      <c r="I138" s="4">
        <v>15.140000000000002</v>
      </c>
      <c r="J138" s="7" t="s">
        <v>560</v>
      </c>
    </row>
    <row r="139" spans="1:10">
      <c r="A139" s="7">
        <v>20100128</v>
      </c>
      <c r="B139" s="108" t="s">
        <v>498</v>
      </c>
      <c r="C139" s="108" t="str">
        <f t="shared" si="5"/>
        <v>20100128RLS</v>
      </c>
      <c r="D139" s="108" t="s">
        <v>396</v>
      </c>
      <c r="E139" s="108" t="str">
        <f t="shared" si="6"/>
        <v>20100128LGUM_282</v>
      </c>
      <c r="F139" s="4">
        <v>16.350000000000001</v>
      </c>
      <c r="G139" s="4">
        <v>0.52</v>
      </c>
      <c r="H139" s="4">
        <v>0.69</v>
      </c>
      <c r="I139" s="4">
        <v>15.140000000000002</v>
      </c>
      <c r="J139" s="7" t="s">
        <v>560</v>
      </c>
    </row>
    <row r="140" spans="1:10">
      <c r="A140" s="7">
        <v>20100128</v>
      </c>
      <c r="B140" s="108" t="s">
        <v>498</v>
      </c>
      <c r="C140" s="108" t="str">
        <f t="shared" si="5"/>
        <v>20100128RLS</v>
      </c>
      <c r="D140" s="108" t="s">
        <v>561</v>
      </c>
      <c r="E140" s="108" t="str">
        <f t="shared" si="6"/>
        <v>20100128LGUM_083</v>
      </c>
      <c r="F140" s="4">
        <v>17.239999999999998</v>
      </c>
      <c r="G140" s="4">
        <v>0.57999999999999996</v>
      </c>
      <c r="H140" s="4">
        <v>0.99</v>
      </c>
      <c r="I140" s="4">
        <v>15.67</v>
      </c>
      <c r="J140" s="7" t="s">
        <v>562</v>
      </c>
    </row>
    <row r="141" spans="1:10">
      <c r="A141" s="7">
        <v>20100128</v>
      </c>
      <c r="B141" s="108" t="s">
        <v>498</v>
      </c>
      <c r="C141" s="108" t="str">
        <f t="shared" si="5"/>
        <v>20100128RLS</v>
      </c>
      <c r="D141" s="108" t="s">
        <v>238</v>
      </c>
      <c r="E141" s="108" t="str">
        <f t="shared" si="6"/>
        <v>20100128LGUM_183</v>
      </c>
      <c r="F141" s="4">
        <v>17.239999999999998</v>
      </c>
      <c r="G141" s="4">
        <v>0.57999999999999996</v>
      </c>
      <c r="H141" s="4">
        <v>0.99</v>
      </c>
      <c r="I141" s="4">
        <v>15.67</v>
      </c>
      <c r="J141" s="7" t="s">
        <v>562</v>
      </c>
    </row>
    <row r="142" spans="1:10">
      <c r="A142" s="7">
        <v>20100128</v>
      </c>
      <c r="B142" s="108" t="s">
        <v>498</v>
      </c>
      <c r="C142" s="108" t="str">
        <f t="shared" si="5"/>
        <v>20100128RLS</v>
      </c>
      <c r="D142" s="108" t="s">
        <v>397</v>
      </c>
      <c r="E142" s="108" t="str">
        <f t="shared" si="6"/>
        <v>20100128LGUM_283</v>
      </c>
      <c r="F142" s="4">
        <v>17.239999999999998</v>
      </c>
      <c r="G142" s="4">
        <v>0.57999999999999996</v>
      </c>
      <c r="H142" s="4">
        <v>0.99</v>
      </c>
      <c r="I142" s="4">
        <v>15.67</v>
      </c>
      <c r="J142" s="7" t="s">
        <v>562</v>
      </c>
    </row>
    <row r="143" spans="1:10">
      <c r="A143" s="7">
        <v>20100128</v>
      </c>
      <c r="B143" s="108" t="s">
        <v>498</v>
      </c>
      <c r="C143" s="108" t="str">
        <f t="shared" si="5"/>
        <v>20100128RLS</v>
      </c>
      <c r="D143" s="108" t="s">
        <v>270</v>
      </c>
      <c r="E143" s="108" t="str">
        <f t="shared" si="6"/>
        <v>20100128LGUM_301</v>
      </c>
      <c r="F143" s="4">
        <v>7.17</v>
      </c>
      <c r="G143" s="4">
        <v>0.57999999999999996</v>
      </c>
      <c r="H143" s="4">
        <v>0.86</v>
      </c>
      <c r="I143" s="4">
        <v>5.7299999999999995</v>
      </c>
      <c r="J143" s="7" t="s">
        <v>499</v>
      </c>
    </row>
    <row r="144" spans="1:10">
      <c r="A144" s="7">
        <v>20100128</v>
      </c>
      <c r="B144" s="108" t="s">
        <v>498</v>
      </c>
      <c r="C144" s="108" t="str">
        <f t="shared" si="5"/>
        <v>20100128RLS</v>
      </c>
      <c r="D144" s="108" t="s">
        <v>271</v>
      </c>
      <c r="E144" s="108" t="str">
        <f t="shared" si="6"/>
        <v>20100128LGUM_302</v>
      </c>
      <c r="F144" s="4">
        <v>8.25</v>
      </c>
      <c r="G144" s="4">
        <v>0.41</v>
      </c>
      <c r="H144" s="4">
        <v>1.44</v>
      </c>
      <c r="I144" s="4">
        <v>6.4</v>
      </c>
      <c r="J144" s="7" t="s">
        <v>500</v>
      </c>
    </row>
    <row r="145" spans="1:10">
      <c r="A145" s="7">
        <v>20100128</v>
      </c>
      <c r="B145" s="108" t="s">
        <v>498</v>
      </c>
      <c r="C145" s="108" t="str">
        <f t="shared" si="5"/>
        <v>20100128RLS</v>
      </c>
      <c r="D145" s="108" t="s">
        <v>272</v>
      </c>
      <c r="E145" s="108" t="str">
        <f t="shared" si="6"/>
        <v>20100128LGUM_303</v>
      </c>
      <c r="F145" s="4">
        <v>9.57</v>
      </c>
      <c r="G145" s="4">
        <v>0.53</v>
      </c>
      <c r="H145" s="4">
        <v>2.04</v>
      </c>
      <c r="I145" s="4">
        <v>7.0000000000000009</v>
      </c>
      <c r="J145" s="7" t="s">
        <v>501</v>
      </c>
    </row>
    <row r="146" spans="1:10">
      <c r="A146" s="7">
        <v>20100128</v>
      </c>
      <c r="B146" s="108" t="s">
        <v>498</v>
      </c>
      <c r="C146" s="108" t="str">
        <f t="shared" si="5"/>
        <v>20100128RLS</v>
      </c>
      <c r="D146" s="108" t="s">
        <v>273</v>
      </c>
      <c r="E146" s="108" t="str">
        <f t="shared" si="6"/>
        <v>20100128LGUM_304</v>
      </c>
      <c r="F146" s="4">
        <v>11.64</v>
      </c>
      <c r="G146" s="4">
        <v>0.6</v>
      </c>
      <c r="H146" s="4">
        <v>3.18</v>
      </c>
      <c r="I146" s="4">
        <v>7.8600000000000012</v>
      </c>
      <c r="J146" s="7" t="s">
        <v>502</v>
      </c>
    </row>
    <row r="147" spans="1:10">
      <c r="A147" s="7">
        <v>20100128</v>
      </c>
      <c r="B147" s="108" t="s">
        <v>498</v>
      </c>
      <c r="C147" s="108" t="str">
        <f t="shared" si="5"/>
        <v>20100128RLS</v>
      </c>
      <c r="D147" s="108" t="s">
        <v>275</v>
      </c>
      <c r="E147" s="108" t="str">
        <f t="shared" si="6"/>
        <v>20100128LGUM_305</v>
      </c>
      <c r="F147" s="4">
        <v>8.44</v>
      </c>
      <c r="G147" s="4">
        <v>0.57999999999999996</v>
      </c>
      <c r="H147" s="4">
        <v>0.99</v>
      </c>
      <c r="I147" s="4">
        <v>6.8699999999999992</v>
      </c>
      <c r="J147" s="7" t="s">
        <v>503</v>
      </c>
    </row>
    <row r="148" spans="1:10">
      <c r="A148" s="7">
        <v>20100128</v>
      </c>
      <c r="B148" s="108" t="s">
        <v>498</v>
      </c>
      <c r="C148" s="108" t="str">
        <f t="shared" si="5"/>
        <v>20100128RLS</v>
      </c>
      <c r="D148" s="108" t="s">
        <v>276</v>
      </c>
      <c r="E148" s="108" t="str">
        <f t="shared" si="6"/>
        <v>20100128LGUM_306</v>
      </c>
      <c r="F148" s="4">
        <v>11.17</v>
      </c>
      <c r="G148" s="4">
        <v>0.57999999999999996</v>
      </c>
      <c r="H148" s="4">
        <v>0.85</v>
      </c>
      <c r="I148" s="4">
        <v>9.74</v>
      </c>
      <c r="J148" s="7" t="s">
        <v>563</v>
      </c>
    </row>
    <row r="149" spans="1:10">
      <c r="A149" s="7">
        <v>20100128</v>
      </c>
      <c r="B149" s="108" t="s">
        <v>498</v>
      </c>
      <c r="C149" s="108" t="str">
        <f t="shared" si="5"/>
        <v>20100128RLS</v>
      </c>
      <c r="D149" s="108" t="s">
        <v>277</v>
      </c>
      <c r="E149" s="108" t="str">
        <f t="shared" si="6"/>
        <v>20100128LGUM_307</v>
      </c>
      <c r="F149" s="4">
        <v>16.149999999999999</v>
      </c>
      <c r="G149" s="4">
        <v>0.6</v>
      </c>
      <c r="H149" s="4">
        <v>3.18</v>
      </c>
      <c r="I149" s="4">
        <v>12.37</v>
      </c>
      <c r="J149" s="7" t="s">
        <v>564</v>
      </c>
    </row>
    <row r="150" spans="1:10">
      <c r="A150" s="7">
        <v>20100128</v>
      </c>
      <c r="B150" s="108" t="s">
        <v>498</v>
      </c>
      <c r="C150" s="108" t="str">
        <f t="shared" si="5"/>
        <v>20100128RLS</v>
      </c>
      <c r="D150" s="108" t="s">
        <v>278</v>
      </c>
      <c r="E150" s="108" t="str">
        <f t="shared" si="6"/>
        <v>20100128LGUM_308</v>
      </c>
      <c r="F150" s="4">
        <v>12.15</v>
      </c>
      <c r="G150" s="4">
        <v>0.41</v>
      </c>
      <c r="H150" s="4">
        <v>1.44</v>
      </c>
      <c r="I150" s="4">
        <v>10.3</v>
      </c>
      <c r="J150" s="7" t="s">
        <v>565</v>
      </c>
    </row>
    <row r="151" spans="1:10">
      <c r="A151" s="7">
        <v>20100128</v>
      </c>
      <c r="B151" s="108" t="s">
        <v>498</v>
      </c>
      <c r="C151" s="108" t="str">
        <f t="shared" si="5"/>
        <v>20100128RLS</v>
      </c>
      <c r="D151" s="108" t="s">
        <v>279</v>
      </c>
      <c r="E151" s="108" t="str">
        <f t="shared" si="6"/>
        <v>20100128LGUM_309</v>
      </c>
      <c r="F151" s="4">
        <v>22.12</v>
      </c>
      <c r="G151" s="4">
        <v>1.0900000000000001</v>
      </c>
      <c r="H151" s="4">
        <v>7.58</v>
      </c>
      <c r="I151" s="4">
        <v>13.450000000000001</v>
      </c>
      <c r="J151" s="7" t="s">
        <v>509</v>
      </c>
    </row>
    <row r="152" spans="1:10">
      <c r="A152" s="7">
        <v>20100128</v>
      </c>
      <c r="B152" s="108" t="s">
        <v>498</v>
      </c>
      <c r="C152" s="108" t="str">
        <f t="shared" si="5"/>
        <v>20100128RLS</v>
      </c>
      <c r="D152" s="108" t="s">
        <v>280</v>
      </c>
      <c r="E152" s="108" t="str">
        <f t="shared" si="6"/>
        <v>20100128LGUM_310</v>
      </c>
      <c r="F152" s="4">
        <v>22.12</v>
      </c>
      <c r="G152" s="4">
        <v>1.0900000000000001</v>
      </c>
      <c r="H152" s="4">
        <v>7.58</v>
      </c>
      <c r="I152" s="4">
        <v>13.450000000000001</v>
      </c>
      <c r="J152" s="7" t="s">
        <v>510</v>
      </c>
    </row>
    <row r="153" spans="1:10">
      <c r="A153" s="7">
        <v>20100128</v>
      </c>
      <c r="B153" s="108" t="s">
        <v>498</v>
      </c>
      <c r="C153" s="108" t="str">
        <f t="shared" si="5"/>
        <v>20100128RLS</v>
      </c>
      <c r="D153" s="108" t="s">
        <v>281</v>
      </c>
      <c r="E153" s="108" t="str">
        <f t="shared" si="6"/>
        <v>20100128LGUM_311</v>
      </c>
      <c r="F153" s="4">
        <v>12.02</v>
      </c>
      <c r="G153" s="4">
        <v>0.53</v>
      </c>
      <c r="H153" s="4">
        <v>2.14</v>
      </c>
      <c r="I153" s="4">
        <v>9.35</v>
      </c>
      <c r="J153" s="7" t="s">
        <v>511</v>
      </c>
    </row>
    <row r="154" spans="1:10">
      <c r="A154" s="7">
        <v>20100128</v>
      </c>
      <c r="B154" s="108" t="s">
        <v>498</v>
      </c>
      <c r="C154" s="108" t="str">
        <f t="shared" si="5"/>
        <v>20100128RLS</v>
      </c>
      <c r="D154" s="108" t="s">
        <v>283</v>
      </c>
      <c r="E154" s="108" t="str">
        <f t="shared" si="6"/>
        <v>20100128LGUM_312</v>
      </c>
      <c r="F154" s="4">
        <v>12.92</v>
      </c>
      <c r="G154" s="4">
        <v>0.6</v>
      </c>
      <c r="H154" s="4">
        <v>3.4</v>
      </c>
      <c r="I154" s="4">
        <v>8.92</v>
      </c>
      <c r="J154" s="7" t="s">
        <v>512</v>
      </c>
    </row>
    <row r="155" spans="1:10">
      <c r="A155" s="7">
        <v>20100128</v>
      </c>
      <c r="B155" s="108" t="s">
        <v>498</v>
      </c>
      <c r="C155" s="108" t="str">
        <f t="shared" si="5"/>
        <v>20100128RLS</v>
      </c>
      <c r="D155" s="108" t="s">
        <v>285</v>
      </c>
      <c r="E155" s="108" t="str">
        <f t="shared" si="6"/>
        <v>20100128LGUM_313</v>
      </c>
      <c r="F155" s="4">
        <v>12.92</v>
      </c>
      <c r="G155" s="4">
        <v>0.6</v>
      </c>
      <c r="H155" s="4">
        <v>3.4</v>
      </c>
      <c r="I155" s="4">
        <v>8.92</v>
      </c>
      <c r="J155" s="7" t="s">
        <v>513</v>
      </c>
    </row>
    <row r="156" spans="1:10">
      <c r="A156" s="7">
        <v>20100128</v>
      </c>
      <c r="B156" s="108" t="s">
        <v>498</v>
      </c>
      <c r="C156" s="108" t="str">
        <f t="shared" si="5"/>
        <v>20100128RLS</v>
      </c>
      <c r="D156" s="108" t="s">
        <v>287</v>
      </c>
      <c r="E156" s="108" t="str">
        <f t="shared" si="6"/>
        <v>20100128LGUM_314</v>
      </c>
      <c r="F156" s="4">
        <v>17.54</v>
      </c>
      <c r="G156" s="4">
        <v>0.53</v>
      </c>
      <c r="H156" s="4">
        <v>2.04</v>
      </c>
      <c r="I156" s="4">
        <v>14.969999999999999</v>
      </c>
      <c r="J156" s="7" t="s">
        <v>566</v>
      </c>
    </row>
    <row r="157" spans="1:10">
      <c r="A157" s="7">
        <v>20100128</v>
      </c>
      <c r="B157" s="108" t="s">
        <v>498</v>
      </c>
      <c r="C157" s="108" t="str">
        <f t="shared" si="5"/>
        <v>20100128RLS</v>
      </c>
      <c r="D157" s="108" t="s">
        <v>288</v>
      </c>
      <c r="E157" s="108" t="str">
        <f t="shared" si="6"/>
        <v>20100128LGUM_315</v>
      </c>
      <c r="F157" s="4">
        <v>20.85</v>
      </c>
      <c r="G157" s="4">
        <v>0.6</v>
      </c>
      <c r="H157" s="4">
        <v>3.18</v>
      </c>
      <c r="I157" s="4">
        <v>17.07</v>
      </c>
      <c r="J157" s="7" t="s">
        <v>567</v>
      </c>
    </row>
    <row r="158" spans="1:10">
      <c r="A158" s="7">
        <v>20100128</v>
      </c>
      <c r="B158" s="108" t="s">
        <v>498</v>
      </c>
      <c r="C158" s="108" t="str">
        <f t="shared" ref="C158:C221" si="7">A158&amp;B158</f>
        <v>20100128RLS</v>
      </c>
      <c r="D158" s="108" t="s">
        <v>289</v>
      </c>
      <c r="E158" s="108" t="str">
        <f t="shared" ref="E158:E221" si="8">A158&amp;D158</f>
        <v>20100128LGUM_316</v>
      </c>
      <c r="F158" s="4">
        <v>22.01</v>
      </c>
      <c r="G158" s="4">
        <v>0.53</v>
      </c>
      <c r="H158" s="4">
        <v>2.14</v>
      </c>
      <c r="I158" s="4">
        <v>19.34</v>
      </c>
      <c r="J158" s="7" t="s">
        <v>568</v>
      </c>
    </row>
    <row r="159" spans="1:10">
      <c r="A159" s="7">
        <v>20100128</v>
      </c>
      <c r="B159" s="108" t="s">
        <v>498</v>
      </c>
      <c r="C159" s="108" t="str">
        <f t="shared" si="7"/>
        <v>20100128RLS</v>
      </c>
      <c r="D159" s="108" t="s">
        <v>290</v>
      </c>
      <c r="E159" s="108" t="str">
        <f t="shared" si="8"/>
        <v>20100128LGUM_317</v>
      </c>
      <c r="F159" s="4">
        <v>23.95</v>
      </c>
      <c r="G159" s="4">
        <v>0.53</v>
      </c>
      <c r="H159" s="4">
        <v>3.4</v>
      </c>
      <c r="I159" s="4">
        <v>20.02</v>
      </c>
      <c r="J159" s="7" t="s">
        <v>569</v>
      </c>
    </row>
    <row r="160" spans="1:10">
      <c r="A160" s="7">
        <v>20100128</v>
      </c>
      <c r="B160" s="108" t="s">
        <v>498</v>
      </c>
      <c r="C160" s="108" t="str">
        <f t="shared" si="7"/>
        <v>20100128RLS</v>
      </c>
      <c r="D160" s="108" t="s">
        <v>291</v>
      </c>
      <c r="E160" s="108" t="str">
        <f t="shared" si="8"/>
        <v>20100128LGUM_318</v>
      </c>
      <c r="F160" s="4">
        <v>16.18</v>
      </c>
      <c r="G160" s="4">
        <v>0.41</v>
      </c>
      <c r="H160" s="4">
        <v>1.44</v>
      </c>
      <c r="I160" s="4">
        <v>14.33</v>
      </c>
      <c r="J160" s="7" t="s">
        <v>570</v>
      </c>
    </row>
    <row r="161" spans="1:10">
      <c r="A161" s="7">
        <v>20100128</v>
      </c>
      <c r="B161" s="108" t="s">
        <v>498</v>
      </c>
      <c r="C161" s="108" t="str">
        <f t="shared" si="7"/>
        <v>20100128RLS</v>
      </c>
      <c r="D161" s="108" t="s">
        <v>571</v>
      </c>
      <c r="E161" s="108" t="str">
        <f t="shared" si="8"/>
        <v>20100128LGUM_319</v>
      </c>
      <c r="F161" s="4">
        <v>20.95</v>
      </c>
      <c r="G161" s="4">
        <v>0.6</v>
      </c>
      <c r="H161" s="4">
        <v>3.17</v>
      </c>
      <c r="I161" s="4">
        <v>17.18</v>
      </c>
      <c r="J161" s="7" t="s">
        <v>572</v>
      </c>
    </row>
    <row r="162" spans="1:10">
      <c r="A162" s="7">
        <v>20100128</v>
      </c>
      <c r="B162" s="108" t="s">
        <v>498</v>
      </c>
      <c r="C162" s="108" t="str">
        <f t="shared" si="7"/>
        <v>20100128RLS</v>
      </c>
      <c r="D162" s="108" t="s">
        <v>573</v>
      </c>
      <c r="E162" s="108" t="str">
        <f t="shared" si="8"/>
        <v>20100128LGUM_320</v>
      </c>
      <c r="F162" s="4">
        <v>22.01</v>
      </c>
      <c r="G162" s="4">
        <v>0.53</v>
      </c>
      <c r="H162" s="4">
        <v>2.14</v>
      </c>
      <c r="I162" s="4">
        <v>19.34</v>
      </c>
      <c r="J162" s="7" t="s">
        <v>574</v>
      </c>
    </row>
    <row r="163" spans="1:10">
      <c r="A163" s="7">
        <v>20100128</v>
      </c>
      <c r="B163" s="108" t="s">
        <v>498</v>
      </c>
      <c r="C163" s="108" t="str">
        <f t="shared" si="7"/>
        <v>20100128RLS</v>
      </c>
      <c r="D163" s="108" t="s">
        <v>292</v>
      </c>
      <c r="E163" s="108" t="str">
        <f t="shared" si="8"/>
        <v>20100128LGUM_321</v>
      </c>
      <c r="F163" s="4">
        <v>23.95</v>
      </c>
      <c r="G163" s="4">
        <v>0.53</v>
      </c>
      <c r="H163" s="4">
        <v>3.4</v>
      </c>
      <c r="I163" s="4">
        <v>20.02</v>
      </c>
      <c r="J163" s="7" t="s">
        <v>575</v>
      </c>
    </row>
    <row r="164" spans="1:10">
      <c r="A164" s="7">
        <v>20100128</v>
      </c>
      <c r="B164" s="108" t="s">
        <v>498</v>
      </c>
      <c r="C164" s="108" t="str">
        <f t="shared" si="7"/>
        <v>20100128RLS</v>
      </c>
      <c r="D164" s="108" t="s">
        <v>293</v>
      </c>
      <c r="E164" s="108" t="str">
        <f t="shared" si="8"/>
        <v>20100128LGUM_322</v>
      </c>
      <c r="F164" s="4">
        <v>10.050000000000001</v>
      </c>
      <c r="G164" s="4">
        <v>0.55000000000000004</v>
      </c>
      <c r="H164" s="4">
        <v>1.44</v>
      </c>
      <c r="I164" s="4">
        <v>8.06</v>
      </c>
      <c r="J164" s="7" t="s">
        <v>518</v>
      </c>
    </row>
    <row r="165" spans="1:10">
      <c r="A165" s="7">
        <v>20100128</v>
      </c>
      <c r="B165" s="108" t="s">
        <v>498</v>
      </c>
      <c r="C165" s="108" t="str">
        <f t="shared" si="7"/>
        <v>20100128RLS</v>
      </c>
      <c r="D165" s="108" t="s">
        <v>294</v>
      </c>
      <c r="E165" s="108" t="str">
        <f t="shared" si="8"/>
        <v>20100128LGUM_323</v>
      </c>
      <c r="F165" s="4">
        <v>12.1</v>
      </c>
      <c r="G165" s="4">
        <v>0.55000000000000004</v>
      </c>
      <c r="H165" s="4">
        <v>1.56</v>
      </c>
      <c r="I165" s="4">
        <v>9.9899999999999984</v>
      </c>
      <c r="J165" s="7" t="s">
        <v>519</v>
      </c>
    </row>
    <row r="166" spans="1:10">
      <c r="A166" s="7">
        <v>20100128</v>
      </c>
      <c r="B166" s="108" t="s">
        <v>498</v>
      </c>
      <c r="C166" s="108" t="str">
        <f t="shared" si="7"/>
        <v>20100128RLS</v>
      </c>
      <c r="D166" s="108" t="s">
        <v>295</v>
      </c>
      <c r="E166" s="108" t="str">
        <f t="shared" si="8"/>
        <v>20100128LGUM_324</v>
      </c>
      <c r="F166" s="4">
        <v>12.22</v>
      </c>
      <c r="G166" s="4">
        <v>0.57999999999999996</v>
      </c>
      <c r="H166" s="4">
        <v>0.99</v>
      </c>
      <c r="I166" s="4">
        <v>10.65</v>
      </c>
      <c r="J166" s="7" t="s">
        <v>576</v>
      </c>
    </row>
    <row r="167" spans="1:10">
      <c r="A167" s="7">
        <v>20100128</v>
      </c>
      <c r="B167" s="108" t="s">
        <v>498</v>
      </c>
      <c r="C167" s="108" t="str">
        <f t="shared" si="7"/>
        <v>20100128RLS</v>
      </c>
      <c r="D167" s="108" t="s">
        <v>296</v>
      </c>
      <c r="E167" s="108" t="str">
        <f t="shared" si="8"/>
        <v>20100128LGUM_325</v>
      </c>
      <c r="F167" s="4">
        <v>20.61</v>
      </c>
      <c r="G167" s="4">
        <v>0.55000000000000004</v>
      </c>
      <c r="H167" s="4">
        <v>1.38</v>
      </c>
      <c r="I167" s="4">
        <v>18.68</v>
      </c>
      <c r="J167" s="7" t="s">
        <v>916</v>
      </c>
    </row>
    <row r="168" spans="1:10">
      <c r="A168" s="7">
        <v>20100128</v>
      </c>
      <c r="B168" s="108" t="s">
        <v>498</v>
      </c>
      <c r="C168" s="108" t="str">
        <f t="shared" si="7"/>
        <v>20100128RLS</v>
      </c>
      <c r="D168" s="108" t="s">
        <v>577</v>
      </c>
      <c r="E168" s="108" t="str">
        <f t="shared" si="8"/>
        <v>20100128LGUM_345</v>
      </c>
      <c r="F168" s="4">
        <v>16.11</v>
      </c>
      <c r="G168" s="4">
        <v>0.6</v>
      </c>
      <c r="H168" s="4">
        <v>3.18</v>
      </c>
      <c r="I168" s="4">
        <v>12.33</v>
      </c>
      <c r="J168" s="7" t="s">
        <v>578</v>
      </c>
    </row>
    <row r="169" spans="1:10">
      <c r="A169" s="7">
        <v>20100128</v>
      </c>
      <c r="B169" s="108" t="s">
        <v>498</v>
      </c>
      <c r="C169" s="108" t="str">
        <f t="shared" si="7"/>
        <v>20100128RLS</v>
      </c>
      <c r="D169" s="108" t="s">
        <v>579</v>
      </c>
      <c r="E169" s="108" t="str">
        <f t="shared" si="8"/>
        <v>20100128LGUM_346</v>
      </c>
      <c r="F169" s="4">
        <v>22.05</v>
      </c>
      <c r="G169" s="4">
        <v>0.53</v>
      </c>
      <c r="H169" s="4">
        <v>2.04</v>
      </c>
      <c r="I169" s="4">
        <v>19.48</v>
      </c>
      <c r="J169" s="7" t="s">
        <v>580</v>
      </c>
    </row>
    <row r="170" spans="1:10">
      <c r="A170" s="7">
        <v>20100128</v>
      </c>
      <c r="B170" s="108" t="s">
        <v>498</v>
      </c>
      <c r="C170" s="108" t="str">
        <f t="shared" si="7"/>
        <v>20100128RLS</v>
      </c>
      <c r="D170" s="108" t="s">
        <v>581</v>
      </c>
      <c r="E170" s="108" t="str">
        <f t="shared" si="8"/>
        <v>20100128LGUM_347</v>
      </c>
      <c r="F170" s="4">
        <v>20.95</v>
      </c>
      <c r="G170" s="4">
        <v>0.6</v>
      </c>
      <c r="H170" s="4">
        <v>3.18</v>
      </c>
      <c r="I170" s="4">
        <v>17.169999999999998</v>
      </c>
      <c r="J170" s="7" t="s">
        <v>582</v>
      </c>
    </row>
    <row r="171" spans="1:10">
      <c r="A171" s="7">
        <v>20100128</v>
      </c>
      <c r="B171" s="108" t="s">
        <v>498</v>
      </c>
      <c r="C171" s="108" t="str">
        <f t="shared" si="7"/>
        <v>20100128RLS</v>
      </c>
      <c r="D171" s="108" t="s">
        <v>297</v>
      </c>
      <c r="E171" s="108" t="str">
        <f t="shared" si="8"/>
        <v>20100128LGUM_348</v>
      </c>
      <c r="F171" s="4">
        <v>11.89</v>
      </c>
      <c r="G171" s="4">
        <v>1.73</v>
      </c>
      <c r="H171" s="4">
        <v>2.39</v>
      </c>
      <c r="I171" s="4">
        <v>7.77</v>
      </c>
      <c r="J171" s="7" t="s">
        <v>583</v>
      </c>
    </row>
    <row r="172" spans="1:10">
      <c r="A172" s="7">
        <v>20100128</v>
      </c>
      <c r="B172" s="108" t="s">
        <v>498</v>
      </c>
      <c r="C172" s="108" t="str">
        <f t="shared" si="7"/>
        <v>20100128RLS</v>
      </c>
      <c r="D172" s="108" t="s">
        <v>299</v>
      </c>
      <c r="E172" s="108" t="str">
        <f t="shared" si="8"/>
        <v>20100128LGUM_349</v>
      </c>
      <c r="F172" s="4">
        <v>8.35</v>
      </c>
      <c r="G172" s="4">
        <v>0.57999999999999996</v>
      </c>
      <c r="H172" s="4">
        <v>0.86</v>
      </c>
      <c r="I172" s="4">
        <v>6.9099999999999993</v>
      </c>
      <c r="J172" s="7" t="s">
        <v>584</v>
      </c>
    </row>
    <row r="173" spans="1:10">
      <c r="A173" s="7">
        <v>20100128</v>
      </c>
      <c r="B173" s="108" t="s">
        <v>498</v>
      </c>
      <c r="C173" s="108" t="str">
        <f t="shared" si="7"/>
        <v>20100128RLS</v>
      </c>
      <c r="D173" s="108" t="s">
        <v>301</v>
      </c>
      <c r="E173" s="108" t="str">
        <f t="shared" si="8"/>
        <v>20100128LGUM_352</v>
      </c>
      <c r="F173" s="4">
        <v>10.039999999999999</v>
      </c>
      <c r="G173" s="4">
        <v>0.41</v>
      </c>
      <c r="H173" s="4">
        <v>1.44</v>
      </c>
      <c r="I173" s="4">
        <v>8.19</v>
      </c>
      <c r="J173" s="7" t="s">
        <v>530</v>
      </c>
    </row>
    <row r="174" spans="1:10">
      <c r="A174" s="7">
        <v>20100128</v>
      </c>
      <c r="B174" s="108" t="s">
        <v>498</v>
      </c>
      <c r="C174" s="108" t="str">
        <f t="shared" si="7"/>
        <v>20100128RLS</v>
      </c>
      <c r="D174" s="108" t="s">
        <v>302</v>
      </c>
      <c r="E174" s="108" t="str">
        <f t="shared" si="8"/>
        <v>20100128LGUM_353</v>
      </c>
      <c r="F174" s="4">
        <v>11.46</v>
      </c>
      <c r="G174" s="4">
        <v>0.53</v>
      </c>
      <c r="H174" s="4">
        <v>2.04</v>
      </c>
      <c r="I174" s="4">
        <v>8.89</v>
      </c>
      <c r="J174" s="7" t="s">
        <v>531</v>
      </c>
    </row>
    <row r="175" spans="1:10">
      <c r="A175" s="7">
        <v>20100128</v>
      </c>
      <c r="B175" s="108" t="s">
        <v>498</v>
      </c>
      <c r="C175" s="108" t="str">
        <f t="shared" si="7"/>
        <v>20100128RLS</v>
      </c>
      <c r="D175" s="108" t="s">
        <v>303</v>
      </c>
      <c r="E175" s="108" t="str">
        <f t="shared" si="8"/>
        <v>20100128LGUM_354</v>
      </c>
      <c r="F175" s="4">
        <v>13.95</v>
      </c>
      <c r="G175" s="4">
        <v>0.6</v>
      </c>
      <c r="H175" s="4">
        <v>3.18</v>
      </c>
      <c r="I175" s="4">
        <v>10.17</v>
      </c>
      <c r="J175" s="7" t="s">
        <v>532</v>
      </c>
    </row>
    <row r="176" spans="1:10">
      <c r="A176" s="7">
        <v>20100128</v>
      </c>
      <c r="B176" s="108" t="s">
        <v>498</v>
      </c>
      <c r="C176" s="108" t="str">
        <f t="shared" si="7"/>
        <v>20100128RLS</v>
      </c>
      <c r="D176" s="108" t="s">
        <v>304</v>
      </c>
      <c r="E176" s="108" t="str">
        <f t="shared" si="8"/>
        <v>20100128LGUM_355</v>
      </c>
      <c r="F176" s="4">
        <v>8.44</v>
      </c>
      <c r="G176" s="4">
        <v>0.57999999999999996</v>
      </c>
      <c r="H176" s="4">
        <v>0.99</v>
      </c>
      <c r="I176" s="4">
        <v>6.8699999999999992</v>
      </c>
      <c r="J176" s="7" t="s">
        <v>533</v>
      </c>
    </row>
    <row r="177" spans="1:10">
      <c r="A177" s="7">
        <v>20100128</v>
      </c>
      <c r="B177" s="108" t="s">
        <v>498</v>
      </c>
      <c r="C177" s="108" t="str">
        <f t="shared" si="7"/>
        <v>20100128RLS</v>
      </c>
      <c r="D177" s="108" t="s">
        <v>585</v>
      </c>
      <c r="E177" s="108" t="str">
        <f t="shared" si="8"/>
        <v>20100128LGUM_356</v>
      </c>
      <c r="F177" s="4">
        <v>13.86</v>
      </c>
      <c r="G177" s="4">
        <v>0.57999999999999996</v>
      </c>
      <c r="H177" s="4">
        <v>0.85</v>
      </c>
      <c r="I177" s="4">
        <v>12.43</v>
      </c>
      <c r="J177" s="7" t="s">
        <v>586</v>
      </c>
    </row>
    <row r="178" spans="1:10">
      <c r="A178" s="7">
        <v>20100128</v>
      </c>
      <c r="B178" s="108" t="s">
        <v>498</v>
      </c>
      <c r="C178" s="108" t="str">
        <f t="shared" si="7"/>
        <v>20100128RLS</v>
      </c>
      <c r="D178" s="108" t="s">
        <v>305</v>
      </c>
      <c r="E178" s="108" t="str">
        <f t="shared" si="8"/>
        <v>20100128LGUM_357</v>
      </c>
      <c r="F178" s="4">
        <v>13.95</v>
      </c>
      <c r="G178" s="4">
        <v>0.6</v>
      </c>
      <c r="H178" s="4">
        <v>3.18</v>
      </c>
      <c r="I178" s="4">
        <v>10.17</v>
      </c>
      <c r="J178" s="7" t="s">
        <v>538</v>
      </c>
    </row>
    <row r="179" spans="1:10">
      <c r="A179" s="7">
        <v>20100128</v>
      </c>
      <c r="B179" s="108" t="s">
        <v>498</v>
      </c>
      <c r="C179" s="108" t="str">
        <f t="shared" si="7"/>
        <v>20100128RLS</v>
      </c>
      <c r="D179" s="108" t="s">
        <v>306</v>
      </c>
      <c r="E179" s="108" t="str">
        <f t="shared" si="8"/>
        <v>20100128LGUM_358</v>
      </c>
      <c r="F179" s="4">
        <v>14.68</v>
      </c>
      <c r="G179" s="4">
        <v>0.41</v>
      </c>
      <c r="H179" s="4">
        <v>1.44</v>
      </c>
      <c r="I179" s="4">
        <v>12.83</v>
      </c>
      <c r="J179" s="7" t="s">
        <v>587</v>
      </c>
    </row>
    <row r="180" spans="1:10">
      <c r="A180" s="7">
        <v>20100128</v>
      </c>
      <c r="B180" s="108" t="s">
        <v>498</v>
      </c>
      <c r="C180" s="108" t="str">
        <f t="shared" si="7"/>
        <v>20100128RLS</v>
      </c>
      <c r="D180" s="108" t="s">
        <v>307</v>
      </c>
      <c r="E180" s="108" t="str">
        <f t="shared" si="8"/>
        <v>20100128LGUM_360</v>
      </c>
      <c r="F180" s="4">
        <v>25.83</v>
      </c>
      <c r="G180" s="4">
        <v>1.0900000000000001</v>
      </c>
      <c r="H180" s="4">
        <v>7.58</v>
      </c>
      <c r="I180" s="4">
        <v>17.159999999999997</v>
      </c>
      <c r="J180" s="7" t="s">
        <v>542</v>
      </c>
    </row>
    <row r="181" spans="1:10">
      <c r="A181" s="7">
        <v>20100128</v>
      </c>
      <c r="B181" s="108" t="s">
        <v>498</v>
      </c>
      <c r="C181" s="108" t="str">
        <f t="shared" si="7"/>
        <v>20100128RLS</v>
      </c>
      <c r="D181" s="108" t="s">
        <v>308</v>
      </c>
      <c r="E181" s="108" t="str">
        <f t="shared" si="8"/>
        <v>20100128LGUM_361</v>
      </c>
      <c r="F181" s="4">
        <v>12.02</v>
      </c>
      <c r="G181" s="4">
        <v>0.53</v>
      </c>
      <c r="H181" s="4">
        <v>2.14</v>
      </c>
      <c r="I181" s="4">
        <v>9.35</v>
      </c>
      <c r="J181" s="7" t="s">
        <v>543</v>
      </c>
    </row>
    <row r="182" spans="1:10">
      <c r="A182" s="7">
        <v>20100128</v>
      </c>
      <c r="B182" s="108" t="s">
        <v>498</v>
      </c>
      <c r="C182" s="108" t="str">
        <f t="shared" si="7"/>
        <v>20100128RLS</v>
      </c>
      <c r="D182" s="108" t="s">
        <v>309</v>
      </c>
      <c r="E182" s="108" t="str">
        <f t="shared" si="8"/>
        <v>20100128LGUM_362</v>
      </c>
      <c r="F182" s="4">
        <v>12.92</v>
      </c>
      <c r="G182" s="4">
        <v>0.6</v>
      </c>
      <c r="H182" s="4">
        <v>3.4</v>
      </c>
      <c r="I182" s="4">
        <v>8.92</v>
      </c>
      <c r="J182" s="7" t="s">
        <v>544</v>
      </c>
    </row>
    <row r="183" spans="1:10">
      <c r="A183" s="7">
        <v>20100128</v>
      </c>
      <c r="B183" s="108" t="s">
        <v>498</v>
      </c>
      <c r="C183" s="108" t="str">
        <f t="shared" si="7"/>
        <v>20100128RLS</v>
      </c>
      <c r="D183" s="108" t="s">
        <v>310</v>
      </c>
      <c r="E183" s="108" t="str">
        <f t="shared" si="8"/>
        <v>20100128LGUM_363</v>
      </c>
      <c r="F183" s="4">
        <v>12.92</v>
      </c>
      <c r="G183" s="4">
        <v>0.6</v>
      </c>
      <c r="H183" s="4">
        <v>3.4</v>
      </c>
      <c r="I183" s="4">
        <v>8.92</v>
      </c>
      <c r="J183" s="7" t="s">
        <v>545</v>
      </c>
    </row>
    <row r="184" spans="1:10">
      <c r="A184" s="7">
        <v>20100128</v>
      </c>
      <c r="B184" s="108" t="s">
        <v>498</v>
      </c>
      <c r="C184" s="108" t="str">
        <f t="shared" si="7"/>
        <v>20100128RLS</v>
      </c>
      <c r="D184" s="108" t="s">
        <v>311</v>
      </c>
      <c r="E184" s="108" t="str">
        <f t="shared" si="8"/>
        <v>20100128LGUM_364</v>
      </c>
      <c r="F184" s="4">
        <v>24.05</v>
      </c>
      <c r="G184" s="4">
        <v>0.53</v>
      </c>
      <c r="H184" s="4">
        <v>2.04</v>
      </c>
      <c r="I184" s="4">
        <v>21.48</v>
      </c>
      <c r="J184" s="7" t="s">
        <v>588</v>
      </c>
    </row>
    <row r="185" spans="1:10">
      <c r="A185" s="7">
        <v>20100128</v>
      </c>
      <c r="B185" s="108" t="s">
        <v>498</v>
      </c>
      <c r="C185" s="108" t="str">
        <f t="shared" si="7"/>
        <v>20100128RLS</v>
      </c>
      <c r="D185" s="108" t="s">
        <v>312</v>
      </c>
      <c r="E185" s="108" t="str">
        <f t="shared" si="8"/>
        <v>20100128LGUM_365</v>
      </c>
      <c r="F185" s="4">
        <v>27.09</v>
      </c>
      <c r="G185" s="4">
        <v>0.6</v>
      </c>
      <c r="H185" s="4">
        <v>3.18</v>
      </c>
      <c r="I185" s="4">
        <v>23.31</v>
      </c>
      <c r="J185" s="7" t="s">
        <v>589</v>
      </c>
    </row>
    <row r="186" spans="1:10">
      <c r="A186" s="7">
        <v>20100128</v>
      </c>
      <c r="B186" s="108" t="s">
        <v>498</v>
      </c>
      <c r="C186" s="108" t="str">
        <f t="shared" si="7"/>
        <v>20100128RLS</v>
      </c>
      <c r="D186" s="108" t="s">
        <v>313</v>
      </c>
      <c r="E186" s="108" t="str">
        <f t="shared" si="8"/>
        <v>20100128LGUM_366</v>
      </c>
      <c r="F186" s="4">
        <v>22.01</v>
      </c>
      <c r="G186" s="4">
        <v>0.53</v>
      </c>
      <c r="H186" s="4">
        <v>2.14</v>
      </c>
      <c r="I186" s="4">
        <v>19.34</v>
      </c>
      <c r="J186" s="7" t="s">
        <v>590</v>
      </c>
    </row>
    <row r="187" spans="1:10">
      <c r="A187" s="7">
        <v>20100128</v>
      </c>
      <c r="B187" s="108" t="s">
        <v>498</v>
      </c>
      <c r="C187" s="108" t="str">
        <f t="shared" si="7"/>
        <v>20100128RLS</v>
      </c>
      <c r="D187" s="108" t="s">
        <v>314</v>
      </c>
      <c r="E187" s="108" t="str">
        <f t="shared" si="8"/>
        <v>20100128LGUM_367</v>
      </c>
      <c r="F187" s="4">
        <v>23.95</v>
      </c>
      <c r="G187" s="4">
        <v>0.53</v>
      </c>
      <c r="H187" s="4">
        <v>3.4</v>
      </c>
      <c r="I187" s="4">
        <v>20.02</v>
      </c>
      <c r="J187" s="7" t="s">
        <v>591</v>
      </c>
    </row>
    <row r="188" spans="1:10">
      <c r="A188" s="7">
        <v>20100128</v>
      </c>
      <c r="B188" s="108" t="s">
        <v>498</v>
      </c>
      <c r="C188" s="108" t="str">
        <f t="shared" si="7"/>
        <v>20100128RLS</v>
      </c>
      <c r="D188" s="108" t="s">
        <v>592</v>
      </c>
      <c r="E188" s="108" t="str">
        <f t="shared" si="8"/>
        <v>20100128LGUM_368</v>
      </c>
      <c r="F188" s="4">
        <v>23.12</v>
      </c>
      <c r="G188" s="4">
        <v>0.41</v>
      </c>
      <c r="H188" s="4">
        <v>1.44</v>
      </c>
      <c r="I188" s="4">
        <v>21.27</v>
      </c>
      <c r="J188" s="7" t="s">
        <v>570</v>
      </c>
    </row>
    <row r="189" spans="1:10">
      <c r="A189" s="7">
        <v>20100128</v>
      </c>
      <c r="B189" s="108" t="s">
        <v>498</v>
      </c>
      <c r="C189" s="108" t="str">
        <f t="shared" si="7"/>
        <v>20100128RLS</v>
      </c>
      <c r="D189" s="108" t="s">
        <v>593</v>
      </c>
      <c r="E189" s="108" t="str">
        <f t="shared" si="8"/>
        <v>20100128LGUM_369</v>
      </c>
      <c r="F189" s="4">
        <v>27.09</v>
      </c>
      <c r="G189" s="4">
        <v>0.6</v>
      </c>
      <c r="H189" s="4">
        <v>3.18</v>
      </c>
      <c r="I189" s="4">
        <v>23.31</v>
      </c>
      <c r="J189" s="7" t="s">
        <v>594</v>
      </c>
    </row>
    <row r="190" spans="1:10">
      <c r="A190" s="7">
        <v>20100128</v>
      </c>
      <c r="B190" s="108" t="s">
        <v>498</v>
      </c>
      <c r="C190" s="108" t="str">
        <f t="shared" si="7"/>
        <v>20100128RLS</v>
      </c>
      <c r="D190" s="108" t="s">
        <v>315</v>
      </c>
      <c r="E190" s="108" t="str">
        <f t="shared" si="8"/>
        <v>20100128LGUM_370</v>
      </c>
      <c r="F190" s="4">
        <v>22.01</v>
      </c>
      <c r="G190" s="4">
        <v>0.53</v>
      </c>
      <c r="H190" s="4">
        <v>2.14</v>
      </c>
      <c r="I190" s="4">
        <v>19.34</v>
      </c>
      <c r="J190" s="7" t="s">
        <v>595</v>
      </c>
    </row>
    <row r="191" spans="1:10">
      <c r="A191" s="7">
        <v>20100128</v>
      </c>
      <c r="B191" s="108" t="s">
        <v>498</v>
      </c>
      <c r="C191" s="108" t="str">
        <f t="shared" si="7"/>
        <v>20100128RLS</v>
      </c>
      <c r="D191" s="108" t="s">
        <v>316</v>
      </c>
      <c r="E191" s="108" t="str">
        <f t="shared" si="8"/>
        <v>20100128LGUM_371</v>
      </c>
      <c r="F191" s="4">
        <v>23.95</v>
      </c>
      <c r="G191" s="4">
        <v>0.53</v>
      </c>
      <c r="H191" s="4">
        <v>3.4</v>
      </c>
      <c r="I191" s="4">
        <v>20.02</v>
      </c>
      <c r="J191" s="7" t="s">
        <v>596</v>
      </c>
    </row>
    <row r="192" spans="1:10">
      <c r="A192" s="7">
        <v>20100128</v>
      </c>
      <c r="B192" s="108" t="s">
        <v>498</v>
      </c>
      <c r="C192" s="108" t="str">
        <f t="shared" si="7"/>
        <v>20100128RLS</v>
      </c>
      <c r="D192" s="108" t="s">
        <v>317</v>
      </c>
      <c r="E192" s="108" t="str">
        <f t="shared" si="8"/>
        <v>20100128LGUM_372</v>
      </c>
      <c r="F192" s="4">
        <v>10.050000000000001</v>
      </c>
      <c r="G192" s="4">
        <v>0.55000000000000004</v>
      </c>
      <c r="H192" s="4">
        <v>1.44</v>
      </c>
      <c r="I192" s="4">
        <v>8.06</v>
      </c>
      <c r="J192" s="7" t="s">
        <v>548</v>
      </c>
    </row>
    <row r="193" spans="1:10">
      <c r="A193" s="7">
        <v>20100128</v>
      </c>
      <c r="B193" s="108" t="s">
        <v>498</v>
      </c>
      <c r="C193" s="108" t="str">
        <f t="shared" si="7"/>
        <v>20100128RLS</v>
      </c>
      <c r="D193" s="108" t="s">
        <v>318</v>
      </c>
      <c r="E193" s="108" t="str">
        <f t="shared" si="8"/>
        <v>20100128LGUM_373</v>
      </c>
      <c r="F193" s="4">
        <v>10.050000000000001</v>
      </c>
      <c r="G193" s="4">
        <v>0.55000000000000004</v>
      </c>
      <c r="H193" s="4">
        <v>1.44</v>
      </c>
      <c r="I193" s="4">
        <v>8.06</v>
      </c>
      <c r="J193" s="7" t="s">
        <v>549</v>
      </c>
    </row>
    <row r="194" spans="1:10">
      <c r="A194" s="7">
        <v>20100128</v>
      </c>
      <c r="B194" s="108" t="s">
        <v>498</v>
      </c>
      <c r="C194" s="108" t="str">
        <f t="shared" si="7"/>
        <v>20100128RLS</v>
      </c>
      <c r="D194" s="108" t="s">
        <v>319</v>
      </c>
      <c r="E194" s="108" t="str">
        <f t="shared" si="8"/>
        <v>20100128LGUM_374</v>
      </c>
      <c r="F194" s="4">
        <v>12.22</v>
      </c>
      <c r="G194" s="4">
        <v>0.57999999999999996</v>
      </c>
      <c r="H194" s="4">
        <v>0.99</v>
      </c>
      <c r="I194" s="4">
        <v>10.65</v>
      </c>
      <c r="J194" s="7" t="s">
        <v>597</v>
      </c>
    </row>
    <row r="195" spans="1:10">
      <c r="A195" s="7">
        <v>20100128</v>
      </c>
      <c r="B195" s="108" t="s">
        <v>498</v>
      </c>
      <c r="C195" s="108" t="str">
        <f t="shared" si="7"/>
        <v>20100128RLS</v>
      </c>
      <c r="D195" s="108" t="s">
        <v>320</v>
      </c>
      <c r="E195" s="108" t="str">
        <f t="shared" si="8"/>
        <v>20100128LGUM_375</v>
      </c>
      <c r="F195" s="4">
        <v>20.61</v>
      </c>
      <c r="G195" s="4">
        <v>0.55000000000000004</v>
      </c>
      <c r="H195" s="4">
        <v>1.38</v>
      </c>
      <c r="I195" s="4">
        <v>18.68</v>
      </c>
      <c r="J195" s="7" t="s">
        <v>598</v>
      </c>
    </row>
    <row r="196" spans="1:10">
      <c r="A196" s="7">
        <v>20100128</v>
      </c>
      <c r="B196" s="108" t="s">
        <v>498</v>
      </c>
      <c r="C196" s="108" t="str">
        <f t="shared" si="7"/>
        <v>20100128RLS</v>
      </c>
      <c r="D196" s="108" t="s">
        <v>321</v>
      </c>
      <c r="E196" s="108" t="str">
        <f t="shared" si="8"/>
        <v>20100128LGUM_376</v>
      </c>
      <c r="F196" s="4">
        <v>11.72</v>
      </c>
      <c r="G196" s="4">
        <v>0.52</v>
      </c>
      <c r="H196" s="4">
        <v>0.85</v>
      </c>
      <c r="I196" s="4">
        <v>10.350000000000001</v>
      </c>
      <c r="J196" s="7" t="s">
        <v>599</v>
      </c>
    </row>
    <row r="197" spans="1:10">
      <c r="A197" s="7">
        <v>20100128</v>
      </c>
      <c r="B197" s="108" t="s">
        <v>498</v>
      </c>
      <c r="C197" s="108" t="str">
        <f t="shared" si="7"/>
        <v>20100128RLS</v>
      </c>
      <c r="D197" s="108" t="s">
        <v>322</v>
      </c>
      <c r="E197" s="108" t="str">
        <f t="shared" si="8"/>
        <v>20100128LGUM_377</v>
      </c>
      <c r="F197" s="4">
        <v>17.75</v>
      </c>
      <c r="G197" s="4">
        <v>0.55000000000000004</v>
      </c>
      <c r="H197" s="4">
        <v>1.38</v>
      </c>
      <c r="I197" s="4">
        <v>15.82</v>
      </c>
      <c r="J197" s="7" t="s">
        <v>600</v>
      </c>
    </row>
    <row r="198" spans="1:10">
      <c r="A198" s="7">
        <v>20100128</v>
      </c>
      <c r="B198" s="108" t="s">
        <v>498</v>
      </c>
      <c r="C198" s="108" t="str">
        <f t="shared" si="7"/>
        <v>20100128RLS</v>
      </c>
      <c r="D198" s="108" t="s">
        <v>323</v>
      </c>
      <c r="E198" s="108" t="str">
        <f t="shared" si="8"/>
        <v>20100128LGUM_378</v>
      </c>
      <c r="F198" s="4">
        <v>55.3</v>
      </c>
      <c r="G198" s="4">
        <v>1.0900000000000001</v>
      </c>
      <c r="H198" s="4">
        <v>7.58</v>
      </c>
      <c r="I198" s="4">
        <v>46.629999999999995</v>
      </c>
      <c r="J198" s="7" t="s">
        <v>601</v>
      </c>
    </row>
    <row r="199" spans="1:10">
      <c r="A199" s="7">
        <v>20100128</v>
      </c>
      <c r="B199" s="108" t="s">
        <v>498</v>
      </c>
      <c r="C199" s="108" t="str">
        <f t="shared" si="7"/>
        <v>20100128RLS</v>
      </c>
      <c r="D199" s="108" t="s">
        <v>324</v>
      </c>
      <c r="E199" s="108" t="str">
        <f t="shared" si="8"/>
        <v>20100128LGUM_379</v>
      </c>
      <c r="F199" s="4">
        <v>29.05</v>
      </c>
      <c r="G199" s="4">
        <v>1.0900000000000001</v>
      </c>
      <c r="H199" s="4">
        <v>7.57</v>
      </c>
      <c r="I199" s="4">
        <v>20.39</v>
      </c>
      <c r="J199" s="7" t="s">
        <v>556</v>
      </c>
    </row>
    <row r="200" spans="1:10">
      <c r="A200" s="7">
        <v>20100128</v>
      </c>
      <c r="B200" s="108" t="s">
        <v>498</v>
      </c>
      <c r="C200" s="108" t="str">
        <f t="shared" si="7"/>
        <v>20100128RLS</v>
      </c>
      <c r="D200" s="108" t="s">
        <v>325</v>
      </c>
      <c r="E200" s="108" t="str">
        <f t="shared" si="8"/>
        <v>20100128LGUM_380</v>
      </c>
      <c r="F200" s="4">
        <v>15.79</v>
      </c>
      <c r="G200" s="4">
        <v>0.52</v>
      </c>
      <c r="H200" s="4">
        <v>0.69</v>
      </c>
      <c r="I200" s="4">
        <v>14.58</v>
      </c>
      <c r="J200" s="7" t="s">
        <v>602</v>
      </c>
    </row>
    <row r="201" spans="1:10">
      <c r="A201" s="7">
        <v>20100128</v>
      </c>
      <c r="B201" s="108" t="s">
        <v>498</v>
      </c>
      <c r="C201" s="108" t="str">
        <f t="shared" si="7"/>
        <v>20100128RLS</v>
      </c>
      <c r="D201" s="108" t="s">
        <v>326</v>
      </c>
      <c r="E201" s="108" t="str">
        <f t="shared" si="8"/>
        <v>20100128LGUM_381</v>
      </c>
      <c r="F201" s="4">
        <v>16.559999999999999</v>
      </c>
      <c r="G201" s="4">
        <v>0.57999999999999996</v>
      </c>
      <c r="H201" s="4">
        <v>0.99</v>
      </c>
      <c r="I201" s="4">
        <v>14.989999999999998</v>
      </c>
      <c r="J201" s="7" t="s">
        <v>603</v>
      </c>
    </row>
    <row r="202" spans="1:10">
      <c r="A202" s="7">
        <v>20100128</v>
      </c>
      <c r="B202" s="108" t="s">
        <v>498</v>
      </c>
      <c r="C202" s="108" t="str">
        <f t="shared" si="7"/>
        <v>20100128RLS</v>
      </c>
      <c r="D202" s="108" t="s">
        <v>327</v>
      </c>
      <c r="E202" s="108" t="str">
        <f t="shared" si="8"/>
        <v>20100128LGUM_382</v>
      </c>
      <c r="F202" s="4">
        <v>15.98</v>
      </c>
      <c r="G202" s="4">
        <v>0.52</v>
      </c>
      <c r="H202" s="4">
        <v>0.69</v>
      </c>
      <c r="I202" s="4">
        <v>14.770000000000001</v>
      </c>
      <c r="J202" s="7" t="s">
        <v>604</v>
      </c>
    </row>
    <row r="203" spans="1:10">
      <c r="A203" s="7">
        <v>20100128</v>
      </c>
      <c r="B203" s="108" t="s">
        <v>498</v>
      </c>
      <c r="C203" s="108" t="str">
        <f t="shared" si="7"/>
        <v>20100128RLS</v>
      </c>
      <c r="D203" s="108" t="s">
        <v>328</v>
      </c>
      <c r="E203" s="108" t="str">
        <f t="shared" si="8"/>
        <v>20100128LGUM_383</v>
      </c>
      <c r="F203" s="4">
        <v>17.09</v>
      </c>
      <c r="G203" s="4">
        <v>0.57999999999999996</v>
      </c>
      <c r="H203" s="4">
        <v>0.99</v>
      </c>
      <c r="I203" s="4">
        <v>15.520000000000001</v>
      </c>
      <c r="J203" s="7" t="s">
        <v>605</v>
      </c>
    </row>
    <row r="204" spans="1:10">
      <c r="A204" s="7">
        <v>20100128</v>
      </c>
      <c r="B204" s="108" t="s">
        <v>606</v>
      </c>
      <c r="C204" s="108" t="str">
        <f t="shared" si="7"/>
        <v>20100128LS</v>
      </c>
      <c r="D204" s="108" t="s">
        <v>329</v>
      </c>
      <c r="E204" s="108" t="str">
        <f t="shared" si="8"/>
        <v>20100128LGUM_412</v>
      </c>
      <c r="F204" s="4">
        <v>16.38</v>
      </c>
      <c r="G204" s="4">
        <v>0.84</v>
      </c>
      <c r="H204" s="4">
        <v>0.75</v>
      </c>
      <c r="I204" s="4">
        <v>14.79</v>
      </c>
      <c r="J204" s="7" t="s">
        <v>607</v>
      </c>
    </row>
    <row r="205" spans="1:10">
      <c r="A205" s="7">
        <v>20100128</v>
      </c>
      <c r="B205" s="108" t="s">
        <v>606</v>
      </c>
      <c r="C205" s="108" t="str">
        <f t="shared" si="7"/>
        <v>20100128LS</v>
      </c>
      <c r="D205" s="108" t="s">
        <v>330</v>
      </c>
      <c r="E205" s="108" t="str">
        <f t="shared" si="8"/>
        <v>20100128LGUM_413</v>
      </c>
      <c r="F205" s="4">
        <v>16.88</v>
      </c>
      <c r="G205" s="4">
        <v>0.75</v>
      </c>
      <c r="H205" s="4">
        <v>0.99</v>
      </c>
      <c r="I205" s="4">
        <v>15.139999999999999</v>
      </c>
      <c r="J205" s="7" t="s">
        <v>608</v>
      </c>
    </row>
    <row r="206" spans="1:10">
      <c r="A206" s="7">
        <v>20100128</v>
      </c>
      <c r="B206" s="108" t="s">
        <v>606</v>
      </c>
      <c r="C206" s="108" t="str">
        <f t="shared" si="7"/>
        <v>20100128LS</v>
      </c>
      <c r="D206" s="108" t="s">
        <v>331</v>
      </c>
      <c r="E206" s="108" t="str">
        <f t="shared" si="8"/>
        <v>20100128LGUM_414</v>
      </c>
      <c r="F206" s="4">
        <v>17.84</v>
      </c>
      <c r="G206" s="4">
        <v>0.61</v>
      </c>
      <c r="H206" s="4">
        <v>1.37</v>
      </c>
      <c r="I206" s="4">
        <v>15.86</v>
      </c>
      <c r="J206" s="7" t="s">
        <v>609</v>
      </c>
    </row>
    <row r="207" spans="1:10">
      <c r="A207" s="7">
        <v>20100128</v>
      </c>
      <c r="B207" s="108" t="s">
        <v>606</v>
      </c>
      <c r="C207" s="108" t="str">
        <f t="shared" si="7"/>
        <v>20100128LS</v>
      </c>
      <c r="D207" s="108" t="s">
        <v>332</v>
      </c>
      <c r="E207" s="108" t="str">
        <f t="shared" si="8"/>
        <v>20100128LGUM_415</v>
      </c>
      <c r="F207" s="4">
        <v>16.71</v>
      </c>
      <c r="G207" s="4">
        <v>0.84</v>
      </c>
      <c r="H207" s="4">
        <v>0.75</v>
      </c>
      <c r="I207" s="4">
        <v>15.120000000000001</v>
      </c>
      <c r="J207" s="7" t="s">
        <v>610</v>
      </c>
    </row>
    <row r="208" spans="1:10">
      <c r="A208" s="7">
        <v>20100128</v>
      </c>
      <c r="B208" s="108" t="s">
        <v>606</v>
      </c>
      <c r="C208" s="108" t="str">
        <f t="shared" si="7"/>
        <v>20100128LS</v>
      </c>
      <c r="D208" s="108" t="s">
        <v>333</v>
      </c>
      <c r="E208" s="108" t="str">
        <f t="shared" si="8"/>
        <v>20100128LGUM_416</v>
      </c>
      <c r="F208" s="4">
        <v>18.649999999999999</v>
      </c>
      <c r="G208" s="4">
        <v>0.75</v>
      </c>
      <c r="H208" s="4">
        <v>0.99</v>
      </c>
      <c r="I208" s="4">
        <v>16.91</v>
      </c>
      <c r="J208" s="7" t="s">
        <v>611</v>
      </c>
    </row>
    <row r="209" spans="1:10">
      <c r="A209" s="7">
        <v>20100128</v>
      </c>
      <c r="B209" s="108" t="s">
        <v>606</v>
      </c>
      <c r="C209" s="108" t="str">
        <f t="shared" si="7"/>
        <v>20100128LS</v>
      </c>
      <c r="D209" s="108" t="s">
        <v>334</v>
      </c>
      <c r="E209" s="108" t="str">
        <f t="shared" si="8"/>
        <v>20100128LGUM_417</v>
      </c>
      <c r="F209" s="4">
        <v>19.600000000000001</v>
      </c>
      <c r="G209" s="4">
        <v>0.75</v>
      </c>
      <c r="H209" s="4">
        <v>0.99</v>
      </c>
      <c r="I209" s="4">
        <v>17.860000000000003</v>
      </c>
      <c r="J209" s="7" t="s">
        <v>612</v>
      </c>
    </row>
    <row r="210" spans="1:10">
      <c r="A210" s="7">
        <v>20100128</v>
      </c>
      <c r="B210" s="108" t="s">
        <v>606</v>
      </c>
      <c r="C210" s="108" t="str">
        <f t="shared" si="7"/>
        <v>20100128LS</v>
      </c>
      <c r="D210" s="108" t="s">
        <v>335</v>
      </c>
      <c r="E210" s="108" t="str">
        <f t="shared" si="8"/>
        <v>20100128LGUM_418</v>
      </c>
      <c r="F210" s="4">
        <v>19.52</v>
      </c>
      <c r="G210" s="4">
        <v>0.61</v>
      </c>
      <c r="H210" s="4">
        <v>1.37</v>
      </c>
      <c r="I210" s="4">
        <v>17.54</v>
      </c>
      <c r="J210" s="7" t="s">
        <v>613</v>
      </c>
    </row>
    <row r="211" spans="1:10">
      <c r="A211" s="7">
        <v>20100128</v>
      </c>
      <c r="B211" s="108" t="s">
        <v>606</v>
      </c>
      <c r="C211" s="108" t="str">
        <f t="shared" si="7"/>
        <v>20100128LS</v>
      </c>
      <c r="D211" s="108" t="s">
        <v>336</v>
      </c>
      <c r="E211" s="108" t="str">
        <f t="shared" si="8"/>
        <v>20100128LGUM_419</v>
      </c>
      <c r="F211" s="4">
        <v>20.41</v>
      </c>
      <c r="G211" s="4">
        <v>0.61</v>
      </c>
      <c r="H211" s="4">
        <v>1.37</v>
      </c>
      <c r="I211" s="4">
        <v>18.43</v>
      </c>
      <c r="J211" s="7" t="s">
        <v>614</v>
      </c>
    </row>
    <row r="212" spans="1:10">
      <c r="A212" s="7">
        <v>20100128</v>
      </c>
      <c r="B212" s="108" t="s">
        <v>606</v>
      </c>
      <c r="C212" s="108" t="str">
        <f t="shared" si="7"/>
        <v>20100128LS</v>
      </c>
      <c r="D212" s="108" t="s">
        <v>337</v>
      </c>
      <c r="E212" s="108" t="str">
        <f t="shared" si="8"/>
        <v>20100128LGUM_420</v>
      </c>
      <c r="F212" s="4">
        <v>24.88</v>
      </c>
      <c r="G212" s="4">
        <v>0.61</v>
      </c>
      <c r="H212" s="4">
        <v>1.37</v>
      </c>
      <c r="I212" s="4">
        <v>22.9</v>
      </c>
      <c r="J212" s="7" t="s">
        <v>615</v>
      </c>
    </row>
    <row r="213" spans="1:10">
      <c r="A213" s="7">
        <v>20100128</v>
      </c>
      <c r="B213" s="108" t="s">
        <v>606</v>
      </c>
      <c r="C213" s="108" t="str">
        <f t="shared" si="7"/>
        <v>20100128LS</v>
      </c>
      <c r="D213" s="108" t="s">
        <v>338</v>
      </c>
      <c r="E213" s="108" t="str">
        <f t="shared" si="8"/>
        <v>20100128LGUM_421</v>
      </c>
      <c r="F213" s="4">
        <v>27.66</v>
      </c>
      <c r="G213" s="4">
        <v>0.72</v>
      </c>
      <c r="H213" s="4">
        <v>2.14</v>
      </c>
      <c r="I213" s="4">
        <v>24.8</v>
      </c>
      <c r="J213" s="7" t="s">
        <v>616</v>
      </c>
    </row>
    <row r="214" spans="1:10">
      <c r="A214" s="7">
        <v>20100128</v>
      </c>
      <c r="B214" s="108" t="s">
        <v>606</v>
      </c>
      <c r="C214" s="108" t="str">
        <f t="shared" si="7"/>
        <v>20100128LS</v>
      </c>
      <c r="D214" s="108" t="s">
        <v>339</v>
      </c>
      <c r="E214" s="108" t="str">
        <f t="shared" si="8"/>
        <v>20100128LGUM_422</v>
      </c>
      <c r="F214" s="4">
        <v>31.49</v>
      </c>
      <c r="G214" s="4">
        <v>0.8</v>
      </c>
      <c r="H214" s="4">
        <v>3.4</v>
      </c>
      <c r="I214" s="4">
        <v>27.29</v>
      </c>
      <c r="J214" s="7" t="s">
        <v>617</v>
      </c>
    </row>
    <row r="215" spans="1:10">
      <c r="A215" s="7">
        <v>20100128</v>
      </c>
      <c r="B215" s="108" t="s">
        <v>606</v>
      </c>
      <c r="C215" s="108" t="str">
        <f t="shared" si="7"/>
        <v>20100128LS</v>
      </c>
      <c r="D215" s="108" t="s">
        <v>340</v>
      </c>
      <c r="E215" s="108" t="str">
        <f t="shared" si="8"/>
        <v>20100128LGUM_423</v>
      </c>
      <c r="F215" s="4">
        <v>21.86</v>
      </c>
      <c r="G215" s="4">
        <v>0.61</v>
      </c>
      <c r="H215" s="4">
        <v>1.37</v>
      </c>
      <c r="I215" s="4">
        <v>19.88</v>
      </c>
      <c r="J215" s="7" t="s">
        <v>618</v>
      </c>
    </row>
    <row r="216" spans="1:10">
      <c r="A216" s="7">
        <v>20100128</v>
      </c>
      <c r="B216" s="108" t="s">
        <v>606</v>
      </c>
      <c r="C216" s="108" t="str">
        <f t="shared" si="7"/>
        <v>20100128LS</v>
      </c>
      <c r="D216" s="108" t="s">
        <v>341</v>
      </c>
      <c r="E216" s="108" t="str">
        <f t="shared" si="8"/>
        <v>20100128LGUM_424</v>
      </c>
      <c r="F216" s="4">
        <v>23.91</v>
      </c>
      <c r="G216" s="4">
        <v>0.72</v>
      </c>
      <c r="H216" s="4">
        <v>2.14</v>
      </c>
      <c r="I216" s="4">
        <v>21.05</v>
      </c>
      <c r="J216" s="7" t="s">
        <v>619</v>
      </c>
    </row>
    <row r="217" spans="1:10">
      <c r="A217" s="7">
        <v>20100128</v>
      </c>
      <c r="B217" s="108" t="s">
        <v>606</v>
      </c>
      <c r="C217" s="108" t="str">
        <f t="shared" si="7"/>
        <v>20100128LS</v>
      </c>
      <c r="D217" s="108" t="s">
        <v>342</v>
      </c>
      <c r="E217" s="108" t="str">
        <f t="shared" si="8"/>
        <v>20100128LGUM_425</v>
      </c>
      <c r="F217" s="4">
        <v>27.78</v>
      </c>
      <c r="G217" s="4">
        <v>0.8</v>
      </c>
      <c r="H217" s="4">
        <v>3.4</v>
      </c>
      <c r="I217" s="4">
        <v>23.580000000000002</v>
      </c>
      <c r="J217" s="7" t="s">
        <v>620</v>
      </c>
    </row>
    <row r="218" spans="1:10">
      <c r="A218" s="7">
        <v>20100128</v>
      </c>
      <c r="B218" s="108" t="s">
        <v>606</v>
      </c>
      <c r="C218" s="108" t="str">
        <f t="shared" si="7"/>
        <v>20100128LS</v>
      </c>
      <c r="D218" s="108" t="s">
        <v>343</v>
      </c>
      <c r="E218" s="108" t="str">
        <f t="shared" si="8"/>
        <v>20100128LGUM_426</v>
      </c>
      <c r="F218" s="4">
        <v>27.81</v>
      </c>
      <c r="G218" s="4">
        <v>0.84</v>
      </c>
      <c r="H218" s="4">
        <v>0.75</v>
      </c>
      <c r="I218" s="4">
        <v>26.22</v>
      </c>
      <c r="J218" s="7" t="s">
        <v>621</v>
      </c>
    </row>
    <row r="219" spans="1:10">
      <c r="A219" s="7">
        <v>20100128</v>
      </c>
      <c r="B219" s="108" t="s">
        <v>606</v>
      </c>
      <c r="C219" s="108" t="str">
        <f t="shared" si="7"/>
        <v>20100128LS</v>
      </c>
      <c r="D219" s="108" t="s">
        <v>344</v>
      </c>
      <c r="E219" s="108" t="str">
        <f t="shared" si="8"/>
        <v>20100128LGUM_427</v>
      </c>
      <c r="F219" s="4">
        <v>29.49</v>
      </c>
      <c r="G219" s="4">
        <v>0.84</v>
      </c>
      <c r="H219" s="4">
        <v>0.75</v>
      </c>
      <c r="I219" s="4">
        <v>27.9</v>
      </c>
      <c r="J219" s="7" t="s">
        <v>622</v>
      </c>
    </row>
    <row r="220" spans="1:10">
      <c r="A220" s="7">
        <v>20100128</v>
      </c>
      <c r="B220" s="108" t="s">
        <v>606</v>
      </c>
      <c r="C220" s="108" t="str">
        <f t="shared" si="7"/>
        <v>20100128LS</v>
      </c>
      <c r="D220" s="108" t="s">
        <v>345</v>
      </c>
      <c r="E220" s="108" t="str">
        <f t="shared" si="8"/>
        <v>20100128LGUM_428</v>
      </c>
      <c r="F220" s="4">
        <v>28.46</v>
      </c>
      <c r="G220" s="4">
        <v>0.75</v>
      </c>
      <c r="H220" s="4">
        <v>0.99</v>
      </c>
      <c r="I220" s="4">
        <v>26.720000000000002</v>
      </c>
      <c r="J220" s="7" t="s">
        <v>623</v>
      </c>
    </row>
    <row r="221" spans="1:10">
      <c r="A221" s="7">
        <v>20100128</v>
      </c>
      <c r="B221" s="108" t="s">
        <v>606</v>
      </c>
      <c r="C221" s="108" t="str">
        <f t="shared" si="7"/>
        <v>20100128LS</v>
      </c>
      <c r="D221" s="108" t="s">
        <v>346</v>
      </c>
      <c r="E221" s="108" t="str">
        <f t="shared" si="8"/>
        <v>20100128LGUM_429</v>
      </c>
      <c r="F221" s="4">
        <v>30.15</v>
      </c>
      <c r="G221" s="4">
        <v>0.75</v>
      </c>
      <c r="H221" s="4">
        <v>0.99</v>
      </c>
      <c r="I221" s="4">
        <v>28.41</v>
      </c>
      <c r="J221" s="7" t="s">
        <v>624</v>
      </c>
    </row>
    <row r="222" spans="1:10">
      <c r="A222" s="7">
        <v>20100128</v>
      </c>
      <c r="B222" s="108" t="s">
        <v>606</v>
      </c>
      <c r="C222" s="108" t="str">
        <f t="shared" ref="C222:C256" si="9">A222&amp;B222</f>
        <v>20100128LS</v>
      </c>
      <c r="D222" s="108" t="s">
        <v>347</v>
      </c>
      <c r="E222" s="108" t="str">
        <f t="shared" ref="E222:E256" si="10">A222&amp;D222</f>
        <v>20100128LGUM_430</v>
      </c>
      <c r="F222" s="4">
        <v>26.99</v>
      </c>
      <c r="G222" s="4">
        <v>0.84</v>
      </c>
      <c r="H222" s="4">
        <v>0.75</v>
      </c>
      <c r="I222" s="4">
        <v>25.4</v>
      </c>
      <c r="J222" s="7" t="s">
        <v>625</v>
      </c>
    </row>
    <row r="223" spans="1:10">
      <c r="A223" s="7">
        <v>20100128</v>
      </c>
      <c r="B223" s="108" t="s">
        <v>606</v>
      </c>
      <c r="C223" s="108" t="str">
        <f t="shared" si="9"/>
        <v>20100128LS</v>
      </c>
      <c r="D223" s="108" t="s">
        <v>348</v>
      </c>
      <c r="E223" s="108" t="str">
        <f t="shared" si="10"/>
        <v>20100128LGUM_431</v>
      </c>
      <c r="F223" s="4">
        <v>27.56</v>
      </c>
      <c r="G223" s="4">
        <v>0.84</v>
      </c>
      <c r="H223" s="4">
        <v>0.75</v>
      </c>
      <c r="I223" s="4">
        <v>25.97</v>
      </c>
      <c r="J223" s="7" t="s">
        <v>626</v>
      </c>
    </row>
    <row r="224" spans="1:10">
      <c r="A224" s="7">
        <v>20100128</v>
      </c>
      <c r="B224" s="108" t="s">
        <v>606</v>
      </c>
      <c r="C224" s="108" t="str">
        <f t="shared" si="9"/>
        <v>20100128LS</v>
      </c>
      <c r="D224" s="108" t="s">
        <v>376</v>
      </c>
      <c r="E224" s="108" t="str">
        <f t="shared" si="10"/>
        <v>20100128LGUM_432</v>
      </c>
      <c r="F224" s="4">
        <v>28.67</v>
      </c>
      <c r="G224" s="4">
        <v>0.75</v>
      </c>
      <c r="H224" s="4">
        <v>0.99</v>
      </c>
      <c r="I224" s="4">
        <v>26.930000000000003</v>
      </c>
      <c r="J224" s="7" t="s">
        <v>627</v>
      </c>
    </row>
    <row r="225" spans="1:10">
      <c r="A225" s="7">
        <v>20100128</v>
      </c>
      <c r="B225" s="108" t="s">
        <v>606</v>
      </c>
      <c r="C225" s="108" t="str">
        <f t="shared" si="9"/>
        <v>20100128LS</v>
      </c>
      <c r="D225" s="108" t="s">
        <v>349</v>
      </c>
      <c r="E225" s="108" t="str">
        <f t="shared" si="10"/>
        <v>20100128LGUM_433</v>
      </c>
      <c r="F225" s="4">
        <v>29.23</v>
      </c>
      <c r="G225" s="4">
        <v>0.75</v>
      </c>
      <c r="H225" s="4">
        <v>0.99</v>
      </c>
      <c r="I225" s="4">
        <v>27.490000000000002</v>
      </c>
      <c r="J225" s="7" t="s">
        <v>628</v>
      </c>
    </row>
    <row r="226" spans="1:10">
      <c r="A226" s="7">
        <v>20100128</v>
      </c>
      <c r="B226" s="108" t="s">
        <v>606</v>
      </c>
      <c r="C226" s="108" t="str">
        <f t="shared" si="9"/>
        <v>20100128LS</v>
      </c>
      <c r="D226" s="108" t="s">
        <v>350</v>
      </c>
      <c r="E226" s="108" t="str">
        <f t="shared" si="10"/>
        <v>20100128LGUM_434</v>
      </c>
      <c r="F226" s="4">
        <v>16.350000000000001</v>
      </c>
      <c r="G226" s="4">
        <v>0.7</v>
      </c>
      <c r="H226" s="4">
        <v>0.85</v>
      </c>
      <c r="I226" s="4">
        <v>14.800000000000002</v>
      </c>
      <c r="J226" s="7" t="s">
        <v>629</v>
      </c>
    </row>
    <row r="227" spans="1:10">
      <c r="A227" s="7">
        <v>20100128</v>
      </c>
      <c r="B227" s="108" t="s">
        <v>606</v>
      </c>
      <c r="C227" s="108" t="str">
        <f t="shared" si="9"/>
        <v>20100128LS</v>
      </c>
      <c r="D227" s="108" t="s">
        <v>351</v>
      </c>
      <c r="E227" s="108" t="str">
        <f t="shared" si="10"/>
        <v>20100128LGUM_435</v>
      </c>
      <c r="F227" s="4">
        <v>17.920000000000002</v>
      </c>
      <c r="G227" s="4">
        <v>0.63</v>
      </c>
      <c r="H227" s="4">
        <v>1.44</v>
      </c>
      <c r="I227" s="4">
        <v>15.850000000000003</v>
      </c>
      <c r="J227" s="7" t="s">
        <v>630</v>
      </c>
    </row>
    <row r="228" spans="1:10">
      <c r="A228" s="7">
        <v>20100128</v>
      </c>
      <c r="B228" s="108" t="s">
        <v>606</v>
      </c>
      <c r="C228" s="108" t="str">
        <f t="shared" si="9"/>
        <v>20100128LS</v>
      </c>
      <c r="D228" s="108" t="s">
        <v>631</v>
      </c>
      <c r="E228" s="108" t="str">
        <f t="shared" si="10"/>
        <v>20100128LGUM_436</v>
      </c>
      <c r="F228" s="4">
        <v>21.89</v>
      </c>
      <c r="G228" s="4">
        <v>0.63</v>
      </c>
      <c r="H228" s="4">
        <v>1.44</v>
      </c>
      <c r="I228" s="4">
        <v>19.82</v>
      </c>
      <c r="J228" s="7" t="s">
        <v>632</v>
      </c>
    </row>
    <row r="229" spans="1:10">
      <c r="A229" s="7">
        <v>20100128</v>
      </c>
      <c r="B229" s="108" t="s">
        <v>606</v>
      </c>
      <c r="C229" s="108" t="str">
        <f t="shared" si="9"/>
        <v>20100128LS</v>
      </c>
      <c r="D229" s="108" t="s">
        <v>352</v>
      </c>
      <c r="E229" s="108" t="str">
        <f t="shared" si="10"/>
        <v>20100128LGUM_437</v>
      </c>
      <c r="F229" s="4">
        <v>23.31</v>
      </c>
      <c r="G229" s="4">
        <v>0.52</v>
      </c>
      <c r="H229" s="4">
        <v>2.04</v>
      </c>
      <c r="I229" s="4">
        <v>20.75</v>
      </c>
      <c r="J229" s="7" t="s">
        <v>633</v>
      </c>
    </row>
    <row r="230" spans="1:10">
      <c r="A230" s="7">
        <v>20100128</v>
      </c>
      <c r="B230" s="108" t="s">
        <v>606</v>
      </c>
      <c r="C230" s="108" t="str">
        <f t="shared" si="9"/>
        <v>20100128LS</v>
      </c>
      <c r="D230" s="108" t="s">
        <v>353</v>
      </c>
      <c r="E230" s="108" t="str">
        <f t="shared" si="10"/>
        <v>20100128LGUM_438</v>
      </c>
      <c r="F230" s="4">
        <v>26.69</v>
      </c>
      <c r="G230" s="4">
        <v>0.69</v>
      </c>
      <c r="H230" s="4">
        <v>3.17</v>
      </c>
      <c r="I230" s="4">
        <v>22.83</v>
      </c>
      <c r="J230" s="7" t="s">
        <v>634</v>
      </c>
    </row>
    <row r="231" spans="1:10">
      <c r="A231" s="7">
        <v>20100128</v>
      </c>
      <c r="B231" s="108" t="s">
        <v>606</v>
      </c>
      <c r="C231" s="108" t="str">
        <f t="shared" si="9"/>
        <v>20100128LS</v>
      </c>
      <c r="D231" s="108" t="s">
        <v>354</v>
      </c>
      <c r="E231" s="108" t="str">
        <f t="shared" si="10"/>
        <v>20100128LGUM_452</v>
      </c>
      <c r="F231" s="4">
        <v>10.130000000000001</v>
      </c>
      <c r="G231" s="4">
        <v>0.61</v>
      </c>
      <c r="H231" s="4">
        <v>1.37</v>
      </c>
      <c r="I231" s="4">
        <v>8.1500000000000021</v>
      </c>
      <c r="J231" s="7" t="s">
        <v>635</v>
      </c>
    </row>
    <row r="232" spans="1:10">
      <c r="A232" s="7">
        <v>20100128</v>
      </c>
      <c r="B232" s="108" t="s">
        <v>606</v>
      </c>
      <c r="C232" s="108" t="str">
        <f t="shared" si="9"/>
        <v>20100128LS</v>
      </c>
      <c r="D232" s="108" t="s">
        <v>355</v>
      </c>
      <c r="E232" s="108" t="str">
        <f t="shared" si="10"/>
        <v>20100128LGUM_453</v>
      </c>
      <c r="F232" s="4">
        <v>12.19</v>
      </c>
      <c r="G232" s="4">
        <v>0.72</v>
      </c>
      <c r="H232" s="4">
        <v>2.14</v>
      </c>
      <c r="I232" s="4">
        <v>9.3299999999999983</v>
      </c>
      <c r="J232" s="7" t="s">
        <v>636</v>
      </c>
    </row>
    <row r="233" spans="1:10">
      <c r="A233" s="7">
        <v>20100128</v>
      </c>
      <c r="B233" s="108" t="s">
        <v>606</v>
      </c>
      <c r="C233" s="108" t="str">
        <f t="shared" si="9"/>
        <v>20100128LS</v>
      </c>
      <c r="D233" s="108" t="s">
        <v>356</v>
      </c>
      <c r="E233" s="108" t="str">
        <f t="shared" si="10"/>
        <v>20100128LGUM_454</v>
      </c>
      <c r="F233" s="4">
        <v>16.059999999999999</v>
      </c>
      <c r="G233" s="4">
        <v>0.8</v>
      </c>
      <c r="H233" s="4">
        <v>3.4</v>
      </c>
      <c r="I233" s="4">
        <v>11.859999999999998</v>
      </c>
      <c r="J233" s="7" t="s">
        <v>637</v>
      </c>
    </row>
    <row r="234" spans="1:10">
      <c r="A234" s="7">
        <v>20100128</v>
      </c>
      <c r="B234" s="108" t="s">
        <v>606</v>
      </c>
      <c r="C234" s="108" t="str">
        <f t="shared" si="9"/>
        <v>20100128LS</v>
      </c>
      <c r="D234" s="108" t="s">
        <v>357</v>
      </c>
      <c r="E234" s="108" t="str">
        <f t="shared" si="10"/>
        <v>20100128LGUM_455</v>
      </c>
      <c r="F234" s="4">
        <v>11.55</v>
      </c>
      <c r="G234" s="4">
        <v>0.61</v>
      </c>
      <c r="H234" s="4">
        <v>1.37</v>
      </c>
      <c r="I234" s="4">
        <v>9.57</v>
      </c>
      <c r="J234" s="7" t="s">
        <v>638</v>
      </c>
    </row>
    <row r="235" spans="1:10">
      <c r="A235" s="7">
        <v>20100128</v>
      </c>
      <c r="B235" s="108" t="s">
        <v>606</v>
      </c>
      <c r="C235" s="108" t="str">
        <f t="shared" si="9"/>
        <v>20100128LS</v>
      </c>
      <c r="D235" s="108" t="s">
        <v>358</v>
      </c>
      <c r="E235" s="108" t="str">
        <f t="shared" si="10"/>
        <v>20100128LGUM_456</v>
      </c>
      <c r="F235" s="4">
        <v>16.91</v>
      </c>
      <c r="G235" s="4">
        <v>0.8</v>
      </c>
      <c r="H235" s="4">
        <v>3.4</v>
      </c>
      <c r="I235" s="4">
        <v>12.709999999999999</v>
      </c>
      <c r="J235" s="7" t="s">
        <v>639</v>
      </c>
    </row>
    <row r="236" spans="1:10">
      <c r="A236" s="7">
        <v>20100128</v>
      </c>
      <c r="B236" s="108" t="s">
        <v>606</v>
      </c>
      <c r="C236" s="108" t="str">
        <f t="shared" si="9"/>
        <v>20100128LS</v>
      </c>
      <c r="D236" s="108" t="s">
        <v>359</v>
      </c>
      <c r="E236" s="108" t="str">
        <f t="shared" si="10"/>
        <v>20100128LGUM_457</v>
      </c>
      <c r="F236" s="4">
        <v>8.99</v>
      </c>
      <c r="G236" s="4">
        <v>0.75</v>
      </c>
      <c r="H236" s="4">
        <v>0.99</v>
      </c>
      <c r="I236" s="4">
        <v>7.25</v>
      </c>
      <c r="J236" s="7" t="s">
        <v>640</v>
      </c>
    </row>
    <row r="237" spans="1:10">
      <c r="A237" s="7">
        <v>20100128</v>
      </c>
      <c r="B237" s="108" t="s">
        <v>606</v>
      </c>
      <c r="C237" s="108" t="str">
        <f t="shared" si="9"/>
        <v>20100128LS</v>
      </c>
      <c r="D237" s="108" t="s">
        <v>360</v>
      </c>
      <c r="E237" s="108" t="str">
        <f t="shared" si="10"/>
        <v>20100128LGUM_458</v>
      </c>
      <c r="F237" s="4">
        <v>10.16</v>
      </c>
      <c r="G237" s="4">
        <v>0.63</v>
      </c>
      <c r="H237" s="4">
        <v>1.44</v>
      </c>
      <c r="I237" s="4">
        <v>8.09</v>
      </c>
      <c r="J237" s="7" t="s">
        <v>641</v>
      </c>
    </row>
    <row r="238" spans="1:10">
      <c r="A238" s="7">
        <v>20100128</v>
      </c>
      <c r="B238" s="108" t="s">
        <v>606</v>
      </c>
      <c r="C238" s="108" t="str">
        <f t="shared" si="9"/>
        <v>20100128LS</v>
      </c>
      <c r="D238" s="108" t="s">
        <v>361</v>
      </c>
      <c r="E238" s="108" t="str">
        <f t="shared" si="10"/>
        <v>20100128LGUM_459</v>
      </c>
      <c r="F238" s="4">
        <v>11.59</v>
      </c>
      <c r="G238" s="4">
        <v>0.52</v>
      </c>
      <c r="H238" s="4">
        <v>2.04</v>
      </c>
      <c r="I238" s="4">
        <v>9.0300000000000011</v>
      </c>
      <c r="J238" s="7" t="s">
        <v>642</v>
      </c>
    </row>
    <row r="239" spans="1:10">
      <c r="A239" s="7">
        <v>20100128</v>
      </c>
      <c r="B239" s="108" t="s">
        <v>606</v>
      </c>
      <c r="C239" s="108" t="str">
        <f t="shared" si="9"/>
        <v>20100128LS</v>
      </c>
      <c r="D239" s="108" t="s">
        <v>362</v>
      </c>
      <c r="E239" s="108" t="str">
        <f t="shared" si="10"/>
        <v>20100128LGUM_460</v>
      </c>
      <c r="F239" s="4">
        <v>14.96</v>
      </c>
      <c r="G239" s="4">
        <v>0.69</v>
      </c>
      <c r="H239" s="4">
        <v>3.17</v>
      </c>
      <c r="I239" s="4">
        <v>11.100000000000001</v>
      </c>
      <c r="J239" s="7" t="s">
        <v>643</v>
      </c>
    </row>
    <row r="240" spans="1:10">
      <c r="A240" s="7">
        <v>20100128</v>
      </c>
      <c r="B240" s="108" t="s">
        <v>606</v>
      </c>
      <c r="C240" s="108" t="str">
        <f t="shared" si="9"/>
        <v>20100128LS</v>
      </c>
      <c r="D240" s="108" t="s">
        <v>363</v>
      </c>
      <c r="E240" s="108" t="str">
        <f t="shared" si="10"/>
        <v>20100128LGUM_461</v>
      </c>
      <c r="F240" s="4">
        <v>16.309999999999999</v>
      </c>
      <c r="G240" s="4">
        <v>0.69</v>
      </c>
      <c r="H240" s="4">
        <v>3.17</v>
      </c>
      <c r="I240" s="4">
        <v>12.45</v>
      </c>
      <c r="J240" s="7" t="s">
        <v>644</v>
      </c>
    </row>
    <row r="241" spans="1:10">
      <c r="A241" s="7">
        <v>20100128</v>
      </c>
      <c r="B241" s="108" t="s">
        <v>606</v>
      </c>
      <c r="C241" s="108" t="str">
        <f t="shared" si="9"/>
        <v>20100128LS</v>
      </c>
      <c r="D241" s="108" t="s">
        <v>364</v>
      </c>
      <c r="E241" s="108" t="str">
        <f t="shared" si="10"/>
        <v>20100128LGUM_462</v>
      </c>
      <c r="F241" s="4">
        <v>9.9</v>
      </c>
      <c r="G241" s="4">
        <v>0.63</v>
      </c>
      <c r="H241" s="4">
        <v>1.44</v>
      </c>
      <c r="I241" s="4">
        <v>7.83</v>
      </c>
      <c r="J241" s="7" t="s">
        <v>645</v>
      </c>
    </row>
    <row r="242" spans="1:10">
      <c r="A242" s="7">
        <v>20100128</v>
      </c>
      <c r="B242" s="108" t="s">
        <v>606</v>
      </c>
      <c r="C242" s="108" t="str">
        <f t="shared" si="9"/>
        <v>20100128LS</v>
      </c>
      <c r="D242" s="108" t="s">
        <v>365</v>
      </c>
      <c r="E242" s="108" t="str">
        <f t="shared" si="10"/>
        <v>20100128LGUM_470</v>
      </c>
      <c r="F242" s="4">
        <v>10.39</v>
      </c>
      <c r="G242" s="4">
        <v>0.64</v>
      </c>
      <c r="H242" s="4">
        <v>1.42</v>
      </c>
      <c r="I242" s="4">
        <v>8.33</v>
      </c>
      <c r="J242" s="7" t="s">
        <v>646</v>
      </c>
    </row>
    <row r="243" spans="1:10">
      <c r="A243" s="7">
        <v>20100128</v>
      </c>
      <c r="B243" s="108" t="s">
        <v>606</v>
      </c>
      <c r="C243" s="108" t="str">
        <f t="shared" si="9"/>
        <v>20100128LS</v>
      </c>
      <c r="D243" s="108" t="s">
        <v>366</v>
      </c>
      <c r="E243" s="108" t="str">
        <f t="shared" si="10"/>
        <v>20100128LGUM_471</v>
      </c>
      <c r="F243" s="4">
        <v>12.33</v>
      </c>
      <c r="G243" s="4">
        <v>0.64</v>
      </c>
      <c r="H243" s="4">
        <v>1.42</v>
      </c>
      <c r="I243" s="4">
        <v>10.27</v>
      </c>
      <c r="J243" s="7" t="s">
        <v>647</v>
      </c>
    </row>
    <row r="244" spans="1:10">
      <c r="A244" s="7">
        <v>20100128</v>
      </c>
      <c r="B244" s="108" t="s">
        <v>606</v>
      </c>
      <c r="C244" s="108" t="str">
        <f t="shared" si="9"/>
        <v>20100128LS</v>
      </c>
      <c r="D244" s="108" t="s">
        <v>648</v>
      </c>
      <c r="E244" s="108" t="str">
        <f t="shared" si="10"/>
        <v>20100128LGUM_472</v>
      </c>
      <c r="F244" s="4">
        <v>18.68</v>
      </c>
      <c r="G244" s="4">
        <v>0.64</v>
      </c>
      <c r="H244" s="4">
        <v>1.42</v>
      </c>
      <c r="I244" s="4">
        <v>16.619999999999997</v>
      </c>
      <c r="J244" s="7" t="s">
        <v>649</v>
      </c>
    </row>
    <row r="245" spans="1:10">
      <c r="A245" s="7">
        <v>20100128</v>
      </c>
      <c r="B245" s="108" t="s">
        <v>606</v>
      </c>
      <c r="C245" s="108" t="str">
        <f t="shared" si="9"/>
        <v>20100128LS</v>
      </c>
      <c r="D245" s="108" t="s">
        <v>367</v>
      </c>
      <c r="E245" s="108" t="str">
        <f t="shared" si="10"/>
        <v>20100128LGUM_473</v>
      </c>
      <c r="F245" s="4">
        <v>14.93</v>
      </c>
      <c r="G245" s="4">
        <v>0.64</v>
      </c>
      <c r="H245" s="4">
        <v>3.09</v>
      </c>
      <c r="I245" s="4">
        <v>11.2</v>
      </c>
      <c r="J245" s="7" t="s">
        <v>650</v>
      </c>
    </row>
    <row r="246" spans="1:10">
      <c r="A246" s="7">
        <v>20100128</v>
      </c>
      <c r="B246" s="108" t="s">
        <v>606</v>
      </c>
      <c r="C246" s="108" t="str">
        <f t="shared" si="9"/>
        <v>20100128LS</v>
      </c>
      <c r="D246" s="108" t="s">
        <v>368</v>
      </c>
      <c r="E246" s="108" t="str">
        <f t="shared" si="10"/>
        <v>20100128LGUM_474</v>
      </c>
      <c r="F246" s="4">
        <v>16.88</v>
      </c>
      <c r="G246" s="4">
        <v>0.64</v>
      </c>
      <c r="H246" s="4">
        <v>3.09</v>
      </c>
      <c r="I246" s="4">
        <v>13.149999999999999</v>
      </c>
      <c r="J246" s="7" t="s">
        <v>651</v>
      </c>
    </row>
    <row r="247" spans="1:10">
      <c r="A247" s="7">
        <v>20100128</v>
      </c>
      <c r="B247" s="108" t="s">
        <v>606</v>
      </c>
      <c r="C247" s="108" t="str">
        <f t="shared" si="9"/>
        <v>20100128LS</v>
      </c>
      <c r="D247" s="108" t="s">
        <v>369</v>
      </c>
      <c r="E247" s="108" t="str">
        <f t="shared" si="10"/>
        <v>20100128LGUM_475</v>
      </c>
      <c r="F247" s="4">
        <v>23.23</v>
      </c>
      <c r="G247" s="4">
        <v>0.64</v>
      </c>
      <c r="H247" s="4">
        <v>3.09</v>
      </c>
      <c r="I247" s="4">
        <v>19.5</v>
      </c>
      <c r="J247" s="7" t="s">
        <v>652</v>
      </c>
    </row>
    <row r="248" spans="1:10">
      <c r="A248" s="7">
        <v>20100128</v>
      </c>
      <c r="B248" s="108" t="s">
        <v>606</v>
      </c>
      <c r="C248" s="108" t="str">
        <f t="shared" si="9"/>
        <v>20100128LS</v>
      </c>
      <c r="D248" s="108" t="s">
        <v>370</v>
      </c>
      <c r="E248" s="108" t="str">
        <f t="shared" si="10"/>
        <v>20100128LGUM_476</v>
      </c>
      <c r="F248" s="4">
        <v>30.9</v>
      </c>
      <c r="G248" s="4">
        <v>0.64</v>
      </c>
      <c r="H248" s="4">
        <v>7.41</v>
      </c>
      <c r="I248" s="4">
        <v>22.849999999999998</v>
      </c>
      <c r="J248" s="7" t="s">
        <v>653</v>
      </c>
    </row>
    <row r="249" spans="1:10">
      <c r="A249" s="7">
        <v>20100128</v>
      </c>
      <c r="B249" s="108" t="s">
        <v>606</v>
      </c>
      <c r="C249" s="108" t="str">
        <f t="shared" si="9"/>
        <v>20100128LS</v>
      </c>
      <c r="D249" s="108" t="s">
        <v>371</v>
      </c>
      <c r="E249" s="108" t="str">
        <f t="shared" si="10"/>
        <v>20100128LGUM_477</v>
      </c>
      <c r="F249" s="4">
        <v>33.61</v>
      </c>
      <c r="G249" s="4">
        <v>0.64</v>
      </c>
      <c r="H249" s="4">
        <v>7.41</v>
      </c>
      <c r="I249" s="4">
        <v>25.56</v>
      </c>
      <c r="J249" s="7" t="s">
        <v>654</v>
      </c>
    </row>
    <row r="250" spans="1:10">
      <c r="A250" s="7">
        <v>20100128</v>
      </c>
      <c r="B250" s="108" t="s">
        <v>606</v>
      </c>
      <c r="C250" s="108" t="str">
        <f t="shared" si="9"/>
        <v>20100128LS</v>
      </c>
      <c r="D250" s="108" t="s">
        <v>655</v>
      </c>
      <c r="E250" s="108" t="str">
        <f t="shared" si="10"/>
        <v>20100128LGUM_478</v>
      </c>
      <c r="F250" s="4">
        <v>39.19</v>
      </c>
      <c r="G250" s="4">
        <v>0.64</v>
      </c>
      <c r="H250" s="4">
        <v>7.41</v>
      </c>
      <c r="I250" s="4">
        <v>31.139999999999997</v>
      </c>
      <c r="J250" s="7" t="s">
        <v>656</v>
      </c>
    </row>
    <row r="251" spans="1:10">
      <c r="A251" s="7">
        <v>20100128</v>
      </c>
      <c r="B251" s="108" t="s">
        <v>606</v>
      </c>
      <c r="C251" s="108" t="str">
        <f t="shared" si="9"/>
        <v>20100128LS</v>
      </c>
      <c r="D251" s="108" t="s">
        <v>657</v>
      </c>
      <c r="E251" s="108" t="str">
        <f t="shared" si="10"/>
        <v>20100128LGUM_479</v>
      </c>
      <c r="F251" s="4">
        <v>11.47</v>
      </c>
      <c r="G251" s="4">
        <v>0.64</v>
      </c>
      <c r="H251" s="4">
        <v>1.42</v>
      </c>
      <c r="I251" s="4">
        <v>9.41</v>
      </c>
      <c r="J251" s="7" t="s">
        <v>658</v>
      </c>
    </row>
    <row r="252" spans="1:10">
      <c r="A252" s="7">
        <v>20100128</v>
      </c>
      <c r="B252" s="108" t="s">
        <v>606</v>
      </c>
      <c r="C252" s="108" t="str">
        <f t="shared" si="9"/>
        <v>20100128LS</v>
      </c>
      <c r="D252" s="108" t="s">
        <v>659</v>
      </c>
      <c r="E252" s="108" t="str">
        <f t="shared" si="10"/>
        <v>20100128LGUM_480</v>
      </c>
      <c r="F252" s="4">
        <v>19.78</v>
      </c>
      <c r="G252" s="4">
        <v>0.64</v>
      </c>
      <c r="H252" s="4">
        <v>1.42</v>
      </c>
      <c r="I252" s="4">
        <v>17.72</v>
      </c>
      <c r="J252" s="7" t="s">
        <v>660</v>
      </c>
    </row>
    <row r="253" spans="1:10">
      <c r="A253" s="7">
        <v>20100128</v>
      </c>
      <c r="B253" s="108" t="s">
        <v>606</v>
      </c>
      <c r="C253" s="108" t="str">
        <f t="shared" si="9"/>
        <v>20100128LS</v>
      </c>
      <c r="D253" s="108" t="s">
        <v>399</v>
      </c>
      <c r="E253" s="108" t="str">
        <f t="shared" si="10"/>
        <v>20100128LGUM_481</v>
      </c>
      <c r="F253" s="4">
        <v>16.45</v>
      </c>
      <c r="G253" s="4">
        <v>0.64</v>
      </c>
      <c r="H253" s="4">
        <v>3.09</v>
      </c>
      <c r="I253" s="4">
        <v>12.719999999999999</v>
      </c>
      <c r="J253" s="7" t="s">
        <v>661</v>
      </c>
    </row>
    <row r="254" spans="1:10">
      <c r="A254" s="7">
        <v>20100128</v>
      </c>
      <c r="B254" s="108" t="s">
        <v>606</v>
      </c>
      <c r="C254" s="108" t="str">
        <f t="shared" si="9"/>
        <v>20100128LS</v>
      </c>
      <c r="D254" s="108" t="s">
        <v>372</v>
      </c>
      <c r="E254" s="108" t="str">
        <f t="shared" si="10"/>
        <v>20100128LGUM_482</v>
      </c>
      <c r="F254" s="4">
        <v>24.75</v>
      </c>
      <c r="G254" s="4">
        <v>0.64</v>
      </c>
      <c r="H254" s="4">
        <v>3.09</v>
      </c>
      <c r="I254" s="4">
        <v>21.02</v>
      </c>
      <c r="J254" s="7" t="s">
        <v>662</v>
      </c>
    </row>
    <row r="255" spans="1:10">
      <c r="A255" s="7">
        <v>20100128</v>
      </c>
      <c r="B255" s="108" t="s">
        <v>606</v>
      </c>
      <c r="C255" s="108" t="str">
        <f t="shared" si="9"/>
        <v>20100128LS</v>
      </c>
      <c r="D255" s="108" t="s">
        <v>373</v>
      </c>
      <c r="E255" s="108" t="str">
        <f t="shared" si="10"/>
        <v>20100128LGUM_483</v>
      </c>
      <c r="F255" s="4">
        <v>33.42</v>
      </c>
      <c r="G255" s="4">
        <v>0.64</v>
      </c>
      <c r="H255" s="4">
        <v>7.41</v>
      </c>
      <c r="I255" s="4">
        <v>25.37</v>
      </c>
      <c r="J255" s="7" t="s">
        <v>663</v>
      </c>
    </row>
    <row r="256" spans="1:10">
      <c r="A256" s="7">
        <v>20100128</v>
      </c>
      <c r="B256" s="108" t="s">
        <v>606</v>
      </c>
      <c r="C256" s="108" t="str">
        <f t="shared" si="9"/>
        <v>20100128LS</v>
      </c>
      <c r="D256" s="108" t="s">
        <v>374</v>
      </c>
      <c r="E256" s="108" t="str">
        <f t="shared" si="10"/>
        <v>20100128LGUM_484</v>
      </c>
      <c r="F256" s="4">
        <v>41.72</v>
      </c>
      <c r="G256" s="4">
        <v>0.64</v>
      </c>
      <c r="H256" s="4">
        <v>7.41</v>
      </c>
      <c r="I256" s="4">
        <v>33.67</v>
      </c>
      <c r="J256" s="7" t="s">
        <v>664</v>
      </c>
    </row>
    <row r="257" spans="1:10">
      <c r="A257" s="8">
        <v>20100729</v>
      </c>
      <c r="B257" s="109" t="s">
        <v>498</v>
      </c>
      <c r="C257" s="109" t="str">
        <f t="shared" ref="C257:C291" si="11">A257&amp;B257</f>
        <v>20100729RLS</v>
      </c>
      <c r="D257" s="109" t="s">
        <v>164</v>
      </c>
      <c r="E257" s="109" t="str">
        <f t="shared" ref="E257:E291" si="12">A257&amp;D257</f>
        <v>20100729LGUM_001</v>
      </c>
      <c r="F257" s="58">
        <v>7.89</v>
      </c>
      <c r="G257" s="58">
        <v>0.14000000000000001</v>
      </c>
      <c r="H257" s="58">
        <v>0.86</v>
      </c>
      <c r="I257" s="58">
        <v>6.89</v>
      </c>
      <c r="J257" s="8" t="s">
        <v>499</v>
      </c>
    </row>
    <row r="258" spans="1:10">
      <c r="A258" s="8">
        <v>20100729</v>
      </c>
      <c r="B258" s="109" t="s">
        <v>498</v>
      </c>
      <c r="C258" s="109" t="str">
        <f t="shared" si="11"/>
        <v>20100729RLS</v>
      </c>
      <c r="D258" s="109" t="s">
        <v>196</v>
      </c>
      <c r="E258" s="109" t="str">
        <f t="shared" si="12"/>
        <v>20100729LGUM_101</v>
      </c>
      <c r="F258" s="58">
        <v>7.89</v>
      </c>
      <c r="G258" s="58">
        <v>0.14000000000000001</v>
      </c>
      <c r="H258" s="58">
        <v>0.86</v>
      </c>
      <c r="I258" s="58">
        <v>6.89</v>
      </c>
      <c r="J258" s="8" t="s">
        <v>499</v>
      </c>
    </row>
    <row r="259" spans="1:10">
      <c r="A259" s="8">
        <v>20100729</v>
      </c>
      <c r="B259" s="109" t="s">
        <v>498</v>
      </c>
      <c r="C259" s="109" t="str">
        <f t="shared" si="11"/>
        <v>20100729RLS</v>
      </c>
      <c r="D259" s="109" t="s">
        <v>379</v>
      </c>
      <c r="E259" s="109" t="str">
        <f t="shared" si="12"/>
        <v>20100729LGUM_201</v>
      </c>
      <c r="F259" s="58">
        <v>7.89</v>
      </c>
      <c r="G259" s="58">
        <v>0.14000000000000001</v>
      </c>
      <c r="H259" s="58">
        <v>0.86</v>
      </c>
      <c r="I259" s="58">
        <v>6.89</v>
      </c>
      <c r="J259" s="8" t="s">
        <v>499</v>
      </c>
    </row>
    <row r="260" spans="1:10">
      <c r="A260" s="8">
        <v>20100729</v>
      </c>
      <c r="B260" s="109" t="s">
        <v>498</v>
      </c>
      <c r="C260" s="109" t="str">
        <f t="shared" si="11"/>
        <v>20100729RLS</v>
      </c>
      <c r="D260" s="109" t="s">
        <v>165</v>
      </c>
      <c r="E260" s="109" t="str">
        <f t="shared" si="12"/>
        <v>20100729LGUM_002</v>
      </c>
      <c r="F260" s="58">
        <v>8.82</v>
      </c>
      <c r="G260" s="58">
        <v>0.1</v>
      </c>
      <c r="H260" s="58">
        <v>1.44</v>
      </c>
      <c r="I260" s="58">
        <v>7.2800000000000011</v>
      </c>
      <c r="J260" s="8" t="s">
        <v>500</v>
      </c>
    </row>
    <row r="261" spans="1:10">
      <c r="A261" s="8">
        <v>20100729</v>
      </c>
      <c r="B261" s="109" t="s">
        <v>498</v>
      </c>
      <c r="C261" s="109" t="str">
        <f t="shared" si="11"/>
        <v>20100729RLS</v>
      </c>
      <c r="D261" s="109" t="s">
        <v>197</v>
      </c>
      <c r="E261" s="109" t="str">
        <f t="shared" si="12"/>
        <v>20100729LGUM_102</v>
      </c>
      <c r="F261" s="58">
        <v>8.82</v>
      </c>
      <c r="G261" s="58">
        <v>0.1</v>
      </c>
      <c r="H261" s="58">
        <v>1.44</v>
      </c>
      <c r="I261" s="58">
        <v>7.2800000000000011</v>
      </c>
      <c r="J261" s="8" t="s">
        <v>500</v>
      </c>
    </row>
    <row r="262" spans="1:10">
      <c r="A262" s="8">
        <v>20100729</v>
      </c>
      <c r="B262" s="109" t="s">
        <v>498</v>
      </c>
      <c r="C262" s="109" t="str">
        <f t="shared" si="11"/>
        <v>20100729RLS</v>
      </c>
      <c r="D262" s="109" t="s">
        <v>239</v>
      </c>
      <c r="E262" s="109" t="str">
        <f t="shared" si="12"/>
        <v>20100729LGUM_202</v>
      </c>
      <c r="F262" s="58">
        <v>8.82</v>
      </c>
      <c r="G262" s="58">
        <v>0.1</v>
      </c>
      <c r="H262" s="58">
        <v>1.44</v>
      </c>
      <c r="I262" s="58">
        <v>7.2800000000000011</v>
      </c>
      <c r="J262" s="8" t="s">
        <v>500</v>
      </c>
    </row>
    <row r="263" spans="1:10">
      <c r="A263" s="8">
        <v>20100729</v>
      </c>
      <c r="B263" s="109" t="s">
        <v>498</v>
      </c>
      <c r="C263" s="109" t="str">
        <f t="shared" si="11"/>
        <v>20100729RLS</v>
      </c>
      <c r="D263" s="109" t="s">
        <v>166</v>
      </c>
      <c r="E263" s="109" t="str">
        <f t="shared" si="12"/>
        <v>20100729LGUM_003</v>
      </c>
      <c r="F263" s="58">
        <v>10.18</v>
      </c>
      <c r="G263" s="58">
        <v>0.13</v>
      </c>
      <c r="H263" s="58">
        <v>2.04</v>
      </c>
      <c r="I263" s="58">
        <v>8.009999999999998</v>
      </c>
      <c r="J263" s="8" t="s">
        <v>501</v>
      </c>
    </row>
    <row r="264" spans="1:10">
      <c r="A264" s="8">
        <v>20100729</v>
      </c>
      <c r="B264" s="109" t="s">
        <v>498</v>
      </c>
      <c r="C264" s="109" t="str">
        <f t="shared" si="11"/>
        <v>20100729RLS</v>
      </c>
      <c r="D264" s="109" t="s">
        <v>198</v>
      </c>
      <c r="E264" s="109" t="str">
        <f t="shared" si="12"/>
        <v>20100729LGUM_103</v>
      </c>
      <c r="F264" s="58">
        <v>10.18</v>
      </c>
      <c r="G264" s="58">
        <v>0.13</v>
      </c>
      <c r="H264" s="58">
        <v>2.04</v>
      </c>
      <c r="I264" s="58">
        <v>8.009999999999998</v>
      </c>
      <c r="J264" s="8" t="s">
        <v>501</v>
      </c>
    </row>
    <row r="265" spans="1:10">
      <c r="A265" s="8">
        <v>20100729</v>
      </c>
      <c r="B265" s="109" t="s">
        <v>498</v>
      </c>
      <c r="C265" s="109" t="str">
        <f t="shared" si="11"/>
        <v>20100729RLS</v>
      </c>
      <c r="D265" s="109" t="s">
        <v>241</v>
      </c>
      <c r="E265" s="109" t="str">
        <f t="shared" si="12"/>
        <v>20100729LGUM_203</v>
      </c>
      <c r="F265" s="58">
        <v>10.18</v>
      </c>
      <c r="G265" s="58">
        <v>0.13</v>
      </c>
      <c r="H265" s="58">
        <v>2.04</v>
      </c>
      <c r="I265" s="58">
        <v>8.009999999999998</v>
      </c>
      <c r="J265" s="8" t="s">
        <v>501</v>
      </c>
    </row>
    <row r="266" spans="1:10">
      <c r="A266" s="8">
        <v>20100729</v>
      </c>
      <c r="B266" s="109" t="s">
        <v>498</v>
      </c>
      <c r="C266" s="109" t="str">
        <f t="shared" si="11"/>
        <v>20100729RLS</v>
      </c>
      <c r="D266" s="109" t="s">
        <v>167</v>
      </c>
      <c r="E266" s="109" t="str">
        <f t="shared" si="12"/>
        <v>20100729LGUM_004</v>
      </c>
      <c r="F266" s="58">
        <v>12.54</v>
      </c>
      <c r="G266" s="58">
        <v>0.15</v>
      </c>
      <c r="H266" s="58">
        <v>3.18</v>
      </c>
      <c r="I266" s="58">
        <v>9.2099999999999991</v>
      </c>
      <c r="J266" s="8" t="s">
        <v>502</v>
      </c>
    </row>
    <row r="267" spans="1:10">
      <c r="A267" s="8">
        <v>20100729</v>
      </c>
      <c r="B267" s="109" t="s">
        <v>498</v>
      </c>
      <c r="C267" s="109" t="str">
        <f t="shared" si="11"/>
        <v>20100729RLS</v>
      </c>
      <c r="D267" s="109" t="s">
        <v>199</v>
      </c>
      <c r="E267" s="109" t="str">
        <f t="shared" si="12"/>
        <v>20100729LGUM_104</v>
      </c>
      <c r="F267" s="58">
        <v>12.54</v>
      </c>
      <c r="G267" s="58">
        <v>0.15</v>
      </c>
      <c r="H267" s="58">
        <v>3.18</v>
      </c>
      <c r="I267" s="58">
        <v>9.2099999999999991</v>
      </c>
      <c r="J267" s="8" t="s">
        <v>502</v>
      </c>
    </row>
    <row r="268" spans="1:10">
      <c r="A268" s="8">
        <v>20100729</v>
      </c>
      <c r="B268" s="109" t="s">
        <v>498</v>
      </c>
      <c r="C268" s="109" t="str">
        <f t="shared" si="11"/>
        <v>20100729RLS</v>
      </c>
      <c r="D268" s="109" t="s">
        <v>242</v>
      </c>
      <c r="E268" s="109" t="str">
        <f t="shared" si="12"/>
        <v>20100729LGUM_204</v>
      </c>
      <c r="F268" s="58">
        <v>12.54</v>
      </c>
      <c r="G268" s="58">
        <v>0.15</v>
      </c>
      <c r="H268" s="58">
        <v>3.18</v>
      </c>
      <c r="I268" s="58">
        <v>9.2099999999999991</v>
      </c>
      <c r="J268" s="8" t="s">
        <v>502</v>
      </c>
    </row>
    <row r="269" spans="1:10">
      <c r="A269" s="8">
        <v>20100729</v>
      </c>
      <c r="B269" s="109" t="s">
        <v>498</v>
      </c>
      <c r="C269" s="109" t="str">
        <f t="shared" si="11"/>
        <v>20100729RLS</v>
      </c>
      <c r="D269" s="109" t="s">
        <v>168</v>
      </c>
      <c r="E269" s="109" t="str">
        <f t="shared" si="12"/>
        <v>20100729LGUM_005</v>
      </c>
      <c r="F269" s="58">
        <v>9.8800000000000008</v>
      </c>
      <c r="G269" s="58">
        <v>0.14000000000000001</v>
      </c>
      <c r="H269" s="58">
        <v>0.99</v>
      </c>
      <c r="I269" s="58">
        <v>8.75</v>
      </c>
      <c r="J269" s="8" t="s">
        <v>503</v>
      </c>
    </row>
    <row r="270" spans="1:10">
      <c r="A270" s="8">
        <v>20100729</v>
      </c>
      <c r="B270" s="109" t="s">
        <v>498</v>
      </c>
      <c r="C270" s="109" t="str">
        <f t="shared" si="11"/>
        <v>20100729RLS</v>
      </c>
      <c r="D270" s="109" t="s">
        <v>200</v>
      </c>
      <c r="E270" s="109" t="str">
        <f t="shared" si="12"/>
        <v>20100729LGUM_105</v>
      </c>
      <c r="F270" s="58">
        <v>9.8800000000000008</v>
      </c>
      <c r="G270" s="58">
        <v>0.14000000000000001</v>
      </c>
      <c r="H270" s="58">
        <v>0.99</v>
      </c>
      <c r="I270" s="58">
        <v>8.75</v>
      </c>
      <c r="J270" s="8" t="s">
        <v>503</v>
      </c>
    </row>
    <row r="271" spans="1:10">
      <c r="A271" s="8">
        <v>20100729</v>
      </c>
      <c r="B271" s="109" t="s">
        <v>498</v>
      </c>
      <c r="C271" s="109" t="str">
        <f t="shared" si="11"/>
        <v>20100729RLS</v>
      </c>
      <c r="D271" s="109" t="s">
        <v>380</v>
      </c>
      <c r="E271" s="109" t="str">
        <f t="shared" si="12"/>
        <v>20100729LGUM_205</v>
      </c>
      <c r="F271" s="58">
        <v>9.8800000000000008</v>
      </c>
      <c r="G271" s="58">
        <v>0.14000000000000001</v>
      </c>
      <c r="H271" s="58">
        <v>0.99</v>
      </c>
      <c r="I271" s="58">
        <v>8.75</v>
      </c>
      <c r="J271" s="8" t="s">
        <v>503</v>
      </c>
    </row>
    <row r="272" spans="1:10">
      <c r="A272" s="8">
        <v>20100729</v>
      </c>
      <c r="B272" s="109" t="s">
        <v>498</v>
      </c>
      <c r="C272" s="109" t="str">
        <f t="shared" si="11"/>
        <v>20100729RLS</v>
      </c>
      <c r="D272" s="109" t="s">
        <v>504</v>
      </c>
      <c r="E272" s="109" t="str">
        <f t="shared" si="12"/>
        <v>20100729LGUM_006</v>
      </c>
      <c r="F272" s="58">
        <v>13.13</v>
      </c>
      <c r="G272" s="58">
        <v>0.14000000000000001</v>
      </c>
      <c r="H272" s="58">
        <v>0.86</v>
      </c>
      <c r="I272" s="58">
        <v>12.13</v>
      </c>
      <c r="J272" s="8" t="s">
        <v>505</v>
      </c>
    </row>
    <row r="273" spans="1:10">
      <c r="A273" s="8">
        <v>20100729</v>
      </c>
      <c r="B273" s="109" t="s">
        <v>498</v>
      </c>
      <c r="C273" s="109" t="str">
        <f t="shared" si="11"/>
        <v>20100729RLS</v>
      </c>
      <c r="D273" s="109" t="s">
        <v>201</v>
      </c>
      <c r="E273" s="109" t="str">
        <f t="shared" si="12"/>
        <v>20100729LGUM_106</v>
      </c>
      <c r="F273" s="58">
        <v>13.13</v>
      </c>
      <c r="G273" s="58">
        <v>0.14000000000000001</v>
      </c>
      <c r="H273" s="58">
        <v>0.86</v>
      </c>
      <c r="I273" s="58">
        <v>12.13</v>
      </c>
      <c r="J273" s="8" t="s">
        <v>505</v>
      </c>
    </row>
    <row r="274" spans="1:10">
      <c r="A274" s="8">
        <v>20100729</v>
      </c>
      <c r="B274" s="109" t="s">
        <v>498</v>
      </c>
      <c r="C274" s="109" t="str">
        <f t="shared" si="11"/>
        <v>20100729RLS</v>
      </c>
      <c r="D274" s="109" t="s">
        <v>243</v>
      </c>
      <c r="E274" s="109" t="str">
        <f t="shared" si="12"/>
        <v>20100729LGUM_206</v>
      </c>
      <c r="F274" s="58">
        <v>13.13</v>
      </c>
      <c r="G274" s="58">
        <v>0.14000000000000001</v>
      </c>
      <c r="H274" s="58">
        <v>0.86</v>
      </c>
      <c r="I274" s="58">
        <v>12.13</v>
      </c>
      <c r="J274" s="8" t="s">
        <v>505</v>
      </c>
    </row>
    <row r="275" spans="1:10">
      <c r="A275" s="8">
        <v>20100729</v>
      </c>
      <c r="B275" s="109" t="s">
        <v>498</v>
      </c>
      <c r="C275" s="109" t="str">
        <f t="shared" si="11"/>
        <v>20100729RLS</v>
      </c>
      <c r="D275" s="109" t="s">
        <v>169</v>
      </c>
      <c r="E275" s="109" t="str">
        <f t="shared" si="12"/>
        <v>20100729LGUM_007</v>
      </c>
      <c r="F275" s="58">
        <v>12.54</v>
      </c>
      <c r="G275" s="58">
        <v>0.15</v>
      </c>
      <c r="H275" s="58">
        <v>3.18</v>
      </c>
      <c r="I275" s="58">
        <v>9.2099999999999991</v>
      </c>
      <c r="J275" s="8" t="s">
        <v>506</v>
      </c>
    </row>
    <row r="276" spans="1:10">
      <c r="A276" s="8">
        <v>20100729</v>
      </c>
      <c r="B276" s="109" t="s">
        <v>498</v>
      </c>
      <c r="C276" s="109" t="str">
        <f t="shared" si="11"/>
        <v>20100729RLS</v>
      </c>
      <c r="D276" s="109" t="s">
        <v>202</v>
      </c>
      <c r="E276" s="109" t="str">
        <f t="shared" si="12"/>
        <v>20100729LGUM_107</v>
      </c>
      <c r="F276" s="58">
        <v>12.54</v>
      </c>
      <c r="G276" s="58">
        <v>0.15</v>
      </c>
      <c r="H276" s="58">
        <v>3.18</v>
      </c>
      <c r="I276" s="58">
        <v>9.2099999999999991</v>
      </c>
      <c r="J276" s="8" t="s">
        <v>506</v>
      </c>
    </row>
    <row r="277" spans="1:10">
      <c r="A277" s="8">
        <v>20100729</v>
      </c>
      <c r="B277" s="109" t="s">
        <v>498</v>
      </c>
      <c r="C277" s="109" t="str">
        <f t="shared" si="11"/>
        <v>20100729RLS</v>
      </c>
      <c r="D277" s="109" t="s">
        <v>244</v>
      </c>
      <c r="E277" s="109" t="str">
        <f t="shared" si="12"/>
        <v>20100729LGUM_207</v>
      </c>
      <c r="F277" s="58">
        <v>12.54</v>
      </c>
      <c r="G277" s="58">
        <v>0.15</v>
      </c>
      <c r="H277" s="58">
        <v>3.18</v>
      </c>
      <c r="I277" s="58">
        <v>9.2099999999999991</v>
      </c>
      <c r="J277" s="8" t="s">
        <v>506</v>
      </c>
    </row>
    <row r="278" spans="1:10">
      <c r="A278" s="8">
        <v>20100729</v>
      </c>
      <c r="B278" s="109" t="s">
        <v>498</v>
      </c>
      <c r="C278" s="109" t="str">
        <f t="shared" si="11"/>
        <v>20100729RLS</v>
      </c>
      <c r="D278" s="109" t="s">
        <v>170</v>
      </c>
      <c r="E278" s="109" t="str">
        <f t="shared" si="12"/>
        <v>20100729LGUM_008</v>
      </c>
      <c r="F278" s="58">
        <v>13.91</v>
      </c>
      <c r="G278" s="58">
        <v>0.1</v>
      </c>
      <c r="H278" s="58">
        <v>1.44</v>
      </c>
      <c r="I278" s="58">
        <v>12.370000000000001</v>
      </c>
      <c r="J278" s="8" t="s">
        <v>507</v>
      </c>
    </row>
    <row r="279" spans="1:10">
      <c r="A279" s="8">
        <v>20100729</v>
      </c>
      <c r="B279" s="109" t="s">
        <v>498</v>
      </c>
      <c r="C279" s="109" t="str">
        <f t="shared" si="11"/>
        <v>20100729RLS</v>
      </c>
      <c r="D279" s="109" t="s">
        <v>203</v>
      </c>
      <c r="E279" s="109" t="str">
        <f t="shared" si="12"/>
        <v>20100729LGUM_108</v>
      </c>
      <c r="F279" s="58">
        <v>13.91</v>
      </c>
      <c r="G279" s="58">
        <v>0.1</v>
      </c>
      <c r="H279" s="58">
        <v>1.44</v>
      </c>
      <c r="I279" s="58">
        <v>12.370000000000001</v>
      </c>
      <c r="J279" s="8" t="s">
        <v>507</v>
      </c>
    </row>
    <row r="280" spans="1:10">
      <c r="A280" s="8">
        <v>20100729</v>
      </c>
      <c r="B280" s="109" t="s">
        <v>498</v>
      </c>
      <c r="C280" s="109" t="str">
        <f t="shared" si="11"/>
        <v>20100729RLS</v>
      </c>
      <c r="D280" s="109" t="s">
        <v>245</v>
      </c>
      <c r="E280" s="109" t="str">
        <f t="shared" si="12"/>
        <v>20100729LGUM_208</v>
      </c>
      <c r="F280" s="58">
        <v>13.91</v>
      </c>
      <c r="G280" s="58">
        <v>0.1</v>
      </c>
      <c r="H280" s="58">
        <v>1.44</v>
      </c>
      <c r="I280" s="58">
        <v>12.370000000000001</v>
      </c>
      <c r="J280" s="8" t="s">
        <v>507</v>
      </c>
    </row>
    <row r="281" spans="1:10">
      <c r="A281" s="8">
        <v>20100729</v>
      </c>
      <c r="B281" s="109" t="s">
        <v>498</v>
      </c>
      <c r="C281" s="109" t="str">
        <f t="shared" si="11"/>
        <v>20100729RLS</v>
      </c>
      <c r="D281" s="109" t="s">
        <v>508</v>
      </c>
      <c r="E281" s="109" t="str">
        <f t="shared" si="12"/>
        <v>20100729LGUM_009</v>
      </c>
      <c r="F281" s="58">
        <v>23.44</v>
      </c>
      <c r="G281" s="58">
        <v>0.26</v>
      </c>
      <c r="H281" s="58">
        <v>7.58</v>
      </c>
      <c r="I281" s="58">
        <v>15.6</v>
      </c>
      <c r="J281" s="8" t="s">
        <v>509</v>
      </c>
    </row>
    <row r="282" spans="1:10">
      <c r="A282" s="8">
        <v>20100729</v>
      </c>
      <c r="B282" s="109" t="s">
        <v>498</v>
      </c>
      <c r="C282" s="109" t="str">
        <f t="shared" si="11"/>
        <v>20100729RLS</v>
      </c>
      <c r="D282" s="109" t="s">
        <v>204</v>
      </c>
      <c r="E282" s="109" t="str">
        <f t="shared" si="12"/>
        <v>20100729LGUM_109</v>
      </c>
      <c r="F282" s="58">
        <v>23.44</v>
      </c>
      <c r="G282" s="58">
        <v>0.26</v>
      </c>
      <c r="H282" s="58">
        <v>7.58</v>
      </c>
      <c r="I282" s="58">
        <v>15.6</v>
      </c>
      <c r="J282" s="8" t="s">
        <v>509</v>
      </c>
    </row>
    <row r="283" spans="1:10">
      <c r="A283" s="8">
        <v>20100729</v>
      </c>
      <c r="B283" s="109" t="s">
        <v>498</v>
      </c>
      <c r="C283" s="109" t="str">
        <f t="shared" si="11"/>
        <v>20100729RLS</v>
      </c>
      <c r="D283" s="109" t="s">
        <v>381</v>
      </c>
      <c r="E283" s="109" t="str">
        <f t="shared" si="12"/>
        <v>20100729LGUM_209</v>
      </c>
      <c r="F283" s="58">
        <v>23.44</v>
      </c>
      <c r="G283" s="58">
        <v>0.26</v>
      </c>
      <c r="H283" s="58">
        <v>7.58</v>
      </c>
      <c r="I283" s="58">
        <v>15.6</v>
      </c>
      <c r="J283" s="8" t="s">
        <v>509</v>
      </c>
    </row>
    <row r="284" spans="1:10">
      <c r="A284" s="8">
        <v>20100729</v>
      </c>
      <c r="B284" s="109" t="s">
        <v>498</v>
      </c>
      <c r="C284" s="109" t="str">
        <f t="shared" si="11"/>
        <v>20100729RLS</v>
      </c>
      <c r="D284" s="109" t="s">
        <v>171</v>
      </c>
      <c r="E284" s="109" t="str">
        <f t="shared" si="12"/>
        <v>20100729LGUM_010</v>
      </c>
      <c r="F284" s="58">
        <v>23.44</v>
      </c>
      <c r="G284" s="58">
        <v>0.26</v>
      </c>
      <c r="H284" s="58">
        <v>7.58</v>
      </c>
      <c r="I284" s="58">
        <v>15.6</v>
      </c>
      <c r="J284" s="8" t="s">
        <v>510</v>
      </c>
    </row>
    <row r="285" spans="1:10">
      <c r="A285" s="8">
        <v>20100729</v>
      </c>
      <c r="B285" s="109" t="s">
        <v>498</v>
      </c>
      <c r="C285" s="109" t="str">
        <f t="shared" si="11"/>
        <v>20100729RLS</v>
      </c>
      <c r="D285" s="109" t="s">
        <v>205</v>
      </c>
      <c r="E285" s="109" t="str">
        <f t="shared" si="12"/>
        <v>20100729LGUM_110</v>
      </c>
      <c r="F285" s="58">
        <v>23.44</v>
      </c>
      <c r="G285" s="58">
        <v>0.26</v>
      </c>
      <c r="H285" s="58">
        <v>7.58</v>
      </c>
      <c r="I285" s="58">
        <v>15.6</v>
      </c>
      <c r="J285" s="8" t="s">
        <v>510</v>
      </c>
    </row>
    <row r="286" spans="1:10">
      <c r="A286" s="8">
        <v>20100729</v>
      </c>
      <c r="B286" s="109" t="s">
        <v>498</v>
      </c>
      <c r="C286" s="109" t="str">
        <f t="shared" si="11"/>
        <v>20100729RLS</v>
      </c>
      <c r="D286" s="109" t="s">
        <v>246</v>
      </c>
      <c r="E286" s="109" t="str">
        <f t="shared" si="12"/>
        <v>20100729LGUM_210</v>
      </c>
      <c r="F286" s="58">
        <v>23.44</v>
      </c>
      <c r="G286" s="58">
        <v>0.26</v>
      </c>
      <c r="H286" s="58">
        <v>7.58</v>
      </c>
      <c r="I286" s="58">
        <v>15.6</v>
      </c>
      <c r="J286" s="8" t="s">
        <v>510</v>
      </c>
    </row>
    <row r="287" spans="1:10">
      <c r="A287" s="8">
        <v>20100729</v>
      </c>
      <c r="B287" s="109" t="s">
        <v>498</v>
      </c>
      <c r="C287" s="109" t="str">
        <f t="shared" si="11"/>
        <v>20100729RLS</v>
      </c>
      <c r="D287" s="109" t="s">
        <v>172</v>
      </c>
      <c r="E287" s="109" t="str">
        <f t="shared" si="12"/>
        <v>20100729LGUM_011</v>
      </c>
      <c r="F287" s="58">
        <v>14.75</v>
      </c>
      <c r="G287" s="58">
        <v>0.13</v>
      </c>
      <c r="H287" s="58">
        <v>2.14</v>
      </c>
      <c r="I287" s="58">
        <v>12.479999999999999</v>
      </c>
      <c r="J287" s="8" t="s">
        <v>511</v>
      </c>
    </row>
    <row r="288" spans="1:10">
      <c r="A288" s="8">
        <v>20100729</v>
      </c>
      <c r="B288" s="109" t="s">
        <v>498</v>
      </c>
      <c r="C288" s="109" t="str">
        <f t="shared" si="11"/>
        <v>20100729RLS</v>
      </c>
      <c r="D288" s="109" t="s">
        <v>206</v>
      </c>
      <c r="E288" s="109" t="str">
        <f t="shared" si="12"/>
        <v>20100729LGUM_111</v>
      </c>
      <c r="F288" s="58">
        <v>14.75</v>
      </c>
      <c r="G288" s="58">
        <v>0.13</v>
      </c>
      <c r="H288" s="58">
        <v>2.14</v>
      </c>
      <c r="I288" s="58">
        <v>12.479999999999999</v>
      </c>
      <c r="J288" s="8" t="s">
        <v>511</v>
      </c>
    </row>
    <row r="289" spans="1:10">
      <c r="A289" s="8">
        <v>20100729</v>
      </c>
      <c r="B289" s="109" t="s">
        <v>498</v>
      </c>
      <c r="C289" s="109" t="str">
        <f t="shared" si="11"/>
        <v>20100729RLS</v>
      </c>
      <c r="D289" s="109" t="s">
        <v>247</v>
      </c>
      <c r="E289" s="109" t="str">
        <f t="shared" si="12"/>
        <v>20100729LGUM_211</v>
      </c>
      <c r="F289" s="58">
        <v>14.75</v>
      </c>
      <c r="G289" s="58">
        <v>0.13</v>
      </c>
      <c r="H289" s="58">
        <v>2.14</v>
      </c>
      <c r="I289" s="58">
        <v>12.479999999999999</v>
      </c>
      <c r="J289" s="8" t="s">
        <v>511</v>
      </c>
    </row>
    <row r="290" spans="1:10">
      <c r="A290" s="8">
        <v>20100729</v>
      </c>
      <c r="B290" s="109" t="s">
        <v>498</v>
      </c>
      <c r="C290" s="109" t="str">
        <f t="shared" si="11"/>
        <v>20100729RLS</v>
      </c>
      <c r="D290" s="109" t="s">
        <v>173</v>
      </c>
      <c r="E290" s="109" t="str">
        <f t="shared" si="12"/>
        <v>20100729LGUM_012</v>
      </c>
      <c r="F290" s="58">
        <v>16.03</v>
      </c>
      <c r="G290" s="58">
        <v>0.15</v>
      </c>
      <c r="H290" s="58">
        <v>3.4</v>
      </c>
      <c r="I290" s="58">
        <v>12.48</v>
      </c>
      <c r="J290" s="8" t="s">
        <v>512</v>
      </c>
    </row>
    <row r="291" spans="1:10">
      <c r="A291" s="8">
        <v>20100729</v>
      </c>
      <c r="B291" s="109" t="s">
        <v>498</v>
      </c>
      <c r="C291" s="109" t="str">
        <f t="shared" si="11"/>
        <v>20100729RLS</v>
      </c>
      <c r="D291" s="109" t="s">
        <v>207</v>
      </c>
      <c r="E291" s="109" t="str">
        <f t="shared" si="12"/>
        <v>20100729LGUM_112</v>
      </c>
      <c r="F291" s="58">
        <v>16.03</v>
      </c>
      <c r="G291" s="58">
        <v>0.15</v>
      </c>
      <c r="H291" s="58">
        <v>3.4</v>
      </c>
      <c r="I291" s="58">
        <v>12.48</v>
      </c>
      <c r="J291" s="8" t="s">
        <v>512</v>
      </c>
    </row>
    <row r="292" spans="1:10">
      <c r="A292" s="8">
        <v>20100729</v>
      </c>
      <c r="B292" s="109" t="s">
        <v>498</v>
      </c>
      <c r="C292" s="109" t="str">
        <f t="shared" ref="C292:C355" si="13">A292&amp;B292</f>
        <v>20100729RLS</v>
      </c>
      <c r="D292" s="109" t="s">
        <v>248</v>
      </c>
      <c r="E292" s="109" t="str">
        <f t="shared" ref="E292:E355" si="14">A292&amp;D292</f>
        <v>20100729LGUM_212</v>
      </c>
      <c r="F292" s="58">
        <v>16.03</v>
      </c>
      <c r="G292" s="58">
        <v>0.15</v>
      </c>
      <c r="H292" s="58">
        <v>3.4</v>
      </c>
      <c r="I292" s="58">
        <v>12.48</v>
      </c>
      <c r="J292" s="8" t="s">
        <v>512</v>
      </c>
    </row>
    <row r="293" spans="1:10">
      <c r="A293" s="8">
        <v>20100729</v>
      </c>
      <c r="B293" s="109" t="s">
        <v>498</v>
      </c>
      <c r="C293" s="109" t="str">
        <f t="shared" si="13"/>
        <v>20100729RLS</v>
      </c>
      <c r="D293" s="109" t="s">
        <v>174</v>
      </c>
      <c r="E293" s="109" t="str">
        <f t="shared" si="14"/>
        <v>20100729LGUM_013</v>
      </c>
      <c r="F293" s="58">
        <v>16.03</v>
      </c>
      <c r="G293" s="58">
        <v>0.15</v>
      </c>
      <c r="H293" s="58">
        <v>3.4</v>
      </c>
      <c r="I293" s="58">
        <v>12.48</v>
      </c>
      <c r="J293" s="8" t="s">
        <v>513</v>
      </c>
    </row>
    <row r="294" spans="1:10">
      <c r="A294" s="8">
        <v>20100729</v>
      </c>
      <c r="B294" s="109" t="s">
        <v>498</v>
      </c>
      <c r="C294" s="109" t="str">
        <f t="shared" si="13"/>
        <v>20100729RLS</v>
      </c>
      <c r="D294" s="109" t="s">
        <v>208</v>
      </c>
      <c r="E294" s="109" t="str">
        <f t="shared" si="14"/>
        <v>20100729LGUM_113</v>
      </c>
      <c r="F294" s="58">
        <v>16.03</v>
      </c>
      <c r="G294" s="58">
        <v>0.15</v>
      </c>
      <c r="H294" s="58">
        <v>3.4</v>
      </c>
      <c r="I294" s="58">
        <v>12.48</v>
      </c>
      <c r="J294" s="8" t="s">
        <v>513</v>
      </c>
    </row>
    <row r="295" spans="1:10">
      <c r="A295" s="8">
        <v>20100729</v>
      </c>
      <c r="B295" s="109" t="s">
        <v>498</v>
      </c>
      <c r="C295" s="109" t="str">
        <f t="shared" si="13"/>
        <v>20100729RLS</v>
      </c>
      <c r="D295" s="109" t="s">
        <v>382</v>
      </c>
      <c r="E295" s="109" t="str">
        <f t="shared" si="14"/>
        <v>20100729LGUM_213</v>
      </c>
      <c r="F295" s="58">
        <v>16.03</v>
      </c>
      <c r="G295" s="58">
        <v>0.15</v>
      </c>
      <c r="H295" s="58">
        <v>3.4</v>
      </c>
      <c r="I295" s="58">
        <v>12.48</v>
      </c>
      <c r="J295" s="8" t="s">
        <v>513</v>
      </c>
    </row>
    <row r="296" spans="1:10">
      <c r="A296" s="8">
        <v>20100729</v>
      </c>
      <c r="B296" s="109" t="s">
        <v>498</v>
      </c>
      <c r="C296" s="109" t="str">
        <f t="shared" si="13"/>
        <v>20100729RLS</v>
      </c>
      <c r="D296" s="109" t="s">
        <v>514</v>
      </c>
      <c r="E296" s="109" t="str">
        <f t="shared" si="14"/>
        <v>20100729LGUM_016</v>
      </c>
      <c r="F296" s="58">
        <v>26.92</v>
      </c>
      <c r="G296" s="58">
        <v>0.13</v>
      </c>
      <c r="H296" s="58">
        <v>2.14</v>
      </c>
      <c r="I296" s="58">
        <v>24.650000000000002</v>
      </c>
      <c r="J296" s="8" t="s">
        <v>515</v>
      </c>
    </row>
    <row r="297" spans="1:10">
      <c r="A297" s="8">
        <v>20100729</v>
      </c>
      <c r="B297" s="109" t="s">
        <v>498</v>
      </c>
      <c r="C297" s="109" t="str">
        <f t="shared" si="13"/>
        <v>20100729RLS</v>
      </c>
      <c r="D297" s="109" t="s">
        <v>209</v>
      </c>
      <c r="E297" s="109" t="str">
        <f t="shared" si="14"/>
        <v>20100729LGUM_116</v>
      </c>
      <c r="F297" s="58">
        <v>26.92</v>
      </c>
      <c r="G297" s="58">
        <v>0.13</v>
      </c>
      <c r="H297" s="58">
        <v>2.14</v>
      </c>
      <c r="I297" s="58">
        <v>24.650000000000002</v>
      </c>
      <c r="J297" s="8" t="s">
        <v>515</v>
      </c>
    </row>
    <row r="298" spans="1:10">
      <c r="A298" s="8">
        <v>20100729</v>
      </c>
      <c r="B298" s="109" t="s">
        <v>498</v>
      </c>
      <c r="C298" s="109" t="str">
        <f t="shared" si="13"/>
        <v>20100729RLS</v>
      </c>
      <c r="D298" s="109" t="s">
        <v>384</v>
      </c>
      <c r="E298" s="109" t="str">
        <f t="shared" si="14"/>
        <v>20100729LGUM_216</v>
      </c>
      <c r="F298" s="58">
        <v>26.92</v>
      </c>
      <c r="G298" s="58">
        <v>0.13</v>
      </c>
      <c r="H298" s="58">
        <v>2.14</v>
      </c>
      <c r="I298" s="58">
        <v>24.650000000000002</v>
      </c>
      <c r="J298" s="8" t="s">
        <v>515</v>
      </c>
    </row>
    <row r="299" spans="1:10">
      <c r="A299" s="8">
        <v>20100729</v>
      </c>
      <c r="B299" s="109" t="s">
        <v>498</v>
      </c>
      <c r="C299" s="109" t="str">
        <f t="shared" si="13"/>
        <v>20100729RLS</v>
      </c>
      <c r="D299" s="109" t="s">
        <v>516</v>
      </c>
      <c r="E299" s="109" t="str">
        <f t="shared" si="14"/>
        <v>20100729LGUM_017</v>
      </c>
      <c r="F299" s="58">
        <v>30</v>
      </c>
      <c r="G299" s="58">
        <v>0.15</v>
      </c>
      <c r="H299" s="58">
        <v>3.4</v>
      </c>
      <c r="I299" s="58">
        <v>26.450000000000003</v>
      </c>
      <c r="J299" s="8" t="s">
        <v>517</v>
      </c>
    </row>
    <row r="300" spans="1:10">
      <c r="A300" s="8">
        <v>20100729</v>
      </c>
      <c r="B300" s="109" t="s">
        <v>498</v>
      </c>
      <c r="C300" s="109" t="str">
        <f t="shared" si="13"/>
        <v>20100729RLS</v>
      </c>
      <c r="D300" s="109" t="s">
        <v>210</v>
      </c>
      <c r="E300" s="109" t="str">
        <f t="shared" si="14"/>
        <v>20100729LGUM_117</v>
      </c>
      <c r="F300" s="58">
        <v>30</v>
      </c>
      <c r="G300" s="58">
        <v>0.15</v>
      </c>
      <c r="H300" s="58">
        <v>3.4</v>
      </c>
      <c r="I300" s="58">
        <v>26.450000000000003</v>
      </c>
      <c r="J300" s="8" t="s">
        <v>517</v>
      </c>
    </row>
    <row r="301" spans="1:10">
      <c r="A301" s="8">
        <v>20100729</v>
      </c>
      <c r="B301" s="109" t="s">
        <v>498</v>
      </c>
      <c r="C301" s="109" t="str">
        <f t="shared" si="13"/>
        <v>20100729RLS</v>
      </c>
      <c r="D301" s="109" t="s">
        <v>385</v>
      </c>
      <c r="E301" s="109" t="str">
        <f t="shared" si="14"/>
        <v>20100729LGUM_217</v>
      </c>
      <c r="F301" s="58">
        <v>30</v>
      </c>
      <c r="G301" s="58">
        <v>0.15</v>
      </c>
      <c r="H301" s="58">
        <v>3.4</v>
      </c>
      <c r="I301" s="58">
        <v>26.450000000000003</v>
      </c>
      <c r="J301" s="8" t="s">
        <v>517</v>
      </c>
    </row>
    <row r="302" spans="1:10">
      <c r="A302" s="8">
        <v>20100729</v>
      </c>
      <c r="B302" s="109" t="s">
        <v>498</v>
      </c>
      <c r="C302" s="109" t="str">
        <f t="shared" si="13"/>
        <v>20100729RLS</v>
      </c>
      <c r="D302" s="109" t="s">
        <v>175</v>
      </c>
      <c r="E302" s="109" t="str">
        <f t="shared" si="14"/>
        <v>20100729LGUM_022</v>
      </c>
      <c r="F302" s="58">
        <v>12.51</v>
      </c>
      <c r="G302" s="58">
        <v>0.13</v>
      </c>
      <c r="H302" s="58">
        <v>1.44</v>
      </c>
      <c r="I302" s="58">
        <v>10.94</v>
      </c>
      <c r="J302" s="8" t="s">
        <v>518</v>
      </c>
    </row>
    <row r="303" spans="1:10">
      <c r="A303" s="8">
        <v>20100729</v>
      </c>
      <c r="B303" s="109" t="s">
        <v>498</v>
      </c>
      <c r="C303" s="109" t="str">
        <f t="shared" si="13"/>
        <v>20100729RLS</v>
      </c>
      <c r="D303" s="109" t="s">
        <v>211</v>
      </c>
      <c r="E303" s="109" t="str">
        <f t="shared" si="14"/>
        <v>20100729LGUM_122</v>
      </c>
      <c r="F303" s="58">
        <v>12.51</v>
      </c>
      <c r="G303" s="58">
        <v>0.13</v>
      </c>
      <c r="H303" s="58">
        <v>1.44</v>
      </c>
      <c r="I303" s="58">
        <v>10.94</v>
      </c>
      <c r="J303" s="8" t="s">
        <v>518</v>
      </c>
    </row>
    <row r="304" spans="1:10">
      <c r="A304" s="8">
        <v>20100729</v>
      </c>
      <c r="B304" s="109" t="s">
        <v>498</v>
      </c>
      <c r="C304" s="109" t="str">
        <f t="shared" si="13"/>
        <v>20100729RLS</v>
      </c>
      <c r="D304" s="109" t="s">
        <v>250</v>
      </c>
      <c r="E304" s="109" t="str">
        <f t="shared" si="14"/>
        <v>20100729LGUM_222</v>
      </c>
      <c r="F304" s="58">
        <v>12.51</v>
      </c>
      <c r="G304" s="58">
        <v>0.13</v>
      </c>
      <c r="H304" s="58">
        <v>1.44</v>
      </c>
      <c r="I304" s="58">
        <v>10.94</v>
      </c>
      <c r="J304" s="8" t="s">
        <v>518</v>
      </c>
    </row>
    <row r="305" spans="1:10">
      <c r="A305" s="8">
        <v>20100729</v>
      </c>
      <c r="B305" s="109" t="s">
        <v>498</v>
      </c>
      <c r="C305" s="109" t="str">
        <f t="shared" si="13"/>
        <v>20100729RLS</v>
      </c>
      <c r="D305" s="109" t="s">
        <v>176</v>
      </c>
      <c r="E305" s="109" t="str">
        <f t="shared" si="14"/>
        <v>20100729LGUM_023</v>
      </c>
      <c r="F305" s="58">
        <v>12.51</v>
      </c>
      <c r="G305" s="58">
        <v>0.13</v>
      </c>
      <c r="H305" s="58">
        <v>1.44</v>
      </c>
      <c r="I305" s="58">
        <v>10.94</v>
      </c>
      <c r="J305" s="8" t="s">
        <v>519</v>
      </c>
    </row>
    <row r="306" spans="1:10">
      <c r="A306" s="8">
        <v>20100729</v>
      </c>
      <c r="B306" s="109" t="s">
        <v>498</v>
      </c>
      <c r="C306" s="109" t="str">
        <f t="shared" si="13"/>
        <v>20100729RLS</v>
      </c>
      <c r="D306" s="109" t="s">
        <v>212</v>
      </c>
      <c r="E306" s="109" t="str">
        <f t="shared" si="14"/>
        <v>20100729LGUM_123</v>
      </c>
      <c r="F306" s="58">
        <v>12.51</v>
      </c>
      <c r="G306" s="58">
        <v>0.13</v>
      </c>
      <c r="H306" s="58">
        <v>1.44</v>
      </c>
      <c r="I306" s="58">
        <v>10.94</v>
      </c>
      <c r="J306" s="8" t="s">
        <v>519</v>
      </c>
    </row>
    <row r="307" spans="1:10">
      <c r="A307" s="8">
        <v>20100729</v>
      </c>
      <c r="B307" s="109" t="s">
        <v>498</v>
      </c>
      <c r="C307" s="109" t="str">
        <f t="shared" si="13"/>
        <v>20100729RLS</v>
      </c>
      <c r="D307" s="109" t="s">
        <v>386</v>
      </c>
      <c r="E307" s="109" t="str">
        <f t="shared" si="14"/>
        <v>20100729LGUM_223</v>
      </c>
      <c r="F307" s="58">
        <v>12.51</v>
      </c>
      <c r="G307" s="58">
        <v>0.13</v>
      </c>
      <c r="H307" s="58">
        <v>1.44</v>
      </c>
      <c r="I307" s="58">
        <v>10.94</v>
      </c>
      <c r="J307" s="8" t="s">
        <v>519</v>
      </c>
    </row>
    <row r="308" spans="1:10">
      <c r="A308" s="8">
        <v>20100729</v>
      </c>
      <c r="B308" s="109" t="s">
        <v>498</v>
      </c>
      <c r="C308" s="109" t="str">
        <f t="shared" si="13"/>
        <v>20100729RLS</v>
      </c>
      <c r="D308" s="109" t="s">
        <v>177</v>
      </c>
      <c r="E308" s="109" t="str">
        <f t="shared" si="14"/>
        <v>20100729LGUM_024</v>
      </c>
      <c r="F308" s="58">
        <v>17.37</v>
      </c>
      <c r="G308" s="58">
        <v>0.14000000000000001</v>
      </c>
      <c r="H308" s="58">
        <v>0.99</v>
      </c>
      <c r="I308" s="58">
        <v>16.240000000000002</v>
      </c>
      <c r="J308" s="8" t="s">
        <v>520</v>
      </c>
    </row>
    <row r="309" spans="1:10">
      <c r="A309" s="8">
        <v>20100729</v>
      </c>
      <c r="B309" s="109" t="s">
        <v>498</v>
      </c>
      <c r="C309" s="109" t="str">
        <f t="shared" si="13"/>
        <v>20100729RLS</v>
      </c>
      <c r="D309" s="109" t="s">
        <v>213</v>
      </c>
      <c r="E309" s="109" t="str">
        <f t="shared" si="14"/>
        <v>20100729LGUM_124</v>
      </c>
      <c r="F309" s="58">
        <v>17.37</v>
      </c>
      <c r="G309" s="58">
        <v>0.14000000000000001</v>
      </c>
      <c r="H309" s="58">
        <v>0.99</v>
      </c>
      <c r="I309" s="58">
        <v>16.240000000000002</v>
      </c>
      <c r="J309" s="8" t="s">
        <v>520</v>
      </c>
    </row>
    <row r="310" spans="1:10">
      <c r="A310" s="8">
        <v>20100729</v>
      </c>
      <c r="B310" s="109" t="s">
        <v>498</v>
      </c>
      <c r="C310" s="109" t="str">
        <f t="shared" si="13"/>
        <v>20100729RLS</v>
      </c>
      <c r="D310" s="109" t="s">
        <v>251</v>
      </c>
      <c r="E310" s="109" t="str">
        <f t="shared" si="14"/>
        <v>20100729LGUM_224</v>
      </c>
      <c r="F310" s="58">
        <v>17.37</v>
      </c>
      <c r="G310" s="58">
        <v>0.14000000000000001</v>
      </c>
      <c r="H310" s="58">
        <v>0.99</v>
      </c>
      <c r="I310" s="58">
        <v>16.240000000000002</v>
      </c>
      <c r="J310" s="8" t="s">
        <v>520</v>
      </c>
    </row>
    <row r="311" spans="1:10">
      <c r="A311" s="8">
        <v>20100729</v>
      </c>
      <c r="B311" s="109" t="s">
        <v>498</v>
      </c>
      <c r="C311" s="109" t="str">
        <f t="shared" si="13"/>
        <v>20100729RLS</v>
      </c>
      <c r="D311" s="109" t="s">
        <v>521</v>
      </c>
      <c r="E311" s="109" t="str">
        <f t="shared" si="14"/>
        <v>20100729LGUM_025</v>
      </c>
      <c r="F311" s="58">
        <v>23.41</v>
      </c>
      <c r="G311" s="58">
        <v>0.13</v>
      </c>
      <c r="H311" s="58">
        <v>1.44</v>
      </c>
      <c r="I311" s="58">
        <v>21.84</v>
      </c>
      <c r="J311" s="8" t="s">
        <v>518</v>
      </c>
    </row>
    <row r="312" spans="1:10">
      <c r="A312" s="8">
        <v>20100729</v>
      </c>
      <c r="B312" s="109" t="s">
        <v>498</v>
      </c>
      <c r="C312" s="109" t="str">
        <f t="shared" si="13"/>
        <v>20100729RLS</v>
      </c>
      <c r="D312" s="109" t="s">
        <v>522</v>
      </c>
      <c r="E312" s="109" t="str">
        <f t="shared" si="14"/>
        <v>20100729LGUM_125</v>
      </c>
      <c r="F312" s="58">
        <v>23.41</v>
      </c>
      <c r="G312" s="58">
        <v>0.13</v>
      </c>
      <c r="H312" s="58">
        <v>1.44</v>
      </c>
      <c r="I312" s="58">
        <v>21.84</v>
      </c>
      <c r="J312" s="8" t="s">
        <v>518</v>
      </c>
    </row>
    <row r="313" spans="1:10">
      <c r="A313" s="8">
        <v>20100729</v>
      </c>
      <c r="B313" s="109" t="s">
        <v>498</v>
      </c>
      <c r="C313" s="109" t="str">
        <f t="shared" si="13"/>
        <v>20100729RLS</v>
      </c>
      <c r="D313" s="109" t="s">
        <v>523</v>
      </c>
      <c r="E313" s="109" t="str">
        <f t="shared" si="14"/>
        <v>20100729LGUM_225</v>
      </c>
      <c r="F313" s="58">
        <v>23.41</v>
      </c>
      <c r="G313" s="58">
        <v>0.13</v>
      </c>
      <c r="H313" s="58">
        <v>1.44</v>
      </c>
      <c r="I313" s="58">
        <v>21.84</v>
      </c>
      <c r="J313" s="8" t="s">
        <v>518</v>
      </c>
    </row>
    <row r="314" spans="1:10">
      <c r="A314" s="8">
        <v>20100729</v>
      </c>
      <c r="B314" s="109" t="s">
        <v>498</v>
      </c>
      <c r="C314" s="109" t="str">
        <f t="shared" si="13"/>
        <v>20100729RLS</v>
      </c>
      <c r="D314" s="109" t="s">
        <v>524</v>
      </c>
      <c r="E314" s="109" t="str">
        <f t="shared" si="14"/>
        <v>20100729LGUM_026</v>
      </c>
      <c r="F314" s="58">
        <v>13.22</v>
      </c>
      <c r="G314" s="58">
        <v>0.13</v>
      </c>
      <c r="H314" s="58">
        <v>0.69</v>
      </c>
      <c r="I314" s="58">
        <v>12.4</v>
      </c>
      <c r="J314" s="8" t="s">
        <v>525</v>
      </c>
    </row>
    <row r="315" spans="1:10">
      <c r="A315" s="8">
        <v>20100729</v>
      </c>
      <c r="B315" s="109" t="s">
        <v>498</v>
      </c>
      <c r="C315" s="109" t="str">
        <f t="shared" si="13"/>
        <v>20100729RLS</v>
      </c>
      <c r="D315" s="109" t="s">
        <v>526</v>
      </c>
      <c r="E315" s="109" t="str">
        <f t="shared" si="14"/>
        <v>20100729LGUM_126</v>
      </c>
      <c r="F315" s="58">
        <v>13.22</v>
      </c>
      <c r="G315" s="58">
        <v>0.13</v>
      </c>
      <c r="H315" s="58">
        <v>0.69</v>
      </c>
      <c r="I315" s="58">
        <v>12.4</v>
      </c>
      <c r="J315" s="8" t="s">
        <v>525</v>
      </c>
    </row>
    <row r="316" spans="1:10">
      <c r="A316" s="8">
        <v>20100729</v>
      </c>
      <c r="B316" s="109" t="s">
        <v>498</v>
      </c>
      <c r="C316" s="109" t="str">
        <f t="shared" si="13"/>
        <v>20100729RLS</v>
      </c>
      <c r="D316" s="109" t="s">
        <v>527</v>
      </c>
      <c r="E316" s="109" t="str">
        <f t="shared" si="14"/>
        <v>20100729LGUM_226</v>
      </c>
      <c r="F316" s="58">
        <v>13.22</v>
      </c>
      <c r="G316" s="58">
        <v>0.13</v>
      </c>
      <c r="H316" s="58">
        <v>0.69</v>
      </c>
      <c r="I316" s="58">
        <v>12.4</v>
      </c>
      <c r="J316" s="8" t="s">
        <v>525</v>
      </c>
    </row>
    <row r="317" spans="1:10">
      <c r="A317" s="8">
        <v>20100729</v>
      </c>
      <c r="B317" s="109" t="s">
        <v>498</v>
      </c>
      <c r="C317" s="109" t="str">
        <f t="shared" si="13"/>
        <v>20100729RLS</v>
      </c>
      <c r="D317" s="109" t="s">
        <v>528</v>
      </c>
      <c r="E317" s="109" t="str">
        <f t="shared" si="14"/>
        <v>20100729LGUM_251</v>
      </c>
      <c r="F317" s="58">
        <v>1.0000000000000001E-9</v>
      </c>
      <c r="G317" s="58">
        <v>0</v>
      </c>
      <c r="H317" s="58">
        <v>0</v>
      </c>
      <c r="I317" s="58">
        <v>0</v>
      </c>
      <c r="J317" s="8" t="s">
        <v>529</v>
      </c>
    </row>
    <row r="318" spans="1:10">
      <c r="A318" s="8">
        <v>20100729</v>
      </c>
      <c r="B318" s="109" t="s">
        <v>498</v>
      </c>
      <c r="C318" s="109" t="str">
        <f t="shared" si="13"/>
        <v>20100729RLS</v>
      </c>
      <c r="D318" s="109" t="s">
        <v>178</v>
      </c>
      <c r="E318" s="109" t="str">
        <f t="shared" si="14"/>
        <v>20100729LGUM_052</v>
      </c>
      <c r="F318" s="58">
        <v>10.220000000000001</v>
      </c>
      <c r="G318" s="58">
        <v>0.1</v>
      </c>
      <c r="H318" s="58">
        <v>1.44</v>
      </c>
      <c r="I318" s="58">
        <v>8.6800000000000015</v>
      </c>
      <c r="J318" s="8" t="s">
        <v>530</v>
      </c>
    </row>
    <row r="319" spans="1:10">
      <c r="A319" s="8">
        <v>20100729</v>
      </c>
      <c r="B319" s="109" t="s">
        <v>498</v>
      </c>
      <c r="C319" s="109" t="str">
        <f t="shared" si="13"/>
        <v>20100729RLS</v>
      </c>
      <c r="D319" s="109" t="s">
        <v>214</v>
      </c>
      <c r="E319" s="109" t="str">
        <f t="shared" si="14"/>
        <v>20100729LGUM_152</v>
      </c>
      <c r="F319" s="58">
        <v>10.220000000000001</v>
      </c>
      <c r="G319" s="58">
        <v>0.1</v>
      </c>
      <c r="H319" s="58">
        <v>1.44</v>
      </c>
      <c r="I319" s="58">
        <v>8.6800000000000015</v>
      </c>
      <c r="J319" s="8" t="s">
        <v>530</v>
      </c>
    </row>
    <row r="320" spans="1:10">
      <c r="A320" s="8">
        <v>20100729</v>
      </c>
      <c r="B320" s="109" t="s">
        <v>498</v>
      </c>
      <c r="C320" s="109" t="str">
        <f t="shared" si="13"/>
        <v>20100729RLS</v>
      </c>
      <c r="D320" s="109" t="s">
        <v>252</v>
      </c>
      <c r="E320" s="109" t="str">
        <f t="shared" si="14"/>
        <v>20100729LGUM_252</v>
      </c>
      <c r="F320" s="58">
        <v>10.220000000000001</v>
      </c>
      <c r="G320" s="58">
        <v>0.1</v>
      </c>
      <c r="H320" s="58">
        <v>1.44</v>
      </c>
      <c r="I320" s="58">
        <v>8.6800000000000015</v>
      </c>
      <c r="J320" s="8" t="s">
        <v>530</v>
      </c>
    </row>
    <row r="321" spans="1:10">
      <c r="A321" s="8">
        <v>20100729</v>
      </c>
      <c r="B321" s="109" t="s">
        <v>498</v>
      </c>
      <c r="C321" s="109" t="str">
        <f t="shared" si="13"/>
        <v>20100729RLS</v>
      </c>
      <c r="D321" s="109" t="s">
        <v>179</v>
      </c>
      <c r="E321" s="109" t="str">
        <f t="shared" si="14"/>
        <v>20100729LGUM_053</v>
      </c>
      <c r="F321" s="58">
        <v>11.65</v>
      </c>
      <c r="G321" s="58">
        <v>0.13</v>
      </c>
      <c r="H321" s="58">
        <v>2.04</v>
      </c>
      <c r="I321" s="58">
        <v>9.48</v>
      </c>
      <c r="J321" s="8" t="s">
        <v>531</v>
      </c>
    </row>
    <row r="322" spans="1:10">
      <c r="A322" s="8">
        <v>20100729</v>
      </c>
      <c r="B322" s="109" t="s">
        <v>498</v>
      </c>
      <c r="C322" s="109" t="str">
        <f t="shared" si="13"/>
        <v>20100729RLS</v>
      </c>
      <c r="D322" s="109" t="s">
        <v>215</v>
      </c>
      <c r="E322" s="109" t="str">
        <f t="shared" si="14"/>
        <v>20100729LGUM_153</v>
      </c>
      <c r="F322" s="58">
        <v>11.65</v>
      </c>
      <c r="G322" s="58">
        <v>0.13</v>
      </c>
      <c r="H322" s="58">
        <v>2.04</v>
      </c>
      <c r="I322" s="58">
        <v>9.48</v>
      </c>
      <c r="J322" s="8" t="s">
        <v>531</v>
      </c>
    </row>
    <row r="323" spans="1:10">
      <c r="A323" s="8">
        <v>20100729</v>
      </c>
      <c r="B323" s="109" t="s">
        <v>498</v>
      </c>
      <c r="C323" s="109" t="str">
        <f t="shared" si="13"/>
        <v>20100729RLS</v>
      </c>
      <c r="D323" s="109" t="s">
        <v>253</v>
      </c>
      <c r="E323" s="109" t="str">
        <f t="shared" si="14"/>
        <v>20100729LGUM_253</v>
      </c>
      <c r="F323" s="58">
        <v>11.65</v>
      </c>
      <c r="G323" s="58">
        <v>0.13</v>
      </c>
      <c r="H323" s="58">
        <v>2.04</v>
      </c>
      <c r="I323" s="58">
        <v>9.48</v>
      </c>
      <c r="J323" s="8" t="s">
        <v>531</v>
      </c>
    </row>
    <row r="324" spans="1:10">
      <c r="A324" s="8">
        <v>20100729</v>
      </c>
      <c r="B324" s="109" t="s">
        <v>498</v>
      </c>
      <c r="C324" s="109" t="str">
        <f t="shared" si="13"/>
        <v>20100729RLS</v>
      </c>
      <c r="D324" s="109" t="s">
        <v>180</v>
      </c>
      <c r="E324" s="109" t="str">
        <f t="shared" si="14"/>
        <v>20100729LGUM_054</v>
      </c>
      <c r="F324" s="58">
        <v>14.15</v>
      </c>
      <c r="G324" s="58">
        <v>0.15</v>
      </c>
      <c r="H324" s="58">
        <v>3.18</v>
      </c>
      <c r="I324" s="58">
        <v>10.82</v>
      </c>
      <c r="J324" s="8" t="s">
        <v>532</v>
      </c>
    </row>
    <row r="325" spans="1:10">
      <c r="A325" s="8">
        <v>20100729</v>
      </c>
      <c r="B325" s="109" t="s">
        <v>498</v>
      </c>
      <c r="C325" s="109" t="str">
        <f t="shared" si="13"/>
        <v>20100729RLS</v>
      </c>
      <c r="D325" s="109" t="s">
        <v>216</v>
      </c>
      <c r="E325" s="109" t="str">
        <f t="shared" si="14"/>
        <v>20100729LGUM_154</v>
      </c>
      <c r="F325" s="58">
        <v>14.15</v>
      </c>
      <c r="G325" s="58">
        <v>0.15</v>
      </c>
      <c r="H325" s="58">
        <v>3.18</v>
      </c>
      <c r="I325" s="58">
        <v>10.82</v>
      </c>
      <c r="J325" s="8" t="s">
        <v>532</v>
      </c>
    </row>
    <row r="326" spans="1:10">
      <c r="A326" s="8">
        <v>20100729</v>
      </c>
      <c r="B326" s="109" t="s">
        <v>498</v>
      </c>
      <c r="C326" s="109" t="str">
        <f t="shared" si="13"/>
        <v>20100729RLS</v>
      </c>
      <c r="D326" s="109" t="s">
        <v>387</v>
      </c>
      <c r="E326" s="109" t="str">
        <f t="shared" si="14"/>
        <v>20100729LGUM_254</v>
      </c>
      <c r="F326" s="58">
        <v>14.15</v>
      </c>
      <c r="G326" s="58">
        <v>0.15</v>
      </c>
      <c r="H326" s="58">
        <v>3.18</v>
      </c>
      <c r="I326" s="58">
        <v>10.82</v>
      </c>
      <c r="J326" s="8" t="s">
        <v>532</v>
      </c>
    </row>
    <row r="327" spans="1:10">
      <c r="A327" s="8">
        <v>20100729</v>
      </c>
      <c r="B327" s="109" t="s">
        <v>498</v>
      </c>
      <c r="C327" s="109" t="str">
        <f t="shared" si="13"/>
        <v>20100729RLS</v>
      </c>
      <c r="D327" s="109" t="s">
        <v>181</v>
      </c>
      <c r="E327" s="109" t="str">
        <f t="shared" si="14"/>
        <v>20100729LGUM_055</v>
      </c>
      <c r="F327" s="58">
        <v>9.8800000000000008</v>
      </c>
      <c r="G327" s="58">
        <v>0.14000000000000001</v>
      </c>
      <c r="H327" s="58">
        <v>0.99</v>
      </c>
      <c r="I327" s="58">
        <v>8.75</v>
      </c>
      <c r="J327" s="8" t="s">
        <v>533</v>
      </c>
    </row>
    <row r="328" spans="1:10">
      <c r="A328" s="8">
        <v>20100729</v>
      </c>
      <c r="B328" s="109" t="s">
        <v>498</v>
      </c>
      <c r="C328" s="109" t="str">
        <f t="shared" si="13"/>
        <v>20100729RLS</v>
      </c>
      <c r="D328" s="109" t="s">
        <v>217</v>
      </c>
      <c r="E328" s="109" t="str">
        <f t="shared" si="14"/>
        <v>20100729LGUM_155</v>
      </c>
      <c r="F328" s="58">
        <v>9.8800000000000008</v>
      </c>
      <c r="G328" s="58">
        <v>0.14000000000000001</v>
      </c>
      <c r="H328" s="58">
        <v>0.99</v>
      </c>
      <c r="I328" s="58">
        <v>8.75</v>
      </c>
      <c r="J328" s="8" t="s">
        <v>533</v>
      </c>
    </row>
    <row r="329" spans="1:10">
      <c r="A329" s="8">
        <v>20100729</v>
      </c>
      <c r="B329" s="109" t="s">
        <v>498</v>
      </c>
      <c r="C329" s="109" t="str">
        <f t="shared" si="13"/>
        <v>20100729RLS</v>
      </c>
      <c r="D329" s="109" t="s">
        <v>254</v>
      </c>
      <c r="E329" s="109" t="str">
        <f t="shared" si="14"/>
        <v>20100729LGUM_255</v>
      </c>
      <c r="F329" s="58">
        <v>9.8800000000000008</v>
      </c>
      <c r="G329" s="58">
        <v>0.14000000000000001</v>
      </c>
      <c r="H329" s="58">
        <v>0.99</v>
      </c>
      <c r="I329" s="58">
        <v>8.75</v>
      </c>
      <c r="J329" s="8" t="s">
        <v>533</v>
      </c>
    </row>
    <row r="330" spans="1:10">
      <c r="A330" s="8">
        <v>20100729</v>
      </c>
      <c r="B330" s="109" t="s">
        <v>498</v>
      </c>
      <c r="C330" s="109" t="str">
        <f t="shared" si="13"/>
        <v>20100729RLS</v>
      </c>
      <c r="D330" s="109" t="s">
        <v>534</v>
      </c>
      <c r="E330" s="109" t="str">
        <f t="shared" si="14"/>
        <v>20100729LGUM_056</v>
      </c>
      <c r="F330" s="58">
        <v>13.12</v>
      </c>
      <c r="G330" s="58">
        <v>0.14000000000000001</v>
      </c>
      <c r="H330" s="58">
        <v>0.86</v>
      </c>
      <c r="I330" s="58">
        <v>12.12</v>
      </c>
      <c r="J330" s="8" t="s">
        <v>535</v>
      </c>
    </row>
    <row r="331" spans="1:10">
      <c r="A331" s="8">
        <v>20100729</v>
      </c>
      <c r="B331" s="109" t="s">
        <v>498</v>
      </c>
      <c r="C331" s="109" t="str">
        <f t="shared" si="13"/>
        <v>20100729RLS</v>
      </c>
      <c r="D331" s="109" t="s">
        <v>536</v>
      </c>
      <c r="E331" s="109" t="str">
        <f t="shared" si="14"/>
        <v>20100729LGUM_156</v>
      </c>
      <c r="F331" s="58">
        <v>13.12</v>
      </c>
      <c r="G331" s="58">
        <v>0.14000000000000001</v>
      </c>
      <c r="H331" s="58">
        <v>0.86</v>
      </c>
      <c r="I331" s="58">
        <v>12.12</v>
      </c>
      <c r="J331" s="8" t="s">
        <v>535</v>
      </c>
    </row>
    <row r="332" spans="1:10">
      <c r="A332" s="8">
        <v>20100729</v>
      </c>
      <c r="B332" s="109" t="s">
        <v>498</v>
      </c>
      <c r="C332" s="109" t="str">
        <f t="shared" si="13"/>
        <v>20100729RLS</v>
      </c>
      <c r="D332" s="109" t="s">
        <v>537</v>
      </c>
      <c r="E332" s="109" t="str">
        <f t="shared" si="14"/>
        <v>20100729LGUM_256</v>
      </c>
      <c r="F332" s="58">
        <v>13.12</v>
      </c>
      <c r="G332" s="58">
        <v>0.14000000000000001</v>
      </c>
      <c r="H332" s="58">
        <v>0.86</v>
      </c>
      <c r="I332" s="58">
        <v>12.12</v>
      </c>
      <c r="J332" s="8" t="s">
        <v>535</v>
      </c>
    </row>
    <row r="333" spans="1:10">
      <c r="A333" s="8">
        <v>20100729</v>
      </c>
      <c r="B333" s="109" t="s">
        <v>498</v>
      </c>
      <c r="C333" s="109" t="str">
        <f t="shared" si="13"/>
        <v>20100729RLS</v>
      </c>
      <c r="D333" s="109" t="s">
        <v>182</v>
      </c>
      <c r="E333" s="109" t="str">
        <f t="shared" si="14"/>
        <v>20100729LGUM_057</v>
      </c>
      <c r="F333" s="58">
        <v>14.15</v>
      </c>
      <c r="G333" s="58">
        <v>0.15</v>
      </c>
      <c r="H333" s="58">
        <v>3.18</v>
      </c>
      <c r="I333" s="58">
        <v>10.82</v>
      </c>
      <c r="J333" s="8" t="s">
        <v>538</v>
      </c>
    </row>
    <row r="334" spans="1:10">
      <c r="A334" s="8">
        <v>20100729</v>
      </c>
      <c r="B334" s="109" t="s">
        <v>498</v>
      </c>
      <c r="C334" s="109" t="str">
        <f t="shared" si="13"/>
        <v>20100729RLS</v>
      </c>
      <c r="D334" s="109" t="s">
        <v>218</v>
      </c>
      <c r="E334" s="109" t="str">
        <f t="shared" si="14"/>
        <v>20100729LGUM_157</v>
      </c>
      <c r="F334" s="58">
        <v>14.15</v>
      </c>
      <c r="G334" s="58">
        <v>0.15</v>
      </c>
      <c r="H334" s="58">
        <v>3.18</v>
      </c>
      <c r="I334" s="58">
        <v>10.82</v>
      </c>
      <c r="J334" s="8" t="s">
        <v>538</v>
      </c>
    </row>
    <row r="335" spans="1:10">
      <c r="A335" s="8">
        <v>20100729</v>
      </c>
      <c r="B335" s="109" t="s">
        <v>498</v>
      </c>
      <c r="C335" s="109" t="str">
        <f t="shared" si="13"/>
        <v>20100729RLS</v>
      </c>
      <c r="D335" s="109" t="s">
        <v>388</v>
      </c>
      <c r="E335" s="109" t="str">
        <f t="shared" si="14"/>
        <v>20100729LGUM_257</v>
      </c>
      <c r="F335" s="58">
        <v>14.15</v>
      </c>
      <c r="G335" s="58">
        <v>0.15</v>
      </c>
      <c r="H335" s="58">
        <v>3.18</v>
      </c>
      <c r="I335" s="58">
        <v>10.82</v>
      </c>
      <c r="J335" s="8" t="s">
        <v>538</v>
      </c>
    </row>
    <row r="336" spans="1:10">
      <c r="A336" s="8">
        <v>20100729</v>
      </c>
      <c r="B336" s="109" t="s">
        <v>498</v>
      </c>
      <c r="C336" s="109" t="str">
        <f t="shared" si="13"/>
        <v>20100729RLS</v>
      </c>
      <c r="D336" s="109" t="s">
        <v>183</v>
      </c>
      <c r="E336" s="109" t="str">
        <f t="shared" si="14"/>
        <v>20100729LGUM_058</v>
      </c>
      <c r="F336" s="58">
        <v>14.88</v>
      </c>
      <c r="G336" s="58">
        <v>0.1</v>
      </c>
      <c r="H336" s="58">
        <v>1.44</v>
      </c>
      <c r="I336" s="58">
        <v>13.340000000000002</v>
      </c>
      <c r="J336" s="8" t="s">
        <v>539</v>
      </c>
    </row>
    <row r="337" spans="1:10">
      <c r="A337" s="8">
        <v>20100729</v>
      </c>
      <c r="B337" s="109" t="s">
        <v>498</v>
      </c>
      <c r="C337" s="109" t="str">
        <f t="shared" si="13"/>
        <v>20100729RLS</v>
      </c>
      <c r="D337" s="109" t="s">
        <v>219</v>
      </c>
      <c r="E337" s="109" t="str">
        <f t="shared" si="14"/>
        <v>20100729LGUM_158</v>
      </c>
      <c r="F337" s="58">
        <v>14.88</v>
      </c>
      <c r="G337" s="58">
        <v>0.1</v>
      </c>
      <c r="H337" s="58">
        <v>1.44</v>
      </c>
      <c r="I337" s="58">
        <v>13.340000000000002</v>
      </c>
      <c r="J337" s="8" t="s">
        <v>539</v>
      </c>
    </row>
    <row r="338" spans="1:10">
      <c r="A338" s="8">
        <v>20100729</v>
      </c>
      <c r="B338" s="109" t="s">
        <v>498</v>
      </c>
      <c r="C338" s="109" t="str">
        <f t="shared" si="13"/>
        <v>20100729RLS</v>
      </c>
      <c r="D338" s="109" t="s">
        <v>256</v>
      </c>
      <c r="E338" s="109" t="str">
        <f t="shared" si="14"/>
        <v>20100729LGUM_258</v>
      </c>
      <c r="F338" s="58">
        <v>14.88</v>
      </c>
      <c r="G338" s="58">
        <v>0.1</v>
      </c>
      <c r="H338" s="58">
        <v>1.44</v>
      </c>
      <c r="I338" s="58">
        <v>13.340000000000002</v>
      </c>
      <c r="J338" s="8" t="s">
        <v>539</v>
      </c>
    </row>
    <row r="339" spans="1:10">
      <c r="A339" s="8">
        <v>20100729</v>
      </c>
      <c r="B339" s="109" t="s">
        <v>498</v>
      </c>
      <c r="C339" s="109" t="str">
        <f t="shared" si="13"/>
        <v>20100729RLS</v>
      </c>
      <c r="D339" s="109" t="s">
        <v>400</v>
      </c>
      <c r="E339" s="109" t="str">
        <f t="shared" si="14"/>
        <v>20100729LGUM_059</v>
      </c>
      <c r="F339" s="58">
        <v>26.08</v>
      </c>
      <c r="G339" s="58">
        <v>0.26</v>
      </c>
      <c r="H339" s="58">
        <v>7.58</v>
      </c>
      <c r="I339" s="58">
        <v>18.239999999999995</v>
      </c>
      <c r="J339" s="8" t="s">
        <v>540</v>
      </c>
    </row>
    <row r="340" spans="1:10">
      <c r="A340" s="8">
        <v>20100729</v>
      </c>
      <c r="B340" s="109" t="s">
        <v>498</v>
      </c>
      <c r="C340" s="109" t="str">
        <f t="shared" si="13"/>
        <v>20100729RLS</v>
      </c>
      <c r="D340" s="109" t="s">
        <v>220</v>
      </c>
      <c r="E340" s="109" t="str">
        <f t="shared" si="14"/>
        <v>20100729LGUM_159</v>
      </c>
      <c r="F340" s="58">
        <v>26.08</v>
      </c>
      <c r="G340" s="58">
        <v>0.26</v>
      </c>
      <c r="H340" s="58">
        <v>7.58</v>
      </c>
      <c r="I340" s="58">
        <v>18.239999999999995</v>
      </c>
      <c r="J340" s="8" t="s">
        <v>540</v>
      </c>
    </row>
    <row r="341" spans="1:10">
      <c r="A341" s="8">
        <v>20100729</v>
      </c>
      <c r="B341" s="109" t="s">
        <v>498</v>
      </c>
      <c r="C341" s="109" t="str">
        <f t="shared" si="13"/>
        <v>20100729RLS</v>
      </c>
      <c r="D341" s="109" t="s">
        <v>257</v>
      </c>
      <c r="E341" s="109" t="str">
        <f t="shared" si="14"/>
        <v>20100729LGUM_259</v>
      </c>
      <c r="F341" s="58">
        <v>26.08</v>
      </c>
      <c r="G341" s="58">
        <v>0.26</v>
      </c>
      <c r="H341" s="58">
        <v>7.58</v>
      </c>
      <c r="I341" s="58">
        <v>18.239999999999995</v>
      </c>
      <c r="J341" s="8" t="s">
        <v>540</v>
      </c>
    </row>
    <row r="342" spans="1:10">
      <c r="A342" s="8">
        <v>20100729</v>
      </c>
      <c r="B342" s="109" t="s">
        <v>498</v>
      </c>
      <c r="C342" s="109" t="str">
        <f t="shared" si="13"/>
        <v>20100729RLS</v>
      </c>
      <c r="D342" s="109" t="s">
        <v>541</v>
      </c>
      <c r="E342" s="109" t="str">
        <f t="shared" si="14"/>
        <v>20100729LGUM_060</v>
      </c>
      <c r="F342" s="58">
        <v>26.21</v>
      </c>
      <c r="G342" s="58">
        <v>0.26</v>
      </c>
      <c r="H342" s="58">
        <v>7.58</v>
      </c>
      <c r="I342" s="58">
        <v>18.369999999999997</v>
      </c>
      <c r="J342" s="8" t="s">
        <v>542</v>
      </c>
    </row>
    <row r="343" spans="1:10">
      <c r="A343" s="8">
        <v>20100729</v>
      </c>
      <c r="B343" s="109" t="s">
        <v>498</v>
      </c>
      <c r="C343" s="109" t="str">
        <f t="shared" si="13"/>
        <v>20100729RLS</v>
      </c>
      <c r="D343" s="109" t="s">
        <v>221</v>
      </c>
      <c r="E343" s="109" t="str">
        <f t="shared" si="14"/>
        <v>20100729LGUM_160</v>
      </c>
      <c r="F343" s="58">
        <v>26.21</v>
      </c>
      <c r="G343" s="58">
        <v>0.26</v>
      </c>
      <c r="H343" s="58">
        <v>7.58</v>
      </c>
      <c r="I343" s="58">
        <v>18.369999999999997</v>
      </c>
      <c r="J343" s="8" t="s">
        <v>542</v>
      </c>
    </row>
    <row r="344" spans="1:10">
      <c r="A344" s="8">
        <v>20100729</v>
      </c>
      <c r="B344" s="109" t="s">
        <v>498</v>
      </c>
      <c r="C344" s="109" t="str">
        <f t="shared" si="13"/>
        <v>20100729RLS</v>
      </c>
      <c r="D344" s="109" t="s">
        <v>390</v>
      </c>
      <c r="E344" s="109" t="str">
        <f t="shared" si="14"/>
        <v>20100729LGUM_260</v>
      </c>
      <c r="F344" s="58">
        <v>26.21</v>
      </c>
      <c r="G344" s="58">
        <v>0.26</v>
      </c>
      <c r="H344" s="58">
        <v>7.58</v>
      </c>
      <c r="I344" s="58">
        <v>18.369999999999997</v>
      </c>
      <c r="J344" s="8" t="s">
        <v>542</v>
      </c>
    </row>
    <row r="345" spans="1:10">
      <c r="A345" s="8">
        <v>20100729</v>
      </c>
      <c r="B345" s="109" t="s">
        <v>498</v>
      </c>
      <c r="C345" s="109" t="str">
        <f t="shared" si="13"/>
        <v>20100729RLS</v>
      </c>
      <c r="D345" s="109" t="s">
        <v>184</v>
      </c>
      <c r="E345" s="109" t="str">
        <f t="shared" si="14"/>
        <v>20100729LGUM_061</v>
      </c>
      <c r="F345" s="58">
        <v>14.75</v>
      </c>
      <c r="G345" s="58">
        <v>0.13</v>
      </c>
      <c r="H345" s="58">
        <v>2.14</v>
      </c>
      <c r="I345" s="58">
        <v>12.479999999999999</v>
      </c>
      <c r="J345" s="8" t="s">
        <v>543</v>
      </c>
    </row>
    <row r="346" spans="1:10">
      <c r="A346" s="8">
        <v>20100729</v>
      </c>
      <c r="B346" s="109" t="s">
        <v>498</v>
      </c>
      <c r="C346" s="109" t="str">
        <f t="shared" si="13"/>
        <v>20100729RLS</v>
      </c>
      <c r="D346" s="109" t="s">
        <v>222</v>
      </c>
      <c r="E346" s="109" t="str">
        <f t="shared" si="14"/>
        <v>20100729LGUM_161</v>
      </c>
      <c r="F346" s="58">
        <v>14.75</v>
      </c>
      <c r="G346" s="58">
        <v>0.13</v>
      </c>
      <c r="H346" s="58">
        <v>2.14</v>
      </c>
      <c r="I346" s="58">
        <v>12.479999999999999</v>
      </c>
      <c r="J346" s="8" t="s">
        <v>543</v>
      </c>
    </row>
    <row r="347" spans="1:10">
      <c r="A347" s="8">
        <v>20100729</v>
      </c>
      <c r="B347" s="109" t="s">
        <v>498</v>
      </c>
      <c r="C347" s="109" t="str">
        <f t="shared" si="13"/>
        <v>20100729RLS</v>
      </c>
      <c r="D347" s="109" t="s">
        <v>258</v>
      </c>
      <c r="E347" s="109" t="str">
        <f t="shared" si="14"/>
        <v>20100729LGUM_261</v>
      </c>
      <c r="F347" s="58">
        <v>14.75</v>
      </c>
      <c r="G347" s="58">
        <v>0.13</v>
      </c>
      <c r="H347" s="58">
        <v>2.14</v>
      </c>
      <c r="I347" s="58">
        <v>12.479999999999999</v>
      </c>
      <c r="J347" s="8" t="s">
        <v>543</v>
      </c>
    </row>
    <row r="348" spans="1:10">
      <c r="A348" s="8">
        <v>20100729</v>
      </c>
      <c r="B348" s="109" t="s">
        <v>498</v>
      </c>
      <c r="C348" s="109" t="str">
        <f t="shared" si="13"/>
        <v>20100729RLS</v>
      </c>
      <c r="D348" s="109" t="s">
        <v>185</v>
      </c>
      <c r="E348" s="109" t="str">
        <f t="shared" si="14"/>
        <v>20100729LGUM_062</v>
      </c>
      <c r="F348" s="58">
        <v>16.03</v>
      </c>
      <c r="G348" s="58">
        <v>0.15</v>
      </c>
      <c r="H348" s="58">
        <v>3.4</v>
      </c>
      <c r="I348" s="58">
        <v>12.48</v>
      </c>
      <c r="J348" s="8" t="s">
        <v>544</v>
      </c>
    </row>
    <row r="349" spans="1:10">
      <c r="A349" s="8">
        <v>20100729</v>
      </c>
      <c r="B349" s="109" t="s">
        <v>498</v>
      </c>
      <c r="C349" s="109" t="str">
        <f t="shared" si="13"/>
        <v>20100729RLS</v>
      </c>
      <c r="D349" s="109" t="s">
        <v>223</v>
      </c>
      <c r="E349" s="109" t="str">
        <f t="shared" si="14"/>
        <v>20100729LGUM_162</v>
      </c>
      <c r="F349" s="58">
        <v>16.03</v>
      </c>
      <c r="G349" s="58">
        <v>0.15</v>
      </c>
      <c r="H349" s="58">
        <v>3.4</v>
      </c>
      <c r="I349" s="58">
        <v>12.48</v>
      </c>
      <c r="J349" s="8" t="s">
        <v>544</v>
      </c>
    </row>
    <row r="350" spans="1:10">
      <c r="A350" s="8">
        <v>20100729</v>
      </c>
      <c r="B350" s="109" t="s">
        <v>498</v>
      </c>
      <c r="C350" s="109" t="str">
        <f t="shared" si="13"/>
        <v>20100729RLS</v>
      </c>
      <c r="D350" s="109" t="s">
        <v>259</v>
      </c>
      <c r="E350" s="109" t="str">
        <f t="shared" si="14"/>
        <v>20100729LGUM_262</v>
      </c>
      <c r="F350" s="58">
        <v>16.03</v>
      </c>
      <c r="G350" s="58">
        <v>0.15</v>
      </c>
      <c r="H350" s="58">
        <v>3.4</v>
      </c>
      <c r="I350" s="58">
        <v>12.48</v>
      </c>
      <c r="J350" s="8" t="s">
        <v>544</v>
      </c>
    </row>
    <row r="351" spans="1:10">
      <c r="A351" s="8">
        <v>20100729</v>
      </c>
      <c r="B351" s="109" t="s">
        <v>498</v>
      </c>
      <c r="C351" s="109" t="str">
        <f t="shared" si="13"/>
        <v>20100729RLS</v>
      </c>
      <c r="D351" s="109" t="s">
        <v>186</v>
      </c>
      <c r="E351" s="109" t="str">
        <f t="shared" si="14"/>
        <v>20100729LGUM_063</v>
      </c>
      <c r="F351" s="58">
        <v>16.03</v>
      </c>
      <c r="G351" s="58">
        <v>0.15</v>
      </c>
      <c r="H351" s="58">
        <v>3.4</v>
      </c>
      <c r="I351" s="58">
        <v>12.48</v>
      </c>
      <c r="J351" s="8" t="s">
        <v>545</v>
      </c>
    </row>
    <row r="352" spans="1:10">
      <c r="A352" s="8">
        <v>20100729</v>
      </c>
      <c r="B352" s="109" t="s">
        <v>498</v>
      </c>
      <c r="C352" s="109" t="str">
        <f t="shared" si="13"/>
        <v>20100729RLS</v>
      </c>
      <c r="D352" s="109" t="s">
        <v>224</v>
      </c>
      <c r="E352" s="109" t="str">
        <f t="shared" si="14"/>
        <v>20100729LGUM_163</v>
      </c>
      <c r="F352" s="58">
        <v>16.03</v>
      </c>
      <c r="G352" s="58">
        <v>0.15</v>
      </c>
      <c r="H352" s="58">
        <v>3.4</v>
      </c>
      <c r="I352" s="58">
        <v>12.48</v>
      </c>
      <c r="J352" s="8" t="s">
        <v>545</v>
      </c>
    </row>
    <row r="353" spans="1:10">
      <c r="A353" s="8">
        <v>20100729</v>
      </c>
      <c r="B353" s="109" t="s">
        <v>498</v>
      </c>
      <c r="C353" s="109" t="str">
        <f t="shared" si="13"/>
        <v>20100729RLS</v>
      </c>
      <c r="D353" s="109" t="s">
        <v>261</v>
      </c>
      <c r="E353" s="109" t="str">
        <f t="shared" si="14"/>
        <v>20100729LGUM_263</v>
      </c>
      <c r="F353" s="58">
        <v>16.03</v>
      </c>
      <c r="G353" s="58">
        <v>0.15</v>
      </c>
      <c r="H353" s="58">
        <v>3.4</v>
      </c>
      <c r="I353" s="58">
        <v>12.48</v>
      </c>
      <c r="J353" s="8" t="s">
        <v>545</v>
      </c>
    </row>
    <row r="354" spans="1:10">
      <c r="A354" s="8">
        <v>20100729</v>
      </c>
      <c r="B354" s="109" t="s">
        <v>498</v>
      </c>
      <c r="C354" s="109" t="str">
        <f t="shared" si="13"/>
        <v>20100729RLS</v>
      </c>
      <c r="D354" s="109" t="s">
        <v>187</v>
      </c>
      <c r="E354" s="109" t="str">
        <f t="shared" si="14"/>
        <v>20100729LGUM_066</v>
      </c>
      <c r="F354" s="58">
        <v>26.92</v>
      </c>
      <c r="G354" s="58">
        <v>0.13</v>
      </c>
      <c r="H354" s="58">
        <v>2.14</v>
      </c>
      <c r="I354" s="58">
        <v>24.650000000000002</v>
      </c>
      <c r="J354" s="8" t="s">
        <v>546</v>
      </c>
    </row>
    <row r="355" spans="1:10">
      <c r="A355" s="8">
        <v>20100729</v>
      </c>
      <c r="B355" s="109" t="s">
        <v>498</v>
      </c>
      <c r="C355" s="109" t="str">
        <f t="shared" si="13"/>
        <v>20100729RLS</v>
      </c>
      <c r="D355" s="109" t="s">
        <v>225</v>
      </c>
      <c r="E355" s="109" t="str">
        <f t="shared" si="14"/>
        <v>20100729LGUM_166</v>
      </c>
      <c r="F355" s="58">
        <v>26.92</v>
      </c>
      <c r="G355" s="58">
        <v>0.13</v>
      </c>
      <c r="H355" s="58">
        <v>2.14</v>
      </c>
      <c r="I355" s="58">
        <v>24.650000000000002</v>
      </c>
      <c r="J355" s="8" t="s">
        <v>546</v>
      </c>
    </row>
    <row r="356" spans="1:10">
      <c r="A356" s="8">
        <v>20100729</v>
      </c>
      <c r="B356" s="109" t="s">
        <v>498</v>
      </c>
      <c r="C356" s="109" t="str">
        <f t="shared" ref="C356:C419" si="15">A356&amp;B356</f>
        <v>20100729RLS</v>
      </c>
      <c r="D356" s="109" t="s">
        <v>263</v>
      </c>
      <c r="E356" s="109" t="str">
        <f t="shared" ref="E356:E419" si="16">A356&amp;D356</f>
        <v>20100729LGUM_266</v>
      </c>
      <c r="F356" s="58">
        <v>26.92</v>
      </c>
      <c r="G356" s="58">
        <v>0.13</v>
      </c>
      <c r="H356" s="58">
        <v>2.14</v>
      </c>
      <c r="I356" s="58">
        <v>24.650000000000002</v>
      </c>
      <c r="J356" s="8" t="s">
        <v>546</v>
      </c>
    </row>
    <row r="357" spans="1:10">
      <c r="A357" s="8">
        <v>20100729</v>
      </c>
      <c r="B357" s="109" t="s">
        <v>498</v>
      </c>
      <c r="C357" s="109" t="str">
        <f t="shared" si="15"/>
        <v>20100729RLS</v>
      </c>
      <c r="D357" s="109" t="s">
        <v>188</v>
      </c>
      <c r="E357" s="109" t="str">
        <f t="shared" si="16"/>
        <v>20100729LGUM_067</v>
      </c>
      <c r="F357" s="58">
        <v>30</v>
      </c>
      <c r="G357" s="58">
        <v>0.15</v>
      </c>
      <c r="H357" s="58">
        <v>3.4</v>
      </c>
      <c r="I357" s="58">
        <v>26.450000000000003</v>
      </c>
      <c r="J357" s="8" t="s">
        <v>547</v>
      </c>
    </row>
    <row r="358" spans="1:10">
      <c r="A358" s="8">
        <v>20100729</v>
      </c>
      <c r="B358" s="109" t="s">
        <v>498</v>
      </c>
      <c r="C358" s="109" t="str">
        <f t="shared" si="15"/>
        <v>20100729RLS</v>
      </c>
      <c r="D358" s="109" t="s">
        <v>226</v>
      </c>
      <c r="E358" s="109" t="str">
        <f t="shared" si="16"/>
        <v>20100729LGUM_167</v>
      </c>
      <c r="F358" s="58">
        <v>30</v>
      </c>
      <c r="G358" s="58">
        <v>0.15</v>
      </c>
      <c r="H358" s="58">
        <v>3.4</v>
      </c>
      <c r="I358" s="58">
        <v>26.450000000000003</v>
      </c>
      <c r="J358" s="8" t="s">
        <v>547</v>
      </c>
    </row>
    <row r="359" spans="1:10">
      <c r="A359" s="8">
        <v>20100729</v>
      </c>
      <c r="B359" s="109" t="s">
        <v>498</v>
      </c>
      <c r="C359" s="109" t="str">
        <f t="shared" si="15"/>
        <v>20100729RLS</v>
      </c>
      <c r="D359" s="109" t="s">
        <v>264</v>
      </c>
      <c r="E359" s="109" t="str">
        <f t="shared" si="16"/>
        <v>20100729LGUM_267</v>
      </c>
      <c r="F359" s="58">
        <v>30</v>
      </c>
      <c r="G359" s="58">
        <v>0.15</v>
      </c>
      <c r="H359" s="58">
        <v>3.4</v>
      </c>
      <c r="I359" s="58">
        <v>26.450000000000003</v>
      </c>
      <c r="J359" s="8" t="s">
        <v>547</v>
      </c>
    </row>
    <row r="360" spans="1:10">
      <c r="A360" s="8">
        <v>20100729</v>
      </c>
      <c r="B360" s="109" t="s">
        <v>498</v>
      </c>
      <c r="C360" s="109" t="str">
        <f t="shared" si="15"/>
        <v>20100729RLS</v>
      </c>
      <c r="D360" s="109" t="s">
        <v>189</v>
      </c>
      <c r="E360" s="109" t="str">
        <f t="shared" si="16"/>
        <v>20100729LGUM_072</v>
      </c>
      <c r="F360" s="58">
        <v>12.51</v>
      </c>
      <c r="G360" s="58">
        <v>0.13</v>
      </c>
      <c r="H360" s="58">
        <v>1.44</v>
      </c>
      <c r="I360" s="58">
        <v>10.94</v>
      </c>
      <c r="J360" s="8" t="s">
        <v>548</v>
      </c>
    </row>
    <row r="361" spans="1:10">
      <c r="A361" s="8">
        <v>20100729</v>
      </c>
      <c r="B361" s="109" t="s">
        <v>498</v>
      </c>
      <c r="C361" s="109" t="str">
        <f t="shared" si="15"/>
        <v>20100729RLS</v>
      </c>
      <c r="D361" s="109" t="s">
        <v>227</v>
      </c>
      <c r="E361" s="109" t="str">
        <f t="shared" si="16"/>
        <v>20100729LGUM_172</v>
      </c>
      <c r="F361" s="58">
        <v>12.51</v>
      </c>
      <c r="G361" s="58">
        <v>0.13</v>
      </c>
      <c r="H361" s="58">
        <v>1.44</v>
      </c>
      <c r="I361" s="58">
        <v>10.94</v>
      </c>
      <c r="J361" s="8" t="s">
        <v>548</v>
      </c>
    </row>
    <row r="362" spans="1:10">
      <c r="A362" s="8">
        <v>20100729</v>
      </c>
      <c r="B362" s="109" t="s">
        <v>498</v>
      </c>
      <c r="C362" s="109" t="str">
        <f t="shared" si="15"/>
        <v>20100729RLS</v>
      </c>
      <c r="D362" s="109" t="s">
        <v>265</v>
      </c>
      <c r="E362" s="109" t="str">
        <f t="shared" si="16"/>
        <v>20100729LGUM_272</v>
      </c>
      <c r="F362" s="58">
        <v>12.51</v>
      </c>
      <c r="G362" s="58">
        <v>0.13</v>
      </c>
      <c r="H362" s="58">
        <v>1.44</v>
      </c>
      <c r="I362" s="58">
        <v>10.94</v>
      </c>
      <c r="J362" s="8" t="s">
        <v>548</v>
      </c>
    </row>
    <row r="363" spans="1:10">
      <c r="A363" s="8">
        <v>20100729</v>
      </c>
      <c r="B363" s="109" t="s">
        <v>498</v>
      </c>
      <c r="C363" s="109" t="str">
        <f t="shared" si="15"/>
        <v>20100729RLS</v>
      </c>
      <c r="D363" s="109" t="s">
        <v>190</v>
      </c>
      <c r="E363" s="109" t="str">
        <f t="shared" si="16"/>
        <v>20100729LGUM_073</v>
      </c>
      <c r="F363" s="58">
        <v>12.51</v>
      </c>
      <c r="G363" s="58">
        <v>0.13</v>
      </c>
      <c r="H363" s="58">
        <v>1.44</v>
      </c>
      <c r="I363" s="58">
        <v>10.94</v>
      </c>
      <c r="J363" s="8" t="s">
        <v>549</v>
      </c>
    </row>
    <row r="364" spans="1:10">
      <c r="A364" s="8">
        <v>20100729</v>
      </c>
      <c r="B364" s="109" t="s">
        <v>498</v>
      </c>
      <c r="C364" s="109" t="str">
        <f t="shared" si="15"/>
        <v>20100729RLS</v>
      </c>
      <c r="D364" s="109" t="s">
        <v>228</v>
      </c>
      <c r="E364" s="109" t="str">
        <f t="shared" si="16"/>
        <v>20100729LGUM_173</v>
      </c>
      <c r="F364" s="58">
        <v>12.51</v>
      </c>
      <c r="G364" s="58">
        <v>0.13</v>
      </c>
      <c r="H364" s="58">
        <v>1.44</v>
      </c>
      <c r="I364" s="58">
        <v>10.94</v>
      </c>
      <c r="J364" s="8" t="s">
        <v>549</v>
      </c>
    </row>
    <row r="365" spans="1:10">
      <c r="A365" s="8">
        <v>20100729</v>
      </c>
      <c r="B365" s="109" t="s">
        <v>498</v>
      </c>
      <c r="C365" s="109" t="str">
        <f t="shared" si="15"/>
        <v>20100729RLS</v>
      </c>
      <c r="D365" s="109" t="s">
        <v>391</v>
      </c>
      <c r="E365" s="109" t="str">
        <f t="shared" si="16"/>
        <v>20100729LGUM_273</v>
      </c>
      <c r="F365" s="58">
        <v>12.51</v>
      </c>
      <c r="G365" s="58">
        <v>0.13</v>
      </c>
      <c r="H365" s="58">
        <v>1.44</v>
      </c>
      <c r="I365" s="58">
        <v>10.94</v>
      </c>
      <c r="J365" s="8" t="s">
        <v>549</v>
      </c>
    </row>
    <row r="366" spans="1:10">
      <c r="A366" s="8">
        <v>20100729</v>
      </c>
      <c r="B366" s="109" t="s">
        <v>498</v>
      </c>
      <c r="C366" s="109" t="str">
        <f t="shared" si="15"/>
        <v>20100729RLS</v>
      </c>
      <c r="D366" s="109" t="s">
        <v>191</v>
      </c>
      <c r="E366" s="109" t="str">
        <f t="shared" si="16"/>
        <v>20100729LGUM_074</v>
      </c>
      <c r="F366" s="58">
        <v>17.559999999999999</v>
      </c>
      <c r="G366" s="58">
        <v>0.14000000000000001</v>
      </c>
      <c r="H366" s="58">
        <v>0.99</v>
      </c>
      <c r="I366" s="58">
        <v>16.43</v>
      </c>
      <c r="J366" s="8" t="s">
        <v>550</v>
      </c>
    </row>
    <row r="367" spans="1:10">
      <c r="A367" s="8">
        <v>20100729</v>
      </c>
      <c r="B367" s="109" t="s">
        <v>498</v>
      </c>
      <c r="C367" s="109" t="str">
        <f t="shared" si="15"/>
        <v>20100729RLS</v>
      </c>
      <c r="D367" s="109" t="s">
        <v>229</v>
      </c>
      <c r="E367" s="109" t="str">
        <f t="shared" si="16"/>
        <v>20100729LGUM_174</v>
      </c>
      <c r="F367" s="58">
        <v>17.559999999999999</v>
      </c>
      <c r="G367" s="58">
        <v>0.14000000000000001</v>
      </c>
      <c r="H367" s="58">
        <v>0.99</v>
      </c>
      <c r="I367" s="58">
        <v>16.43</v>
      </c>
      <c r="J367" s="8" t="s">
        <v>550</v>
      </c>
    </row>
    <row r="368" spans="1:10">
      <c r="A368" s="8">
        <v>20100729</v>
      </c>
      <c r="B368" s="109" t="s">
        <v>498</v>
      </c>
      <c r="C368" s="109" t="str">
        <f t="shared" si="15"/>
        <v>20100729RLS</v>
      </c>
      <c r="D368" s="109" t="s">
        <v>267</v>
      </c>
      <c r="E368" s="109" t="str">
        <f t="shared" si="16"/>
        <v>20100729LGUM_274</v>
      </c>
      <c r="F368" s="58">
        <v>17.559999999999999</v>
      </c>
      <c r="G368" s="58">
        <v>0.14000000000000001</v>
      </c>
      <c r="H368" s="58">
        <v>0.99</v>
      </c>
      <c r="I368" s="58">
        <v>16.43</v>
      </c>
      <c r="J368" s="8" t="s">
        <v>550</v>
      </c>
    </row>
    <row r="369" spans="1:10">
      <c r="A369" s="8">
        <v>20100729</v>
      </c>
      <c r="B369" s="109" t="s">
        <v>498</v>
      </c>
      <c r="C369" s="109" t="str">
        <f t="shared" si="15"/>
        <v>20100729RLS</v>
      </c>
      <c r="D369" s="109" t="s">
        <v>192</v>
      </c>
      <c r="E369" s="109" t="str">
        <f t="shared" si="16"/>
        <v>20100729LGUM_075</v>
      </c>
      <c r="F369" s="58">
        <v>23.41</v>
      </c>
      <c r="G369" s="58">
        <v>0.13</v>
      </c>
      <c r="H369" s="58">
        <v>1.44</v>
      </c>
      <c r="I369" s="58">
        <v>21.84</v>
      </c>
      <c r="J369" s="8" t="s">
        <v>548</v>
      </c>
    </row>
    <row r="370" spans="1:10">
      <c r="A370" s="8">
        <v>20100729</v>
      </c>
      <c r="B370" s="109" t="s">
        <v>498</v>
      </c>
      <c r="C370" s="109" t="str">
        <f t="shared" si="15"/>
        <v>20100729RLS</v>
      </c>
      <c r="D370" s="109" t="s">
        <v>230</v>
      </c>
      <c r="E370" s="109" t="str">
        <f t="shared" si="16"/>
        <v>20100729LGUM_175</v>
      </c>
      <c r="F370" s="58">
        <v>23.41</v>
      </c>
      <c r="G370" s="58">
        <v>0.13</v>
      </c>
      <c r="H370" s="58">
        <v>1.44</v>
      </c>
      <c r="I370" s="58">
        <v>21.84</v>
      </c>
      <c r="J370" s="8" t="s">
        <v>548</v>
      </c>
    </row>
    <row r="371" spans="1:10">
      <c r="A371" s="8">
        <v>20100729</v>
      </c>
      <c r="B371" s="109" t="s">
        <v>498</v>
      </c>
      <c r="C371" s="109" t="str">
        <f t="shared" si="15"/>
        <v>20100729RLS</v>
      </c>
      <c r="D371" s="109" t="s">
        <v>392</v>
      </c>
      <c r="E371" s="109" t="str">
        <f t="shared" si="16"/>
        <v>20100729LGUM_275</v>
      </c>
      <c r="F371" s="58">
        <v>23.41</v>
      </c>
      <c r="G371" s="58">
        <v>0.13</v>
      </c>
      <c r="H371" s="58">
        <v>1.44</v>
      </c>
      <c r="I371" s="58">
        <v>21.84</v>
      </c>
      <c r="J371" s="8" t="s">
        <v>548</v>
      </c>
    </row>
    <row r="372" spans="1:10">
      <c r="A372" s="8">
        <v>20100729</v>
      </c>
      <c r="B372" s="109" t="s">
        <v>498</v>
      </c>
      <c r="C372" s="109" t="str">
        <f t="shared" si="15"/>
        <v>20100729RLS</v>
      </c>
      <c r="D372" s="109" t="s">
        <v>193</v>
      </c>
      <c r="E372" s="109" t="str">
        <f t="shared" si="16"/>
        <v>20100729LGUM_076</v>
      </c>
      <c r="F372" s="58">
        <v>13.22</v>
      </c>
      <c r="G372" s="58">
        <v>0.13</v>
      </c>
      <c r="H372" s="58">
        <v>0.69</v>
      </c>
      <c r="I372" s="58">
        <v>12.4</v>
      </c>
      <c r="J372" s="8" t="s">
        <v>551</v>
      </c>
    </row>
    <row r="373" spans="1:10">
      <c r="A373" s="8">
        <v>20100729</v>
      </c>
      <c r="B373" s="109" t="s">
        <v>498</v>
      </c>
      <c r="C373" s="109" t="str">
        <f t="shared" si="15"/>
        <v>20100729RLS</v>
      </c>
      <c r="D373" s="109" t="s">
        <v>231</v>
      </c>
      <c r="E373" s="109" t="str">
        <f t="shared" si="16"/>
        <v>20100729LGUM_176</v>
      </c>
      <c r="F373" s="58">
        <v>13.22</v>
      </c>
      <c r="G373" s="58">
        <v>0.13</v>
      </c>
      <c r="H373" s="58">
        <v>0.69</v>
      </c>
      <c r="I373" s="58">
        <v>12.4</v>
      </c>
      <c r="J373" s="8" t="s">
        <v>551</v>
      </c>
    </row>
    <row r="374" spans="1:10">
      <c r="A374" s="8">
        <v>20100729</v>
      </c>
      <c r="B374" s="109" t="s">
        <v>498</v>
      </c>
      <c r="C374" s="109" t="str">
        <f t="shared" si="15"/>
        <v>20100729RLS</v>
      </c>
      <c r="D374" s="109" t="s">
        <v>268</v>
      </c>
      <c r="E374" s="109" t="str">
        <f t="shared" si="16"/>
        <v>20100729LGUM_276</v>
      </c>
      <c r="F374" s="58">
        <v>13.22</v>
      </c>
      <c r="G374" s="58">
        <v>0.13</v>
      </c>
      <c r="H374" s="58">
        <v>0.69</v>
      </c>
      <c r="I374" s="58">
        <v>12.4</v>
      </c>
      <c r="J374" s="8" t="s">
        <v>551</v>
      </c>
    </row>
    <row r="375" spans="1:10">
      <c r="A375" s="8">
        <v>20100729</v>
      </c>
      <c r="B375" s="109" t="s">
        <v>498</v>
      </c>
      <c r="C375" s="109" t="str">
        <f t="shared" si="15"/>
        <v>20100729RLS</v>
      </c>
      <c r="D375" s="109" t="s">
        <v>194</v>
      </c>
      <c r="E375" s="109" t="str">
        <f t="shared" si="16"/>
        <v>20100729LGUM_077</v>
      </c>
      <c r="F375" s="58">
        <v>20.97</v>
      </c>
      <c r="G375" s="58">
        <v>0.13</v>
      </c>
      <c r="H375" s="58">
        <v>1.44</v>
      </c>
      <c r="I375" s="58">
        <v>19.399999999999999</v>
      </c>
      <c r="J375" s="8" t="s">
        <v>552</v>
      </c>
    </row>
    <row r="376" spans="1:10">
      <c r="A376" s="8">
        <v>20100729</v>
      </c>
      <c r="B376" s="109" t="s">
        <v>498</v>
      </c>
      <c r="C376" s="109" t="str">
        <f t="shared" si="15"/>
        <v>20100729RLS</v>
      </c>
      <c r="D376" s="109" t="s">
        <v>232</v>
      </c>
      <c r="E376" s="109" t="str">
        <f t="shared" si="16"/>
        <v>20100729LGUM_177</v>
      </c>
      <c r="F376" s="58">
        <v>20.97</v>
      </c>
      <c r="G376" s="58">
        <v>0.13</v>
      </c>
      <c r="H376" s="58">
        <v>1.44</v>
      </c>
      <c r="I376" s="58">
        <v>19.399999999999999</v>
      </c>
      <c r="J376" s="8" t="s">
        <v>552</v>
      </c>
    </row>
    <row r="377" spans="1:10">
      <c r="A377" s="8">
        <v>20100729</v>
      </c>
      <c r="B377" s="109" t="s">
        <v>498</v>
      </c>
      <c r="C377" s="109" t="str">
        <f t="shared" si="15"/>
        <v>20100729RLS</v>
      </c>
      <c r="D377" s="109" t="s">
        <v>269</v>
      </c>
      <c r="E377" s="109" t="str">
        <f t="shared" si="16"/>
        <v>20100729LGUM_277</v>
      </c>
      <c r="F377" s="58">
        <v>20.97</v>
      </c>
      <c r="G377" s="58">
        <v>0.13</v>
      </c>
      <c r="H377" s="58">
        <v>1.44</v>
      </c>
      <c r="I377" s="58">
        <v>19.399999999999999</v>
      </c>
      <c r="J377" s="8" t="s">
        <v>552</v>
      </c>
    </row>
    <row r="378" spans="1:10">
      <c r="A378" s="8">
        <v>20100729</v>
      </c>
      <c r="B378" s="109" t="s">
        <v>498</v>
      </c>
      <c r="C378" s="109" t="str">
        <f t="shared" si="15"/>
        <v>20100729RLS</v>
      </c>
      <c r="D378" s="109" t="s">
        <v>553</v>
      </c>
      <c r="E378" s="109" t="str">
        <f t="shared" si="16"/>
        <v>20100729LGUM_078</v>
      </c>
      <c r="F378" s="58">
        <v>67.180000000000007</v>
      </c>
      <c r="G378" s="58">
        <v>0.26</v>
      </c>
      <c r="H378" s="58">
        <v>9.98</v>
      </c>
      <c r="I378" s="58">
        <v>56.94</v>
      </c>
      <c r="J378" s="8" t="s">
        <v>554</v>
      </c>
    </row>
    <row r="379" spans="1:10">
      <c r="A379" s="8">
        <v>20100729</v>
      </c>
      <c r="B379" s="109" t="s">
        <v>498</v>
      </c>
      <c r="C379" s="109" t="str">
        <f t="shared" si="15"/>
        <v>20100729RLS</v>
      </c>
      <c r="D379" s="109" t="s">
        <v>233</v>
      </c>
      <c r="E379" s="109" t="str">
        <f t="shared" si="16"/>
        <v>20100729LGUM_178</v>
      </c>
      <c r="F379" s="58">
        <v>67.180000000000007</v>
      </c>
      <c r="G379" s="58">
        <v>0.26</v>
      </c>
      <c r="H379" s="58">
        <v>9.98</v>
      </c>
      <c r="I379" s="58">
        <v>56.94</v>
      </c>
      <c r="J379" s="8" t="s">
        <v>554</v>
      </c>
    </row>
    <row r="380" spans="1:10">
      <c r="A380" s="8">
        <v>20100729</v>
      </c>
      <c r="B380" s="109" t="s">
        <v>498</v>
      </c>
      <c r="C380" s="109" t="str">
        <f t="shared" si="15"/>
        <v>20100729RLS</v>
      </c>
      <c r="D380" s="109" t="s">
        <v>393</v>
      </c>
      <c r="E380" s="109" t="str">
        <f t="shared" si="16"/>
        <v>20100729LGUM_278</v>
      </c>
      <c r="F380" s="58">
        <v>67.180000000000007</v>
      </c>
      <c r="G380" s="58">
        <v>0.26</v>
      </c>
      <c r="H380" s="58">
        <v>9.98</v>
      </c>
      <c r="I380" s="58">
        <v>56.94</v>
      </c>
      <c r="J380" s="8" t="s">
        <v>554</v>
      </c>
    </row>
    <row r="381" spans="1:10">
      <c r="A381" s="8">
        <v>20100729</v>
      </c>
      <c r="B381" s="109" t="s">
        <v>498</v>
      </c>
      <c r="C381" s="109" t="str">
        <f t="shared" si="15"/>
        <v>20100729RLS</v>
      </c>
      <c r="D381" s="109" t="s">
        <v>555</v>
      </c>
      <c r="E381" s="109" t="str">
        <f t="shared" si="16"/>
        <v>20100729LGUM_079</v>
      </c>
      <c r="F381" s="58">
        <v>37.4</v>
      </c>
      <c r="G381" s="58">
        <v>0.26</v>
      </c>
      <c r="H381" s="58">
        <v>9.98</v>
      </c>
      <c r="I381" s="58">
        <v>27.16</v>
      </c>
      <c r="J381" s="8" t="s">
        <v>556</v>
      </c>
    </row>
    <row r="382" spans="1:10">
      <c r="A382" s="8">
        <v>20100729</v>
      </c>
      <c r="B382" s="109" t="s">
        <v>498</v>
      </c>
      <c r="C382" s="109" t="str">
        <f t="shared" si="15"/>
        <v>20100729RLS</v>
      </c>
      <c r="D382" s="109" t="s">
        <v>234</v>
      </c>
      <c r="E382" s="109" t="str">
        <f t="shared" si="16"/>
        <v>20100729LGUM_179</v>
      </c>
      <c r="F382" s="58">
        <v>37.4</v>
      </c>
      <c r="G382" s="58">
        <v>0.26</v>
      </c>
      <c r="H382" s="58">
        <v>9.98</v>
      </c>
      <c r="I382" s="58">
        <v>27.16</v>
      </c>
      <c r="J382" s="8" t="s">
        <v>556</v>
      </c>
    </row>
    <row r="383" spans="1:10">
      <c r="A383" s="8">
        <v>20100729</v>
      </c>
      <c r="B383" s="109" t="s">
        <v>498</v>
      </c>
      <c r="C383" s="109" t="str">
        <f t="shared" si="15"/>
        <v>20100729RLS</v>
      </c>
      <c r="D383" s="109" t="s">
        <v>394</v>
      </c>
      <c r="E383" s="109" t="str">
        <f t="shared" si="16"/>
        <v>20100729LGUM_279</v>
      </c>
      <c r="F383" s="58">
        <v>37.4</v>
      </c>
      <c r="G383" s="58">
        <v>0.26</v>
      </c>
      <c r="H383" s="58">
        <v>9.98</v>
      </c>
      <c r="I383" s="58">
        <v>27.16</v>
      </c>
      <c r="J383" s="8" t="s">
        <v>556</v>
      </c>
    </row>
    <row r="384" spans="1:10">
      <c r="A384" s="8">
        <v>20100729</v>
      </c>
      <c r="B384" s="109" t="s">
        <v>498</v>
      </c>
      <c r="C384" s="109" t="str">
        <f t="shared" si="15"/>
        <v>20100729RLS</v>
      </c>
      <c r="D384" s="109" t="s">
        <v>557</v>
      </c>
      <c r="E384" s="109" t="str">
        <f t="shared" si="16"/>
        <v>20100729LGUM_080</v>
      </c>
      <c r="F384" s="58">
        <v>18.37</v>
      </c>
      <c r="G384" s="58">
        <v>0.13</v>
      </c>
      <c r="H384" s="58">
        <v>0.69</v>
      </c>
      <c r="I384" s="58">
        <v>17.55</v>
      </c>
      <c r="J384" s="8" t="s">
        <v>558</v>
      </c>
    </row>
    <row r="385" spans="1:10">
      <c r="A385" s="8">
        <v>20100729</v>
      </c>
      <c r="B385" s="109" t="s">
        <v>498</v>
      </c>
      <c r="C385" s="109" t="str">
        <f t="shared" si="15"/>
        <v>20100729RLS</v>
      </c>
      <c r="D385" s="109" t="s">
        <v>235</v>
      </c>
      <c r="E385" s="109" t="str">
        <f t="shared" si="16"/>
        <v>20100729LGUM_180</v>
      </c>
      <c r="F385" s="58">
        <v>18.37</v>
      </c>
      <c r="G385" s="58">
        <v>0.13</v>
      </c>
      <c r="H385" s="58">
        <v>0.69</v>
      </c>
      <c r="I385" s="58">
        <v>17.55</v>
      </c>
      <c r="J385" s="8" t="s">
        <v>558</v>
      </c>
    </row>
    <row r="386" spans="1:10">
      <c r="A386" s="8">
        <v>20100729</v>
      </c>
      <c r="B386" s="109" t="s">
        <v>498</v>
      </c>
      <c r="C386" s="109" t="str">
        <f t="shared" si="15"/>
        <v>20100729RLS</v>
      </c>
      <c r="D386" s="109" t="s">
        <v>398</v>
      </c>
      <c r="E386" s="109" t="str">
        <f t="shared" si="16"/>
        <v>20100729LGUM_280</v>
      </c>
      <c r="F386" s="58">
        <v>18.37</v>
      </c>
      <c r="G386" s="58">
        <v>0.13</v>
      </c>
      <c r="H386" s="58">
        <v>0.69</v>
      </c>
      <c r="I386" s="58">
        <v>17.55</v>
      </c>
      <c r="J386" s="8" t="s">
        <v>558</v>
      </c>
    </row>
    <row r="387" spans="1:10">
      <c r="A387" s="8">
        <v>20100729</v>
      </c>
      <c r="B387" s="109" t="s">
        <v>498</v>
      </c>
      <c r="C387" s="109" t="str">
        <f t="shared" si="15"/>
        <v>20100729RLS</v>
      </c>
      <c r="D387" s="109" t="s">
        <v>375</v>
      </c>
      <c r="E387" s="109" t="str">
        <f t="shared" si="16"/>
        <v>20100729LGUM_081</v>
      </c>
      <c r="F387" s="58">
        <v>19.36</v>
      </c>
      <c r="G387" s="58">
        <v>0.14000000000000001</v>
      </c>
      <c r="H387" s="58">
        <v>0.99</v>
      </c>
      <c r="I387" s="58">
        <v>18.23</v>
      </c>
      <c r="J387" s="8" t="s">
        <v>559</v>
      </c>
    </row>
    <row r="388" spans="1:10">
      <c r="A388" s="8">
        <v>20100729</v>
      </c>
      <c r="B388" s="109" t="s">
        <v>498</v>
      </c>
      <c r="C388" s="109" t="str">
        <f t="shared" si="15"/>
        <v>20100729RLS</v>
      </c>
      <c r="D388" s="109" t="s">
        <v>236</v>
      </c>
      <c r="E388" s="109" t="str">
        <f t="shared" si="16"/>
        <v>20100729LGUM_181</v>
      </c>
      <c r="F388" s="58">
        <v>19.36</v>
      </c>
      <c r="G388" s="58">
        <v>0.14000000000000001</v>
      </c>
      <c r="H388" s="58">
        <v>0.99</v>
      </c>
      <c r="I388" s="58">
        <v>18.23</v>
      </c>
      <c r="J388" s="8" t="s">
        <v>559</v>
      </c>
    </row>
    <row r="389" spans="1:10">
      <c r="A389" s="8">
        <v>20100729</v>
      </c>
      <c r="B389" s="109" t="s">
        <v>498</v>
      </c>
      <c r="C389" s="109" t="str">
        <f t="shared" si="15"/>
        <v>20100729RLS</v>
      </c>
      <c r="D389" s="109" t="s">
        <v>395</v>
      </c>
      <c r="E389" s="109" t="str">
        <f t="shared" si="16"/>
        <v>20100729LGUM_281</v>
      </c>
      <c r="F389" s="58">
        <v>19.36</v>
      </c>
      <c r="G389" s="58">
        <v>0.14000000000000001</v>
      </c>
      <c r="H389" s="58">
        <v>0.99</v>
      </c>
      <c r="I389" s="58">
        <v>18.23</v>
      </c>
      <c r="J389" s="8" t="s">
        <v>559</v>
      </c>
    </row>
    <row r="390" spans="1:10">
      <c r="A390" s="8">
        <v>20100729</v>
      </c>
      <c r="B390" s="109" t="s">
        <v>498</v>
      </c>
      <c r="C390" s="109" t="str">
        <f t="shared" si="15"/>
        <v>20100729RLS</v>
      </c>
      <c r="D390" s="109" t="s">
        <v>195</v>
      </c>
      <c r="E390" s="109" t="str">
        <f t="shared" si="16"/>
        <v>20100729LGUM_082</v>
      </c>
      <c r="F390" s="58">
        <v>18.55</v>
      </c>
      <c r="G390" s="58">
        <v>0.13</v>
      </c>
      <c r="H390" s="58">
        <v>0.69</v>
      </c>
      <c r="I390" s="58">
        <v>17.73</v>
      </c>
      <c r="J390" s="8" t="s">
        <v>560</v>
      </c>
    </row>
    <row r="391" spans="1:10">
      <c r="A391" s="8">
        <v>20100729</v>
      </c>
      <c r="B391" s="109" t="s">
        <v>498</v>
      </c>
      <c r="C391" s="109" t="str">
        <f t="shared" si="15"/>
        <v>20100729RLS</v>
      </c>
      <c r="D391" s="109" t="s">
        <v>237</v>
      </c>
      <c r="E391" s="109" t="str">
        <f t="shared" si="16"/>
        <v>20100729LGUM_182</v>
      </c>
      <c r="F391" s="58">
        <v>18.55</v>
      </c>
      <c r="G391" s="58">
        <v>0.13</v>
      </c>
      <c r="H391" s="58">
        <v>0.69</v>
      </c>
      <c r="I391" s="58">
        <v>17.73</v>
      </c>
      <c r="J391" s="8" t="s">
        <v>560</v>
      </c>
    </row>
    <row r="392" spans="1:10">
      <c r="A392" s="8">
        <v>20100729</v>
      </c>
      <c r="B392" s="109" t="s">
        <v>498</v>
      </c>
      <c r="C392" s="109" t="str">
        <f t="shared" si="15"/>
        <v>20100729RLS</v>
      </c>
      <c r="D392" s="109" t="s">
        <v>396</v>
      </c>
      <c r="E392" s="109" t="str">
        <f t="shared" si="16"/>
        <v>20100729LGUM_282</v>
      </c>
      <c r="F392" s="58">
        <v>18.55</v>
      </c>
      <c r="G392" s="58">
        <v>0.13</v>
      </c>
      <c r="H392" s="58">
        <v>0.69</v>
      </c>
      <c r="I392" s="58">
        <v>17.73</v>
      </c>
      <c r="J392" s="8" t="s">
        <v>560</v>
      </c>
    </row>
    <row r="393" spans="1:10">
      <c r="A393" s="8">
        <v>20100729</v>
      </c>
      <c r="B393" s="109" t="s">
        <v>498</v>
      </c>
      <c r="C393" s="109" t="str">
        <f t="shared" si="15"/>
        <v>20100729RLS</v>
      </c>
      <c r="D393" s="109" t="s">
        <v>561</v>
      </c>
      <c r="E393" s="109" t="str">
        <f t="shared" si="16"/>
        <v>20100729LGUM_083</v>
      </c>
      <c r="F393" s="58">
        <v>19.559999999999999</v>
      </c>
      <c r="G393" s="58">
        <v>0.14000000000000001</v>
      </c>
      <c r="H393" s="58">
        <v>0.99</v>
      </c>
      <c r="I393" s="58">
        <v>18.43</v>
      </c>
      <c r="J393" s="8" t="s">
        <v>562</v>
      </c>
    </row>
    <row r="394" spans="1:10">
      <c r="A394" s="8">
        <v>20100729</v>
      </c>
      <c r="B394" s="109" t="s">
        <v>498</v>
      </c>
      <c r="C394" s="109" t="str">
        <f t="shared" si="15"/>
        <v>20100729RLS</v>
      </c>
      <c r="D394" s="109" t="s">
        <v>238</v>
      </c>
      <c r="E394" s="109" t="str">
        <f t="shared" si="16"/>
        <v>20100729LGUM_183</v>
      </c>
      <c r="F394" s="58">
        <v>19.559999999999999</v>
      </c>
      <c r="G394" s="58">
        <v>0.14000000000000001</v>
      </c>
      <c r="H394" s="58">
        <v>0.99</v>
      </c>
      <c r="I394" s="58">
        <v>18.43</v>
      </c>
      <c r="J394" s="8" t="s">
        <v>562</v>
      </c>
    </row>
    <row r="395" spans="1:10">
      <c r="A395" s="8">
        <v>20100729</v>
      </c>
      <c r="B395" s="109" t="s">
        <v>498</v>
      </c>
      <c r="C395" s="109" t="str">
        <f t="shared" si="15"/>
        <v>20100729RLS</v>
      </c>
      <c r="D395" s="109" t="s">
        <v>397</v>
      </c>
      <c r="E395" s="109" t="str">
        <f t="shared" si="16"/>
        <v>20100729LGUM_283</v>
      </c>
      <c r="F395" s="58">
        <v>19.559999999999999</v>
      </c>
      <c r="G395" s="58">
        <v>0.14000000000000001</v>
      </c>
      <c r="H395" s="58">
        <v>0.99</v>
      </c>
      <c r="I395" s="58">
        <v>18.43</v>
      </c>
      <c r="J395" s="8" t="s">
        <v>562</v>
      </c>
    </row>
    <row r="396" spans="1:10">
      <c r="A396" s="8">
        <v>20100729</v>
      </c>
      <c r="B396" s="109" t="s">
        <v>498</v>
      </c>
      <c r="C396" s="109" t="str">
        <f t="shared" si="15"/>
        <v>20100729RLS</v>
      </c>
      <c r="D396" s="109" t="s">
        <v>270</v>
      </c>
      <c r="E396" s="109" t="str">
        <f t="shared" si="16"/>
        <v>20100729LGUM_301</v>
      </c>
      <c r="F396" s="58">
        <v>7.17</v>
      </c>
      <c r="G396" s="58">
        <v>0.14000000000000001</v>
      </c>
      <c r="H396" s="58">
        <v>0.86</v>
      </c>
      <c r="I396" s="58">
        <v>6.17</v>
      </c>
      <c r="J396" s="8" t="s">
        <v>499</v>
      </c>
    </row>
    <row r="397" spans="1:10">
      <c r="A397" s="8">
        <v>20100729</v>
      </c>
      <c r="B397" s="109" t="s">
        <v>498</v>
      </c>
      <c r="C397" s="109" t="str">
        <f t="shared" si="15"/>
        <v>20100729RLS</v>
      </c>
      <c r="D397" s="109" t="s">
        <v>271</v>
      </c>
      <c r="E397" s="109" t="str">
        <f t="shared" si="16"/>
        <v>20100729LGUM_302</v>
      </c>
      <c r="F397" s="58">
        <v>8.25</v>
      </c>
      <c r="G397" s="58">
        <v>0.1</v>
      </c>
      <c r="H397" s="58">
        <v>1.44</v>
      </c>
      <c r="I397" s="58">
        <v>6.7100000000000009</v>
      </c>
      <c r="J397" s="8" t="s">
        <v>500</v>
      </c>
    </row>
    <row r="398" spans="1:10">
      <c r="A398" s="8">
        <v>20100729</v>
      </c>
      <c r="B398" s="109" t="s">
        <v>498</v>
      </c>
      <c r="C398" s="109" t="str">
        <f t="shared" si="15"/>
        <v>20100729RLS</v>
      </c>
      <c r="D398" s="109" t="s">
        <v>272</v>
      </c>
      <c r="E398" s="109" t="str">
        <f t="shared" si="16"/>
        <v>20100729LGUM_303</v>
      </c>
      <c r="F398" s="58">
        <v>9.57</v>
      </c>
      <c r="G398" s="58">
        <v>0.13</v>
      </c>
      <c r="H398" s="58">
        <v>2.04</v>
      </c>
      <c r="I398" s="58">
        <v>7.3999999999999995</v>
      </c>
      <c r="J398" s="8" t="s">
        <v>501</v>
      </c>
    </row>
    <row r="399" spans="1:10">
      <c r="A399" s="8">
        <v>20100729</v>
      </c>
      <c r="B399" s="109" t="s">
        <v>498</v>
      </c>
      <c r="C399" s="109" t="str">
        <f t="shared" si="15"/>
        <v>20100729RLS</v>
      </c>
      <c r="D399" s="109" t="s">
        <v>273</v>
      </c>
      <c r="E399" s="109" t="str">
        <f t="shared" si="16"/>
        <v>20100729LGUM_304</v>
      </c>
      <c r="F399" s="58">
        <v>11.64</v>
      </c>
      <c r="G399" s="58">
        <v>0.15</v>
      </c>
      <c r="H399" s="58">
        <v>3.18</v>
      </c>
      <c r="I399" s="58">
        <v>8.31</v>
      </c>
      <c r="J399" s="8" t="s">
        <v>502</v>
      </c>
    </row>
    <row r="400" spans="1:10">
      <c r="A400" s="8">
        <v>20100729</v>
      </c>
      <c r="B400" s="109" t="s">
        <v>498</v>
      </c>
      <c r="C400" s="109" t="str">
        <f t="shared" si="15"/>
        <v>20100729RLS</v>
      </c>
      <c r="D400" s="109" t="s">
        <v>275</v>
      </c>
      <c r="E400" s="109" t="str">
        <f t="shared" si="16"/>
        <v>20100729LGUM_305</v>
      </c>
      <c r="F400" s="58">
        <v>9.58</v>
      </c>
      <c r="G400" s="58">
        <v>0.14000000000000001</v>
      </c>
      <c r="H400" s="58">
        <v>0.99</v>
      </c>
      <c r="I400" s="58">
        <v>8.4499999999999993</v>
      </c>
      <c r="J400" s="8" t="s">
        <v>503</v>
      </c>
    </row>
    <row r="401" spans="1:10">
      <c r="A401" s="8">
        <v>20100729</v>
      </c>
      <c r="B401" s="109" t="s">
        <v>498</v>
      </c>
      <c r="C401" s="109" t="str">
        <f t="shared" si="15"/>
        <v>20100729RLS</v>
      </c>
      <c r="D401" s="109" t="s">
        <v>276</v>
      </c>
      <c r="E401" s="109" t="str">
        <f t="shared" si="16"/>
        <v>20100729LGUM_306</v>
      </c>
      <c r="F401" s="58">
        <v>11.17</v>
      </c>
      <c r="G401" s="58">
        <v>0.14000000000000001</v>
      </c>
      <c r="H401" s="58">
        <v>0.86</v>
      </c>
      <c r="I401" s="58">
        <v>10.17</v>
      </c>
      <c r="J401" s="8" t="s">
        <v>563</v>
      </c>
    </row>
    <row r="402" spans="1:10">
      <c r="A402" s="8">
        <v>20100729</v>
      </c>
      <c r="B402" s="109" t="s">
        <v>498</v>
      </c>
      <c r="C402" s="109" t="str">
        <f t="shared" si="15"/>
        <v>20100729RLS</v>
      </c>
      <c r="D402" s="109" t="s">
        <v>277</v>
      </c>
      <c r="E402" s="109" t="str">
        <f t="shared" si="16"/>
        <v>20100729LGUM_307</v>
      </c>
      <c r="F402" s="58">
        <v>16.149999999999999</v>
      </c>
      <c r="G402" s="58">
        <v>0.15</v>
      </c>
      <c r="H402" s="58">
        <v>3.18</v>
      </c>
      <c r="I402" s="58">
        <v>12.819999999999999</v>
      </c>
      <c r="J402" s="8" t="s">
        <v>564</v>
      </c>
    </row>
    <row r="403" spans="1:10">
      <c r="A403" s="8">
        <v>20100729</v>
      </c>
      <c r="B403" s="109" t="s">
        <v>498</v>
      </c>
      <c r="C403" s="109" t="str">
        <f t="shared" si="15"/>
        <v>20100729RLS</v>
      </c>
      <c r="D403" s="109" t="s">
        <v>278</v>
      </c>
      <c r="E403" s="109" t="str">
        <f t="shared" si="16"/>
        <v>20100729LGUM_308</v>
      </c>
      <c r="F403" s="58">
        <v>12.15</v>
      </c>
      <c r="G403" s="58">
        <v>0.1</v>
      </c>
      <c r="H403" s="58">
        <v>1.44</v>
      </c>
      <c r="I403" s="58">
        <v>10.610000000000001</v>
      </c>
      <c r="J403" s="8" t="s">
        <v>681</v>
      </c>
    </row>
    <row r="404" spans="1:10">
      <c r="A404" s="8">
        <v>20100729</v>
      </c>
      <c r="B404" s="109" t="s">
        <v>498</v>
      </c>
      <c r="C404" s="109" t="str">
        <f t="shared" si="15"/>
        <v>20100729RLS</v>
      </c>
      <c r="D404" s="109" t="s">
        <v>279</v>
      </c>
      <c r="E404" s="109" t="str">
        <f t="shared" si="16"/>
        <v>20100729LGUM_309</v>
      </c>
      <c r="F404" s="58">
        <v>22.12</v>
      </c>
      <c r="G404" s="58">
        <v>0.26</v>
      </c>
      <c r="H404" s="58">
        <v>7.58</v>
      </c>
      <c r="I404" s="58">
        <v>14.28</v>
      </c>
      <c r="J404" s="8" t="s">
        <v>509</v>
      </c>
    </row>
    <row r="405" spans="1:10">
      <c r="A405" s="8">
        <v>20100729</v>
      </c>
      <c r="B405" s="109" t="s">
        <v>498</v>
      </c>
      <c r="C405" s="109" t="str">
        <f t="shared" si="15"/>
        <v>20100729RLS</v>
      </c>
      <c r="D405" s="109" t="s">
        <v>280</v>
      </c>
      <c r="E405" s="109" t="str">
        <f t="shared" si="16"/>
        <v>20100729LGUM_310</v>
      </c>
      <c r="F405" s="58">
        <v>22.12</v>
      </c>
      <c r="G405" s="58">
        <v>0.26</v>
      </c>
      <c r="H405" s="58">
        <v>7.58</v>
      </c>
      <c r="I405" s="58">
        <v>14.28</v>
      </c>
      <c r="J405" s="8" t="s">
        <v>510</v>
      </c>
    </row>
    <row r="406" spans="1:10">
      <c r="A406" s="8">
        <v>20100729</v>
      </c>
      <c r="B406" s="109" t="s">
        <v>498</v>
      </c>
      <c r="C406" s="109" t="str">
        <f t="shared" si="15"/>
        <v>20100729RLS</v>
      </c>
      <c r="D406" s="109" t="s">
        <v>281</v>
      </c>
      <c r="E406" s="109" t="str">
        <f t="shared" si="16"/>
        <v>20100729LGUM_311</v>
      </c>
      <c r="F406" s="58">
        <v>13.64</v>
      </c>
      <c r="G406" s="58">
        <v>0.13</v>
      </c>
      <c r="H406" s="58">
        <v>2.14</v>
      </c>
      <c r="I406" s="58">
        <v>11.37</v>
      </c>
      <c r="J406" s="8" t="s">
        <v>511</v>
      </c>
    </row>
    <row r="407" spans="1:10">
      <c r="A407" s="8">
        <v>20100729</v>
      </c>
      <c r="B407" s="109" t="s">
        <v>498</v>
      </c>
      <c r="C407" s="109" t="str">
        <f t="shared" si="15"/>
        <v>20100729RLS</v>
      </c>
      <c r="D407" s="109" t="s">
        <v>283</v>
      </c>
      <c r="E407" s="109" t="str">
        <f t="shared" si="16"/>
        <v>20100729LGUM_312</v>
      </c>
      <c r="F407" s="58">
        <v>14.66</v>
      </c>
      <c r="G407" s="58">
        <v>0.15</v>
      </c>
      <c r="H407" s="58">
        <v>3.4</v>
      </c>
      <c r="I407" s="58">
        <v>11.11</v>
      </c>
      <c r="J407" s="8" t="s">
        <v>512</v>
      </c>
    </row>
    <row r="408" spans="1:10">
      <c r="A408" s="8">
        <v>20100729</v>
      </c>
      <c r="B408" s="109" t="s">
        <v>498</v>
      </c>
      <c r="C408" s="109" t="str">
        <f t="shared" si="15"/>
        <v>20100729RLS</v>
      </c>
      <c r="D408" s="109" t="s">
        <v>285</v>
      </c>
      <c r="E408" s="109" t="str">
        <f t="shared" si="16"/>
        <v>20100729LGUM_313</v>
      </c>
      <c r="F408" s="58">
        <v>14.66</v>
      </c>
      <c r="G408" s="58">
        <v>0.15</v>
      </c>
      <c r="H408" s="58">
        <v>3.4</v>
      </c>
      <c r="I408" s="58">
        <v>11.11</v>
      </c>
      <c r="J408" s="8" t="s">
        <v>513</v>
      </c>
    </row>
    <row r="409" spans="1:10">
      <c r="A409" s="8">
        <v>20100729</v>
      </c>
      <c r="B409" s="109" t="s">
        <v>498</v>
      </c>
      <c r="C409" s="109" t="str">
        <f t="shared" si="15"/>
        <v>20100729RLS</v>
      </c>
      <c r="D409" s="109" t="s">
        <v>287</v>
      </c>
      <c r="E409" s="109" t="str">
        <f t="shared" si="16"/>
        <v>20100729LGUM_314</v>
      </c>
      <c r="F409" s="58">
        <v>17.54</v>
      </c>
      <c r="G409" s="58">
        <v>0.13</v>
      </c>
      <c r="H409" s="58">
        <v>2.04</v>
      </c>
      <c r="I409" s="58">
        <v>15.370000000000001</v>
      </c>
      <c r="J409" s="8" t="s">
        <v>682</v>
      </c>
    </row>
    <row r="410" spans="1:10">
      <c r="A410" s="8">
        <v>20100729</v>
      </c>
      <c r="B410" s="109" t="s">
        <v>498</v>
      </c>
      <c r="C410" s="109" t="str">
        <f t="shared" si="15"/>
        <v>20100729RLS</v>
      </c>
      <c r="D410" s="109" t="s">
        <v>288</v>
      </c>
      <c r="E410" s="109" t="str">
        <f t="shared" si="16"/>
        <v>20100729LGUM_315</v>
      </c>
      <c r="F410" s="58">
        <v>20.85</v>
      </c>
      <c r="G410" s="58">
        <v>0.15</v>
      </c>
      <c r="H410" s="58">
        <v>3.18</v>
      </c>
      <c r="I410" s="58">
        <v>17.520000000000003</v>
      </c>
      <c r="J410" s="8" t="s">
        <v>683</v>
      </c>
    </row>
    <row r="411" spans="1:10">
      <c r="A411" s="8">
        <v>20100729</v>
      </c>
      <c r="B411" s="109" t="s">
        <v>498</v>
      </c>
      <c r="C411" s="109" t="str">
        <f t="shared" si="15"/>
        <v>20100729RLS</v>
      </c>
      <c r="D411" s="109" t="s">
        <v>289</v>
      </c>
      <c r="E411" s="109" t="str">
        <f t="shared" si="16"/>
        <v>20100729LGUM_316</v>
      </c>
      <c r="F411" s="58">
        <v>24.98</v>
      </c>
      <c r="G411" s="58">
        <v>0.13</v>
      </c>
      <c r="H411" s="58">
        <v>2.14</v>
      </c>
      <c r="I411" s="58">
        <v>22.71</v>
      </c>
      <c r="J411" s="8" t="s">
        <v>515</v>
      </c>
    </row>
    <row r="412" spans="1:10">
      <c r="A412" s="8">
        <v>20100729</v>
      </c>
      <c r="B412" s="109" t="s">
        <v>498</v>
      </c>
      <c r="C412" s="109" t="str">
        <f t="shared" si="15"/>
        <v>20100729RLS</v>
      </c>
      <c r="D412" s="109" t="s">
        <v>290</v>
      </c>
      <c r="E412" s="109" t="str">
        <f t="shared" si="16"/>
        <v>20100729LGUM_317</v>
      </c>
      <c r="F412" s="58">
        <v>27.18</v>
      </c>
      <c r="G412" s="58">
        <v>0.15</v>
      </c>
      <c r="H412" s="58">
        <v>3.4</v>
      </c>
      <c r="I412" s="58">
        <v>23.630000000000003</v>
      </c>
      <c r="J412" s="8" t="s">
        <v>517</v>
      </c>
    </row>
    <row r="413" spans="1:10">
      <c r="A413" s="8">
        <v>20100729</v>
      </c>
      <c r="B413" s="109" t="s">
        <v>498</v>
      </c>
      <c r="C413" s="109" t="str">
        <f t="shared" si="15"/>
        <v>20100729RLS</v>
      </c>
      <c r="D413" s="109" t="s">
        <v>291</v>
      </c>
      <c r="E413" s="109" t="str">
        <f t="shared" si="16"/>
        <v>20100729LGUM_318</v>
      </c>
      <c r="F413" s="58">
        <v>16.18</v>
      </c>
      <c r="G413" s="58">
        <v>0.1</v>
      </c>
      <c r="H413" s="58">
        <v>1.44</v>
      </c>
      <c r="I413" s="58">
        <v>14.639999999999999</v>
      </c>
      <c r="J413" s="8" t="s">
        <v>684</v>
      </c>
    </row>
    <row r="414" spans="1:10">
      <c r="A414" s="8">
        <v>20100729</v>
      </c>
      <c r="B414" s="109" t="s">
        <v>498</v>
      </c>
      <c r="C414" s="109" t="str">
        <f t="shared" si="15"/>
        <v>20100729RLS</v>
      </c>
      <c r="D414" s="109" t="s">
        <v>571</v>
      </c>
      <c r="E414" s="109" t="str">
        <f t="shared" si="16"/>
        <v>20100729LGUM_319</v>
      </c>
      <c r="F414" s="58">
        <v>20.95</v>
      </c>
      <c r="G414" s="58">
        <v>0.15</v>
      </c>
      <c r="H414" s="58">
        <v>3.18</v>
      </c>
      <c r="I414" s="58">
        <v>17.62</v>
      </c>
      <c r="J414" s="8" t="s">
        <v>685</v>
      </c>
    </row>
    <row r="415" spans="1:10">
      <c r="A415" s="8">
        <v>20100729</v>
      </c>
      <c r="B415" s="109" t="s">
        <v>498</v>
      </c>
      <c r="C415" s="109" t="str">
        <f t="shared" si="15"/>
        <v>20100729RLS</v>
      </c>
      <c r="D415" s="109" t="s">
        <v>573</v>
      </c>
      <c r="E415" s="109" t="str">
        <f t="shared" si="16"/>
        <v>20100729LGUM_320</v>
      </c>
      <c r="F415" s="58">
        <v>24.98</v>
      </c>
      <c r="G415" s="58">
        <v>0.13</v>
      </c>
      <c r="H415" s="58">
        <v>2.14</v>
      </c>
      <c r="I415" s="58">
        <v>22.71</v>
      </c>
      <c r="J415" s="8" t="s">
        <v>686</v>
      </c>
    </row>
    <row r="416" spans="1:10">
      <c r="A416" s="8">
        <v>20100729</v>
      </c>
      <c r="B416" s="109" t="s">
        <v>498</v>
      </c>
      <c r="C416" s="109" t="str">
        <f t="shared" si="15"/>
        <v>20100729RLS</v>
      </c>
      <c r="D416" s="109" t="s">
        <v>292</v>
      </c>
      <c r="E416" s="109" t="str">
        <f t="shared" si="16"/>
        <v>20100729LGUM_321</v>
      </c>
      <c r="F416" s="58">
        <v>27.18</v>
      </c>
      <c r="G416" s="58">
        <v>0.15</v>
      </c>
      <c r="H416" s="58">
        <v>3.4</v>
      </c>
      <c r="I416" s="58">
        <v>23.630000000000003</v>
      </c>
      <c r="J416" s="8" t="s">
        <v>687</v>
      </c>
    </row>
    <row r="417" spans="1:10">
      <c r="A417" s="8">
        <v>20100729</v>
      </c>
      <c r="B417" s="109" t="s">
        <v>498</v>
      </c>
      <c r="C417" s="109" t="str">
        <f t="shared" si="15"/>
        <v>20100729RLS</v>
      </c>
      <c r="D417" s="109" t="s">
        <v>293</v>
      </c>
      <c r="E417" s="109" t="str">
        <f t="shared" si="16"/>
        <v>20100729LGUM_322</v>
      </c>
      <c r="F417" s="58">
        <v>11.4</v>
      </c>
      <c r="G417" s="58">
        <v>0.13</v>
      </c>
      <c r="H417" s="58">
        <v>1.44</v>
      </c>
      <c r="I417" s="58">
        <v>9.83</v>
      </c>
      <c r="J417" s="8" t="s">
        <v>518</v>
      </c>
    </row>
    <row r="418" spans="1:10">
      <c r="A418" s="8">
        <v>20100729</v>
      </c>
      <c r="B418" s="109" t="s">
        <v>498</v>
      </c>
      <c r="C418" s="109" t="str">
        <f t="shared" si="15"/>
        <v>20100729RLS</v>
      </c>
      <c r="D418" s="109" t="s">
        <v>294</v>
      </c>
      <c r="E418" s="109" t="str">
        <f t="shared" si="16"/>
        <v>20100729LGUM_323</v>
      </c>
      <c r="F418" s="58">
        <v>13.73</v>
      </c>
      <c r="G418" s="58">
        <v>0.13</v>
      </c>
      <c r="H418" s="58">
        <v>1.44</v>
      </c>
      <c r="I418" s="58">
        <v>12.16</v>
      </c>
      <c r="J418" s="8" t="s">
        <v>519</v>
      </c>
    </row>
    <row r="419" spans="1:10">
      <c r="A419" s="8">
        <v>20100729</v>
      </c>
      <c r="B419" s="109" t="s">
        <v>498</v>
      </c>
      <c r="C419" s="109" t="str">
        <f t="shared" si="15"/>
        <v>20100729RLS</v>
      </c>
      <c r="D419" s="109" t="s">
        <v>295</v>
      </c>
      <c r="E419" s="109" t="str">
        <f t="shared" si="16"/>
        <v>20100729LGUM_324</v>
      </c>
      <c r="F419" s="58">
        <v>13.87</v>
      </c>
      <c r="G419" s="58">
        <v>0.14000000000000001</v>
      </c>
      <c r="H419" s="58">
        <v>0.99</v>
      </c>
      <c r="I419" s="58">
        <v>12.739999999999998</v>
      </c>
      <c r="J419" s="8" t="s">
        <v>576</v>
      </c>
    </row>
    <row r="420" spans="1:10">
      <c r="A420" s="8">
        <v>20100729</v>
      </c>
      <c r="B420" s="109" t="s">
        <v>498</v>
      </c>
      <c r="C420" s="109" t="str">
        <f t="shared" ref="C420:C485" si="17">A420&amp;B420</f>
        <v>20100729RLS</v>
      </c>
      <c r="D420" s="109" t="s">
        <v>296</v>
      </c>
      <c r="E420" s="109" t="str">
        <f t="shared" ref="E420:E485" si="18">A420&amp;D420</f>
        <v>20100729LGUM_325</v>
      </c>
      <c r="F420" s="58">
        <v>23.39</v>
      </c>
      <c r="G420" s="58">
        <v>0.13</v>
      </c>
      <c r="H420" s="58">
        <v>1.44</v>
      </c>
      <c r="I420" s="58">
        <v>21.82</v>
      </c>
      <c r="J420" s="117" t="s">
        <v>733</v>
      </c>
    </row>
    <row r="421" spans="1:10">
      <c r="A421" s="8">
        <v>20100729</v>
      </c>
      <c r="B421" s="109" t="s">
        <v>498</v>
      </c>
      <c r="C421" s="109" t="str">
        <f t="shared" si="17"/>
        <v>20100729RLS</v>
      </c>
      <c r="D421" s="109" t="s">
        <v>577</v>
      </c>
      <c r="E421" s="109" t="str">
        <f t="shared" si="18"/>
        <v>20100729LGUM_345</v>
      </c>
      <c r="F421" s="58">
        <v>16.11</v>
      </c>
      <c r="G421" s="58">
        <v>0.15</v>
      </c>
      <c r="H421" s="58">
        <v>3.18</v>
      </c>
      <c r="I421" s="58">
        <v>12.78</v>
      </c>
      <c r="J421" s="8" t="s">
        <v>688</v>
      </c>
    </row>
    <row r="422" spans="1:10">
      <c r="A422" s="8">
        <v>20100729</v>
      </c>
      <c r="B422" s="109" t="s">
        <v>498</v>
      </c>
      <c r="C422" s="109" t="str">
        <f t="shared" si="17"/>
        <v>20100729RLS</v>
      </c>
      <c r="D422" s="109" t="s">
        <v>579</v>
      </c>
      <c r="E422" s="109" t="str">
        <f t="shared" si="18"/>
        <v>20100729LGUM_346</v>
      </c>
      <c r="F422" s="58">
        <v>22.05</v>
      </c>
      <c r="G422" s="58">
        <v>0.13</v>
      </c>
      <c r="H422" s="58">
        <v>2.14</v>
      </c>
      <c r="I422" s="58">
        <v>19.78</v>
      </c>
      <c r="J422" s="8" t="s">
        <v>689</v>
      </c>
    </row>
    <row r="423" spans="1:10">
      <c r="A423" s="8">
        <v>20100729</v>
      </c>
      <c r="B423" s="109" t="s">
        <v>498</v>
      </c>
      <c r="C423" s="109" t="str">
        <f t="shared" si="17"/>
        <v>20100729RLS</v>
      </c>
      <c r="D423" s="109" t="s">
        <v>581</v>
      </c>
      <c r="E423" s="109" t="str">
        <f t="shared" si="18"/>
        <v>20100729LGUM_347</v>
      </c>
      <c r="F423" s="58">
        <v>20.95</v>
      </c>
      <c r="G423" s="58">
        <v>0.15</v>
      </c>
      <c r="H423" s="58">
        <v>3.18</v>
      </c>
      <c r="I423" s="58">
        <v>17.62</v>
      </c>
      <c r="J423" s="8" t="s">
        <v>582</v>
      </c>
    </row>
    <row r="424" spans="1:10">
      <c r="A424" s="8">
        <v>20100729</v>
      </c>
      <c r="B424" s="109" t="s">
        <v>498</v>
      </c>
      <c r="C424" s="109" t="str">
        <f t="shared" si="17"/>
        <v>20100729RLS</v>
      </c>
      <c r="D424" s="109" t="s">
        <v>297</v>
      </c>
      <c r="E424" s="109" t="str">
        <f t="shared" si="18"/>
        <v>20100729LGUM_348</v>
      </c>
      <c r="F424" s="58">
        <v>11.89</v>
      </c>
      <c r="G424" s="58">
        <v>0.42</v>
      </c>
      <c r="H424" s="58">
        <v>2.39</v>
      </c>
      <c r="I424" s="58">
        <v>9.08</v>
      </c>
      <c r="J424" s="8" t="s">
        <v>583</v>
      </c>
    </row>
    <row r="425" spans="1:10">
      <c r="A425" s="8">
        <v>20100729</v>
      </c>
      <c r="B425" s="109" t="s">
        <v>498</v>
      </c>
      <c r="C425" s="109" t="str">
        <f t="shared" si="17"/>
        <v>20100729RLS</v>
      </c>
      <c r="D425" s="109" t="s">
        <v>299</v>
      </c>
      <c r="E425" s="109" t="str">
        <f t="shared" si="18"/>
        <v>20100729LGUM_349</v>
      </c>
      <c r="F425" s="58">
        <v>8.35</v>
      </c>
      <c r="G425" s="58">
        <v>0.14000000000000001</v>
      </c>
      <c r="H425" s="58">
        <v>0.86</v>
      </c>
      <c r="I425" s="58">
        <v>7.3499999999999988</v>
      </c>
      <c r="J425" s="8" t="s">
        <v>584</v>
      </c>
    </row>
    <row r="426" spans="1:10">
      <c r="A426" s="8">
        <v>20100729</v>
      </c>
      <c r="B426" s="109" t="s">
        <v>498</v>
      </c>
      <c r="C426" s="109" t="str">
        <f t="shared" si="17"/>
        <v>20100729RLS</v>
      </c>
      <c r="D426" s="109" t="s">
        <v>301</v>
      </c>
      <c r="E426" s="109" t="str">
        <f t="shared" si="18"/>
        <v>20100729LGUM_352</v>
      </c>
      <c r="F426" s="58">
        <v>10.039999999999999</v>
      </c>
      <c r="G426" s="58">
        <v>0.1</v>
      </c>
      <c r="H426" s="58">
        <v>1.44</v>
      </c>
      <c r="I426" s="58">
        <v>8.5</v>
      </c>
      <c r="J426" s="8" t="s">
        <v>530</v>
      </c>
    </row>
    <row r="427" spans="1:10">
      <c r="A427" s="8">
        <v>20100729</v>
      </c>
      <c r="B427" s="109" t="s">
        <v>498</v>
      </c>
      <c r="C427" s="109" t="str">
        <f t="shared" si="17"/>
        <v>20100729RLS</v>
      </c>
      <c r="D427" s="109" t="s">
        <v>302</v>
      </c>
      <c r="E427" s="109" t="str">
        <f t="shared" si="18"/>
        <v>20100729LGUM_353</v>
      </c>
      <c r="F427" s="58">
        <v>11.46</v>
      </c>
      <c r="G427" s="58">
        <v>0.13</v>
      </c>
      <c r="H427" s="58">
        <v>2.04</v>
      </c>
      <c r="I427" s="58">
        <v>9.2899999999999991</v>
      </c>
      <c r="J427" s="8" t="s">
        <v>531</v>
      </c>
    </row>
    <row r="428" spans="1:10">
      <c r="A428" s="8">
        <v>20100729</v>
      </c>
      <c r="B428" s="109" t="s">
        <v>498</v>
      </c>
      <c r="C428" s="109" t="str">
        <f t="shared" si="17"/>
        <v>20100729RLS</v>
      </c>
      <c r="D428" s="109" t="s">
        <v>303</v>
      </c>
      <c r="E428" s="109" t="str">
        <f t="shared" si="18"/>
        <v>20100729LGUM_354</v>
      </c>
      <c r="F428" s="58">
        <v>13.95</v>
      </c>
      <c r="G428" s="58">
        <v>0.15</v>
      </c>
      <c r="H428" s="58">
        <v>3.18</v>
      </c>
      <c r="I428" s="58">
        <v>10.62</v>
      </c>
      <c r="J428" s="8" t="s">
        <v>532</v>
      </c>
    </row>
    <row r="429" spans="1:10">
      <c r="A429" s="8">
        <v>20100729</v>
      </c>
      <c r="B429" s="109" t="s">
        <v>498</v>
      </c>
      <c r="C429" s="109" t="str">
        <f t="shared" si="17"/>
        <v>20100729RLS</v>
      </c>
      <c r="D429" s="109" t="s">
        <v>304</v>
      </c>
      <c r="E429" s="109" t="str">
        <f t="shared" si="18"/>
        <v>20100729LGUM_355</v>
      </c>
      <c r="F429" s="58">
        <v>9.58</v>
      </c>
      <c r="G429" s="58">
        <v>0.14000000000000001</v>
      </c>
      <c r="H429" s="58">
        <v>0.99</v>
      </c>
      <c r="I429" s="58">
        <v>8.4499999999999993</v>
      </c>
      <c r="J429" s="8" t="s">
        <v>533</v>
      </c>
    </row>
    <row r="430" spans="1:10">
      <c r="A430" s="8">
        <v>20100729</v>
      </c>
      <c r="B430" s="109" t="s">
        <v>498</v>
      </c>
      <c r="C430" s="109" t="str">
        <f t="shared" si="17"/>
        <v>20100729RLS</v>
      </c>
      <c r="D430" s="109" t="s">
        <v>585</v>
      </c>
      <c r="E430" s="109" t="str">
        <f t="shared" si="18"/>
        <v>20100729LGUM_356</v>
      </c>
      <c r="F430" s="58">
        <v>13.86</v>
      </c>
      <c r="G430" s="58">
        <v>0.14000000000000001</v>
      </c>
      <c r="H430" s="58">
        <v>0.86</v>
      </c>
      <c r="I430" s="58">
        <v>12.86</v>
      </c>
      <c r="J430" s="8" t="s">
        <v>586</v>
      </c>
    </row>
    <row r="431" spans="1:10">
      <c r="A431" s="8">
        <v>20100729</v>
      </c>
      <c r="B431" s="109" t="s">
        <v>498</v>
      </c>
      <c r="C431" s="109" t="str">
        <f t="shared" si="17"/>
        <v>20100729RLS</v>
      </c>
      <c r="D431" s="109" t="s">
        <v>305</v>
      </c>
      <c r="E431" s="109" t="str">
        <f t="shared" si="18"/>
        <v>20100729LGUM_357</v>
      </c>
      <c r="F431" s="58">
        <v>13.95</v>
      </c>
      <c r="G431" s="58">
        <v>0.15</v>
      </c>
      <c r="H431" s="58">
        <v>3.18</v>
      </c>
      <c r="I431" s="58">
        <v>10.62</v>
      </c>
      <c r="J431" s="8" t="s">
        <v>538</v>
      </c>
    </row>
    <row r="432" spans="1:10">
      <c r="A432" s="8">
        <v>20100729</v>
      </c>
      <c r="B432" s="109" t="s">
        <v>498</v>
      </c>
      <c r="C432" s="109" t="str">
        <f t="shared" si="17"/>
        <v>20100729RLS</v>
      </c>
      <c r="D432" s="109" t="s">
        <v>306</v>
      </c>
      <c r="E432" s="109" t="str">
        <f t="shared" si="18"/>
        <v>20100729LGUM_358</v>
      </c>
      <c r="F432" s="58">
        <v>14.68</v>
      </c>
      <c r="G432" s="58">
        <v>0.1</v>
      </c>
      <c r="H432" s="58">
        <v>1.44</v>
      </c>
      <c r="I432" s="58">
        <v>13.14</v>
      </c>
      <c r="J432" s="8" t="s">
        <v>539</v>
      </c>
    </row>
    <row r="433" spans="1:10">
      <c r="A433" s="8">
        <v>20100729</v>
      </c>
      <c r="B433" s="109" t="s">
        <v>498</v>
      </c>
      <c r="C433" s="109" t="str">
        <f t="shared" si="17"/>
        <v>20100729RLS</v>
      </c>
      <c r="D433" s="109" t="s">
        <v>307</v>
      </c>
      <c r="E433" s="109" t="str">
        <f t="shared" si="18"/>
        <v>20100729LGUM_360</v>
      </c>
      <c r="F433" s="58">
        <v>25.83</v>
      </c>
      <c r="G433" s="58">
        <v>0.26</v>
      </c>
      <c r="H433" s="58">
        <v>7.58</v>
      </c>
      <c r="I433" s="58">
        <v>17.989999999999995</v>
      </c>
      <c r="J433" s="8" t="s">
        <v>542</v>
      </c>
    </row>
    <row r="434" spans="1:10">
      <c r="A434" s="8">
        <v>20100729</v>
      </c>
      <c r="B434" s="109" t="s">
        <v>498</v>
      </c>
      <c r="C434" s="109" t="str">
        <f t="shared" si="17"/>
        <v>20100729RLS</v>
      </c>
      <c r="D434" s="109" t="s">
        <v>308</v>
      </c>
      <c r="E434" s="109" t="str">
        <f t="shared" si="18"/>
        <v>20100729LGUM_361</v>
      </c>
      <c r="F434" s="58">
        <v>13.64</v>
      </c>
      <c r="G434" s="58">
        <v>0.13</v>
      </c>
      <c r="H434" s="58">
        <v>2.14</v>
      </c>
      <c r="I434" s="58">
        <v>11.37</v>
      </c>
      <c r="J434" s="8" t="s">
        <v>543</v>
      </c>
    </row>
    <row r="435" spans="1:10">
      <c r="A435" s="8">
        <v>20100729</v>
      </c>
      <c r="B435" s="109" t="s">
        <v>498</v>
      </c>
      <c r="C435" s="109" t="str">
        <f t="shared" si="17"/>
        <v>20100729RLS</v>
      </c>
      <c r="D435" s="109" t="s">
        <v>309</v>
      </c>
      <c r="E435" s="109" t="str">
        <f t="shared" si="18"/>
        <v>20100729LGUM_362</v>
      </c>
      <c r="F435" s="58">
        <v>14.66</v>
      </c>
      <c r="G435" s="58">
        <v>0.15</v>
      </c>
      <c r="H435" s="58">
        <v>3.4</v>
      </c>
      <c r="I435" s="58">
        <v>11.11</v>
      </c>
      <c r="J435" s="8" t="s">
        <v>544</v>
      </c>
    </row>
    <row r="436" spans="1:10">
      <c r="A436" s="8">
        <v>20100729</v>
      </c>
      <c r="B436" s="109" t="s">
        <v>498</v>
      </c>
      <c r="C436" s="109" t="str">
        <f t="shared" si="17"/>
        <v>20100729RLS</v>
      </c>
      <c r="D436" s="109" t="s">
        <v>310</v>
      </c>
      <c r="E436" s="109" t="str">
        <f t="shared" si="18"/>
        <v>20100729LGUM_363</v>
      </c>
      <c r="F436" s="58">
        <v>14.66</v>
      </c>
      <c r="G436" s="58">
        <v>0.15</v>
      </c>
      <c r="H436" s="58">
        <v>3.4</v>
      </c>
      <c r="I436" s="58">
        <v>11.11</v>
      </c>
      <c r="J436" s="8" t="s">
        <v>545</v>
      </c>
    </row>
    <row r="437" spans="1:10">
      <c r="A437" s="8">
        <v>20100729</v>
      </c>
      <c r="B437" s="109" t="s">
        <v>498</v>
      </c>
      <c r="C437" s="109" t="str">
        <f t="shared" si="17"/>
        <v>20100729RLS</v>
      </c>
      <c r="D437" s="109" t="s">
        <v>311</v>
      </c>
      <c r="E437" s="109" t="str">
        <f t="shared" si="18"/>
        <v>20100729LGUM_364</v>
      </c>
      <c r="F437" s="58">
        <v>24.05</v>
      </c>
      <c r="G437" s="58">
        <v>0.13</v>
      </c>
      <c r="H437" s="58">
        <v>2.04</v>
      </c>
      <c r="I437" s="58">
        <v>21.880000000000003</v>
      </c>
      <c r="J437" s="8" t="s">
        <v>690</v>
      </c>
    </row>
    <row r="438" spans="1:10">
      <c r="A438" s="8">
        <v>20100729</v>
      </c>
      <c r="B438" s="109" t="s">
        <v>498</v>
      </c>
      <c r="C438" s="109" t="str">
        <f t="shared" si="17"/>
        <v>20100729RLS</v>
      </c>
      <c r="D438" s="109" t="s">
        <v>312</v>
      </c>
      <c r="E438" s="109" t="str">
        <f t="shared" si="18"/>
        <v>20100729LGUM_365</v>
      </c>
      <c r="F438" s="58">
        <v>27.09</v>
      </c>
      <c r="G438" s="58">
        <v>0.15</v>
      </c>
      <c r="H438" s="58">
        <v>3.18</v>
      </c>
      <c r="I438" s="58">
        <v>23.76</v>
      </c>
      <c r="J438" s="8" t="s">
        <v>691</v>
      </c>
    </row>
    <row r="439" spans="1:10">
      <c r="A439" s="8">
        <v>20100729</v>
      </c>
      <c r="B439" s="109" t="s">
        <v>498</v>
      </c>
      <c r="C439" s="109" t="str">
        <f t="shared" si="17"/>
        <v>20100729RLS</v>
      </c>
      <c r="D439" s="109" t="s">
        <v>313</v>
      </c>
      <c r="E439" s="109" t="str">
        <f t="shared" si="18"/>
        <v>20100729LGUM_366</v>
      </c>
      <c r="F439" s="58">
        <v>24.98</v>
      </c>
      <c r="G439" s="58">
        <v>0.13</v>
      </c>
      <c r="H439" s="58">
        <v>2.14</v>
      </c>
      <c r="I439" s="58">
        <v>22.71</v>
      </c>
      <c r="J439" s="8" t="s">
        <v>546</v>
      </c>
    </row>
    <row r="440" spans="1:10">
      <c r="A440" s="8">
        <v>20100729</v>
      </c>
      <c r="B440" s="109" t="s">
        <v>498</v>
      </c>
      <c r="C440" s="109" t="str">
        <f t="shared" si="17"/>
        <v>20100729RLS</v>
      </c>
      <c r="D440" s="109" t="s">
        <v>314</v>
      </c>
      <c r="E440" s="109" t="str">
        <f t="shared" si="18"/>
        <v>20100729LGUM_367</v>
      </c>
      <c r="F440" s="58">
        <v>27.18</v>
      </c>
      <c r="G440" s="58">
        <v>0.15</v>
      </c>
      <c r="H440" s="58">
        <v>3.4</v>
      </c>
      <c r="I440" s="58">
        <v>23.630000000000003</v>
      </c>
      <c r="J440" s="8" t="s">
        <v>692</v>
      </c>
    </row>
    <row r="441" spans="1:10">
      <c r="A441" s="8">
        <v>20100729</v>
      </c>
      <c r="B441" s="109" t="s">
        <v>498</v>
      </c>
      <c r="C441" s="109" t="str">
        <f t="shared" si="17"/>
        <v>20100729RLS</v>
      </c>
      <c r="D441" s="109" t="s">
        <v>592</v>
      </c>
      <c r="E441" s="109" t="str">
        <f t="shared" si="18"/>
        <v>20100729LGUM_368</v>
      </c>
      <c r="F441" s="58">
        <v>23.12</v>
      </c>
      <c r="G441" s="58">
        <v>0.1</v>
      </c>
      <c r="H441" s="58">
        <v>1.44</v>
      </c>
      <c r="I441" s="58">
        <v>21.58</v>
      </c>
      <c r="J441" s="8" t="s">
        <v>684</v>
      </c>
    </row>
    <row r="442" spans="1:10">
      <c r="A442" s="8">
        <v>20100729</v>
      </c>
      <c r="B442" s="109" t="s">
        <v>498</v>
      </c>
      <c r="C442" s="109" t="str">
        <f t="shared" si="17"/>
        <v>20100729RLS</v>
      </c>
      <c r="D442" s="109" t="s">
        <v>593</v>
      </c>
      <c r="E442" s="109" t="str">
        <f t="shared" si="18"/>
        <v>20100729LGUM_369</v>
      </c>
      <c r="F442" s="58">
        <v>27.09</v>
      </c>
      <c r="G442" s="58">
        <v>0.15</v>
      </c>
      <c r="H442" s="58">
        <v>3.18</v>
      </c>
      <c r="I442" s="58">
        <v>23.76</v>
      </c>
      <c r="J442" s="8" t="s">
        <v>693</v>
      </c>
    </row>
    <row r="443" spans="1:10">
      <c r="A443" s="8">
        <v>20100729</v>
      </c>
      <c r="B443" s="109" t="s">
        <v>498</v>
      </c>
      <c r="C443" s="109" t="str">
        <f t="shared" si="17"/>
        <v>20100729RLS</v>
      </c>
      <c r="D443" s="109" t="s">
        <v>315</v>
      </c>
      <c r="E443" s="109" t="str">
        <f t="shared" si="18"/>
        <v>20100729LGUM_370</v>
      </c>
      <c r="F443" s="58">
        <v>24.98</v>
      </c>
      <c r="G443" s="58">
        <v>0.13</v>
      </c>
      <c r="H443" s="58">
        <v>2.14</v>
      </c>
      <c r="I443" s="58">
        <v>22.71</v>
      </c>
      <c r="J443" s="8" t="s">
        <v>694</v>
      </c>
    </row>
    <row r="444" spans="1:10">
      <c r="A444" s="8">
        <v>20100729</v>
      </c>
      <c r="B444" s="109" t="s">
        <v>498</v>
      </c>
      <c r="C444" s="109" t="str">
        <f t="shared" si="17"/>
        <v>20100729RLS</v>
      </c>
      <c r="D444" s="109" t="s">
        <v>316</v>
      </c>
      <c r="E444" s="109" t="str">
        <f t="shared" si="18"/>
        <v>20100729LGUM_371</v>
      </c>
      <c r="F444" s="58">
        <v>27.18</v>
      </c>
      <c r="G444" s="58">
        <v>0.15</v>
      </c>
      <c r="H444" s="58">
        <v>3.4</v>
      </c>
      <c r="I444" s="58">
        <v>23.630000000000003</v>
      </c>
      <c r="J444" s="8" t="s">
        <v>695</v>
      </c>
    </row>
    <row r="445" spans="1:10">
      <c r="A445" s="8">
        <v>20100729</v>
      </c>
      <c r="B445" s="109" t="s">
        <v>498</v>
      </c>
      <c r="C445" s="109" t="str">
        <f t="shared" si="17"/>
        <v>20100729RLS</v>
      </c>
      <c r="D445" s="109" t="s">
        <v>317</v>
      </c>
      <c r="E445" s="109" t="str">
        <f t="shared" si="18"/>
        <v>20100729LGUM_372</v>
      </c>
      <c r="F445" s="58">
        <v>11.4</v>
      </c>
      <c r="G445" s="58">
        <v>0.13</v>
      </c>
      <c r="H445" s="58">
        <v>1.44</v>
      </c>
      <c r="I445" s="58">
        <v>9.83</v>
      </c>
      <c r="J445" s="8" t="s">
        <v>548</v>
      </c>
    </row>
    <row r="446" spans="1:10">
      <c r="A446" s="8">
        <v>20100729</v>
      </c>
      <c r="B446" s="109" t="s">
        <v>498</v>
      </c>
      <c r="C446" s="109" t="str">
        <f t="shared" si="17"/>
        <v>20100729RLS</v>
      </c>
      <c r="D446" s="109" t="s">
        <v>318</v>
      </c>
      <c r="E446" s="109" t="str">
        <f t="shared" si="18"/>
        <v>20100729LGUM_373</v>
      </c>
      <c r="F446" s="58">
        <v>11.4</v>
      </c>
      <c r="G446" s="58">
        <v>0.13</v>
      </c>
      <c r="H446" s="58">
        <v>1.44</v>
      </c>
      <c r="I446" s="58">
        <v>9.83</v>
      </c>
      <c r="J446" s="8" t="s">
        <v>549</v>
      </c>
    </row>
    <row r="447" spans="1:10">
      <c r="A447" s="8">
        <v>20100729</v>
      </c>
      <c r="B447" s="109" t="s">
        <v>498</v>
      </c>
      <c r="C447" s="109" t="str">
        <f t="shared" si="17"/>
        <v>20100729RLS</v>
      </c>
      <c r="D447" s="109" t="s">
        <v>319</v>
      </c>
      <c r="E447" s="109" t="str">
        <f t="shared" si="18"/>
        <v>20100729LGUM_374</v>
      </c>
      <c r="F447" s="58">
        <v>13.87</v>
      </c>
      <c r="G447" s="58">
        <v>0.14000000000000001</v>
      </c>
      <c r="H447" s="58">
        <v>0.99</v>
      </c>
      <c r="I447" s="58">
        <v>12.739999999999998</v>
      </c>
      <c r="J447" s="8" t="s">
        <v>597</v>
      </c>
    </row>
    <row r="448" spans="1:10">
      <c r="A448" s="8">
        <v>20100729</v>
      </c>
      <c r="B448" s="109" t="s">
        <v>498</v>
      </c>
      <c r="C448" s="109" t="str">
        <f t="shared" si="17"/>
        <v>20100729RLS</v>
      </c>
      <c r="D448" s="109" t="s">
        <v>320</v>
      </c>
      <c r="E448" s="109" t="str">
        <f t="shared" si="18"/>
        <v>20100729LGUM_375</v>
      </c>
      <c r="F448" s="58">
        <v>23.39</v>
      </c>
      <c r="G448" s="58">
        <v>0.13</v>
      </c>
      <c r="H448" s="58">
        <v>1.44</v>
      </c>
      <c r="I448" s="58">
        <v>21.82</v>
      </c>
      <c r="J448" s="117" t="s">
        <v>734</v>
      </c>
    </row>
    <row r="449" spans="1:10">
      <c r="A449" s="8">
        <v>20100729</v>
      </c>
      <c r="B449" s="109" t="s">
        <v>498</v>
      </c>
      <c r="C449" s="109" t="str">
        <f t="shared" si="17"/>
        <v>20100729RLS</v>
      </c>
      <c r="D449" s="109" t="s">
        <v>321</v>
      </c>
      <c r="E449" s="109" t="str">
        <f t="shared" si="18"/>
        <v>20100729LGUM_376</v>
      </c>
      <c r="F449" s="58">
        <v>13.3</v>
      </c>
      <c r="G449" s="58">
        <v>0.13</v>
      </c>
      <c r="H449" s="58">
        <v>0.69</v>
      </c>
      <c r="I449" s="58">
        <v>12.48</v>
      </c>
      <c r="J449" s="8" t="s">
        <v>551</v>
      </c>
    </row>
    <row r="450" spans="1:10">
      <c r="A450" s="8">
        <v>20100729</v>
      </c>
      <c r="B450" s="109" t="s">
        <v>498</v>
      </c>
      <c r="C450" s="109" t="str">
        <f t="shared" si="17"/>
        <v>20100729RLS</v>
      </c>
      <c r="D450" s="109" t="s">
        <v>322</v>
      </c>
      <c r="E450" s="109" t="str">
        <f t="shared" si="18"/>
        <v>20100729LGUM_377</v>
      </c>
      <c r="F450" s="58">
        <v>20.14</v>
      </c>
      <c r="G450" s="58">
        <v>0.13</v>
      </c>
      <c r="H450" s="58">
        <v>1.44</v>
      </c>
      <c r="I450" s="58">
        <v>18.57</v>
      </c>
      <c r="J450" s="8" t="s">
        <v>697</v>
      </c>
    </row>
    <row r="451" spans="1:10">
      <c r="A451" s="8">
        <v>20100729</v>
      </c>
      <c r="B451" s="109" t="s">
        <v>498</v>
      </c>
      <c r="C451" s="109" t="str">
        <f t="shared" si="17"/>
        <v>20100729RLS</v>
      </c>
      <c r="D451" s="109" t="s">
        <v>323</v>
      </c>
      <c r="E451" s="109" t="str">
        <f t="shared" si="18"/>
        <v>20100729LGUM_378</v>
      </c>
      <c r="F451" s="58">
        <v>62.75</v>
      </c>
      <c r="G451" s="58">
        <v>0.26</v>
      </c>
      <c r="H451" s="58">
        <v>9.98</v>
      </c>
      <c r="I451" s="58">
        <v>52.510000000000005</v>
      </c>
      <c r="J451" s="8" t="s">
        <v>554</v>
      </c>
    </row>
    <row r="452" spans="1:10">
      <c r="A452" s="8">
        <v>20100729</v>
      </c>
      <c r="B452" s="109" t="s">
        <v>498</v>
      </c>
      <c r="C452" s="109" t="str">
        <f t="shared" si="17"/>
        <v>20100729RLS</v>
      </c>
      <c r="D452" s="109" t="s">
        <v>324</v>
      </c>
      <c r="E452" s="109" t="str">
        <f t="shared" si="18"/>
        <v>20100729LGUM_379</v>
      </c>
      <c r="F452" s="58">
        <v>32.97</v>
      </c>
      <c r="G452" s="58">
        <v>0.26</v>
      </c>
      <c r="H452" s="58">
        <v>9.98</v>
      </c>
      <c r="I452" s="58">
        <v>22.73</v>
      </c>
      <c r="J452" s="8" t="s">
        <v>556</v>
      </c>
    </row>
    <row r="453" spans="1:10">
      <c r="A453" s="8">
        <v>20100729</v>
      </c>
      <c r="B453" s="109" t="s">
        <v>498</v>
      </c>
      <c r="C453" s="109" t="str">
        <f t="shared" si="17"/>
        <v>20100729RLS</v>
      </c>
      <c r="D453" s="109" t="s">
        <v>325</v>
      </c>
      <c r="E453" s="109" t="str">
        <f t="shared" si="18"/>
        <v>20100729LGUM_380</v>
      </c>
      <c r="F453" s="58">
        <v>17.920000000000002</v>
      </c>
      <c r="G453" s="58">
        <v>0.13</v>
      </c>
      <c r="H453" s="58">
        <v>0.69</v>
      </c>
      <c r="I453" s="58">
        <v>17.100000000000001</v>
      </c>
      <c r="J453" s="8" t="s">
        <v>558</v>
      </c>
    </row>
    <row r="454" spans="1:10">
      <c r="A454" s="8">
        <v>20100729</v>
      </c>
      <c r="B454" s="109" t="s">
        <v>498</v>
      </c>
      <c r="C454" s="109" t="str">
        <f t="shared" si="17"/>
        <v>20100729RLS</v>
      </c>
      <c r="D454" s="109" t="s">
        <v>326</v>
      </c>
      <c r="E454" s="109" t="str">
        <f t="shared" si="18"/>
        <v>20100729LGUM_381</v>
      </c>
      <c r="F454" s="58">
        <v>18.79</v>
      </c>
      <c r="G454" s="58">
        <v>0.14000000000000001</v>
      </c>
      <c r="H454" s="58">
        <v>0.99</v>
      </c>
      <c r="I454" s="58">
        <v>17.66</v>
      </c>
      <c r="J454" s="8" t="s">
        <v>603</v>
      </c>
    </row>
    <row r="455" spans="1:10">
      <c r="A455" s="8">
        <v>20100729</v>
      </c>
      <c r="B455" s="109" t="s">
        <v>498</v>
      </c>
      <c r="C455" s="109" t="str">
        <f t="shared" si="17"/>
        <v>20100729RLS</v>
      </c>
      <c r="D455" s="109" t="s">
        <v>327</v>
      </c>
      <c r="E455" s="109" t="str">
        <f t="shared" si="18"/>
        <v>20100729LGUM_382</v>
      </c>
      <c r="F455" s="58">
        <v>18.13</v>
      </c>
      <c r="G455" s="58">
        <v>0.13</v>
      </c>
      <c r="H455" s="58">
        <v>0.69</v>
      </c>
      <c r="I455" s="58">
        <v>17.309999999999999</v>
      </c>
      <c r="J455" s="8" t="s">
        <v>560</v>
      </c>
    </row>
    <row r="456" spans="1:10">
      <c r="A456" s="8">
        <v>20100729</v>
      </c>
      <c r="B456" s="109" t="s">
        <v>498</v>
      </c>
      <c r="C456" s="109" t="str">
        <f t="shared" si="17"/>
        <v>20100729RLS</v>
      </c>
      <c r="D456" s="109" t="s">
        <v>328</v>
      </c>
      <c r="E456" s="109" t="str">
        <f t="shared" si="18"/>
        <v>20100729LGUM_383</v>
      </c>
      <c r="F456" s="58">
        <v>19.39</v>
      </c>
      <c r="G456" s="58">
        <v>0.14000000000000001</v>
      </c>
      <c r="H456" s="58">
        <v>0.99</v>
      </c>
      <c r="I456" s="58">
        <v>18.260000000000002</v>
      </c>
      <c r="J456" s="8" t="s">
        <v>605</v>
      </c>
    </row>
    <row r="457" spans="1:10">
      <c r="A457" s="8">
        <v>20100729</v>
      </c>
      <c r="B457" s="109" t="s">
        <v>725</v>
      </c>
      <c r="C457" s="109" t="str">
        <f t="shared" si="17"/>
        <v>20100729DSK</v>
      </c>
      <c r="D457" s="113" t="s">
        <v>377</v>
      </c>
      <c r="E457" s="109" t="str">
        <f t="shared" si="18"/>
        <v>20100729LGUM_400</v>
      </c>
      <c r="F457" s="58">
        <v>22.52</v>
      </c>
      <c r="G457" s="58">
        <v>0.17</v>
      </c>
      <c r="H457" s="58">
        <v>0.86</v>
      </c>
      <c r="I457" s="58">
        <v>17.64</v>
      </c>
      <c r="J457" s="8" t="s">
        <v>726</v>
      </c>
    </row>
    <row r="458" spans="1:10">
      <c r="A458" s="8">
        <v>20100729</v>
      </c>
      <c r="B458" s="109" t="s">
        <v>725</v>
      </c>
      <c r="C458" s="109" t="str">
        <f t="shared" si="17"/>
        <v>20100729DSK</v>
      </c>
      <c r="D458" s="113" t="s">
        <v>737</v>
      </c>
      <c r="E458" s="109" t="str">
        <f t="shared" si="18"/>
        <v>20100729LGUM_401</v>
      </c>
      <c r="F458" s="58">
        <v>23.43</v>
      </c>
      <c r="G458" s="58">
        <v>0.18</v>
      </c>
      <c r="H458" s="58">
        <v>0.99</v>
      </c>
      <c r="I458" s="58">
        <v>17.64</v>
      </c>
      <c r="J458" s="117" t="s">
        <v>738</v>
      </c>
    </row>
    <row r="459" spans="1:10">
      <c r="A459" s="8">
        <v>20100729</v>
      </c>
      <c r="B459" s="109" t="s">
        <v>606</v>
      </c>
      <c r="C459" s="109" t="str">
        <f t="shared" si="17"/>
        <v>20100729LS</v>
      </c>
      <c r="D459" s="109" t="s">
        <v>329</v>
      </c>
      <c r="E459" s="109" t="str">
        <f t="shared" si="18"/>
        <v>20100729LGUM_412</v>
      </c>
      <c r="F459" s="58">
        <v>18.59</v>
      </c>
      <c r="G459" s="58">
        <v>0.2</v>
      </c>
      <c r="H459" s="58">
        <v>0.75</v>
      </c>
      <c r="I459" s="58">
        <v>17.64</v>
      </c>
      <c r="J459" s="8" t="s">
        <v>607</v>
      </c>
    </row>
    <row r="460" spans="1:10">
      <c r="A460" s="8">
        <v>20100729</v>
      </c>
      <c r="B460" s="109" t="s">
        <v>606</v>
      </c>
      <c r="C460" s="109" t="str">
        <f t="shared" si="17"/>
        <v>20100729LS</v>
      </c>
      <c r="D460" s="109" t="s">
        <v>330</v>
      </c>
      <c r="E460" s="109" t="str">
        <f t="shared" si="18"/>
        <v>20100729LGUM_413</v>
      </c>
      <c r="F460" s="58">
        <v>19.16</v>
      </c>
      <c r="G460" s="58">
        <v>0.18</v>
      </c>
      <c r="H460" s="58">
        <v>0.99</v>
      </c>
      <c r="I460" s="58">
        <v>17.990000000000002</v>
      </c>
      <c r="J460" s="8" t="s">
        <v>608</v>
      </c>
    </row>
    <row r="461" spans="1:10">
      <c r="A461" s="8">
        <v>20100729</v>
      </c>
      <c r="B461" s="109" t="s">
        <v>606</v>
      </c>
      <c r="C461" s="109" t="str">
        <f t="shared" si="17"/>
        <v>20100729LS</v>
      </c>
      <c r="D461" s="109" t="s">
        <v>331</v>
      </c>
      <c r="E461" s="109" t="str">
        <f t="shared" si="18"/>
        <v>20100729LGUM_414</v>
      </c>
      <c r="F461" s="58">
        <v>20.239999999999998</v>
      </c>
      <c r="G461" s="58">
        <v>0.15</v>
      </c>
      <c r="H461" s="58">
        <v>1.38</v>
      </c>
      <c r="I461" s="58">
        <v>18.71</v>
      </c>
      <c r="J461" s="8" t="s">
        <v>609</v>
      </c>
    </row>
    <row r="462" spans="1:10">
      <c r="A462" s="8">
        <v>20100729</v>
      </c>
      <c r="B462" s="109" t="s">
        <v>606</v>
      </c>
      <c r="C462" s="109" t="str">
        <f t="shared" si="17"/>
        <v>20100729LS</v>
      </c>
      <c r="D462" s="109" t="s">
        <v>332</v>
      </c>
      <c r="E462" s="109" t="str">
        <f t="shared" si="18"/>
        <v>20100729LGUM_415</v>
      </c>
      <c r="F462" s="58">
        <v>18.96</v>
      </c>
      <c r="G462" s="58">
        <v>0.2</v>
      </c>
      <c r="H462" s="58">
        <v>0.75</v>
      </c>
      <c r="I462" s="58">
        <v>18.010000000000002</v>
      </c>
      <c r="J462" s="8" t="s">
        <v>610</v>
      </c>
    </row>
    <row r="463" spans="1:10">
      <c r="A463" s="8">
        <v>20100729</v>
      </c>
      <c r="B463" s="109" t="s">
        <v>606</v>
      </c>
      <c r="C463" s="109" t="str">
        <f t="shared" si="17"/>
        <v>20100729LS</v>
      </c>
      <c r="D463" s="109" t="s">
        <v>333</v>
      </c>
      <c r="E463" s="109" t="str">
        <f t="shared" si="18"/>
        <v>20100729LGUM_416</v>
      </c>
      <c r="F463" s="58">
        <v>21.16</v>
      </c>
      <c r="G463" s="58">
        <v>0.18</v>
      </c>
      <c r="H463" s="58">
        <v>0.99</v>
      </c>
      <c r="I463" s="58">
        <v>19.990000000000002</v>
      </c>
      <c r="J463" s="8" t="s">
        <v>611</v>
      </c>
    </row>
    <row r="464" spans="1:10">
      <c r="A464" s="8">
        <v>20100729</v>
      </c>
      <c r="B464" s="109" t="s">
        <v>606</v>
      </c>
      <c r="C464" s="109" t="str">
        <f t="shared" si="17"/>
        <v>20100729LS</v>
      </c>
      <c r="D464" s="109" t="s">
        <v>334</v>
      </c>
      <c r="E464" s="109" t="str">
        <f t="shared" si="18"/>
        <v>20100729LGUM_417</v>
      </c>
      <c r="F464" s="58">
        <v>22.24</v>
      </c>
      <c r="G464" s="58">
        <v>0.18</v>
      </c>
      <c r="H464" s="58">
        <v>0.99</v>
      </c>
      <c r="I464" s="58">
        <v>21.07</v>
      </c>
      <c r="J464" s="8" t="s">
        <v>612</v>
      </c>
    </row>
    <row r="465" spans="1:10">
      <c r="A465" s="8">
        <v>20100729</v>
      </c>
      <c r="B465" s="109" t="s">
        <v>606</v>
      </c>
      <c r="C465" s="109" t="str">
        <f t="shared" si="17"/>
        <v>20100729LS</v>
      </c>
      <c r="D465" s="109" t="s">
        <v>335</v>
      </c>
      <c r="E465" s="109" t="str">
        <f t="shared" si="18"/>
        <v>20100729LGUM_418</v>
      </c>
      <c r="F465" s="58">
        <v>22.15</v>
      </c>
      <c r="G465" s="58">
        <v>0.15</v>
      </c>
      <c r="H465" s="58">
        <v>1.38</v>
      </c>
      <c r="I465" s="58">
        <v>20.62</v>
      </c>
      <c r="J465" s="8" t="s">
        <v>613</v>
      </c>
    </row>
    <row r="466" spans="1:10">
      <c r="A466" s="8">
        <v>20100729</v>
      </c>
      <c r="B466" s="109" t="s">
        <v>606</v>
      </c>
      <c r="C466" s="109" t="str">
        <f t="shared" si="17"/>
        <v>20100729LS</v>
      </c>
      <c r="D466" s="109" t="s">
        <v>336</v>
      </c>
      <c r="E466" s="109" t="str">
        <f t="shared" si="18"/>
        <v>20100729LGUM_419</v>
      </c>
      <c r="F466" s="58">
        <v>23.16</v>
      </c>
      <c r="G466" s="58">
        <v>0.15</v>
      </c>
      <c r="H466" s="58">
        <v>1.38</v>
      </c>
      <c r="I466" s="58">
        <v>21.630000000000003</v>
      </c>
      <c r="J466" s="8" t="s">
        <v>614</v>
      </c>
    </row>
    <row r="467" spans="1:10">
      <c r="A467" s="8">
        <v>20100729</v>
      </c>
      <c r="B467" s="109" t="s">
        <v>606</v>
      </c>
      <c r="C467" s="109" t="str">
        <f t="shared" si="17"/>
        <v>20100729LS</v>
      </c>
      <c r="D467" s="109" t="s">
        <v>337</v>
      </c>
      <c r="E467" s="109" t="str">
        <f t="shared" si="18"/>
        <v>20100729LGUM_420</v>
      </c>
      <c r="F467" s="58">
        <v>28.23</v>
      </c>
      <c r="G467" s="58">
        <v>0.15</v>
      </c>
      <c r="H467" s="58">
        <v>1.38</v>
      </c>
      <c r="I467" s="58">
        <v>26.700000000000003</v>
      </c>
      <c r="J467" s="8" t="s">
        <v>615</v>
      </c>
    </row>
    <row r="468" spans="1:10">
      <c r="A468" s="8">
        <v>20100729</v>
      </c>
      <c r="B468" s="109" t="s">
        <v>606</v>
      </c>
      <c r="C468" s="109" t="str">
        <f t="shared" si="17"/>
        <v>20100729LS</v>
      </c>
      <c r="D468" s="109" t="s">
        <v>338</v>
      </c>
      <c r="E468" s="109" t="str">
        <f t="shared" si="18"/>
        <v>20100729LGUM_421</v>
      </c>
      <c r="F468" s="58">
        <v>31.39</v>
      </c>
      <c r="G468" s="58">
        <v>0.72</v>
      </c>
      <c r="H468" s="58">
        <v>2.14</v>
      </c>
      <c r="I468" s="58">
        <v>28.53</v>
      </c>
      <c r="J468" s="8" t="s">
        <v>616</v>
      </c>
    </row>
    <row r="469" spans="1:10">
      <c r="A469" s="8">
        <v>20100729</v>
      </c>
      <c r="B469" s="109" t="s">
        <v>606</v>
      </c>
      <c r="C469" s="109" t="str">
        <f t="shared" si="17"/>
        <v>20100729LS</v>
      </c>
      <c r="D469" s="109" t="s">
        <v>339</v>
      </c>
      <c r="E469" s="109" t="str">
        <f t="shared" si="18"/>
        <v>20100729LGUM_422</v>
      </c>
      <c r="F469" s="58">
        <v>35.729999999999997</v>
      </c>
      <c r="G469" s="58">
        <v>0.19</v>
      </c>
      <c r="H469" s="58">
        <v>3.4</v>
      </c>
      <c r="I469" s="58">
        <v>32.14</v>
      </c>
      <c r="J469" s="8" t="s">
        <v>617</v>
      </c>
    </row>
    <row r="470" spans="1:10">
      <c r="A470" s="8">
        <v>20100729</v>
      </c>
      <c r="B470" s="109" t="s">
        <v>606</v>
      </c>
      <c r="C470" s="109" t="str">
        <f t="shared" si="17"/>
        <v>20100729LS</v>
      </c>
      <c r="D470" s="109" t="s">
        <v>340</v>
      </c>
      <c r="E470" s="109" t="str">
        <f t="shared" si="18"/>
        <v>20100729LGUM_423</v>
      </c>
      <c r="F470" s="58">
        <v>24.81</v>
      </c>
      <c r="G470" s="58">
        <v>0.15</v>
      </c>
      <c r="H470" s="58">
        <v>1.38</v>
      </c>
      <c r="I470" s="58">
        <v>23.28</v>
      </c>
      <c r="J470" s="8" t="s">
        <v>618</v>
      </c>
    </row>
    <row r="471" spans="1:10">
      <c r="A471" s="8">
        <v>20100729</v>
      </c>
      <c r="B471" s="109" t="s">
        <v>606</v>
      </c>
      <c r="C471" s="109" t="str">
        <f t="shared" si="17"/>
        <v>20100729LS</v>
      </c>
      <c r="D471" s="109" t="s">
        <v>341</v>
      </c>
      <c r="E471" s="109" t="str">
        <f t="shared" si="18"/>
        <v>20100729LGUM_424</v>
      </c>
      <c r="F471" s="58">
        <v>27.13</v>
      </c>
      <c r="G471" s="58">
        <v>0.72</v>
      </c>
      <c r="H471" s="58">
        <v>2.14</v>
      </c>
      <c r="I471" s="58">
        <v>24.27</v>
      </c>
      <c r="J471" s="8" t="s">
        <v>619</v>
      </c>
    </row>
    <row r="472" spans="1:10">
      <c r="A472" s="8">
        <v>20100729</v>
      </c>
      <c r="B472" s="109" t="s">
        <v>606</v>
      </c>
      <c r="C472" s="109" t="str">
        <f t="shared" si="17"/>
        <v>20100729LS</v>
      </c>
      <c r="D472" s="109" t="s">
        <v>342</v>
      </c>
      <c r="E472" s="109" t="str">
        <f t="shared" si="18"/>
        <v>20100729LGUM_425</v>
      </c>
      <c r="F472" s="58">
        <v>31.52</v>
      </c>
      <c r="G472" s="58">
        <v>0.19</v>
      </c>
      <c r="H472" s="58">
        <v>3.4</v>
      </c>
      <c r="I472" s="58">
        <v>27.93</v>
      </c>
      <c r="J472" s="8" t="s">
        <v>620</v>
      </c>
    </row>
    <row r="473" spans="1:10">
      <c r="A473" s="8">
        <v>20100729</v>
      </c>
      <c r="B473" s="109" t="s">
        <v>606</v>
      </c>
      <c r="C473" s="109" t="str">
        <f t="shared" si="17"/>
        <v>20100729LS</v>
      </c>
      <c r="D473" s="109" t="s">
        <v>343</v>
      </c>
      <c r="E473" s="109" t="str">
        <f t="shared" si="18"/>
        <v>20100729LGUM_426</v>
      </c>
      <c r="F473" s="58">
        <v>31.56</v>
      </c>
      <c r="G473" s="58">
        <v>0.2</v>
      </c>
      <c r="H473" s="58">
        <v>0.75</v>
      </c>
      <c r="I473" s="58">
        <v>30.61</v>
      </c>
      <c r="J473" s="8" t="s">
        <v>621</v>
      </c>
    </row>
    <row r="474" spans="1:10">
      <c r="A474" s="8">
        <v>20100729</v>
      </c>
      <c r="B474" s="109" t="s">
        <v>606</v>
      </c>
      <c r="C474" s="109" t="str">
        <f t="shared" si="17"/>
        <v>20100729LS</v>
      </c>
      <c r="D474" s="109" t="s">
        <v>344</v>
      </c>
      <c r="E474" s="109" t="str">
        <f t="shared" si="18"/>
        <v>20100729LGUM_427</v>
      </c>
      <c r="F474" s="58">
        <v>33.47</v>
      </c>
      <c r="G474" s="58">
        <v>0.2</v>
      </c>
      <c r="H474" s="58">
        <v>0.75</v>
      </c>
      <c r="I474" s="58">
        <v>32.519999999999996</v>
      </c>
      <c r="J474" s="8" t="s">
        <v>622</v>
      </c>
    </row>
    <row r="475" spans="1:10">
      <c r="A475" s="8">
        <v>20100729</v>
      </c>
      <c r="B475" s="109" t="s">
        <v>606</v>
      </c>
      <c r="C475" s="109" t="str">
        <f t="shared" si="17"/>
        <v>20100729LS</v>
      </c>
      <c r="D475" s="109" t="s">
        <v>345</v>
      </c>
      <c r="E475" s="109" t="str">
        <f t="shared" si="18"/>
        <v>20100729LGUM_428</v>
      </c>
      <c r="F475" s="58">
        <v>32.299999999999997</v>
      </c>
      <c r="G475" s="58">
        <v>0.18</v>
      </c>
      <c r="H475" s="58">
        <v>0.99</v>
      </c>
      <c r="I475" s="58">
        <v>31.13</v>
      </c>
      <c r="J475" s="8" t="s">
        <v>623</v>
      </c>
    </row>
    <row r="476" spans="1:10">
      <c r="A476" s="8">
        <v>20100729</v>
      </c>
      <c r="B476" s="109" t="s">
        <v>606</v>
      </c>
      <c r="C476" s="109" t="str">
        <f t="shared" si="17"/>
        <v>20100729LS</v>
      </c>
      <c r="D476" s="109" t="s">
        <v>346</v>
      </c>
      <c r="E476" s="109" t="str">
        <f t="shared" si="18"/>
        <v>20100729LGUM_429</v>
      </c>
      <c r="F476" s="58">
        <v>34.21</v>
      </c>
      <c r="G476" s="58">
        <v>0.18</v>
      </c>
      <c r="H476" s="58">
        <v>0.99</v>
      </c>
      <c r="I476" s="58">
        <v>33.04</v>
      </c>
      <c r="J476" s="8" t="s">
        <v>624</v>
      </c>
    </row>
    <row r="477" spans="1:10">
      <c r="A477" s="8">
        <v>20100729</v>
      </c>
      <c r="B477" s="109" t="s">
        <v>606</v>
      </c>
      <c r="C477" s="109" t="str">
        <f t="shared" si="17"/>
        <v>20100729LS</v>
      </c>
      <c r="D477" s="109" t="s">
        <v>347</v>
      </c>
      <c r="E477" s="109" t="str">
        <f t="shared" si="18"/>
        <v>20100729LGUM_430</v>
      </c>
      <c r="F477" s="58">
        <v>30.63</v>
      </c>
      <c r="G477" s="58">
        <v>0.2</v>
      </c>
      <c r="H477" s="58">
        <v>0.75</v>
      </c>
      <c r="I477" s="58">
        <v>29.68</v>
      </c>
      <c r="J477" s="8" t="s">
        <v>625</v>
      </c>
    </row>
    <row r="478" spans="1:10">
      <c r="A478" s="8">
        <v>20100729</v>
      </c>
      <c r="B478" s="109" t="s">
        <v>606</v>
      </c>
      <c r="C478" s="109" t="str">
        <f t="shared" si="17"/>
        <v>20100729LS</v>
      </c>
      <c r="D478" s="109" t="s">
        <v>348</v>
      </c>
      <c r="E478" s="109" t="str">
        <f t="shared" si="18"/>
        <v>20100729LGUM_431</v>
      </c>
      <c r="F478" s="58">
        <v>31.28</v>
      </c>
      <c r="G478" s="58">
        <v>0.2</v>
      </c>
      <c r="H478" s="58">
        <v>0.75</v>
      </c>
      <c r="I478" s="58">
        <v>30.330000000000002</v>
      </c>
      <c r="J478" s="8" t="s">
        <v>626</v>
      </c>
    </row>
    <row r="479" spans="1:10">
      <c r="A479" s="8">
        <v>20100729</v>
      </c>
      <c r="B479" s="109" t="s">
        <v>606</v>
      </c>
      <c r="C479" s="109" t="str">
        <f t="shared" si="17"/>
        <v>20100729LS</v>
      </c>
      <c r="D479" s="109" t="s">
        <v>376</v>
      </c>
      <c r="E479" s="109" t="str">
        <f t="shared" si="18"/>
        <v>20100729LGUM_432</v>
      </c>
      <c r="F479" s="58">
        <v>32.53</v>
      </c>
      <c r="G479" s="58">
        <v>0.18</v>
      </c>
      <c r="H479" s="58">
        <v>0.99</v>
      </c>
      <c r="I479" s="58">
        <v>31.360000000000003</v>
      </c>
      <c r="J479" s="8" t="s">
        <v>627</v>
      </c>
    </row>
    <row r="480" spans="1:10">
      <c r="A480" s="8">
        <v>20100729</v>
      </c>
      <c r="B480" s="109" t="s">
        <v>606</v>
      </c>
      <c r="C480" s="109" t="str">
        <f t="shared" si="17"/>
        <v>20100729LS</v>
      </c>
      <c r="D480" s="109" t="s">
        <v>349</v>
      </c>
      <c r="E480" s="109" t="str">
        <f t="shared" si="18"/>
        <v>20100729LGUM_433</v>
      </c>
      <c r="F480" s="58">
        <v>33.17</v>
      </c>
      <c r="G480" s="58">
        <v>0.18</v>
      </c>
      <c r="H480" s="58">
        <v>0.99</v>
      </c>
      <c r="I480" s="58">
        <v>32</v>
      </c>
      <c r="J480" s="8" t="s">
        <v>628</v>
      </c>
    </row>
    <row r="481" spans="1:10">
      <c r="A481" s="8">
        <v>20100729</v>
      </c>
      <c r="B481" s="109" t="s">
        <v>606</v>
      </c>
      <c r="C481" s="109" t="str">
        <f t="shared" si="17"/>
        <v>20100729LS</v>
      </c>
      <c r="D481" s="109" t="s">
        <v>350</v>
      </c>
      <c r="E481" s="109" t="str">
        <f t="shared" si="18"/>
        <v>20100729LGUM_434</v>
      </c>
      <c r="F481" s="58">
        <v>16.350000000000001</v>
      </c>
      <c r="G481" s="58">
        <v>0.17</v>
      </c>
      <c r="H481" s="58">
        <v>0.86</v>
      </c>
      <c r="I481" s="58">
        <v>15.32</v>
      </c>
      <c r="J481" s="8" t="s">
        <v>629</v>
      </c>
    </row>
    <row r="482" spans="1:10">
      <c r="A482" s="8">
        <v>20100729</v>
      </c>
      <c r="B482" s="109" t="s">
        <v>606</v>
      </c>
      <c r="C482" s="109" t="str">
        <f t="shared" si="17"/>
        <v>20100729LS</v>
      </c>
      <c r="D482" s="109" t="s">
        <v>351</v>
      </c>
      <c r="E482" s="109" t="str">
        <f t="shared" si="18"/>
        <v>20100729LGUM_435</v>
      </c>
      <c r="F482" s="58">
        <v>17.920000000000002</v>
      </c>
      <c r="G482" s="58">
        <v>0.15</v>
      </c>
      <c r="H482" s="58">
        <v>1.44</v>
      </c>
      <c r="I482" s="58">
        <v>16.330000000000002</v>
      </c>
      <c r="J482" s="8" t="s">
        <v>630</v>
      </c>
    </row>
    <row r="483" spans="1:10">
      <c r="A483" s="8">
        <v>20100729</v>
      </c>
      <c r="B483" s="109" t="s">
        <v>606</v>
      </c>
      <c r="C483" s="109" t="str">
        <f t="shared" si="17"/>
        <v>20100729LS</v>
      </c>
      <c r="D483" s="109" t="s">
        <v>631</v>
      </c>
      <c r="E483" s="109" t="str">
        <f t="shared" si="18"/>
        <v>20100729LGUM_436</v>
      </c>
      <c r="F483" s="58">
        <v>21.89</v>
      </c>
      <c r="G483" s="58">
        <v>0.15</v>
      </c>
      <c r="H483" s="58">
        <v>1.44</v>
      </c>
      <c r="I483" s="58">
        <v>20.3</v>
      </c>
      <c r="J483" s="8" t="s">
        <v>632</v>
      </c>
    </row>
    <row r="484" spans="1:10">
      <c r="A484" s="8">
        <v>20100729</v>
      </c>
      <c r="B484" s="109" t="s">
        <v>606</v>
      </c>
      <c r="C484" s="109" t="str">
        <f t="shared" si="17"/>
        <v>20100729LS</v>
      </c>
      <c r="D484" s="109" t="s">
        <v>352</v>
      </c>
      <c r="E484" s="109" t="str">
        <f t="shared" si="18"/>
        <v>20100729LGUM_437</v>
      </c>
      <c r="F484" s="58">
        <v>23.31</v>
      </c>
      <c r="G484" s="58">
        <v>0.13</v>
      </c>
      <c r="H484" s="58">
        <v>2.04</v>
      </c>
      <c r="I484" s="58">
        <v>21.14</v>
      </c>
      <c r="J484" s="8" t="s">
        <v>633</v>
      </c>
    </row>
    <row r="485" spans="1:10">
      <c r="A485" s="8">
        <v>20100729</v>
      </c>
      <c r="B485" s="109" t="s">
        <v>606</v>
      </c>
      <c r="C485" s="109" t="str">
        <f t="shared" si="17"/>
        <v>20100729LS</v>
      </c>
      <c r="D485" s="109" t="s">
        <v>353</v>
      </c>
      <c r="E485" s="109" t="str">
        <f t="shared" si="18"/>
        <v>20100729LGUM_438</v>
      </c>
      <c r="F485" s="58">
        <v>26.69</v>
      </c>
      <c r="G485" s="58">
        <v>0.17</v>
      </c>
      <c r="H485" s="58">
        <v>3.18</v>
      </c>
      <c r="I485" s="58">
        <v>23.34</v>
      </c>
      <c r="J485" s="8" t="s">
        <v>634</v>
      </c>
    </row>
    <row r="486" spans="1:10">
      <c r="A486" s="8">
        <v>20100729</v>
      </c>
      <c r="B486" s="109" t="s">
        <v>606</v>
      </c>
      <c r="C486" s="109" t="str">
        <f t="shared" ref="C486:C514" si="19">A486&amp;B486</f>
        <v>20100729LS</v>
      </c>
      <c r="D486" s="113" t="s">
        <v>729</v>
      </c>
      <c r="E486" s="109" t="str">
        <f t="shared" ref="E486:E514" si="20">A486&amp;D486</f>
        <v>20100729LGUM_439</v>
      </c>
      <c r="F486" s="58">
        <v>15.26</v>
      </c>
      <c r="G486" s="58">
        <v>0.15</v>
      </c>
      <c r="H486" s="58">
        <v>1.38</v>
      </c>
      <c r="I486" s="58">
        <v>26.700000000000003</v>
      </c>
      <c r="J486" s="117" t="s">
        <v>739</v>
      </c>
    </row>
    <row r="487" spans="1:10">
      <c r="A487" s="8">
        <v>20100729</v>
      </c>
      <c r="B487" s="109" t="s">
        <v>606</v>
      </c>
      <c r="C487" s="109" t="str">
        <f t="shared" si="19"/>
        <v>20100729LS</v>
      </c>
      <c r="D487" s="113" t="s">
        <v>730</v>
      </c>
      <c r="E487" s="109" t="str">
        <f t="shared" si="20"/>
        <v>20100729LGUM_440</v>
      </c>
      <c r="F487" s="58">
        <v>17.309999999999999</v>
      </c>
      <c r="G487" s="58">
        <v>0.72</v>
      </c>
      <c r="H487" s="58">
        <v>2.14</v>
      </c>
      <c r="I487" s="58">
        <v>28.53</v>
      </c>
      <c r="J487" s="117" t="s">
        <v>741</v>
      </c>
    </row>
    <row r="488" spans="1:10">
      <c r="A488" s="8">
        <v>20100729</v>
      </c>
      <c r="B488" s="109" t="s">
        <v>606</v>
      </c>
      <c r="C488" s="109" t="str">
        <f t="shared" si="19"/>
        <v>20100729LS</v>
      </c>
      <c r="D488" s="113" t="s">
        <v>378</v>
      </c>
      <c r="E488" s="109" t="str">
        <f t="shared" si="20"/>
        <v>20100729LGUM_441</v>
      </c>
      <c r="F488" s="58">
        <v>20.21</v>
      </c>
      <c r="G488" s="58">
        <v>0.19</v>
      </c>
      <c r="H488" s="58">
        <v>3.4</v>
      </c>
      <c r="I488" s="58">
        <v>23.34</v>
      </c>
      <c r="J488" s="117" t="s">
        <v>740</v>
      </c>
    </row>
    <row r="489" spans="1:10">
      <c r="A489" s="8">
        <v>20100729</v>
      </c>
      <c r="B489" s="109" t="s">
        <v>606</v>
      </c>
      <c r="C489" s="109" t="str">
        <f t="shared" si="19"/>
        <v>20100729LS</v>
      </c>
      <c r="D489" s="109" t="s">
        <v>354</v>
      </c>
      <c r="E489" s="109" t="str">
        <f t="shared" si="20"/>
        <v>20100729LGUM_452</v>
      </c>
      <c r="F489" s="58">
        <v>11.5</v>
      </c>
      <c r="G489" s="58">
        <v>0.15</v>
      </c>
      <c r="H489" s="58">
        <v>1.38</v>
      </c>
      <c r="I489" s="58">
        <v>9.9699999999999989</v>
      </c>
      <c r="J489" s="8" t="s">
        <v>635</v>
      </c>
    </row>
    <row r="490" spans="1:10">
      <c r="A490" s="8">
        <v>20100729</v>
      </c>
      <c r="B490" s="109" t="s">
        <v>606</v>
      </c>
      <c r="C490" s="109" t="str">
        <f t="shared" si="19"/>
        <v>20100729LS</v>
      </c>
      <c r="D490" s="109" t="s">
        <v>355</v>
      </c>
      <c r="E490" s="109" t="str">
        <f t="shared" si="20"/>
        <v>20100729LGUM_453</v>
      </c>
      <c r="F490" s="58">
        <v>13.83</v>
      </c>
      <c r="G490" s="58">
        <v>0.72</v>
      </c>
      <c r="H490" s="58">
        <v>2.14</v>
      </c>
      <c r="I490" s="58">
        <v>10.969999999999999</v>
      </c>
      <c r="J490" s="8" t="s">
        <v>636</v>
      </c>
    </row>
    <row r="491" spans="1:10">
      <c r="A491" s="8">
        <v>20100729</v>
      </c>
      <c r="B491" s="109" t="s">
        <v>606</v>
      </c>
      <c r="C491" s="109" t="str">
        <f t="shared" si="19"/>
        <v>20100729LS</v>
      </c>
      <c r="D491" s="109" t="s">
        <v>356</v>
      </c>
      <c r="E491" s="109" t="str">
        <f t="shared" si="20"/>
        <v>20100729LGUM_454</v>
      </c>
      <c r="F491" s="58">
        <v>18.22</v>
      </c>
      <c r="G491" s="58">
        <v>0.19</v>
      </c>
      <c r="H491" s="58">
        <v>3.4</v>
      </c>
      <c r="I491" s="58">
        <v>14.629999999999997</v>
      </c>
      <c r="J491" s="8" t="s">
        <v>637</v>
      </c>
    </row>
    <row r="492" spans="1:10">
      <c r="A492" s="8">
        <v>20100729</v>
      </c>
      <c r="B492" s="109" t="s">
        <v>606</v>
      </c>
      <c r="C492" s="109" t="str">
        <f t="shared" si="19"/>
        <v>20100729LS</v>
      </c>
      <c r="D492" s="109" t="s">
        <v>357</v>
      </c>
      <c r="E492" s="109" t="str">
        <f t="shared" si="20"/>
        <v>20100729LGUM_455</v>
      </c>
      <c r="F492" s="58">
        <v>13.11</v>
      </c>
      <c r="G492" s="58">
        <v>0.15</v>
      </c>
      <c r="H492" s="58">
        <v>1.38</v>
      </c>
      <c r="I492" s="58">
        <v>11.579999999999998</v>
      </c>
      <c r="J492" s="8" t="s">
        <v>638</v>
      </c>
    </row>
    <row r="493" spans="1:10">
      <c r="A493" s="8">
        <v>20100729</v>
      </c>
      <c r="B493" s="109" t="s">
        <v>606</v>
      </c>
      <c r="C493" s="109" t="str">
        <f t="shared" si="19"/>
        <v>20100729LS</v>
      </c>
      <c r="D493" s="109" t="s">
        <v>358</v>
      </c>
      <c r="E493" s="109" t="str">
        <f t="shared" si="20"/>
        <v>20100729LGUM_456</v>
      </c>
      <c r="F493" s="58">
        <v>19.190000000000001</v>
      </c>
      <c r="G493" s="58">
        <v>0.19</v>
      </c>
      <c r="H493" s="58">
        <v>3.4</v>
      </c>
      <c r="I493" s="58">
        <v>15.6</v>
      </c>
      <c r="J493" s="8" t="s">
        <v>639</v>
      </c>
    </row>
    <row r="494" spans="1:10">
      <c r="A494" s="8">
        <v>20100729</v>
      </c>
      <c r="B494" s="109" t="s">
        <v>606</v>
      </c>
      <c r="C494" s="109" t="str">
        <f t="shared" si="19"/>
        <v>20100729LS</v>
      </c>
      <c r="D494" s="109" t="s">
        <v>359</v>
      </c>
      <c r="E494" s="109" t="str">
        <f t="shared" si="20"/>
        <v>20100729LGUM_457</v>
      </c>
      <c r="F494" s="58">
        <v>10.199999999999999</v>
      </c>
      <c r="G494" s="58">
        <v>0.18</v>
      </c>
      <c r="H494" s="58">
        <v>0.99</v>
      </c>
      <c r="I494" s="58">
        <v>9.0299999999999994</v>
      </c>
      <c r="J494" s="8" t="s">
        <v>640</v>
      </c>
    </row>
    <row r="495" spans="1:10">
      <c r="A495" s="8">
        <v>20100729</v>
      </c>
      <c r="B495" s="109" t="s">
        <v>606</v>
      </c>
      <c r="C495" s="109" t="str">
        <f t="shared" si="19"/>
        <v>20100729LS</v>
      </c>
      <c r="D495" s="109" t="s">
        <v>360</v>
      </c>
      <c r="E495" s="109" t="str">
        <f t="shared" si="20"/>
        <v>20100729LGUM_458</v>
      </c>
      <c r="F495" s="58">
        <v>10.16</v>
      </c>
      <c r="G495" s="58">
        <v>0.15</v>
      </c>
      <c r="H495" s="58">
        <v>1.44</v>
      </c>
      <c r="I495" s="58">
        <v>8.57</v>
      </c>
      <c r="J495" s="8" t="s">
        <v>641</v>
      </c>
    </row>
    <row r="496" spans="1:10">
      <c r="A496" s="8">
        <v>20100729</v>
      </c>
      <c r="B496" s="109" t="s">
        <v>606</v>
      </c>
      <c r="C496" s="109" t="str">
        <f t="shared" si="19"/>
        <v>20100729LS</v>
      </c>
      <c r="D496" s="109" t="s">
        <v>361</v>
      </c>
      <c r="E496" s="109" t="str">
        <f t="shared" si="20"/>
        <v>20100729LGUM_459</v>
      </c>
      <c r="F496" s="58">
        <v>11.59</v>
      </c>
      <c r="G496" s="58">
        <v>0.13</v>
      </c>
      <c r="H496" s="58">
        <v>2.04</v>
      </c>
      <c r="I496" s="58">
        <v>9.4199999999999982</v>
      </c>
      <c r="J496" s="8" t="s">
        <v>642</v>
      </c>
    </row>
    <row r="497" spans="1:10">
      <c r="A497" s="8">
        <v>20100729</v>
      </c>
      <c r="B497" s="109" t="s">
        <v>606</v>
      </c>
      <c r="C497" s="109" t="str">
        <f t="shared" si="19"/>
        <v>20100729LS</v>
      </c>
      <c r="D497" s="109" t="s">
        <v>362</v>
      </c>
      <c r="E497" s="109" t="str">
        <f t="shared" si="20"/>
        <v>20100729LGUM_460</v>
      </c>
      <c r="F497" s="58">
        <v>14.96</v>
      </c>
      <c r="G497" s="58">
        <v>0.17</v>
      </c>
      <c r="H497" s="58">
        <v>3.18</v>
      </c>
      <c r="I497" s="58">
        <v>11.610000000000001</v>
      </c>
      <c r="J497" s="8" t="s">
        <v>643</v>
      </c>
    </row>
    <row r="498" spans="1:10">
      <c r="A498" s="8">
        <v>20100729</v>
      </c>
      <c r="B498" s="109" t="s">
        <v>606</v>
      </c>
      <c r="C498" s="109" t="str">
        <f t="shared" si="19"/>
        <v>20100729LS</v>
      </c>
      <c r="D498" s="109" t="s">
        <v>363</v>
      </c>
      <c r="E498" s="109" t="str">
        <f t="shared" si="20"/>
        <v>20100729LGUM_461</v>
      </c>
      <c r="F498" s="58">
        <v>16.309999999999999</v>
      </c>
      <c r="G498" s="58">
        <v>0.17</v>
      </c>
      <c r="H498" s="58">
        <v>3.18</v>
      </c>
      <c r="I498" s="58">
        <v>12.959999999999997</v>
      </c>
      <c r="J498" s="8" t="s">
        <v>644</v>
      </c>
    </row>
    <row r="499" spans="1:10">
      <c r="A499" s="8">
        <v>20100729</v>
      </c>
      <c r="B499" s="109" t="s">
        <v>606</v>
      </c>
      <c r="C499" s="109" t="str">
        <f t="shared" si="19"/>
        <v>20100729LS</v>
      </c>
      <c r="D499" s="109" t="s">
        <v>364</v>
      </c>
      <c r="E499" s="109" t="str">
        <f t="shared" si="20"/>
        <v>20100729LGUM_462</v>
      </c>
      <c r="F499" s="58">
        <v>9.9</v>
      </c>
      <c r="G499" s="58">
        <v>0.15</v>
      </c>
      <c r="H499" s="58">
        <v>1.44</v>
      </c>
      <c r="I499" s="58">
        <v>8.31</v>
      </c>
      <c r="J499" s="8" t="s">
        <v>645</v>
      </c>
    </row>
    <row r="500" spans="1:10">
      <c r="A500" s="8">
        <v>20100729</v>
      </c>
      <c r="B500" s="109" t="s">
        <v>606</v>
      </c>
      <c r="C500" s="109" t="str">
        <f t="shared" si="19"/>
        <v>20100729LS</v>
      </c>
      <c r="D500" s="109" t="s">
        <v>365</v>
      </c>
      <c r="E500" s="109" t="str">
        <f t="shared" si="20"/>
        <v>20100729LGUM_470</v>
      </c>
      <c r="F500" s="58">
        <v>11.79</v>
      </c>
      <c r="G500" s="58">
        <v>0.16</v>
      </c>
      <c r="H500" s="58">
        <v>1.42</v>
      </c>
      <c r="I500" s="58">
        <v>10.209999999999999</v>
      </c>
      <c r="J500" s="8" t="s">
        <v>646</v>
      </c>
    </row>
    <row r="501" spans="1:10">
      <c r="A501" s="8">
        <v>20100729</v>
      </c>
      <c r="B501" s="109" t="s">
        <v>606</v>
      </c>
      <c r="C501" s="109" t="str">
        <f t="shared" si="19"/>
        <v>20100729LS</v>
      </c>
      <c r="D501" s="109" t="s">
        <v>366</v>
      </c>
      <c r="E501" s="109" t="str">
        <f t="shared" si="20"/>
        <v>20100729LGUM_471</v>
      </c>
      <c r="F501" s="58">
        <v>13.99</v>
      </c>
      <c r="G501" s="58">
        <v>0.16</v>
      </c>
      <c r="H501" s="58">
        <v>1.42</v>
      </c>
      <c r="I501" s="58">
        <v>12.41</v>
      </c>
      <c r="J501" s="8" t="s">
        <v>647</v>
      </c>
    </row>
    <row r="502" spans="1:10">
      <c r="A502" s="8">
        <v>20100729</v>
      </c>
      <c r="B502" s="109" t="s">
        <v>606</v>
      </c>
      <c r="C502" s="109" t="str">
        <f t="shared" si="19"/>
        <v>20100729LS</v>
      </c>
      <c r="D502" s="109" t="s">
        <v>648</v>
      </c>
      <c r="E502" s="109" t="str">
        <f t="shared" si="20"/>
        <v>20100729LGUM_472</v>
      </c>
      <c r="F502" s="58">
        <v>21.2</v>
      </c>
      <c r="G502" s="58">
        <v>0.16</v>
      </c>
      <c r="H502" s="58">
        <v>1.42</v>
      </c>
      <c r="I502" s="58">
        <v>19.619999999999997</v>
      </c>
      <c r="J502" s="8" t="s">
        <v>649</v>
      </c>
    </row>
    <row r="503" spans="1:10">
      <c r="A503" s="8">
        <v>20100729</v>
      </c>
      <c r="B503" s="109" t="s">
        <v>606</v>
      </c>
      <c r="C503" s="109" t="str">
        <f t="shared" si="19"/>
        <v>20100729LS</v>
      </c>
      <c r="D503" s="109" t="s">
        <v>367</v>
      </c>
      <c r="E503" s="109" t="str">
        <f t="shared" si="20"/>
        <v>20100729LGUM_473</v>
      </c>
      <c r="F503" s="58">
        <v>16.95</v>
      </c>
      <c r="G503" s="58">
        <v>0.16</v>
      </c>
      <c r="H503" s="58">
        <v>3.09</v>
      </c>
      <c r="I503" s="58">
        <v>13.7</v>
      </c>
      <c r="J503" s="8" t="s">
        <v>650</v>
      </c>
    </row>
    <row r="504" spans="1:10">
      <c r="A504" s="8">
        <v>20100729</v>
      </c>
      <c r="B504" s="109" t="s">
        <v>606</v>
      </c>
      <c r="C504" s="109" t="str">
        <f t="shared" si="19"/>
        <v>20100729LS</v>
      </c>
      <c r="D504" s="109" t="s">
        <v>368</v>
      </c>
      <c r="E504" s="109" t="str">
        <f t="shared" si="20"/>
        <v>20100729LGUM_474</v>
      </c>
      <c r="F504" s="58">
        <v>19.16</v>
      </c>
      <c r="G504" s="58">
        <v>0.16</v>
      </c>
      <c r="H504" s="58">
        <v>3.09</v>
      </c>
      <c r="I504" s="58">
        <v>15.91</v>
      </c>
      <c r="J504" s="8" t="s">
        <v>651</v>
      </c>
    </row>
    <row r="505" spans="1:10">
      <c r="A505" s="8">
        <v>20100729</v>
      </c>
      <c r="B505" s="109" t="s">
        <v>606</v>
      </c>
      <c r="C505" s="109" t="str">
        <f t="shared" si="19"/>
        <v>20100729LS</v>
      </c>
      <c r="D505" s="109" t="s">
        <v>369</v>
      </c>
      <c r="E505" s="109" t="str">
        <f t="shared" si="20"/>
        <v>20100729LGUM_475</v>
      </c>
      <c r="F505" s="58">
        <v>26.36</v>
      </c>
      <c r="G505" s="58">
        <v>0.16</v>
      </c>
      <c r="H505" s="58">
        <v>3.09</v>
      </c>
      <c r="I505" s="58">
        <v>23.11</v>
      </c>
      <c r="J505" s="8" t="s">
        <v>652</v>
      </c>
    </row>
    <row r="506" spans="1:10">
      <c r="A506" s="8">
        <v>20100729</v>
      </c>
      <c r="B506" s="109" t="s">
        <v>606</v>
      </c>
      <c r="C506" s="109" t="str">
        <f t="shared" si="19"/>
        <v>20100729LS</v>
      </c>
      <c r="D506" s="109" t="s">
        <v>370</v>
      </c>
      <c r="E506" s="109" t="str">
        <f t="shared" si="20"/>
        <v>20100729LGUM_476</v>
      </c>
      <c r="F506" s="58">
        <v>35.07</v>
      </c>
      <c r="G506" s="58">
        <v>0.16</v>
      </c>
      <c r="H506" s="58">
        <v>7.41</v>
      </c>
      <c r="I506" s="58">
        <v>27.500000000000004</v>
      </c>
      <c r="J506" s="8" t="s">
        <v>653</v>
      </c>
    </row>
    <row r="507" spans="1:10">
      <c r="A507" s="8">
        <v>20100729</v>
      </c>
      <c r="B507" s="109" t="s">
        <v>606</v>
      </c>
      <c r="C507" s="109" t="str">
        <f t="shared" si="19"/>
        <v>20100729LS</v>
      </c>
      <c r="D507" s="109" t="s">
        <v>371</v>
      </c>
      <c r="E507" s="109" t="str">
        <f t="shared" si="20"/>
        <v>20100729LGUM_477</v>
      </c>
      <c r="F507" s="58">
        <v>38.14</v>
      </c>
      <c r="G507" s="58">
        <v>0.16</v>
      </c>
      <c r="H507" s="58">
        <v>7.41</v>
      </c>
      <c r="I507" s="58">
        <v>30.570000000000004</v>
      </c>
      <c r="J507" s="8" t="s">
        <v>654</v>
      </c>
    </row>
    <row r="508" spans="1:10">
      <c r="A508" s="8">
        <v>20100729</v>
      </c>
      <c r="B508" s="109" t="s">
        <v>606</v>
      </c>
      <c r="C508" s="109" t="str">
        <f t="shared" si="19"/>
        <v>20100729LS</v>
      </c>
      <c r="D508" s="109" t="s">
        <v>655</v>
      </c>
      <c r="E508" s="109" t="str">
        <f t="shared" si="20"/>
        <v>20100729LGUM_478</v>
      </c>
      <c r="F508" s="58">
        <v>44.47</v>
      </c>
      <c r="G508" s="58">
        <v>0.16</v>
      </c>
      <c r="H508" s="58">
        <v>7.41</v>
      </c>
      <c r="I508" s="58">
        <v>36.900000000000006</v>
      </c>
      <c r="J508" s="8" t="s">
        <v>656</v>
      </c>
    </row>
    <row r="509" spans="1:10">
      <c r="A509" s="8">
        <v>20100729</v>
      </c>
      <c r="B509" s="109" t="s">
        <v>606</v>
      </c>
      <c r="C509" s="109" t="str">
        <f t="shared" si="19"/>
        <v>20100729LS</v>
      </c>
      <c r="D509" s="109" t="s">
        <v>657</v>
      </c>
      <c r="E509" s="109" t="str">
        <f t="shared" si="20"/>
        <v>20100729LGUM_479</v>
      </c>
      <c r="F509" s="58">
        <v>13.02</v>
      </c>
      <c r="G509" s="58">
        <v>0.16</v>
      </c>
      <c r="H509" s="58">
        <v>1.42</v>
      </c>
      <c r="I509" s="58">
        <v>11.44</v>
      </c>
      <c r="J509" s="8" t="s">
        <v>658</v>
      </c>
    </row>
    <row r="510" spans="1:10">
      <c r="A510" s="8">
        <v>20100729</v>
      </c>
      <c r="B510" s="109" t="s">
        <v>606</v>
      </c>
      <c r="C510" s="109" t="str">
        <f t="shared" si="19"/>
        <v>20100729LS</v>
      </c>
      <c r="D510" s="109" t="s">
        <v>659</v>
      </c>
      <c r="E510" s="109" t="str">
        <f t="shared" si="20"/>
        <v>20100729LGUM_480</v>
      </c>
      <c r="F510" s="58">
        <v>22.45</v>
      </c>
      <c r="G510" s="58">
        <v>0.16</v>
      </c>
      <c r="H510" s="58">
        <v>1.42</v>
      </c>
      <c r="I510" s="58">
        <v>20.869999999999997</v>
      </c>
      <c r="J510" s="8" t="s">
        <v>660</v>
      </c>
    </row>
    <row r="511" spans="1:10">
      <c r="A511" s="8">
        <v>20100729</v>
      </c>
      <c r="B511" s="109" t="s">
        <v>606</v>
      </c>
      <c r="C511" s="109" t="str">
        <f t="shared" si="19"/>
        <v>20100729LS</v>
      </c>
      <c r="D511" s="109" t="s">
        <v>399</v>
      </c>
      <c r="E511" s="109" t="str">
        <f t="shared" si="20"/>
        <v>20100729LGUM_481</v>
      </c>
      <c r="F511" s="58">
        <v>18.670000000000002</v>
      </c>
      <c r="G511" s="58">
        <v>0.16</v>
      </c>
      <c r="H511" s="58">
        <v>3.09</v>
      </c>
      <c r="I511" s="58">
        <v>15.420000000000002</v>
      </c>
      <c r="J511" s="8" t="s">
        <v>661</v>
      </c>
    </row>
    <row r="512" spans="1:10">
      <c r="A512" s="8">
        <v>20100729</v>
      </c>
      <c r="B512" s="109" t="s">
        <v>606</v>
      </c>
      <c r="C512" s="109" t="str">
        <f t="shared" si="19"/>
        <v>20100729LS</v>
      </c>
      <c r="D512" s="109" t="s">
        <v>372</v>
      </c>
      <c r="E512" s="109" t="str">
        <f t="shared" si="20"/>
        <v>20100729LGUM_482</v>
      </c>
      <c r="F512" s="58">
        <v>28.09</v>
      </c>
      <c r="G512" s="58">
        <v>0.16</v>
      </c>
      <c r="H512" s="58">
        <v>3.09</v>
      </c>
      <c r="I512" s="58">
        <v>24.84</v>
      </c>
      <c r="J512" s="8" t="s">
        <v>662</v>
      </c>
    </row>
    <row r="513" spans="1:10">
      <c r="A513" s="8">
        <v>20100729</v>
      </c>
      <c r="B513" s="109" t="s">
        <v>606</v>
      </c>
      <c r="C513" s="109" t="str">
        <f t="shared" si="19"/>
        <v>20100729LS</v>
      </c>
      <c r="D513" s="109" t="s">
        <v>373</v>
      </c>
      <c r="E513" s="109" t="str">
        <f t="shared" si="20"/>
        <v>20100729LGUM_483</v>
      </c>
      <c r="F513" s="58">
        <v>37.93</v>
      </c>
      <c r="G513" s="58">
        <v>0.16</v>
      </c>
      <c r="H513" s="58">
        <v>7.41</v>
      </c>
      <c r="I513" s="58">
        <v>30.360000000000003</v>
      </c>
      <c r="J513" s="8" t="s">
        <v>663</v>
      </c>
    </row>
    <row r="514" spans="1:10">
      <c r="A514" s="8">
        <v>20100729</v>
      </c>
      <c r="B514" s="109" t="s">
        <v>606</v>
      </c>
      <c r="C514" s="109" t="str">
        <f t="shared" si="19"/>
        <v>20100729LS</v>
      </c>
      <c r="D514" s="109" t="s">
        <v>374</v>
      </c>
      <c r="E514" s="109" t="str">
        <f t="shared" si="20"/>
        <v>20100729LGUM_484</v>
      </c>
      <c r="F514" s="58">
        <v>47.34</v>
      </c>
      <c r="G514" s="58">
        <v>0.16</v>
      </c>
      <c r="H514" s="58">
        <v>7.41</v>
      </c>
      <c r="I514" s="58">
        <v>39.77000000000001</v>
      </c>
      <c r="J514" s="8" t="s">
        <v>664</v>
      </c>
    </row>
    <row r="515" spans="1:10">
      <c r="A515" s="80">
        <v>20110629</v>
      </c>
      <c r="B515" s="110" t="s">
        <v>498</v>
      </c>
      <c r="C515" s="110" t="str">
        <f t="shared" ref="C515:C560" si="21">A515&amp;B515</f>
        <v>20110629RLS</v>
      </c>
      <c r="D515" s="110" t="s">
        <v>164</v>
      </c>
      <c r="E515" s="110" t="str">
        <f t="shared" ref="E515:E560" si="22">A515&amp;D515</f>
        <v>20110629LGUM_001</v>
      </c>
      <c r="F515" s="83">
        <v>7.95</v>
      </c>
      <c r="G515" s="83">
        <v>0.14000000000000001</v>
      </c>
      <c r="H515" s="83">
        <v>0.92</v>
      </c>
      <c r="I515" s="83">
        <v>6.8900000000000006</v>
      </c>
      <c r="J515" s="80" t="s">
        <v>499</v>
      </c>
    </row>
    <row r="516" spans="1:10">
      <c r="A516" s="80">
        <f t="shared" ref="A516:A544" si="23">A515</f>
        <v>20110629</v>
      </c>
      <c r="B516" s="110" t="s">
        <v>498</v>
      </c>
      <c r="C516" s="110" t="str">
        <f t="shared" si="21"/>
        <v>20110629RLS</v>
      </c>
      <c r="D516" s="110" t="s">
        <v>196</v>
      </c>
      <c r="E516" s="110" t="str">
        <f t="shared" si="22"/>
        <v>20110629LGUM_101</v>
      </c>
      <c r="F516" s="83">
        <v>7.95</v>
      </c>
      <c r="G516" s="83">
        <v>0.14000000000000001</v>
      </c>
      <c r="H516" s="83">
        <v>0.92</v>
      </c>
      <c r="I516" s="83">
        <v>6.8900000000000006</v>
      </c>
      <c r="J516" s="80" t="s">
        <v>499</v>
      </c>
    </row>
    <row r="517" spans="1:10">
      <c r="A517" s="80">
        <f t="shared" si="23"/>
        <v>20110629</v>
      </c>
      <c r="B517" s="110" t="s">
        <v>498</v>
      </c>
      <c r="C517" s="110" t="str">
        <f t="shared" si="21"/>
        <v>20110629RLS</v>
      </c>
      <c r="D517" s="110" t="s">
        <v>379</v>
      </c>
      <c r="E517" s="110" t="str">
        <f t="shared" si="22"/>
        <v>20110629LGUM_201</v>
      </c>
      <c r="F517" s="83">
        <v>7.95</v>
      </c>
      <c r="G517" s="83">
        <v>0.14000000000000001</v>
      </c>
      <c r="H517" s="83">
        <v>0.92</v>
      </c>
      <c r="I517" s="83">
        <v>6.8900000000000006</v>
      </c>
      <c r="J517" s="80" t="s">
        <v>499</v>
      </c>
    </row>
    <row r="518" spans="1:10">
      <c r="A518" s="80">
        <f t="shared" si="23"/>
        <v>20110629</v>
      </c>
      <c r="B518" s="110" t="s">
        <v>498</v>
      </c>
      <c r="C518" s="110" t="str">
        <f t="shared" si="21"/>
        <v>20110629RLS</v>
      </c>
      <c r="D518" s="110" t="s">
        <v>165</v>
      </c>
      <c r="E518" s="110" t="str">
        <f t="shared" si="22"/>
        <v>20110629LGUM_002</v>
      </c>
      <c r="F518" s="83">
        <v>8.93</v>
      </c>
      <c r="G518" s="83">
        <v>0.1</v>
      </c>
      <c r="H518" s="83">
        <v>1.55</v>
      </c>
      <c r="I518" s="83">
        <v>7.28</v>
      </c>
      <c r="J518" s="80" t="s">
        <v>500</v>
      </c>
    </row>
    <row r="519" spans="1:10">
      <c r="A519" s="80">
        <f t="shared" si="23"/>
        <v>20110629</v>
      </c>
      <c r="B519" s="110" t="s">
        <v>498</v>
      </c>
      <c r="C519" s="110" t="str">
        <f t="shared" si="21"/>
        <v>20110629RLS</v>
      </c>
      <c r="D519" s="110" t="s">
        <v>197</v>
      </c>
      <c r="E519" s="110" t="str">
        <f t="shared" si="22"/>
        <v>20110629LGUM_102</v>
      </c>
      <c r="F519" s="83">
        <v>8.93</v>
      </c>
      <c r="G519" s="83">
        <v>0.1</v>
      </c>
      <c r="H519" s="83">
        <v>1.55</v>
      </c>
      <c r="I519" s="83">
        <v>7.28</v>
      </c>
      <c r="J519" s="80" t="s">
        <v>500</v>
      </c>
    </row>
    <row r="520" spans="1:10">
      <c r="A520" s="80">
        <f t="shared" si="23"/>
        <v>20110629</v>
      </c>
      <c r="B520" s="110" t="s">
        <v>498</v>
      </c>
      <c r="C520" s="110" t="str">
        <f t="shared" si="21"/>
        <v>20110629RLS</v>
      </c>
      <c r="D520" s="110" t="s">
        <v>239</v>
      </c>
      <c r="E520" s="110" t="str">
        <f t="shared" si="22"/>
        <v>20110629LGUM_202</v>
      </c>
      <c r="F520" s="83">
        <v>8.93</v>
      </c>
      <c r="G520" s="83">
        <v>0.1</v>
      </c>
      <c r="H520" s="83">
        <v>1.55</v>
      </c>
      <c r="I520" s="83">
        <v>7.28</v>
      </c>
      <c r="J520" s="80" t="s">
        <v>500</v>
      </c>
    </row>
    <row r="521" spans="1:10">
      <c r="A521" s="80">
        <f t="shared" si="23"/>
        <v>20110629</v>
      </c>
      <c r="B521" s="110" t="s">
        <v>498</v>
      </c>
      <c r="C521" s="110" t="str">
        <f t="shared" si="21"/>
        <v>20110629RLS</v>
      </c>
      <c r="D521" s="110" t="s">
        <v>166</v>
      </c>
      <c r="E521" s="110" t="str">
        <f t="shared" si="22"/>
        <v>20110629LGUM_003</v>
      </c>
      <c r="F521" s="83">
        <v>10.34</v>
      </c>
      <c r="G521" s="83">
        <v>0.13</v>
      </c>
      <c r="H521" s="83">
        <v>2.2000000000000002</v>
      </c>
      <c r="I521" s="83">
        <v>8.009999999999998</v>
      </c>
      <c r="J521" s="80" t="s">
        <v>501</v>
      </c>
    </row>
    <row r="522" spans="1:10">
      <c r="A522" s="80">
        <f t="shared" si="23"/>
        <v>20110629</v>
      </c>
      <c r="B522" s="110" t="s">
        <v>498</v>
      </c>
      <c r="C522" s="110" t="str">
        <f t="shared" si="21"/>
        <v>20110629RLS</v>
      </c>
      <c r="D522" s="110" t="s">
        <v>198</v>
      </c>
      <c r="E522" s="110" t="str">
        <f t="shared" si="22"/>
        <v>20110629LGUM_103</v>
      </c>
      <c r="F522" s="83">
        <v>10.34</v>
      </c>
      <c r="G522" s="83">
        <v>0.13</v>
      </c>
      <c r="H522" s="83">
        <v>2.2000000000000002</v>
      </c>
      <c r="I522" s="83">
        <v>8.009999999999998</v>
      </c>
      <c r="J522" s="80" t="s">
        <v>501</v>
      </c>
    </row>
    <row r="523" spans="1:10">
      <c r="A523" s="80">
        <f t="shared" si="23"/>
        <v>20110629</v>
      </c>
      <c r="B523" s="110" t="s">
        <v>498</v>
      </c>
      <c r="C523" s="110" t="str">
        <f t="shared" si="21"/>
        <v>20110629RLS</v>
      </c>
      <c r="D523" s="110" t="s">
        <v>241</v>
      </c>
      <c r="E523" s="110" t="str">
        <f t="shared" si="22"/>
        <v>20110629LGUM_203</v>
      </c>
      <c r="F523" s="83">
        <v>10.34</v>
      </c>
      <c r="G523" s="83">
        <v>0.13</v>
      </c>
      <c r="H523" s="83">
        <v>2.2000000000000002</v>
      </c>
      <c r="I523" s="83">
        <v>8.009999999999998</v>
      </c>
      <c r="J523" s="80" t="s">
        <v>501</v>
      </c>
    </row>
    <row r="524" spans="1:10">
      <c r="A524" s="80">
        <f t="shared" si="23"/>
        <v>20110629</v>
      </c>
      <c r="B524" s="110" t="s">
        <v>498</v>
      </c>
      <c r="C524" s="110" t="str">
        <f t="shared" si="21"/>
        <v>20110629RLS</v>
      </c>
      <c r="D524" s="110" t="s">
        <v>167</v>
      </c>
      <c r="E524" s="110" t="str">
        <f t="shared" si="22"/>
        <v>20110629LGUM_004</v>
      </c>
      <c r="F524" s="83">
        <v>12.78</v>
      </c>
      <c r="G524" s="83">
        <v>0.15</v>
      </c>
      <c r="H524" s="83">
        <v>3.41</v>
      </c>
      <c r="I524" s="83">
        <v>9.2199999999999989</v>
      </c>
      <c r="J524" s="80" t="s">
        <v>502</v>
      </c>
    </row>
    <row r="525" spans="1:10">
      <c r="A525" s="80">
        <f t="shared" si="23"/>
        <v>20110629</v>
      </c>
      <c r="B525" s="110" t="s">
        <v>498</v>
      </c>
      <c r="C525" s="110" t="str">
        <f t="shared" si="21"/>
        <v>20110629RLS</v>
      </c>
      <c r="D525" s="110" t="s">
        <v>199</v>
      </c>
      <c r="E525" s="110" t="str">
        <f t="shared" si="22"/>
        <v>20110629LGUM_104</v>
      </c>
      <c r="F525" s="83">
        <v>12.78</v>
      </c>
      <c r="G525" s="83">
        <v>0.15</v>
      </c>
      <c r="H525" s="83">
        <v>3.41</v>
      </c>
      <c r="I525" s="83">
        <v>9.2199999999999989</v>
      </c>
      <c r="J525" s="80" t="s">
        <v>502</v>
      </c>
    </row>
    <row r="526" spans="1:10">
      <c r="A526" s="80">
        <f t="shared" si="23"/>
        <v>20110629</v>
      </c>
      <c r="B526" s="110" t="s">
        <v>498</v>
      </c>
      <c r="C526" s="110" t="str">
        <f t="shared" si="21"/>
        <v>20110629RLS</v>
      </c>
      <c r="D526" s="110" t="s">
        <v>242</v>
      </c>
      <c r="E526" s="110" t="str">
        <f t="shared" si="22"/>
        <v>20110629LGUM_204</v>
      </c>
      <c r="F526" s="83">
        <v>12.78</v>
      </c>
      <c r="G526" s="83">
        <v>0.15</v>
      </c>
      <c r="H526" s="83">
        <v>3.41</v>
      </c>
      <c r="I526" s="83">
        <v>9.2199999999999989</v>
      </c>
      <c r="J526" s="80" t="s">
        <v>502</v>
      </c>
    </row>
    <row r="527" spans="1:10">
      <c r="A527" s="80">
        <f t="shared" si="23"/>
        <v>20110629</v>
      </c>
      <c r="B527" s="110" t="s">
        <v>498</v>
      </c>
      <c r="C527" s="110" t="str">
        <f t="shared" si="21"/>
        <v>20110629RLS</v>
      </c>
      <c r="D527" s="110" t="s">
        <v>168</v>
      </c>
      <c r="E527" s="110" t="str">
        <f t="shared" si="22"/>
        <v>20110629LGUM_005</v>
      </c>
      <c r="F527" s="83">
        <v>9.9600000000000009</v>
      </c>
      <c r="G527" s="83">
        <v>0.14000000000000001</v>
      </c>
      <c r="H527" s="83">
        <v>1.07</v>
      </c>
      <c r="I527" s="83">
        <v>8.75</v>
      </c>
      <c r="J527" s="80" t="s">
        <v>503</v>
      </c>
    </row>
    <row r="528" spans="1:10">
      <c r="A528" s="80">
        <f t="shared" si="23"/>
        <v>20110629</v>
      </c>
      <c r="B528" s="110" t="s">
        <v>498</v>
      </c>
      <c r="C528" s="110" t="str">
        <f t="shared" si="21"/>
        <v>20110629RLS</v>
      </c>
      <c r="D528" s="110" t="s">
        <v>200</v>
      </c>
      <c r="E528" s="110" t="str">
        <f t="shared" si="22"/>
        <v>20110629LGUM_105</v>
      </c>
      <c r="F528" s="83">
        <v>9.9600000000000009</v>
      </c>
      <c r="G528" s="83">
        <v>0.14000000000000001</v>
      </c>
      <c r="H528" s="83">
        <v>1.07</v>
      </c>
      <c r="I528" s="83">
        <v>8.75</v>
      </c>
      <c r="J528" s="80" t="s">
        <v>503</v>
      </c>
    </row>
    <row r="529" spans="1:10">
      <c r="A529" s="80">
        <f t="shared" si="23"/>
        <v>20110629</v>
      </c>
      <c r="B529" s="110" t="s">
        <v>498</v>
      </c>
      <c r="C529" s="110" t="str">
        <f t="shared" si="21"/>
        <v>20110629RLS</v>
      </c>
      <c r="D529" s="110" t="s">
        <v>380</v>
      </c>
      <c r="E529" s="110" t="str">
        <f t="shared" si="22"/>
        <v>20110629LGUM_205</v>
      </c>
      <c r="F529" s="83">
        <v>9.9600000000000009</v>
      </c>
      <c r="G529" s="83">
        <v>0.14000000000000001</v>
      </c>
      <c r="H529" s="83">
        <v>1.07</v>
      </c>
      <c r="I529" s="83">
        <v>8.75</v>
      </c>
      <c r="J529" s="80" t="s">
        <v>503</v>
      </c>
    </row>
    <row r="530" spans="1:10">
      <c r="A530" s="80">
        <f t="shared" si="23"/>
        <v>20110629</v>
      </c>
      <c r="B530" s="110" t="s">
        <v>498</v>
      </c>
      <c r="C530" s="110" t="str">
        <f t="shared" si="21"/>
        <v>20110629RLS</v>
      </c>
      <c r="D530" s="110" t="s">
        <v>504</v>
      </c>
      <c r="E530" s="110" t="str">
        <f t="shared" si="22"/>
        <v>20110629LGUM_006</v>
      </c>
      <c r="F530" s="83">
        <v>13.19</v>
      </c>
      <c r="G530" s="83">
        <v>0.14000000000000001</v>
      </c>
      <c r="H530" s="83">
        <v>0.92</v>
      </c>
      <c r="I530" s="83">
        <v>12.129999999999999</v>
      </c>
      <c r="J530" s="80" t="s">
        <v>505</v>
      </c>
    </row>
    <row r="531" spans="1:10">
      <c r="A531" s="80">
        <f t="shared" si="23"/>
        <v>20110629</v>
      </c>
      <c r="B531" s="110" t="s">
        <v>498</v>
      </c>
      <c r="C531" s="110" t="str">
        <f t="shared" si="21"/>
        <v>20110629RLS</v>
      </c>
      <c r="D531" s="110" t="s">
        <v>201</v>
      </c>
      <c r="E531" s="110" t="str">
        <f t="shared" si="22"/>
        <v>20110629LGUM_106</v>
      </c>
      <c r="F531" s="83">
        <v>13.19</v>
      </c>
      <c r="G531" s="83">
        <v>0.14000000000000001</v>
      </c>
      <c r="H531" s="83">
        <v>0.92</v>
      </c>
      <c r="I531" s="83">
        <v>12.129999999999999</v>
      </c>
      <c r="J531" s="80" t="s">
        <v>505</v>
      </c>
    </row>
    <row r="532" spans="1:10">
      <c r="A532" s="80">
        <f t="shared" si="23"/>
        <v>20110629</v>
      </c>
      <c r="B532" s="110" t="s">
        <v>498</v>
      </c>
      <c r="C532" s="110" t="str">
        <f t="shared" si="21"/>
        <v>20110629RLS</v>
      </c>
      <c r="D532" s="110" t="s">
        <v>243</v>
      </c>
      <c r="E532" s="110" t="str">
        <f t="shared" si="22"/>
        <v>20110629LGUM_206</v>
      </c>
      <c r="F532" s="83">
        <v>13.19</v>
      </c>
      <c r="G532" s="83">
        <v>0.14000000000000001</v>
      </c>
      <c r="H532" s="83">
        <v>0.92</v>
      </c>
      <c r="I532" s="83">
        <v>12.129999999999999</v>
      </c>
      <c r="J532" s="80" t="s">
        <v>505</v>
      </c>
    </row>
    <row r="533" spans="1:10">
      <c r="A533" s="80">
        <f t="shared" si="23"/>
        <v>20110629</v>
      </c>
      <c r="B533" s="110" t="s">
        <v>498</v>
      </c>
      <c r="C533" s="110" t="str">
        <f t="shared" si="21"/>
        <v>20110629RLS</v>
      </c>
      <c r="D533" s="110" t="s">
        <v>169</v>
      </c>
      <c r="E533" s="110" t="str">
        <f t="shared" si="22"/>
        <v>20110629LGUM_007</v>
      </c>
      <c r="F533" s="83">
        <v>12.78</v>
      </c>
      <c r="G533" s="83">
        <v>0.15</v>
      </c>
      <c r="H533" s="83">
        <v>3.41</v>
      </c>
      <c r="I533" s="83">
        <v>9.2199999999999989</v>
      </c>
      <c r="J533" s="80" t="s">
        <v>506</v>
      </c>
    </row>
    <row r="534" spans="1:10">
      <c r="A534" s="80">
        <f t="shared" si="23"/>
        <v>20110629</v>
      </c>
      <c r="B534" s="110" t="s">
        <v>498</v>
      </c>
      <c r="C534" s="110" t="str">
        <f t="shared" si="21"/>
        <v>20110629RLS</v>
      </c>
      <c r="D534" s="110" t="s">
        <v>202</v>
      </c>
      <c r="E534" s="110" t="str">
        <f t="shared" si="22"/>
        <v>20110629LGUM_107</v>
      </c>
      <c r="F534" s="83">
        <v>12.78</v>
      </c>
      <c r="G534" s="83">
        <v>0.15</v>
      </c>
      <c r="H534" s="83">
        <v>3.41</v>
      </c>
      <c r="I534" s="83">
        <v>9.2199999999999989</v>
      </c>
      <c r="J534" s="80" t="s">
        <v>506</v>
      </c>
    </row>
    <row r="535" spans="1:10">
      <c r="A535" s="80">
        <f t="shared" si="23"/>
        <v>20110629</v>
      </c>
      <c r="B535" s="110" t="s">
        <v>498</v>
      </c>
      <c r="C535" s="110" t="str">
        <f t="shared" si="21"/>
        <v>20110629RLS</v>
      </c>
      <c r="D535" s="110" t="s">
        <v>244</v>
      </c>
      <c r="E535" s="110" t="str">
        <f t="shared" si="22"/>
        <v>20110629LGUM_207</v>
      </c>
      <c r="F535" s="83">
        <v>12.78</v>
      </c>
      <c r="G535" s="83">
        <v>0.15</v>
      </c>
      <c r="H535" s="83">
        <v>3.41</v>
      </c>
      <c r="I535" s="83">
        <v>9.2199999999999989</v>
      </c>
      <c r="J535" s="80" t="s">
        <v>506</v>
      </c>
    </row>
    <row r="536" spans="1:10">
      <c r="A536" s="80">
        <f t="shared" si="23"/>
        <v>20110629</v>
      </c>
      <c r="B536" s="110" t="s">
        <v>498</v>
      </c>
      <c r="C536" s="110" t="str">
        <f t="shared" si="21"/>
        <v>20110629RLS</v>
      </c>
      <c r="D536" s="110" t="s">
        <v>170</v>
      </c>
      <c r="E536" s="110" t="str">
        <f t="shared" si="22"/>
        <v>20110629LGUM_008</v>
      </c>
      <c r="F536" s="83">
        <v>14.02</v>
      </c>
      <c r="G536" s="83">
        <v>0.1</v>
      </c>
      <c r="H536" s="83">
        <v>1.55</v>
      </c>
      <c r="I536" s="83">
        <v>12.37</v>
      </c>
      <c r="J536" s="80" t="s">
        <v>507</v>
      </c>
    </row>
    <row r="537" spans="1:10">
      <c r="A537" s="80">
        <f t="shared" si="23"/>
        <v>20110629</v>
      </c>
      <c r="B537" s="110" t="s">
        <v>498</v>
      </c>
      <c r="C537" s="110" t="str">
        <f t="shared" si="21"/>
        <v>20110629RLS</v>
      </c>
      <c r="D537" s="110" t="s">
        <v>203</v>
      </c>
      <c r="E537" s="110" t="str">
        <f t="shared" si="22"/>
        <v>20110629LGUM_108</v>
      </c>
      <c r="F537" s="83">
        <v>14.02</v>
      </c>
      <c r="G537" s="83">
        <v>0.1</v>
      </c>
      <c r="H537" s="83">
        <v>1.55</v>
      </c>
      <c r="I537" s="83">
        <v>12.37</v>
      </c>
      <c r="J537" s="80" t="s">
        <v>507</v>
      </c>
    </row>
    <row r="538" spans="1:10">
      <c r="A538" s="80">
        <f t="shared" si="23"/>
        <v>20110629</v>
      </c>
      <c r="B538" s="110" t="s">
        <v>498</v>
      </c>
      <c r="C538" s="110" t="str">
        <f t="shared" si="21"/>
        <v>20110629RLS</v>
      </c>
      <c r="D538" s="110" t="s">
        <v>245</v>
      </c>
      <c r="E538" s="110" t="str">
        <f t="shared" si="22"/>
        <v>20110629LGUM_208</v>
      </c>
      <c r="F538" s="83">
        <v>14.02</v>
      </c>
      <c r="G538" s="83">
        <v>0.1</v>
      </c>
      <c r="H538" s="83">
        <v>1.55</v>
      </c>
      <c r="I538" s="83">
        <v>12.37</v>
      </c>
      <c r="J538" s="80" t="s">
        <v>507</v>
      </c>
    </row>
    <row r="539" spans="1:10">
      <c r="A539" s="80">
        <f t="shared" si="23"/>
        <v>20110629</v>
      </c>
      <c r="B539" s="110" t="s">
        <v>498</v>
      </c>
      <c r="C539" s="110" t="str">
        <f t="shared" si="21"/>
        <v>20110629RLS</v>
      </c>
      <c r="D539" s="110" t="s">
        <v>508</v>
      </c>
      <c r="E539" s="110" t="str">
        <f t="shared" si="22"/>
        <v>20110629LGUM_009</v>
      </c>
      <c r="F539" s="83">
        <v>24.02</v>
      </c>
      <c r="G539" s="83">
        <v>0.26</v>
      </c>
      <c r="H539" s="83">
        <v>8.16</v>
      </c>
      <c r="I539" s="83">
        <v>15.599999999999998</v>
      </c>
      <c r="J539" s="80" t="s">
        <v>509</v>
      </c>
    </row>
    <row r="540" spans="1:10">
      <c r="A540" s="80">
        <f t="shared" si="23"/>
        <v>20110629</v>
      </c>
      <c r="B540" s="110" t="s">
        <v>498</v>
      </c>
      <c r="C540" s="110" t="str">
        <f t="shared" si="21"/>
        <v>20110629RLS</v>
      </c>
      <c r="D540" s="110" t="s">
        <v>204</v>
      </c>
      <c r="E540" s="110" t="str">
        <f t="shared" si="22"/>
        <v>20110629LGUM_109</v>
      </c>
      <c r="F540" s="83">
        <v>24.02</v>
      </c>
      <c r="G540" s="83">
        <v>0.26</v>
      </c>
      <c r="H540" s="83">
        <v>8.16</v>
      </c>
      <c r="I540" s="83">
        <v>15.599999999999998</v>
      </c>
      <c r="J540" s="80" t="s">
        <v>509</v>
      </c>
    </row>
    <row r="541" spans="1:10">
      <c r="A541" s="80">
        <f t="shared" si="23"/>
        <v>20110629</v>
      </c>
      <c r="B541" s="110" t="s">
        <v>498</v>
      </c>
      <c r="C541" s="110" t="str">
        <f t="shared" si="21"/>
        <v>20110629RLS</v>
      </c>
      <c r="D541" s="110" t="s">
        <v>381</v>
      </c>
      <c r="E541" s="110" t="str">
        <f t="shared" si="22"/>
        <v>20110629LGUM_209</v>
      </c>
      <c r="F541" s="83">
        <v>24.02</v>
      </c>
      <c r="G541" s="83">
        <v>0.26</v>
      </c>
      <c r="H541" s="83">
        <v>8.16</v>
      </c>
      <c r="I541" s="83">
        <v>15.599999999999998</v>
      </c>
      <c r="J541" s="80" t="s">
        <v>509</v>
      </c>
    </row>
    <row r="542" spans="1:10">
      <c r="A542" s="80">
        <f t="shared" si="23"/>
        <v>20110629</v>
      </c>
      <c r="B542" s="110" t="s">
        <v>498</v>
      </c>
      <c r="C542" s="110" t="str">
        <f t="shared" si="21"/>
        <v>20110629RLS</v>
      </c>
      <c r="D542" s="110" t="s">
        <v>171</v>
      </c>
      <c r="E542" s="110" t="str">
        <f t="shared" si="22"/>
        <v>20110629LGUM_010</v>
      </c>
      <c r="F542" s="83">
        <v>24.02</v>
      </c>
      <c r="G542" s="83">
        <v>0.26</v>
      </c>
      <c r="H542" s="83">
        <v>8.16</v>
      </c>
      <c r="I542" s="83">
        <v>15.599999999999998</v>
      </c>
      <c r="J542" s="80" t="s">
        <v>510</v>
      </c>
    </row>
    <row r="543" spans="1:10">
      <c r="A543" s="80">
        <f t="shared" si="23"/>
        <v>20110629</v>
      </c>
      <c r="B543" s="110" t="s">
        <v>498</v>
      </c>
      <c r="C543" s="110" t="str">
        <f t="shared" si="21"/>
        <v>20110629RLS</v>
      </c>
      <c r="D543" s="110" t="s">
        <v>205</v>
      </c>
      <c r="E543" s="110" t="str">
        <f t="shared" si="22"/>
        <v>20110629LGUM_110</v>
      </c>
      <c r="F543" s="83">
        <v>24.02</v>
      </c>
      <c r="G543" s="83">
        <v>0.26</v>
      </c>
      <c r="H543" s="83">
        <v>8.16</v>
      </c>
      <c r="I543" s="83">
        <v>15.599999999999998</v>
      </c>
      <c r="J543" s="80" t="s">
        <v>510</v>
      </c>
    </row>
    <row r="544" spans="1:10">
      <c r="A544" s="80">
        <f t="shared" si="23"/>
        <v>20110629</v>
      </c>
      <c r="B544" s="110" t="s">
        <v>498</v>
      </c>
      <c r="C544" s="110" t="str">
        <f t="shared" si="21"/>
        <v>20110629RLS</v>
      </c>
      <c r="D544" s="110" t="s">
        <v>246</v>
      </c>
      <c r="E544" s="110" t="str">
        <f t="shared" si="22"/>
        <v>20110629LGUM_210</v>
      </c>
      <c r="F544" s="83">
        <v>24.02</v>
      </c>
      <c r="G544" s="83">
        <v>0.26</v>
      </c>
      <c r="H544" s="83">
        <v>8.16</v>
      </c>
      <c r="I544" s="83">
        <v>15.599999999999998</v>
      </c>
      <c r="J544" s="80" t="s">
        <v>510</v>
      </c>
    </row>
    <row r="545" spans="1:10">
      <c r="A545" s="80">
        <f t="shared" ref="A545:A608" si="24">A544</f>
        <v>20110629</v>
      </c>
      <c r="B545" s="110" t="s">
        <v>498</v>
      </c>
      <c r="C545" s="110" t="str">
        <f t="shared" si="21"/>
        <v>20110629RLS</v>
      </c>
      <c r="D545" s="110" t="s">
        <v>172</v>
      </c>
      <c r="E545" s="110" t="str">
        <f t="shared" si="22"/>
        <v>20110629LGUM_011</v>
      </c>
      <c r="F545" s="83">
        <v>14.91</v>
      </c>
      <c r="G545" s="83">
        <v>0.13</v>
      </c>
      <c r="H545" s="83">
        <v>2.2999999999999998</v>
      </c>
      <c r="I545" s="83">
        <v>12.48</v>
      </c>
      <c r="J545" s="80" t="s">
        <v>511</v>
      </c>
    </row>
    <row r="546" spans="1:10">
      <c r="A546" s="80">
        <f t="shared" si="24"/>
        <v>20110629</v>
      </c>
      <c r="B546" s="110" t="s">
        <v>498</v>
      </c>
      <c r="C546" s="110" t="str">
        <f t="shared" si="21"/>
        <v>20110629RLS</v>
      </c>
      <c r="D546" s="110" t="s">
        <v>206</v>
      </c>
      <c r="E546" s="110" t="str">
        <f t="shared" si="22"/>
        <v>20110629LGUM_111</v>
      </c>
      <c r="F546" s="83">
        <v>14.91</v>
      </c>
      <c r="G546" s="83">
        <v>0.13</v>
      </c>
      <c r="H546" s="83">
        <v>2.2999999999999998</v>
      </c>
      <c r="I546" s="83">
        <v>12.48</v>
      </c>
      <c r="J546" s="80" t="s">
        <v>511</v>
      </c>
    </row>
    <row r="547" spans="1:10">
      <c r="A547" s="80">
        <f t="shared" si="24"/>
        <v>20110629</v>
      </c>
      <c r="B547" s="110" t="s">
        <v>498</v>
      </c>
      <c r="C547" s="110" t="str">
        <f t="shared" si="21"/>
        <v>20110629RLS</v>
      </c>
      <c r="D547" s="110" t="s">
        <v>247</v>
      </c>
      <c r="E547" s="110" t="str">
        <f t="shared" si="22"/>
        <v>20110629LGUM_211</v>
      </c>
      <c r="F547" s="83">
        <v>14.91</v>
      </c>
      <c r="G547" s="83">
        <v>0.13</v>
      </c>
      <c r="H547" s="83">
        <v>2.2999999999999998</v>
      </c>
      <c r="I547" s="83">
        <v>12.48</v>
      </c>
      <c r="J547" s="80" t="s">
        <v>511</v>
      </c>
    </row>
    <row r="548" spans="1:10">
      <c r="A548" s="80">
        <f t="shared" si="24"/>
        <v>20110629</v>
      </c>
      <c r="B548" s="110" t="s">
        <v>498</v>
      </c>
      <c r="C548" s="110" t="str">
        <f t="shared" si="21"/>
        <v>20110629RLS</v>
      </c>
      <c r="D548" s="110" t="s">
        <v>173</v>
      </c>
      <c r="E548" s="110" t="str">
        <f t="shared" si="22"/>
        <v>20110629LGUM_012</v>
      </c>
      <c r="F548" s="83">
        <v>16.29</v>
      </c>
      <c r="G548" s="83">
        <v>0.15</v>
      </c>
      <c r="H548" s="83">
        <v>3.65</v>
      </c>
      <c r="I548" s="83">
        <v>12.49</v>
      </c>
      <c r="J548" s="80" t="s">
        <v>512</v>
      </c>
    </row>
    <row r="549" spans="1:10">
      <c r="A549" s="80">
        <f t="shared" si="24"/>
        <v>20110629</v>
      </c>
      <c r="B549" s="110" t="s">
        <v>498</v>
      </c>
      <c r="C549" s="110" t="str">
        <f t="shared" si="21"/>
        <v>20110629RLS</v>
      </c>
      <c r="D549" s="110" t="s">
        <v>207</v>
      </c>
      <c r="E549" s="110" t="str">
        <f t="shared" si="22"/>
        <v>20110629LGUM_112</v>
      </c>
      <c r="F549" s="83">
        <v>16.29</v>
      </c>
      <c r="G549" s="83">
        <v>0.15</v>
      </c>
      <c r="H549" s="83">
        <v>3.65</v>
      </c>
      <c r="I549" s="83">
        <v>12.49</v>
      </c>
      <c r="J549" s="80" t="s">
        <v>512</v>
      </c>
    </row>
    <row r="550" spans="1:10">
      <c r="A550" s="80">
        <f t="shared" si="24"/>
        <v>20110629</v>
      </c>
      <c r="B550" s="110" t="s">
        <v>498</v>
      </c>
      <c r="C550" s="110" t="str">
        <f t="shared" si="21"/>
        <v>20110629RLS</v>
      </c>
      <c r="D550" s="110" t="s">
        <v>248</v>
      </c>
      <c r="E550" s="110" t="str">
        <f t="shared" si="22"/>
        <v>20110629LGUM_212</v>
      </c>
      <c r="F550" s="83">
        <v>16.29</v>
      </c>
      <c r="G550" s="83">
        <v>0.15</v>
      </c>
      <c r="H550" s="83">
        <v>3.65</v>
      </c>
      <c r="I550" s="83">
        <v>12.49</v>
      </c>
      <c r="J550" s="80" t="s">
        <v>512</v>
      </c>
    </row>
    <row r="551" spans="1:10">
      <c r="A551" s="80">
        <f t="shared" si="24"/>
        <v>20110629</v>
      </c>
      <c r="B551" s="110" t="s">
        <v>498</v>
      </c>
      <c r="C551" s="110" t="str">
        <f t="shared" si="21"/>
        <v>20110629RLS</v>
      </c>
      <c r="D551" s="110" t="s">
        <v>174</v>
      </c>
      <c r="E551" s="110" t="str">
        <f t="shared" si="22"/>
        <v>20110629LGUM_013</v>
      </c>
      <c r="F551" s="83">
        <v>16.29</v>
      </c>
      <c r="G551" s="83">
        <v>0.15</v>
      </c>
      <c r="H551" s="83">
        <v>3.65</v>
      </c>
      <c r="I551" s="83">
        <v>12.49</v>
      </c>
      <c r="J551" s="80" t="s">
        <v>513</v>
      </c>
    </row>
    <row r="552" spans="1:10">
      <c r="A552" s="80">
        <f t="shared" si="24"/>
        <v>20110629</v>
      </c>
      <c r="B552" s="110" t="s">
        <v>498</v>
      </c>
      <c r="C552" s="110" t="str">
        <f t="shared" si="21"/>
        <v>20110629RLS</v>
      </c>
      <c r="D552" s="110" t="s">
        <v>208</v>
      </c>
      <c r="E552" s="110" t="str">
        <f t="shared" si="22"/>
        <v>20110629LGUM_113</v>
      </c>
      <c r="F552" s="83">
        <v>16.29</v>
      </c>
      <c r="G552" s="83">
        <v>0.15</v>
      </c>
      <c r="H552" s="83">
        <v>3.65</v>
      </c>
      <c r="I552" s="83">
        <v>12.49</v>
      </c>
      <c r="J552" s="80" t="s">
        <v>513</v>
      </c>
    </row>
    <row r="553" spans="1:10">
      <c r="A553" s="80">
        <f t="shared" si="24"/>
        <v>20110629</v>
      </c>
      <c r="B553" s="110" t="s">
        <v>498</v>
      </c>
      <c r="C553" s="110" t="str">
        <f t="shared" si="21"/>
        <v>20110629RLS</v>
      </c>
      <c r="D553" s="110" t="s">
        <v>382</v>
      </c>
      <c r="E553" s="110" t="str">
        <f t="shared" si="22"/>
        <v>20110629LGUM_213</v>
      </c>
      <c r="F553" s="83">
        <v>16.29</v>
      </c>
      <c r="G553" s="83">
        <v>0.15</v>
      </c>
      <c r="H553" s="83">
        <v>3.65</v>
      </c>
      <c r="I553" s="83">
        <v>12.49</v>
      </c>
      <c r="J553" s="80" t="s">
        <v>513</v>
      </c>
    </row>
    <row r="554" spans="1:10">
      <c r="A554" s="80">
        <f t="shared" si="24"/>
        <v>20110629</v>
      </c>
      <c r="B554" s="110" t="s">
        <v>498</v>
      </c>
      <c r="C554" s="110" t="str">
        <f t="shared" si="21"/>
        <v>20110629RLS</v>
      </c>
      <c r="D554" s="110" t="s">
        <v>514</v>
      </c>
      <c r="E554" s="110" t="str">
        <f t="shared" si="22"/>
        <v>20110629LGUM_016</v>
      </c>
      <c r="F554" s="83">
        <v>27.08</v>
      </c>
      <c r="G554" s="83">
        <v>0.13</v>
      </c>
      <c r="H554" s="83">
        <v>2.2999999999999998</v>
      </c>
      <c r="I554" s="83">
        <v>24.65</v>
      </c>
      <c r="J554" s="80" t="s">
        <v>515</v>
      </c>
    </row>
    <row r="555" spans="1:10">
      <c r="A555" s="80">
        <f t="shared" si="24"/>
        <v>20110629</v>
      </c>
      <c r="B555" s="110" t="s">
        <v>498</v>
      </c>
      <c r="C555" s="110" t="str">
        <f t="shared" si="21"/>
        <v>20110629RLS</v>
      </c>
      <c r="D555" s="110" t="s">
        <v>209</v>
      </c>
      <c r="E555" s="110" t="str">
        <f t="shared" si="22"/>
        <v>20110629LGUM_116</v>
      </c>
      <c r="F555" s="83">
        <v>27.08</v>
      </c>
      <c r="G555" s="83">
        <v>0.13</v>
      </c>
      <c r="H555" s="83">
        <v>2.2999999999999998</v>
      </c>
      <c r="I555" s="83">
        <v>24.65</v>
      </c>
      <c r="J555" s="80" t="s">
        <v>515</v>
      </c>
    </row>
    <row r="556" spans="1:10">
      <c r="A556" s="80">
        <f t="shared" si="24"/>
        <v>20110629</v>
      </c>
      <c r="B556" s="110" t="s">
        <v>498</v>
      </c>
      <c r="C556" s="110" t="str">
        <f t="shared" si="21"/>
        <v>20110629RLS</v>
      </c>
      <c r="D556" s="110" t="s">
        <v>384</v>
      </c>
      <c r="E556" s="110" t="str">
        <f t="shared" si="22"/>
        <v>20110629LGUM_216</v>
      </c>
      <c r="F556" s="83">
        <v>27.08</v>
      </c>
      <c r="G556" s="83">
        <v>0.13</v>
      </c>
      <c r="H556" s="83">
        <v>2.2999999999999998</v>
      </c>
      <c r="I556" s="83">
        <v>24.65</v>
      </c>
      <c r="J556" s="80" t="s">
        <v>515</v>
      </c>
    </row>
    <row r="557" spans="1:10">
      <c r="A557" s="80">
        <f t="shared" si="24"/>
        <v>20110629</v>
      </c>
      <c r="B557" s="110" t="s">
        <v>498</v>
      </c>
      <c r="C557" s="110" t="str">
        <f t="shared" si="21"/>
        <v>20110629RLS</v>
      </c>
      <c r="D557" s="110" t="s">
        <v>516</v>
      </c>
      <c r="E557" s="110" t="str">
        <f t="shared" si="22"/>
        <v>20110629LGUM_017</v>
      </c>
      <c r="F557" s="83">
        <v>30.26</v>
      </c>
      <c r="G557" s="83">
        <v>0.15</v>
      </c>
      <c r="H557" s="83">
        <v>3.65</v>
      </c>
      <c r="I557" s="83">
        <v>26.460000000000004</v>
      </c>
      <c r="J557" s="80" t="s">
        <v>517</v>
      </c>
    </row>
    <row r="558" spans="1:10">
      <c r="A558" s="80">
        <f t="shared" si="24"/>
        <v>20110629</v>
      </c>
      <c r="B558" s="110" t="s">
        <v>498</v>
      </c>
      <c r="C558" s="110" t="str">
        <f t="shared" si="21"/>
        <v>20110629RLS</v>
      </c>
      <c r="D558" s="110" t="s">
        <v>210</v>
      </c>
      <c r="E558" s="110" t="str">
        <f t="shared" si="22"/>
        <v>20110629LGUM_117</v>
      </c>
      <c r="F558" s="83">
        <v>30.26</v>
      </c>
      <c r="G558" s="83">
        <v>0.15</v>
      </c>
      <c r="H558" s="83">
        <v>3.65</v>
      </c>
      <c r="I558" s="83">
        <v>26.460000000000004</v>
      </c>
      <c r="J558" s="80" t="s">
        <v>517</v>
      </c>
    </row>
    <row r="559" spans="1:10">
      <c r="A559" s="80">
        <f t="shared" si="24"/>
        <v>20110629</v>
      </c>
      <c r="B559" s="110" t="s">
        <v>498</v>
      </c>
      <c r="C559" s="110" t="str">
        <f t="shared" si="21"/>
        <v>20110629RLS</v>
      </c>
      <c r="D559" s="110" t="s">
        <v>385</v>
      </c>
      <c r="E559" s="110" t="str">
        <f t="shared" si="22"/>
        <v>20110629LGUM_217</v>
      </c>
      <c r="F559" s="83">
        <v>30.26</v>
      </c>
      <c r="G559" s="83">
        <v>0.15</v>
      </c>
      <c r="H559" s="83">
        <v>3.65</v>
      </c>
      <c r="I559" s="83">
        <v>26.460000000000004</v>
      </c>
      <c r="J559" s="80" t="s">
        <v>517</v>
      </c>
    </row>
    <row r="560" spans="1:10">
      <c r="A560" s="80">
        <f t="shared" si="24"/>
        <v>20110629</v>
      </c>
      <c r="B560" s="110" t="s">
        <v>498</v>
      </c>
      <c r="C560" s="110" t="str">
        <f t="shared" si="21"/>
        <v>20110629RLS</v>
      </c>
      <c r="D560" s="110" t="s">
        <v>175</v>
      </c>
      <c r="E560" s="110" t="str">
        <f t="shared" si="22"/>
        <v>20110629LGUM_022</v>
      </c>
      <c r="F560" s="83">
        <v>12.62</v>
      </c>
      <c r="G560" s="83">
        <v>0.13</v>
      </c>
      <c r="H560" s="83">
        <v>1.55</v>
      </c>
      <c r="I560" s="83">
        <v>10.939999999999998</v>
      </c>
      <c r="J560" s="80" t="s">
        <v>518</v>
      </c>
    </row>
    <row r="561" spans="1:10">
      <c r="A561" s="80">
        <f t="shared" si="24"/>
        <v>20110629</v>
      </c>
      <c r="B561" s="110" t="s">
        <v>498</v>
      </c>
      <c r="C561" s="110" t="str">
        <f t="shared" ref="C561:C624" si="25">A561&amp;B561</f>
        <v>20110629RLS</v>
      </c>
      <c r="D561" s="110" t="s">
        <v>211</v>
      </c>
      <c r="E561" s="110" t="str">
        <f t="shared" ref="E561:E624" si="26">A561&amp;D561</f>
        <v>20110629LGUM_122</v>
      </c>
      <c r="F561" s="83">
        <v>12.62</v>
      </c>
      <c r="G561" s="83">
        <v>0.13</v>
      </c>
      <c r="H561" s="83">
        <v>1.55</v>
      </c>
      <c r="I561" s="83">
        <v>10.939999999999998</v>
      </c>
      <c r="J561" s="80" t="s">
        <v>518</v>
      </c>
    </row>
    <row r="562" spans="1:10">
      <c r="A562" s="80">
        <f t="shared" si="24"/>
        <v>20110629</v>
      </c>
      <c r="B562" s="110" t="s">
        <v>498</v>
      </c>
      <c r="C562" s="110" t="str">
        <f t="shared" si="25"/>
        <v>20110629RLS</v>
      </c>
      <c r="D562" s="110" t="s">
        <v>250</v>
      </c>
      <c r="E562" s="110" t="str">
        <f t="shared" si="26"/>
        <v>20110629LGUM_222</v>
      </c>
      <c r="F562" s="83">
        <v>12.62</v>
      </c>
      <c r="G562" s="83">
        <v>0.13</v>
      </c>
      <c r="H562" s="83">
        <v>1.55</v>
      </c>
      <c r="I562" s="83">
        <v>10.939999999999998</v>
      </c>
      <c r="J562" s="80" t="s">
        <v>518</v>
      </c>
    </row>
    <row r="563" spans="1:10">
      <c r="A563" s="80">
        <f t="shared" si="24"/>
        <v>20110629</v>
      </c>
      <c r="B563" s="110" t="s">
        <v>498</v>
      </c>
      <c r="C563" s="110" t="str">
        <f t="shared" si="25"/>
        <v>20110629RLS</v>
      </c>
      <c r="D563" s="110" t="s">
        <v>176</v>
      </c>
      <c r="E563" s="110" t="str">
        <f t="shared" si="26"/>
        <v>20110629LGUM_023</v>
      </c>
      <c r="F563" s="83">
        <v>12.62</v>
      </c>
      <c r="G563" s="83">
        <v>0.13</v>
      </c>
      <c r="H563" s="83">
        <v>1.55</v>
      </c>
      <c r="I563" s="83">
        <v>10.939999999999998</v>
      </c>
      <c r="J563" s="80" t="s">
        <v>519</v>
      </c>
    </row>
    <row r="564" spans="1:10">
      <c r="A564" s="80">
        <f t="shared" si="24"/>
        <v>20110629</v>
      </c>
      <c r="B564" s="110" t="s">
        <v>498</v>
      </c>
      <c r="C564" s="110" t="str">
        <f t="shared" si="25"/>
        <v>20110629RLS</v>
      </c>
      <c r="D564" s="110" t="s">
        <v>212</v>
      </c>
      <c r="E564" s="110" t="str">
        <f t="shared" si="26"/>
        <v>20110629LGUM_123</v>
      </c>
      <c r="F564" s="83">
        <v>12.62</v>
      </c>
      <c r="G564" s="83">
        <v>0.13</v>
      </c>
      <c r="H564" s="83">
        <v>1.55</v>
      </c>
      <c r="I564" s="83">
        <v>10.939999999999998</v>
      </c>
      <c r="J564" s="80" t="s">
        <v>519</v>
      </c>
    </row>
    <row r="565" spans="1:10">
      <c r="A565" s="80">
        <f t="shared" si="24"/>
        <v>20110629</v>
      </c>
      <c r="B565" s="110" t="s">
        <v>498</v>
      </c>
      <c r="C565" s="110" t="str">
        <f t="shared" si="25"/>
        <v>20110629RLS</v>
      </c>
      <c r="D565" s="110" t="s">
        <v>386</v>
      </c>
      <c r="E565" s="110" t="str">
        <f t="shared" si="26"/>
        <v>20110629LGUM_223</v>
      </c>
      <c r="F565" s="83">
        <v>12.62</v>
      </c>
      <c r="G565" s="83">
        <v>0.13</v>
      </c>
      <c r="H565" s="83">
        <v>1.55</v>
      </c>
      <c r="I565" s="83">
        <v>10.939999999999998</v>
      </c>
      <c r="J565" s="80" t="s">
        <v>519</v>
      </c>
    </row>
    <row r="566" spans="1:10">
      <c r="A566" s="80">
        <f t="shared" si="24"/>
        <v>20110629</v>
      </c>
      <c r="B566" s="110" t="s">
        <v>498</v>
      </c>
      <c r="C566" s="110" t="str">
        <f t="shared" si="25"/>
        <v>20110629RLS</v>
      </c>
      <c r="D566" s="110" t="s">
        <v>177</v>
      </c>
      <c r="E566" s="110" t="str">
        <f t="shared" si="26"/>
        <v>20110629LGUM_024</v>
      </c>
      <c r="F566" s="83">
        <v>17.45</v>
      </c>
      <c r="G566" s="83">
        <v>0.14000000000000001</v>
      </c>
      <c r="H566" s="83">
        <v>1.07</v>
      </c>
      <c r="I566" s="83">
        <v>16.239999999999998</v>
      </c>
      <c r="J566" s="80" t="s">
        <v>520</v>
      </c>
    </row>
    <row r="567" spans="1:10">
      <c r="A567" s="80">
        <f t="shared" si="24"/>
        <v>20110629</v>
      </c>
      <c r="B567" s="110" t="s">
        <v>498</v>
      </c>
      <c r="C567" s="110" t="str">
        <f t="shared" si="25"/>
        <v>20110629RLS</v>
      </c>
      <c r="D567" s="110" t="s">
        <v>213</v>
      </c>
      <c r="E567" s="110" t="str">
        <f t="shared" si="26"/>
        <v>20110629LGUM_124</v>
      </c>
      <c r="F567" s="83">
        <v>17.45</v>
      </c>
      <c r="G567" s="83">
        <v>0.14000000000000001</v>
      </c>
      <c r="H567" s="83">
        <v>1.07</v>
      </c>
      <c r="I567" s="83">
        <v>16.239999999999998</v>
      </c>
      <c r="J567" s="80" t="s">
        <v>520</v>
      </c>
    </row>
    <row r="568" spans="1:10">
      <c r="A568" s="80">
        <f t="shared" si="24"/>
        <v>20110629</v>
      </c>
      <c r="B568" s="110" t="s">
        <v>498</v>
      </c>
      <c r="C568" s="110" t="str">
        <f t="shared" si="25"/>
        <v>20110629RLS</v>
      </c>
      <c r="D568" s="110" t="s">
        <v>251</v>
      </c>
      <c r="E568" s="110" t="str">
        <f t="shared" si="26"/>
        <v>20110629LGUM_224</v>
      </c>
      <c r="F568" s="83">
        <v>17.45</v>
      </c>
      <c r="G568" s="83">
        <v>0.14000000000000001</v>
      </c>
      <c r="H568" s="83">
        <v>1.07</v>
      </c>
      <c r="I568" s="83">
        <v>16.239999999999998</v>
      </c>
      <c r="J568" s="80" t="s">
        <v>520</v>
      </c>
    </row>
    <row r="569" spans="1:10">
      <c r="A569" s="80">
        <f t="shared" si="24"/>
        <v>20110629</v>
      </c>
      <c r="B569" s="110" t="s">
        <v>498</v>
      </c>
      <c r="C569" s="110" t="str">
        <f t="shared" si="25"/>
        <v>20110629RLS</v>
      </c>
      <c r="D569" s="110" t="s">
        <v>521</v>
      </c>
      <c r="E569" s="110" t="str">
        <f t="shared" si="26"/>
        <v>20110629LGUM_025</v>
      </c>
      <c r="F569" s="83">
        <v>23.51</v>
      </c>
      <c r="G569" s="83">
        <v>0.13</v>
      </c>
      <c r="H569" s="83">
        <v>1.55</v>
      </c>
      <c r="I569" s="83">
        <v>21.830000000000002</v>
      </c>
      <c r="J569" s="80" t="s">
        <v>518</v>
      </c>
    </row>
    <row r="570" spans="1:10">
      <c r="A570" s="80">
        <f t="shared" si="24"/>
        <v>20110629</v>
      </c>
      <c r="B570" s="110" t="s">
        <v>498</v>
      </c>
      <c r="C570" s="110" t="str">
        <f t="shared" si="25"/>
        <v>20110629RLS</v>
      </c>
      <c r="D570" s="110" t="s">
        <v>522</v>
      </c>
      <c r="E570" s="110" t="str">
        <f t="shared" si="26"/>
        <v>20110629LGUM_125</v>
      </c>
      <c r="F570" s="83">
        <v>23.51</v>
      </c>
      <c r="G570" s="83">
        <v>0.13</v>
      </c>
      <c r="H570" s="83">
        <v>1.55</v>
      </c>
      <c r="I570" s="83">
        <v>21.830000000000002</v>
      </c>
      <c r="J570" s="80" t="s">
        <v>518</v>
      </c>
    </row>
    <row r="571" spans="1:10">
      <c r="A571" s="80">
        <f t="shared" si="24"/>
        <v>20110629</v>
      </c>
      <c r="B571" s="110" t="s">
        <v>498</v>
      </c>
      <c r="C571" s="110" t="str">
        <f t="shared" si="25"/>
        <v>20110629RLS</v>
      </c>
      <c r="D571" s="110" t="s">
        <v>523</v>
      </c>
      <c r="E571" s="110" t="str">
        <f t="shared" si="26"/>
        <v>20110629LGUM_225</v>
      </c>
      <c r="F571" s="83">
        <v>23.51</v>
      </c>
      <c r="G571" s="83">
        <v>0.13</v>
      </c>
      <c r="H571" s="83">
        <v>1.55</v>
      </c>
      <c r="I571" s="83">
        <v>21.830000000000002</v>
      </c>
      <c r="J571" s="80" t="s">
        <v>518</v>
      </c>
    </row>
    <row r="572" spans="1:10">
      <c r="A572" s="80">
        <f t="shared" si="24"/>
        <v>20110629</v>
      </c>
      <c r="B572" s="110" t="s">
        <v>498</v>
      </c>
      <c r="C572" s="110" t="str">
        <f t="shared" si="25"/>
        <v>20110629RLS</v>
      </c>
      <c r="D572" s="110" t="s">
        <v>524</v>
      </c>
      <c r="E572" s="110" t="str">
        <f t="shared" si="26"/>
        <v>20110629LGUM_026</v>
      </c>
      <c r="F572" s="83">
        <v>13.27</v>
      </c>
      <c r="G572" s="83">
        <v>0.13</v>
      </c>
      <c r="H572" s="83">
        <v>0.74</v>
      </c>
      <c r="I572" s="83">
        <v>12.399999999999999</v>
      </c>
      <c r="J572" s="80" t="s">
        <v>525</v>
      </c>
    </row>
    <row r="573" spans="1:10">
      <c r="A573" s="80">
        <f t="shared" si="24"/>
        <v>20110629</v>
      </c>
      <c r="B573" s="110" t="s">
        <v>498</v>
      </c>
      <c r="C573" s="110" t="str">
        <f t="shared" si="25"/>
        <v>20110629RLS</v>
      </c>
      <c r="D573" s="110" t="s">
        <v>526</v>
      </c>
      <c r="E573" s="110" t="str">
        <f t="shared" si="26"/>
        <v>20110629LGUM_126</v>
      </c>
      <c r="F573" s="83">
        <v>13.27</v>
      </c>
      <c r="G573" s="83">
        <v>0.13</v>
      </c>
      <c r="H573" s="83">
        <v>0.74</v>
      </c>
      <c r="I573" s="83">
        <v>12.399999999999999</v>
      </c>
      <c r="J573" s="80" t="s">
        <v>525</v>
      </c>
    </row>
    <row r="574" spans="1:10">
      <c r="A574" s="80">
        <f t="shared" si="24"/>
        <v>20110629</v>
      </c>
      <c r="B574" s="110" t="s">
        <v>498</v>
      </c>
      <c r="C574" s="110" t="str">
        <f t="shared" si="25"/>
        <v>20110629RLS</v>
      </c>
      <c r="D574" s="110" t="s">
        <v>527</v>
      </c>
      <c r="E574" s="110" t="str">
        <f t="shared" si="26"/>
        <v>20110629LGUM_226</v>
      </c>
      <c r="F574" s="83">
        <v>13.27</v>
      </c>
      <c r="G574" s="83">
        <v>0.13</v>
      </c>
      <c r="H574" s="83">
        <v>0.74</v>
      </c>
      <c r="I574" s="83">
        <v>12.399999999999999</v>
      </c>
      <c r="J574" s="80" t="s">
        <v>525</v>
      </c>
    </row>
    <row r="575" spans="1:10">
      <c r="A575" s="80">
        <f t="shared" si="24"/>
        <v>20110629</v>
      </c>
      <c r="B575" s="110" t="s">
        <v>498</v>
      </c>
      <c r="C575" s="110" t="str">
        <f t="shared" si="25"/>
        <v>20110629RLS</v>
      </c>
      <c r="D575" s="110" t="s">
        <v>528</v>
      </c>
      <c r="E575" s="110" t="str">
        <f t="shared" si="26"/>
        <v>20110629LGUM_251</v>
      </c>
      <c r="F575" s="83">
        <v>1.0000000000000001E-9</v>
      </c>
      <c r="G575" s="83">
        <v>0</v>
      </c>
      <c r="H575" s="83">
        <v>0</v>
      </c>
      <c r="I575" s="83">
        <v>1.0000000000000001E-9</v>
      </c>
      <c r="J575" s="80" t="s">
        <v>529</v>
      </c>
    </row>
    <row r="576" spans="1:10">
      <c r="A576" s="80">
        <f t="shared" si="24"/>
        <v>20110629</v>
      </c>
      <c r="B576" s="110" t="s">
        <v>498</v>
      </c>
      <c r="C576" s="110" t="str">
        <f t="shared" si="25"/>
        <v>20110629RLS</v>
      </c>
      <c r="D576" s="110" t="s">
        <v>178</v>
      </c>
      <c r="E576" s="110" t="str">
        <f t="shared" si="26"/>
        <v>20110629LGUM_052</v>
      </c>
      <c r="F576" s="83">
        <v>10.33</v>
      </c>
      <c r="G576" s="83">
        <v>0.1</v>
      </c>
      <c r="H576" s="83">
        <v>1.55</v>
      </c>
      <c r="I576" s="83">
        <v>8.68</v>
      </c>
      <c r="J576" s="80" t="s">
        <v>530</v>
      </c>
    </row>
    <row r="577" spans="1:10">
      <c r="A577" s="80">
        <f t="shared" si="24"/>
        <v>20110629</v>
      </c>
      <c r="B577" s="110" t="s">
        <v>498</v>
      </c>
      <c r="C577" s="110" t="str">
        <f t="shared" si="25"/>
        <v>20110629RLS</v>
      </c>
      <c r="D577" s="110" t="s">
        <v>214</v>
      </c>
      <c r="E577" s="110" t="str">
        <f t="shared" si="26"/>
        <v>20110629LGUM_152</v>
      </c>
      <c r="F577" s="83">
        <v>10.33</v>
      </c>
      <c r="G577" s="83">
        <v>0.1</v>
      </c>
      <c r="H577" s="83">
        <v>1.55</v>
      </c>
      <c r="I577" s="83">
        <v>8.68</v>
      </c>
      <c r="J577" s="80" t="s">
        <v>530</v>
      </c>
    </row>
    <row r="578" spans="1:10">
      <c r="A578" s="80">
        <f t="shared" si="24"/>
        <v>20110629</v>
      </c>
      <c r="B578" s="110" t="s">
        <v>498</v>
      </c>
      <c r="C578" s="110" t="str">
        <f t="shared" si="25"/>
        <v>20110629RLS</v>
      </c>
      <c r="D578" s="110" t="s">
        <v>252</v>
      </c>
      <c r="E578" s="110" t="str">
        <f t="shared" si="26"/>
        <v>20110629LGUM_252</v>
      </c>
      <c r="F578" s="83">
        <v>10.33</v>
      </c>
      <c r="G578" s="83">
        <v>0.1</v>
      </c>
      <c r="H578" s="83">
        <v>1.55</v>
      </c>
      <c r="I578" s="83">
        <v>8.68</v>
      </c>
      <c r="J578" s="80" t="s">
        <v>530</v>
      </c>
    </row>
    <row r="579" spans="1:10">
      <c r="A579" s="80">
        <f t="shared" si="24"/>
        <v>20110629</v>
      </c>
      <c r="B579" s="110" t="s">
        <v>498</v>
      </c>
      <c r="C579" s="110" t="str">
        <f t="shared" si="25"/>
        <v>20110629RLS</v>
      </c>
      <c r="D579" s="110" t="s">
        <v>179</v>
      </c>
      <c r="E579" s="110" t="str">
        <f t="shared" si="26"/>
        <v>20110629LGUM_053</v>
      </c>
      <c r="F579" s="83">
        <v>11.81</v>
      </c>
      <c r="G579" s="83">
        <v>0.13</v>
      </c>
      <c r="H579" s="83">
        <v>2.2000000000000002</v>
      </c>
      <c r="I579" s="83">
        <v>9.48</v>
      </c>
      <c r="J579" s="80" t="s">
        <v>531</v>
      </c>
    </row>
    <row r="580" spans="1:10">
      <c r="A580" s="80">
        <f t="shared" si="24"/>
        <v>20110629</v>
      </c>
      <c r="B580" s="110" t="s">
        <v>498</v>
      </c>
      <c r="C580" s="110" t="str">
        <f t="shared" si="25"/>
        <v>20110629RLS</v>
      </c>
      <c r="D580" s="110" t="s">
        <v>215</v>
      </c>
      <c r="E580" s="110" t="str">
        <f t="shared" si="26"/>
        <v>20110629LGUM_153</v>
      </c>
      <c r="F580" s="83">
        <v>11.81</v>
      </c>
      <c r="G580" s="83">
        <v>0.13</v>
      </c>
      <c r="H580" s="83">
        <v>2.2000000000000002</v>
      </c>
      <c r="I580" s="83">
        <v>9.48</v>
      </c>
      <c r="J580" s="80" t="s">
        <v>531</v>
      </c>
    </row>
    <row r="581" spans="1:10">
      <c r="A581" s="80">
        <f t="shared" si="24"/>
        <v>20110629</v>
      </c>
      <c r="B581" s="110" t="s">
        <v>498</v>
      </c>
      <c r="C581" s="110" t="str">
        <f t="shared" si="25"/>
        <v>20110629RLS</v>
      </c>
      <c r="D581" s="110" t="s">
        <v>253</v>
      </c>
      <c r="E581" s="110" t="str">
        <f t="shared" si="26"/>
        <v>20110629LGUM_253</v>
      </c>
      <c r="F581" s="83">
        <v>11.81</v>
      </c>
      <c r="G581" s="83">
        <v>0.13</v>
      </c>
      <c r="H581" s="83">
        <v>2.2000000000000002</v>
      </c>
      <c r="I581" s="83">
        <v>9.48</v>
      </c>
      <c r="J581" s="80" t="s">
        <v>531</v>
      </c>
    </row>
    <row r="582" spans="1:10">
      <c r="A582" s="80">
        <f t="shared" si="24"/>
        <v>20110629</v>
      </c>
      <c r="B582" s="110" t="s">
        <v>498</v>
      </c>
      <c r="C582" s="110" t="str">
        <f t="shared" si="25"/>
        <v>20110629RLS</v>
      </c>
      <c r="D582" s="110" t="s">
        <v>180</v>
      </c>
      <c r="E582" s="110" t="str">
        <f t="shared" si="26"/>
        <v>20110629LGUM_054</v>
      </c>
      <c r="F582" s="83">
        <v>14.39</v>
      </c>
      <c r="G582" s="83">
        <v>0.15</v>
      </c>
      <c r="H582" s="83">
        <v>3.41</v>
      </c>
      <c r="I582" s="83">
        <v>10.83</v>
      </c>
      <c r="J582" s="80" t="s">
        <v>532</v>
      </c>
    </row>
    <row r="583" spans="1:10">
      <c r="A583" s="80">
        <f t="shared" si="24"/>
        <v>20110629</v>
      </c>
      <c r="B583" s="110" t="s">
        <v>498</v>
      </c>
      <c r="C583" s="110" t="str">
        <f t="shared" si="25"/>
        <v>20110629RLS</v>
      </c>
      <c r="D583" s="110" t="s">
        <v>216</v>
      </c>
      <c r="E583" s="110" t="str">
        <f t="shared" si="26"/>
        <v>20110629LGUM_154</v>
      </c>
      <c r="F583" s="83">
        <v>14.39</v>
      </c>
      <c r="G583" s="83">
        <v>0.15</v>
      </c>
      <c r="H583" s="83">
        <v>3.41</v>
      </c>
      <c r="I583" s="83">
        <v>10.83</v>
      </c>
      <c r="J583" s="80" t="s">
        <v>532</v>
      </c>
    </row>
    <row r="584" spans="1:10">
      <c r="A584" s="80">
        <f t="shared" si="24"/>
        <v>20110629</v>
      </c>
      <c r="B584" s="110" t="s">
        <v>498</v>
      </c>
      <c r="C584" s="110" t="str">
        <f t="shared" si="25"/>
        <v>20110629RLS</v>
      </c>
      <c r="D584" s="110" t="s">
        <v>387</v>
      </c>
      <c r="E584" s="110" t="str">
        <f t="shared" si="26"/>
        <v>20110629LGUM_254</v>
      </c>
      <c r="F584" s="83">
        <v>14.39</v>
      </c>
      <c r="G584" s="83">
        <v>0.15</v>
      </c>
      <c r="H584" s="83">
        <v>3.41</v>
      </c>
      <c r="I584" s="83">
        <v>10.83</v>
      </c>
      <c r="J584" s="80" t="s">
        <v>532</v>
      </c>
    </row>
    <row r="585" spans="1:10">
      <c r="A585" s="80">
        <f t="shared" si="24"/>
        <v>20110629</v>
      </c>
      <c r="B585" s="110" t="s">
        <v>498</v>
      </c>
      <c r="C585" s="110" t="str">
        <f t="shared" si="25"/>
        <v>20110629RLS</v>
      </c>
      <c r="D585" s="110" t="s">
        <v>181</v>
      </c>
      <c r="E585" s="110" t="str">
        <f t="shared" si="26"/>
        <v>20110629LGUM_055</v>
      </c>
      <c r="F585" s="83">
        <v>9.9600000000000009</v>
      </c>
      <c r="G585" s="83">
        <v>0.14000000000000001</v>
      </c>
      <c r="H585" s="83">
        <v>1.07</v>
      </c>
      <c r="I585" s="83">
        <v>8.75</v>
      </c>
      <c r="J585" s="80" t="s">
        <v>533</v>
      </c>
    </row>
    <row r="586" spans="1:10">
      <c r="A586" s="80">
        <f t="shared" si="24"/>
        <v>20110629</v>
      </c>
      <c r="B586" s="110" t="s">
        <v>498</v>
      </c>
      <c r="C586" s="110" t="str">
        <f t="shared" si="25"/>
        <v>20110629RLS</v>
      </c>
      <c r="D586" s="110" t="s">
        <v>217</v>
      </c>
      <c r="E586" s="110" t="str">
        <f t="shared" si="26"/>
        <v>20110629LGUM_155</v>
      </c>
      <c r="F586" s="83">
        <v>9.9600000000000009</v>
      </c>
      <c r="G586" s="83">
        <v>0.14000000000000001</v>
      </c>
      <c r="H586" s="83">
        <v>1.07</v>
      </c>
      <c r="I586" s="83">
        <v>8.75</v>
      </c>
      <c r="J586" s="80" t="s">
        <v>533</v>
      </c>
    </row>
    <row r="587" spans="1:10">
      <c r="A587" s="80">
        <f t="shared" si="24"/>
        <v>20110629</v>
      </c>
      <c r="B587" s="110" t="s">
        <v>498</v>
      </c>
      <c r="C587" s="110" t="str">
        <f t="shared" si="25"/>
        <v>20110629RLS</v>
      </c>
      <c r="D587" s="110" t="s">
        <v>254</v>
      </c>
      <c r="E587" s="110" t="str">
        <f t="shared" si="26"/>
        <v>20110629LGUM_255</v>
      </c>
      <c r="F587" s="83">
        <v>9.9600000000000009</v>
      </c>
      <c r="G587" s="83">
        <v>0.14000000000000001</v>
      </c>
      <c r="H587" s="83">
        <v>1.07</v>
      </c>
      <c r="I587" s="83">
        <v>8.75</v>
      </c>
      <c r="J587" s="80" t="s">
        <v>533</v>
      </c>
    </row>
    <row r="588" spans="1:10">
      <c r="A588" s="80">
        <f t="shared" si="24"/>
        <v>20110629</v>
      </c>
      <c r="B588" s="110" t="s">
        <v>498</v>
      </c>
      <c r="C588" s="110" t="str">
        <f t="shared" si="25"/>
        <v>20110629RLS</v>
      </c>
      <c r="D588" s="110" t="s">
        <v>534</v>
      </c>
      <c r="E588" s="110" t="str">
        <f t="shared" si="26"/>
        <v>20110629LGUM_056</v>
      </c>
      <c r="F588" s="83">
        <v>13.18</v>
      </c>
      <c r="G588" s="83">
        <v>0.14000000000000001</v>
      </c>
      <c r="H588" s="83">
        <v>0.92</v>
      </c>
      <c r="I588" s="83">
        <v>12.12</v>
      </c>
      <c r="J588" s="80" t="s">
        <v>535</v>
      </c>
    </row>
    <row r="589" spans="1:10">
      <c r="A589" s="80">
        <f t="shared" si="24"/>
        <v>20110629</v>
      </c>
      <c r="B589" s="110" t="s">
        <v>498</v>
      </c>
      <c r="C589" s="110" t="str">
        <f t="shared" si="25"/>
        <v>20110629RLS</v>
      </c>
      <c r="D589" s="110" t="s">
        <v>536</v>
      </c>
      <c r="E589" s="110" t="str">
        <f t="shared" si="26"/>
        <v>20110629LGUM_156</v>
      </c>
      <c r="F589" s="83">
        <v>13.18</v>
      </c>
      <c r="G589" s="83">
        <v>0.14000000000000001</v>
      </c>
      <c r="H589" s="83">
        <v>0.92</v>
      </c>
      <c r="I589" s="83">
        <v>12.12</v>
      </c>
      <c r="J589" s="80" t="s">
        <v>535</v>
      </c>
    </row>
    <row r="590" spans="1:10">
      <c r="A590" s="80">
        <f t="shared" si="24"/>
        <v>20110629</v>
      </c>
      <c r="B590" s="110" t="s">
        <v>498</v>
      </c>
      <c r="C590" s="110" t="str">
        <f t="shared" si="25"/>
        <v>20110629RLS</v>
      </c>
      <c r="D590" s="110" t="s">
        <v>537</v>
      </c>
      <c r="E590" s="110" t="str">
        <f t="shared" si="26"/>
        <v>20110629LGUM_256</v>
      </c>
      <c r="F590" s="83">
        <v>13.18</v>
      </c>
      <c r="G590" s="83">
        <v>0.14000000000000001</v>
      </c>
      <c r="H590" s="83">
        <v>0.92</v>
      </c>
      <c r="I590" s="83">
        <v>12.12</v>
      </c>
      <c r="J590" s="80" t="s">
        <v>535</v>
      </c>
    </row>
    <row r="591" spans="1:10">
      <c r="A591" s="80">
        <f t="shared" si="24"/>
        <v>20110629</v>
      </c>
      <c r="B591" s="110" t="s">
        <v>498</v>
      </c>
      <c r="C591" s="110" t="str">
        <f t="shared" si="25"/>
        <v>20110629RLS</v>
      </c>
      <c r="D591" s="110" t="s">
        <v>182</v>
      </c>
      <c r="E591" s="110" t="str">
        <f t="shared" si="26"/>
        <v>20110629LGUM_057</v>
      </c>
      <c r="F591" s="83">
        <v>14.39</v>
      </c>
      <c r="G591" s="83">
        <v>0.15</v>
      </c>
      <c r="H591" s="83">
        <v>3.41</v>
      </c>
      <c r="I591" s="83">
        <v>10.83</v>
      </c>
      <c r="J591" s="80" t="s">
        <v>538</v>
      </c>
    </row>
    <row r="592" spans="1:10">
      <c r="A592" s="80">
        <f t="shared" si="24"/>
        <v>20110629</v>
      </c>
      <c r="B592" s="110" t="s">
        <v>498</v>
      </c>
      <c r="C592" s="110" t="str">
        <f t="shared" si="25"/>
        <v>20110629RLS</v>
      </c>
      <c r="D592" s="110" t="s">
        <v>218</v>
      </c>
      <c r="E592" s="110" t="str">
        <f t="shared" si="26"/>
        <v>20110629LGUM_157</v>
      </c>
      <c r="F592" s="83">
        <v>14.39</v>
      </c>
      <c r="G592" s="83">
        <v>0.15</v>
      </c>
      <c r="H592" s="83">
        <v>3.41</v>
      </c>
      <c r="I592" s="83">
        <v>10.83</v>
      </c>
      <c r="J592" s="80" t="s">
        <v>538</v>
      </c>
    </row>
    <row r="593" spans="1:10">
      <c r="A593" s="80">
        <f t="shared" si="24"/>
        <v>20110629</v>
      </c>
      <c r="B593" s="110" t="s">
        <v>498</v>
      </c>
      <c r="C593" s="110" t="str">
        <f t="shared" si="25"/>
        <v>20110629RLS</v>
      </c>
      <c r="D593" s="110" t="s">
        <v>388</v>
      </c>
      <c r="E593" s="110" t="str">
        <f t="shared" si="26"/>
        <v>20110629LGUM_257</v>
      </c>
      <c r="F593" s="83">
        <v>14.39</v>
      </c>
      <c r="G593" s="83">
        <v>0.15</v>
      </c>
      <c r="H593" s="83">
        <v>3.41</v>
      </c>
      <c r="I593" s="83">
        <v>10.83</v>
      </c>
      <c r="J593" s="80" t="s">
        <v>538</v>
      </c>
    </row>
    <row r="594" spans="1:10">
      <c r="A594" s="80">
        <f t="shared" si="24"/>
        <v>20110629</v>
      </c>
      <c r="B594" s="110" t="s">
        <v>498</v>
      </c>
      <c r="C594" s="110" t="str">
        <f t="shared" si="25"/>
        <v>20110629RLS</v>
      </c>
      <c r="D594" s="110" t="s">
        <v>183</v>
      </c>
      <c r="E594" s="110" t="str">
        <f t="shared" si="26"/>
        <v>20110629LGUM_058</v>
      </c>
      <c r="F594" s="83">
        <v>14.99</v>
      </c>
      <c r="G594" s="83">
        <v>0.1</v>
      </c>
      <c r="H594" s="83">
        <v>1.55</v>
      </c>
      <c r="I594" s="83">
        <v>13.34</v>
      </c>
      <c r="J594" s="80" t="s">
        <v>539</v>
      </c>
    </row>
    <row r="595" spans="1:10">
      <c r="A595" s="80">
        <f t="shared" si="24"/>
        <v>20110629</v>
      </c>
      <c r="B595" s="110" t="s">
        <v>498</v>
      </c>
      <c r="C595" s="110" t="str">
        <f t="shared" si="25"/>
        <v>20110629RLS</v>
      </c>
      <c r="D595" s="110" t="s">
        <v>219</v>
      </c>
      <c r="E595" s="110" t="str">
        <f t="shared" si="26"/>
        <v>20110629LGUM_158</v>
      </c>
      <c r="F595" s="83">
        <v>14.99</v>
      </c>
      <c r="G595" s="83">
        <v>0.1</v>
      </c>
      <c r="H595" s="83">
        <v>1.55</v>
      </c>
      <c r="I595" s="83">
        <v>13.34</v>
      </c>
      <c r="J595" s="80" t="s">
        <v>539</v>
      </c>
    </row>
    <row r="596" spans="1:10">
      <c r="A596" s="80">
        <f t="shared" si="24"/>
        <v>20110629</v>
      </c>
      <c r="B596" s="110" t="s">
        <v>498</v>
      </c>
      <c r="C596" s="110" t="str">
        <f t="shared" si="25"/>
        <v>20110629RLS</v>
      </c>
      <c r="D596" s="110" t="s">
        <v>256</v>
      </c>
      <c r="E596" s="110" t="str">
        <f t="shared" si="26"/>
        <v>20110629LGUM_258</v>
      </c>
      <c r="F596" s="83">
        <v>14.99</v>
      </c>
      <c r="G596" s="83">
        <v>0.1</v>
      </c>
      <c r="H596" s="83">
        <v>1.55</v>
      </c>
      <c r="I596" s="83">
        <v>13.34</v>
      </c>
      <c r="J596" s="80" t="s">
        <v>539</v>
      </c>
    </row>
    <row r="597" spans="1:10">
      <c r="A597" s="80">
        <f t="shared" si="24"/>
        <v>20110629</v>
      </c>
      <c r="B597" s="110" t="s">
        <v>498</v>
      </c>
      <c r="C597" s="110" t="str">
        <f t="shared" si="25"/>
        <v>20110629RLS</v>
      </c>
      <c r="D597" s="110" t="s">
        <v>400</v>
      </c>
      <c r="E597" s="110" t="str">
        <f t="shared" si="26"/>
        <v>20110629LGUM_059</v>
      </c>
      <c r="F597" s="83">
        <v>26.66</v>
      </c>
      <c r="G597" s="83">
        <v>0.26</v>
      </c>
      <c r="H597" s="83">
        <v>8.16</v>
      </c>
      <c r="I597" s="83">
        <v>18.239999999999998</v>
      </c>
      <c r="J597" s="80" t="s">
        <v>540</v>
      </c>
    </row>
    <row r="598" spans="1:10">
      <c r="A598" s="80">
        <f t="shared" si="24"/>
        <v>20110629</v>
      </c>
      <c r="B598" s="110" t="s">
        <v>498</v>
      </c>
      <c r="C598" s="110" t="str">
        <f t="shared" si="25"/>
        <v>20110629RLS</v>
      </c>
      <c r="D598" s="110" t="s">
        <v>220</v>
      </c>
      <c r="E598" s="110" t="str">
        <f t="shared" si="26"/>
        <v>20110629LGUM_159</v>
      </c>
      <c r="F598" s="83">
        <v>26.66</v>
      </c>
      <c r="G598" s="83">
        <v>0.26</v>
      </c>
      <c r="H598" s="83">
        <v>8.16</v>
      </c>
      <c r="I598" s="83">
        <v>18.239999999999998</v>
      </c>
      <c r="J598" s="80" t="s">
        <v>540</v>
      </c>
    </row>
    <row r="599" spans="1:10">
      <c r="A599" s="80">
        <f t="shared" si="24"/>
        <v>20110629</v>
      </c>
      <c r="B599" s="110" t="s">
        <v>498</v>
      </c>
      <c r="C599" s="110" t="str">
        <f t="shared" si="25"/>
        <v>20110629RLS</v>
      </c>
      <c r="D599" s="110" t="s">
        <v>257</v>
      </c>
      <c r="E599" s="110" t="str">
        <f t="shared" si="26"/>
        <v>20110629LGUM_259</v>
      </c>
      <c r="F599" s="83">
        <v>26.66</v>
      </c>
      <c r="G599" s="83">
        <v>0.26</v>
      </c>
      <c r="H599" s="83">
        <v>8.16</v>
      </c>
      <c r="I599" s="83">
        <v>18.239999999999998</v>
      </c>
      <c r="J599" s="80" t="s">
        <v>540</v>
      </c>
    </row>
    <row r="600" spans="1:10">
      <c r="A600" s="80">
        <f t="shared" si="24"/>
        <v>20110629</v>
      </c>
      <c r="B600" s="110" t="s">
        <v>498</v>
      </c>
      <c r="C600" s="110" t="str">
        <f t="shared" si="25"/>
        <v>20110629RLS</v>
      </c>
      <c r="D600" s="110" t="s">
        <v>541</v>
      </c>
      <c r="E600" s="110" t="str">
        <f t="shared" si="26"/>
        <v>20110629LGUM_060</v>
      </c>
      <c r="F600" s="83">
        <v>26.79</v>
      </c>
      <c r="G600" s="83">
        <v>0.26</v>
      </c>
      <c r="H600" s="83">
        <v>8.16</v>
      </c>
      <c r="I600" s="83">
        <v>18.369999999999997</v>
      </c>
      <c r="J600" s="80" t="s">
        <v>542</v>
      </c>
    </row>
    <row r="601" spans="1:10">
      <c r="A601" s="80">
        <f t="shared" si="24"/>
        <v>20110629</v>
      </c>
      <c r="B601" s="110" t="s">
        <v>498</v>
      </c>
      <c r="C601" s="110" t="str">
        <f t="shared" si="25"/>
        <v>20110629RLS</v>
      </c>
      <c r="D601" s="110" t="s">
        <v>221</v>
      </c>
      <c r="E601" s="110" t="str">
        <f t="shared" si="26"/>
        <v>20110629LGUM_160</v>
      </c>
      <c r="F601" s="83">
        <v>26.79</v>
      </c>
      <c r="G601" s="83">
        <v>0.26</v>
      </c>
      <c r="H601" s="83">
        <v>8.16</v>
      </c>
      <c r="I601" s="83">
        <v>18.369999999999997</v>
      </c>
      <c r="J601" s="80" t="s">
        <v>542</v>
      </c>
    </row>
    <row r="602" spans="1:10">
      <c r="A602" s="80">
        <f t="shared" si="24"/>
        <v>20110629</v>
      </c>
      <c r="B602" s="110" t="s">
        <v>498</v>
      </c>
      <c r="C602" s="110" t="str">
        <f t="shared" si="25"/>
        <v>20110629RLS</v>
      </c>
      <c r="D602" s="110" t="s">
        <v>390</v>
      </c>
      <c r="E602" s="110" t="str">
        <f t="shared" si="26"/>
        <v>20110629LGUM_260</v>
      </c>
      <c r="F602" s="83">
        <v>26.79</v>
      </c>
      <c r="G602" s="83">
        <v>0.26</v>
      </c>
      <c r="H602" s="83">
        <v>8.16</v>
      </c>
      <c r="I602" s="83">
        <v>18.369999999999997</v>
      </c>
      <c r="J602" s="80" t="s">
        <v>542</v>
      </c>
    </row>
    <row r="603" spans="1:10">
      <c r="A603" s="80">
        <f t="shared" si="24"/>
        <v>20110629</v>
      </c>
      <c r="B603" s="110" t="s">
        <v>498</v>
      </c>
      <c r="C603" s="110" t="str">
        <f t="shared" si="25"/>
        <v>20110629RLS</v>
      </c>
      <c r="D603" s="110" t="s">
        <v>184</v>
      </c>
      <c r="E603" s="110" t="str">
        <f t="shared" si="26"/>
        <v>20110629LGUM_061</v>
      </c>
      <c r="F603" s="83">
        <v>14.91</v>
      </c>
      <c r="G603" s="83">
        <v>0.13</v>
      </c>
      <c r="H603" s="83">
        <v>2.2999999999999998</v>
      </c>
      <c r="I603" s="83">
        <v>12.48</v>
      </c>
      <c r="J603" s="80" t="s">
        <v>543</v>
      </c>
    </row>
    <row r="604" spans="1:10">
      <c r="A604" s="80">
        <f t="shared" si="24"/>
        <v>20110629</v>
      </c>
      <c r="B604" s="110" t="s">
        <v>498</v>
      </c>
      <c r="C604" s="110" t="str">
        <f t="shared" si="25"/>
        <v>20110629RLS</v>
      </c>
      <c r="D604" s="110" t="s">
        <v>222</v>
      </c>
      <c r="E604" s="110" t="str">
        <f t="shared" si="26"/>
        <v>20110629LGUM_161</v>
      </c>
      <c r="F604" s="83">
        <v>14.91</v>
      </c>
      <c r="G604" s="83">
        <v>0.13</v>
      </c>
      <c r="H604" s="83">
        <v>2.2999999999999998</v>
      </c>
      <c r="I604" s="83">
        <v>12.48</v>
      </c>
      <c r="J604" s="80" t="s">
        <v>543</v>
      </c>
    </row>
    <row r="605" spans="1:10">
      <c r="A605" s="80">
        <f t="shared" si="24"/>
        <v>20110629</v>
      </c>
      <c r="B605" s="110" t="s">
        <v>498</v>
      </c>
      <c r="C605" s="110" t="str">
        <f t="shared" si="25"/>
        <v>20110629RLS</v>
      </c>
      <c r="D605" s="110" t="s">
        <v>258</v>
      </c>
      <c r="E605" s="110" t="str">
        <f t="shared" si="26"/>
        <v>20110629LGUM_261</v>
      </c>
      <c r="F605" s="83">
        <v>14.91</v>
      </c>
      <c r="G605" s="83">
        <v>0.13</v>
      </c>
      <c r="H605" s="83">
        <v>2.2999999999999998</v>
      </c>
      <c r="I605" s="83">
        <v>12.48</v>
      </c>
      <c r="J605" s="80" t="s">
        <v>543</v>
      </c>
    </row>
    <row r="606" spans="1:10">
      <c r="A606" s="80">
        <f t="shared" si="24"/>
        <v>20110629</v>
      </c>
      <c r="B606" s="110" t="s">
        <v>498</v>
      </c>
      <c r="C606" s="110" t="str">
        <f t="shared" si="25"/>
        <v>20110629RLS</v>
      </c>
      <c r="D606" s="110" t="s">
        <v>185</v>
      </c>
      <c r="E606" s="110" t="str">
        <f t="shared" si="26"/>
        <v>20110629LGUM_062</v>
      </c>
      <c r="F606" s="83">
        <v>16.29</v>
      </c>
      <c r="G606" s="83">
        <v>0.15</v>
      </c>
      <c r="H606" s="83">
        <v>3.65</v>
      </c>
      <c r="I606" s="83">
        <v>12.49</v>
      </c>
      <c r="J606" s="80" t="s">
        <v>544</v>
      </c>
    </row>
    <row r="607" spans="1:10">
      <c r="A607" s="80">
        <f t="shared" si="24"/>
        <v>20110629</v>
      </c>
      <c r="B607" s="110" t="s">
        <v>498</v>
      </c>
      <c r="C607" s="110" t="str">
        <f t="shared" si="25"/>
        <v>20110629RLS</v>
      </c>
      <c r="D607" s="110" t="s">
        <v>223</v>
      </c>
      <c r="E607" s="110" t="str">
        <f t="shared" si="26"/>
        <v>20110629LGUM_162</v>
      </c>
      <c r="F607" s="83">
        <v>16.29</v>
      </c>
      <c r="G607" s="83">
        <v>0.15</v>
      </c>
      <c r="H607" s="83">
        <v>3.65</v>
      </c>
      <c r="I607" s="83">
        <v>12.49</v>
      </c>
      <c r="J607" s="80" t="s">
        <v>544</v>
      </c>
    </row>
    <row r="608" spans="1:10">
      <c r="A608" s="80">
        <f t="shared" si="24"/>
        <v>20110629</v>
      </c>
      <c r="B608" s="110" t="s">
        <v>498</v>
      </c>
      <c r="C608" s="110" t="str">
        <f t="shared" si="25"/>
        <v>20110629RLS</v>
      </c>
      <c r="D608" s="110" t="s">
        <v>259</v>
      </c>
      <c r="E608" s="110" t="str">
        <f t="shared" si="26"/>
        <v>20110629LGUM_262</v>
      </c>
      <c r="F608" s="83">
        <v>16.29</v>
      </c>
      <c r="G608" s="83">
        <v>0.15</v>
      </c>
      <c r="H608" s="83">
        <v>3.65</v>
      </c>
      <c r="I608" s="83">
        <v>12.49</v>
      </c>
      <c r="J608" s="80" t="s">
        <v>544</v>
      </c>
    </row>
    <row r="609" spans="1:10">
      <c r="A609" s="80">
        <f t="shared" ref="A609:A672" si="27">A608</f>
        <v>20110629</v>
      </c>
      <c r="B609" s="110" t="s">
        <v>498</v>
      </c>
      <c r="C609" s="110" t="str">
        <f t="shared" si="25"/>
        <v>20110629RLS</v>
      </c>
      <c r="D609" s="110" t="s">
        <v>186</v>
      </c>
      <c r="E609" s="110" t="str">
        <f t="shared" si="26"/>
        <v>20110629LGUM_063</v>
      </c>
      <c r="F609" s="83">
        <v>16.29</v>
      </c>
      <c r="G609" s="83">
        <v>0.15</v>
      </c>
      <c r="H609" s="83">
        <v>3.65</v>
      </c>
      <c r="I609" s="83">
        <v>12.49</v>
      </c>
      <c r="J609" s="80" t="s">
        <v>545</v>
      </c>
    </row>
    <row r="610" spans="1:10">
      <c r="A610" s="80">
        <f t="shared" si="27"/>
        <v>20110629</v>
      </c>
      <c r="B610" s="110" t="s">
        <v>498</v>
      </c>
      <c r="C610" s="110" t="str">
        <f t="shared" si="25"/>
        <v>20110629RLS</v>
      </c>
      <c r="D610" s="110" t="s">
        <v>224</v>
      </c>
      <c r="E610" s="110" t="str">
        <f t="shared" si="26"/>
        <v>20110629LGUM_163</v>
      </c>
      <c r="F610" s="83">
        <v>16.29</v>
      </c>
      <c r="G610" s="83">
        <v>0.15</v>
      </c>
      <c r="H610" s="83">
        <v>3.65</v>
      </c>
      <c r="I610" s="83">
        <v>12.49</v>
      </c>
      <c r="J610" s="80" t="s">
        <v>545</v>
      </c>
    </row>
    <row r="611" spans="1:10">
      <c r="A611" s="80">
        <f t="shared" si="27"/>
        <v>20110629</v>
      </c>
      <c r="B611" s="110" t="s">
        <v>498</v>
      </c>
      <c r="C611" s="110" t="str">
        <f t="shared" si="25"/>
        <v>20110629RLS</v>
      </c>
      <c r="D611" s="110" t="s">
        <v>261</v>
      </c>
      <c r="E611" s="110" t="str">
        <f t="shared" si="26"/>
        <v>20110629LGUM_263</v>
      </c>
      <c r="F611" s="83">
        <v>16.29</v>
      </c>
      <c r="G611" s="83">
        <v>0.15</v>
      </c>
      <c r="H611" s="83">
        <v>3.65</v>
      </c>
      <c r="I611" s="83">
        <v>12.49</v>
      </c>
      <c r="J611" s="80" t="s">
        <v>545</v>
      </c>
    </row>
    <row r="612" spans="1:10">
      <c r="A612" s="80">
        <f t="shared" si="27"/>
        <v>20110629</v>
      </c>
      <c r="B612" s="110" t="s">
        <v>498</v>
      </c>
      <c r="C612" s="110" t="str">
        <f t="shared" si="25"/>
        <v>20110629RLS</v>
      </c>
      <c r="D612" s="110" t="s">
        <v>187</v>
      </c>
      <c r="E612" s="110" t="str">
        <f t="shared" si="26"/>
        <v>20110629LGUM_066</v>
      </c>
      <c r="F612" s="83">
        <v>27.08</v>
      </c>
      <c r="G612" s="83">
        <v>0.13</v>
      </c>
      <c r="H612" s="83">
        <v>2.2999999999999998</v>
      </c>
      <c r="I612" s="83">
        <v>24.65</v>
      </c>
      <c r="J612" s="80" t="s">
        <v>546</v>
      </c>
    </row>
    <row r="613" spans="1:10">
      <c r="A613" s="80">
        <f t="shared" si="27"/>
        <v>20110629</v>
      </c>
      <c r="B613" s="110" t="s">
        <v>498</v>
      </c>
      <c r="C613" s="110" t="str">
        <f t="shared" si="25"/>
        <v>20110629RLS</v>
      </c>
      <c r="D613" s="110" t="s">
        <v>225</v>
      </c>
      <c r="E613" s="110" t="str">
        <f t="shared" si="26"/>
        <v>20110629LGUM_166</v>
      </c>
      <c r="F613" s="83">
        <v>27.08</v>
      </c>
      <c r="G613" s="83">
        <v>0.13</v>
      </c>
      <c r="H613" s="83">
        <v>2.2999999999999998</v>
      </c>
      <c r="I613" s="83">
        <v>24.65</v>
      </c>
      <c r="J613" s="80" t="s">
        <v>546</v>
      </c>
    </row>
    <row r="614" spans="1:10">
      <c r="A614" s="80">
        <f t="shared" si="27"/>
        <v>20110629</v>
      </c>
      <c r="B614" s="110" t="s">
        <v>498</v>
      </c>
      <c r="C614" s="110" t="str">
        <f t="shared" si="25"/>
        <v>20110629RLS</v>
      </c>
      <c r="D614" s="110" t="s">
        <v>263</v>
      </c>
      <c r="E614" s="110" t="str">
        <f t="shared" si="26"/>
        <v>20110629LGUM_266</v>
      </c>
      <c r="F614" s="83">
        <v>27.08</v>
      </c>
      <c r="G614" s="83">
        <v>0.13</v>
      </c>
      <c r="H614" s="83">
        <v>2.2999999999999998</v>
      </c>
      <c r="I614" s="83">
        <v>24.65</v>
      </c>
      <c r="J614" s="80" t="s">
        <v>546</v>
      </c>
    </row>
    <row r="615" spans="1:10">
      <c r="A615" s="80">
        <f t="shared" si="27"/>
        <v>20110629</v>
      </c>
      <c r="B615" s="110" t="s">
        <v>498</v>
      </c>
      <c r="C615" s="110" t="str">
        <f t="shared" si="25"/>
        <v>20110629RLS</v>
      </c>
      <c r="D615" s="110" t="s">
        <v>188</v>
      </c>
      <c r="E615" s="110" t="str">
        <f t="shared" si="26"/>
        <v>20110629LGUM_067</v>
      </c>
      <c r="F615" s="83">
        <v>30.26</v>
      </c>
      <c r="G615" s="83">
        <v>0.15</v>
      </c>
      <c r="H615" s="83">
        <v>3.65</v>
      </c>
      <c r="I615" s="83">
        <v>26.460000000000004</v>
      </c>
      <c r="J615" s="80" t="s">
        <v>547</v>
      </c>
    </row>
    <row r="616" spans="1:10">
      <c r="A616" s="80">
        <f t="shared" si="27"/>
        <v>20110629</v>
      </c>
      <c r="B616" s="110" t="s">
        <v>498</v>
      </c>
      <c r="C616" s="110" t="str">
        <f t="shared" si="25"/>
        <v>20110629RLS</v>
      </c>
      <c r="D616" s="110" t="s">
        <v>226</v>
      </c>
      <c r="E616" s="110" t="str">
        <f t="shared" si="26"/>
        <v>20110629LGUM_167</v>
      </c>
      <c r="F616" s="83">
        <v>30.26</v>
      </c>
      <c r="G616" s="83">
        <v>0.15</v>
      </c>
      <c r="H616" s="83">
        <v>3.65</v>
      </c>
      <c r="I616" s="83">
        <v>26.460000000000004</v>
      </c>
      <c r="J616" s="80" t="s">
        <v>547</v>
      </c>
    </row>
    <row r="617" spans="1:10">
      <c r="A617" s="80">
        <f t="shared" si="27"/>
        <v>20110629</v>
      </c>
      <c r="B617" s="110" t="s">
        <v>498</v>
      </c>
      <c r="C617" s="110" t="str">
        <f t="shared" si="25"/>
        <v>20110629RLS</v>
      </c>
      <c r="D617" s="110" t="s">
        <v>264</v>
      </c>
      <c r="E617" s="110" t="str">
        <f t="shared" si="26"/>
        <v>20110629LGUM_267</v>
      </c>
      <c r="F617" s="83">
        <v>30.26</v>
      </c>
      <c r="G617" s="83">
        <v>0.15</v>
      </c>
      <c r="H617" s="83">
        <v>3.65</v>
      </c>
      <c r="I617" s="83">
        <v>26.460000000000004</v>
      </c>
      <c r="J617" s="80" t="s">
        <v>547</v>
      </c>
    </row>
    <row r="618" spans="1:10">
      <c r="A618" s="80">
        <f t="shared" si="27"/>
        <v>20110629</v>
      </c>
      <c r="B618" s="110" t="s">
        <v>498</v>
      </c>
      <c r="C618" s="110" t="str">
        <f t="shared" si="25"/>
        <v>20110629RLS</v>
      </c>
      <c r="D618" s="110" t="s">
        <v>189</v>
      </c>
      <c r="E618" s="110" t="str">
        <f t="shared" si="26"/>
        <v>20110629LGUM_072</v>
      </c>
      <c r="F618" s="83">
        <v>12.62</v>
      </c>
      <c r="G618" s="83">
        <v>0.13</v>
      </c>
      <c r="H618" s="83">
        <v>1.55</v>
      </c>
      <c r="I618" s="83">
        <v>10.939999999999998</v>
      </c>
      <c r="J618" s="80" t="s">
        <v>548</v>
      </c>
    </row>
    <row r="619" spans="1:10">
      <c r="A619" s="80">
        <f t="shared" si="27"/>
        <v>20110629</v>
      </c>
      <c r="B619" s="110" t="s">
        <v>498</v>
      </c>
      <c r="C619" s="110" t="str">
        <f t="shared" si="25"/>
        <v>20110629RLS</v>
      </c>
      <c r="D619" s="110" t="s">
        <v>227</v>
      </c>
      <c r="E619" s="110" t="str">
        <f t="shared" si="26"/>
        <v>20110629LGUM_172</v>
      </c>
      <c r="F619" s="83">
        <v>12.62</v>
      </c>
      <c r="G619" s="83">
        <v>0.13</v>
      </c>
      <c r="H619" s="83">
        <v>1.55</v>
      </c>
      <c r="I619" s="83">
        <v>10.939999999999998</v>
      </c>
      <c r="J619" s="80" t="s">
        <v>548</v>
      </c>
    </row>
    <row r="620" spans="1:10">
      <c r="A620" s="80">
        <f t="shared" si="27"/>
        <v>20110629</v>
      </c>
      <c r="B620" s="110" t="s">
        <v>498</v>
      </c>
      <c r="C620" s="110" t="str">
        <f t="shared" si="25"/>
        <v>20110629RLS</v>
      </c>
      <c r="D620" s="110" t="s">
        <v>265</v>
      </c>
      <c r="E620" s="110" t="str">
        <f t="shared" si="26"/>
        <v>20110629LGUM_272</v>
      </c>
      <c r="F620" s="83">
        <v>12.62</v>
      </c>
      <c r="G620" s="83">
        <v>0.13</v>
      </c>
      <c r="H620" s="83">
        <v>1.55</v>
      </c>
      <c r="I620" s="83">
        <v>10.939999999999998</v>
      </c>
      <c r="J620" s="80" t="s">
        <v>548</v>
      </c>
    </row>
    <row r="621" spans="1:10">
      <c r="A621" s="80">
        <f t="shared" si="27"/>
        <v>20110629</v>
      </c>
      <c r="B621" s="110" t="s">
        <v>498</v>
      </c>
      <c r="C621" s="110" t="str">
        <f t="shared" si="25"/>
        <v>20110629RLS</v>
      </c>
      <c r="D621" s="110" t="s">
        <v>190</v>
      </c>
      <c r="E621" s="110" t="str">
        <f t="shared" si="26"/>
        <v>20110629LGUM_073</v>
      </c>
      <c r="F621" s="83">
        <v>12.62</v>
      </c>
      <c r="G621" s="83">
        <v>0.13</v>
      </c>
      <c r="H621" s="83">
        <v>1.55</v>
      </c>
      <c r="I621" s="83">
        <v>10.939999999999998</v>
      </c>
      <c r="J621" s="80" t="s">
        <v>549</v>
      </c>
    </row>
    <row r="622" spans="1:10">
      <c r="A622" s="80">
        <f t="shared" si="27"/>
        <v>20110629</v>
      </c>
      <c r="B622" s="110" t="s">
        <v>498</v>
      </c>
      <c r="C622" s="110" t="str">
        <f t="shared" si="25"/>
        <v>20110629RLS</v>
      </c>
      <c r="D622" s="110" t="s">
        <v>228</v>
      </c>
      <c r="E622" s="110" t="str">
        <f t="shared" si="26"/>
        <v>20110629LGUM_173</v>
      </c>
      <c r="F622" s="83">
        <v>12.62</v>
      </c>
      <c r="G622" s="83">
        <v>0.13</v>
      </c>
      <c r="H622" s="83">
        <v>1.55</v>
      </c>
      <c r="I622" s="83">
        <v>10.939999999999998</v>
      </c>
      <c r="J622" s="80" t="s">
        <v>549</v>
      </c>
    </row>
    <row r="623" spans="1:10">
      <c r="A623" s="80">
        <f t="shared" si="27"/>
        <v>20110629</v>
      </c>
      <c r="B623" s="110" t="s">
        <v>498</v>
      </c>
      <c r="C623" s="110" t="str">
        <f t="shared" si="25"/>
        <v>20110629RLS</v>
      </c>
      <c r="D623" s="110" t="s">
        <v>391</v>
      </c>
      <c r="E623" s="110" t="str">
        <f t="shared" si="26"/>
        <v>20110629LGUM_273</v>
      </c>
      <c r="F623" s="83">
        <v>12.62</v>
      </c>
      <c r="G623" s="83">
        <v>0.13</v>
      </c>
      <c r="H623" s="83">
        <v>1.55</v>
      </c>
      <c r="I623" s="83">
        <v>10.939999999999998</v>
      </c>
      <c r="J623" s="80" t="s">
        <v>549</v>
      </c>
    </row>
    <row r="624" spans="1:10">
      <c r="A624" s="80">
        <f t="shared" si="27"/>
        <v>20110629</v>
      </c>
      <c r="B624" s="110" t="s">
        <v>498</v>
      </c>
      <c r="C624" s="110" t="str">
        <f t="shared" si="25"/>
        <v>20110629RLS</v>
      </c>
      <c r="D624" s="110" t="s">
        <v>191</v>
      </c>
      <c r="E624" s="110" t="str">
        <f t="shared" si="26"/>
        <v>20110629LGUM_074</v>
      </c>
      <c r="F624" s="83">
        <v>17.64</v>
      </c>
      <c r="G624" s="83">
        <v>0.14000000000000001</v>
      </c>
      <c r="H624" s="83">
        <v>1.07</v>
      </c>
      <c r="I624" s="83">
        <v>16.43</v>
      </c>
      <c r="J624" s="80" t="s">
        <v>550</v>
      </c>
    </row>
    <row r="625" spans="1:10">
      <c r="A625" s="80">
        <f t="shared" si="27"/>
        <v>20110629</v>
      </c>
      <c r="B625" s="110" t="s">
        <v>498</v>
      </c>
      <c r="C625" s="110" t="str">
        <f t="shared" ref="C625:C688" si="28">A625&amp;B625</f>
        <v>20110629RLS</v>
      </c>
      <c r="D625" s="110" t="s">
        <v>229</v>
      </c>
      <c r="E625" s="110" t="str">
        <f t="shared" ref="E625:E688" si="29">A625&amp;D625</f>
        <v>20110629LGUM_174</v>
      </c>
      <c r="F625" s="83">
        <v>17.64</v>
      </c>
      <c r="G625" s="83">
        <v>0.14000000000000001</v>
      </c>
      <c r="H625" s="83">
        <v>1.07</v>
      </c>
      <c r="I625" s="83">
        <v>16.43</v>
      </c>
      <c r="J625" s="80" t="s">
        <v>550</v>
      </c>
    </row>
    <row r="626" spans="1:10">
      <c r="A626" s="80">
        <f t="shared" si="27"/>
        <v>20110629</v>
      </c>
      <c r="B626" s="110" t="s">
        <v>498</v>
      </c>
      <c r="C626" s="110" t="str">
        <f t="shared" si="28"/>
        <v>20110629RLS</v>
      </c>
      <c r="D626" s="110" t="s">
        <v>267</v>
      </c>
      <c r="E626" s="110" t="str">
        <f t="shared" si="29"/>
        <v>20110629LGUM_274</v>
      </c>
      <c r="F626" s="83">
        <v>17.64</v>
      </c>
      <c r="G626" s="83">
        <v>0.14000000000000001</v>
      </c>
      <c r="H626" s="83">
        <v>1.07</v>
      </c>
      <c r="I626" s="83">
        <v>16.43</v>
      </c>
      <c r="J626" s="80" t="s">
        <v>550</v>
      </c>
    </row>
    <row r="627" spans="1:10">
      <c r="A627" s="80">
        <f t="shared" si="27"/>
        <v>20110629</v>
      </c>
      <c r="B627" s="110" t="s">
        <v>498</v>
      </c>
      <c r="C627" s="110" t="str">
        <f t="shared" si="28"/>
        <v>20110629RLS</v>
      </c>
      <c r="D627" s="110" t="s">
        <v>192</v>
      </c>
      <c r="E627" s="110" t="str">
        <f t="shared" si="29"/>
        <v>20110629LGUM_075</v>
      </c>
      <c r="F627" s="83">
        <v>23.51</v>
      </c>
      <c r="G627" s="83">
        <v>0.13</v>
      </c>
      <c r="H627" s="83">
        <v>1.48</v>
      </c>
      <c r="I627" s="83">
        <v>21.900000000000002</v>
      </c>
      <c r="J627" s="80" t="s">
        <v>548</v>
      </c>
    </row>
    <row r="628" spans="1:10">
      <c r="A628" s="80">
        <f t="shared" si="27"/>
        <v>20110629</v>
      </c>
      <c r="B628" s="110" t="s">
        <v>498</v>
      </c>
      <c r="C628" s="110" t="str">
        <f t="shared" si="28"/>
        <v>20110629RLS</v>
      </c>
      <c r="D628" s="110" t="s">
        <v>230</v>
      </c>
      <c r="E628" s="110" t="str">
        <f t="shared" si="29"/>
        <v>20110629LGUM_175</v>
      </c>
      <c r="F628" s="83">
        <v>23.51</v>
      </c>
      <c r="G628" s="83">
        <v>0.13</v>
      </c>
      <c r="H628" s="83">
        <v>1.48</v>
      </c>
      <c r="I628" s="83">
        <v>21.900000000000002</v>
      </c>
      <c r="J628" s="80" t="s">
        <v>548</v>
      </c>
    </row>
    <row r="629" spans="1:10">
      <c r="A629" s="80">
        <f t="shared" si="27"/>
        <v>20110629</v>
      </c>
      <c r="B629" s="110" t="s">
        <v>498</v>
      </c>
      <c r="C629" s="110" t="str">
        <f t="shared" si="28"/>
        <v>20110629RLS</v>
      </c>
      <c r="D629" s="110" t="s">
        <v>392</v>
      </c>
      <c r="E629" s="110" t="str">
        <f t="shared" si="29"/>
        <v>20110629LGUM_275</v>
      </c>
      <c r="F629" s="83">
        <v>23.51</v>
      </c>
      <c r="G629" s="83">
        <v>0.13</v>
      </c>
      <c r="H629" s="83">
        <v>1.48</v>
      </c>
      <c r="I629" s="83">
        <v>21.900000000000002</v>
      </c>
      <c r="J629" s="80" t="s">
        <v>548</v>
      </c>
    </row>
    <row r="630" spans="1:10">
      <c r="A630" s="80">
        <f t="shared" si="27"/>
        <v>20110629</v>
      </c>
      <c r="B630" s="110" t="s">
        <v>498</v>
      </c>
      <c r="C630" s="110" t="str">
        <f t="shared" si="28"/>
        <v>20110629RLS</v>
      </c>
      <c r="D630" s="110" t="s">
        <v>193</v>
      </c>
      <c r="E630" s="110" t="str">
        <f t="shared" si="29"/>
        <v>20110629LGUM_076</v>
      </c>
      <c r="F630" s="83">
        <v>13.27</v>
      </c>
      <c r="G630" s="83">
        <v>0.13</v>
      </c>
      <c r="H630" s="83">
        <v>0.74</v>
      </c>
      <c r="I630" s="83">
        <v>12.399999999999999</v>
      </c>
      <c r="J630" s="80" t="s">
        <v>551</v>
      </c>
    </row>
    <row r="631" spans="1:10">
      <c r="A631" s="80">
        <f t="shared" si="27"/>
        <v>20110629</v>
      </c>
      <c r="B631" s="110" t="s">
        <v>498</v>
      </c>
      <c r="C631" s="110" t="str">
        <f t="shared" si="28"/>
        <v>20110629RLS</v>
      </c>
      <c r="D631" s="110" t="s">
        <v>231</v>
      </c>
      <c r="E631" s="110" t="str">
        <f t="shared" si="29"/>
        <v>20110629LGUM_176</v>
      </c>
      <c r="F631" s="83">
        <v>13.27</v>
      </c>
      <c r="G631" s="83">
        <v>0.13</v>
      </c>
      <c r="H631" s="83">
        <v>0.74</v>
      </c>
      <c r="I631" s="83">
        <v>12.399999999999999</v>
      </c>
      <c r="J631" s="80" t="s">
        <v>551</v>
      </c>
    </row>
    <row r="632" spans="1:10">
      <c r="A632" s="80">
        <f t="shared" si="27"/>
        <v>20110629</v>
      </c>
      <c r="B632" s="110" t="s">
        <v>498</v>
      </c>
      <c r="C632" s="110" t="str">
        <f t="shared" si="28"/>
        <v>20110629RLS</v>
      </c>
      <c r="D632" s="110" t="s">
        <v>268</v>
      </c>
      <c r="E632" s="110" t="str">
        <f t="shared" si="29"/>
        <v>20110629LGUM_276</v>
      </c>
      <c r="F632" s="83">
        <v>13.27</v>
      </c>
      <c r="G632" s="83">
        <v>0.13</v>
      </c>
      <c r="H632" s="83">
        <v>0.74</v>
      </c>
      <c r="I632" s="83">
        <v>12.399999999999999</v>
      </c>
      <c r="J632" s="80" t="s">
        <v>551</v>
      </c>
    </row>
    <row r="633" spans="1:10">
      <c r="A633" s="80">
        <f t="shared" si="27"/>
        <v>20110629</v>
      </c>
      <c r="B633" s="110" t="s">
        <v>498</v>
      </c>
      <c r="C633" s="110" t="str">
        <f t="shared" si="28"/>
        <v>20110629RLS</v>
      </c>
      <c r="D633" s="110" t="s">
        <v>194</v>
      </c>
      <c r="E633" s="110" t="str">
        <f t="shared" si="29"/>
        <v>20110629LGUM_077</v>
      </c>
      <c r="F633" s="83">
        <v>21.07</v>
      </c>
      <c r="G633" s="83">
        <v>0.13</v>
      </c>
      <c r="H633" s="83">
        <v>1.48</v>
      </c>
      <c r="I633" s="83">
        <v>19.46</v>
      </c>
      <c r="J633" s="80" t="s">
        <v>552</v>
      </c>
    </row>
    <row r="634" spans="1:10">
      <c r="A634" s="80">
        <f t="shared" si="27"/>
        <v>20110629</v>
      </c>
      <c r="B634" s="110" t="s">
        <v>498</v>
      </c>
      <c r="C634" s="110" t="str">
        <f t="shared" si="28"/>
        <v>20110629RLS</v>
      </c>
      <c r="D634" s="110" t="s">
        <v>232</v>
      </c>
      <c r="E634" s="110" t="str">
        <f t="shared" si="29"/>
        <v>20110629LGUM_177</v>
      </c>
      <c r="F634" s="83">
        <v>21.07</v>
      </c>
      <c r="G634" s="83">
        <v>0.13</v>
      </c>
      <c r="H634" s="83">
        <v>1.48</v>
      </c>
      <c r="I634" s="83">
        <v>19.46</v>
      </c>
      <c r="J634" s="80" t="s">
        <v>552</v>
      </c>
    </row>
    <row r="635" spans="1:10">
      <c r="A635" s="80">
        <f t="shared" si="27"/>
        <v>20110629</v>
      </c>
      <c r="B635" s="110" t="s">
        <v>498</v>
      </c>
      <c r="C635" s="110" t="str">
        <f t="shared" si="28"/>
        <v>20110629RLS</v>
      </c>
      <c r="D635" s="110" t="s">
        <v>269</v>
      </c>
      <c r="E635" s="110" t="str">
        <f t="shared" si="29"/>
        <v>20110629LGUM_277</v>
      </c>
      <c r="F635" s="83">
        <v>21.07</v>
      </c>
      <c r="G635" s="83">
        <v>0.13</v>
      </c>
      <c r="H635" s="83">
        <v>1.48</v>
      </c>
      <c r="I635" s="83">
        <v>19.46</v>
      </c>
      <c r="J635" s="80" t="s">
        <v>552</v>
      </c>
    </row>
    <row r="636" spans="1:10">
      <c r="A636" s="80">
        <f t="shared" si="27"/>
        <v>20110629</v>
      </c>
      <c r="B636" s="110" t="s">
        <v>498</v>
      </c>
      <c r="C636" s="110" t="str">
        <f t="shared" si="28"/>
        <v>20110629RLS</v>
      </c>
      <c r="D636" s="110" t="s">
        <v>553</v>
      </c>
      <c r="E636" s="110" t="str">
        <f t="shared" si="29"/>
        <v>20110629LGUM_078</v>
      </c>
      <c r="F636" s="83">
        <v>67.760000000000005</v>
      </c>
      <c r="G636" s="83">
        <v>0.26</v>
      </c>
      <c r="H636" s="83">
        <v>8.14</v>
      </c>
      <c r="I636" s="83">
        <v>59.36</v>
      </c>
      <c r="J636" s="80" t="s">
        <v>554</v>
      </c>
    </row>
    <row r="637" spans="1:10">
      <c r="A637" s="80">
        <f t="shared" si="27"/>
        <v>20110629</v>
      </c>
      <c r="B637" s="110" t="s">
        <v>498</v>
      </c>
      <c r="C637" s="110" t="str">
        <f t="shared" si="28"/>
        <v>20110629RLS</v>
      </c>
      <c r="D637" s="110" t="s">
        <v>233</v>
      </c>
      <c r="E637" s="110" t="str">
        <f t="shared" si="29"/>
        <v>20110629LGUM_178</v>
      </c>
      <c r="F637" s="83">
        <v>67.760000000000005</v>
      </c>
      <c r="G637" s="83">
        <v>0.26</v>
      </c>
      <c r="H637" s="83">
        <v>8.14</v>
      </c>
      <c r="I637" s="83">
        <v>59.36</v>
      </c>
      <c r="J637" s="80" t="s">
        <v>554</v>
      </c>
    </row>
    <row r="638" spans="1:10">
      <c r="A638" s="80">
        <f t="shared" si="27"/>
        <v>20110629</v>
      </c>
      <c r="B638" s="110" t="s">
        <v>498</v>
      </c>
      <c r="C638" s="110" t="str">
        <f t="shared" si="28"/>
        <v>20110629RLS</v>
      </c>
      <c r="D638" s="110" t="s">
        <v>393</v>
      </c>
      <c r="E638" s="110" t="str">
        <f t="shared" si="29"/>
        <v>20110629LGUM_278</v>
      </c>
      <c r="F638" s="83">
        <v>67.760000000000005</v>
      </c>
      <c r="G638" s="83">
        <v>0.26</v>
      </c>
      <c r="H638" s="83">
        <v>8.14</v>
      </c>
      <c r="I638" s="83">
        <v>59.36</v>
      </c>
      <c r="J638" s="80" t="s">
        <v>554</v>
      </c>
    </row>
    <row r="639" spans="1:10">
      <c r="A639" s="80">
        <f t="shared" si="27"/>
        <v>20110629</v>
      </c>
      <c r="B639" s="110" t="s">
        <v>498</v>
      </c>
      <c r="C639" s="110" t="str">
        <f t="shared" si="28"/>
        <v>20110629RLS</v>
      </c>
      <c r="D639" s="110" t="s">
        <v>555</v>
      </c>
      <c r="E639" s="110" t="str">
        <f t="shared" si="29"/>
        <v>20110629LGUM_079</v>
      </c>
      <c r="F639" s="83">
        <v>37.979999999999997</v>
      </c>
      <c r="G639" s="83">
        <v>0.26</v>
      </c>
      <c r="H639" s="83">
        <v>8.14</v>
      </c>
      <c r="I639" s="83">
        <v>29.58</v>
      </c>
      <c r="J639" s="80" t="s">
        <v>556</v>
      </c>
    </row>
    <row r="640" spans="1:10">
      <c r="A640" s="80">
        <f t="shared" si="27"/>
        <v>20110629</v>
      </c>
      <c r="B640" s="110" t="s">
        <v>498</v>
      </c>
      <c r="C640" s="110" t="str">
        <f t="shared" si="28"/>
        <v>20110629RLS</v>
      </c>
      <c r="D640" s="110" t="s">
        <v>234</v>
      </c>
      <c r="E640" s="110" t="str">
        <f t="shared" si="29"/>
        <v>20110629LGUM_179</v>
      </c>
      <c r="F640" s="83">
        <v>37.979999999999997</v>
      </c>
      <c r="G640" s="83">
        <v>0.26</v>
      </c>
      <c r="H640" s="83">
        <v>8.14</v>
      </c>
      <c r="I640" s="83">
        <v>29.58</v>
      </c>
      <c r="J640" s="80" t="s">
        <v>556</v>
      </c>
    </row>
    <row r="641" spans="1:10">
      <c r="A641" s="80">
        <f t="shared" si="27"/>
        <v>20110629</v>
      </c>
      <c r="B641" s="110" t="s">
        <v>498</v>
      </c>
      <c r="C641" s="110" t="str">
        <f t="shared" si="28"/>
        <v>20110629RLS</v>
      </c>
      <c r="D641" s="110" t="s">
        <v>394</v>
      </c>
      <c r="E641" s="110" t="str">
        <f t="shared" si="29"/>
        <v>20110629LGUM_279</v>
      </c>
      <c r="F641" s="83">
        <v>37.979999999999997</v>
      </c>
      <c r="G641" s="83">
        <v>0.26</v>
      </c>
      <c r="H641" s="83">
        <v>8.14</v>
      </c>
      <c r="I641" s="83">
        <v>29.58</v>
      </c>
      <c r="J641" s="80" t="s">
        <v>556</v>
      </c>
    </row>
    <row r="642" spans="1:10">
      <c r="A642" s="80">
        <f t="shared" si="27"/>
        <v>20110629</v>
      </c>
      <c r="B642" s="110" t="s">
        <v>498</v>
      </c>
      <c r="C642" s="110" t="str">
        <f t="shared" si="28"/>
        <v>20110629RLS</v>
      </c>
      <c r="D642" s="110" t="s">
        <v>557</v>
      </c>
      <c r="E642" s="110" t="str">
        <f t="shared" si="29"/>
        <v>20110629LGUM_080</v>
      </c>
      <c r="F642" s="83">
        <v>18.420000000000002</v>
      </c>
      <c r="G642" s="83">
        <v>0.13</v>
      </c>
      <c r="H642" s="83">
        <v>0.74</v>
      </c>
      <c r="I642" s="83">
        <v>17.550000000000004</v>
      </c>
      <c r="J642" s="80" t="s">
        <v>558</v>
      </c>
    </row>
    <row r="643" spans="1:10">
      <c r="A643" s="80">
        <f t="shared" si="27"/>
        <v>20110629</v>
      </c>
      <c r="B643" s="110" t="s">
        <v>498</v>
      </c>
      <c r="C643" s="110" t="str">
        <f t="shared" si="28"/>
        <v>20110629RLS</v>
      </c>
      <c r="D643" s="110" t="s">
        <v>235</v>
      </c>
      <c r="E643" s="110" t="str">
        <f t="shared" si="29"/>
        <v>20110629LGUM_180</v>
      </c>
      <c r="F643" s="83">
        <v>18.420000000000002</v>
      </c>
      <c r="G643" s="83">
        <v>0.13</v>
      </c>
      <c r="H643" s="83">
        <v>0.74</v>
      </c>
      <c r="I643" s="83">
        <v>17.550000000000004</v>
      </c>
      <c r="J643" s="80" t="s">
        <v>558</v>
      </c>
    </row>
    <row r="644" spans="1:10">
      <c r="A644" s="80">
        <f t="shared" si="27"/>
        <v>20110629</v>
      </c>
      <c r="B644" s="110" t="s">
        <v>498</v>
      </c>
      <c r="C644" s="110" t="str">
        <f t="shared" si="28"/>
        <v>20110629RLS</v>
      </c>
      <c r="D644" s="110" t="s">
        <v>398</v>
      </c>
      <c r="E644" s="110" t="str">
        <f t="shared" si="29"/>
        <v>20110629LGUM_280</v>
      </c>
      <c r="F644" s="83">
        <v>18.420000000000002</v>
      </c>
      <c r="G644" s="83">
        <v>0.13</v>
      </c>
      <c r="H644" s="83">
        <v>0.74</v>
      </c>
      <c r="I644" s="83">
        <v>17.550000000000004</v>
      </c>
      <c r="J644" s="80" t="s">
        <v>558</v>
      </c>
    </row>
    <row r="645" spans="1:10">
      <c r="A645" s="80">
        <f t="shared" si="27"/>
        <v>20110629</v>
      </c>
      <c r="B645" s="110" t="s">
        <v>498</v>
      </c>
      <c r="C645" s="110" t="str">
        <f t="shared" si="28"/>
        <v>20110629RLS</v>
      </c>
      <c r="D645" s="110" t="s">
        <v>375</v>
      </c>
      <c r="E645" s="110" t="str">
        <f t="shared" si="29"/>
        <v>20110629LGUM_081</v>
      </c>
      <c r="F645" s="83">
        <v>19.440000000000001</v>
      </c>
      <c r="G645" s="83">
        <v>0.14000000000000001</v>
      </c>
      <c r="H645" s="83">
        <v>1.07</v>
      </c>
      <c r="I645" s="83">
        <v>18.23</v>
      </c>
      <c r="J645" s="80" t="s">
        <v>559</v>
      </c>
    </row>
    <row r="646" spans="1:10">
      <c r="A646" s="80">
        <f t="shared" si="27"/>
        <v>20110629</v>
      </c>
      <c r="B646" s="110" t="s">
        <v>498</v>
      </c>
      <c r="C646" s="110" t="str">
        <f t="shared" si="28"/>
        <v>20110629RLS</v>
      </c>
      <c r="D646" s="110" t="s">
        <v>236</v>
      </c>
      <c r="E646" s="110" t="str">
        <f t="shared" si="29"/>
        <v>20110629LGUM_181</v>
      </c>
      <c r="F646" s="83">
        <v>19.440000000000001</v>
      </c>
      <c r="G646" s="83">
        <v>0.14000000000000001</v>
      </c>
      <c r="H646" s="83">
        <v>1.07</v>
      </c>
      <c r="I646" s="83">
        <v>18.23</v>
      </c>
      <c r="J646" s="80" t="s">
        <v>559</v>
      </c>
    </row>
    <row r="647" spans="1:10">
      <c r="A647" s="80">
        <f t="shared" si="27"/>
        <v>20110629</v>
      </c>
      <c r="B647" s="110" t="s">
        <v>498</v>
      </c>
      <c r="C647" s="110" t="str">
        <f t="shared" si="28"/>
        <v>20110629RLS</v>
      </c>
      <c r="D647" s="110" t="s">
        <v>395</v>
      </c>
      <c r="E647" s="110" t="str">
        <f t="shared" si="29"/>
        <v>20110629LGUM_281</v>
      </c>
      <c r="F647" s="83">
        <v>19.440000000000001</v>
      </c>
      <c r="G647" s="83">
        <v>0.14000000000000001</v>
      </c>
      <c r="H647" s="83">
        <v>1.07</v>
      </c>
      <c r="I647" s="83">
        <v>18.23</v>
      </c>
      <c r="J647" s="80" t="s">
        <v>559</v>
      </c>
    </row>
    <row r="648" spans="1:10">
      <c r="A648" s="80">
        <f t="shared" si="27"/>
        <v>20110629</v>
      </c>
      <c r="B648" s="110" t="s">
        <v>498</v>
      </c>
      <c r="C648" s="110" t="str">
        <f t="shared" si="28"/>
        <v>20110629RLS</v>
      </c>
      <c r="D648" s="110" t="s">
        <v>195</v>
      </c>
      <c r="E648" s="110" t="str">
        <f t="shared" si="29"/>
        <v>20110629LGUM_082</v>
      </c>
      <c r="F648" s="83">
        <v>18.600000000000001</v>
      </c>
      <c r="G648" s="83">
        <v>0.13</v>
      </c>
      <c r="H648" s="83">
        <v>0.74</v>
      </c>
      <c r="I648" s="83">
        <v>17.730000000000004</v>
      </c>
      <c r="J648" s="80" t="s">
        <v>560</v>
      </c>
    </row>
    <row r="649" spans="1:10">
      <c r="A649" s="80">
        <f t="shared" si="27"/>
        <v>20110629</v>
      </c>
      <c r="B649" s="110" t="s">
        <v>498</v>
      </c>
      <c r="C649" s="110" t="str">
        <f t="shared" si="28"/>
        <v>20110629RLS</v>
      </c>
      <c r="D649" s="110" t="s">
        <v>237</v>
      </c>
      <c r="E649" s="110" t="str">
        <f t="shared" si="29"/>
        <v>20110629LGUM_182</v>
      </c>
      <c r="F649" s="83">
        <v>18.600000000000001</v>
      </c>
      <c r="G649" s="83">
        <v>0.13</v>
      </c>
      <c r="H649" s="83">
        <v>0.74</v>
      </c>
      <c r="I649" s="83">
        <v>17.730000000000004</v>
      </c>
      <c r="J649" s="80" t="s">
        <v>560</v>
      </c>
    </row>
    <row r="650" spans="1:10">
      <c r="A650" s="80">
        <f t="shared" si="27"/>
        <v>20110629</v>
      </c>
      <c r="B650" s="110" t="s">
        <v>498</v>
      </c>
      <c r="C650" s="110" t="str">
        <f t="shared" si="28"/>
        <v>20110629RLS</v>
      </c>
      <c r="D650" s="110" t="s">
        <v>396</v>
      </c>
      <c r="E650" s="110" t="str">
        <f t="shared" si="29"/>
        <v>20110629LGUM_282</v>
      </c>
      <c r="F650" s="83">
        <v>18.600000000000001</v>
      </c>
      <c r="G650" s="83">
        <v>0.13</v>
      </c>
      <c r="H650" s="83">
        <v>0.74</v>
      </c>
      <c r="I650" s="83">
        <v>17.730000000000004</v>
      </c>
      <c r="J650" s="80" t="s">
        <v>560</v>
      </c>
    </row>
    <row r="651" spans="1:10">
      <c r="A651" s="80">
        <f t="shared" si="27"/>
        <v>20110629</v>
      </c>
      <c r="B651" s="110" t="s">
        <v>498</v>
      </c>
      <c r="C651" s="110" t="str">
        <f t="shared" si="28"/>
        <v>20110629RLS</v>
      </c>
      <c r="D651" s="110" t="s">
        <v>561</v>
      </c>
      <c r="E651" s="110" t="str">
        <f t="shared" si="29"/>
        <v>20110629LGUM_083</v>
      </c>
      <c r="F651" s="83">
        <v>19.64</v>
      </c>
      <c r="G651" s="83">
        <v>0.14000000000000001</v>
      </c>
      <c r="H651" s="83">
        <v>1.07</v>
      </c>
      <c r="I651" s="83">
        <v>18.43</v>
      </c>
      <c r="J651" s="80" t="s">
        <v>562</v>
      </c>
    </row>
    <row r="652" spans="1:10">
      <c r="A652" s="80">
        <f t="shared" si="27"/>
        <v>20110629</v>
      </c>
      <c r="B652" s="110" t="s">
        <v>498</v>
      </c>
      <c r="C652" s="110" t="str">
        <f t="shared" si="28"/>
        <v>20110629RLS</v>
      </c>
      <c r="D652" s="110" t="s">
        <v>238</v>
      </c>
      <c r="E652" s="110" t="str">
        <f t="shared" si="29"/>
        <v>20110629LGUM_183</v>
      </c>
      <c r="F652" s="83">
        <v>19.64</v>
      </c>
      <c r="G652" s="83">
        <v>0.14000000000000001</v>
      </c>
      <c r="H652" s="83">
        <v>1.07</v>
      </c>
      <c r="I652" s="83">
        <v>18.43</v>
      </c>
      <c r="J652" s="80" t="s">
        <v>562</v>
      </c>
    </row>
    <row r="653" spans="1:10">
      <c r="A653" s="80">
        <f t="shared" si="27"/>
        <v>20110629</v>
      </c>
      <c r="B653" s="110" t="s">
        <v>498</v>
      </c>
      <c r="C653" s="110" t="str">
        <f t="shared" si="28"/>
        <v>20110629RLS</v>
      </c>
      <c r="D653" s="110" t="s">
        <v>397</v>
      </c>
      <c r="E653" s="110" t="str">
        <f t="shared" si="29"/>
        <v>20110629LGUM_283</v>
      </c>
      <c r="F653" s="83">
        <v>19.64</v>
      </c>
      <c r="G653" s="83">
        <v>0.14000000000000001</v>
      </c>
      <c r="H653" s="83">
        <v>1.07</v>
      </c>
      <c r="I653" s="83">
        <v>18.43</v>
      </c>
      <c r="J653" s="80" t="s">
        <v>562</v>
      </c>
    </row>
    <row r="654" spans="1:10">
      <c r="A654" s="80">
        <f t="shared" si="27"/>
        <v>20110629</v>
      </c>
      <c r="B654" s="110" t="s">
        <v>498</v>
      </c>
      <c r="C654" s="110" t="str">
        <f t="shared" si="28"/>
        <v>20110629RLS</v>
      </c>
      <c r="D654" s="110" t="s">
        <v>270</v>
      </c>
      <c r="E654" s="110" t="str">
        <f t="shared" si="29"/>
        <v>20110629LGUM_301</v>
      </c>
      <c r="F654" s="83">
        <v>7.23</v>
      </c>
      <c r="G654" s="83">
        <v>0.14000000000000001</v>
      </c>
      <c r="H654" s="83">
        <v>0.92</v>
      </c>
      <c r="I654" s="83">
        <v>6.1700000000000008</v>
      </c>
      <c r="J654" s="80" t="s">
        <v>499</v>
      </c>
    </row>
    <row r="655" spans="1:10">
      <c r="A655" s="80">
        <f t="shared" si="27"/>
        <v>20110629</v>
      </c>
      <c r="B655" s="110" t="s">
        <v>498</v>
      </c>
      <c r="C655" s="110" t="str">
        <f t="shared" si="28"/>
        <v>20110629RLS</v>
      </c>
      <c r="D655" s="110" t="s">
        <v>271</v>
      </c>
      <c r="E655" s="110" t="str">
        <f t="shared" si="29"/>
        <v>20110629LGUM_302</v>
      </c>
      <c r="F655" s="83">
        <v>8.36</v>
      </c>
      <c r="G655" s="83">
        <v>0.1</v>
      </c>
      <c r="H655" s="83">
        <v>1.55</v>
      </c>
      <c r="I655" s="83">
        <v>6.71</v>
      </c>
      <c r="J655" s="80" t="s">
        <v>500</v>
      </c>
    </row>
    <row r="656" spans="1:10">
      <c r="A656" s="80">
        <f t="shared" si="27"/>
        <v>20110629</v>
      </c>
      <c r="B656" s="110" t="s">
        <v>498</v>
      </c>
      <c r="C656" s="110" t="str">
        <f t="shared" si="28"/>
        <v>20110629RLS</v>
      </c>
      <c r="D656" s="110" t="s">
        <v>272</v>
      </c>
      <c r="E656" s="110" t="str">
        <f t="shared" si="29"/>
        <v>20110629LGUM_303</v>
      </c>
      <c r="F656" s="83">
        <v>9.73</v>
      </c>
      <c r="G656" s="83">
        <v>0.13</v>
      </c>
      <c r="H656" s="83">
        <v>2.2000000000000002</v>
      </c>
      <c r="I656" s="83">
        <v>7.3999999999999995</v>
      </c>
      <c r="J656" s="80" t="s">
        <v>501</v>
      </c>
    </row>
    <row r="657" spans="1:10">
      <c r="A657" s="80">
        <f t="shared" si="27"/>
        <v>20110629</v>
      </c>
      <c r="B657" s="110" t="s">
        <v>498</v>
      </c>
      <c r="C657" s="110" t="str">
        <f t="shared" si="28"/>
        <v>20110629RLS</v>
      </c>
      <c r="D657" s="110" t="s">
        <v>273</v>
      </c>
      <c r="E657" s="110" t="str">
        <f t="shared" si="29"/>
        <v>20110629LGUM_304</v>
      </c>
      <c r="F657" s="83">
        <v>11.88</v>
      </c>
      <c r="G657" s="83">
        <v>0.15</v>
      </c>
      <c r="H657" s="83">
        <v>3.41</v>
      </c>
      <c r="I657" s="83">
        <v>8.32</v>
      </c>
      <c r="J657" s="80" t="s">
        <v>502</v>
      </c>
    </row>
    <row r="658" spans="1:10">
      <c r="A658" s="80">
        <f t="shared" si="27"/>
        <v>20110629</v>
      </c>
      <c r="B658" s="110" t="s">
        <v>498</v>
      </c>
      <c r="C658" s="110" t="str">
        <f t="shared" si="28"/>
        <v>20110629RLS</v>
      </c>
      <c r="D658" s="110" t="s">
        <v>275</v>
      </c>
      <c r="E658" s="110" t="str">
        <f t="shared" si="29"/>
        <v>20110629LGUM_305</v>
      </c>
      <c r="F658" s="83">
        <v>9.66</v>
      </c>
      <c r="G658" s="83">
        <v>0.14000000000000001</v>
      </c>
      <c r="H658" s="83">
        <v>1.07</v>
      </c>
      <c r="I658" s="83">
        <v>8.4499999999999993</v>
      </c>
      <c r="J658" s="80" t="s">
        <v>503</v>
      </c>
    </row>
    <row r="659" spans="1:10">
      <c r="A659" s="80">
        <f t="shared" si="27"/>
        <v>20110629</v>
      </c>
      <c r="B659" s="110" t="s">
        <v>498</v>
      </c>
      <c r="C659" s="110" t="str">
        <f t="shared" si="28"/>
        <v>20110629RLS</v>
      </c>
      <c r="D659" s="110" t="s">
        <v>276</v>
      </c>
      <c r="E659" s="110" t="str">
        <f t="shared" si="29"/>
        <v>20110629LGUM_306</v>
      </c>
      <c r="F659" s="83">
        <v>11.23</v>
      </c>
      <c r="G659" s="83">
        <v>0.14000000000000001</v>
      </c>
      <c r="H659" s="83">
        <v>0.92</v>
      </c>
      <c r="I659" s="83">
        <v>10.17</v>
      </c>
      <c r="J659" s="80" t="s">
        <v>563</v>
      </c>
    </row>
    <row r="660" spans="1:10">
      <c r="A660" s="80">
        <f t="shared" si="27"/>
        <v>20110629</v>
      </c>
      <c r="B660" s="110" t="s">
        <v>498</v>
      </c>
      <c r="C660" s="110" t="str">
        <f t="shared" si="28"/>
        <v>20110629RLS</v>
      </c>
      <c r="D660" s="110" t="s">
        <v>277</v>
      </c>
      <c r="E660" s="110" t="str">
        <f t="shared" si="29"/>
        <v>20110629LGUM_307</v>
      </c>
      <c r="F660" s="83">
        <v>16.39</v>
      </c>
      <c r="G660" s="83">
        <v>0.15</v>
      </c>
      <c r="H660" s="83">
        <v>3.41</v>
      </c>
      <c r="I660" s="83">
        <v>12.830000000000002</v>
      </c>
      <c r="J660" s="80" t="s">
        <v>564</v>
      </c>
    </row>
    <row r="661" spans="1:10">
      <c r="A661" s="80">
        <f t="shared" si="27"/>
        <v>20110629</v>
      </c>
      <c r="B661" s="110" t="s">
        <v>498</v>
      </c>
      <c r="C661" s="110" t="str">
        <f t="shared" si="28"/>
        <v>20110629RLS</v>
      </c>
      <c r="D661" s="110" t="s">
        <v>278</v>
      </c>
      <c r="E661" s="110" t="str">
        <f t="shared" si="29"/>
        <v>20110629LGUM_308</v>
      </c>
      <c r="F661" s="83">
        <v>12.26</v>
      </c>
      <c r="G661" s="83">
        <v>0.1</v>
      </c>
      <c r="H661" s="83">
        <v>1.55</v>
      </c>
      <c r="I661" s="83">
        <v>10.61</v>
      </c>
      <c r="J661" s="80" t="s">
        <v>681</v>
      </c>
    </row>
    <row r="662" spans="1:10">
      <c r="A662" s="80">
        <f t="shared" si="27"/>
        <v>20110629</v>
      </c>
      <c r="B662" s="110" t="s">
        <v>498</v>
      </c>
      <c r="C662" s="110" t="str">
        <f t="shared" si="28"/>
        <v>20110629RLS</v>
      </c>
      <c r="D662" s="110" t="s">
        <v>279</v>
      </c>
      <c r="E662" s="110" t="str">
        <f t="shared" si="29"/>
        <v>20110629LGUM_309</v>
      </c>
      <c r="F662" s="83">
        <v>22.7</v>
      </c>
      <c r="G662" s="83">
        <v>0.26</v>
      </c>
      <c r="H662" s="83">
        <v>8.16</v>
      </c>
      <c r="I662" s="83">
        <v>14.279999999999998</v>
      </c>
      <c r="J662" s="80" t="s">
        <v>509</v>
      </c>
    </row>
    <row r="663" spans="1:10">
      <c r="A663" s="80">
        <f t="shared" si="27"/>
        <v>20110629</v>
      </c>
      <c r="B663" s="110" t="s">
        <v>498</v>
      </c>
      <c r="C663" s="110" t="str">
        <f t="shared" si="28"/>
        <v>20110629RLS</v>
      </c>
      <c r="D663" s="110" t="s">
        <v>280</v>
      </c>
      <c r="E663" s="110" t="str">
        <f t="shared" si="29"/>
        <v>20110629LGUM_310</v>
      </c>
      <c r="F663" s="83">
        <v>22.7</v>
      </c>
      <c r="G663" s="83">
        <v>0.26</v>
      </c>
      <c r="H663" s="83">
        <v>8.16</v>
      </c>
      <c r="I663" s="83">
        <v>14.279999999999998</v>
      </c>
      <c r="J663" s="80" t="s">
        <v>510</v>
      </c>
    </row>
    <row r="664" spans="1:10">
      <c r="A664" s="80">
        <f t="shared" si="27"/>
        <v>20110629</v>
      </c>
      <c r="B664" s="110" t="s">
        <v>498</v>
      </c>
      <c r="C664" s="110" t="str">
        <f t="shared" si="28"/>
        <v>20110629RLS</v>
      </c>
      <c r="D664" s="110" t="s">
        <v>281</v>
      </c>
      <c r="E664" s="110" t="str">
        <f t="shared" si="29"/>
        <v>20110629LGUM_311</v>
      </c>
      <c r="F664" s="83">
        <v>13.8</v>
      </c>
      <c r="G664" s="83">
        <v>0.13</v>
      </c>
      <c r="H664" s="83">
        <v>2.2999999999999998</v>
      </c>
      <c r="I664" s="83">
        <v>11.370000000000001</v>
      </c>
      <c r="J664" s="80" t="s">
        <v>511</v>
      </c>
    </row>
    <row r="665" spans="1:10">
      <c r="A665" s="80">
        <f t="shared" si="27"/>
        <v>20110629</v>
      </c>
      <c r="B665" s="110" t="s">
        <v>498</v>
      </c>
      <c r="C665" s="110" t="str">
        <f t="shared" si="28"/>
        <v>20110629RLS</v>
      </c>
      <c r="D665" s="110" t="s">
        <v>283</v>
      </c>
      <c r="E665" s="110" t="str">
        <f t="shared" si="29"/>
        <v>20110629LGUM_312</v>
      </c>
      <c r="F665" s="83">
        <v>14.92</v>
      </c>
      <c r="G665" s="83">
        <v>0.15</v>
      </c>
      <c r="H665" s="83">
        <v>3.65</v>
      </c>
      <c r="I665" s="83">
        <v>11.12</v>
      </c>
      <c r="J665" s="80" t="s">
        <v>512</v>
      </c>
    </row>
    <row r="666" spans="1:10">
      <c r="A666" s="80">
        <f t="shared" si="27"/>
        <v>20110629</v>
      </c>
      <c r="B666" s="110" t="s">
        <v>498</v>
      </c>
      <c r="C666" s="110" t="str">
        <f t="shared" si="28"/>
        <v>20110629RLS</v>
      </c>
      <c r="D666" s="110" t="s">
        <v>285</v>
      </c>
      <c r="E666" s="110" t="str">
        <f t="shared" si="29"/>
        <v>20110629LGUM_313</v>
      </c>
      <c r="F666" s="83">
        <v>14.92</v>
      </c>
      <c r="G666" s="83">
        <v>0.15</v>
      </c>
      <c r="H666" s="83">
        <v>3.65</v>
      </c>
      <c r="I666" s="83">
        <v>11.12</v>
      </c>
      <c r="J666" s="80" t="s">
        <v>513</v>
      </c>
    </row>
    <row r="667" spans="1:10">
      <c r="A667" s="80">
        <f t="shared" si="27"/>
        <v>20110629</v>
      </c>
      <c r="B667" s="110" t="s">
        <v>498</v>
      </c>
      <c r="C667" s="110" t="str">
        <f t="shared" si="28"/>
        <v>20110629RLS</v>
      </c>
      <c r="D667" s="110" t="s">
        <v>287</v>
      </c>
      <c r="E667" s="110" t="str">
        <f t="shared" si="29"/>
        <v>20110629LGUM_314</v>
      </c>
      <c r="F667" s="83">
        <v>17.7</v>
      </c>
      <c r="G667" s="83">
        <v>0.13</v>
      </c>
      <c r="H667" s="83">
        <v>2.2000000000000002</v>
      </c>
      <c r="I667" s="83">
        <v>15.370000000000001</v>
      </c>
      <c r="J667" s="80" t="s">
        <v>682</v>
      </c>
    </row>
    <row r="668" spans="1:10">
      <c r="A668" s="80">
        <f t="shared" si="27"/>
        <v>20110629</v>
      </c>
      <c r="B668" s="110" t="s">
        <v>498</v>
      </c>
      <c r="C668" s="110" t="str">
        <f t="shared" si="28"/>
        <v>20110629RLS</v>
      </c>
      <c r="D668" s="110" t="s">
        <v>288</v>
      </c>
      <c r="E668" s="110" t="str">
        <f t="shared" si="29"/>
        <v>20110629LGUM_315</v>
      </c>
      <c r="F668" s="83">
        <v>21.09</v>
      </c>
      <c r="G668" s="83">
        <v>0.15</v>
      </c>
      <c r="H668" s="83">
        <v>3.41</v>
      </c>
      <c r="I668" s="83">
        <v>17.53</v>
      </c>
      <c r="J668" s="80" t="s">
        <v>683</v>
      </c>
    </row>
    <row r="669" spans="1:10">
      <c r="A669" s="80">
        <f t="shared" si="27"/>
        <v>20110629</v>
      </c>
      <c r="B669" s="110" t="s">
        <v>498</v>
      </c>
      <c r="C669" s="110" t="str">
        <f t="shared" si="28"/>
        <v>20110629RLS</v>
      </c>
      <c r="D669" s="110" t="s">
        <v>289</v>
      </c>
      <c r="E669" s="110" t="str">
        <f t="shared" si="29"/>
        <v>20110629LGUM_316</v>
      </c>
      <c r="F669" s="83">
        <v>25.14</v>
      </c>
      <c r="G669" s="83">
        <v>0.13</v>
      </c>
      <c r="H669" s="83">
        <v>2.2999999999999998</v>
      </c>
      <c r="I669" s="83">
        <v>22.71</v>
      </c>
      <c r="J669" s="80" t="s">
        <v>515</v>
      </c>
    </row>
    <row r="670" spans="1:10">
      <c r="A670" s="80">
        <f t="shared" si="27"/>
        <v>20110629</v>
      </c>
      <c r="B670" s="110" t="s">
        <v>498</v>
      </c>
      <c r="C670" s="110" t="str">
        <f t="shared" si="28"/>
        <v>20110629RLS</v>
      </c>
      <c r="D670" s="110" t="s">
        <v>290</v>
      </c>
      <c r="E670" s="110" t="str">
        <f t="shared" si="29"/>
        <v>20110629LGUM_317</v>
      </c>
      <c r="F670" s="83">
        <v>27.44</v>
      </c>
      <c r="G670" s="83">
        <v>0.15</v>
      </c>
      <c r="H670" s="83">
        <v>3.65</v>
      </c>
      <c r="I670" s="83">
        <v>23.640000000000004</v>
      </c>
      <c r="J670" s="80" t="s">
        <v>517</v>
      </c>
    </row>
    <row r="671" spans="1:10">
      <c r="A671" s="80">
        <f t="shared" si="27"/>
        <v>20110629</v>
      </c>
      <c r="B671" s="110" t="s">
        <v>498</v>
      </c>
      <c r="C671" s="110" t="str">
        <f t="shared" si="28"/>
        <v>20110629RLS</v>
      </c>
      <c r="D671" s="110" t="s">
        <v>291</v>
      </c>
      <c r="E671" s="110" t="str">
        <f t="shared" si="29"/>
        <v>20110629LGUM_318</v>
      </c>
      <c r="F671" s="83">
        <v>16.29</v>
      </c>
      <c r="G671" s="83">
        <v>0.1</v>
      </c>
      <c r="H671" s="83">
        <v>1.55</v>
      </c>
      <c r="I671" s="83">
        <v>14.639999999999997</v>
      </c>
      <c r="J671" s="80" t="s">
        <v>684</v>
      </c>
    </row>
    <row r="672" spans="1:10">
      <c r="A672" s="80">
        <f t="shared" si="27"/>
        <v>20110629</v>
      </c>
      <c r="B672" s="110" t="s">
        <v>498</v>
      </c>
      <c r="C672" s="110" t="str">
        <f t="shared" si="28"/>
        <v>20110629RLS</v>
      </c>
      <c r="D672" s="110" t="s">
        <v>571</v>
      </c>
      <c r="E672" s="110" t="str">
        <f t="shared" si="29"/>
        <v>20110629LGUM_319</v>
      </c>
      <c r="F672" s="83">
        <v>21.19</v>
      </c>
      <c r="G672" s="83">
        <v>0.15</v>
      </c>
      <c r="H672" s="83">
        <v>3.41</v>
      </c>
      <c r="I672" s="83">
        <v>17.630000000000003</v>
      </c>
      <c r="J672" s="80" t="s">
        <v>685</v>
      </c>
    </row>
    <row r="673" spans="1:10">
      <c r="A673" s="80">
        <f t="shared" ref="A673:A736" si="30">A672</f>
        <v>20110629</v>
      </c>
      <c r="B673" s="110" t="s">
        <v>498</v>
      </c>
      <c r="C673" s="110" t="str">
        <f t="shared" si="28"/>
        <v>20110629RLS</v>
      </c>
      <c r="D673" s="110" t="s">
        <v>573</v>
      </c>
      <c r="E673" s="110" t="str">
        <f t="shared" si="29"/>
        <v>20110629LGUM_320</v>
      </c>
      <c r="F673" s="83">
        <v>25.14</v>
      </c>
      <c r="G673" s="83">
        <v>0.13</v>
      </c>
      <c r="H673" s="83">
        <v>2.2999999999999998</v>
      </c>
      <c r="I673" s="83">
        <v>22.71</v>
      </c>
      <c r="J673" s="80" t="s">
        <v>686</v>
      </c>
    </row>
    <row r="674" spans="1:10">
      <c r="A674" s="80">
        <f t="shared" si="30"/>
        <v>20110629</v>
      </c>
      <c r="B674" s="110" t="s">
        <v>498</v>
      </c>
      <c r="C674" s="110" t="str">
        <f t="shared" si="28"/>
        <v>20110629RLS</v>
      </c>
      <c r="D674" s="110" t="s">
        <v>292</v>
      </c>
      <c r="E674" s="110" t="str">
        <f t="shared" si="29"/>
        <v>20110629LGUM_321</v>
      </c>
      <c r="F674" s="83">
        <v>27.44</v>
      </c>
      <c r="G674" s="83">
        <v>0.15</v>
      </c>
      <c r="H674" s="83">
        <v>3.65</v>
      </c>
      <c r="I674" s="83">
        <v>23.640000000000004</v>
      </c>
      <c r="J674" s="80" t="s">
        <v>687</v>
      </c>
    </row>
    <row r="675" spans="1:10">
      <c r="A675" s="80">
        <f t="shared" si="30"/>
        <v>20110629</v>
      </c>
      <c r="B675" s="110" t="s">
        <v>498</v>
      </c>
      <c r="C675" s="110" t="str">
        <f t="shared" si="28"/>
        <v>20110629RLS</v>
      </c>
      <c r="D675" s="110" t="s">
        <v>293</v>
      </c>
      <c r="E675" s="110" t="str">
        <f t="shared" si="29"/>
        <v>20110629LGUM_322</v>
      </c>
      <c r="F675" s="83">
        <v>11.51</v>
      </c>
      <c r="G675" s="83">
        <v>0.13</v>
      </c>
      <c r="H675" s="83">
        <v>1.55</v>
      </c>
      <c r="I675" s="83">
        <v>9.8299999999999983</v>
      </c>
      <c r="J675" s="80" t="s">
        <v>518</v>
      </c>
    </row>
    <row r="676" spans="1:10">
      <c r="A676" s="80">
        <f t="shared" si="30"/>
        <v>20110629</v>
      </c>
      <c r="B676" s="110" t="s">
        <v>498</v>
      </c>
      <c r="C676" s="110" t="str">
        <f t="shared" si="28"/>
        <v>20110629RLS</v>
      </c>
      <c r="D676" s="110" t="s">
        <v>294</v>
      </c>
      <c r="E676" s="110" t="str">
        <f t="shared" si="29"/>
        <v>20110629LGUM_323</v>
      </c>
      <c r="F676" s="83">
        <v>13.84</v>
      </c>
      <c r="G676" s="83">
        <v>0.13</v>
      </c>
      <c r="H676" s="83">
        <v>1.55</v>
      </c>
      <c r="I676" s="83">
        <v>12.159999999999998</v>
      </c>
      <c r="J676" s="80" t="s">
        <v>519</v>
      </c>
    </row>
    <row r="677" spans="1:10">
      <c r="A677" s="80">
        <f t="shared" si="30"/>
        <v>20110629</v>
      </c>
      <c r="B677" s="110" t="s">
        <v>498</v>
      </c>
      <c r="C677" s="110" t="str">
        <f t="shared" si="28"/>
        <v>20110629RLS</v>
      </c>
      <c r="D677" s="110" t="s">
        <v>295</v>
      </c>
      <c r="E677" s="110" t="str">
        <f t="shared" si="29"/>
        <v>20110629LGUM_324</v>
      </c>
      <c r="F677" s="83">
        <v>13.95</v>
      </c>
      <c r="G677" s="83">
        <v>0.14000000000000001</v>
      </c>
      <c r="H677" s="83">
        <v>1.07</v>
      </c>
      <c r="I677" s="83">
        <v>12.739999999999998</v>
      </c>
      <c r="J677" s="80" t="s">
        <v>576</v>
      </c>
    </row>
    <row r="678" spans="1:10">
      <c r="A678" s="80">
        <f t="shared" si="30"/>
        <v>20110629</v>
      </c>
      <c r="B678" s="110" t="s">
        <v>498</v>
      </c>
      <c r="C678" s="110" t="str">
        <f t="shared" si="28"/>
        <v>20110629RLS</v>
      </c>
      <c r="D678" s="110" t="s">
        <v>296</v>
      </c>
      <c r="E678" s="110" t="str">
        <f t="shared" si="29"/>
        <v>20110629LGUM_325</v>
      </c>
      <c r="F678" s="83">
        <v>23.49</v>
      </c>
      <c r="G678" s="83">
        <v>0.13</v>
      </c>
      <c r="H678" s="83">
        <v>1.55</v>
      </c>
      <c r="I678" s="83">
        <v>21.81</v>
      </c>
      <c r="J678" s="80" t="s">
        <v>733</v>
      </c>
    </row>
    <row r="679" spans="1:10">
      <c r="A679" s="80">
        <f t="shared" si="30"/>
        <v>20110629</v>
      </c>
      <c r="B679" s="110" t="s">
        <v>498</v>
      </c>
      <c r="C679" s="110" t="str">
        <f t="shared" si="28"/>
        <v>20110629RLS</v>
      </c>
      <c r="D679" s="110" t="s">
        <v>577</v>
      </c>
      <c r="E679" s="110" t="str">
        <f t="shared" si="29"/>
        <v>20110629LGUM_345</v>
      </c>
      <c r="F679" s="83">
        <v>16.22</v>
      </c>
      <c r="G679" s="83">
        <v>0.15</v>
      </c>
      <c r="H679" s="83">
        <v>3.41</v>
      </c>
      <c r="I679" s="83">
        <v>12.66</v>
      </c>
      <c r="J679" s="80" t="s">
        <v>688</v>
      </c>
    </row>
    <row r="680" spans="1:10">
      <c r="A680" s="80">
        <f t="shared" si="30"/>
        <v>20110629</v>
      </c>
      <c r="B680" s="110" t="s">
        <v>498</v>
      </c>
      <c r="C680" s="110" t="str">
        <f t="shared" si="28"/>
        <v>20110629RLS</v>
      </c>
      <c r="D680" s="110" t="s">
        <v>579</v>
      </c>
      <c r="E680" s="110" t="str">
        <f t="shared" si="29"/>
        <v>20110629LGUM_346</v>
      </c>
      <c r="F680" s="83">
        <v>22.21</v>
      </c>
      <c r="G680" s="83">
        <v>0.13</v>
      </c>
      <c r="H680" s="83">
        <v>2.2999999999999998</v>
      </c>
      <c r="I680" s="83">
        <v>19.78</v>
      </c>
      <c r="J680" s="80" t="s">
        <v>689</v>
      </c>
    </row>
    <row r="681" spans="1:10">
      <c r="A681" s="80">
        <f t="shared" si="30"/>
        <v>20110629</v>
      </c>
      <c r="B681" s="110" t="s">
        <v>498</v>
      </c>
      <c r="C681" s="110" t="str">
        <f t="shared" si="28"/>
        <v>20110629RLS</v>
      </c>
      <c r="D681" s="110" t="s">
        <v>581</v>
      </c>
      <c r="E681" s="110" t="str">
        <f t="shared" si="29"/>
        <v>20110629LGUM_347</v>
      </c>
      <c r="F681" s="83">
        <v>21.19</v>
      </c>
      <c r="G681" s="83">
        <v>0.15</v>
      </c>
      <c r="H681" s="83">
        <v>3.41</v>
      </c>
      <c r="I681" s="83">
        <v>17.630000000000003</v>
      </c>
      <c r="J681" s="80" t="s">
        <v>582</v>
      </c>
    </row>
    <row r="682" spans="1:10">
      <c r="A682" s="80">
        <f t="shared" si="30"/>
        <v>20110629</v>
      </c>
      <c r="B682" s="110" t="s">
        <v>498</v>
      </c>
      <c r="C682" s="110" t="str">
        <f t="shared" si="28"/>
        <v>20110629RLS</v>
      </c>
      <c r="D682" s="110" t="s">
        <v>297</v>
      </c>
      <c r="E682" s="110" t="str">
        <f t="shared" si="29"/>
        <v>20110629LGUM_348</v>
      </c>
      <c r="F682" s="83">
        <v>12.05</v>
      </c>
      <c r="G682" s="83">
        <v>0.42</v>
      </c>
      <c r="H682" s="83">
        <v>2.2200000000000002</v>
      </c>
      <c r="I682" s="83">
        <v>9.41</v>
      </c>
      <c r="J682" s="80" t="s">
        <v>583</v>
      </c>
    </row>
    <row r="683" spans="1:10">
      <c r="A683" s="80">
        <f t="shared" si="30"/>
        <v>20110629</v>
      </c>
      <c r="B683" s="110" t="s">
        <v>498</v>
      </c>
      <c r="C683" s="110" t="str">
        <f t="shared" si="28"/>
        <v>20110629RLS</v>
      </c>
      <c r="D683" s="110" t="s">
        <v>299</v>
      </c>
      <c r="E683" s="110" t="str">
        <f t="shared" si="29"/>
        <v>20110629LGUM_349</v>
      </c>
      <c r="F683" s="83">
        <v>8.4</v>
      </c>
      <c r="G683" s="83">
        <v>0.14000000000000001</v>
      </c>
      <c r="H683" s="83">
        <v>0.74</v>
      </c>
      <c r="I683" s="83">
        <v>7.52</v>
      </c>
      <c r="J683" s="80" t="s">
        <v>584</v>
      </c>
    </row>
    <row r="684" spans="1:10">
      <c r="A684" s="80">
        <f t="shared" si="30"/>
        <v>20110629</v>
      </c>
      <c r="B684" s="110" t="s">
        <v>498</v>
      </c>
      <c r="C684" s="110" t="str">
        <f t="shared" si="28"/>
        <v>20110629RLS</v>
      </c>
      <c r="D684" s="110" t="s">
        <v>301</v>
      </c>
      <c r="E684" s="110" t="str">
        <f t="shared" si="29"/>
        <v>20110629LGUM_352</v>
      </c>
      <c r="F684" s="83">
        <v>10.15</v>
      </c>
      <c r="G684" s="83">
        <v>0.1</v>
      </c>
      <c r="H684" s="83">
        <v>1.55</v>
      </c>
      <c r="I684" s="83">
        <v>8.5</v>
      </c>
      <c r="J684" s="80" t="s">
        <v>530</v>
      </c>
    </row>
    <row r="685" spans="1:10">
      <c r="A685" s="80">
        <f t="shared" si="30"/>
        <v>20110629</v>
      </c>
      <c r="B685" s="110" t="s">
        <v>498</v>
      </c>
      <c r="C685" s="110" t="str">
        <f t="shared" si="28"/>
        <v>20110629RLS</v>
      </c>
      <c r="D685" s="110" t="s">
        <v>302</v>
      </c>
      <c r="E685" s="110" t="str">
        <f t="shared" si="29"/>
        <v>20110629LGUM_353</v>
      </c>
      <c r="F685" s="83">
        <v>11.62</v>
      </c>
      <c r="G685" s="83">
        <v>0.13</v>
      </c>
      <c r="H685" s="83">
        <v>2.2000000000000002</v>
      </c>
      <c r="I685" s="83">
        <v>9.2899999999999991</v>
      </c>
      <c r="J685" s="80" t="s">
        <v>531</v>
      </c>
    </row>
    <row r="686" spans="1:10">
      <c r="A686" s="80">
        <f t="shared" si="30"/>
        <v>20110629</v>
      </c>
      <c r="B686" s="110" t="s">
        <v>498</v>
      </c>
      <c r="C686" s="110" t="str">
        <f t="shared" si="28"/>
        <v>20110629RLS</v>
      </c>
      <c r="D686" s="110" t="s">
        <v>303</v>
      </c>
      <c r="E686" s="110" t="str">
        <f t="shared" si="29"/>
        <v>20110629LGUM_354</v>
      </c>
      <c r="F686" s="83">
        <v>14.19</v>
      </c>
      <c r="G686" s="83">
        <v>0.15</v>
      </c>
      <c r="H686" s="83">
        <v>3.41</v>
      </c>
      <c r="I686" s="83">
        <v>10.629999999999999</v>
      </c>
      <c r="J686" s="80" t="s">
        <v>532</v>
      </c>
    </row>
    <row r="687" spans="1:10">
      <c r="A687" s="80">
        <f t="shared" si="30"/>
        <v>20110629</v>
      </c>
      <c r="B687" s="110" t="s">
        <v>498</v>
      </c>
      <c r="C687" s="110" t="str">
        <f t="shared" si="28"/>
        <v>20110629RLS</v>
      </c>
      <c r="D687" s="110" t="s">
        <v>304</v>
      </c>
      <c r="E687" s="110" t="str">
        <f t="shared" si="29"/>
        <v>20110629LGUM_355</v>
      </c>
      <c r="F687" s="83">
        <v>9.66</v>
      </c>
      <c r="G687" s="83">
        <v>0.14000000000000001</v>
      </c>
      <c r="H687" s="83">
        <v>1.07</v>
      </c>
      <c r="I687" s="83">
        <v>8.4499999999999993</v>
      </c>
      <c r="J687" s="80" t="s">
        <v>533</v>
      </c>
    </row>
    <row r="688" spans="1:10">
      <c r="A688" s="80">
        <f t="shared" si="30"/>
        <v>20110629</v>
      </c>
      <c r="B688" s="110" t="s">
        <v>498</v>
      </c>
      <c r="C688" s="110" t="str">
        <f t="shared" si="28"/>
        <v>20110629RLS</v>
      </c>
      <c r="D688" s="110" t="s">
        <v>585</v>
      </c>
      <c r="E688" s="110" t="str">
        <f t="shared" si="29"/>
        <v>20110629LGUM_356</v>
      </c>
      <c r="F688" s="83">
        <v>13.92</v>
      </c>
      <c r="G688" s="83">
        <v>0.14000000000000001</v>
      </c>
      <c r="H688" s="83">
        <v>0.92</v>
      </c>
      <c r="I688" s="83">
        <v>12.86</v>
      </c>
      <c r="J688" s="80" t="s">
        <v>586</v>
      </c>
    </row>
    <row r="689" spans="1:10">
      <c r="A689" s="80">
        <f t="shared" si="30"/>
        <v>20110629</v>
      </c>
      <c r="B689" s="110" t="s">
        <v>498</v>
      </c>
      <c r="C689" s="110" t="str">
        <f t="shared" ref="C689:C754" si="31">A689&amp;B689</f>
        <v>20110629RLS</v>
      </c>
      <c r="D689" s="110" t="s">
        <v>305</v>
      </c>
      <c r="E689" s="110" t="str">
        <f t="shared" ref="E689:E754" si="32">A689&amp;D689</f>
        <v>20110629LGUM_357</v>
      </c>
      <c r="F689" s="83">
        <v>14.19</v>
      </c>
      <c r="G689" s="83">
        <v>0.15</v>
      </c>
      <c r="H689" s="83">
        <v>3.41</v>
      </c>
      <c r="I689" s="83">
        <v>10.629999999999999</v>
      </c>
      <c r="J689" s="80" t="s">
        <v>538</v>
      </c>
    </row>
    <row r="690" spans="1:10">
      <c r="A690" s="80">
        <f t="shared" si="30"/>
        <v>20110629</v>
      </c>
      <c r="B690" s="110" t="s">
        <v>498</v>
      </c>
      <c r="C690" s="110" t="str">
        <f t="shared" si="31"/>
        <v>20110629RLS</v>
      </c>
      <c r="D690" s="110" t="s">
        <v>306</v>
      </c>
      <c r="E690" s="110" t="str">
        <f t="shared" si="32"/>
        <v>20110629LGUM_358</v>
      </c>
      <c r="F690" s="83">
        <v>14.79</v>
      </c>
      <c r="G690" s="83">
        <v>0.1</v>
      </c>
      <c r="H690" s="83">
        <v>1.55</v>
      </c>
      <c r="I690" s="83">
        <v>13.139999999999999</v>
      </c>
      <c r="J690" s="80" t="s">
        <v>539</v>
      </c>
    </row>
    <row r="691" spans="1:10">
      <c r="A691" s="80">
        <f t="shared" si="30"/>
        <v>20110629</v>
      </c>
      <c r="B691" s="110" t="s">
        <v>498</v>
      </c>
      <c r="C691" s="110" t="str">
        <f t="shared" si="31"/>
        <v>20110629RLS</v>
      </c>
      <c r="D691" s="110" t="s">
        <v>307</v>
      </c>
      <c r="E691" s="110" t="str">
        <f t="shared" si="32"/>
        <v>20110629LGUM_360</v>
      </c>
      <c r="F691" s="83">
        <v>26.41</v>
      </c>
      <c r="G691" s="83">
        <v>0.26</v>
      </c>
      <c r="H691" s="83">
        <v>8.16</v>
      </c>
      <c r="I691" s="83">
        <v>17.989999999999998</v>
      </c>
      <c r="J691" s="80" t="s">
        <v>542</v>
      </c>
    </row>
    <row r="692" spans="1:10">
      <c r="A692" s="80">
        <f t="shared" si="30"/>
        <v>20110629</v>
      </c>
      <c r="B692" s="110" t="s">
        <v>498</v>
      </c>
      <c r="C692" s="110" t="str">
        <f t="shared" si="31"/>
        <v>20110629RLS</v>
      </c>
      <c r="D692" s="110" t="s">
        <v>308</v>
      </c>
      <c r="E692" s="110" t="str">
        <f t="shared" si="32"/>
        <v>20110629LGUM_361</v>
      </c>
      <c r="F692" s="83">
        <v>13.8</v>
      </c>
      <c r="G692" s="83">
        <v>0.13</v>
      </c>
      <c r="H692" s="83">
        <v>2.2999999999999998</v>
      </c>
      <c r="I692" s="83">
        <v>11.370000000000001</v>
      </c>
      <c r="J692" s="80" t="s">
        <v>543</v>
      </c>
    </row>
    <row r="693" spans="1:10">
      <c r="A693" s="80">
        <f t="shared" si="30"/>
        <v>20110629</v>
      </c>
      <c r="B693" s="110" t="s">
        <v>498</v>
      </c>
      <c r="C693" s="110" t="str">
        <f t="shared" si="31"/>
        <v>20110629RLS</v>
      </c>
      <c r="D693" s="110" t="s">
        <v>309</v>
      </c>
      <c r="E693" s="110" t="str">
        <f t="shared" si="32"/>
        <v>20110629LGUM_362</v>
      </c>
      <c r="F693" s="83">
        <v>14.92</v>
      </c>
      <c r="G693" s="83">
        <v>0.15</v>
      </c>
      <c r="H693" s="83">
        <v>3.65</v>
      </c>
      <c r="I693" s="83">
        <v>11.12</v>
      </c>
      <c r="J693" s="80" t="s">
        <v>544</v>
      </c>
    </row>
    <row r="694" spans="1:10">
      <c r="A694" s="80">
        <f t="shared" si="30"/>
        <v>20110629</v>
      </c>
      <c r="B694" s="110" t="s">
        <v>498</v>
      </c>
      <c r="C694" s="110" t="str">
        <f t="shared" si="31"/>
        <v>20110629RLS</v>
      </c>
      <c r="D694" s="110" t="s">
        <v>310</v>
      </c>
      <c r="E694" s="110" t="str">
        <f t="shared" si="32"/>
        <v>20110629LGUM_363</v>
      </c>
      <c r="F694" s="83">
        <v>14.92</v>
      </c>
      <c r="G694" s="83">
        <v>0.15</v>
      </c>
      <c r="H694" s="83">
        <v>3.65</v>
      </c>
      <c r="I694" s="83">
        <v>11.12</v>
      </c>
      <c r="J694" s="80" t="s">
        <v>545</v>
      </c>
    </row>
    <row r="695" spans="1:10">
      <c r="A695" s="80">
        <f t="shared" si="30"/>
        <v>20110629</v>
      </c>
      <c r="B695" s="110" t="s">
        <v>498</v>
      </c>
      <c r="C695" s="110" t="str">
        <f t="shared" si="31"/>
        <v>20110629RLS</v>
      </c>
      <c r="D695" s="110" t="s">
        <v>311</v>
      </c>
      <c r="E695" s="110" t="str">
        <f t="shared" si="32"/>
        <v>20110629LGUM_364</v>
      </c>
      <c r="F695" s="83">
        <v>24.21</v>
      </c>
      <c r="G695" s="83">
        <v>0.13</v>
      </c>
      <c r="H695" s="83">
        <v>2.2000000000000002</v>
      </c>
      <c r="I695" s="83">
        <v>21.880000000000003</v>
      </c>
      <c r="J695" s="80" t="s">
        <v>690</v>
      </c>
    </row>
    <row r="696" spans="1:10">
      <c r="A696" s="80">
        <f t="shared" si="30"/>
        <v>20110629</v>
      </c>
      <c r="B696" s="110" t="s">
        <v>498</v>
      </c>
      <c r="C696" s="110" t="str">
        <f t="shared" si="31"/>
        <v>20110629RLS</v>
      </c>
      <c r="D696" s="110" t="s">
        <v>312</v>
      </c>
      <c r="E696" s="110" t="str">
        <f t="shared" si="32"/>
        <v>20110629LGUM_365</v>
      </c>
      <c r="F696" s="83">
        <v>27.33</v>
      </c>
      <c r="G696" s="83">
        <v>0.15</v>
      </c>
      <c r="H696" s="83">
        <v>3.41</v>
      </c>
      <c r="I696" s="83">
        <v>23.77</v>
      </c>
      <c r="J696" s="80" t="s">
        <v>691</v>
      </c>
    </row>
    <row r="697" spans="1:10">
      <c r="A697" s="80">
        <f t="shared" si="30"/>
        <v>20110629</v>
      </c>
      <c r="B697" s="110" t="s">
        <v>498</v>
      </c>
      <c r="C697" s="110" t="str">
        <f t="shared" si="31"/>
        <v>20110629RLS</v>
      </c>
      <c r="D697" s="110" t="s">
        <v>313</v>
      </c>
      <c r="E697" s="110" t="str">
        <f t="shared" si="32"/>
        <v>20110629LGUM_366</v>
      </c>
      <c r="F697" s="83">
        <v>25.14</v>
      </c>
      <c r="G697" s="83">
        <v>0.13</v>
      </c>
      <c r="H697" s="83">
        <v>2.2999999999999998</v>
      </c>
      <c r="I697" s="83">
        <v>22.71</v>
      </c>
      <c r="J697" s="80" t="s">
        <v>546</v>
      </c>
    </row>
    <row r="698" spans="1:10">
      <c r="A698" s="80">
        <f t="shared" si="30"/>
        <v>20110629</v>
      </c>
      <c r="B698" s="110" t="s">
        <v>498</v>
      </c>
      <c r="C698" s="110" t="str">
        <f t="shared" si="31"/>
        <v>20110629RLS</v>
      </c>
      <c r="D698" s="110" t="s">
        <v>314</v>
      </c>
      <c r="E698" s="110" t="str">
        <f t="shared" si="32"/>
        <v>20110629LGUM_367</v>
      </c>
      <c r="F698" s="83">
        <v>27.44</v>
      </c>
      <c r="G698" s="83">
        <v>0.15</v>
      </c>
      <c r="H698" s="83">
        <v>3.65</v>
      </c>
      <c r="I698" s="83">
        <v>23.640000000000004</v>
      </c>
      <c r="J698" s="80" t="s">
        <v>692</v>
      </c>
    </row>
    <row r="699" spans="1:10">
      <c r="A699" s="80">
        <f t="shared" si="30"/>
        <v>20110629</v>
      </c>
      <c r="B699" s="110" t="s">
        <v>498</v>
      </c>
      <c r="C699" s="110" t="str">
        <f t="shared" si="31"/>
        <v>20110629RLS</v>
      </c>
      <c r="D699" s="110" t="s">
        <v>592</v>
      </c>
      <c r="E699" s="110" t="str">
        <f t="shared" si="32"/>
        <v>20110629LGUM_368</v>
      </c>
      <c r="F699" s="83">
        <v>23.23</v>
      </c>
      <c r="G699" s="83">
        <v>0.1</v>
      </c>
      <c r="H699" s="83">
        <v>1.55</v>
      </c>
      <c r="I699" s="83">
        <v>21.58</v>
      </c>
      <c r="J699" s="80" t="s">
        <v>684</v>
      </c>
    </row>
    <row r="700" spans="1:10">
      <c r="A700" s="80">
        <f t="shared" si="30"/>
        <v>20110629</v>
      </c>
      <c r="B700" s="110" t="s">
        <v>498</v>
      </c>
      <c r="C700" s="110" t="str">
        <f t="shared" si="31"/>
        <v>20110629RLS</v>
      </c>
      <c r="D700" s="110" t="s">
        <v>593</v>
      </c>
      <c r="E700" s="110" t="str">
        <f t="shared" si="32"/>
        <v>20110629LGUM_369</v>
      </c>
      <c r="F700" s="83">
        <v>27.33</v>
      </c>
      <c r="G700" s="83">
        <v>0.15</v>
      </c>
      <c r="H700" s="83">
        <v>3.41</v>
      </c>
      <c r="I700" s="83">
        <v>23.77</v>
      </c>
      <c r="J700" s="80" t="s">
        <v>693</v>
      </c>
    </row>
    <row r="701" spans="1:10">
      <c r="A701" s="80">
        <f t="shared" si="30"/>
        <v>20110629</v>
      </c>
      <c r="B701" s="110" t="s">
        <v>498</v>
      </c>
      <c r="C701" s="110" t="str">
        <f t="shared" si="31"/>
        <v>20110629RLS</v>
      </c>
      <c r="D701" s="110" t="s">
        <v>315</v>
      </c>
      <c r="E701" s="110" t="str">
        <f t="shared" si="32"/>
        <v>20110629LGUM_370</v>
      </c>
      <c r="F701" s="83">
        <v>25.14</v>
      </c>
      <c r="G701" s="83">
        <v>0.13</v>
      </c>
      <c r="H701" s="83">
        <v>2.2999999999999998</v>
      </c>
      <c r="I701" s="83">
        <v>22.71</v>
      </c>
      <c r="J701" s="80" t="s">
        <v>694</v>
      </c>
    </row>
    <row r="702" spans="1:10">
      <c r="A702" s="80">
        <f t="shared" si="30"/>
        <v>20110629</v>
      </c>
      <c r="B702" s="110" t="s">
        <v>498</v>
      </c>
      <c r="C702" s="110" t="str">
        <f t="shared" si="31"/>
        <v>20110629RLS</v>
      </c>
      <c r="D702" s="110" t="s">
        <v>316</v>
      </c>
      <c r="E702" s="110" t="str">
        <f t="shared" si="32"/>
        <v>20110629LGUM_371</v>
      </c>
      <c r="F702" s="83">
        <v>27.44</v>
      </c>
      <c r="G702" s="83">
        <v>0.15</v>
      </c>
      <c r="H702" s="83">
        <v>3.65</v>
      </c>
      <c r="I702" s="83">
        <v>23.640000000000004</v>
      </c>
      <c r="J702" s="80" t="s">
        <v>695</v>
      </c>
    </row>
    <row r="703" spans="1:10">
      <c r="A703" s="80">
        <f t="shared" si="30"/>
        <v>20110629</v>
      </c>
      <c r="B703" s="110" t="s">
        <v>498</v>
      </c>
      <c r="C703" s="110" t="str">
        <f t="shared" si="31"/>
        <v>20110629RLS</v>
      </c>
      <c r="D703" s="110" t="s">
        <v>317</v>
      </c>
      <c r="E703" s="110" t="str">
        <f t="shared" si="32"/>
        <v>20110629LGUM_372</v>
      </c>
      <c r="F703" s="83">
        <v>11.51</v>
      </c>
      <c r="G703" s="83">
        <v>0.13</v>
      </c>
      <c r="H703" s="83">
        <v>1.55</v>
      </c>
      <c r="I703" s="83">
        <v>9.8299999999999983</v>
      </c>
      <c r="J703" s="80" t="s">
        <v>548</v>
      </c>
    </row>
    <row r="704" spans="1:10">
      <c r="A704" s="80">
        <f t="shared" si="30"/>
        <v>20110629</v>
      </c>
      <c r="B704" s="110" t="s">
        <v>498</v>
      </c>
      <c r="C704" s="110" t="str">
        <f t="shared" si="31"/>
        <v>20110629RLS</v>
      </c>
      <c r="D704" s="110" t="s">
        <v>318</v>
      </c>
      <c r="E704" s="110" t="str">
        <f t="shared" si="32"/>
        <v>20110629LGUM_373</v>
      </c>
      <c r="F704" s="83">
        <v>11.51</v>
      </c>
      <c r="G704" s="83">
        <v>0.13</v>
      </c>
      <c r="H704" s="83">
        <v>1.55</v>
      </c>
      <c r="I704" s="83">
        <v>9.8299999999999983</v>
      </c>
      <c r="J704" s="80" t="s">
        <v>549</v>
      </c>
    </row>
    <row r="705" spans="1:10">
      <c r="A705" s="80">
        <f t="shared" si="30"/>
        <v>20110629</v>
      </c>
      <c r="B705" s="110" t="s">
        <v>498</v>
      </c>
      <c r="C705" s="110" t="str">
        <f t="shared" si="31"/>
        <v>20110629RLS</v>
      </c>
      <c r="D705" s="110" t="s">
        <v>319</v>
      </c>
      <c r="E705" s="110" t="str">
        <f t="shared" si="32"/>
        <v>20110629LGUM_374</v>
      </c>
      <c r="F705" s="83">
        <v>13.95</v>
      </c>
      <c r="G705" s="83">
        <v>0.14000000000000001</v>
      </c>
      <c r="H705" s="83">
        <v>1.07</v>
      </c>
      <c r="I705" s="83">
        <v>12.739999999999998</v>
      </c>
      <c r="J705" s="80" t="s">
        <v>597</v>
      </c>
    </row>
    <row r="706" spans="1:10">
      <c r="A706" s="80">
        <f t="shared" si="30"/>
        <v>20110629</v>
      </c>
      <c r="B706" s="110" t="s">
        <v>498</v>
      </c>
      <c r="C706" s="110" t="str">
        <f t="shared" si="31"/>
        <v>20110629RLS</v>
      </c>
      <c r="D706" s="110" t="s">
        <v>320</v>
      </c>
      <c r="E706" s="110" t="str">
        <f t="shared" si="32"/>
        <v>20110629LGUM_375</v>
      </c>
      <c r="F706" s="83">
        <v>23.49</v>
      </c>
      <c r="G706" s="83">
        <v>0.13</v>
      </c>
      <c r="H706" s="83">
        <v>1.48</v>
      </c>
      <c r="I706" s="83">
        <v>21.88</v>
      </c>
      <c r="J706" s="80" t="s">
        <v>696</v>
      </c>
    </row>
    <row r="707" spans="1:10">
      <c r="A707" s="80">
        <f t="shared" si="30"/>
        <v>20110629</v>
      </c>
      <c r="B707" s="110" t="s">
        <v>498</v>
      </c>
      <c r="C707" s="110" t="str">
        <f t="shared" si="31"/>
        <v>20110629RLS</v>
      </c>
      <c r="D707" s="110" t="s">
        <v>321</v>
      </c>
      <c r="E707" s="110" t="str">
        <f t="shared" si="32"/>
        <v>20110629LGUM_376</v>
      </c>
      <c r="F707" s="83">
        <v>13.36</v>
      </c>
      <c r="G707" s="83">
        <v>0.13</v>
      </c>
      <c r="H707" s="83">
        <v>0.74</v>
      </c>
      <c r="I707" s="83">
        <v>12.489999999999998</v>
      </c>
      <c r="J707" s="80" t="s">
        <v>551</v>
      </c>
    </row>
    <row r="708" spans="1:10">
      <c r="A708" s="80">
        <f t="shared" si="30"/>
        <v>20110629</v>
      </c>
      <c r="B708" s="110" t="s">
        <v>498</v>
      </c>
      <c r="C708" s="110" t="str">
        <f t="shared" si="31"/>
        <v>20110629RLS</v>
      </c>
      <c r="D708" s="110" t="s">
        <v>322</v>
      </c>
      <c r="E708" s="110" t="str">
        <f t="shared" si="32"/>
        <v>20110629LGUM_377</v>
      </c>
      <c r="F708" s="83">
        <v>20.239999999999998</v>
      </c>
      <c r="G708" s="83">
        <v>0.13</v>
      </c>
      <c r="H708" s="83">
        <v>1.48</v>
      </c>
      <c r="I708" s="83">
        <v>18.63</v>
      </c>
      <c r="J708" s="80" t="s">
        <v>697</v>
      </c>
    </row>
    <row r="709" spans="1:10">
      <c r="A709" s="80">
        <f t="shared" si="30"/>
        <v>20110629</v>
      </c>
      <c r="B709" s="110" t="s">
        <v>498</v>
      </c>
      <c r="C709" s="110" t="str">
        <f t="shared" si="31"/>
        <v>20110629RLS</v>
      </c>
      <c r="D709" s="110" t="s">
        <v>323</v>
      </c>
      <c r="E709" s="110" t="str">
        <f t="shared" si="32"/>
        <v>20110629LGUM_378</v>
      </c>
      <c r="F709" s="83">
        <v>63.33</v>
      </c>
      <c r="G709" s="83">
        <v>0.26</v>
      </c>
      <c r="H709" s="83">
        <v>8.14</v>
      </c>
      <c r="I709" s="83">
        <v>54.93</v>
      </c>
      <c r="J709" s="80" t="s">
        <v>554</v>
      </c>
    </row>
    <row r="710" spans="1:10">
      <c r="A710" s="80">
        <f t="shared" si="30"/>
        <v>20110629</v>
      </c>
      <c r="B710" s="110" t="s">
        <v>498</v>
      </c>
      <c r="C710" s="110" t="str">
        <f t="shared" si="31"/>
        <v>20110629RLS</v>
      </c>
      <c r="D710" s="110" t="s">
        <v>324</v>
      </c>
      <c r="E710" s="110" t="str">
        <f t="shared" si="32"/>
        <v>20110629LGUM_379</v>
      </c>
      <c r="F710" s="83">
        <v>33.549999999999997</v>
      </c>
      <c r="G710" s="83">
        <v>0.26</v>
      </c>
      <c r="H710" s="83">
        <v>8.14</v>
      </c>
      <c r="I710" s="83">
        <v>25.15</v>
      </c>
      <c r="J710" s="80" t="s">
        <v>556</v>
      </c>
    </row>
    <row r="711" spans="1:10">
      <c r="A711" s="80">
        <f t="shared" si="30"/>
        <v>20110629</v>
      </c>
      <c r="B711" s="110" t="s">
        <v>498</v>
      </c>
      <c r="C711" s="110" t="str">
        <f t="shared" si="31"/>
        <v>20110629RLS</v>
      </c>
      <c r="D711" s="110" t="s">
        <v>325</v>
      </c>
      <c r="E711" s="110" t="str">
        <f t="shared" si="32"/>
        <v>20110629LGUM_380</v>
      </c>
      <c r="F711" s="83">
        <v>17.97</v>
      </c>
      <c r="G711" s="83">
        <v>0.13</v>
      </c>
      <c r="H711" s="83">
        <v>0.74</v>
      </c>
      <c r="I711" s="83">
        <v>17.100000000000001</v>
      </c>
      <c r="J711" s="80" t="s">
        <v>558</v>
      </c>
    </row>
    <row r="712" spans="1:10">
      <c r="A712" s="80">
        <f t="shared" si="30"/>
        <v>20110629</v>
      </c>
      <c r="B712" s="110" t="s">
        <v>498</v>
      </c>
      <c r="C712" s="110" t="str">
        <f t="shared" si="31"/>
        <v>20110629RLS</v>
      </c>
      <c r="D712" s="110" t="s">
        <v>326</v>
      </c>
      <c r="E712" s="110" t="str">
        <f t="shared" si="32"/>
        <v>20110629LGUM_381</v>
      </c>
      <c r="F712" s="83">
        <v>18.87</v>
      </c>
      <c r="G712" s="83">
        <v>0.14000000000000001</v>
      </c>
      <c r="H712" s="83">
        <v>1.07</v>
      </c>
      <c r="I712" s="83">
        <v>17.66</v>
      </c>
      <c r="J712" s="80" t="s">
        <v>603</v>
      </c>
    </row>
    <row r="713" spans="1:10">
      <c r="A713" s="80">
        <f t="shared" si="30"/>
        <v>20110629</v>
      </c>
      <c r="B713" s="110" t="s">
        <v>498</v>
      </c>
      <c r="C713" s="110" t="str">
        <f t="shared" si="31"/>
        <v>20110629RLS</v>
      </c>
      <c r="D713" s="110" t="s">
        <v>327</v>
      </c>
      <c r="E713" s="110" t="str">
        <f t="shared" si="32"/>
        <v>20110629LGUM_382</v>
      </c>
      <c r="F713" s="83">
        <v>18.18</v>
      </c>
      <c r="G713" s="83">
        <v>0.13</v>
      </c>
      <c r="H713" s="83">
        <v>0.74</v>
      </c>
      <c r="I713" s="83">
        <v>17.310000000000002</v>
      </c>
      <c r="J713" s="80" t="s">
        <v>560</v>
      </c>
    </row>
    <row r="714" spans="1:10">
      <c r="A714" s="80">
        <f t="shared" si="30"/>
        <v>20110629</v>
      </c>
      <c r="B714" s="110" t="s">
        <v>498</v>
      </c>
      <c r="C714" s="110" t="str">
        <f t="shared" si="31"/>
        <v>20110629RLS</v>
      </c>
      <c r="D714" s="110" t="s">
        <v>328</v>
      </c>
      <c r="E714" s="110" t="str">
        <f t="shared" si="32"/>
        <v>20110629LGUM_383</v>
      </c>
      <c r="F714" s="83">
        <v>19.47</v>
      </c>
      <c r="G714" s="83">
        <v>0.14000000000000001</v>
      </c>
      <c r="H714" s="83">
        <v>1.07</v>
      </c>
      <c r="I714" s="83">
        <v>18.259999999999998</v>
      </c>
      <c r="J714" s="80" t="s">
        <v>605</v>
      </c>
    </row>
    <row r="715" spans="1:10">
      <c r="A715" s="80">
        <f t="shared" si="30"/>
        <v>20110629</v>
      </c>
      <c r="B715" s="110" t="s">
        <v>725</v>
      </c>
      <c r="C715" s="110" t="str">
        <f t="shared" si="31"/>
        <v>20110629DSK</v>
      </c>
      <c r="D715" s="114" t="s">
        <v>377</v>
      </c>
      <c r="E715" s="110" t="str">
        <f t="shared" si="32"/>
        <v>20110629LGUM_400</v>
      </c>
      <c r="F715" s="83">
        <v>22.55</v>
      </c>
      <c r="G715" s="83">
        <v>0.17</v>
      </c>
      <c r="H715" s="83">
        <v>0.92</v>
      </c>
      <c r="I715" s="83">
        <v>21.459999999999997</v>
      </c>
      <c r="J715" s="118" t="s">
        <v>726</v>
      </c>
    </row>
    <row r="716" spans="1:10">
      <c r="A716" s="80">
        <f t="shared" si="30"/>
        <v>20110629</v>
      </c>
      <c r="B716" s="110" t="s">
        <v>725</v>
      </c>
      <c r="C716" s="110" t="str">
        <f t="shared" si="31"/>
        <v>20110629DSK</v>
      </c>
      <c r="D716" s="114" t="s">
        <v>737</v>
      </c>
      <c r="E716" s="110" t="str">
        <f t="shared" si="32"/>
        <v>20110629LGUM_401</v>
      </c>
      <c r="F716" s="83">
        <v>23.48</v>
      </c>
      <c r="G716" s="83">
        <v>0.18</v>
      </c>
      <c r="H716" s="83">
        <v>0.86</v>
      </c>
      <c r="I716" s="83">
        <v>22.44</v>
      </c>
      <c r="J716" s="118" t="s">
        <v>738</v>
      </c>
    </row>
    <row r="717" spans="1:10">
      <c r="A717" s="80">
        <f>A714</f>
        <v>20110629</v>
      </c>
      <c r="B717" s="110" t="s">
        <v>606</v>
      </c>
      <c r="C717" s="110" t="str">
        <f t="shared" si="31"/>
        <v>20110629LS</v>
      </c>
      <c r="D717" s="110" t="s">
        <v>329</v>
      </c>
      <c r="E717" s="110" t="str">
        <f t="shared" si="32"/>
        <v>20110629LGUM_412</v>
      </c>
      <c r="F717" s="83">
        <v>18.63</v>
      </c>
      <c r="G717" s="83">
        <v>0.2</v>
      </c>
      <c r="H717" s="83">
        <v>0.61</v>
      </c>
      <c r="I717" s="83">
        <v>17.82</v>
      </c>
      <c r="J717" s="118" t="s">
        <v>698</v>
      </c>
    </row>
    <row r="718" spans="1:10">
      <c r="A718" s="80">
        <f t="shared" si="30"/>
        <v>20110629</v>
      </c>
      <c r="B718" s="110" t="s">
        <v>606</v>
      </c>
      <c r="C718" s="110" t="str">
        <f t="shared" si="31"/>
        <v>20110629LS</v>
      </c>
      <c r="D718" s="110" t="s">
        <v>330</v>
      </c>
      <c r="E718" s="110" t="str">
        <f t="shared" si="32"/>
        <v>20110629LGUM_413</v>
      </c>
      <c r="F718" s="83">
        <v>19.22</v>
      </c>
      <c r="G718" s="83">
        <v>0.18</v>
      </c>
      <c r="H718" s="83">
        <v>0.86</v>
      </c>
      <c r="I718" s="83">
        <v>18.18</v>
      </c>
      <c r="J718" s="80" t="s">
        <v>608</v>
      </c>
    </row>
    <row r="719" spans="1:10">
      <c r="A719" s="80">
        <f t="shared" si="30"/>
        <v>20110629</v>
      </c>
      <c r="B719" s="110" t="s">
        <v>606</v>
      </c>
      <c r="C719" s="110" t="str">
        <f t="shared" si="31"/>
        <v>20110629LS</v>
      </c>
      <c r="D719" s="110" t="s">
        <v>331</v>
      </c>
      <c r="E719" s="110" t="str">
        <f t="shared" si="32"/>
        <v>20110629LGUM_414</v>
      </c>
      <c r="F719" s="83">
        <v>20.329999999999998</v>
      </c>
      <c r="G719" s="83">
        <v>0.15</v>
      </c>
      <c r="H719" s="83">
        <v>1.34</v>
      </c>
      <c r="I719" s="83">
        <v>18.84</v>
      </c>
      <c r="J719" s="80" t="s">
        <v>609</v>
      </c>
    </row>
    <row r="720" spans="1:10">
      <c r="A720" s="80">
        <f t="shared" si="30"/>
        <v>20110629</v>
      </c>
      <c r="B720" s="110" t="s">
        <v>606</v>
      </c>
      <c r="C720" s="110" t="str">
        <f t="shared" si="31"/>
        <v>20110629LS</v>
      </c>
      <c r="D720" s="110" t="s">
        <v>332</v>
      </c>
      <c r="E720" s="110" t="str">
        <f t="shared" si="32"/>
        <v>20110629LGUM_415</v>
      </c>
      <c r="F720" s="83">
        <v>19</v>
      </c>
      <c r="G720" s="83">
        <v>0.2</v>
      </c>
      <c r="H720" s="83">
        <v>0.61</v>
      </c>
      <c r="I720" s="83">
        <v>18.190000000000001</v>
      </c>
      <c r="J720" s="118" t="s">
        <v>699</v>
      </c>
    </row>
    <row r="721" spans="1:10">
      <c r="A721" s="80">
        <f t="shared" si="30"/>
        <v>20110629</v>
      </c>
      <c r="B721" s="110" t="s">
        <v>606</v>
      </c>
      <c r="C721" s="110" t="str">
        <f t="shared" si="31"/>
        <v>20110629LS</v>
      </c>
      <c r="D721" s="110" t="s">
        <v>333</v>
      </c>
      <c r="E721" s="110" t="str">
        <f t="shared" si="32"/>
        <v>20110629LGUM_416</v>
      </c>
      <c r="F721" s="83">
        <v>21.22</v>
      </c>
      <c r="G721" s="83">
        <v>0.18</v>
      </c>
      <c r="H721" s="83">
        <v>0.86</v>
      </c>
      <c r="I721" s="83">
        <v>20.18</v>
      </c>
      <c r="J721" s="80" t="s">
        <v>611</v>
      </c>
    </row>
    <row r="722" spans="1:10">
      <c r="A722" s="80">
        <f t="shared" si="30"/>
        <v>20110629</v>
      </c>
      <c r="B722" s="110" t="s">
        <v>606</v>
      </c>
      <c r="C722" s="110" t="str">
        <f t="shared" si="31"/>
        <v>20110629LS</v>
      </c>
      <c r="D722" s="110" t="s">
        <v>334</v>
      </c>
      <c r="E722" s="110" t="str">
        <f t="shared" si="32"/>
        <v>20110629LGUM_417</v>
      </c>
      <c r="F722" s="83">
        <v>22.3</v>
      </c>
      <c r="G722" s="83">
        <v>0.18</v>
      </c>
      <c r="H722" s="83">
        <v>0.86</v>
      </c>
      <c r="I722" s="83">
        <v>21.26</v>
      </c>
      <c r="J722" s="80" t="s">
        <v>612</v>
      </c>
    </row>
    <row r="723" spans="1:10">
      <c r="A723" s="80">
        <f t="shared" si="30"/>
        <v>20110629</v>
      </c>
      <c r="B723" s="110" t="s">
        <v>606</v>
      </c>
      <c r="C723" s="110" t="str">
        <f t="shared" si="31"/>
        <v>20110629LS</v>
      </c>
      <c r="D723" s="110" t="s">
        <v>335</v>
      </c>
      <c r="E723" s="110" t="str">
        <f t="shared" si="32"/>
        <v>20110629LGUM_418</v>
      </c>
      <c r="F723" s="83">
        <v>22.24</v>
      </c>
      <c r="G723" s="83">
        <v>0.15</v>
      </c>
      <c r="H723" s="83">
        <v>1.34</v>
      </c>
      <c r="I723" s="83">
        <v>20.75</v>
      </c>
      <c r="J723" s="80" t="s">
        <v>613</v>
      </c>
    </row>
    <row r="724" spans="1:10">
      <c r="A724" s="80">
        <f t="shared" si="30"/>
        <v>20110629</v>
      </c>
      <c r="B724" s="110" t="s">
        <v>606</v>
      </c>
      <c r="C724" s="110" t="str">
        <f t="shared" si="31"/>
        <v>20110629LS</v>
      </c>
      <c r="D724" s="110" t="s">
        <v>336</v>
      </c>
      <c r="E724" s="110" t="str">
        <f t="shared" si="32"/>
        <v>20110629LGUM_419</v>
      </c>
      <c r="F724" s="83">
        <v>23.25</v>
      </c>
      <c r="G724" s="83">
        <v>0.15</v>
      </c>
      <c r="H724" s="83">
        <v>1.34</v>
      </c>
      <c r="I724" s="83">
        <v>21.76</v>
      </c>
      <c r="J724" s="80" t="s">
        <v>614</v>
      </c>
    </row>
    <row r="725" spans="1:10">
      <c r="A725" s="80">
        <f t="shared" si="30"/>
        <v>20110629</v>
      </c>
      <c r="B725" s="110" t="s">
        <v>606</v>
      </c>
      <c r="C725" s="110" t="str">
        <f t="shared" si="31"/>
        <v>20110629LS</v>
      </c>
      <c r="D725" s="110" t="s">
        <v>337</v>
      </c>
      <c r="E725" s="110" t="str">
        <f t="shared" si="32"/>
        <v>20110629LGUM_420</v>
      </c>
      <c r="F725" s="83">
        <v>28.32</v>
      </c>
      <c r="G725" s="83">
        <v>0.15</v>
      </c>
      <c r="H725" s="83">
        <v>1.34</v>
      </c>
      <c r="I725" s="83">
        <v>26.830000000000002</v>
      </c>
      <c r="J725" s="80" t="s">
        <v>615</v>
      </c>
    </row>
    <row r="726" spans="1:10">
      <c r="A726" s="80">
        <f t="shared" si="30"/>
        <v>20110629</v>
      </c>
      <c r="B726" s="110" t="s">
        <v>606</v>
      </c>
      <c r="C726" s="110" t="str">
        <f t="shared" si="31"/>
        <v>20110629LS</v>
      </c>
      <c r="D726" s="110" t="s">
        <v>338</v>
      </c>
      <c r="E726" s="110" t="str">
        <f t="shared" si="32"/>
        <v>20110629LGUM_421</v>
      </c>
      <c r="F726" s="83">
        <v>31.54</v>
      </c>
      <c r="G726" s="84">
        <v>0.72</v>
      </c>
      <c r="H726" s="83">
        <v>2.17</v>
      </c>
      <c r="I726" s="84">
        <v>28.65</v>
      </c>
      <c r="J726" s="80" t="s">
        <v>616</v>
      </c>
    </row>
    <row r="727" spans="1:10">
      <c r="A727" s="80">
        <f t="shared" si="30"/>
        <v>20110629</v>
      </c>
      <c r="B727" s="110" t="s">
        <v>606</v>
      </c>
      <c r="C727" s="110" t="str">
        <f t="shared" si="31"/>
        <v>20110629LS</v>
      </c>
      <c r="D727" s="110" t="s">
        <v>339</v>
      </c>
      <c r="E727" s="110" t="str">
        <f t="shared" si="32"/>
        <v>20110629LGUM_422</v>
      </c>
      <c r="F727" s="83">
        <v>35.979999999999997</v>
      </c>
      <c r="G727" s="83">
        <v>0.19</v>
      </c>
      <c r="H727" s="83">
        <v>3.48</v>
      </c>
      <c r="I727" s="83">
        <v>32.31</v>
      </c>
      <c r="J727" s="80" t="s">
        <v>617</v>
      </c>
    </row>
    <row r="728" spans="1:10">
      <c r="A728" s="80">
        <f t="shared" si="30"/>
        <v>20110629</v>
      </c>
      <c r="B728" s="110" t="s">
        <v>606</v>
      </c>
      <c r="C728" s="110" t="str">
        <f t="shared" si="31"/>
        <v>20110629LS</v>
      </c>
      <c r="D728" s="110" t="s">
        <v>340</v>
      </c>
      <c r="E728" s="110" t="str">
        <f t="shared" si="32"/>
        <v>20110629LGUM_423</v>
      </c>
      <c r="F728" s="83">
        <v>24.9</v>
      </c>
      <c r="G728" s="83">
        <v>0.15</v>
      </c>
      <c r="H728" s="83">
        <v>1.34</v>
      </c>
      <c r="I728" s="83">
        <v>23.41</v>
      </c>
      <c r="J728" s="80" t="s">
        <v>618</v>
      </c>
    </row>
    <row r="729" spans="1:10">
      <c r="A729" s="80">
        <f t="shared" si="30"/>
        <v>20110629</v>
      </c>
      <c r="B729" s="110" t="s">
        <v>606</v>
      </c>
      <c r="C729" s="110" t="str">
        <f t="shared" si="31"/>
        <v>20110629LS</v>
      </c>
      <c r="D729" s="110" t="s">
        <v>341</v>
      </c>
      <c r="E729" s="110" t="str">
        <f t="shared" si="32"/>
        <v>20110629LGUM_424</v>
      </c>
      <c r="F729" s="83">
        <v>27.28</v>
      </c>
      <c r="G729" s="84">
        <v>0.19</v>
      </c>
      <c r="H729" s="84">
        <v>3.48</v>
      </c>
      <c r="I729" s="84">
        <v>23.61</v>
      </c>
      <c r="J729" s="80" t="s">
        <v>619</v>
      </c>
    </row>
    <row r="730" spans="1:10">
      <c r="A730" s="80">
        <f t="shared" si="30"/>
        <v>20110629</v>
      </c>
      <c r="B730" s="110" t="s">
        <v>606</v>
      </c>
      <c r="C730" s="110" t="str">
        <f t="shared" si="31"/>
        <v>20110629LS</v>
      </c>
      <c r="D730" s="110" t="s">
        <v>342</v>
      </c>
      <c r="E730" s="110" t="str">
        <f t="shared" si="32"/>
        <v>20110629LGUM_425</v>
      </c>
      <c r="F730" s="83">
        <v>31.77</v>
      </c>
      <c r="G730" s="83">
        <v>0.19</v>
      </c>
      <c r="H730" s="83">
        <v>3.48</v>
      </c>
      <c r="I730" s="83">
        <v>28.099999999999998</v>
      </c>
      <c r="J730" s="80" t="s">
        <v>620</v>
      </c>
    </row>
    <row r="731" spans="1:10">
      <c r="A731" s="80">
        <f t="shared" si="30"/>
        <v>20110629</v>
      </c>
      <c r="B731" s="110" t="s">
        <v>606</v>
      </c>
      <c r="C731" s="110" t="str">
        <f t="shared" si="31"/>
        <v>20110629LS</v>
      </c>
      <c r="D731" s="110" t="s">
        <v>343</v>
      </c>
      <c r="E731" s="110" t="str">
        <f t="shared" si="32"/>
        <v>20110629LGUM_426</v>
      </c>
      <c r="F731" s="83">
        <v>31.6</v>
      </c>
      <c r="G731" s="83">
        <v>0.2</v>
      </c>
      <c r="H731" s="83">
        <v>0.61</v>
      </c>
      <c r="I731" s="83">
        <v>30.790000000000003</v>
      </c>
      <c r="J731" s="118" t="s">
        <v>702</v>
      </c>
    </row>
    <row r="732" spans="1:10">
      <c r="A732" s="80">
        <f t="shared" si="30"/>
        <v>20110629</v>
      </c>
      <c r="B732" s="110" t="s">
        <v>606</v>
      </c>
      <c r="C732" s="110" t="str">
        <f t="shared" si="31"/>
        <v>20110629LS</v>
      </c>
      <c r="D732" s="110" t="s">
        <v>344</v>
      </c>
      <c r="E732" s="110" t="str">
        <f t="shared" si="32"/>
        <v>20110629LGUM_427</v>
      </c>
      <c r="F732" s="83">
        <v>33.51</v>
      </c>
      <c r="G732" s="83">
        <v>0.2</v>
      </c>
      <c r="H732" s="83">
        <v>0.61</v>
      </c>
      <c r="I732" s="83">
        <v>32.699999999999996</v>
      </c>
      <c r="J732" s="118" t="s">
        <v>703</v>
      </c>
    </row>
    <row r="733" spans="1:10">
      <c r="A733" s="80">
        <f t="shared" si="30"/>
        <v>20110629</v>
      </c>
      <c r="B733" s="110" t="s">
        <v>606</v>
      </c>
      <c r="C733" s="110" t="str">
        <f t="shared" si="31"/>
        <v>20110629LS</v>
      </c>
      <c r="D733" s="110" t="s">
        <v>345</v>
      </c>
      <c r="E733" s="110" t="str">
        <f t="shared" si="32"/>
        <v>20110629LGUM_428</v>
      </c>
      <c r="F733" s="83">
        <v>32.36</v>
      </c>
      <c r="G733" s="83">
        <v>0.18</v>
      </c>
      <c r="H733" s="83">
        <v>0.86</v>
      </c>
      <c r="I733" s="83">
        <v>31.32</v>
      </c>
      <c r="J733" s="80" t="s">
        <v>623</v>
      </c>
    </row>
    <row r="734" spans="1:10">
      <c r="A734" s="80">
        <f t="shared" si="30"/>
        <v>20110629</v>
      </c>
      <c r="B734" s="110" t="s">
        <v>606</v>
      </c>
      <c r="C734" s="110" t="str">
        <f t="shared" si="31"/>
        <v>20110629LS</v>
      </c>
      <c r="D734" s="110" t="s">
        <v>346</v>
      </c>
      <c r="E734" s="110" t="str">
        <f t="shared" si="32"/>
        <v>20110629LGUM_429</v>
      </c>
      <c r="F734" s="83">
        <v>34.270000000000003</v>
      </c>
      <c r="G734" s="83">
        <v>0.18</v>
      </c>
      <c r="H734" s="83">
        <v>0.86</v>
      </c>
      <c r="I734" s="83">
        <v>33.230000000000004</v>
      </c>
      <c r="J734" s="80" t="s">
        <v>624</v>
      </c>
    </row>
    <row r="735" spans="1:10">
      <c r="A735" s="80">
        <f t="shared" si="30"/>
        <v>20110629</v>
      </c>
      <c r="B735" s="110" t="s">
        <v>606</v>
      </c>
      <c r="C735" s="110" t="str">
        <f t="shared" si="31"/>
        <v>20110629LS</v>
      </c>
      <c r="D735" s="110" t="s">
        <v>347</v>
      </c>
      <c r="E735" s="110" t="str">
        <f t="shared" si="32"/>
        <v>20110629LGUM_430</v>
      </c>
      <c r="F735" s="83">
        <v>30.67</v>
      </c>
      <c r="G735" s="83">
        <v>0.2</v>
      </c>
      <c r="H735" s="83">
        <v>0.61</v>
      </c>
      <c r="I735" s="83">
        <v>29.860000000000003</v>
      </c>
      <c r="J735" s="118" t="s">
        <v>704</v>
      </c>
    </row>
    <row r="736" spans="1:10">
      <c r="A736" s="80">
        <f t="shared" si="30"/>
        <v>20110629</v>
      </c>
      <c r="B736" s="110" t="s">
        <v>606</v>
      </c>
      <c r="C736" s="110" t="str">
        <f t="shared" si="31"/>
        <v>20110629LS</v>
      </c>
      <c r="D736" s="110" t="s">
        <v>348</v>
      </c>
      <c r="E736" s="110" t="str">
        <f t="shared" si="32"/>
        <v>20110629LGUM_431</v>
      </c>
      <c r="F736" s="83">
        <v>31.32</v>
      </c>
      <c r="G736" s="83">
        <v>0.2</v>
      </c>
      <c r="H736" s="83">
        <v>0.61</v>
      </c>
      <c r="I736" s="83">
        <v>30.51</v>
      </c>
      <c r="J736" s="118" t="s">
        <v>705</v>
      </c>
    </row>
    <row r="737" spans="1:10">
      <c r="A737" s="80">
        <f t="shared" ref="A737:A772" si="33">A736</f>
        <v>20110629</v>
      </c>
      <c r="B737" s="110" t="s">
        <v>606</v>
      </c>
      <c r="C737" s="110" t="str">
        <f t="shared" si="31"/>
        <v>20110629LS</v>
      </c>
      <c r="D737" s="110" t="s">
        <v>376</v>
      </c>
      <c r="E737" s="110" t="str">
        <f t="shared" si="32"/>
        <v>20110629LGUM_432</v>
      </c>
      <c r="F737" s="83">
        <v>32.590000000000003</v>
      </c>
      <c r="G737" s="83">
        <v>0.18</v>
      </c>
      <c r="H737" s="83">
        <v>0.86</v>
      </c>
      <c r="I737" s="83">
        <v>31.550000000000004</v>
      </c>
      <c r="J737" s="80" t="s">
        <v>627</v>
      </c>
    </row>
    <row r="738" spans="1:10">
      <c r="A738" s="80">
        <f t="shared" si="33"/>
        <v>20110629</v>
      </c>
      <c r="B738" s="110" t="s">
        <v>606</v>
      </c>
      <c r="C738" s="110" t="str">
        <f t="shared" si="31"/>
        <v>20110629LS</v>
      </c>
      <c r="D738" s="110" t="s">
        <v>349</v>
      </c>
      <c r="E738" s="110" t="str">
        <f t="shared" si="32"/>
        <v>20110629LGUM_433</v>
      </c>
      <c r="F738" s="83">
        <v>33.229999999999997</v>
      </c>
      <c r="G738" s="83">
        <v>0.18</v>
      </c>
      <c r="H738" s="83">
        <v>0.86</v>
      </c>
      <c r="I738" s="83">
        <v>32.19</v>
      </c>
      <c r="J738" s="80" t="s">
        <v>628</v>
      </c>
    </row>
    <row r="739" spans="1:10">
      <c r="A739" s="80">
        <f t="shared" si="33"/>
        <v>20110629</v>
      </c>
      <c r="B739" s="110" t="s">
        <v>606</v>
      </c>
      <c r="C739" s="110" t="str">
        <f t="shared" si="31"/>
        <v>20110629LS</v>
      </c>
      <c r="D739" s="110" t="s">
        <v>350</v>
      </c>
      <c r="E739" s="110" t="str">
        <f t="shared" si="32"/>
        <v>20110629LGUM_434</v>
      </c>
      <c r="F739" s="83">
        <v>16.41</v>
      </c>
      <c r="G739" s="83">
        <v>0.17</v>
      </c>
      <c r="H739" s="83">
        <v>0.92</v>
      </c>
      <c r="I739" s="83">
        <v>15.319999999999999</v>
      </c>
      <c r="J739" s="80" t="s">
        <v>629</v>
      </c>
    </row>
    <row r="740" spans="1:10">
      <c r="A740" s="80">
        <f t="shared" si="33"/>
        <v>20110629</v>
      </c>
      <c r="B740" s="110" t="s">
        <v>606</v>
      </c>
      <c r="C740" s="110" t="str">
        <f t="shared" si="31"/>
        <v>20110629LS</v>
      </c>
      <c r="D740" s="110" t="s">
        <v>351</v>
      </c>
      <c r="E740" s="110" t="str">
        <f t="shared" si="32"/>
        <v>20110629LGUM_435</v>
      </c>
      <c r="F740" s="83">
        <v>18.03</v>
      </c>
      <c r="G740" s="83">
        <v>0.15</v>
      </c>
      <c r="H740" s="83">
        <v>1.55</v>
      </c>
      <c r="I740" s="83">
        <v>16.330000000000002</v>
      </c>
      <c r="J740" s="80" t="s">
        <v>630</v>
      </c>
    </row>
    <row r="741" spans="1:10">
      <c r="A741" s="80">
        <f t="shared" si="33"/>
        <v>20110629</v>
      </c>
      <c r="B741" s="110" t="s">
        <v>606</v>
      </c>
      <c r="C741" s="110" t="str">
        <f t="shared" si="31"/>
        <v>20110629LS</v>
      </c>
      <c r="D741" s="110" t="s">
        <v>631</v>
      </c>
      <c r="E741" s="110" t="str">
        <f t="shared" si="32"/>
        <v>20110629LGUM_436</v>
      </c>
      <c r="F741" s="83">
        <v>22</v>
      </c>
      <c r="G741" s="83">
        <v>0.17</v>
      </c>
      <c r="H741" s="83">
        <v>3.41</v>
      </c>
      <c r="I741" s="83">
        <v>18.419999999999998</v>
      </c>
      <c r="J741" s="80" t="s">
        <v>632</v>
      </c>
    </row>
    <row r="742" spans="1:10">
      <c r="A742" s="80">
        <f t="shared" si="33"/>
        <v>20110629</v>
      </c>
      <c r="B742" s="110" t="s">
        <v>606</v>
      </c>
      <c r="C742" s="110" t="str">
        <f t="shared" si="31"/>
        <v>20110629LS</v>
      </c>
      <c r="D742" s="110" t="s">
        <v>352</v>
      </c>
      <c r="E742" s="110" t="str">
        <f t="shared" si="32"/>
        <v>20110629LGUM_437</v>
      </c>
      <c r="F742" s="83">
        <v>23.47</v>
      </c>
      <c r="G742" s="83">
        <v>0.13</v>
      </c>
      <c r="H742" s="83">
        <v>2.2000000000000002</v>
      </c>
      <c r="I742" s="83">
        <v>21.14</v>
      </c>
      <c r="J742" s="80" t="s">
        <v>633</v>
      </c>
    </row>
    <row r="743" spans="1:10">
      <c r="A743" s="80">
        <f t="shared" si="33"/>
        <v>20110629</v>
      </c>
      <c r="B743" s="110" t="s">
        <v>606</v>
      </c>
      <c r="C743" s="110" t="str">
        <f t="shared" si="31"/>
        <v>20110629LS</v>
      </c>
      <c r="D743" s="110" t="s">
        <v>353</v>
      </c>
      <c r="E743" s="110" t="str">
        <f t="shared" si="32"/>
        <v>20110629LGUM_438</v>
      </c>
      <c r="F743" s="83">
        <v>26.93</v>
      </c>
      <c r="G743" s="83">
        <v>0.17</v>
      </c>
      <c r="H743" s="83">
        <v>3.41</v>
      </c>
      <c r="I743" s="83">
        <v>23.349999999999998</v>
      </c>
      <c r="J743" s="80" t="s">
        <v>634</v>
      </c>
    </row>
    <row r="744" spans="1:10">
      <c r="A744" s="80">
        <f t="shared" si="33"/>
        <v>20110629</v>
      </c>
      <c r="B744" s="110" t="s">
        <v>606</v>
      </c>
      <c r="C744" s="110" t="str">
        <f t="shared" si="31"/>
        <v>20110629LS</v>
      </c>
      <c r="D744" s="114" t="s">
        <v>729</v>
      </c>
      <c r="E744" s="110" t="str">
        <f t="shared" si="32"/>
        <v>20110629LGUM_439</v>
      </c>
      <c r="F744" s="83">
        <v>15.35</v>
      </c>
      <c r="G744" s="83">
        <v>0.15</v>
      </c>
      <c r="H744" s="83">
        <v>1.34</v>
      </c>
      <c r="I744" s="83">
        <v>13.86</v>
      </c>
      <c r="J744" s="118" t="s">
        <v>700</v>
      </c>
    </row>
    <row r="745" spans="1:10">
      <c r="A745" s="80">
        <f t="shared" si="33"/>
        <v>20110629</v>
      </c>
      <c r="B745" s="110" t="s">
        <v>606</v>
      </c>
      <c r="C745" s="110" t="str">
        <f t="shared" si="31"/>
        <v>20110629LS</v>
      </c>
      <c r="D745" s="114" t="s">
        <v>730</v>
      </c>
      <c r="E745" s="110" t="str">
        <f t="shared" si="32"/>
        <v>20110629LGUM_440</v>
      </c>
      <c r="F745" s="83">
        <v>17.46</v>
      </c>
      <c r="G745" s="84">
        <v>0.72</v>
      </c>
      <c r="H745" s="84">
        <v>2.17</v>
      </c>
      <c r="I745" s="84">
        <v>14.570000000000002</v>
      </c>
      <c r="J745" s="118" t="s">
        <v>701</v>
      </c>
    </row>
    <row r="746" spans="1:10">
      <c r="A746" s="80">
        <f t="shared" si="33"/>
        <v>20110629</v>
      </c>
      <c r="B746" s="110" t="s">
        <v>606</v>
      </c>
      <c r="C746" s="110" t="str">
        <f t="shared" si="31"/>
        <v>20110629LS</v>
      </c>
      <c r="D746" s="114" t="s">
        <v>378</v>
      </c>
      <c r="E746" s="110" t="str">
        <f t="shared" si="32"/>
        <v>20110629LGUM_441</v>
      </c>
      <c r="F746" s="83">
        <v>20.46</v>
      </c>
      <c r="G746" s="83">
        <v>0.19</v>
      </c>
      <c r="H746" s="83">
        <v>3.48</v>
      </c>
      <c r="I746" s="83">
        <v>16.79</v>
      </c>
      <c r="J746" s="118" t="s">
        <v>742</v>
      </c>
    </row>
    <row r="747" spans="1:10">
      <c r="A747" s="80">
        <f t="shared" si="33"/>
        <v>20110629</v>
      </c>
      <c r="B747" s="110" t="s">
        <v>606</v>
      </c>
      <c r="C747" s="110" t="str">
        <f t="shared" si="31"/>
        <v>20110629LS</v>
      </c>
      <c r="D747" s="110" t="s">
        <v>354</v>
      </c>
      <c r="E747" s="110" t="str">
        <f t="shared" si="32"/>
        <v>20110629LGUM_452</v>
      </c>
      <c r="F747" s="83">
        <v>11.59</v>
      </c>
      <c r="G747" s="83">
        <v>0.15</v>
      </c>
      <c r="H747" s="83">
        <v>1.34</v>
      </c>
      <c r="I747" s="83">
        <v>10.1</v>
      </c>
      <c r="J747" s="80" t="s">
        <v>635</v>
      </c>
    </row>
    <row r="748" spans="1:10">
      <c r="A748" s="80">
        <f t="shared" si="33"/>
        <v>20110629</v>
      </c>
      <c r="B748" s="110" t="s">
        <v>606</v>
      </c>
      <c r="C748" s="110" t="str">
        <f t="shared" si="31"/>
        <v>20110629LS</v>
      </c>
      <c r="D748" s="110" t="s">
        <v>355</v>
      </c>
      <c r="E748" s="110" t="str">
        <f t="shared" si="32"/>
        <v>20110629LGUM_453</v>
      </c>
      <c r="F748" s="83">
        <v>13.98</v>
      </c>
      <c r="G748" s="84">
        <v>0.19</v>
      </c>
      <c r="H748" s="84">
        <v>3.48</v>
      </c>
      <c r="I748" s="84">
        <v>10.31</v>
      </c>
      <c r="J748" s="80" t="s">
        <v>636</v>
      </c>
    </row>
    <row r="749" spans="1:10">
      <c r="A749" s="80">
        <f t="shared" si="33"/>
        <v>20110629</v>
      </c>
      <c r="B749" s="110" t="s">
        <v>606</v>
      </c>
      <c r="C749" s="110" t="str">
        <f t="shared" si="31"/>
        <v>20110629LS</v>
      </c>
      <c r="D749" s="110" t="s">
        <v>356</v>
      </c>
      <c r="E749" s="110" t="str">
        <f t="shared" si="32"/>
        <v>20110629LGUM_454</v>
      </c>
      <c r="F749" s="83">
        <v>18.47</v>
      </c>
      <c r="G749" s="83">
        <v>0.19</v>
      </c>
      <c r="H749" s="83">
        <v>3.48</v>
      </c>
      <c r="I749" s="83">
        <v>14.799999999999997</v>
      </c>
      <c r="J749" s="80" t="s">
        <v>637</v>
      </c>
    </row>
    <row r="750" spans="1:10">
      <c r="A750" s="80">
        <f t="shared" si="33"/>
        <v>20110629</v>
      </c>
      <c r="B750" s="110" t="s">
        <v>606</v>
      </c>
      <c r="C750" s="110" t="str">
        <f t="shared" si="31"/>
        <v>20110629LS</v>
      </c>
      <c r="D750" s="110" t="s">
        <v>357</v>
      </c>
      <c r="E750" s="110" t="str">
        <f t="shared" si="32"/>
        <v>20110629LGUM_455</v>
      </c>
      <c r="F750" s="83">
        <v>13.2</v>
      </c>
      <c r="G750" s="83">
        <v>0.15</v>
      </c>
      <c r="H750" s="83">
        <v>1.34</v>
      </c>
      <c r="I750" s="83">
        <v>11.709999999999999</v>
      </c>
      <c r="J750" s="80" t="s">
        <v>638</v>
      </c>
    </row>
    <row r="751" spans="1:10">
      <c r="A751" s="80">
        <f t="shared" si="33"/>
        <v>20110629</v>
      </c>
      <c r="B751" s="110" t="s">
        <v>606</v>
      </c>
      <c r="C751" s="110" t="str">
        <f t="shared" si="31"/>
        <v>20110629LS</v>
      </c>
      <c r="D751" s="110" t="s">
        <v>358</v>
      </c>
      <c r="E751" s="110" t="str">
        <f t="shared" si="32"/>
        <v>20110629LGUM_456</v>
      </c>
      <c r="F751" s="83">
        <v>19.440000000000001</v>
      </c>
      <c r="G751" s="83">
        <v>0.19</v>
      </c>
      <c r="H751" s="83">
        <v>3.48</v>
      </c>
      <c r="I751" s="83">
        <v>15.77</v>
      </c>
      <c r="J751" s="80" t="s">
        <v>639</v>
      </c>
    </row>
    <row r="752" spans="1:10">
      <c r="A752" s="80">
        <f t="shared" si="33"/>
        <v>20110629</v>
      </c>
      <c r="B752" s="110" t="s">
        <v>606</v>
      </c>
      <c r="C752" s="110" t="str">
        <f t="shared" si="31"/>
        <v>20110629LS</v>
      </c>
      <c r="D752" s="110" t="s">
        <v>359</v>
      </c>
      <c r="E752" s="110" t="str">
        <f t="shared" si="32"/>
        <v>20110629LGUM_457</v>
      </c>
      <c r="F752" s="83">
        <v>10.26</v>
      </c>
      <c r="G752" s="83">
        <v>0.18</v>
      </c>
      <c r="H752" s="83">
        <v>0.86</v>
      </c>
      <c r="I752" s="83">
        <v>9.2200000000000006</v>
      </c>
      <c r="J752" s="80" t="s">
        <v>640</v>
      </c>
    </row>
    <row r="753" spans="1:10">
      <c r="A753" s="80">
        <f t="shared" si="33"/>
        <v>20110629</v>
      </c>
      <c r="B753" s="110" t="s">
        <v>606</v>
      </c>
      <c r="C753" s="110" t="str">
        <f t="shared" si="31"/>
        <v>20110629LS</v>
      </c>
      <c r="D753" s="110" t="s">
        <v>360</v>
      </c>
      <c r="E753" s="110" t="str">
        <f t="shared" si="32"/>
        <v>20110629LGUM_458</v>
      </c>
      <c r="F753" s="83">
        <v>10.27</v>
      </c>
      <c r="G753" s="83">
        <v>0.17</v>
      </c>
      <c r="H753" s="83">
        <v>3.41</v>
      </c>
      <c r="I753" s="83">
        <v>6.6899999999999995</v>
      </c>
      <c r="J753" s="80" t="s">
        <v>641</v>
      </c>
    </row>
    <row r="754" spans="1:10">
      <c r="A754" s="80">
        <f t="shared" si="33"/>
        <v>20110629</v>
      </c>
      <c r="B754" s="110" t="s">
        <v>606</v>
      </c>
      <c r="C754" s="110" t="str">
        <f t="shared" si="31"/>
        <v>20110629LS</v>
      </c>
      <c r="D754" s="110" t="s">
        <v>361</v>
      </c>
      <c r="E754" s="110" t="str">
        <f t="shared" si="32"/>
        <v>20110629LGUM_459</v>
      </c>
      <c r="F754" s="83">
        <v>11.75</v>
      </c>
      <c r="G754" s="83">
        <v>0.72</v>
      </c>
      <c r="H754" s="83">
        <v>2.17</v>
      </c>
      <c r="I754" s="83">
        <v>8.86</v>
      </c>
      <c r="J754" s="80" t="s">
        <v>642</v>
      </c>
    </row>
    <row r="755" spans="1:10">
      <c r="A755" s="80">
        <f t="shared" si="33"/>
        <v>20110629</v>
      </c>
      <c r="B755" s="110" t="s">
        <v>606</v>
      </c>
      <c r="C755" s="110" t="str">
        <f t="shared" ref="C755:C818" si="34">A755&amp;B755</f>
        <v>20110629LS</v>
      </c>
      <c r="D755" s="110" t="s">
        <v>362</v>
      </c>
      <c r="E755" s="110" t="str">
        <f t="shared" ref="E755:E818" si="35">A755&amp;D755</f>
        <v>20110629LGUM_460</v>
      </c>
      <c r="F755" s="83">
        <v>15.2</v>
      </c>
      <c r="G755" s="83">
        <v>0.19</v>
      </c>
      <c r="H755" s="83">
        <v>3.48</v>
      </c>
      <c r="I755" s="83">
        <v>11.53</v>
      </c>
      <c r="J755" s="80" t="s">
        <v>643</v>
      </c>
    </row>
    <row r="756" spans="1:10">
      <c r="A756" s="80">
        <f t="shared" si="33"/>
        <v>20110629</v>
      </c>
      <c r="B756" s="110" t="s">
        <v>606</v>
      </c>
      <c r="C756" s="110" t="str">
        <f t="shared" si="34"/>
        <v>20110629LS</v>
      </c>
      <c r="D756" s="110" t="s">
        <v>363</v>
      </c>
      <c r="E756" s="110" t="str">
        <f t="shared" si="35"/>
        <v>20110629LGUM_461</v>
      </c>
      <c r="F756" s="83">
        <v>16.55</v>
      </c>
      <c r="G756" s="83">
        <v>0.19</v>
      </c>
      <c r="H756" s="83">
        <v>3.48</v>
      </c>
      <c r="I756" s="83">
        <v>12.879999999999999</v>
      </c>
      <c r="J756" s="80" t="s">
        <v>644</v>
      </c>
    </row>
    <row r="757" spans="1:10">
      <c r="A757" s="80">
        <f t="shared" si="33"/>
        <v>20110629</v>
      </c>
      <c r="B757" s="110" t="s">
        <v>606</v>
      </c>
      <c r="C757" s="110" t="str">
        <f t="shared" si="34"/>
        <v>20110629LS</v>
      </c>
      <c r="D757" s="110" t="s">
        <v>364</v>
      </c>
      <c r="E757" s="110" t="str">
        <f t="shared" si="35"/>
        <v>20110629LGUM_462</v>
      </c>
      <c r="F757" s="83">
        <v>10.01</v>
      </c>
      <c r="G757" s="83">
        <v>0.17</v>
      </c>
      <c r="H757" s="83">
        <v>3.41</v>
      </c>
      <c r="I757" s="83">
        <v>6.43</v>
      </c>
      <c r="J757" s="80" t="s">
        <v>645</v>
      </c>
    </row>
    <row r="758" spans="1:10">
      <c r="A758" s="80">
        <f t="shared" si="33"/>
        <v>20110629</v>
      </c>
      <c r="B758" s="110" t="s">
        <v>606</v>
      </c>
      <c r="C758" s="110" t="str">
        <f t="shared" si="34"/>
        <v>20110629LS</v>
      </c>
      <c r="D758" s="110" t="s">
        <v>365</v>
      </c>
      <c r="E758" s="110" t="str">
        <f t="shared" si="35"/>
        <v>20110629LGUM_470</v>
      </c>
      <c r="F758" s="83">
        <v>11.87</v>
      </c>
      <c r="G758" s="83">
        <v>0.16</v>
      </c>
      <c r="H758" s="83">
        <v>1.1100000000000001</v>
      </c>
      <c r="I758" s="83">
        <v>10.6</v>
      </c>
      <c r="J758" s="80" t="s">
        <v>646</v>
      </c>
    </row>
    <row r="759" spans="1:10">
      <c r="A759" s="80">
        <f t="shared" si="33"/>
        <v>20110629</v>
      </c>
      <c r="B759" s="110" t="s">
        <v>606</v>
      </c>
      <c r="C759" s="110" t="str">
        <f t="shared" si="34"/>
        <v>20110629LS</v>
      </c>
      <c r="D759" s="110" t="s">
        <v>366</v>
      </c>
      <c r="E759" s="110" t="str">
        <f t="shared" si="35"/>
        <v>20110629LGUM_471</v>
      </c>
      <c r="F759" s="83">
        <v>14.07</v>
      </c>
      <c r="G759" s="83">
        <v>0.16</v>
      </c>
      <c r="H759" s="83">
        <v>1.1100000000000001</v>
      </c>
      <c r="I759" s="83">
        <v>12.8</v>
      </c>
      <c r="J759" s="80" t="s">
        <v>647</v>
      </c>
    </row>
    <row r="760" spans="1:10">
      <c r="A760" s="80">
        <f t="shared" si="33"/>
        <v>20110629</v>
      </c>
      <c r="B760" s="110" t="s">
        <v>606</v>
      </c>
      <c r="C760" s="110" t="str">
        <f t="shared" si="34"/>
        <v>20110629LS</v>
      </c>
      <c r="D760" s="110" t="s">
        <v>648</v>
      </c>
      <c r="E760" s="110" t="str">
        <f t="shared" si="35"/>
        <v>20110629LGUM_472</v>
      </c>
      <c r="F760" s="83">
        <v>21.28</v>
      </c>
      <c r="G760" s="83">
        <v>0.16</v>
      </c>
      <c r="H760" s="83">
        <v>1.1100000000000001</v>
      </c>
      <c r="I760" s="83">
        <v>20.010000000000002</v>
      </c>
      <c r="J760" s="80" t="s">
        <v>649</v>
      </c>
    </row>
    <row r="761" spans="1:10">
      <c r="A761" s="80">
        <f t="shared" si="33"/>
        <v>20110629</v>
      </c>
      <c r="B761" s="110" t="s">
        <v>606</v>
      </c>
      <c r="C761" s="110" t="str">
        <f t="shared" si="34"/>
        <v>20110629LS</v>
      </c>
      <c r="D761" s="110" t="s">
        <v>367</v>
      </c>
      <c r="E761" s="110" t="str">
        <f t="shared" si="35"/>
        <v>20110629LGUM_473</v>
      </c>
      <c r="F761" s="83">
        <v>17.13</v>
      </c>
      <c r="G761" s="83">
        <v>0.16</v>
      </c>
      <c r="H761" s="83">
        <v>2.58</v>
      </c>
      <c r="I761" s="83">
        <v>14.389999999999999</v>
      </c>
      <c r="J761" s="80" t="s">
        <v>650</v>
      </c>
    </row>
    <row r="762" spans="1:10">
      <c r="A762" s="80">
        <f t="shared" si="33"/>
        <v>20110629</v>
      </c>
      <c r="B762" s="110" t="s">
        <v>606</v>
      </c>
      <c r="C762" s="110" t="str">
        <f t="shared" si="34"/>
        <v>20110629LS</v>
      </c>
      <c r="D762" s="110" t="s">
        <v>368</v>
      </c>
      <c r="E762" s="110" t="str">
        <f t="shared" si="35"/>
        <v>20110629LGUM_474</v>
      </c>
      <c r="F762" s="83">
        <v>19.34</v>
      </c>
      <c r="G762" s="83">
        <v>0.16</v>
      </c>
      <c r="H762" s="83">
        <v>2.58</v>
      </c>
      <c r="I762" s="83">
        <v>16.600000000000001</v>
      </c>
      <c r="J762" s="80" t="s">
        <v>651</v>
      </c>
    </row>
    <row r="763" spans="1:10">
      <c r="A763" s="80">
        <f t="shared" si="33"/>
        <v>20110629</v>
      </c>
      <c r="B763" s="110" t="s">
        <v>606</v>
      </c>
      <c r="C763" s="110" t="str">
        <f t="shared" si="34"/>
        <v>20110629LS</v>
      </c>
      <c r="D763" s="110" t="s">
        <v>369</v>
      </c>
      <c r="E763" s="110" t="str">
        <f t="shared" si="35"/>
        <v>20110629LGUM_475</v>
      </c>
      <c r="F763" s="83">
        <v>26.54</v>
      </c>
      <c r="G763" s="83">
        <v>0.16</v>
      </c>
      <c r="H763" s="83">
        <v>2.58</v>
      </c>
      <c r="I763" s="83">
        <v>23.799999999999997</v>
      </c>
      <c r="J763" s="80" t="s">
        <v>652</v>
      </c>
    </row>
    <row r="764" spans="1:10">
      <c r="A764" s="80">
        <f t="shared" si="33"/>
        <v>20110629</v>
      </c>
      <c r="B764" s="110" t="s">
        <v>606</v>
      </c>
      <c r="C764" s="110" t="str">
        <f t="shared" si="34"/>
        <v>20110629LS</v>
      </c>
      <c r="D764" s="110" t="s">
        <v>370</v>
      </c>
      <c r="E764" s="110" t="str">
        <f t="shared" si="35"/>
        <v>20110629LGUM_476</v>
      </c>
      <c r="F764" s="83">
        <v>35.64</v>
      </c>
      <c r="G764" s="83">
        <v>0.16</v>
      </c>
      <c r="H764" s="83">
        <v>7.97</v>
      </c>
      <c r="I764" s="83">
        <v>27.510000000000005</v>
      </c>
      <c r="J764" s="80" t="s">
        <v>653</v>
      </c>
    </row>
    <row r="765" spans="1:10">
      <c r="A765" s="80">
        <f t="shared" si="33"/>
        <v>20110629</v>
      </c>
      <c r="B765" s="110" t="s">
        <v>606</v>
      </c>
      <c r="C765" s="110" t="str">
        <f t="shared" si="34"/>
        <v>20110629LS</v>
      </c>
      <c r="D765" s="110" t="s">
        <v>371</v>
      </c>
      <c r="E765" s="110" t="str">
        <f t="shared" si="35"/>
        <v>20110629LGUM_477</v>
      </c>
      <c r="F765" s="83">
        <v>38.71</v>
      </c>
      <c r="G765" s="83">
        <v>0.16</v>
      </c>
      <c r="H765" s="83">
        <v>7.97</v>
      </c>
      <c r="I765" s="83">
        <v>30.580000000000005</v>
      </c>
      <c r="J765" s="80" t="s">
        <v>654</v>
      </c>
    </row>
    <row r="766" spans="1:10">
      <c r="A766" s="80">
        <f t="shared" si="33"/>
        <v>20110629</v>
      </c>
      <c r="B766" s="110" t="s">
        <v>606</v>
      </c>
      <c r="C766" s="110" t="str">
        <f t="shared" si="34"/>
        <v>20110629LS</v>
      </c>
      <c r="D766" s="110" t="s">
        <v>655</v>
      </c>
      <c r="E766" s="110" t="str">
        <f t="shared" si="35"/>
        <v>20110629LGUM_478</v>
      </c>
      <c r="F766" s="83">
        <v>45.04</v>
      </c>
      <c r="G766" s="83">
        <v>0.16</v>
      </c>
      <c r="H766" s="83">
        <v>7.97</v>
      </c>
      <c r="I766" s="83">
        <v>36.910000000000004</v>
      </c>
      <c r="J766" s="80" t="s">
        <v>656</v>
      </c>
    </row>
    <row r="767" spans="1:10">
      <c r="A767" s="80">
        <f t="shared" si="33"/>
        <v>20110629</v>
      </c>
      <c r="B767" s="110" t="s">
        <v>606</v>
      </c>
      <c r="C767" s="110" t="str">
        <f t="shared" si="34"/>
        <v>20110629LS</v>
      </c>
      <c r="D767" s="110" t="s">
        <v>657</v>
      </c>
      <c r="E767" s="110" t="str">
        <f t="shared" si="35"/>
        <v>20110629LGUM_479</v>
      </c>
      <c r="F767" s="83">
        <v>13.1</v>
      </c>
      <c r="G767" s="83">
        <v>0.16</v>
      </c>
      <c r="H767" s="83">
        <v>1.1100000000000001</v>
      </c>
      <c r="I767" s="83">
        <v>11.83</v>
      </c>
      <c r="J767" s="80" t="s">
        <v>658</v>
      </c>
    </row>
    <row r="768" spans="1:10">
      <c r="A768" s="80">
        <f t="shared" si="33"/>
        <v>20110629</v>
      </c>
      <c r="B768" s="110" t="s">
        <v>606</v>
      </c>
      <c r="C768" s="110" t="str">
        <f t="shared" si="34"/>
        <v>20110629LS</v>
      </c>
      <c r="D768" s="110" t="s">
        <v>659</v>
      </c>
      <c r="E768" s="110" t="str">
        <f t="shared" si="35"/>
        <v>20110629LGUM_480</v>
      </c>
      <c r="F768" s="83">
        <v>22.53</v>
      </c>
      <c r="G768" s="83">
        <v>0.16</v>
      </c>
      <c r="H768" s="83">
        <v>1.1100000000000001</v>
      </c>
      <c r="I768" s="83">
        <v>21.26</v>
      </c>
      <c r="J768" s="80" t="s">
        <v>660</v>
      </c>
    </row>
    <row r="769" spans="1:10">
      <c r="A769" s="80">
        <f t="shared" si="33"/>
        <v>20110629</v>
      </c>
      <c r="B769" s="110" t="s">
        <v>606</v>
      </c>
      <c r="C769" s="110" t="str">
        <f t="shared" si="34"/>
        <v>20110629LS</v>
      </c>
      <c r="D769" s="110" t="s">
        <v>399</v>
      </c>
      <c r="E769" s="110" t="str">
        <f t="shared" si="35"/>
        <v>20110629LGUM_481</v>
      </c>
      <c r="F769" s="83">
        <v>18.850000000000001</v>
      </c>
      <c r="G769" s="83">
        <v>0.16</v>
      </c>
      <c r="H769" s="83">
        <v>2.58</v>
      </c>
      <c r="I769" s="83">
        <v>16.11</v>
      </c>
      <c r="J769" s="80" t="s">
        <v>661</v>
      </c>
    </row>
    <row r="770" spans="1:10">
      <c r="A770" s="80">
        <f t="shared" si="33"/>
        <v>20110629</v>
      </c>
      <c r="B770" s="110" t="s">
        <v>606</v>
      </c>
      <c r="C770" s="110" t="str">
        <f t="shared" si="34"/>
        <v>20110629LS</v>
      </c>
      <c r="D770" s="110" t="s">
        <v>372</v>
      </c>
      <c r="E770" s="110" t="str">
        <f t="shared" si="35"/>
        <v>20110629LGUM_482</v>
      </c>
      <c r="F770" s="83">
        <v>28.27</v>
      </c>
      <c r="G770" s="83">
        <v>0.16</v>
      </c>
      <c r="H770" s="83">
        <v>2.58</v>
      </c>
      <c r="I770" s="83">
        <v>25.53</v>
      </c>
      <c r="J770" s="80" t="s">
        <v>662</v>
      </c>
    </row>
    <row r="771" spans="1:10">
      <c r="A771" s="80">
        <f t="shared" si="33"/>
        <v>20110629</v>
      </c>
      <c r="B771" s="110" t="s">
        <v>606</v>
      </c>
      <c r="C771" s="110" t="str">
        <f t="shared" si="34"/>
        <v>20110629LS</v>
      </c>
      <c r="D771" s="110" t="s">
        <v>373</v>
      </c>
      <c r="E771" s="110" t="str">
        <f t="shared" si="35"/>
        <v>20110629LGUM_483</v>
      </c>
      <c r="F771" s="83">
        <v>38.5</v>
      </c>
      <c r="G771" s="83">
        <v>0.16</v>
      </c>
      <c r="H771" s="83">
        <v>7.97</v>
      </c>
      <c r="I771" s="83">
        <v>30.370000000000005</v>
      </c>
      <c r="J771" s="80" t="s">
        <v>663</v>
      </c>
    </row>
    <row r="772" spans="1:10">
      <c r="A772" s="80">
        <f t="shared" si="33"/>
        <v>20110629</v>
      </c>
      <c r="B772" s="110" t="s">
        <v>606</v>
      </c>
      <c r="C772" s="110" t="str">
        <f t="shared" si="34"/>
        <v>20110629LS</v>
      </c>
      <c r="D772" s="110" t="s">
        <v>374</v>
      </c>
      <c r="E772" s="110" t="str">
        <f t="shared" si="35"/>
        <v>20110629LGUM_484</v>
      </c>
      <c r="F772" s="83">
        <v>47.91</v>
      </c>
      <c r="G772" s="83">
        <v>0.16</v>
      </c>
      <c r="H772" s="83">
        <v>7.97</v>
      </c>
      <c r="I772" s="83">
        <v>39.78</v>
      </c>
      <c r="J772" s="80" t="s">
        <v>664</v>
      </c>
    </row>
    <row r="773" spans="1:10">
      <c r="A773" s="102">
        <v>20120301</v>
      </c>
      <c r="B773" s="111" t="s">
        <v>498</v>
      </c>
      <c r="C773" s="111" t="str">
        <f t="shared" si="34"/>
        <v>20120301RLS</v>
      </c>
      <c r="D773" s="111" t="s">
        <v>164</v>
      </c>
      <c r="E773" s="111" t="str">
        <f t="shared" si="35"/>
        <v>20120301LGUM_001</v>
      </c>
      <c r="F773" s="103">
        <v>7.9200000000000008</v>
      </c>
      <c r="G773" s="103">
        <v>0.01</v>
      </c>
      <c r="H773" s="103">
        <v>0.92</v>
      </c>
      <c r="I773" s="103">
        <f t="shared" ref="I773:I836" si="36">F773-G773-H773</f>
        <v>6.9900000000000011</v>
      </c>
      <c r="J773" s="102" t="s">
        <v>499</v>
      </c>
    </row>
    <row r="774" spans="1:10">
      <c r="A774" s="102">
        <v>20120301</v>
      </c>
      <c r="B774" s="111" t="s">
        <v>498</v>
      </c>
      <c r="C774" s="111" t="str">
        <f t="shared" si="34"/>
        <v>20120301RLS</v>
      </c>
      <c r="D774" s="111" t="s">
        <v>196</v>
      </c>
      <c r="E774" s="111" t="str">
        <f t="shared" si="35"/>
        <v>20120301LGUM_101</v>
      </c>
      <c r="F774" s="103">
        <v>7.9200000000000008</v>
      </c>
      <c r="G774" s="103">
        <v>0.01</v>
      </c>
      <c r="H774" s="103">
        <v>0.92</v>
      </c>
      <c r="I774" s="103">
        <f t="shared" si="36"/>
        <v>6.9900000000000011</v>
      </c>
      <c r="J774" s="102" t="s">
        <v>499</v>
      </c>
    </row>
    <row r="775" spans="1:10">
      <c r="A775" s="102">
        <v>20120301</v>
      </c>
      <c r="B775" s="111" t="s">
        <v>498</v>
      </c>
      <c r="C775" s="111" t="str">
        <f t="shared" si="34"/>
        <v>20120301RLS</v>
      </c>
      <c r="D775" s="111" t="s">
        <v>379</v>
      </c>
      <c r="E775" s="111" t="str">
        <f t="shared" si="35"/>
        <v>20120301LGUM_201</v>
      </c>
      <c r="F775" s="103">
        <v>7.9200000000000008</v>
      </c>
      <c r="G775" s="103">
        <v>0.01</v>
      </c>
      <c r="H775" s="103">
        <v>0.92</v>
      </c>
      <c r="I775" s="103">
        <f t="shared" si="36"/>
        <v>6.9900000000000011</v>
      </c>
      <c r="J775" s="102" t="s">
        <v>499</v>
      </c>
    </row>
    <row r="776" spans="1:10">
      <c r="A776" s="102">
        <v>20120301</v>
      </c>
      <c r="B776" s="111" t="s">
        <v>498</v>
      </c>
      <c r="C776" s="111" t="str">
        <f t="shared" si="34"/>
        <v>20120301RLS</v>
      </c>
      <c r="D776" s="111" t="s">
        <v>165</v>
      </c>
      <c r="E776" s="111" t="str">
        <f t="shared" si="35"/>
        <v>20120301LGUM_002</v>
      </c>
      <c r="F776" s="103">
        <v>8.9700000000000006</v>
      </c>
      <c r="G776" s="103">
        <v>0.01</v>
      </c>
      <c r="H776" s="103">
        <v>1.55</v>
      </c>
      <c r="I776" s="103">
        <f t="shared" si="36"/>
        <v>7.410000000000001</v>
      </c>
      <c r="J776" s="102" t="s">
        <v>500</v>
      </c>
    </row>
    <row r="777" spans="1:10">
      <c r="A777" s="102">
        <v>20120301</v>
      </c>
      <c r="B777" s="111" t="s">
        <v>498</v>
      </c>
      <c r="C777" s="111" t="str">
        <f t="shared" si="34"/>
        <v>20120301RLS</v>
      </c>
      <c r="D777" s="111" t="s">
        <v>197</v>
      </c>
      <c r="E777" s="111" t="str">
        <f t="shared" si="35"/>
        <v>20120301LGUM_102</v>
      </c>
      <c r="F777" s="103">
        <v>8.9700000000000006</v>
      </c>
      <c r="G777" s="103">
        <v>0.01</v>
      </c>
      <c r="H777" s="103">
        <v>1.55</v>
      </c>
      <c r="I777" s="103">
        <f t="shared" si="36"/>
        <v>7.410000000000001</v>
      </c>
      <c r="J777" s="102" t="s">
        <v>500</v>
      </c>
    </row>
    <row r="778" spans="1:10">
      <c r="A778" s="102">
        <v>20120301</v>
      </c>
      <c r="B778" s="111" t="s">
        <v>498</v>
      </c>
      <c r="C778" s="111" t="str">
        <f t="shared" si="34"/>
        <v>20120301RLS</v>
      </c>
      <c r="D778" s="111" t="s">
        <v>239</v>
      </c>
      <c r="E778" s="111" t="str">
        <f t="shared" si="35"/>
        <v>20120301LGUM_202</v>
      </c>
      <c r="F778" s="103">
        <v>8.9700000000000006</v>
      </c>
      <c r="G778" s="103">
        <v>0.01</v>
      </c>
      <c r="H778" s="103">
        <v>1.55</v>
      </c>
      <c r="I778" s="103">
        <f t="shared" si="36"/>
        <v>7.410000000000001</v>
      </c>
      <c r="J778" s="102" t="s">
        <v>500</v>
      </c>
    </row>
    <row r="779" spans="1:10">
      <c r="A779" s="102">
        <v>20120301</v>
      </c>
      <c r="B779" s="111" t="s">
        <v>498</v>
      </c>
      <c r="C779" s="111" t="str">
        <f t="shared" si="34"/>
        <v>20120301RLS</v>
      </c>
      <c r="D779" s="111" t="s">
        <v>166</v>
      </c>
      <c r="E779" s="111" t="str">
        <f t="shared" si="35"/>
        <v>20120301LGUM_003</v>
      </c>
      <c r="F779" s="103">
        <v>10.329999999999998</v>
      </c>
      <c r="G779" s="103">
        <v>0.01</v>
      </c>
      <c r="H779" s="103">
        <v>2.2000000000000002</v>
      </c>
      <c r="I779" s="103">
        <f t="shared" si="36"/>
        <v>8.1199999999999974</v>
      </c>
      <c r="J779" s="102" t="s">
        <v>501</v>
      </c>
    </row>
    <row r="780" spans="1:10">
      <c r="A780" s="102">
        <v>20120301</v>
      </c>
      <c r="B780" s="111" t="s">
        <v>498</v>
      </c>
      <c r="C780" s="111" t="str">
        <f t="shared" si="34"/>
        <v>20120301RLS</v>
      </c>
      <c r="D780" s="111" t="s">
        <v>198</v>
      </c>
      <c r="E780" s="111" t="str">
        <f t="shared" si="35"/>
        <v>20120301LGUM_103</v>
      </c>
      <c r="F780" s="103">
        <v>10.329999999999998</v>
      </c>
      <c r="G780" s="103">
        <v>0.01</v>
      </c>
      <c r="H780" s="103">
        <v>2.2000000000000002</v>
      </c>
      <c r="I780" s="103">
        <f t="shared" si="36"/>
        <v>8.1199999999999974</v>
      </c>
      <c r="J780" s="102" t="s">
        <v>501</v>
      </c>
    </row>
    <row r="781" spans="1:10">
      <c r="A781" s="102">
        <v>20120301</v>
      </c>
      <c r="B781" s="111" t="s">
        <v>498</v>
      </c>
      <c r="C781" s="111" t="str">
        <f t="shared" si="34"/>
        <v>20120301RLS</v>
      </c>
      <c r="D781" s="111" t="s">
        <v>241</v>
      </c>
      <c r="E781" s="111" t="str">
        <f t="shared" si="35"/>
        <v>20120301LGUM_203</v>
      </c>
      <c r="F781" s="103">
        <v>10.329999999999998</v>
      </c>
      <c r="G781" s="103">
        <v>0.01</v>
      </c>
      <c r="H781" s="103">
        <v>2.2000000000000002</v>
      </c>
      <c r="I781" s="103">
        <f t="shared" si="36"/>
        <v>8.1199999999999974</v>
      </c>
      <c r="J781" s="102" t="s">
        <v>501</v>
      </c>
    </row>
    <row r="782" spans="1:10">
      <c r="A782" s="102">
        <v>20120301</v>
      </c>
      <c r="B782" s="111" t="s">
        <v>498</v>
      </c>
      <c r="C782" s="111" t="str">
        <f t="shared" si="34"/>
        <v>20120301RLS</v>
      </c>
      <c r="D782" s="111" t="s">
        <v>167</v>
      </c>
      <c r="E782" s="111" t="str">
        <f t="shared" si="35"/>
        <v>20120301LGUM_004</v>
      </c>
      <c r="F782" s="103">
        <v>12.78</v>
      </c>
      <c r="G782" s="103">
        <v>0.01</v>
      </c>
      <c r="H782" s="103">
        <v>3.41</v>
      </c>
      <c r="I782" s="103">
        <f t="shared" si="36"/>
        <v>9.36</v>
      </c>
      <c r="J782" s="102" t="s">
        <v>502</v>
      </c>
    </row>
    <row r="783" spans="1:10">
      <c r="A783" s="102">
        <v>20120301</v>
      </c>
      <c r="B783" s="111" t="s">
        <v>498</v>
      </c>
      <c r="C783" s="111" t="str">
        <f t="shared" si="34"/>
        <v>20120301RLS</v>
      </c>
      <c r="D783" s="111" t="s">
        <v>199</v>
      </c>
      <c r="E783" s="111" t="str">
        <f t="shared" si="35"/>
        <v>20120301LGUM_104</v>
      </c>
      <c r="F783" s="103">
        <v>12.78</v>
      </c>
      <c r="G783" s="103">
        <v>0.01</v>
      </c>
      <c r="H783" s="103">
        <v>3.41</v>
      </c>
      <c r="I783" s="103">
        <f t="shared" si="36"/>
        <v>9.36</v>
      </c>
      <c r="J783" s="102" t="s">
        <v>502</v>
      </c>
    </row>
    <row r="784" spans="1:10">
      <c r="A784" s="102">
        <v>20120301</v>
      </c>
      <c r="B784" s="111" t="s">
        <v>498</v>
      </c>
      <c r="C784" s="111" t="str">
        <f t="shared" si="34"/>
        <v>20120301RLS</v>
      </c>
      <c r="D784" s="111" t="s">
        <v>242</v>
      </c>
      <c r="E784" s="111" t="str">
        <f t="shared" si="35"/>
        <v>20120301LGUM_204</v>
      </c>
      <c r="F784" s="103">
        <v>12.78</v>
      </c>
      <c r="G784" s="103">
        <v>0.01</v>
      </c>
      <c r="H784" s="103">
        <v>3.41</v>
      </c>
      <c r="I784" s="103">
        <f t="shared" si="36"/>
        <v>9.36</v>
      </c>
      <c r="J784" s="102" t="s">
        <v>502</v>
      </c>
    </row>
    <row r="785" spans="1:10">
      <c r="A785" s="102">
        <v>20120301</v>
      </c>
      <c r="B785" s="111" t="s">
        <v>498</v>
      </c>
      <c r="C785" s="111" t="str">
        <f t="shared" si="34"/>
        <v>20120301RLS</v>
      </c>
      <c r="D785" s="111" t="s">
        <v>168</v>
      </c>
      <c r="E785" s="111" t="str">
        <f t="shared" si="35"/>
        <v>20120301LGUM_005</v>
      </c>
      <c r="F785" s="103">
        <v>10</v>
      </c>
      <c r="G785" s="103">
        <v>0.01</v>
      </c>
      <c r="H785" s="103">
        <v>1.07</v>
      </c>
      <c r="I785" s="103">
        <f t="shared" si="36"/>
        <v>8.92</v>
      </c>
      <c r="J785" s="102" t="s">
        <v>503</v>
      </c>
    </row>
    <row r="786" spans="1:10">
      <c r="A786" s="102">
        <v>20120301</v>
      </c>
      <c r="B786" s="111" t="s">
        <v>498</v>
      </c>
      <c r="C786" s="111" t="str">
        <f t="shared" si="34"/>
        <v>20120301RLS</v>
      </c>
      <c r="D786" s="111" t="s">
        <v>200</v>
      </c>
      <c r="E786" s="111" t="str">
        <f t="shared" si="35"/>
        <v>20120301LGUM_105</v>
      </c>
      <c r="F786" s="103">
        <v>10</v>
      </c>
      <c r="G786" s="103">
        <v>0.01</v>
      </c>
      <c r="H786" s="103">
        <v>1.07</v>
      </c>
      <c r="I786" s="103">
        <f t="shared" si="36"/>
        <v>8.92</v>
      </c>
      <c r="J786" s="102" t="s">
        <v>503</v>
      </c>
    </row>
    <row r="787" spans="1:10">
      <c r="A787" s="102">
        <v>20120301</v>
      </c>
      <c r="B787" s="111" t="s">
        <v>498</v>
      </c>
      <c r="C787" s="111" t="str">
        <f t="shared" si="34"/>
        <v>20120301RLS</v>
      </c>
      <c r="D787" s="111" t="s">
        <v>380</v>
      </c>
      <c r="E787" s="111" t="str">
        <f t="shared" si="35"/>
        <v>20120301LGUM_205</v>
      </c>
      <c r="F787" s="103">
        <v>10</v>
      </c>
      <c r="G787" s="103">
        <v>0.01</v>
      </c>
      <c r="H787" s="103">
        <v>1.07</v>
      </c>
      <c r="I787" s="103">
        <f t="shared" si="36"/>
        <v>8.92</v>
      </c>
      <c r="J787" s="102" t="s">
        <v>503</v>
      </c>
    </row>
    <row r="788" spans="1:10">
      <c r="A788" s="102">
        <v>20120301</v>
      </c>
      <c r="B788" s="111" t="s">
        <v>498</v>
      </c>
      <c r="C788" s="111" t="str">
        <f t="shared" si="34"/>
        <v>20120301RLS</v>
      </c>
      <c r="D788" s="111" t="s">
        <v>504</v>
      </c>
      <c r="E788" s="111" t="str">
        <f t="shared" si="35"/>
        <v>20120301LGUM_006</v>
      </c>
      <c r="F788" s="103">
        <v>13.16</v>
      </c>
      <c r="G788" s="103">
        <v>0.01</v>
      </c>
      <c r="H788" s="103">
        <v>0.92</v>
      </c>
      <c r="I788" s="103">
        <f t="shared" si="36"/>
        <v>12.23</v>
      </c>
      <c r="J788" s="102" t="s">
        <v>505</v>
      </c>
    </row>
    <row r="789" spans="1:10">
      <c r="A789" s="102">
        <v>20120301</v>
      </c>
      <c r="B789" s="111" t="s">
        <v>498</v>
      </c>
      <c r="C789" s="111" t="str">
        <f t="shared" si="34"/>
        <v>20120301RLS</v>
      </c>
      <c r="D789" s="111" t="s">
        <v>201</v>
      </c>
      <c r="E789" s="111" t="str">
        <f t="shared" si="35"/>
        <v>20120301LGUM_106</v>
      </c>
      <c r="F789" s="103">
        <v>13.16</v>
      </c>
      <c r="G789" s="103">
        <v>0.01</v>
      </c>
      <c r="H789" s="103">
        <v>0.92</v>
      </c>
      <c r="I789" s="103">
        <f t="shared" si="36"/>
        <v>12.23</v>
      </c>
      <c r="J789" s="102" t="s">
        <v>505</v>
      </c>
    </row>
    <row r="790" spans="1:10">
      <c r="A790" s="102">
        <v>20120301</v>
      </c>
      <c r="B790" s="111" t="s">
        <v>498</v>
      </c>
      <c r="C790" s="111" t="str">
        <f t="shared" si="34"/>
        <v>20120301RLS</v>
      </c>
      <c r="D790" s="111" t="s">
        <v>243</v>
      </c>
      <c r="E790" s="111" t="str">
        <f t="shared" si="35"/>
        <v>20120301LGUM_206</v>
      </c>
      <c r="F790" s="103">
        <v>13.16</v>
      </c>
      <c r="G790" s="103">
        <v>0.01</v>
      </c>
      <c r="H790" s="103">
        <v>0.92</v>
      </c>
      <c r="I790" s="103">
        <f t="shared" si="36"/>
        <v>12.23</v>
      </c>
      <c r="J790" s="102" t="s">
        <v>505</v>
      </c>
    </row>
    <row r="791" spans="1:10">
      <c r="A791" s="102">
        <v>20120301</v>
      </c>
      <c r="B791" s="111" t="s">
        <v>498</v>
      </c>
      <c r="C791" s="111" t="str">
        <f t="shared" si="34"/>
        <v>20120301RLS</v>
      </c>
      <c r="D791" s="111" t="s">
        <v>169</v>
      </c>
      <c r="E791" s="111" t="str">
        <f t="shared" si="35"/>
        <v>20120301LGUM_007</v>
      </c>
      <c r="F791" s="103">
        <v>12.78</v>
      </c>
      <c r="G791" s="103">
        <v>0.01</v>
      </c>
      <c r="H791" s="103">
        <v>3.41</v>
      </c>
      <c r="I791" s="103">
        <f t="shared" si="36"/>
        <v>9.36</v>
      </c>
      <c r="J791" s="102" t="s">
        <v>506</v>
      </c>
    </row>
    <row r="792" spans="1:10">
      <c r="A792" s="102">
        <v>20120301</v>
      </c>
      <c r="B792" s="111" t="s">
        <v>498</v>
      </c>
      <c r="C792" s="111" t="str">
        <f t="shared" si="34"/>
        <v>20120301RLS</v>
      </c>
      <c r="D792" s="111" t="s">
        <v>202</v>
      </c>
      <c r="E792" s="111" t="str">
        <f t="shared" si="35"/>
        <v>20120301LGUM_107</v>
      </c>
      <c r="F792" s="103">
        <v>12.78</v>
      </c>
      <c r="G792" s="103">
        <v>0.01</v>
      </c>
      <c r="H792" s="103">
        <v>3.41</v>
      </c>
      <c r="I792" s="103">
        <f t="shared" si="36"/>
        <v>9.36</v>
      </c>
      <c r="J792" s="102" t="s">
        <v>506</v>
      </c>
    </row>
    <row r="793" spans="1:10">
      <c r="A793" s="102">
        <v>20120301</v>
      </c>
      <c r="B793" s="111" t="s">
        <v>498</v>
      </c>
      <c r="C793" s="111" t="str">
        <f t="shared" si="34"/>
        <v>20120301RLS</v>
      </c>
      <c r="D793" s="111" t="s">
        <v>244</v>
      </c>
      <c r="E793" s="111" t="str">
        <f t="shared" si="35"/>
        <v>20120301LGUM_207</v>
      </c>
      <c r="F793" s="103">
        <v>12.78</v>
      </c>
      <c r="G793" s="103">
        <v>0.01</v>
      </c>
      <c r="H793" s="103">
        <v>3.41</v>
      </c>
      <c r="I793" s="103">
        <f t="shared" si="36"/>
        <v>9.36</v>
      </c>
      <c r="J793" s="102" t="s">
        <v>506</v>
      </c>
    </row>
    <row r="794" spans="1:10">
      <c r="A794" s="102">
        <v>20120301</v>
      </c>
      <c r="B794" s="111" t="s">
        <v>498</v>
      </c>
      <c r="C794" s="111" t="str">
        <f t="shared" si="34"/>
        <v>20120301RLS</v>
      </c>
      <c r="D794" s="111" t="s">
        <v>170</v>
      </c>
      <c r="E794" s="111" t="str">
        <f t="shared" si="35"/>
        <v>20120301LGUM_008</v>
      </c>
      <c r="F794" s="103">
        <v>14.06</v>
      </c>
      <c r="G794" s="103">
        <v>0.01</v>
      </c>
      <c r="H794" s="103">
        <v>1.55</v>
      </c>
      <c r="I794" s="103">
        <f t="shared" si="36"/>
        <v>12.5</v>
      </c>
      <c r="J794" s="102" t="s">
        <v>507</v>
      </c>
    </row>
    <row r="795" spans="1:10">
      <c r="A795" s="102">
        <v>20120301</v>
      </c>
      <c r="B795" s="111" t="s">
        <v>498</v>
      </c>
      <c r="C795" s="111" t="str">
        <f t="shared" si="34"/>
        <v>20120301RLS</v>
      </c>
      <c r="D795" s="111" t="s">
        <v>203</v>
      </c>
      <c r="E795" s="111" t="str">
        <f t="shared" si="35"/>
        <v>20120301LGUM_108</v>
      </c>
      <c r="F795" s="103">
        <v>14.06</v>
      </c>
      <c r="G795" s="103">
        <v>0.01</v>
      </c>
      <c r="H795" s="103">
        <v>1.55</v>
      </c>
      <c r="I795" s="103">
        <f t="shared" si="36"/>
        <v>12.5</v>
      </c>
      <c r="J795" s="102" t="s">
        <v>507</v>
      </c>
    </row>
    <row r="796" spans="1:10">
      <c r="A796" s="102">
        <v>20120301</v>
      </c>
      <c r="B796" s="111" t="s">
        <v>498</v>
      </c>
      <c r="C796" s="111" t="str">
        <f t="shared" si="34"/>
        <v>20120301RLS</v>
      </c>
      <c r="D796" s="111" t="s">
        <v>245</v>
      </c>
      <c r="E796" s="111" t="str">
        <f t="shared" si="35"/>
        <v>20120301LGUM_208</v>
      </c>
      <c r="F796" s="103">
        <v>14.06</v>
      </c>
      <c r="G796" s="103">
        <v>0.01</v>
      </c>
      <c r="H796" s="103">
        <v>1.55</v>
      </c>
      <c r="I796" s="103">
        <f t="shared" si="36"/>
        <v>12.5</v>
      </c>
      <c r="J796" s="102" t="s">
        <v>507</v>
      </c>
    </row>
    <row r="797" spans="1:10">
      <c r="A797" s="102">
        <v>20120301</v>
      </c>
      <c r="B797" s="111" t="s">
        <v>498</v>
      </c>
      <c r="C797" s="111" t="str">
        <f t="shared" si="34"/>
        <v>20120301RLS</v>
      </c>
      <c r="D797" s="111" t="s">
        <v>508</v>
      </c>
      <c r="E797" s="111" t="str">
        <f t="shared" si="35"/>
        <v>20120301LGUM_009</v>
      </c>
      <c r="F797" s="103">
        <v>24.04</v>
      </c>
      <c r="G797" s="103">
        <v>0.02</v>
      </c>
      <c r="H797" s="103">
        <v>8.16</v>
      </c>
      <c r="I797" s="103">
        <f t="shared" si="36"/>
        <v>15.86</v>
      </c>
      <c r="J797" s="102" t="s">
        <v>509</v>
      </c>
    </row>
    <row r="798" spans="1:10">
      <c r="A798" s="102">
        <v>20120301</v>
      </c>
      <c r="B798" s="111" t="s">
        <v>498</v>
      </c>
      <c r="C798" s="111" t="str">
        <f t="shared" si="34"/>
        <v>20120301RLS</v>
      </c>
      <c r="D798" s="111" t="s">
        <v>204</v>
      </c>
      <c r="E798" s="111" t="str">
        <f t="shared" si="35"/>
        <v>20120301LGUM_109</v>
      </c>
      <c r="F798" s="103">
        <v>24.04</v>
      </c>
      <c r="G798" s="103">
        <v>0.02</v>
      </c>
      <c r="H798" s="103">
        <v>8.16</v>
      </c>
      <c r="I798" s="103">
        <f t="shared" si="36"/>
        <v>15.86</v>
      </c>
      <c r="J798" s="102" t="s">
        <v>509</v>
      </c>
    </row>
    <row r="799" spans="1:10">
      <c r="A799" s="102">
        <v>20120301</v>
      </c>
      <c r="B799" s="111" t="s">
        <v>498</v>
      </c>
      <c r="C799" s="111" t="str">
        <f t="shared" si="34"/>
        <v>20120301RLS</v>
      </c>
      <c r="D799" s="111" t="s">
        <v>381</v>
      </c>
      <c r="E799" s="111" t="str">
        <f t="shared" si="35"/>
        <v>20120301LGUM_209</v>
      </c>
      <c r="F799" s="103">
        <v>24.04</v>
      </c>
      <c r="G799" s="103">
        <v>0.02</v>
      </c>
      <c r="H799" s="103">
        <v>8.16</v>
      </c>
      <c r="I799" s="103">
        <f t="shared" si="36"/>
        <v>15.86</v>
      </c>
      <c r="J799" s="102" t="s">
        <v>509</v>
      </c>
    </row>
    <row r="800" spans="1:10">
      <c r="A800" s="102">
        <v>20120301</v>
      </c>
      <c r="B800" s="111" t="s">
        <v>498</v>
      </c>
      <c r="C800" s="111" t="str">
        <f t="shared" si="34"/>
        <v>20120301RLS</v>
      </c>
      <c r="D800" s="111" t="s">
        <v>171</v>
      </c>
      <c r="E800" s="111" t="str">
        <f t="shared" si="35"/>
        <v>20120301LGUM_010</v>
      </c>
      <c r="F800" s="103">
        <v>24.04</v>
      </c>
      <c r="G800" s="103">
        <v>0.02</v>
      </c>
      <c r="H800" s="103">
        <v>8.16</v>
      </c>
      <c r="I800" s="103">
        <f t="shared" si="36"/>
        <v>15.86</v>
      </c>
      <c r="J800" s="102" t="s">
        <v>510</v>
      </c>
    </row>
    <row r="801" spans="1:10">
      <c r="A801" s="102">
        <v>20120301</v>
      </c>
      <c r="B801" s="111" t="s">
        <v>498</v>
      </c>
      <c r="C801" s="111" t="str">
        <f t="shared" si="34"/>
        <v>20120301RLS</v>
      </c>
      <c r="D801" s="111" t="s">
        <v>205</v>
      </c>
      <c r="E801" s="111" t="str">
        <f t="shared" si="35"/>
        <v>20120301LGUM_110</v>
      </c>
      <c r="F801" s="103">
        <v>24.04</v>
      </c>
      <c r="G801" s="103">
        <v>0.02</v>
      </c>
      <c r="H801" s="103">
        <v>8.16</v>
      </c>
      <c r="I801" s="103">
        <f t="shared" si="36"/>
        <v>15.86</v>
      </c>
      <c r="J801" s="102" t="s">
        <v>510</v>
      </c>
    </row>
    <row r="802" spans="1:10">
      <c r="A802" s="102">
        <v>20120301</v>
      </c>
      <c r="B802" s="111" t="s">
        <v>498</v>
      </c>
      <c r="C802" s="111" t="str">
        <f t="shared" si="34"/>
        <v>20120301RLS</v>
      </c>
      <c r="D802" s="111" t="s">
        <v>246</v>
      </c>
      <c r="E802" s="111" t="str">
        <f t="shared" si="35"/>
        <v>20120301LGUM_210</v>
      </c>
      <c r="F802" s="103">
        <v>24.04</v>
      </c>
      <c r="G802" s="103">
        <v>0.02</v>
      </c>
      <c r="H802" s="103">
        <v>8.16</v>
      </c>
      <c r="I802" s="103">
        <f t="shared" si="36"/>
        <v>15.86</v>
      </c>
      <c r="J802" s="102" t="s">
        <v>510</v>
      </c>
    </row>
    <row r="803" spans="1:10">
      <c r="A803" s="102">
        <v>20120301</v>
      </c>
      <c r="B803" s="111" t="s">
        <v>498</v>
      </c>
      <c r="C803" s="111" t="str">
        <f t="shared" si="34"/>
        <v>20120301RLS</v>
      </c>
      <c r="D803" s="111" t="s">
        <v>172</v>
      </c>
      <c r="E803" s="111" t="str">
        <f t="shared" si="35"/>
        <v>20120301LGUM_011</v>
      </c>
      <c r="F803" s="103">
        <v>14.97</v>
      </c>
      <c r="G803" s="103">
        <v>0.02</v>
      </c>
      <c r="H803" s="103">
        <v>2.2999999999999998</v>
      </c>
      <c r="I803" s="103">
        <f t="shared" si="36"/>
        <v>12.650000000000002</v>
      </c>
      <c r="J803" s="102" t="s">
        <v>511</v>
      </c>
    </row>
    <row r="804" spans="1:10">
      <c r="A804" s="102">
        <v>20120301</v>
      </c>
      <c r="B804" s="111" t="s">
        <v>498</v>
      </c>
      <c r="C804" s="111" t="str">
        <f t="shared" si="34"/>
        <v>20120301RLS</v>
      </c>
      <c r="D804" s="111" t="s">
        <v>206</v>
      </c>
      <c r="E804" s="111" t="str">
        <f t="shared" si="35"/>
        <v>20120301LGUM_111</v>
      </c>
      <c r="F804" s="103">
        <v>14.97</v>
      </c>
      <c r="G804" s="103">
        <v>0.02</v>
      </c>
      <c r="H804" s="103">
        <v>2.2999999999999998</v>
      </c>
      <c r="I804" s="103">
        <f t="shared" si="36"/>
        <v>12.650000000000002</v>
      </c>
      <c r="J804" s="102" t="s">
        <v>511</v>
      </c>
    </row>
    <row r="805" spans="1:10">
      <c r="A805" s="102">
        <v>20120301</v>
      </c>
      <c r="B805" s="111" t="s">
        <v>498</v>
      </c>
      <c r="C805" s="111" t="str">
        <f t="shared" si="34"/>
        <v>20120301RLS</v>
      </c>
      <c r="D805" s="111" t="s">
        <v>247</v>
      </c>
      <c r="E805" s="111" t="str">
        <f t="shared" si="35"/>
        <v>20120301LGUM_211</v>
      </c>
      <c r="F805" s="103">
        <v>14.97</v>
      </c>
      <c r="G805" s="103">
        <v>0.02</v>
      </c>
      <c r="H805" s="103">
        <v>2.2999999999999998</v>
      </c>
      <c r="I805" s="103">
        <f t="shared" si="36"/>
        <v>12.650000000000002</v>
      </c>
      <c r="J805" s="102" t="s">
        <v>511</v>
      </c>
    </row>
    <row r="806" spans="1:10">
      <c r="A806" s="102">
        <v>20120301</v>
      </c>
      <c r="B806" s="111" t="s">
        <v>498</v>
      </c>
      <c r="C806" s="111" t="str">
        <f t="shared" si="34"/>
        <v>20120301RLS</v>
      </c>
      <c r="D806" s="111" t="s">
        <v>173</v>
      </c>
      <c r="E806" s="111" t="str">
        <f t="shared" si="35"/>
        <v>20120301LGUM_012</v>
      </c>
      <c r="F806" s="103">
        <v>16.34</v>
      </c>
      <c r="G806" s="103">
        <v>0.02</v>
      </c>
      <c r="H806" s="103">
        <v>3.65</v>
      </c>
      <c r="I806" s="103">
        <f t="shared" si="36"/>
        <v>12.67</v>
      </c>
      <c r="J806" s="102" t="s">
        <v>512</v>
      </c>
    </row>
    <row r="807" spans="1:10">
      <c r="A807" s="102">
        <v>20120301</v>
      </c>
      <c r="B807" s="111" t="s">
        <v>498</v>
      </c>
      <c r="C807" s="111" t="str">
        <f t="shared" si="34"/>
        <v>20120301RLS</v>
      </c>
      <c r="D807" s="111" t="s">
        <v>207</v>
      </c>
      <c r="E807" s="111" t="str">
        <f t="shared" si="35"/>
        <v>20120301LGUM_112</v>
      </c>
      <c r="F807" s="103">
        <v>16.34</v>
      </c>
      <c r="G807" s="103">
        <v>0.02</v>
      </c>
      <c r="H807" s="103">
        <v>3.65</v>
      </c>
      <c r="I807" s="103">
        <f t="shared" si="36"/>
        <v>12.67</v>
      </c>
      <c r="J807" s="102" t="s">
        <v>512</v>
      </c>
    </row>
    <row r="808" spans="1:10">
      <c r="A808" s="102">
        <v>20120301</v>
      </c>
      <c r="B808" s="111" t="s">
        <v>498</v>
      </c>
      <c r="C808" s="111" t="str">
        <f t="shared" si="34"/>
        <v>20120301RLS</v>
      </c>
      <c r="D808" s="111" t="s">
        <v>248</v>
      </c>
      <c r="E808" s="111" t="str">
        <f t="shared" si="35"/>
        <v>20120301LGUM_212</v>
      </c>
      <c r="F808" s="103">
        <v>16.34</v>
      </c>
      <c r="G808" s="103">
        <v>0.02</v>
      </c>
      <c r="H808" s="103">
        <v>3.65</v>
      </c>
      <c r="I808" s="103">
        <f t="shared" si="36"/>
        <v>12.67</v>
      </c>
      <c r="J808" s="102" t="s">
        <v>512</v>
      </c>
    </row>
    <row r="809" spans="1:10">
      <c r="A809" s="102">
        <v>20120301</v>
      </c>
      <c r="B809" s="111" t="s">
        <v>498</v>
      </c>
      <c r="C809" s="111" t="str">
        <f t="shared" si="34"/>
        <v>20120301RLS</v>
      </c>
      <c r="D809" s="111" t="s">
        <v>174</v>
      </c>
      <c r="E809" s="111" t="str">
        <f t="shared" si="35"/>
        <v>20120301LGUM_013</v>
      </c>
      <c r="F809" s="103">
        <v>16.34</v>
      </c>
      <c r="G809" s="103">
        <v>0.02</v>
      </c>
      <c r="H809" s="103">
        <v>3.65</v>
      </c>
      <c r="I809" s="103">
        <f t="shared" si="36"/>
        <v>12.67</v>
      </c>
      <c r="J809" s="102" t="s">
        <v>513</v>
      </c>
    </row>
    <row r="810" spans="1:10">
      <c r="A810" s="102">
        <v>20120301</v>
      </c>
      <c r="B810" s="111" t="s">
        <v>498</v>
      </c>
      <c r="C810" s="111" t="str">
        <f t="shared" si="34"/>
        <v>20120301RLS</v>
      </c>
      <c r="D810" s="111" t="s">
        <v>208</v>
      </c>
      <c r="E810" s="111" t="str">
        <f t="shared" si="35"/>
        <v>20120301LGUM_113</v>
      </c>
      <c r="F810" s="103">
        <v>16.34</v>
      </c>
      <c r="G810" s="103">
        <v>0.02</v>
      </c>
      <c r="H810" s="103">
        <v>3.65</v>
      </c>
      <c r="I810" s="103">
        <f t="shared" si="36"/>
        <v>12.67</v>
      </c>
      <c r="J810" s="102" t="s">
        <v>513</v>
      </c>
    </row>
    <row r="811" spans="1:10">
      <c r="A811" s="102">
        <v>20120301</v>
      </c>
      <c r="B811" s="111" t="s">
        <v>498</v>
      </c>
      <c r="C811" s="111" t="str">
        <f t="shared" si="34"/>
        <v>20120301RLS</v>
      </c>
      <c r="D811" s="111" t="s">
        <v>382</v>
      </c>
      <c r="E811" s="111" t="str">
        <f t="shared" si="35"/>
        <v>20120301LGUM_213</v>
      </c>
      <c r="F811" s="103">
        <v>16.34</v>
      </c>
      <c r="G811" s="103">
        <v>0.02</v>
      </c>
      <c r="H811" s="103">
        <v>3.65</v>
      </c>
      <c r="I811" s="103">
        <f t="shared" si="36"/>
        <v>12.67</v>
      </c>
      <c r="J811" s="102" t="s">
        <v>513</v>
      </c>
    </row>
    <row r="812" spans="1:10">
      <c r="A812" s="102">
        <v>20120301</v>
      </c>
      <c r="B812" s="111" t="s">
        <v>498</v>
      </c>
      <c r="C812" s="111" t="str">
        <f t="shared" si="34"/>
        <v>20120301RLS</v>
      </c>
      <c r="D812" s="111" t="s">
        <v>514</v>
      </c>
      <c r="E812" s="111" t="str">
        <f t="shared" si="35"/>
        <v>20120301LGUM_016</v>
      </c>
      <c r="F812" s="103">
        <v>27.14</v>
      </c>
      <c r="G812" s="103">
        <v>0.02</v>
      </c>
      <c r="H812" s="103">
        <v>2.2999999999999998</v>
      </c>
      <c r="I812" s="103">
        <f t="shared" si="36"/>
        <v>24.82</v>
      </c>
      <c r="J812" s="102" t="s">
        <v>515</v>
      </c>
    </row>
    <row r="813" spans="1:10">
      <c r="A813" s="102">
        <v>20120301</v>
      </c>
      <c r="B813" s="111" t="s">
        <v>498</v>
      </c>
      <c r="C813" s="111" t="str">
        <f t="shared" si="34"/>
        <v>20120301RLS</v>
      </c>
      <c r="D813" s="111" t="s">
        <v>209</v>
      </c>
      <c r="E813" s="111" t="str">
        <f t="shared" si="35"/>
        <v>20120301LGUM_116</v>
      </c>
      <c r="F813" s="103">
        <v>27.14</v>
      </c>
      <c r="G813" s="103">
        <v>0.02</v>
      </c>
      <c r="H813" s="103">
        <v>2.2999999999999998</v>
      </c>
      <c r="I813" s="103">
        <f t="shared" si="36"/>
        <v>24.82</v>
      </c>
      <c r="J813" s="102" t="s">
        <v>515</v>
      </c>
    </row>
    <row r="814" spans="1:10">
      <c r="A814" s="102">
        <v>20120301</v>
      </c>
      <c r="B814" s="111" t="s">
        <v>498</v>
      </c>
      <c r="C814" s="111" t="str">
        <f t="shared" si="34"/>
        <v>20120301RLS</v>
      </c>
      <c r="D814" s="111" t="s">
        <v>384</v>
      </c>
      <c r="E814" s="111" t="str">
        <f t="shared" si="35"/>
        <v>20120301LGUM_216</v>
      </c>
      <c r="F814" s="103">
        <v>27.14</v>
      </c>
      <c r="G814" s="103">
        <v>0.02</v>
      </c>
      <c r="H814" s="103">
        <v>2.2999999999999998</v>
      </c>
      <c r="I814" s="103">
        <f t="shared" si="36"/>
        <v>24.82</v>
      </c>
      <c r="J814" s="102" t="s">
        <v>515</v>
      </c>
    </row>
    <row r="815" spans="1:10">
      <c r="A815" s="102">
        <v>20120301</v>
      </c>
      <c r="B815" s="111" t="s">
        <v>498</v>
      </c>
      <c r="C815" s="111" t="str">
        <f t="shared" si="34"/>
        <v>20120301RLS</v>
      </c>
      <c r="D815" s="111" t="s">
        <v>516</v>
      </c>
      <c r="E815" s="111" t="str">
        <f t="shared" si="35"/>
        <v>20120301LGUM_017</v>
      </c>
      <c r="F815" s="103">
        <v>30.310000000000006</v>
      </c>
      <c r="G815" s="103">
        <v>0.02</v>
      </c>
      <c r="H815" s="103">
        <v>3.65</v>
      </c>
      <c r="I815" s="103">
        <f t="shared" si="36"/>
        <v>26.640000000000008</v>
      </c>
      <c r="J815" s="102" t="s">
        <v>517</v>
      </c>
    </row>
    <row r="816" spans="1:10">
      <c r="A816" s="102">
        <v>20120301</v>
      </c>
      <c r="B816" s="111" t="s">
        <v>498</v>
      </c>
      <c r="C816" s="111" t="str">
        <f t="shared" si="34"/>
        <v>20120301RLS</v>
      </c>
      <c r="D816" s="111" t="s">
        <v>210</v>
      </c>
      <c r="E816" s="111" t="str">
        <f t="shared" si="35"/>
        <v>20120301LGUM_117</v>
      </c>
      <c r="F816" s="103">
        <v>30.310000000000006</v>
      </c>
      <c r="G816" s="103">
        <v>0.02</v>
      </c>
      <c r="H816" s="103">
        <v>3.65</v>
      </c>
      <c r="I816" s="103">
        <f t="shared" si="36"/>
        <v>26.640000000000008</v>
      </c>
      <c r="J816" s="102" t="s">
        <v>517</v>
      </c>
    </row>
    <row r="817" spans="1:10">
      <c r="A817" s="102">
        <v>20120301</v>
      </c>
      <c r="B817" s="111" t="s">
        <v>498</v>
      </c>
      <c r="C817" s="111" t="str">
        <f t="shared" si="34"/>
        <v>20120301RLS</v>
      </c>
      <c r="D817" s="111" t="s">
        <v>385</v>
      </c>
      <c r="E817" s="111" t="str">
        <f t="shared" si="35"/>
        <v>20120301LGUM_217</v>
      </c>
      <c r="F817" s="103">
        <v>30.310000000000006</v>
      </c>
      <c r="G817" s="103">
        <v>0.02</v>
      </c>
      <c r="H817" s="103">
        <v>3.65</v>
      </c>
      <c r="I817" s="103">
        <f t="shared" si="36"/>
        <v>26.640000000000008</v>
      </c>
      <c r="J817" s="102" t="s">
        <v>517</v>
      </c>
    </row>
    <row r="818" spans="1:10">
      <c r="A818" s="102">
        <v>20120301</v>
      </c>
      <c r="B818" s="111" t="s">
        <v>498</v>
      </c>
      <c r="C818" s="111" t="str">
        <f t="shared" si="34"/>
        <v>20120301RLS</v>
      </c>
      <c r="D818" s="111" t="s">
        <v>175</v>
      </c>
      <c r="E818" s="111" t="str">
        <f t="shared" si="35"/>
        <v>20120301LGUM_022</v>
      </c>
      <c r="F818" s="103">
        <v>12.629999999999997</v>
      </c>
      <c r="G818" s="103">
        <v>0.01</v>
      </c>
      <c r="H818" s="103">
        <v>1.55</v>
      </c>
      <c r="I818" s="103">
        <f t="shared" si="36"/>
        <v>11.069999999999997</v>
      </c>
      <c r="J818" s="102" t="s">
        <v>518</v>
      </c>
    </row>
    <row r="819" spans="1:10">
      <c r="A819" s="102">
        <v>20120301</v>
      </c>
      <c r="B819" s="111" t="s">
        <v>498</v>
      </c>
      <c r="C819" s="111" t="str">
        <f t="shared" ref="C819:C882" si="37">A819&amp;B819</f>
        <v>20120301RLS</v>
      </c>
      <c r="D819" s="111" t="s">
        <v>211</v>
      </c>
      <c r="E819" s="111" t="str">
        <f t="shared" ref="E819:E882" si="38">A819&amp;D819</f>
        <v>20120301LGUM_122</v>
      </c>
      <c r="F819" s="103">
        <v>12.629999999999997</v>
      </c>
      <c r="G819" s="103">
        <v>0.01</v>
      </c>
      <c r="H819" s="103">
        <v>1.55</v>
      </c>
      <c r="I819" s="103">
        <f t="shared" si="36"/>
        <v>11.069999999999997</v>
      </c>
      <c r="J819" s="102" t="s">
        <v>518</v>
      </c>
    </row>
    <row r="820" spans="1:10">
      <c r="A820" s="102">
        <v>20120301</v>
      </c>
      <c r="B820" s="111" t="s">
        <v>498</v>
      </c>
      <c r="C820" s="111" t="str">
        <f t="shared" si="37"/>
        <v>20120301RLS</v>
      </c>
      <c r="D820" s="111" t="s">
        <v>250</v>
      </c>
      <c r="E820" s="111" t="str">
        <f t="shared" si="38"/>
        <v>20120301LGUM_222</v>
      </c>
      <c r="F820" s="103">
        <v>12.629999999999997</v>
      </c>
      <c r="G820" s="103">
        <v>0.01</v>
      </c>
      <c r="H820" s="103">
        <v>1.55</v>
      </c>
      <c r="I820" s="103">
        <f t="shared" si="36"/>
        <v>11.069999999999997</v>
      </c>
      <c r="J820" s="102" t="s">
        <v>518</v>
      </c>
    </row>
    <row r="821" spans="1:10">
      <c r="A821" s="102">
        <v>20120301</v>
      </c>
      <c r="B821" s="111" t="s">
        <v>498</v>
      </c>
      <c r="C821" s="111" t="str">
        <f t="shared" si="37"/>
        <v>20120301RLS</v>
      </c>
      <c r="D821" s="111" t="s">
        <v>176</v>
      </c>
      <c r="E821" s="111" t="str">
        <f t="shared" si="38"/>
        <v>20120301LGUM_023</v>
      </c>
      <c r="F821" s="103">
        <v>12.629999999999997</v>
      </c>
      <c r="G821" s="103">
        <v>0.01</v>
      </c>
      <c r="H821" s="103">
        <v>1.55</v>
      </c>
      <c r="I821" s="103">
        <f t="shared" si="36"/>
        <v>11.069999999999997</v>
      </c>
      <c r="J821" s="102" t="s">
        <v>519</v>
      </c>
    </row>
    <row r="822" spans="1:10">
      <c r="A822" s="102">
        <v>20120301</v>
      </c>
      <c r="B822" s="111" t="s">
        <v>498</v>
      </c>
      <c r="C822" s="111" t="str">
        <f t="shared" si="37"/>
        <v>20120301RLS</v>
      </c>
      <c r="D822" s="111" t="s">
        <v>212</v>
      </c>
      <c r="E822" s="111" t="str">
        <f t="shared" si="38"/>
        <v>20120301LGUM_123</v>
      </c>
      <c r="F822" s="103">
        <v>12.629999999999997</v>
      </c>
      <c r="G822" s="103">
        <v>0.01</v>
      </c>
      <c r="H822" s="103">
        <v>1.55</v>
      </c>
      <c r="I822" s="103">
        <f t="shared" si="36"/>
        <v>11.069999999999997</v>
      </c>
      <c r="J822" s="102" t="s">
        <v>519</v>
      </c>
    </row>
    <row r="823" spans="1:10">
      <c r="A823" s="102">
        <v>20120301</v>
      </c>
      <c r="B823" s="111" t="s">
        <v>498</v>
      </c>
      <c r="C823" s="111" t="str">
        <f t="shared" si="37"/>
        <v>20120301RLS</v>
      </c>
      <c r="D823" s="111" t="s">
        <v>386</v>
      </c>
      <c r="E823" s="111" t="str">
        <f t="shared" si="38"/>
        <v>20120301LGUM_223</v>
      </c>
      <c r="F823" s="103">
        <v>12.629999999999997</v>
      </c>
      <c r="G823" s="103">
        <v>0.01</v>
      </c>
      <c r="H823" s="103">
        <v>1.55</v>
      </c>
      <c r="I823" s="103">
        <f t="shared" si="36"/>
        <v>11.069999999999997</v>
      </c>
      <c r="J823" s="102" t="s">
        <v>519</v>
      </c>
    </row>
    <row r="824" spans="1:10">
      <c r="A824" s="102">
        <v>20120301</v>
      </c>
      <c r="B824" s="111" t="s">
        <v>498</v>
      </c>
      <c r="C824" s="111" t="str">
        <f t="shared" si="37"/>
        <v>20120301RLS</v>
      </c>
      <c r="D824" s="111" t="s">
        <v>177</v>
      </c>
      <c r="E824" s="111" t="str">
        <f t="shared" si="38"/>
        <v>20120301LGUM_024</v>
      </c>
      <c r="F824" s="103">
        <v>17.489999999999998</v>
      </c>
      <c r="G824" s="103">
        <v>0.01</v>
      </c>
      <c r="H824" s="103">
        <v>1.07</v>
      </c>
      <c r="I824" s="103">
        <f t="shared" si="36"/>
        <v>16.409999999999997</v>
      </c>
      <c r="J824" s="102" t="s">
        <v>520</v>
      </c>
    </row>
    <row r="825" spans="1:10">
      <c r="A825" s="102">
        <v>20120301</v>
      </c>
      <c r="B825" s="111" t="s">
        <v>498</v>
      </c>
      <c r="C825" s="111" t="str">
        <f t="shared" si="37"/>
        <v>20120301RLS</v>
      </c>
      <c r="D825" s="111" t="s">
        <v>213</v>
      </c>
      <c r="E825" s="111" t="str">
        <f t="shared" si="38"/>
        <v>20120301LGUM_124</v>
      </c>
      <c r="F825" s="103">
        <v>17.489999999999998</v>
      </c>
      <c r="G825" s="103">
        <v>0.01</v>
      </c>
      <c r="H825" s="103">
        <v>1.07</v>
      </c>
      <c r="I825" s="103">
        <f t="shared" si="36"/>
        <v>16.409999999999997</v>
      </c>
      <c r="J825" s="102" t="s">
        <v>520</v>
      </c>
    </row>
    <row r="826" spans="1:10">
      <c r="A826" s="102">
        <v>20120301</v>
      </c>
      <c r="B826" s="111" t="s">
        <v>498</v>
      </c>
      <c r="C826" s="111" t="str">
        <f t="shared" si="37"/>
        <v>20120301RLS</v>
      </c>
      <c r="D826" s="111" t="s">
        <v>251</v>
      </c>
      <c r="E826" s="111" t="str">
        <f t="shared" si="38"/>
        <v>20120301LGUM_224</v>
      </c>
      <c r="F826" s="103">
        <v>17.489999999999998</v>
      </c>
      <c r="G826" s="103">
        <v>0.01</v>
      </c>
      <c r="H826" s="103">
        <v>1.07</v>
      </c>
      <c r="I826" s="103">
        <f t="shared" si="36"/>
        <v>16.409999999999997</v>
      </c>
      <c r="J826" s="102" t="s">
        <v>520</v>
      </c>
    </row>
    <row r="827" spans="1:10">
      <c r="A827" s="102">
        <v>20120301</v>
      </c>
      <c r="B827" s="111" t="s">
        <v>498</v>
      </c>
      <c r="C827" s="111" t="str">
        <f t="shared" si="37"/>
        <v>20120301RLS</v>
      </c>
      <c r="D827" s="111" t="s">
        <v>521</v>
      </c>
      <c r="E827" s="111" t="str">
        <f t="shared" si="38"/>
        <v>20120301LGUM_025</v>
      </c>
      <c r="F827" s="103">
        <v>23.520000000000003</v>
      </c>
      <c r="G827" s="103">
        <v>0.01</v>
      </c>
      <c r="H827" s="103">
        <v>1.55</v>
      </c>
      <c r="I827" s="103">
        <f t="shared" si="36"/>
        <v>21.96</v>
      </c>
      <c r="J827" s="102" t="s">
        <v>518</v>
      </c>
    </row>
    <row r="828" spans="1:10">
      <c r="A828" s="102">
        <v>20120301</v>
      </c>
      <c r="B828" s="111" t="s">
        <v>498</v>
      </c>
      <c r="C828" s="111" t="str">
        <f t="shared" si="37"/>
        <v>20120301RLS</v>
      </c>
      <c r="D828" s="111" t="s">
        <v>522</v>
      </c>
      <c r="E828" s="111" t="str">
        <f t="shared" si="38"/>
        <v>20120301LGUM_125</v>
      </c>
      <c r="F828" s="103">
        <v>23.520000000000003</v>
      </c>
      <c r="G828" s="103">
        <v>0.01</v>
      </c>
      <c r="H828" s="103">
        <v>1.55</v>
      </c>
      <c r="I828" s="103">
        <f t="shared" si="36"/>
        <v>21.96</v>
      </c>
      <c r="J828" s="102" t="s">
        <v>518</v>
      </c>
    </row>
    <row r="829" spans="1:10">
      <c r="A829" s="102">
        <v>20120301</v>
      </c>
      <c r="B829" s="111" t="s">
        <v>498</v>
      </c>
      <c r="C829" s="111" t="str">
        <f t="shared" si="37"/>
        <v>20120301RLS</v>
      </c>
      <c r="D829" s="111" t="s">
        <v>523</v>
      </c>
      <c r="E829" s="111" t="str">
        <f t="shared" si="38"/>
        <v>20120301LGUM_225</v>
      </c>
      <c r="F829" s="103">
        <v>23.520000000000003</v>
      </c>
      <c r="G829" s="103">
        <v>0.01</v>
      </c>
      <c r="H829" s="103">
        <v>1.55</v>
      </c>
      <c r="I829" s="103">
        <f t="shared" si="36"/>
        <v>21.96</v>
      </c>
      <c r="J829" s="102" t="s">
        <v>518</v>
      </c>
    </row>
    <row r="830" spans="1:10">
      <c r="A830" s="102">
        <v>20120301</v>
      </c>
      <c r="B830" s="111" t="s">
        <v>498</v>
      </c>
      <c r="C830" s="111" t="str">
        <f t="shared" si="37"/>
        <v>20120301RLS</v>
      </c>
      <c r="D830" s="111" t="s">
        <v>524</v>
      </c>
      <c r="E830" s="111" t="str">
        <f t="shared" si="38"/>
        <v>20120301LGUM_026</v>
      </c>
      <c r="F830" s="103">
        <v>13.299999999999999</v>
      </c>
      <c r="G830" s="103">
        <v>0.01</v>
      </c>
      <c r="H830" s="103">
        <v>0.74</v>
      </c>
      <c r="I830" s="103">
        <f t="shared" si="36"/>
        <v>12.549999999999999</v>
      </c>
      <c r="J830" s="102" t="s">
        <v>525</v>
      </c>
    </row>
    <row r="831" spans="1:10">
      <c r="A831" s="102">
        <v>20120301</v>
      </c>
      <c r="B831" s="111" t="s">
        <v>498</v>
      </c>
      <c r="C831" s="111" t="str">
        <f t="shared" si="37"/>
        <v>20120301RLS</v>
      </c>
      <c r="D831" s="111" t="s">
        <v>526</v>
      </c>
      <c r="E831" s="111" t="str">
        <f t="shared" si="38"/>
        <v>20120301LGUM_126</v>
      </c>
      <c r="F831" s="103">
        <v>13.299999999999999</v>
      </c>
      <c r="G831" s="103">
        <v>0.01</v>
      </c>
      <c r="H831" s="103">
        <v>0.74</v>
      </c>
      <c r="I831" s="103">
        <f t="shared" si="36"/>
        <v>12.549999999999999</v>
      </c>
      <c r="J831" s="102" t="s">
        <v>525</v>
      </c>
    </row>
    <row r="832" spans="1:10">
      <c r="A832" s="102">
        <v>20120301</v>
      </c>
      <c r="B832" s="111" t="s">
        <v>498</v>
      </c>
      <c r="C832" s="111" t="str">
        <f t="shared" si="37"/>
        <v>20120301RLS</v>
      </c>
      <c r="D832" s="111" t="s">
        <v>527</v>
      </c>
      <c r="E832" s="111" t="str">
        <f t="shared" si="38"/>
        <v>20120301LGUM_226</v>
      </c>
      <c r="F832" s="103">
        <v>13.299999999999999</v>
      </c>
      <c r="G832" s="103">
        <v>0.01</v>
      </c>
      <c r="H832" s="103">
        <v>0.74</v>
      </c>
      <c r="I832" s="103">
        <f t="shared" si="36"/>
        <v>12.549999999999999</v>
      </c>
      <c r="J832" s="102" t="s">
        <v>525</v>
      </c>
    </row>
    <row r="833" spans="1:10">
      <c r="A833" s="102">
        <v>20120301</v>
      </c>
      <c r="B833" s="111" t="s">
        <v>498</v>
      </c>
      <c r="C833" s="111" t="str">
        <f t="shared" si="37"/>
        <v>20120301RLS</v>
      </c>
      <c r="D833" s="111" t="s">
        <v>528</v>
      </c>
      <c r="E833" s="111" t="str">
        <f t="shared" si="38"/>
        <v>20120301LGUM_251</v>
      </c>
      <c r="F833" s="125">
        <v>1.0000000000000001E-9</v>
      </c>
      <c r="G833" s="103"/>
      <c r="H833" s="103">
        <v>0</v>
      </c>
      <c r="I833" s="103">
        <f t="shared" si="36"/>
        <v>1.0000000000000001E-9</v>
      </c>
      <c r="J833" s="102" t="s">
        <v>529</v>
      </c>
    </row>
    <row r="834" spans="1:10">
      <c r="A834" s="102">
        <v>20120301</v>
      </c>
      <c r="B834" s="111" t="s">
        <v>498</v>
      </c>
      <c r="C834" s="111" t="str">
        <f t="shared" si="37"/>
        <v>20120301RLS</v>
      </c>
      <c r="D834" s="111" t="s">
        <v>178</v>
      </c>
      <c r="E834" s="111" t="str">
        <f t="shared" si="38"/>
        <v>20120301LGUM_052</v>
      </c>
      <c r="F834" s="103">
        <v>10.367000000000001</v>
      </c>
      <c r="G834" s="103">
        <v>0.01</v>
      </c>
      <c r="H834" s="103">
        <v>1.55</v>
      </c>
      <c r="I834" s="103">
        <f t="shared" si="36"/>
        <v>8.8070000000000004</v>
      </c>
      <c r="J834" s="102" t="s">
        <v>530</v>
      </c>
    </row>
    <row r="835" spans="1:10">
      <c r="A835" s="102">
        <v>20120301</v>
      </c>
      <c r="B835" s="111" t="s">
        <v>498</v>
      </c>
      <c r="C835" s="111" t="str">
        <f t="shared" si="37"/>
        <v>20120301RLS</v>
      </c>
      <c r="D835" s="111" t="s">
        <v>214</v>
      </c>
      <c r="E835" s="111" t="str">
        <f t="shared" si="38"/>
        <v>20120301LGUM_152</v>
      </c>
      <c r="F835" s="103">
        <v>10.367000000000001</v>
      </c>
      <c r="G835" s="103">
        <v>0.01</v>
      </c>
      <c r="H835" s="103">
        <v>1.55</v>
      </c>
      <c r="I835" s="103">
        <f t="shared" si="36"/>
        <v>8.8070000000000004</v>
      </c>
      <c r="J835" s="102" t="s">
        <v>530</v>
      </c>
    </row>
    <row r="836" spans="1:10">
      <c r="A836" s="102">
        <v>20120301</v>
      </c>
      <c r="B836" s="111" t="s">
        <v>498</v>
      </c>
      <c r="C836" s="111" t="str">
        <f t="shared" si="37"/>
        <v>20120301RLS</v>
      </c>
      <c r="D836" s="111" t="s">
        <v>252</v>
      </c>
      <c r="E836" s="111" t="str">
        <f t="shared" si="38"/>
        <v>20120301LGUM_252</v>
      </c>
      <c r="F836" s="103">
        <v>10.367000000000001</v>
      </c>
      <c r="G836" s="103">
        <v>0.01</v>
      </c>
      <c r="H836" s="103">
        <v>1.55</v>
      </c>
      <c r="I836" s="103">
        <f t="shared" si="36"/>
        <v>8.8070000000000004</v>
      </c>
      <c r="J836" s="102" t="s">
        <v>530</v>
      </c>
    </row>
    <row r="837" spans="1:10">
      <c r="A837" s="102">
        <v>20120301</v>
      </c>
      <c r="B837" s="111" t="s">
        <v>498</v>
      </c>
      <c r="C837" s="111" t="str">
        <f t="shared" si="37"/>
        <v>20120301RLS</v>
      </c>
      <c r="D837" s="111" t="s">
        <v>179</v>
      </c>
      <c r="E837" s="111" t="str">
        <f t="shared" si="38"/>
        <v>20120301LGUM_053</v>
      </c>
      <c r="F837" s="103">
        <v>11.8</v>
      </c>
      <c r="G837" s="103">
        <v>0.01</v>
      </c>
      <c r="H837" s="103">
        <v>2.2000000000000002</v>
      </c>
      <c r="I837" s="103">
        <f t="shared" ref="I837:I900" si="39">F837-G837-H837</f>
        <v>9.59</v>
      </c>
      <c r="J837" s="102" t="s">
        <v>531</v>
      </c>
    </row>
    <row r="838" spans="1:10">
      <c r="A838" s="102">
        <v>20120301</v>
      </c>
      <c r="B838" s="111" t="s">
        <v>498</v>
      </c>
      <c r="C838" s="111" t="str">
        <f t="shared" si="37"/>
        <v>20120301RLS</v>
      </c>
      <c r="D838" s="111" t="s">
        <v>215</v>
      </c>
      <c r="E838" s="111" t="str">
        <f t="shared" si="38"/>
        <v>20120301LGUM_153</v>
      </c>
      <c r="F838" s="103">
        <v>11.8</v>
      </c>
      <c r="G838" s="103">
        <v>0.01</v>
      </c>
      <c r="H838" s="103">
        <v>2.2000000000000002</v>
      </c>
      <c r="I838" s="103">
        <f t="shared" si="39"/>
        <v>9.59</v>
      </c>
      <c r="J838" s="102" t="s">
        <v>531</v>
      </c>
    </row>
    <row r="839" spans="1:10">
      <c r="A839" s="102">
        <v>20120301</v>
      </c>
      <c r="B839" s="111" t="s">
        <v>498</v>
      </c>
      <c r="C839" s="111" t="str">
        <f t="shared" si="37"/>
        <v>20120301RLS</v>
      </c>
      <c r="D839" s="111" t="s">
        <v>253</v>
      </c>
      <c r="E839" s="111" t="str">
        <f t="shared" si="38"/>
        <v>20120301LGUM_253</v>
      </c>
      <c r="F839" s="103">
        <v>11.8</v>
      </c>
      <c r="G839" s="103">
        <v>0.01</v>
      </c>
      <c r="H839" s="103">
        <v>2.2000000000000002</v>
      </c>
      <c r="I839" s="103">
        <f t="shared" si="39"/>
        <v>9.59</v>
      </c>
      <c r="J839" s="102" t="s">
        <v>531</v>
      </c>
    </row>
    <row r="840" spans="1:10">
      <c r="A840" s="102">
        <v>20120301</v>
      </c>
      <c r="B840" s="111" t="s">
        <v>498</v>
      </c>
      <c r="C840" s="111" t="str">
        <f t="shared" si="37"/>
        <v>20120301RLS</v>
      </c>
      <c r="D840" s="111" t="s">
        <v>180</v>
      </c>
      <c r="E840" s="111" t="str">
        <f t="shared" si="38"/>
        <v>20120301LGUM_054</v>
      </c>
      <c r="F840" s="103">
        <v>14.39</v>
      </c>
      <c r="G840" s="103">
        <v>0.01</v>
      </c>
      <c r="H840" s="103">
        <v>3.41</v>
      </c>
      <c r="I840" s="103">
        <f t="shared" si="39"/>
        <v>10.97</v>
      </c>
      <c r="J840" s="102" t="s">
        <v>532</v>
      </c>
    </row>
    <row r="841" spans="1:10">
      <c r="A841" s="102">
        <v>20120301</v>
      </c>
      <c r="B841" s="111" t="s">
        <v>498</v>
      </c>
      <c r="C841" s="111" t="str">
        <f t="shared" si="37"/>
        <v>20120301RLS</v>
      </c>
      <c r="D841" s="111" t="s">
        <v>216</v>
      </c>
      <c r="E841" s="111" t="str">
        <f t="shared" si="38"/>
        <v>20120301LGUM_154</v>
      </c>
      <c r="F841" s="103">
        <v>14.39</v>
      </c>
      <c r="G841" s="103">
        <v>0.01</v>
      </c>
      <c r="H841" s="103">
        <v>3.41</v>
      </c>
      <c r="I841" s="103">
        <f t="shared" si="39"/>
        <v>10.97</v>
      </c>
      <c r="J841" s="102" t="s">
        <v>532</v>
      </c>
    </row>
    <row r="842" spans="1:10">
      <c r="A842" s="102">
        <v>20120301</v>
      </c>
      <c r="B842" s="111" t="s">
        <v>498</v>
      </c>
      <c r="C842" s="111" t="str">
        <f t="shared" si="37"/>
        <v>20120301RLS</v>
      </c>
      <c r="D842" s="111" t="s">
        <v>387</v>
      </c>
      <c r="E842" s="111" t="str">
        <f t="shared" si="38"/>
        <v>20120301LGUM_254</v>
      </c>
      <c r="F842" s="103">
        <v>14.39</v>
      </c>
      <c r="G842" s="103">
        <v>0.01</v>
      </c>
      <c r="H842" s="103">
        <v>3.41</v>
      </c>
      <c r="I842" s="103">
        <f t="shared" si="39"/>
        <v>10.97</v>
      </c>
      <c r="J842" s="102" t="s">
        <v>532</v>
      </c>
    </row>
    <row r="843" spans="1:10">
      <c r="A843" s="102">
        <v>20120301</v>
      </c>
      <c r="B843" s="111" t="s">
        <v>498</v>
      </c>
      <c r="C843" s="111" t="str">
        <f t="shared" si="37"/>
        <v>20120301RLS</v>
      </c>
      <c r="D843" s="111" t="s">
        <v>181</v>
      </c>
      <c r="E843" s="111" t="str">
        <f t="shared" si="38"/>
        <v>20120301LGUM_055</v>
      </c>
      <c r="F843" s="103">
        <v>10</v>
      </c>
      <c r="G843" s="103">
        <v>0.01</v>
      </c>
      <c r="H843" s="103">
        <v>1.07</v>
      </c>
      <c r="I843" s="103">
        <f t="shared" si="39"/>
        <v>8.92</v>
      </c>
      <c r="J843" s="102" t="s">
        <v>533</v>
      </c>
    </row>
    <row r="844" spans="1:10">
      <c r="A844" s="102">
        <v>20120301</v>
      </c>
      <c r="B844" s="111" t="s">
        <v>498</v>
      </c>
      <c r="C844" s="111" t="str">
        <f t="shared" si="37"/>
        <v>20120301RLS</v>
      </c>
      <c r="D844" s="111" t="s">
        <v>217</v>
      </c>
      <c r="E844" s="111" t="str">
        <f t="shared" si="38"/>
        <v>20120301LGUM_155</v>
      </c>
      <c r="F844" s="103">
        <v>10</v>
      </c>
      <c r="G844" s="103">
        <v>0.01</v>
      </c>
      <c r="H844" s="103">
        <v>1.07</v>
      </c>
      <c r="I844" s="103">
        <f t="shared" si="39"/>
        <v>8.92</v>
      </c>
      <c r="J844" s="102" t="s">
        <v>533</v>
      </c>
    </row>
    <row r="845" spans="1:10">
      <c r="A845" s="102">
        <v>20120301</v>
      </c>
      <c r="B845" s="111" t="s">
        <v>498</v>
      </c>
      <c r="C845" s="111" t="str">
        <f t="shared" si="37"/>
        <v>20120301RLS</v>
      </c>
      <c r="D845" s="111" t="s">
        <v>254</v>
      </c>
      <c r="E845" s="111" t="str">
        <f t="shared" si="38"/>
        <v>20120301LGUM_255</v>
      </c>
      <c r="F845" s="103">
        <v>10</v>
      </c>
      <c r="G845" s="103">
        <v>0.01</v>
      </c>
      <c r="H845" s="103">
        <v>1.07</v>
      </c>
      <c r="I845" s="103">
        <f t="shared" si="39"/>
        <v>8.92</v>
      </c>
      <c r="J845" s="102" t="s">
        <v>533</v>
      </c>
    </row>
    <row r="846" spans="1:10">
      <c r="A846" s="102">
        <v>20120301</v>
      </c>
      <c r="B846" s="111" t="s">
        <v>498</v>
      </c>
      <c r="C846" s="111" t="str">
        <f t="shared" si="37"/>
        <v>20120301RLS</v>
      </c>
      <c r="D846" s="111" t="s">
        <v>534</v>
      </c>
      <c r="E846" s="111" t="str">
        <f t="shared" si="38"/>
        <v>20120301LGUM_056</v>
      </c>
      <c r="F846" s="103">
        <v>13.15</v>
      </c>
      <c r="G846" s="103">
        <v>0.01</v>
      </c>
      <c r="H846" s="103">
        <v>0.92</v>
      </c>
      <c r="I846" s="103">
        <f t="shared" si="39"/>
        <v>12.22</v>
      </c>
      <c r="J846" s="102" t="s">
        <v>535</v>
      </c>
    </row>
    <row r="847" spans="1:10">
      <c r="A847" s="102">
        <v>20120301</v>
      </c>
      <c r="B847" s="111" t="s">
        <v>498</v>
      </c>
      <c r="C847" s="111" t="str">
        <f t="shared" si="37"/>
        <v>20120301RLS</v>
      </c>
      <c r="D847" s="111" t="s">
        <v>536</v>
      </c>
      <c r="E847" s="111" t="str">
        <f t="shared" si="38"/>
        <v>20120301LGUM_156</v>
      </c>
      <c r="F847" s="103">
        <v>13.15</v>
      </c>
      <c r="G847" s="103">
        <v>0.01</v>
      </c>
      <c r="H847" s="103">
        <v>0.92</v>
      </c>
      <c r="I847" s="103">
        <f t="shared" si="39"/>
        <v>12.22</v>
      </c>
      <c r="J847" s="102" t="s">
        <v>535</v>
      </c>
    </row>
    <row r="848" spans="1:10">
      <c r="A848" s="102">
        <v>20120301</v>
      </c>
      <c r="B848" s="111" t="s">
        <v>498</v>
      </c>
      <c r="C848" s="111" t="str">
        <f t="shared" si="37"/>
        <v>20120301RLS</v>
      </c>
      <c r="D848" s="111" t="s">
        <v>537</v>
      </c>
      <c r="E848" s="111" t="str">
        <f t="shared" si="38"/>
        <v>20120301LGUM_256</v>
      </c>
      <c r="F848" s="103">
        <v>13.15</v>
      </c>
      <c r="G848" s="103">
        <v>0.01</v>
      </c>
      <c r="H848" s="103">
        <v>0.92</v>
      </c>
      <c r="I848" s="103">
        <f t="shared" si="39"/>
        <v>12.22</v>
      </c>
      <c r="J848" s="102" t="s">
        <v>535</v>
      </c>
    </row>
    <row r="849" spans="1:10">
      <c r="A849" s="102">
        <v>20120301</v>
      </c>
      <c r="B849" s="111" t="s">
        <v>498</v>
      </c>
      <c r="C849" s="111" t="str">
        <f t="shared" si="37"/>
        <v>20120301RLS</v>
      </c>
      <c r="D849" s="111" t="s">
        <v>182</v>
      </c>
      <c r="E849" s="111" t="str">
        <f t="shared" si="38"/>
        <v>20120301LGUM_057</v>
      </c>
      <c r="F849" s="103">
        <v>14.39</v>
      </c>
      <c r="G849" s="103">
        <v>0.01</v>
      </c>
      <c r="H849" s="103">
        <v>3.41</v>
      </c>
      <c r="I849" s="103">
        <f t="shared" si="39"/>
        <v>10.97</v>
      </c>
      <c r="J849" s="102" t="s">
        <v>538</v>
      </c>
    </row>
    <row r="850" spans="1:10">
      <c r="A850" s="102">
        <v>20120301</v>
      </c>
      <c r="B850" s="111" t="s">
        <v>498</v>
      </c>
      <c r="C850" s="111" t="str">
        <f t="shared" si="37"/>
        <v>20120301RLS</v>
      </c>
      <c r="D850" s="111" t="s">
        <v>218</v>
      </c>
      <c r="E850" s="111" t="str">
        <f t="shared" si="38"/>
        <v>20120301LGUM_157</v>
      </c>
      <c r="F850" s="103">
        <v>14.39</v>
      </c>
      <c r="G850" s="103">
        <v>0.01</v>
      </c>
      <c r="H850" s="103">
        <v>3.41</v>
      </c>
      <c r="I850" s="103">
        <f t="shared" si="39"/>
        <v>10.97</v>
      </c>
      <c r="J850" s="102" t="s">
        <v>538</v>
      </c>
    </row>
    <row r="851" spans="1:10">
      <c r="A851" s="102">
        <v>20120301</v>
      </c>
      <c r="B851" s="111" t="s">
        <v>498</v>
      </c>
      <c r="C851" s="111" t="str">
        <f t="shared" si="37"/>
        <v>20120301RLS</v>
      </c>
      <c r="D851" s="111" t="s">
        <v>388</v>
      </c>
      <c r="E851" s="111" t="str">
        <f t="shared" si="38"/>
        <v>20120301LGUM_257</v>
      </c>
      <c r="F851" s="103">
        <v>14.39</v>
      </c>
      <c r="G851" s="103">
        <v>0.01</v>
      </c>
      <c r="H851" s="103">
        <v>3.41</v>
      </c>
      <c r="I851" s="103">
        <f t="shared" si="39"/>
        <v>10.97</v>
      </c>
      <c r="J851" s="102" t="s">
        <v>538</v>
      </c>
    </row>
    <row r="852" spans="1:10">
      <c r="A852" s="102">
        <v>20120301</v>
      </c>
      <c r="B852" s="111" t="s">
        <v>498</v>
      </c>
      <c r="C852" s="111" t="str">
        <f t="shared" si="37"/>
        <v>20120301RLS</v>
      </c>
      <c r="D852" s="111" t="s">
        <v>183</v>
      </c>
      <c r="E852" s="111" t="str">
        <f t="shared" si="38"/>
        <v>20120301LGUM_058</v>
      </c>
      <c r="F852" s="103">
        <v>15.03</v>
      </c>
      <c r="G852" s="103">
        <v>0.01</v>
      </c>
      <c r="H852" s="103">
        <v>1.55</v>
      </c>
      <c r="I852" s="103">
        <f t="shared" si="39"/>
        <v>13.469999999999999</v>
      </c>
      <c r="J852" s="102" t="s">
        <v>539</v>
      </c>
    </row>
    <row r="853" spans="1:10">
      <c r="A853" s="102">
        <v>20120301</v>
      </c>
      <c r="B853" s="111" t="s">
        <v>498</v>
      </c>
      <c r="C853" s="111" t="str">
        <f t="shared" si="37"/>
        <v>20120301RLS</v>
      </c>
      <c r="D853" s="111" t="s">
        <v>219</v>
      </c>
      <c r="E853" s="111" t="str">
        <f t="shared" si="38"/>
        <v>20120301LGUM_158</v>
      </c>
      <c r="F853" s="103">
        <v>15.03</v>
      </c>
      <c r="G853" s="103">
        <v>0.01</v>
      </c>
      <c r="H853" s="103">
        <v>1.55</v>
      </c>
      <c r="I853" s="103">
        <f t="shared" si="39"/>
        <v>13.469999999999999</v>
      </c>
      <c r="J853" s="102" t="s">
        <v>539</v>
      </c>
    </row>
    <row r="854" spans="1:10">
      <c r="A854" s="102">
        <v>20120301</v>
      </c>
      <c r="B854" s="111" t="s">
        <v>498</v>
      </c>
      <c r="C854" s="111" t="str">
        <f t="shared" si="37"/>
        <v>20120301RLS</v>
      </c>
      <c r="D854" s="111" t="s">
        <v>256</v>
      </c>
      <c r="E854" s="111" t="str">
        <f t="shared" si="38"/>
        <v>20120301LGUM_258</v>
      </c>
      <c r="F854" s="103">
        <v>15.03</v>
      </c>
      <c r="G854" s="103">
        <v>0.01</v>
      </c>
      <c r="H854" s="103">
        <v>1.55</v>
      </c>
      <c r="I854" s="103">
        <f t="shared" si="39"/>
        <v>13.469999999999999</v>
      </c>
      <c r="J854" s="102" t="s">
        <v>539</v>
      </c>
    </row>
    <row r="855" spans="1:10">
      <c r="A855" s="102">
        <v>20120301</v>
      </c>
      <c r="B855" s="111" t="s">
        <v>498</v>
      </c>
      <c r="C855" s="111" t="str">
        <f t="shared" si="37"/>
        <v>20120301RLS</v>
      </c>
      <c r="D855" s="111" t="s">
        <v>400</v>
      </c>
      <c r="E855" s="111" t="str">
        <f t="shared" si="38"/>
        <v>20120301LGUM_059</v>
      </c>
      <c r="F855" s="103">
        <v>26.68</v>
      </c>
      <c r="G855" s="103">
        <v>0.02</v>
      </c>
      <c r="H855" s="103">
        <v>8.16</v>
      </c>
      <c r="I855" s="103">
        <f t="shared" si="39"/>
        <v>18.5</v>
      </c>
      <c r="J855" s="102" t="s">
        <v>540</v>
      </c>
    </row>
    <row r="856" spans="1:10">
      <c r="A856" s="102">
        <v>20120301</v>
      </c>
      <c r="B856" s="111" t="s">
        <v>498</v>
      </c>
      <c r="C856" s="111" t="str">
        <f t="shared" si="37"/>
        <v>20120301RLS</v>
      </c>
      <c r="D856" s="111" t="s">
        <v>220</v>
      </c>
      <c r="E856" s="111" t="str">
        <f t="shared" si="38"/>
        <v>20120301LGUM_159</v>
      </c>
      <c r="F856" s="103">
        <v>26.68</v>
      </c>
      <c r="G856" s="103">
        <v>0.02</v>
      </c>
      <c r="H856" s="103">
        <v>8.16</v>
      </c>
      <c r="I856" s="103">
        <f t="shared" si="39"/>
        <v>18.5</v>
      </c>
      <c r="J856" s="102" t="s">
        <v>540</v>
      </c>
    </row>
    <row r="857" spans="1:10">
      <c r="A857" s="102">
        <v>20120301</v>
      </c>
      <c r="B857" s="111" t="s">
        <v>498</v>
      </c>
      <c r="C857" s="111" t="str">
        <f t="shared" si="37"/>
        <v>20120301RLS</v>
      </c>
      <c r="D857" s="111" t="s">
        <v>257</v>
      </c>
      <c r="E857" s="111" t="str">
        <f t="shared" si="38"/>
        <v>20120301LGUM_259</v>
      </c>
      <c r="F857" s="103">
        <v>26.68</v>
      </c>
      <c r="G857" s="103">
        <v>0.02</v>
      </c>
      <c r="H857" s="103">
        <v>8.16</v>
      </c>
      <c r="I857" s="103">
        <f t="shared" si="39"/>
        <v>18.5</v>
      </c>
      <c r="J857" s="102" t="s">
        <v>540</v>
      </c>
    </row>
    <row r="858" spans="1:10">
      <c r="A858" s="102">
        <v>20120301</v>
      </c>
      <c r="B858" s="111" t="s">
        <v>498</v>
      </c>
      <c r="C858" s="111" t="str">
        <f t="shared" si="37"/>
        <v>20120301RLS</v>
      </c>
      <c r="D858" s="111" t="s">
        <v>541</v>
      </c>
      <c r="E858" s="111" t="str">
        <f t="shared" si="38"/>
        <v>20120301LGUM_060</v>
      </c>
      <c r="F858" s="103">
        <v>26.809999999999995</v>
      </c>
      <c r="G858" s="103">
        <v>0.02</v>
      </c>
      <c r="H858" s="103">
        <v>8.16</v>
      </c>
      <c r="I858" s="103">
        <f t="shared" si="39"/>
        <v>18.629999999999995</v>
      </c>
      <c r="J858" s="102" t="s">
        <v>542</v>
      </c>
    </row>
    <row r="859" spans="1:10">
      <c r="A859" s="102">
        <v>20120301</v>
      </c>
      <c r="B859" s="111" t="s">
        <v>498</v>
      </c>
      <c r="C859" s="111" t="str">
        <f t="shared" si="37"/>
        <v>20120301RLS</v>
      </c>
      <c r="D859" s="111" t="s">
        <v>221</v>
      </c>
      <c r="E859" s="111" t="str">
        <f t="shared" si="38"/>
        <v>20120301LGUM_160</v>
      </c>
      <c r="F859" s="103">
        <v>26.809999999999995</v>
      </c>
      <c r="G859" s="103">
        <v>0.02</v>
      </c>
      <c r="H859" s="103">
        <v>8.16</v>
      </c>
      <c r="I859" s="103">
        <f t="shared" si="39"/>
        <v>18.629999999999995</v>
      </c>
      <c r="J859" s="102" t="s">
        <v>542</v>
      </c>
    </row>
    <row r="860" spans="1:10">
      <c r="A860" s="102">
        <v>20120301</v>
      </c>
      <c r="B860" s="111" t="s">
        <v>498</v>
      </c>
      <c r="C860" s="111" t="str">
        <f t="shared" si="37"/>
        <v>20120301RLS</v>
      </c>
      <c r="D860" s="111" t="s">
        <v>390</v>
      </c>
      <c r="E860" s="111" t="str">
        <f t="shared" si="38"/>
        <v>20120301LGUM_260</v>
      </c>
      <c r="F860" s="103">
        <v>26.809999999999995</v>
      </c>
      <c r="G860" s="103">
        <v>0.02</v>
      </c>
      <c r="H860" s="103">
        <v>8.16</v>
      </c>
      <c r="I860" s="103">
        <f t="shared" si="39"/>
        <v>18.629999999999995</v>
      </c>
      <c r="J860" s="102" t="s">
        <v>542</v>
      </c>
    </row>
    <row r="861" spans="1:10">
      <c r="A861" s="102">
        <v>20120301</v>
      </c>
      <c r="B861" s="111" t="s">
        <v>498</v>
      </c>
      <c r="C861" s="111" t="str">
        <f t="shared" si="37"/>
        <v>20120301RLS</v>
      </c>
      <c r="D861" s="111" t="s">
        <v>184</v>
      </c>
      <c r="E861" s="111" t="str">
        <f t="shared" si="38"/>
        <v>20120301LGUM_061</v>
      </c>
      <c r="F861" s="103">
        <v>14.97</v>
      </c>
      <c r="G861" s="103">
        <v>0.02</v>
      </c>
      <c r="H861" s="103">
        <v>2.2999999999999998</v>
      </c>
      <c r="I861" s="103">
        <f t="shared" si="39"/>
        <v>12.650000000000002</v>
      </c>
      <c r="J861" s="102" t="s">
        <v>543</v>
      </c>
    </row>
    <row r="862" spans="1:10">
      <c r="A862" s="102">
        <v>20120301</v>
      </c>
      <c r="B862" s="111" t="s">
        <v>498</v>
      </c>
      <c r="C862" s="111" t="str">
        <f t="shared" si="37"/>
        <v>20120301RLS</v>
      </c>
      <c r="D862" s="111" t="s">
        <v>222</v>
      </c>
      <c r="E862" s="111" t="str">
        <f t="shared" si="38"/>
        <v>20120301LGUM_161</v>
      </c>
      <c r="F862" s="103">
        <v>14.97</v>
      </c>
      <c r="G862" s="103">
        <v>0.02</v>
      </c>
      <c r="H862" s="103">
        <v>2.2999999999999998</v>
      </c>
      <c r="I862" s="103">
        <f t="shared" si="39"/>
        <v>12.650000000000002</v>
      </c>
      <c r="J862" s="102" t="s">
        <v>543</v>
      </c>
    </row>
    <row r="863" spans="1:10">
      <c r="A863" s="102">
        <v>20120301</v>
      </c>
      <c r="B863" s="111" t="s">
        <v>498</v>
      </c>
      <c r="C863" s="111" t="str">
        <f t="shared" si="37"/>
        <v>20120301RLS</v>
      </c>
      <c r="D863" s="111" t="s">
        <v>258</v>
      </c>
      <c r="E863" s="111" t="str">
        <f t="shared" si="38"/>
        <v>20120301LGUM_261</v>
      </c>
      <c r="F863" s="103">
        <v>14.97</v>
      </c>
      <c r="G863" s="103">
        <v>0.02</v>
      </c>
      <c r="H863" s="103">
        <v>2.2999999999999998</v>
      </c>
      <c r="I863" s="103">
        <f t="shared" si="39"/>
        <v>12.650000000000002</v>
      </c>
      <c r="J863" s="102" t="s">
        <v>543</v>
      </c>
    </row>
    <row r="864" spans="1:10">
      <c r="A864" s="102">
        <v>20120301</v>
      </c>
      <c r="B864" s="111" t="s">
        <v>498</v>
      </c>
      <c r="C864" s="111" t="str">
        <f t="shared" si="37"/>
        <v>20120301RLS</v>
      </c>
      <c r="D864" s="111" t="s">
        <v>185</v>
      </c>
      <c r="E864" s="111" t="str">
        <f t="shared" si="38"/>
        <v>20120301LGUM_062</v>
      </c>
      <c r="F864" s="103">
        <v>16.34</v>
      </c>
      <c r="G864" s="103">
        <v>0.02</v>
      </c>
      <c r="H864" s="103">
        <v>3.65</v>
      </c>
      <c r="I864" s="103">
        <f t="shared" si="39"/>
        <v>12.67</v>
      </c>
      <c r="J864" s="102" t="s">
        <v>544</v>
      </c>
    </row>
    <row r="865" spans="1:10">
      <c r="A865" s="102">
        <v>20120301</v>
      </c>
      <c r="B865" s="111" t="s">
        <v>498</v>
      </c>
      <c r="C865" s="111" t="str">
        <f t="shared" si="37"/>
        <v>20120301RLS</v>
      </c>
      <c r="D865" s="111" t="s">
        <v>223</v>
      </c>
      <c r="E865" s="111" t="str">
        <f t="shared" si="38"/>
        <v>20120301LGUM_162</v>
      </c>
      <c r="F865" s="103">
        <v>16.34</v>
      </c>
      <c r="G865" s="103">
        <v>0.02</v>
      </c>
      <c r="H865" s="103">
        <v>3.65</v>
      </c>
      <c r="I865" s="103">
        <f t="shared" si="39"/>
        <v>12.67</v>
      </c>
      <c r="J865" s="102" t="s">
        <v>544</v>
      </c>
    </row>
    <row r="866" spans="1:10">
      <c r="A866" s="102">
        <v>20120301</v>
      </c>
      <c r="B866" s="111" t="s">
        <v>498</v>
      </c>
      <c r="C866" s="111" t="str">
        <f t="shared" si="37"/>
        <v>20120301RLS</v>
      </c>
      <c r="D866" s="111" t="s">
        <v>259</v>
      </c>
      <c r="E866" s="111" t="str">
        <f t="shared" si="38"/>
        <v>20120301LGUM_262</v>
      </c>
      <c r="F866" s="103">
        <v>16.34</v>
      </c>
      <c r="G866" s="103">
        <v>0.02</v>
      </c>
      <c r="H866" s="103">
        <v>3.65</v>
      </c>
      <c r="I866" s="103">
        <f t="shared" si="39"/>
        <v>12.67</v>
      </c>
      <c r="J866" s="102" t="s">
        <v>544</v>
      </c>
    </row>
    <row r="867" spans="1:10">
      <c r="A867" s="102">
        <v>20120301</v>
      </c>
      <c r="B867" s="111" t="s">
        <v>498</v>
      </c>
      <c r="C867" s="111" t="str">
        <f t="shared" si="37"/>
        <v>20120301RLS</v>
      </c>
      <c r="D867" s="111" t="s">
        <v>186</v>
      </c>
      <c r="E867" s="111" t="str">
        <f t="shared" si="38"/>
        <v>20120301LGUM_063</v>
      </c>
      <c r="F867" s="103">
        <v>16.34</v>
      </c>
      <c r="G867" s="103">
        <v>0.02</v>
      </c>
      <c r="H867" s="103">
        <v>3.65</v>
      </c>
      <c r="I867" s="103">
        <f t="shared" si="39"/>
        <v>12.67</v>
      </c>
      <c r="J867" s="102" t="s">
        <v>545</v>
      </c>
    </row>
    <row r="868" spans="1:10">
      <c r="A868" s="102">
        <v>20120301</v>
      </c>
      <c r="B868" s="111" t="s">
        <v>498</v>
      </c>
      <c r="C868" s="111" t="str">
        <f t="shared" si="37"/>
        <v>20120301RLS</v>
      </c>
      <c r="D868" s="111" t="s">
        <v>224</v>
      </c>
      <c r="E868" s="111" t="str">
        <f t="shared" si="38"/>
        <v>20120301LGUM_163</v>
      </c>
      <c r="F868" s="103">
        <v>16.34</v>
      </c>
      <c r="G868" s="103">
        <v>0.02</v>
      </c>
      <c r="H868" s="103">
        <v>3.65</v>
      </c>
      <c r="I868" s="103">
        <f t="shared" si="39"/>
        <v>12.67</v>
      </c>
      <c r="J868" s="102" t="s">
        <v>545</v>
      </c>
    </row>
    <row r="869" spans="1:10">
      <c r="A869" s="102">
        <v>20120301</v>
      </c>
      <c r="B869" s="111" t="s">
        <v>498</v>
      </c>
      <c r="C869" s="111" t="str">
        <f t="shared" si="37"/>
        <v>20120301RLS</v>
      </c>
      <c r="D869" s="111" t="s">
        <v>261</v>
      </c>
      <c r="E869" s="111" t="str">
        <f t="shared" si="38"/>
        <v>20120301LGUM_263</v>
      </c>
      <c r="F869" s="103">
        <v>16.34</v>
      </c>
      <c r="G869" s="103">
        <v>0.02</v>
      </c>
      <c r="H869" s="103">
        <v>3.65</v>
      </c>
      <c r="I869" s="103">
        <f t="shared" si="39"/>
        <v>12.67</v>
      </c>
      <c r="J869" s="102" t="s">
        <v>545</v>
      </c>
    </row>
    <row r="870" spans="1:10">
      <c r="A870" s="102">
        <v>20120301</v>
      </c>
      <c r="B870" s="111" t="s">
        <v>498</v>
      </c>
      <c r="C870" s="111" t="str">
        <f t="shared" si="37"/>
        <v>20120301RLS</v>
      </c>
      <c r="D870" s="111" t="s">
        <v>187</v>
      </c>
      <c r="E870" s="111" t="str">
        <f t="shared" si="38"/>
        <v>20120301LGUM_066</v>
      </c>
      <c r="F870" s="103">
        <v>27.14</v>
      </c>
      <c r="G870" s="103">
        <v>0.02</v>
      </c>
      <c r="H870" s="103">
        <v>2.2999999999999998</v>
      </c>
      <c r="I870" s="103">
        <f t="shared" si="39"/>
        <v>24.82</v>
      </c>
      <c r="J870" s="102" t="s">
        <v>546</v>
      </c>
    </row>
    <row r="871" spans="1:10">
      <c r="A871" s="102">
        <v>20120301</v>
      </c>
      <c r="B871" s="111" t="s">
        <v>498</v>
      </c>
      <c r="C871" s="111" t="str">
        <f t="shared" si="37"/>
        <v>20120301RLS</v>
      </c>
      <c r="D871" s="111" t="s">
        <v>225</v>
      </c>
      <c r="E871" s="111" t="str">
        <f t="shared" si="38"/>
        <v>20120301LGUM_166</v>
      </c>
      <c r="F871" s="103">
        <v>27.14</v>
      </c>
      <c r="G871" s="103">
        <v>0.02</v>
      </c>
      <c r="H871" s="103">
        <v>2.2999999999999998</v>
      </c>
      <c r="I871" s="103">
        <f t="shared" si="39"/>
        <v>24.82</v>
      </c>
      <c r="J871" s="102" t="s">
        <v>546</v>
      </c>
    </row>
    <row r="872" spans="1:10">
      <c r="A872" s="102">
        <v>20120301</v>
      </c>
      <c r="B872" s="111" t="s">
        <v>498</v>
      </c>
      <c r="C872" s="111" t="str">
        <f t="shared" si="37"/>
        <v>20120301RLS</v>
      </c>
      <c r="D872" s="111" t="s">
        <v>263</v>
      </c>
      <c r="E872" s="111" t="str">
        <f t="shared" si="38"/>
        <v>20120301LGUM_266</v>
      </c>
      <c r="F872" s="103">
        <v>27.14</v>
      </c>
      <c r="G872" s="103">
        <v>0.02</v>
      </c>
      <c r="H872" s="103">
        <v>2.2999999999999998</v>
      </c>
      <c r="I872" s="103">
        <f t="shared" si="39"/>
        <v>24.82</v>
      </c>
      <c r="J872" s="102" t="s">
        <v>546</v>
      </c>
    </row>
    <row r="873" spans="1:10">
      <c r="A873" s="102">
        <v>20120301</v>
      </c>
      <c r="B873" s="111" t="s">
        <v>498</v>
      </c>
      <c r="C873" s="111" t="str">
        <f t="shared" si="37"/>
        <v>20120301RLS</v>
      </c>
      <c r="D873" s="111" t="s">
        <v>188</v>
      </c>
      <c r="E873" s="111" t="str">
        <f t="shared" si="38"/>
        <v>20120301LGUM_067</v>
      </c>
      <c r="F873" s="103">
        <v>30.310000000000006</v>
      </c>
      <c r="G873" s="103">
        <v>0.02</v>
      </c>
      <c r="H873" s="103">
        <v>3.65</v>
      </c>
      <c r="I873" s="103">
        <f t="shared" si="39"/>
        <v>26.640000000000008</v>
      </c>
      <c r="J873" s="102" t="s">
        <v>547</v>
      </c>
    </row>
    <row r="874" spans="1:10">
      <c r="A874" s="102">
        <v>20120301</v>
      </c>
      <c r="B874" s="111" t="s">
        <v>498</v>
      </c>
      <c r="C874" s="111" t="str">
        <f t="shared" si="37"/>
        <v>20120301RLS</v>
      </c>
      <c r="D874" s="111" t="s">
        <v>226</v>
      </c>
      <c r="E874" s="111" t="str">
        <f t="shared" si="38"/>
        <v>20120301LGUM_167</v>
      </c>
      <c r="F874" s="103">
        <v>30.310000000000006</v>
      </c>
      <c r="G874" s="103">
        <v>0.02</v>
      </c>
      <c r="H874" s="103">
        <v>3.65</v>
      </c>
      <c r="I874" s="103">
        <f t="shared" si="39"/>
        <v>26.640000000000008</v>
      </c>
      <c r="J874" s="102" t="s">
        <v>547</v>
      </c>
    </row>
    <row r="875" spans="1:10">
      <c r="A875" s="102">
        <v>20120301</v>
      </c>
      <c r="B875" s="111" t="s">
        <v>498</v>
      </c>
      <c r="C875" s="111" t="str">
        <f t="shared" si="37"/>
        <v>20120301RLS</v>
      </c>
      <c r="D875" s="111" t="s">
        <v>264</v>
      </c>
      <c r="E875" s="111" t="str">
        <f t="shared" si="38"/>
        <v>20120301LGUM_267</v>
      </c>
      <c r="F875" s="103">
        <v>30.310000000000006</v>
      </c>
      <c r="G875" s="103">
        <v>0.02</v>
      </c>
      <c r="H875" s="103">
        <v>3.65</v>
      </c>
      <c r="I875" s="103">
        <f t="shared" si="39"/>
        <v>26.640000000000008</v>
      </c>
      <c r="J875" s="102" t="s">
        <v>547</v>
      </c>
    </row>
    <row r="876" spans="1:10">
      <c r="A876" s="102">
        <v>20120301</v>
      </c>
      <c r="B876" s="111" t="s">
        <v>498</v>
      </c>
      <c r="C876" s="111" t="str">
        <f t="shared" si="37"/>
        <v>20120301RLS</v>
      </c>
      <c r="D876" s="111" t="s">
        <v>189</v>
      </c>
      <c r="E876" s="111" t="str">
        <f t="shared" si="38"/>
        <v>20120301LGUM_072</v>
      </c>
      <c r="F876" s="103">
        <v>12.629999999999997</v>
      </c>
      <c r="G876" s="103">
        <v>0.01</v>
      </c>
      <c r="H876" s="103">
        <v>1.55</v>
      </c>
      <c r="I876" s="103">
        <f t="shared" si="39"/>
        <v>11.069999999999997</v>
      </c>
      <c r="J876" s="102" t="s">
        <v>548</v>
      </c>
    </row>
    <row r="877" spans="1:10">
      <c r="A877" s="102">
        <v>20120301</v>
      </c>
      <c r="B877" s="111" t="s">
        <v>498</v>
      </c>
      <c r="C877" s="111" t="str">
        <f t="shared" si="37"/>
        <v>20120301RLS</v>
      </c>
      <c r="D877" s="111" t="s">
        <v>227</v>
      </c>
      <c r="E877" s="111" t="str">
        <f t="shared" si="38"/>
        <v>20120301LGUM_172</v>
      </c>
      <c r="F877" s="103">
        <v>12.629999999999997</v>
      </c>
      <c r="G877" s="103">
        <v>0.01</v>
      </c>
      <c r="H877" s="103">
        <v>1.55</v>
      </c>
      <c r="I877" s="103">
        <f t="shared" si="39"/>
        <v>11.069999999999997</v>
      </c>
      <c r="J877" s="102" t="s">
        <v>548</v>
      </c>
    </row>
    <row r="878" spans="1:10">
      <c r="A878" s="102">
        <v>20120301</v>
      </c>
      <c r="B878" s="111" t="s">
        <v>498</v>
      </c>
      <c r="C878" s="111" t="str">
        <f t="shared" si="37"/>
        <v>20120301RLS</v>
      </c>
      <c r="D878" s="111" t="s">
        <v>265</v>
      </c>
      <c r="E878" s="111" t="str">
        <f t="shared" si="38"/>
        <v>20120301LGUM_272</v>
      </c>
      <c r="F878" s="103">
        <v>12.629999999999997</v>
      </c>
      <c r="G878" s="103">
        <v>0.01</v>
      </c>
      <c r="H878" s="103">
        <v>1.55</v>
      </c>
      <c r="I878" s="103">
        <f t="shared" si="39"/>
        <v>11.069999999999997</v>
      </c>
      <c r="J878" s="102" t="s">
        <v>548</v>
      </c>
    </row>
    <row r="879" spans="1:10">
      <c r="A879" s="102">
        <v>20120301</v>
      </c>
      <c r="B879" s="111" t="s">
        <v>498</v>
      </c>
      <c r="C879" s="111" t="str">
        <f t="shared" si="37"/>
        <v>20120301RLS</v>
      </c>
      <c r="D879" s="111" t="s">
        <v>190</v>
      </c>
      <c r="E879" s="111" t="str">
        <f t="shared" si="38"/>
        <v>20120301LGUM_073</v>
      </c>
      <c r="F879" s="103">
        <v>12.629999999999997</v>
      </c>
      <c r="G879" s="103">
        <v>0.01</v>
      </c>
      <c r="H879" s="103">
        <v>1.55</v>
      </c>
      <c r="I879" s="103">
        <f t="shared" si="39"/>
        <v>11.069999999999997</v>
      </c>
      <c r="J879" s="102" t="s">
        <v>549</v>
      </c>
    </row>
    <row r="880" spans="1:10">
      <c r="A880" s="102">
        <v>20120301</v>
      </c>
      <c r="B880" s="111" t="s">
        <v>498</v>
      </c>
      <c r="C880" s="111" t="str">
        <f t="shared" si="37"/>
        <v>20120301RLS</v>
      </c>
      <c r="D880" s="111" t="s">
        <v>228</v>
      </c>
      <c r="E880" s="111" t="str">
        <f t="shared" si="38"/>
        <v>20120301LGUM_173</v>
      </c>
      <c r="F880" s="103">
        <v>12.629999999999997</v>
      </c>
      <c r="G880" s="103">
        <v>0.01</v>
      </c>
      <c r="H880" s="103">
        <v>1.55</v>
      </c>
      <c r="I880" s="103">
        <f t="shared" si="39"/>
        <v>11.069999999999997</v>
      </c>
      <c r="J880" s="102" t="s">
        <v>549</v>
      </c>
    </row>
    <row r="881" spans="1:10">
      <c r="A881" s="102">
        <v>20120301</v>
      </c>
      <c r="B881" s="111" t="s">
        <v>498</v>
      </c>
      <c r="C881" s="111" t="str">
        <f t="shared" si="37"/>
        <v>20120301RLS</v>
      </c>
      <c r="D881" s="111" t="s">
        <v>391</v>
      </c>
      <c r="E881" s="111" t="str">
        <f t="shared" si="38"/>
        <v>20120301LGUM_273</v>
      </c>
      <c r="F881" s="103">
        <v>12.629999999999997</v>
      </c>
      <c r="G881" s="103">
        <v>0.01</v>
      </c>
      <c r="H881" s="103">
        <v>1.55</v>
      </c>
      <c r="I881" s="103">
        <f t="shared" si="39"/>
        <v>11.069999999999997</v>
      </c>
      <c r="J881" s="102" t="s">
        <v>549</v>
      </c>
    </row>
    <row r="882" spans="1:10">
      <c r="A882" s="102">
        <v>20120301</v>
      </c>
      <c r="B882" s="111" t="s">
        <v>498</v>
      </c>
      <c r="C882" s="111" t="str">
        <f t="shared" si="37"/>
        <v>20120301RLS</v>
      </c>
      <c r="D882" s="111" t="s">
        <v>191</v>
      </c>
      <c r="E882" s="111" t="str">
        <f t="shared" si="38"/>
        <v>20120301LGUM_074</v>
      </c>
      <c r="F882" s="103">
        <v>17.68</v>
      </c>
      <c r="G882" s="103">
        <v>0.01</v>
      </c>
      <c r="H882" s="103">
        <v>1.07</v>
      </c>
      <c r="I882" s="103">
        <f t="shared" si="39"/>
        <v>16.599999999999998</v>
      </c>
      <c r="J882" s="102" t="s">
        <v>550</v>
      </c>
    </row>
    <row r="883" spans="1:10">
      <c r="A883" s="102">
        <v>20120301</v>
      </c>
      <c r="B883" s="111" t="s">
        <v>498</v>
      </c>
      <c r="C883" s="111" t="str">
        <f t="shared" ref="C883:C946" si="40">A883&amp;B883</f>
        <v>20120301RLS</v>
      </c>
      <c r="D883" s="111" t="s">
        <v>229</v>
      </c>
      <c r="E883" s="111" t="str">
        <f t="shared" ref="E883:E946" si="41">A883&amp;D883</f>
        <v>20120301LGUM_174</v>
      </c>
      <c r="F883" s="103">
        <v>17.68</v>
      </c>
      <c r="G883" s="103">
        <v>0.01</v>
      </c>
      <c r="H883" s="103">
        <v>1.07</v>
      </c>
      <c r="I883" s="103">
        <f t="shared" si="39"/>
        <v>16.599999999999998</v>
      </c>
      <c r="J883" s="102" t="s">
        <v>550</v>
      </c>
    </row>
    <row r="884" spans="1:10">
      <c r="A884" s="102">
        <v>20120301</v>
      </c>
      <c r="B884" s="111" t="s">
        <v>498</v>
      </c>
      <c r="C884" s="111" t="str">
        <f t="shared" si="40"/>
        <v>20120301RLS</v>
      </c>
      <c r="D884" s="111" t="s">
        <v>267</v>
      </c>
      <c r="E884" s="111" t="str">
        <f t="shared" si="41"/>
        <v>20120301LGUM_274</v>
      </c>
      <c r="F884" s="103">
        <v>17.68</v>
      </c>
      <c r="G884" s="103">
        <v>0.01</v>
      </c>
      <c r="H884" s="103">
        <v>1.07</v>
      </c>
      <c r="I884" s="103">
        <f t="shared" si="39"/>
        <v>16.599999999999998</v>
      </c>
      <c r="J884" s="102" t="s">
        <v>550</v>
      </c>
    </row>
    <row r="885" spans="1:10">
      <c r="A885" s="102">
        <v>20120301</v>
      </c>
      <c r="B885" s="111" t="s">
        <v>498</v>
      </c>
      <c r="C885" s="111" t="str">
        <f t="shared" si="40"/>
        <v>20120301RLS</v>
      </c>
      <c r="D885" s="111" t="s">
        <v>192</v>
      </c>
      <c r="E885" s="111" t="str">
        <f t="shared" si="41"/>
        <v>20120301LGUM_075</v>
      </c>
      <c r="F885" s="103">
        <v>23.520000000000003</v>
      </c>
      <c r="G885" s="103">
        <v>0.01</v>
      </c>
      <c r="H885" s="103">
        <v>1.48</v>
      </c>
      <c r="I885" s="103">
        <f t="shared" si="39"/>
        <v>22.03</v>
      </c>
      <c r="J885" s="102" t="s">
        <v>548</v>
      </c>
    </row>
    <row r="886" spans="1:10">
      <c r="A886" s="102">
        <v>20120301</v>
      </c>
      <c r="B886" s="111" t="s">
        <v>498</v>
      </c>
      <c r="C886" s="111" t="str">
        <f t="shared" si="40"/>
        <v>20120301RLS</v>
      </c>
      <c r="D886" s="111" t="s">
        <v>230</v>
      </c>
      <c r="E886" s="111" t="str">
        <f t="shared" si="41"/>
        <v>20120301LGUM_175</v>
      </c>
      <c r="F886" s="103">
        <v>23.520000000000003</v>
      </c>
      <c r="G886" s="103">
        <v>0.01</v>
      </c>
      <c r="H886" s="103">
        <v>1.48</v>
      </c>
      <c r="I886" s="103">
        <f t="shared" si="39"/>
        <v>22.03</v>
      </c>
      <c r="J886" s="102" t="s">
        <v>548</v>
      </c>
    </row>
    <row r="887" spans="1:10">
      <c r="A887" s="102">
        <v>20120301</v>
      </c>
      <c r="B887" s="111" t="s">
        <v>498</v>
      </c>
      <c r="C887" s="111" t="str">
        <f t="shared" si="40"/>
        <v>20120301RLS</v>
      </c>
      <c r="D887" s="111" t="s">
        <v>392</v>
      </c>
      <c r="E887" s="111" t="str">
        <f t="shared" si="41"/>
        <v>20120301LGUM_275</v>
      </c>
      <c r="F887" s="103">
        <v>23.520000000000003</v>
      </c>
      <c r="G887" s="103">
        <v>0.01</v>
      </c>
      <c r="H887" s="103">
        <v>1.48</v>
      </c>
      <c r="I887" s="103">
        <f t="shared" si="39"/>
        <v>22.03</v>
      </c>
      <c r="J887" s="102" t="s">
        <v>548</v>
      </c>
    </row>
    <row r="888" spans="1:10">
      <c r="A888" s="102">
        <v>20120301</v>
      </c>
      <c r="B888" s="111" t="s">
        <v>498</v>
      </c>
      <c r="C888" s="111" t="str">
        <f t="shared" si="40"/>
        <v>20120301RLS</v>
      </c>
      <c r="D888" s="111" t="s">
        <v>193</v>
      </c>
      <c r="E888" s="111" t="str">
        <f t="shared" si="41"/>
        <v>20120301LGUM_076</v>
      </c>
      <c r="F888" s="103">
        <v>13.3</v>
      </c>
      <c r="G888" s="103">
        <v>0.01</v>
      </c>
      <c r="H888" s="103">
        <v>0.74</v>
      </c>
      <c r="I888" s="103">
        <f t="shared" si="39"/>
        <v>12.55</v>
      </c>
      <c r="J888" s="102" t="s">
        <v>551</v>
      </c>
    </row>
    <row r="889" spans="1:10">
      <c r="A889" s="102">
        <v>20120301</v>
      </c>
      <c r="B889" s="111" t="s">
        <v>498</v>
      </c>
      <c r="C889" s="111" t="str">
        <f t="shared" si="40"/>
        <v>20120301RLS</v>
      </c>
      <c r="D889" s="111" t="s">
        <v>231</v>
      </c>
      <c r="E889" s="111" t="str">
        <f t="shared" si="41"/>
        <v>20120301LGUM_176</v>
      </c>
      <c r="F889" s="103">
        <v>13.3</v>
      </c>
      <c r="G889" s="103">
        <v>0.01</v>
      </c>
      <c r="H889" s="103">
        <v>0.74</v>
      </c>
      <c r="I889" s="103">
        <f t="shared" si="39"/>
        <v>12.55</v>
      </c>
      <c r="J889" s="102" t="s">
        <v>551</v>
      </c>
    </row>
    <row r="890" spans="1:10">
      <c r="A890" s="102">
        <v>20120301</v>
      </c>
      <c r="B890" s="111" t="s">
        <v>498</v>
      </c>
      <c r="C890" s="111" t="str">
        <f t="shared" si="40"/>
        <v>20120301RLS</v>
      </c>
      <c r="D890" s="111" t="s">
        <v>268</v>
      </c>
      <c r="E890" s="111" t="str">
        <f t="shared" si="41"/>
        <v>20120301LGUM_276</v>
      </c>
      <c r="F890" s="103">
        <v>13.3</v>
      </c>
      <c r="G890" s="103">
        <v>0.01</v>
      </c>
      <c r="H890" s="103">
        <v>0.74</v>
      </c>
      <c r="I890" s="103">
        <f t="shared" si="39"/>
        <v>12.55</v>
      </c>
      <c r="J890" s="102" t="s">
        <v>551</v>
      </c>
    </row>
    <row r="891" spans="1:10">
      <c r="A891" s="102">
        <v>20120301</v>
      </c>
      <c r="B891" s="111" t="s">
        <v>498</v>
      </c>
      <c r="C891" s="111" t="str">
        <f t="shared" si="40"/>
        <v>20120301RLS</v>
      </c>
      <c r="D891" s="111" t="s">
        <v>194</v>
      </c>
      <c r="E891" s="111" t="str">
        <f t="shared" si="41"/>
        <v>20120301LGUM_077</v>
      </c>
      <c r="F891" s="103">
        <v>21.08</v>
      </c>
      <c r="G891" s="103">
        <v>0.01</v>
      </c>
      <c r="H891" s="103">
        <v>1.48</v>
      </c>
      <c r="I891" s="103">
        <f t="shared" si="39"/>
        <v>19.589999999999996</v>
      </c>
      <c r="J891" s="102" t="s">
        <v>552</v>
      </c>
    </row>
    <row r="892" spans="1:10">
      <c r="A892" s="102">
        <v>20120301</v>
      </c>
      <c r="B892" s="111" t="s">
        <v>498</v>
      </c>
      <c r="C892" s="111" t="str">
        <f t="shared" si="40"/>
        <v>20120301RLS</v>
      </c>
      <c r="D892" s="111" t="s">
        <v>232</v>
      </c>
      <c r="E892" s="111" t="str">
        <f t="shared" si="41"/>
        <v>20120301LGUM_177</v>
      </c>
      <c r="F892" s="103">
        <v>21.08</v>
      </c>
      <c r="G892" s="103">
        <v>0.01</v>
      </c>
      <c r="H892" s="103">
        <v>1.48</v>
      </c>
      <c r="I892" s="103">
        <f t="shared" si="39"/>
        <v>19.589999999999996</v>
      </c>
      <c r="J892" s="102" t="s">
        <v>552</v>
      </c>
    </row>
    <row r="893" spans="1:10">
      <c r="A893" s="102">
        <v>20120301</v>
      </c>
      <c r="B893" s="111" t="s">
        <v>498</v>
      </c>
      <c r="C893" s="111" t="str">
        <f t="shared" si="40"/>
        <v>20120301RLS</v>
      </c>
      <c r="D893" s="111" t="s">
        <v>269</v>
      </c>
      <c r="E893" s="111" t="str">
        <f t="shared" si="41"/>
        <v>20120301LGUM_277</v>
      </c>
      <c r="F893" s="103">
        <v>21.08</v>
      </c>
      <c r="G893" s="103">
        <v>0.01</v>
      </c>
      <c r="H893" s="103">
        <v>1.48</v>
      </c>
      <c r="I893" s="103">
        <f t="shared" si="39"/>
        <v>19.589999999999996</v>
      </c>
      <c r="J893" s="102" t="s">
        <v>552</v>
      </c>
    </row>
    <row r="894" spans="1:10">
      <c r="A894" s="102">
        <v>20120301</v>
      </c>
      <c r="B894" s="111" t="s">
        <v>498</v>
      </c>
      <c r="C894" s="111" t="str">
        <f t="shared" si="40"/>
        <v>20120301RLS</v>
      </c>
      <c r="D894" s="111" t="s">
        <v>553</v>
      </c>
      <c r="E894" s="111" t="str">
        <f t="shared" si="41"/>
        <v>20120301LGUM_078</v>
      </c>
      <c r="F894" s="103">
        <v>68.13</v>
      </c>
      <c r="G894" s="103">
        <v>0.05</v>
      </c>
      <c r="H894" s="103">
        <v>8.14</v>
      </c>
      <c r="I894" s="103">
        <f t="shared" si="39"/>
        <v>59.94</v>
      </c>
      <c r="J894" s="102" t="s">
        <v>554</v>
      </c>
    </row>
    <row r="895" spans="1:10">
      <c r="A895" s="102">
        <v>20120301</v>
      </c>
      <c r="B895" s="111" t="s">
        <v>498</v>
      </c>
      <c r="C895" s="111" t="str">
        <f t="shared" si="40"/>
        <v>20120301RLS</v>
      </c>
      <c r="D895" s="111" t="s">
        <v>233</v>
      </c>
      <c r="E895" s="111" t="str">
        <f t="shared" si="41"/>
        <v>20120301LGUM_178</v>
      </c>
      <c r="F895" s="103">
        <v>68.13</v>
      </c>
      <c r="G895" s="103">
        <v>0.05</v>
      </c>
      <c r="H895" s="103">
        <v>8.14</v>
      </c>
      <c r="I895" s="103">
        <f t="shared" si="39"/>
        <v>59.94</v>
      </c>
      <c r="J895" s="102" t="s">
        <v>554</v>
      </c>
    </row>
    <row r="896" spans="1:10">
      <c r="A896" s="102">
        <v>20120301</v>
      </c>
      <c r="B896" s="111" t="s">
        <v>498</v>
      </c>
      <c r="C896" s="111" t="str">
        <f t="shared" si="40"/>
        <v>20120301RLS</v>
      </c>
      <c r="D896" s="111" t="s">
        <v>393</v>
      </c>
      <c r="E896" s="111" t="str">
        <f t="shared" si="41"/>
        <v>20120301LGUM_278</v>
      </c>
      <c r="F896" s="103">
        <v>68.13</v>
      </c>
      <c r="G896" s="103">
        <v>0.05</v>
      </c>
      <c r="H896" s="103">
        <v>8.14</v>
      </c>
      <c r="I896" s="103">
        <f t="shared" si="39"/>
        <v>59.94</v>
      </c>
      <c r="J896" s="102" t="s">
        <v>554</v>
      </c>
    </row>
    <row r="897" spans="1:10">
      <c r="A897" s="102">
        <v>20120301</v>
      </c>
      <c r="B897" s="111" t="s">
        <v>498</v>
      </c>
      <c r="C897" s="111" t="str">
        <f t="shared" si="40"/>
        <v>20120301RLS</v>
      </c>
      <c r="D897" s="111" t="s">
        <v>555</v>
      </c>
      <c r="E897" s="111" t="str">
        <f t="shared" si="41"/>
        <v>20120301LGUM_079</v>
      </c>
      <c r="F897" s="103">
        <v>38.35</v>
      </c>
      <c r="G897" s="103">
        <v>0.05</v>
      </c>
      <c r="H897" s="103">
        <v>8.14</v>
      </c>
      <c r="I897" s="103">
        <f t="shared" si="39"/>
        <v>30.160000000000004</v>
      </c>
      <c r="J897" s="102" t="s">
        <v>556</v>
      </c>
    </row>
    <row r="898" spans="1:10">
      <c r="A898" s="102">
        <v>20120301</v>
      </c>
      <c r="B898" s="111" t="s">
        <v>498</v>
      </c>
      <c r="C898" s="111" t="str">
        <f t="shared" si="40"/>
        <v>20120301RLS</v>
      </c>
      <c r="D898" s="111" t="s">
        <v>234</v>
      </c>
      <c r="E898" s="111" t="str">
        <f t="shared" si="41"/>
        <v>20120301LGUM_179</v>
      </c>
      <c r="F898" s="103">
        <v>38.35</v>
      </c>
      <c r="G898" s="103">
        <v>0.05</v>
      </c>
      <c r="H898" s="103">
        <v>8.14</v>
      </c>
      <c r="I898" s="103">
        <f t="shared" si="39"/>
        <v>30.160000000000004</v>
      </c>
      <c r="J898" s="102" t="s">
        <v>556</v>
      </c>
    </row>
    <row r="899" spans="1:10">
      <c r="A899" s="102">
        <v>20120301</v>
      </c>
      <c r="B899" s="111" t="s">
        <v>498</v>
      </c>
      <c r="C899" s="111" t="str">
        <f t="shared" si="40"/>
        <v>20120301RLS</v>
      </c>
      <c r="D899" s="111" t="s">
        <v>394</v>
      </c>
      <c r="E899" s="111" t="str">
        <f t="shared" si="41"/>
        <v>20120301LGUM_279</v>
      </c>
      <c r="F899" s="103">
        <v>38.35</v>
      </c>
      <c r="G899" s="103">
        <v>0.05</v>
      </c>
      <c r="H899" s="103">
        <v>8.14</v>
      </c>
      <c r="I899" s="103">
        <f t="shared" si="39"/>
        <v>30.160000000000004</v>
      </c>
      <c r="J899" s="102" t="s">
        <v>556</v>
      </c>
    </row>
    <row r="900" spans="1:10">
      <c r="A900" s="102">
        <v>20120301</v>
      </c>
      <c r="B900" s="111" t="s">
        <v>498</v>
      </c>
      <c r="C900" s="111" t="str">
        <f t="shared" si="40"/>
        <v>20120301RLS</v>
      </c>
      <c r="D900" s="111" t="s">
        <v>557</v>
      </c>
      <c r="E900" s="111" t="str">
        <f t="shared" si="41"/>
        <v>20120301LGUM_080</v>
      </c>
      <c r="F900" s="103">
        <v>18.45</v>
      </c>
      <c r="G900" s="103">
        <v>0.01</v>
      </c>
      <c r="H900" s="103">
        <v>0.74</v>
      </c>
      <c r="I900" s="103">
        <f t="shared" si="39"/>
        <v>17.7</v>
      </c>
      <c r="J900" s="102" t="s">
        <v>558</v>
      </c>
    </row>
    <row r="901" spans="1:10">
      <c r="A901" s="102">
        <v>20120301</v>
      </c>
      <c r="B901" s="111" t="s">
        <v>498</v>
      </c>
      <c r="C901" s="111" t="str">
        <f t="shared" si="40"/>
        <v>20120301RLS</v>
      </c>
      <c r="D901" s="111" t="s">
        <v>235</v>
      </c>
      <c r="E901" s="111" t="str">
        <f t="shared" si="41"/>
        <v>20120301LGUM_180</v>
      </c>
      <c r="F901" s="103">
        <v>18.45</v>
      </c>
      <c r="G901" s="103">
        <v>0.01</v>
      </c>
      <c r="H901" s="103">
        <v>0.74</v>
      </c>
      <c r="I901" s="103">
        <f t="shared" ref="I901:I964" si="42">F901-G901-H901</f>
        <v>17.7</v>
      </c>
      <c r="J901" s="102" t="s">
        <v>558</v>
      </c>
    </row>
    <row r="902" spans="1:10">
      <c r="A902" s="102">
        <v>20120301</v>
      </c>
      <c r="B902" s="111" t="s">
        <v>498</v>
      </c>
      <c r="C902" s="111" t="str">
        <f t="shared" si="40"/>
        <v>20120301RLS</v>
      </c>
      <c r="D902" s="111" t="s">
        <v>398</v>
      </c>
      <c r="E902" s="111" t="str">
        <f t="shared" si="41"/>
        <v>20120301LGUM_280</v>
      </c>
      <c r="F902" s="103">
        <v>18.45</v>
      </c>
      <c r="G902" s="103">
        <v>0.01</v>
      </c>
      <c r="H902" s="103">
        <v>0.74</v>
      </c>
      <c r="I902" s="103">
        <f t="shared" si="42"/>
        <v>17.7</v>
      </c>
      <c r="J902" s="102" t="s">
        <v>558</v>
      </c>
    </row>
    <row r="903" spans="1:10">
      <c r="A903" s="102">
        <v>20120301</v>
      </c>
      <c r="B903" s="111" t="s">
        <v>498</v>
      </c>
      <c r="C903" s="111" t="str">
        <f t="shared" si="40"/>
        <v>20120301RLS</v>
      </c>
      <c r="D903" s="111" t="s">
        <v>375</v>
      </c>
      <c r="E903" s="111" t="str">
        <f t="shared" si="41"/>
        <v>20120301LGUM_081</v>
      </c>
      <c r="F903" s="103">
        <v>19.48</v>
      </c>
      <c r="G903" s="103">
        <v>0.01</v>
      </c>
      <c r="H903" s="103">
        <v>1.07</v>
      </c>
      <c r="I903" s="103">
        <f t="shared" si="42"/>
        <v>18.399999999999999</v>
      </c>
      <c r="J903" s="102" t="s">
        <v>559</v>
      </c>
    </row>
    <row r="904" spans="1:10">
      <c r="A904" s="102">
        <v>20120301</v>
      </c>
      <c r="B904" s="111" t="s">
        <v>498</v>
      </c>
      <c r="C904" s="111" t="str">
        <f t="shared" si="40"/>
        <v>20120301RLS</v>
      </c>
      <c r="D904" s="111" t="s">
        <v>236</v>
      </c>
      <c r="E904" s="111" t="str">
        <f t="shared" si="41"/>
        <v>20120301LGUM_181</v>
      </c>
      <c r="F904" s="103">
        <v>19.48</v>
      </c>
      <c r="G904" s="103">
        <v>0.01</v>
      </c>
      <c r="H904" s="103">
        <v>1.07</v>
      </c>
      <c r="I904" s="103">
        <f t="shared" si="42"/>
        <v>18.399999999999999</v>
      </c>
      <c r="J904" s="102" t="s">
        <v>559</v>
      </c>
    </row>
    <row r="905" spans="1:10">
      <c r="A905" s="102">
        <v>20120301</v>
      </c>
      <c r="B905" s="111" t="s">
        <v>498</v>
      </c>
      <c r="C905" s="111" t="str">
        <f t="shared" si="40"/>
        <v>20120301RLS</v>
      </c>
      <c r="D905" s="111" t="s">
        <v>395</v>
      </c>
      <c r="E905" s="111" t="str">
        <f t="shared" si="41"/>
        <v>20120301LGUM_281</v>
      </c>
      <c r="F905" s="103">
        <v>19.48</v>
      </c>
      <c r="G905" s="103">
        <v>0.01</v>
      </c>
      <c r="H905" s="103">
        <v>1.07</v>
      </c>
      <c r="I905" s="103">
        <f t="shared" si="42"/>
        <v>18.399999999999999</v>
      </c>
      <c r="J905" s="102" t="s">
        <v>559</v>
      </c>
    </row>
    <row r="906" spans="1:10">
      <c r="A906" s="102">
        <v>20120301</v>
      </c>
      <c r="B906" s="111" t="s">
        <v>498</v>
      </c>
      <c r="C906" s="111" t="str">
        <f t="shared" si="40"/>
        <v>20120301RLS</v>
      </c>
      <c r="D906" s="111" t="s">
        <v>195</v>
      </c>
      <c r="E906" s="111" t="str">
        <f t="shared" si="41"/>
        <v>20120301LGUM_082</v>
      </c>
      <c r="F906" s="103">
        <v>18.63</v>
      </c>
      <c r="G906" s="103">
        <v>0.01</v>
      </c>
      <c r="H906" s="103">
        <v>0.74</v>
      </c>
      <c r="I906" s="103">
        <f t="shared" si="42"/>
        <v>17.88</v>
      </c>
      <c r="J906" s="102" t="s">
        <v>560</v>
      </c>
    </row>
    <row r="907" spans="1:10">
      <c r="A907" s="102">
        <v>20120301</v>
      </c>
      <c r="B907" s="111" t="s">
        <v>498</v>
      </c>
      <c r="C907" s="111" t="str">
        <f t="shared" si="40"/>
        <v>20120301RLS</v>
      </c>
      <c r="D907" s="111" t="s">
        <v>237</v>
      </c>
      <c r="E907" s="111" t="str">
        <f t="shared" si="41"/>
        <v>20120301LGUM_182</v>
      </c>
      <c r="F907" s="103">
        <v>18.63</v>
      </c>
      <c r="G907" s="103">
        <v>0.01</v>
      </c>
      <c r="H907" s="103">
        <v>0.74</v>
      </c>
      <c r="I907" s="103">
        <f t="shared" si="42"/>
        <v>17.88</v>
      </c>
      <c r="J907" s="102" t="s">
        <v>560</v>
      </c>
    </row>
    <row r="908" spans="1:10">
      <c r="A908" s="102">
        <v>20120301</v>
      </c>
      <c r="B908" s="111" t="s">
        <v>498</v>
      </c>
      <c r="C908" s="111" t="str">
        <f t="shared" si="40"/>
        <v>20120301RLS</v>
      </c>
      <c r="D908" s="111" t="s">
        <v>396</v>
      </c>
      <c r="E908" s="111" t="str">
        <f t="shared" si="41"/>
        <v>20120301LGUM_282</v>
      </c>
      <c r="F908" s="103">
        <v>18.63</v>
      </c>
      <c r="G908" s="103">
        <v>0.01</v>
      </c>
      <c r="H908" s="103">
        <v>0.74</v>
      </c>
      <c r="I908" s="103">
        <f t="shared" si="42"/>
        <v>17.88</v>
      </c>
      <c r="J908" s="102" t="s">
        <v>560</v>
      </c>
    </row>
    <row r="909" spans="1:10">
      <c r="A909" s="102">
        <v>20120301</v>
      </c>
      <c r="B909" s="111" t="s">
        <v>498</v>
      </c>
      <c r="C909" s="111" t="str">
        <f t="shared" si="40"/>
        <v>20120301RLS</v>
      </c>
      <c r="D909" s="111" t="s">
        <v>561</v>
      </c>
      <c r="E909" s="111" t="str">
        <f t="shared" si="41"/>
        <v>20120301LGUM_083</v>
      </c>
      <c r="F909" s="103">
        <v>19.68</v>
      </c>
      <c r="G909" s="103">
        <v>0.01</v>
      </c>
      <c r="H909" s="103">
        <v>1.07</v>
      </c>
      <c r="I909" s="103">
        <f t="shared" si="42"/>
        <v>18.599999999999998</v>
      </c>
      <c r="J909" s="102" t="s">
        <v>562</v>
      </c>
    </row>
    <row r="910" spans="1:10">
      <c r="A910" s="102">
        <v>20120301</v>
      </c>
      <c r="B910" s="111" t="s">
        <v>498</v>
      </c>
      <c r="C910" s="111" t="str">
        <f t="shared" si="40"/>
        <v>20120301RLS</v>
      </c>
      <c r="D910" s="111" t="s">
        <v>238</v>
      </c>
      <c r="E910" s="111" t="str">
        <f t="shared" si="41"/>
        <v>20120301LGUM_183</v>
      </c>
      <c r="F910" s="103">
        <v>19.68</v>
      </c>
      <c r="G910" s="103">
        <v>0.01</v>
      </c>
      <c r="H910" s="103">
        <v>1.07</v>
      </c>
      <c r="I910" s="103">
        <f t="shared" si="42"/>
        <v>18.599999999999998</v>
      </c>
      <c r="J910" s="102" t="s">
        <v>562</v>
      </c>
    </row>
    <row r="911" spans="1:10">
      <c r="A911" s="102">
        <v>20120301</v>
      </c>
      <c r="B911" s="111" t="s">
        <v>498</v>
      </c>
      <c r="C911" s="111" t="str">
        <f t="shared" si="40"/>
        <v>20120301RLS</v>
      </c>
      <c r="D911" s="111" t="s">
        <v>397</v>
      </c>
      <c r="E911" s="111" t="str">
        <f t="shared" si="41"/>
        <v>20120301LGUM_283</v>
      </c>
      <c r="F911" s="103">
        <v>19.68</v>
      </c>
      <c r="G911" s="103">
        <v>0.01</v>
      </c>
      <c r="H911" s="103">
        <v>1.07</v>
      </c>
      <c r="I911" s="103">
        <f t="shared" si="42"/>
        <v>18.599999999999998</v>
      </c>
      <c r="J911" s="102" t="s">
        <v>562</v>
      </c>
    </row>
    <row r="912" spans="1:10">
      <c r="A912" s="102">
        <v>20120301</v>
      </c>
      <c r="B912" s="111" t="s">
        <v>498</v>
      </c>
      <c r="C912" s="111" t="str">
        <f t="shared" si="40"/>
        <v>20120301RLS</v>
      </c>
      <c r="D912" s="111" t="s">
        <v>270</v>
      </c>
      <c r="E912" s="111" t="str">
        <f t="shared" si="41"/>
        <v>20120301LGUM_301</v>
      </c>
      <c r="F912" s="103">
        <v>7.2000000000000011</v>
      </c>
      <c r="G912" s="103">
        <v>0.01</v>
      </c>
      <c r="H912" s="103">
        <v>0.92</v>
      </c>
      <c r="I912" s="103">
        <f t="shared" si="42"/>
        <v>6.2700000000000014</v>
      </c>
      <c r="J912" s="102" t="s">
        <v>499</v>
      </c>
    </row>
    <row r="913" spans="1:10">
      <c r="A913" s="102">
        <v>20120301</v>
      </c>
      <c r="B913" s="111" t="s">
        <v>498</v>
      </c>
      <c r="C913" s="111" t="str">
        <f t="shared" si="40"/>
        <v>20120301RLS</v>
      </c>
      <c r="D913" s="111" t="s">
        <v>271</v>
      </c>
      <c r="E913" s="111" t="str">
        <f t="shared" si="41"/>
        <v>20120301LGUM_302</v>
      </c>
      <c r="F913" s="103">
        <v>8.4</v>
      </c>
      <c r="G913" s="103">
        <v>0.01</v>
      </c>
      <c r="H913" s="103">
        <v>1.55</v>
      </c>
      <c r="I913" s="103">
        <f t="shared" si="42"/>
        <v>6.8400000000000007</v>
      </c>
      <c r="J913" s="102" t="s">
        <v>500</v>
      </c>
    </row>
    <row r="914" spans="1:10">
      <c r="A914" s="102">
        <v>20120301</v>
      </c>
      <c r="B914" s="111" t="s">
        <v>498</v>
      </c>
      <c r="C914" s="111" t="str">
        <f t="shared" si="40"/>
        <v>20120301RLS</v>
      </c>
      <c r="D914" s="111" t="s">
        <v>272</v>
      </c>
      <c r="E914" s="111" t="str">
        <f t="shared" si="41"/>
        <v>20120301LGUM_303</v>
      </c>
      <c r="F914" s="103">
        <v>9.7199999999999989</v>
      </c>
      <c r="G914" s="103">
        <v>0.01</v>
      </c>
      <c r="H914" s="103">
        <v>2.2000000000000002</v>
      </c>
      <c r="I914" s="103">
        <f t="shared" si="42"/>
        <v>7.5099999999999989</v>
      </c>
      <c r="J914" s="102" t="s">
        <v>501</v>
      </c>
    </row>
    <row r="915" spans="1:10">
      <c r="A915" s="102">
        <v>20120301</v>
      </c>
      <c r="B915" s="111" t="s">
        <v>498</v>
      </c>
      <c r="C915" s="111" t="str">
        <f t="shared" si="40"/>
        <v>20120301RLS</v>
      </c>
      <c r="D915" s="111" t="s">
        <v>273</v>
      </c>
      <c r="E915" s="111" t="str">
        <f t="shared" si="41"/>
        <v>20120301LGUM_304</v>
      </c>
      <c r="F915" s="103">
        <v>11.88</v>
      </c>
      <c r="G915" s="103">
        <v>0.01</v>
      </c>
      <c r="H915" s="103">
        <v>3.41</v>
      </c>
      <c r="I915" s="103">
        <f t="shared" si="42"/>
        <v>8.4600000000000009</v>
      </c>
      <c r="J915" s="102" t="s">
        <v>502</v>
      </c>
    </row>
    <row r="916" spans="1:10">
      <c r="A916" s="102">
        <v>20120301</v>
      </c>
      <c r="B916" s="111" t="s">
        <v>498</v>
      </c>
      <c r="C916" s="111" t="str">
        <f t="shared" si="40"/>
        <v>20120301RLS</v>
      </c>
      <c r="D916" s="111" t="s">
        <v>275</v>
      </c>
      <c r="E916" s="111" t="str">
        <f t="shared" si="41"/>
        <v>20120301LGUM_305</v>
      </c>
      <c r="F916" s="103">
        <v>9.6999999999999993</v>
      </c>
      <c r="G916" s="103">
        <v>0.01</v>
      </c>
      <c r="H916" s="103">
        <v>1.07</v>
      </c>
      <c r="I916" s="103">
        <f t="shared" si="42"/>
        <v>8.6199999999999992</v>
      </c>
      <c r="J916" s="102" t="s">
        <v>503</v>
      </c>
    </row>
    <row r="917" spans="1:10">
      <c r="A917" s="102">
        <v>20120301</v>
      </c>
      <c r="B917" s="111" t="s">
        <v>498</v>
      </c>
      <c r="C917" s="111" t="str">
        <f t="shared" si="40"/>
        <v>20120301RLS</v>
      </c>
      <c r="D917" s="111" t="s">
        <v>276</v>
      </c>
      <c r="E917" s="111" t="str">
        <f t="shared" si="41"/>
        <v>20120301LGUM_306</v>
      </c>
      <c r="F917" s="103">
        <v>11.2</v>
      </c>
      <c r="G917" s="103">
        <v>0.01</v>
      </c>
      <c r="H917" s="103">
        <v>0.92</v>
      </c>
      <c r="I917" s="103">
        <f t="shared" si="42"/>
        <v>10.27</v>
      </c>
      <c r="J917" s="102" t="s">
        <v>563</v>
      </c>
    </row>
    <row r="918" spans="1:10">
      <c r="A918" s="102">
        <v>20120301</v>
      </c>
      <c r="B918" s="111" t="s">
        <v>498</v>
      </c>
      <c r="C918" s="111" t="str">
        <f t="shared" si="40"/>
        <v>20120301RLS</v>
      </c>
      <c r="D918" s="111" t="s">
        <v>277</v>
      </c>
      <c r="E918" s="111" t="str">
        <f t="shared" si="41"/>
        <v>20120301LGUM_307</v>
      </c>
      <c r="F918" s="103">
        <v>16.39</v>
      </c>
      <c r="G918" s="103">
        <v>0.01</v>
      </c>
      <c r="H918" s="103">
        <v>3.41</v>
      </c>
      <c r="I918" s="103">
        <f t="shared" si="42"/>
        <v>12.969999999999999</v>
      </c>
      <c r="J918" s="102" t="s">
        <v>564</v>
      </c>
    </row>
    <row r="919" spans="1:10">
      <c r="A919" s="102">
        <v>20120301</v>
      </c>
      <c r="B919" s="111" t="s">
        <v>498</v>
      </c>
      <c r="C919" s="111" t="str">
        <f t="shared" si="40"/>
        <v>20120301RLS</v>
      </c>
      <c r="D919" s="111" t="s">
        <v>278</v>
      </c>
      <c r="E919" s="111" t="str">
        <f t="shared" si="41"/>
        <v>20120301LGUM_308</v>
      </c>
      <c r="F919" s="103">
        <v>12.3</v>
      </c>
      <c r="G919" s="103">
        <v>0.01</v>
      </c>
      <c r="H919" s="103">
        <v>1.55</v>
      </c>
      <c r="I919" s="103">
        <f t="shared" si="42"/>
        <v>10.74</v>
      </c>
      <c r="J919" s="102" t="s">
        <v>681</v>
      </c>
    </row>
    <row r="920" spans="1:10">
      <c r="A920" s="102">
        <v>20120301</v>
      </c>
      <c r="B920" s="111" t="s">
        <v>498</v>
      </c>
      <c r="C920" s="111" t="str">
        <f t="shared" si="40"/>
        <v>20120301RLS</v>
      </c>
      <c r="D920" s="111" t="s">
        <v>279</v>
      </c>
      <c r="E920" s="111" t="str">
        <f t="shared" si="41"/>
        <v>20120301LGUM_309</v>
      </c>
      <c r="F920" s="103">
        <v>22.72</v>
      </c>
      <c r="G920" s="103">
        <v>0.02</v>
      </c>
      <c r="H920" s="103">
        <v>8.16</v>
      </c>
      <c r="I920" s="103">
        <f t="shared" si="42"/>
        <v>14.54</v>
      </c>
      <c r="J920" s="102" t="s">
        <v>509</v>
      </c>
    </row>
    <row r="921" spans="1:10">
      <c r="A921" s="102">
        <v>20120301</v>
      </c>
      <c r="B921" s="111" t="s">
        <v>498</v>
      </c>
      <c r="C921" s="111" t="str">
        <f t="shared" si="40"/>
        <v>20120301RLS</v>
      </c>
      <c r="D921" s="111" t="s">
        <v>280</v>
      </c>
      <c r="E921" s="111" t="str">
        <f t="shared" si="41"/>
        <v>20120301LGUM_310</v>
      </c>
      <c r="F921" s="103">
        <v>22.72</v>
      </c>
      <c r="G921" s="103">
        <v>0.02</v>
      </c>
      <c r="H921" s="103">
        <v>8.16</v>
      </c>
      <c r="I921" s="103">
        <f t="shared" si="42"/>
        <v>14.54</v>
      </c>
      <c r="J921" s="102" t="s">
        <v>510</v>
      </c>
    </row>
    <row r="922" spans="1:10">
      <c r="A922" s="102">
        <v>20120301</v>
      </c>
      <c r="B922" s="111" t="s">
        <v>498</v>
      </c>
      <c r="C922" s="111" t="str">
        <f t="shared" si="40"/>
        <v>20120301RLS</v>
      </c>
      <c r="D922" s="111" t="s">
        <v>281</v>
      </c>
      <c r="E922" s="111" t="str">
        <f t="shared" si="41"/>
        <v>20120301LGUM_311</v>
      </c>
      <c r="F922" s="103">
        <v>13.86</v>
      </c>
      <c r="G922" s="103">
        <v>0.02</v>
      </c>
      <c r="H922" s="103">
        <v>2.2999999999999998</v>
      </c>
      <c r="I922" s="103">
        <f t="shared" si="42"/>
        <v>11.54</v>
      </c>
      <c r="J922" s="102" t="s">
        <v>511</v>
      </c>
    </row>
    <row r="923" spans="1:10">
      <c r="A923" s="102">
        <v>20120301</v>
      </c>
      <c r="B923" s="111" t="s">
        <v>498</v>
      </c>
      <c r="C923" s="111" t="str">
        <f t="shared" si="40"/>
        <v>20120301RLS</v>
      </c>
      <c r="D923" s="111" t="s">
        <v>283</v>
      </c>
      <c r="E923" s="111" t="str">
        <f t="shared" si="41"/>
        <v>20120301LGUM_312</v>
      </c>
      <c r="F923" s="103">
        <v>14.969999999999999</v>
      </c>
      <c r="G923" s="103">
        <v>0.02</v>
      </c>
      <c r="H923" s="103">
        <v>3.65</v>
      </c>
      <c r="I923" s="103">
        <f t="shared" si="42"/>
        <v>11.299999999999999</v>
      </c>
      <c r="J923" s="102" t="s">
        <v>512</v>
      </c>
    </row>
    <row r="924" spans="1:10">
      <c r="A924" s="102">
        <v>20120301</v>
      </c>
      <c r="B924" s="111" t="s">
        <v>498</v>
      </c>
      <c r="C924" s="111" t="str">
        <f t="shared" si="40"/>
        <v>20120301RLS</v>
      </c>
      <c r="D924" s="111" t="s">
        <v>285</v>
      </c>
      <c r="E924" s="111" t="str">
        <f t="shared" si="41"/>
        <v>20120301LGUM_313</v>
      </c>
      <c r="F924" s="103">
        <v>14.969999999999999</v>
      </c>
      <c r="G924" s="103">
        <v>0.02</v>
      </c>
      <c r="H924" s="103">
        <v>3.65</v>
      </c>
      <c r="I924" s="103">
        <f t="shared" si="42"/>
        <v>11.299999999999999</v>
      </c>
      <c r="J924" s="102" t="s">
        <v>513</v>
      </c>
    </row>
    <row r="925" spans="1:10">
      <c r="A925" s="102">
        <v>20120301</v>
      </c>
      <c r="B925" s="111" t="s">
        <v>498</v>
      </c>
      <c r="C925" s="111" t="str">
        <f t="shared" si="40"/>
        <v>20120301RLS</v>
      </c>
      <c r="D925" s="111" t="s">
        <v>287</v>
      </c>
      <c r="E925" s="111" t="str">
        <f t="shared" si="41"/>
        <v>20120301LGUM_314</v>
      </c>
      <c r="F925" s="103">
        <v>17.690000000000001</v>
      </c>
      <c r="G925" s="103">
        <v>0.01</v>
      </c>
      <c r="H925" s="103">
        <v>2.2000000000000002</v>
      </c>
      <c r="I925" s="103">
        <f t="shared" si="42"/>
        <v>15.48</v>
      </c>
      <c r="J925" s="102" t="s">
        <v>682</v>
      </c>
    </row>
    <row r="926" spans="1:10">
      <c r="A926" s="102">
        <v>20120301</v>
      </c>
      <c r="B926" s="111" t="s">
        <v>498</v>
      </c>
      <c r="C926" s="111" t="str">
        <f t="shared" si="40"/>
        <v>20120301RLS</v>
      </c>
      <c r="D926" s="111" t="s">
        <v>288</v>
      </c>
      <c r="E926" s="111" t="str">
        <f t="shared" si="41"/>
        <v>20120301LGUM_315</v>
      </c>
      <c r="F926" s="103">
        <v>21.09</v>
      </c>
      <c r="G926" s="103">
        <v>0.01</v>
      </c>
      <c r="H926" s="103">
        <v>3.41</v>
      </c>
      <c r="I926" s="103">
        <f t="shared" si="42"/>
        <v>17.669999999999998</v>
      </c>
      <c r="J926" s="102" t="s">
        <v>683</v>
      </c>
    </row>
    <row r="927" spans="1:10">
      <c r="A927" s="102">
        <v>20120301</v>
      </c>
      <c r="B927" s="111" t="s">
        <v>498</v>
      </c>
      <c r="C927" s="111" t="str">
        <f t="shared" si="40"/>
        <v>20120301RLS</v>
      </c>
      <c r="D927" s="111" t="s">
        <v>289</v>
      </c>
      <c r="E927" s="111" t="str">
        <f t="shared" si="41"/>
        <v>20120301LGUM_316</v>
      </c>
      <c r="F927" s="103">
        <v>25.2</v>
      </c>
      <c r="G927" s="103">
        <v>0.02</v>
      </c>
      <c r="H927" s="103">
        <v>2.2999999999999998</v>
      </c>
      <c r="I927" s="103">
        <f t="shared" si="42"/>
        <v>22.88</v>
      </c>
      <c r="J927" s="102" t="s">
        <v>515</v>
      </c>
    </row>
    <row r="928" spans="1:10">
      <c r="A928" s="102">
        <v>20120301</v>
      </c>
      <c r="B928" s="111" t="s">
        <v>498</v>
      </c>
      <c r="C928" s="111" t="str">
        <f t="shared" si="40"/>
        <v>20120301RLS</v>
      </c>
      <c r="D928" s="111" t="s">
        <v>290</v>
      </c>
      <c r="E928" s="111" t="str">
        <f t="shared" si="41"/>
        <v>20120301LGUM_317</v>
      </c>
      <c r="F928" s="103">
        <v>27.490000000000006</v>
      </c>
      <c r="G928" s="103">
        <v>0.02</v>
      </c>
      <c r="H928" s="103">
        <v>3.65</v>
      </c>
      <c r="I928" s="103">
        <f t="shared" si="42"/>
        <v>23.820000000000007</v>
      </c>
      <c r="J928" s="102" t="s">
        <v>517</v>
      </c>
    </row>
    <row r="929" spans="1:10">
      <c r="A929" s="102">
        <v>20120301</v>
      </c>
      <c r="B929" s="111" t="s">
        <v>498</v>
      </c>
      <c r="C929" s="111" t="str">
        <f t="shared" si="40"/>
        <v>20120301RLS</v>
      </c>
      <c r="D929" s="111" t="s">
        <v>291</v>
      </c>
      <c r="E929" s="111" t="str">
        <f t="shared" si="41"/>
        <v>20120301LGUM_318</v>
      </c>
      <c r="F929" s="103">
        <v>16.329999999999998</v>
      </c>
      <c r="G929" s="103">
        <v>0.01</v>
      </c>
      <c r="H929" s="103">
        <v>1.55</v>
      </c>
      <c r="I929" s="103">
        <f t="shared" si="42"/>
        <v>14.769999999999996</v>
      </c>
      <c r="J929" s="102" t="s">
        <v>684</v>
      </c>
    </row>
    <row r="930" spans="1:10">
      <c r="A930" s="102">
        <v>20120301</v>
      </c>
      <c r="B930" s="111" t="s">
        <v>498</v>
      </c>
      <c r="C930" s="111" t="str">
        <f t="shared" si="40"/>
        <v>20120301RLS</v>
      </c>
      <c r="D930" s="111" t="s">
        <v>571</v>
      </c>
      <c r="E930" s="111" t="str">
        <f t="shared" si="41"/>
        <v>20120301LGUM_319</v>
      </c>
      <c r="F930" s="103">
        <v>21.19</v>
      </c>
      <c r="G930" s="103">
        <v>0.01</v>
      </c>
      <c r="H930" s="103">
        <v>3.41</v>
      </c>
      <c r="I930" s="103">
        <f t="shared" si="42"/>
        <v>17.77</v>
      </c>
      <c r="J930" s="102" t="s">
        <v>685</v>
      </c>
    </row>
    <row r="931" spans="1:10">
      <c r="A931" s="102">
        <v>20120301</v>
      </c>
      <c r="B931" s="111" t="s">
        <v>498</v>
      </c>
      <c r="C931" s="111" t="str">
        <f t="shared" si="40"/>
        <v>20120301RLS</v>
      </c>
      <c r="D931" s="111" t="s">
        <v>573</v>
      </c>
      <c r="E931" s="111" t="str">
        <f t="shared" si="41"/>
        <v>20120301LGUM_320</v>
      </c>
      <c r="F931" s="103">
        <v>25.2</v>
      </c>
      <c r="G931" s="103">
        <v>0.02</v>
      </c>
      <c r="H931" s="103">
        <v>2.2999999999999998</v>
      </c>
      <c r="I931" s="103">
        <f t="shared" si="42"/>
        <v>22.88</v>
      </c>
      <c r="J931" s="102" t="s">
        <v>686</v>
      </c>
    </row>
    <row r="932" spans="1:10">
      <c r="A932" s="102">
        <v>20120301</v>
      </c>
      <c r="B932" s="111" t="s">
        <v>498</v>
      </c>
      <c r="C932" s="111" t="str">
        <f t="shared" si="40"/>
        <v>20120301RLS</v>
      </c>
      <c r="D932" s="111" t="s">
        <v>292</v>
      </c>
      <c r="E932" s="111" t="str">
        <f t="shared" si="41"/>
        <v>20120301LGUM_321</v>
      </c>
      <c r="F932" s="103">
        <v>27.490000000000006</v>
      </c>
      <c r="G932" s="103">
        <v>0.02</v>
      </c>
      <c r="H932" s="103">
        <v>3.65</v>
      </c>
      <c r="I932" s="103">
        <f t="shared" si="42"/>
        <v>23.820000000000007</v>
      </c>
      <c r="J932" s="102" t="s">
        <v>687</v>
      </c>
    </row>
    <row r="933" spans="1:10">
      <c r="A933" s="102">
        <v>20120301</v>
      </c>
      <c r="B933" s="111" t="s">
        <v>498</v>
      </c>
      <c r="C933" s="111" t="str">
        <f t="shared" si="40"/>
        <v>20120301RLS</v>
      </c>
      <c r="D933" s="111" t="s">
        <v>293</v>
      </c>
      <c r="E933" s="111" t="str">
        <f t="shared" si="41"/>
        <v>20120301LGUM_322</v>
      </c>
      <c r="F933" s="103">
        <v>11.519999999999998</v>
      </c>
      <c r="G933" s="103">
        <v>0.01</v>
      </c>
      <c r="H933" s="103">
        <v>1.55</v>
      </c>
      <c r="I933" s="103">
        <f t="shared" si="42"/>
        <v>9.9599999999999973</v>
      </c>
      <c r="J933" s="102" t="s">
        <v>518</v>
      </c>
    </row>
    <row r="934" spans="1:10">
      <c r="A934" s="102">
        <v>20120301</v>
      </c>
      <c r="B934" s="111" t="s">
        <v>498</v>
      </c>
      <c r="C934" s="111" t="str">
        <f t="shared" si="40"/>
        <v>20120301RLS</v>
      </c>
      <c r="D934" s="111" t="s">
        <v>294</v>
      </c>
      <c r="E934" s="111" t="str">
        <f t="shared" si="41"/>
        <v>20120301LGUM_323</v>
      </c>
      <c r="F934" s="103">
        <v>13.849999999999998</v>
      </c>
      <c r="G934" s="103">
        <v>0.01</v>
      </c>
      <c r="H934" s="103">
        <v>1.55</v>
      </c>
      <c r="I934" s="103">
        <f t="shared" si="42"/>
        <v>12.289999999999997</v>
      </c>
      <c r="J934" s="102" t="s">
        <v>519</v>
      </c>
    </row>
    <row r="935" spans="1:10">
      <c r="A935" s="102">
        <v>20120301</v>
      </c>
      <c r="B935" s="111" t="s">
        <v>498</v>
      </c>
      <c r="C935" s="111" t="str">
        <f t="shared" si="40"/>
        <v>20120301RLS</v>
      </c>
      <c r="D935" s="111" t="s">
        <v>295</v>
      </c>
      <c r="E935" s="111" t="str">
        <f t="shared" si="41"/>
        <v>20120301LGUM_324</v>
      </c>
      <c r="F935" s="103">
        <v>13.99</v>
      </c>
      <c r="G935" s="103">
        <v>0.01</v>
      </c>
      <c r="H935" s="103">
        <v>1.07</v>
      </c>
      <c r="I935" s="103">
        <f t="shared" si="42"/>
        <v>12.91</v>
      </c>
      <c r="J935" s="102" t="s">
        <v>576</v>
      </c>
    </row>
    <row r="936" spans="1:10">
      <c r="A936" s="102">
        <v>20120301</v>
      </c>
      <c r="B936" s="111" t="s">
        <v>498</v>
      </c>
      <c r="C936" s="111" t="str">
        <f t="shared" si="40"/>
        <v>20120301RLS</v>
      </c>
      <c r="D936" s="111" t="s">
        <v>296</v>
      </c>
      <c r="E936" s="111" t="str">
        <f t="shared" si="41"/>
        <v>20120301LGUM_325</v>
      </c>
      <c r="F936" s="103">
        <v>23.5</v>
      </c>
      <c r="G936" s="103">
        <v>0.01</v>
      </c>
      <c r="H936" s="103">
        <v>1.55</v>
      </c>
      <c r="I936" s="103">
        <f t="shared" si="42"/>
        <v>21.939999999999998</v>
      </c>
      <c r="J936" s="139" t="s">
        <v>733</v>
      </c>
    </row>
    <row r="937" spans="1:10">
      <c r="A937" s="102">
        <v>20120301</v>
      </c>
      <c r="B937" s="111" t="s">
        <v>498</v>
      </c>
      <c r="C937" s="111" t="str">
        <f t="shared" si="40"/>
        <v>20120301RLS</v>
      </c>
      <c r="D937" s="111" t="s">
        <v>577</v>
      </c>
      <c r="E937" s="111" t="str">
        <f t="shared" si="41"/>
        <v>20120301LGUM_345</v>
      </c>
      <c r="F937" s="103">
        <v>16.39</v>
      </c>
      <c r="G937" s="103">
        <v>0.01</v>
      </c>
      <c r="H937" s="103">
        <v>3.41</v>
      </c>
      <c r="I937" s="103">
        <f t="shared" si="42"/>
        <v>12.969999999999999</v>
      </c>
      <c r="J937" s="102" t="s">
        <v>688</v>
      </c>
    </row>
    <row r="938" spans="1:10">
      <c r="A938" s="102">
        <v>20120301</v>
      </c>
      <c r="B938" s="111" t="s">
        <v>498</v>
      </c>
      <c r="C938" s="111" t="str">
        <f t="shared" si="40"/>
        <v>20120301RLS</v>
      </c>
      <c r="D938" s="111" t="s">
        <v>579</v>
      </c>
      <c r="E938" s="111" t="str">
        <f t="shared" si="41"/>
        <v>20120301LGUM_346</v>
      </c>
      <c r="F938" s="103">
        <v>22.27</v>
      </c>
      <c r="G938" s="103">
        <v>0.02</v>
      </c>
      <c r="H938" s="103">
        <v>2.23</v>
      </c>
      <c r="I938" s="103">
        <f t="shared" si="42"/>
        <v>20.02</v>
      </c>
      <c r="J938" s="102" t="s">
        <v>689</v>
      </c>
    </row>
    <row r="939" spans="1:10">
      <c r="A939" s="102">
        <v>20120301</v>
      </c>
      <c r="B939" s="111" t="s">
        <v>498</v>
      </c>
      <c r="C939" s="111" t="str">
        <f t="shared" si="40"/>
        <v>20120301RLS</v>
      </c>
      <c r="D939" s="111" t="s">
        <v>581</v>
      </c>
      <c r="E939" s="111" t="str">
        <f t="shared" si="41"/>
        <v>20120301LGUM_347</v>
      </c>
      <c r="F939" s="103">
        <v>21.19</v>
      </c>
      <c r="G939" s="103">
        <v>0.01</v>
      </c>
      <c r="H939" s="103">
        <v>3.41</v>
      </c>
      <c r="I939" s="103">
        <f t="shared" si="42"/>
        <v>17.77</v>
      </c>
      <c r="J939" s="102" t="s">
        <v>582</v>
      </c>
    </row>
    <row r="940" spans="1:10">
      <c r="A940" s="102">
        <v>20120301</v>
      </c>
      <c r="B940" s="111" t="s">
        <v>498</v>
      </c>
      <c r="C940" s="111" t="str">
        <f t="shared" si="40"/>
        <v>20120301RLS</v>
      </c>
      <c r="D940" s="111" t="s">
        <v>297</v>
      </c>
      <c r="E940" s="111" t="str">
        <f t="shared" si="41"/>
        <v>20120301LGUM_348</v>
      </c>
      <c r="F940" s="103">
        <v>11.76</v>
      </c>
      <c r="G940" s="103">
        <v>0.01</v>
      </c>
      <c r="H940" s="103">
        <v>2.2200000000000002</v>
      </c>
      <c r="I940" s="103">
        <f t="shared" si="42"/>
        <v>9.5299999999999994</v>
      </c>
      <c r="J940" s="102" t="s">
        <v>583</v>
      </c>
    </row>
    <row r="941" spans="1:10">
      <c r="A941" s="102">
        <v>20120301</v>
      </c>
      <c r="B941" s="111" t="s">
        <v>498</v>
      </c>
      <c r="C941" s="111" t="str">
        <f t="shared" si="40"/>
        <v>20120301RLS</v>
      </c>
      <c r="D941" s="111" t="s">
        <v>299</v>
      </c>
      <c r="E941" s="111" t="str">
        <f t="shared" si="41"/>
        <v>20120301LGUM_349</v>
      </c>
      <c r="F941" s="103">
        <v>8.42</v>
      </c>
      <c r="G941" s="103">
        <v>0.01</v>
      </c>
      <c r="H941" s="103">
        <v>0.74</v>
      </c>
      <c r="I941" s="103">
        <f t="shared" si="42"/>
        <v>7.67</v>
      </c>
      <c r="J941" s="102" t="s">
        <v>584</v>
      </c>
    </row>
    <row r="942" spans="1:10">
      <c r="A942" s="102">
        <v>20120301</v>
      </c>
      <c r="B942" s="111" t="s">
        <v>498</v>
      </c>
      <c r="C942" s="111" t="str">
        <f t="shared" si="40"/>
        <v>20120301RLS</v>
      </c>
      <c r="D942" s="111" t="s">
        <v>301</v>
      </c>
      <c r="E942" s="111" t="str">
        <f t="shared" si="41"/>
        <v>20120301LGUM_352</v>
      </c>
      <c r="F942" s="103">
        <v>10.19</v>
      </c>
      <c r="G942" s="103">
        <v>0.01</v>
      </c>
      <c r="H942" s="103">
        <v>1.55</v>
      </c>
      <c r="I942" s="103">
        <f t="shared" si="42"/>
        <v>8.629999999999999</v>
      </c>
      <c r="J942" s="102" t="s">
        <v>530</v>
      </c>
    </row>
    <row r="943" spans="1:10">
      <c r="A943" s="102">
        <v>20120301</v>
      </c>
      <c r="B943" s="111" t="s">
        <v>498</v>
      </c>
      <c r="C943" s="111" t="str">
        <f t="shared" si="40"/>
        <v>20120301RLS</v>
      </c>
      <c r="D943" s="111" t="s">
        <v>302</v>
      </c>
      <c r="E943" s="111" t="str">
        <f t="shared" si="41"/>
        <v>20120301LGUM_353</v>
      </c>
      <c r="F943" s="103">
        <v>11.61</v>
      </c>
      <c r="G943" s="103">
        <v>0.01</v>
      </c>
      <c r="H943" s="103">
        <v>2.2000000000000002</v>
      </c>
      <c r="I943" s="103">
        <f t="shared" si="42"/>
        <v>9.3999999999999986</v>
      </c>
      <c r="J943" s="102" t="s">
        <v>531</v>
      </c>
    </row>
    <row r="944" spans="1:10">
      <c r="A944" s="102">
        <v>20120301</v>
      </c>
      <c r="B944" s="111" t="s">
        <v>498</v>
      </c>
      <c r="C944" s="111" t="str">
        <f t="shared" si="40"/>
        <v>20120301RLS</v>
      </c>
      <c r="D944" s="111" t="s">
        <v>303</v>
      </c>
      <c r="E944" s="111" t="str">
        <f t="shared" si="41"/>
        <v>20120301LGUM_354</v>
      </c>
      <c r="F944" s="103">
        <v>14.19</v>
      </c>
      <c r="G944" s="103">
        <v>0.01</v>
      </c>
      <c r="H944" s="103">
        <v>3.41</v>
      </c>
      <c r="I944" s="103">
        <f t="shared" si="42"/>
        <v>10.77</v>
      </c>
      <c r="J944" s="102" t="s">
        <v>532</v>
      </c>
    </row>
    <row r="945" spans="1:10">
      <c r="A945" s="102">
        <v>20120301</v>
      </c>
      <c r="B945" s="111" t="s">
        <v>498</v>
      </c>
      <c r="C945" s="111" t="str">
        <f t="shared" si="40"/>
        <v>20120301RLS</v>
      </c>
      <c r="D945" s="111" t="s">
        <v>304</v>
      </c>
      <c r="E945" s="111" t="str">
        <f t="shared" si="41"/>
        <v>20120301LGUM_355</v>
      </c>
      <c r="F945" s="103">
        <v>9.6999999999999993</v>
      </c>
      <c r="G945" s="103">
        <v>0.01</v>
      </c>
      <c r="H945" s="103">
        <v>1.07</v>
      </c>
      <c r="I945" s="103">
        <f t="shared" si="42"/>
        <v>8.6199999999999992</v>
      </c>
      <c r="J945" s="102" t="s">
        <v>533</v>
      </c>
    </row>
    <row r="946" spans="1:10">
      <c r="A946" s="102">
        <v>20120301</v>
      </c>
      <c r="B946" s="111" t="s">
        <v>498</v>
      </c>
      <c r="C946" s="111" t="str">
        <f t="shared" si="40"/>
        <v>20120301RLS</v>
      </c>
      <c r="D946" s="111" t="s">
        <v>585</v>
      </c>
      <c r="E946" s="111" t="str">
        <f t="shared" si="41"/>
        <v>20120301LGUM_356</v>
      </c>
      <c r="F946" s="103">
        <v>13.89</v>
      </c>
      <c r="G946" s="103">
        <v>0.01</v>
      </c>
      <c r="H946" s="103">
        <v>0.92</v>
      </c>
      <c r="I946" s="103">
        <f t="shared" si="42"/>
        <v>12.96</v>
      </c>
      <c r="J946" s="102" t="s">
        <v>586</v>
      </c>
    </row>
    <row r="947" spans="1:10">
      <c r="A947" s="102">
        <v>20120301</v>
      </c>
      <c r="B947" s="111" t="s">
        <v>498</v>
      </c>
      <c r="C947" s="111" t="str">
        <f t="shared" ref="C947:C1010" si="43">A947&amp;B947</f>
        <v>20120301RLS</v>
      </c>
      <c r="D947" s="111" t="s">
        <v>305</v>
      </c>
      <c r="E947" s="111" t="str">
        <f t="shared" ref="E947:E1010" si="44">A947&amp;D947</f>
        <v>20120301LGUM_357</v>
      </c>
      <c r="F947" s="103">
        <v>14.19</v>
      </c>
      <c r="G947" s="103">
        <v>0.01</v>
      </c>
      <c r="H947" s="103">
        <v>3.41</v>
      </c>
      <c r="I947" s="103">
        <f t="shared" si="42"/>
        <v>10.77</v>
      </c>
      <c r="J947" s="102" t="s">
        <v>538</v>
      </c>
    </row>
    <row r="948" spans="1:10">
      <c r="A948" s="102">
        <v>20120301</v>
      </c>
      <c r="B948" s="111" t="s">
        <v>498</v>
      </c>
      <c r="C948" s="111" t="str">
        <f t="shared" si="43"/>
        <v>20120301RLS</v>
      </c>
      <c r="D948" s="111" t="s">
        <v>306</v>
      </c>
      <c r="E948" s="111" t="str">
        <f t="shared" si="44"/>
        <v>20120301LGUM_358</v>
      </c>
      <c r="F948" s="103">
        <v>14.83</v>
      </c>
      <c r="G948" s="103">
        <v>0.01</v>
      </c>
      <c r="H948" s="103">
        <v>1.55</v>
      </c>
      <c r="I948" s="103">
        <f t="shared" si="42"/>
        <v>13.27</v>
      </c>
      <c r="J948" s="102" t="s">
        <v>539</v>
      </c>
    </row>
    <row r="949" spans="1:10">
      <c r="A949" s="102">
        <v>20120301</v>
      </c>
      <c r="B949" s="111" t="s">
        <v>498</v>
      </c>
      <c r="C949" s="111" t="str">
        <f t="shared" si="43"/>
        <v>20120301RLS</v>
      </c>
      <c r="D949" s="111" t="s">
        <v>307</v>
      </c>
      <c r="E949" s="111" t="str">
        <f t="shared" si="44"/>
        <v>20120301LGUM_360</v>
      </c>
      <c r="F949" s="103">
        <v>26.43</v>
      </c>
      <c r="G949" s="103">
        <v>0.02</v>
      </c>
      <c r="H949" s="103">
        <v>8.16</v>
      </c>
      <c r="I949" s="103">
        <f t="shared" si="42"/>
        <v>18.25</v>
      </c>
      <c r="J949" s="102" t="s">
        <v>542</v>
      </c>
    </row>
    <row r="950" spans="1:10">
      <c r="A950" s="102">
        <v>20120301</v>
      </c>
      <c r="B950" s="111" t="s">
        <v>498</v>
      </c>
      <c r="C950" s="111" t="str">
        <f t="shared" si="43"/>
        <v>20120301RLS</v>
      </c>
      <c r="D950" s="111" t="s">
        <v>308</v>
      </c>
      <c r="E950" s="111" t="str">
        <f t="shared" si="44"/>
        <v>20120301LGUM_361</v>
      </c>
      <c r="F950" s="103">
        <v>13.86</v>
      </c>
      <c r="G950" s="103">
        <v>0.02</v>
      </c>
      <c r="H950" s="103">
        <v>2.2999999999999998</v>
      </c>
      <c r="I950" s="103">
        <f t="shared" si="42"/>
        <v>11.54</v>
      </c>
      <c r="J950" s="102" t="s">
        <v>543</v>
      </c>
    </row>
    <row r="951" spans="1:10">
      <c r="A951" s="102">
        <v>20120301</v>
      </c>
      <c r="B951" s="111" t="s">
        <v>498</v>
      </c>
      <c r="C951" s="111" t="str">
        <f t="shared" si="43"/>
        <v>20120301RLS</v>
      </c>
      <c r="D951" s="111" t="s">
        <v>309</v>
      </c>
      <c r="E951" s="111" t="str">
        <f t="shared" si="44"/>
        <v>20120301LGUM_362</v>
      </c>
      <c r="F951" s="103">
        <v>14.969999999999999</v>
      </c>
      <c r="G951" s="103">
        <v>0.02</v>
      </c>
      <c r="H951" s="103">
        <v>3.65</v>
      </c>
      <c r="I951" s="103">
        <f t="shared" si="42"/>
        <v>11.299999999999999</v>
      </c>
      <c r="J951" s="102" t="s">
        <v>544</v>
      </c>
    </row>
    <row r="952" spans="1:10">
      <c r="A952" s="102">
        <v>20120301</v>
      </c>
      <c r="B952" s="111" t="s">
        <v>498</v>
      </c>
      <c r="C952" s="111" t="str">
        <f t="shared" si="43"/>
        <v>20120301RLS</v>
      </c>
      <c r="D952" s="111" t="s">
        <v>310</v>
      </c>
      <c r="E952" s="111" t="str">
        <f t="shared" si="44"/>
        <v>20120301LGUM_363</v>
      </c>
      <c r="F952" s="103">
        <v>14.969999999999999</v>
      </c>
      <c r="G952" s="103">
        <v>0.02</v>
      </c>
      <c r="H952" s="103">
        <v>3.65</v>
      </c>
      <c r="I952" s="103">
        <f t="shared" si="42"/>
        <v>11.299999999999999</v>
      </c>
      <c r="J952" s="102" t="s">
        <v>545</v>
      </c>
    </row>
    <row r="953" spans="1:10">
      <c r="A953" s="102">
        <v>20120301</v>
      </c>
      <c r="B953" s="111" t="s">
        <v>498</v>
      </c>
      <c r="C953" s="111" t="str">
        <f t="shared" si="43"/>
        <v>20120301RLS</v>
      </c>
      <c r="D953" s="111" t="s">
        <v>311</v>
      </c>
      <c r="E953" s="111" t="str">
        <f t="shared" si="44"/>
        <v>20120301LGUM_364</v>
      </c>
      <c r="F953" s="103">
        <v>24.2</v>
      </c>
      <c r="G953" s="103">
        <v>0.01</v>
      </c>
      <c r="H953" s="103">
        <v>2.2000000000000002</v>
      </c>
      <c r="I953" s="103">
        <f t="shared" si="42"/>
        <v>21.99</v>
      </c>
      <c r="J953" s="102" t="s">
        <v>690</v>
      </c>
    </row>
    <row r="954" spans="1:10">
      <c r="A954" s="102">
        <v>20120301</v>
      </c>
      <c r="B954" s="111" t="s">
        <v>498</v>
      </c>
      <c r="C954" s="111" t="str">
        <f t="shared" si="43"/>
        <v>20120301RLS</v>
      </c>
      <c r="D954" s="111" t="s">
        <v>312</v>
      </c>
      <c r="E954" s="111" t="str">
        <f t="shared" si="44"/>
        <v>20120301LGUM_365</v>
      </c>
      <c r="F954" s="103">
        <v>27.33</v>
      </c>
      <c r="G954" s="103">
        <v>0.01</v>
      </c>
      <c r="H954" s="103">
        <v>3.41</v>
      </c>
      <c r="I954" s="103">
        <f t="shared" si="42"/>
        <v>23.909999999999997</v>
      </c>
      <c r="J954" s="102" t="s">
        <v>691</v>
      </c>
    </row>
    <row r="955" spans="1:10">
      <c r="A955" s="102">
        <v>20120301</v>
      </c>
      <c r="B955" s="111" t="s">
        <v>498</v>
      </c>
      <c r="C955" s="111" t="str">
        <f t="shared" si="43"/>
        <v>20120301RLS</v>
      </c>
      <c r="D955" s="111" t="s">
        <v>313</v>
      </c>
      <c r="E955" s="111" t="str">
        <f t="shared" si="44"/>
        <v>20120301LGUM_366</v>
      </c>
      <c r="F955" s="103">
        <v>25.2</v>
      </c>
      <c r="G955" s="103">
        <v>0.02</v>
      </c>
      <c r="H955" s="103">
        <v>2.2999999999999998</v>
      </c>
      <c r="I955" s="103">
        <f t="shared" si="42"/>
        <v>22.88</v>
      </c>
      <c r="J955" s="102" t="s">
        <v>546</v>
      </c>
    </row>
    <row r="956" spans="1:10">
      <c r="A956" s="102">
        <v>20120301</v>
      </c>
      <c r="B956" s="111" t="s">
        <v>498</v>
      </c>
      <c r="C956" s="111" t="str">
        <f t="shared" si="43"/>
        <v>20120301RLS</v>
      </c>
      <c r="D956" s="111" t="s">
        <v>314</v>
      </c>
      <c r="E956" s="111" t="str">
        <f t="shared" si="44"/>
        <v>20120301LGUM_367</v>
      </c>
      <c r="F956" s="103">
        <v>27.490000000000006</v>
      </c>
      <c r="G956" s="103">
        <v>0.02</v>
      </c>
      <c r="H956" s="103">
        <v>3.65</v>
      </c>
      <c r="I956" s="103">
        <f t="shared" si="42"/>
        <v>23.820000000000007</v>
      </c>
      <c r="J956" s="102" t="s">
        <v>692</v>
      </c>
    </row>
    <row r="957" spans="1:10">
      <c r="A957" s="102">
        <v>20120301</v>
      </c>
      <c r="B957" s="111" t="s">
        <v>498</v>
      </c>
      <c r="C957" s="111" t="str">
        <f t="shared" si="43"/>
        <v>20120301RLS</v>
      </c>
      <c r="D957" s="111" t="s">
        <v>592</v>
      </c>
      <c r="E957" s="111" t="str">
        <f t="shared" si="44"/>
        <v>20120301LGUM_368</v>
      </c>
      <c r="F957" s="103">
        <v>23.27</v>
      </c>
      <c r="G957" s="103">
        <v>0.01</v>
      </c>
      <c r="H957" s="103">
        <v>1.55</v>
      </c>
      <c r="I957" s="103">
        <f t="shared" si="42"/>
        <v>21.709999999999997</v>
      </c>
      <c r="J957" s="102" t="s">
        <v>684</v>
      </c>
    </row>
    <row r="958" spans="1:10">
      <c r="A958" s="102">
        <v>20120301</v>
      </c>
      <c r="B958" s="111" t="s">
        <v>498</v>
      </c>
      <c r="C958" s="111" t="str">
        <f t="shared" si="43"/>
        <v>20120301RLS</v>
      </c>
      <c r="D958" s="111" t="s">
        <v>593</v>
      </c>
      <c r="E958" s="111" t="str">
        <f t="shared" si="44"/>
        <v>20120301LGUM_369</v>
      </c>
      <c r="F958" s="103">
        <v>27.33</v>
      </c>
      <c r="G958" s="103">
        <v>0.01</v>
      </c>
      <c r="H958" s="103">
        <v>3.41</v>
      </c>
      <c r="I958" s="103">
        <f t="shared" si="42"/>
        <v>23.909999999999997</v>
      </c>
      <c r="J958" s="102" t="s">
        <v>693</v>
      </c>
    </row>
    <row r="959" spans="1:10">
      <c r="A959" s="102">
        <v>20120301</v>
      </c>
      <c r="B959" s="111" t="s">
        <v>498</v>
      </c>
      <c r="C959" s="111" t="str">
        <f t="shared" si="43"/>
        <v>20120301RLS</v>
      </c>
      <c r="D959" s="111" t="s">
        <v>315</v>
      </c>
      <c r="E959" s="111" t="str">
        <f t="shared" si="44"/>
        <v>20120301LGUM_370</v>
      </c>
      <c r="F959" s="103">
        <v>25.2</v>
      </c>
      <c r="G959" s="103">
        <v>0.02</v>
      </c>
      <c r="H959" s="103">
        <v>2.2999999999999998</v>
      </c>
      <c r="I959" s="103">
        <f t="shared" si="42"/>
        <v>22.88</v>
      </c>
      <c r="J959" s="102" t="s">
        <v>694</v>
      </c>
    </row>
    <row r="960" spans="1:10">
      <c r="A960" s="102">
        <v>20120301</v>
      </c>
      <c r="B960" s="111" t="s">
        <v>498</v>
      </c>
      <c r="C960" s="111" t="str">
        <f t="shared" si="43"/>
        <v>20120301RLS</v>
      </c>
      <c r="D960" s="111" t="s">
        <v>316</v>
      </c>
      <c r="E960" s="111" t="str">
        <f t="shared" si="44"/>
        <v>20120301LGUM_371</v>
      </c>
      <c r="F960" s="103">
        <v>27.490000000000006</v>
      </c>
      <c r="G960" s="103">
        <v>0.02</v>
      </c>
      <c r="H960" s="103">
        <v>3.65</v>
      </c>
      <c r="I960" s="103">
        <f t="shared" si="42"/>
        <v>23.820000000000007</v>
      </c>
      <c r="J960" s="102" t="s">
        <v>695</v>
      </c>
    </row>
    <row r="961" spans="1:10">
      <c r="A961" s="102">
        <v>20120301</v>
      </c>
      <c r="B961" s="111" t="s">
        <v>498</v>
      </c>
      <c r="C961" s="111" t="str">
        <f t="shared" si="43"/>
        <v>20120301RLS</v>
      </c>
      <c r="D961" s="111" t="s">
        <v>317</v>
      </c>
      <c r="E961" s="111" t="str">
        <f t="shared" si="44"/>
        <v>20120301LGUM_372</v>
      </c>
      <c r="F961" s="103">
        <v>11.519999999999998</v>
      </c>
      <c r="G961" s="103">
        <v>0.01</v>
      </c>
      <c r="H961" s="103">
        <v>1.55</v>
      </c>
      <c r="I961" s="103">
        <f t="shared" si="42"/>
        <v>9.9599999999999973</v>
      </c>
      <c r="J961" s="102" t="s">
        <v>548</v>
      </c>
    </row>
    <row r="962" spans="1:10">
      <c r="A962" s="102">
        <v>20120301</v>
      </c>
      <c r="B962" s="111" t="s">
        <v>498</v>
      </c>
      <c r="C962" s="111" t="str">
        <f t="shared" si="43"/>
        <v>20120301RLS</v>
      </c>
      <c r="D962" s="111" t="s">
        <v>318</v>
      </c>
      <c r="E962" s="111" t="str">
        <f t="shared" si="44"/>
        <v>20120301LGUM_373</v>
      </c>
      <c r="F962" s="103">
        <v>11.519999999999998</v>
      </c>
      <c r="G962" s="103">
        <v>0.01</v>
      </c>
      <c r="H962" s="103">
        <v>1.55</v>
      </c>
      <c r="I962" s="103">
        <f t="shared" si="42"/>
        <v>9.9599999999999973</v>
      </c>
      <c r="J962" s="102" t="s">
        <v>549</v>
      </c>
    </row>
    <row r="963" spans="1:10">
      <c r="A963" s="102">
        <v>20120301</v>
      </c>
      <c r="B963" s="111" t="s">
        <v>498</v>
      </c>
      <c r="C963" s="111" t="str">
        <f t="shared" si="43"/>
        <v>20120301RLS</v>
      </c>
      <c r="D963" s="111" t="s">
        <v>319</v>
      </c>
      <c r="E963" s="111" t="str">
        <f t="shared" si="44"/>
        <v>20120301LGUM_374</v>
      </c>
      <c r="F963" s="103">
        <v>13.99</v>
      </c>
      <c r="G963" s="103">
        <v>0.01</v>
      </c>
      <c r="H963" s="103">
        <v>1.07</v>
      </c>
      <c r="I963" s="103">
        <f t="shared" si="42"/>
        <v>12.91</v>
      </c>
      <c r="J963" s="102" t="s">
        <v>597</v>
      </c>
    </row>
    <row r="964" spans="1:10">
      <c r="A964" s="102">
        <v>20120301</v>
      </c>
      <c r="B964" s="111" t="s">
        <v>498</v>
      </c>
      <c r="C964" s="111" t="str">
        <f t="shared" si="43"/>
        <v>20120301RLS</v>
      </c>
      <c r="D964" s="111" t="s">
        <v>320</v>
      </c>
      <c r="E964" s="111" t="str">
        <f t="shared" si="44"/>
        <v>20120301LGUM_375</v>
      </c>
      <c r="F964" s="103">
        <v>23.5</v>
      </c>
      <c r="G964" s="103">
        <v>0.01</v>
      </c>
      <c r="H964" s="103">
        <v>1.48</v>
      </c>
      <c r="I964" s="103">
        <f t="shared" si="42"/>
        <v>22.009999999999998</v>
      </c>
      <c r="J964" s="102" t="s">
        <v>696</v>
      </c>
    </row>
    <row r="965" spans="1:10">
      <c r="A965" s="102">
        <v>20120301</v>
      </c>
      <c r="B965" s="111" t="s">
        <v>498</v>
      </c>
      <c r="C965" s="111" t="str">
        <f t="shared" si="43"/>
        <v>20120301RLS</v>
      </c>
      <c r="D965" s="111" t="s">
        <v>321</v>
      </c>
      <c r="E965" s="111" t="str">
        <f t="shared" si="44"/>
        <v>20120301LGUM_376</v>
      </c>
      <c r="F965" s="103">
        <v>13.39</v>
      </c>
      <c r="G965" s="103">
        <v>0.01</v>
      </c>
      <c r="H965" s="103">
        <v>0.74</v>
      </c>
      <c r="I965" s="103">
        <f t="shared" ref="I965:I1028" si="45">F965-G965-H965</f>
        <v>12.64</v>
      </c>
      <c r="J965" s="102" t="s">
        <v>551</v>
      </c>
    </row>
    <row r="966" spans="1:10">
      <c r="A966" s="102">
        <v>20120301</v>
      </c>
      <c r="B966" s="111" t="s">
        <v>498</v>
      </c>
      <c r="C966" s="111" t="str">
        <f t="shared" si="43"/>
        <v>20120301RLS</v>
      </c>
      <c r="D966" s="111" t="s">
        <v>322</v>
      </c>
      <c r="E966" s="111" t="str">
        <f t="shared" si="44"/>
        <v>20120301LGUM_377</v>
      </c>
      <c r="F966" s="103">
        <v>20.25</v>
      </c>
      <c r="G966" s="103">
        <v>0.01</v>
      </c>
      <c r="H966" s="103">
        <v>1.48</v>
      </c>
      <c r="I966" s="103">
        <f t="shared" si="45"/>
        <v>18.759999999999998</v>
      </c>
      <c r="J966" s="102" t="s">
        <v>697</v>
      </c>
    </row>
    <row r="967" spans="1:10">
      <c r="A967" s="102">
        <v>20120301</v>
      </c>
      <c r="B967" s="111" t="s">
        <v>498</v>
      </c>
      <c r="C967" s="111" t="str">
        <f t="shared" si="43"/>
        <v>20120301RLS</v>
      </c>
      <c r="D967" s="111" t="s">
        <v>323</v>
      </c>
      <c r="E967" s="111" t="str">
        <f t="shared" si="44"/>
        <v>20120301LGUM_378</v>
      </c>
      <c r="F967" s="103">
        <v>63.7</v>
      </c>
      <c r="G967" s="103">
        <v>0.05</v>
      </c>
      <c r="H967" s="103">
        <v>8.14</v>
      </c>
      <c r="I967" s="103">
        <f t="shared" si="45"/>
        <v>55.510000000000005</v>
      </c>
      <c r="J967" s="102" t="s">
        <v>554</v>
      </c>
    </row>
    <row r="968" spans="1:10">
      <c r="A968" s="102">
        <v>20120301</v>
      </c>
      <c r="B968" s="111" t="s">
        <v>498</v>
      </c>
      <c r="C968" s="111" t="str">
        <f t="shared" si="43"/>
        <v>20120301RLS</v>
      </c>
      <c r="D968" s="111" t="s">
        <v>324</v>
      </c>
      <c r="E968" s="111" t="str">
        <f t="shared" si="44"/>
        <v>20120301LGUM_379</v>
      </c>
      <c r="F968" s="103">
        <v>33.92</v>
      </c>
      <c r="G968" s="103">
        <v>0.05</v>
      </c>
      <c r="H968" s="103">
        <v>8.14</v>
      </c>
      <c r="I968" s="103">
        <f t="shared" si="45"/>
        <v>25.730000000000004</v>
      </c>
      <c r="J968" s="102" t="s">
        <v>556</v>
      </c>
    </row>
    <row r="969" spans="1:10">
      <c r="A969" s="102">
        <v>20120301</v>
      </c>
      <c r="B969" s="111" t="s">
        <v>498</v>
      </c>
      <c r="C969" s="111" t="str">
        <f t="shared" si="43"/>
        <v>20120301RLS</v>
      </c>
      <c r="D969" s="111" t="s">
        <v>325</v>
      </c>
      <c r="E969" s="111" t="str">
        <f t="shared" si="44"/>
        <v>20120301LGUM_380</v>
      </c>
      <c r="F969" s="103">
        <v>18</v>
      </c>
      <c r="G969" s="103">
        <v>0.01</v>
      </c>
      <c r="H969" s="103">
        <v>0.74</v>
      </c>
      <c r="I969" s="103">
        <f t="shared" si="45"/>
        <v>17.25</v>
      </c>
      <c r="J969" s="102" t="s">
        <v>558</v>
      </c>
    </row>
    <row r="970" spans="1:10">
      <c r="A970" s="102">
        <v>20120301</v>
      </c>
      <c r="B970" s="111" t="s">
        <v>498</v>
      </c>
      <c r="C970" s="111" t="str">
        <f t="shared" si="43"/>
        <v>20120301RLS</v>
      </c>
      <c r="D970" s="111" t="s">
        <v>326</v>
      </c>
      <c r="E970" s="111" t="str">
        <f t="shared" si="44"/>
        <v>20120301LGUM_381</v>
      </c>
      <c r="F970" s="103">
        <v>18.91</v>
      </c>
      <c r="G970" s="103">
        <v>0.01</v>
      </c>
      <c r="H970" s="103">
        <v>1.07</v>
      </c>
      <c r="I970" s="103">
        <f t="shared" si="45"/>
        <v>17.829999999999998</v>
      </c>
      <c r="J970" s="102" t="s">
        <v>603</v>
      </c>
    </row>
    <row r="971" spans="1:10">
      <c r="A971" s="102">
        <v>20120301</v>
      </c>
      <c r="B971" s="111" t="s">
        <v>498</v>
      </c>
      <c r="C971" s="111" t="str">
        <f t="shared" si="43"/>
        <v>20120301RLS</v>
      </c>
      <c r="D971" s="111" t="s">
        <v>327</v>
      </c>
      <c r="E971" s="111" t="str">
        <f t="shared" si="44"/>
        <v>20120301LGUM_382</v>
      </c>
      <c r="F971" s="103">
        <v>18.21</v>
      </c>
      <c r="G971" s="103">
        <v>0.01</v>
      </c>
      <c r="H971" s="103">
        <v>0.74</v>
      </c>
      <c r="I971" s="103">
        <f t="shared" si="45"/>
        <v>17.46</v>
      </c>
      <c r="J971" s="102" t="s">
        <v>560</v>
      </c>
    </row>
    <row r="972" spans="1:10">
      <c r="A972" s="102">
        <v>20120301</v>
      </c>
      <c r="B972" s="111" t="s">
        <v>498</v>
      </c>
      <c r="C972" s="111" t="str">
        <f t="shared" si="43"/>
        <v>20120301RLS</v>
      </c>
      <c r="D972" s="111" t="s">
        <v>328</v>
      </c>
      <c r="E972" s="111" t="str">
        <f t="shared" si="44"/>
        <v>20120301LGUM_383</v>
      </c>
      <c r="F972" s="103">
        <v>19.510000000000002</v>
      </c>
      <c r="G972" s="103">
        <v>0.01</v>
      </c>
      <c r="H972" s="103">
        <v>1.07</v>
      </c>
      <c r="I972" s="103">
        <f t="shared" si="45"/>
        <v>18.43</v>
      </c>
      <c r="J972" s="102" t="s">
        <v>605</v>
      </c>
    </row>
    <row r="973" spans="1:10">
      <c r="A973" s="102">
        <v>20120301</v>
      </c>
      <c r="B973" s="111" t="s">
        <v>498</v>
      </c>
      <c r="C973" s="111" t="str">
        <f t="shared" si="43"/>
        <v>20120301RLS</v>
      </c>
      <c r="D973" s="115" t="s">
        <v>871</v>
      </c>
      <c r="E973" s="111" t="str">
        <f t="shared" si="44"/>
        <v>20120301LGUM_384</v>
      </c>
      <c r="F973" s="103">
        <v>21.19</v>
      </c>
      <c r="G973" s="103">
        <v>0.01</v>
      </c>
      <c r="H973" s="103">
        <v>1.07</v>
      </c>
      <c r="I973" s="103">
        <f t="shared" si="45"/>
        <v>20.11</v>
      </c>
      <c r="J973" s="119" t="s">
        <v>872</v>
      </c>
    </row>
    <row r="974" spans="1:10">
      <c r="A974" s="102">
        <v>20120301</v>
      </c>
      <c r="B974" s="111" t="s">
        <v>498</v>
      </c>
      <c r="C974" s="111" t="str">
        <f t="shared" si="43"/>
        <v>20120301RLS</v>
      </c>
      <c r="D974" s="115" t="s">
        <v>873</v>
      </c>
      <c r="E974" s="111" t="str">
        <f t="shared" si="44"/>
        <v>20120301LGUM_385</v>
      </c>
      <c r="F974" s="103">
        <v>21.19</v>
      </c>
      <c r="G974" s="103">
        <v>0.01</v>
      </c>
      <c r="H974" s="103">
        <v>1.07</v>
      </c>
      <c r="I974" s="103">
        <f t="shared" si="45"/>
        <v>20.11</v>
      </c>
      <c r="J974" s="119" t="s">
        <v>872</v>
      </c>
    </row>
    <row r="975" spans="1:10">
      <c r="A975" s="102">
        <v>20120301</v>
      </c>
      <c r="B975" s="111" t="s">
        <v>725</v>
      </c>
      <c r="C975" s="111" t="str">
        <f t="shared" si="43"/>
        <v>20120301DSK</v>
      </c>
      <c r="D975" s="115" t="s">
        <v>377</v>
      </c>
      <c r="E975" s="111" t="str">
        <f t="shared" si="44"/>
        <v>20120301LGUM_400</v>
      </c>
      <c r="F975" s="103">
        <v>22.639999999999997</v>
      </c>
      <c r="G975" s="103">
        <v>0.02</v>
      </c>
      <c r="H975" s="103">
        <v>0.92</v>
      </c>
      <c r="I975" s="103">
        <f t="shared" si="45"/>
        <v>21.699999999999996</v>
      </c>
      <c r="J975" s="119" t="s">
        <v>726</v>
      </c>
    </row>
    <row r="976" spans="1:10">
      <c r="A976" s="102">
        <v>20120301</v>
      </c>
      <c r="B976" s="111" t="s">
        <v>725</v>
      </c>
      <c r="C976" s="111" t="str">
        <f t="shared" si="43"/>
        <v>20120301DSK</v>
      </c>
      <c r="D976" s="115" t="s">
        <v>737</v>
      </c>
      <c r="E976" s="111" t="str">
        <f t="shared" si="44"/>
        <v>20120301LGUM_401</v>
      </c>
      <c r="F976" s="103">
        <v>23.62</v>
      </c>
      <c r="G976" s="103">
        <v>0.03</v>
      </c>
      <c r="H976" s="103">
        <v>0.86</v>
      </c>
      <c r="I976" s="103">
        <f t="shared" si="45"/>
        <v>22.73</v>
      </c>
      <c r="J976" s="119" t="s">
        <v>738</v>
      </c>
    </row>
    <row r="977" spans="1:10">
      <c r="A977" s="102">
        <v>20120301</v>
      </c>
      <c r="B977" s="111" t="s">
        <v>606</v>
      </c>
      <c r="C977" s="111" t="str">
        <f t="shared" si="43"/>
        <v>20120301LS</v>
      </c>
      <c r="D977" s="111" t="s">
        <v>329</v>
      </c>
      <c r="E977" s="111" t="str">
        <f t="shared" si="44"/>
        <v>20120301LGUM_412</v>
      </c>
      <c r="F977" s="103">
        <v>18.760000000000002</v>
      </c>
      <c r="G977" s="103">
        <v>0.03</v>
      </c>
      <c r="H977" s="103">
        <v>0.61</v>
      </c>
      <c r="I977" s="103">
        <f t="shared" si="45"/>
        <v>18.12</v>
      </c>
      <c r="J977" s="119" t="s">
        <v>698</v>
      </c>
    </row>
    <row r="978" spans="1:10">
      <c r="A978" s="102">
        <v>20120301</v>
      </c>
      <c r="B978" s="111" t="s">
        <v>606</v>
      </c>
      <c r="C978" s="111" t="str">
        <f t="shared" si="43"/>
        <v>20120301LS</v>
      </c>
      <c r="D978" s="111" t="s">
        <v>330</v>
      </c>
      <c r="E978" s="111" t="str">
        <f t="shared" si="44"/>
        <v>20120301LGUM_413</v>
      </c>
      <c r="F978" s="103">
        <v>19.36</v>
      </c>
      <c r="G978" s="103">
        <v>0.03</v>
      </c>
      <c r="H978" s="103">
        <v>0.86</v>
      </c>
      <c r="I978" s="103">
        <f t="shared" si="45"/>
        <v>18.47</v>
      </c>
      <c r="J978" s="102" t="s">
        <v>608</v>
      </c>
    </row>
    <row r="979" spans="1:10">
      <c r="A979" s="102">
        <v>20120301</v>
      </c>
      <c r="B979" s="111" t="s">
        <v>606</v>
      </c>
      <c r="C979" s="111" t="str">
        <f t="shared" si="43"/>
        <v>20120301LS</v>
      </c>
      <c r="D979" s="111" t="s">
        <v>331</v>
      </c>
      <c r="E979" s="111" t="str">
        <f t="shared" si="44"/>
        <v>20120301LGUM_414</v>
      </c>
      <c r="F979" s="103">
        <v>20.36</v>
      </c>
      <c r="G979" s="103">
        <v>0.01</v>
      </c>
      <c r="H979" s="103">
        <v>1.34</v>
      </c>
      <c r="I979" s="103">
        <f t="shared" si="45"/>
        <v>19.009999999999998</v>
      </c>
      <c r="J979" s="102" t="s">
        <v>609</v>
      </c>
    </row>
    <row r="980" spans="1:10">
      <c r="A980" s="102">
        <v>20120301</v>
      </c>
      <c r="B980" s="111" t="s">
        <v>606</v>
      </c>
      <c r="C980" s="111" t="str">
        <f t="shared" si="43"/>
        <v>20120301LS</v>
      </c>
      <c r="D980" s="111" t="s">
        <v>332</v>
      </c>
      <c r="E980" s="111" t="str">
        <f t="shared" si="44"/>
        <v>20120301LGUM_415</v>
      </c>
      <c r="F980" s="103">
        <v>19.13</v>
      </c>
      <c r="G980" s="103">
        <v>0.03</v>
      </c>
      <c r="H980" s="103">
        <v>0.61</v>
      </c>
      <c r="I980" s="103">
        <f t="shared" si="45"/>
        <v>18.489999999999998</v>
      </c>
      <c r="J980" s="119" t="s">
        <v>699</v>
      </c>
    </row>
    <row r="981" spans="1:10">
      <c r="A981" s="102">
        <v>20120301</v>
      </c>
      <c r="B981" s="111" t="s">
        <v>606</v>
      </c>
      <c r="C981" s="111" t="str">
        <f t="shared" si="43"/>
        <v>20120301LS</v>
      </c>
      <c r="D981" s="111" t="s">
        <v>333</v>
      </c>
      <c r="E981" s="111" t="str">
        <f t="shared" si="44"/>
        <v>20120301LGUM_416</v>
      </c>
      <c r="F981" s="103">
        <v>21.36</v>
      </c>
      <c r="G981" s="103">
        <v>0.03</v>
      </c>
      <c r="H981" s="103">
        <v>0.86</v>
      </c>
      <c r="I981" s="103">
        <f t="shared" si="45"/>
        <v>20.47</v>
      </c>
      <c r="J981" s="102" t="s">
        <v>611</v>
      </c>
    </row>
    <row r="982" spans="1:10">
      <c r="A982" s="102">
        <v>20120301</v>
      </c>
      <c r="B982" s="111" t="s">
        <v>606</v>
      </c>
      <c r="C982" s="111" t="str">
        <f t="shared" si="43"/>
        <v>20120301LS</v>
      </c>
      <c r="D982" s="111" t="s">
        <v>334</v>
      </c>
      <c r="E982" s="111" t="str">
        <f t="shared" si="44"/>
        <v>20120301LGUM_417</v>
      </c>
      <c r="F982" s="103">
        <v>22.44</v>
      </c>
      <c r="G982" s="103">
        <v>0.03</v>
      </c>
      <c r="H982" s="103">
        <v>0.83</v>
      </c>
      <c r="I982" s="103">
        <f t="shared" si="45"/>
        <v>21.580000000000002</v>
      </c>
      <c r="J982" s="102" t="s">
        <v>612</v>
      </c>
    </row>
    <row r="983" spans="1:10">
      <c r="A983" s="102">
        <v>20120301</v>
      </c>
      <c r="B983" s="111" t="s">
        <v>606</v>
      </c>
      <c r="C983" s="111" t="str">
        <f t="shared" si="43"/>
        <v>20120301LS</v>
      </c>
      <c r="D983" s="111" t="s">
        <v>335</v>
      </c>
      <c r="E983" s="111" t="str">
        <f t="shared" si="44"/>
        <v>20120301LGUM_418</v>
      </c>
      <c r="F983" s="103">
        <v>22.27</v>
      </c>
      <c r="G983" s="103">
        <v>0.01</v>
      </c>
      <c r="H983" s="103">
        <v>1.34</v>
      </c>
      <c r="I983" s="103">
        <f t="shared" si="45"/>
        <v>20.919999999999998</v>
      </c>
      <c r="J983" s="102" t="s">
        <v>613</v>
      </c>
    </row>
    <row r="984" spans="1:10">
      <c r="A984" s="102">
        <v>20120301</v>
      </c>
      <c r="B984" s="111" t="s">
        <v>606</v>
      </c>
      <c r="C984" s="111" t="str">
        <f t="shared" si="43"/>
        <v>20120301LS</v>
      </c>
      <c r="D984" s="111" t="s">
        <v>336</v>
      </c>
      <c r="E984" s="111" t="str">
        <f t="shared" si="44"/>
        <v>20120301LGUM_419</v>
      </c>
      <c r="F984" s="103">
        <v>23.28</v>
      </c>
      <c r="G984" s="103">
        <v>0.01</v>
      </c>
      <c r="H984" s="103">
        <v>1.34</v>
      </c>
      <c r="I984" s="103">
        <f t="shared" si="45"/>
        <v>21.93</v>
      </c>
      <c r="J984" s="102" t="s">
        <v>614</v>
      </c>
    </row>
    <row r="985" spans="1:10">
      <c r="A985" s="102">
        <v>20120301</v>
      </c>
      <c r="B985" s="111" t="s">
        <v>606</v>
      </c>
      <c r="C985" s="111" t="str">
        <f t="shared" si="43"/>
        <v>20120301LS</v>
      </c>
      <c r="D985" s="111" t="s">
        <v>337</v>
      </c>
      <c r="E985" s="111" t="str">
        <f t="shared" si="44"/>
        <v>20120301LGUM_420</v>
      </c>
      <c r="F985" s="103">
        <v>28.35</v>
      </c>
      <c r="G985" s="103">
        <v>0.01</v>
      </c>
      <c r="H985" s="103">
        <v>1.34</v>
      </c>
      <c r="I985" s="103">
        <f t="shared" si="45"/>
        <v>27</v>
      </c>
      <c r="J985" s="102" t="s">
        <v>615</v>
      </c>
    </row>
    <row r="986" spans="1:10">
      <c r="A986" s="102">
        <v>20120301</v>
      </c>
      <c r="B986" s="111" t="s">
        <v>606</v>
      </c>
      <c r="C986" s="111" t="str">
        <f t="shared" si="43"/>
        <v>20120301LS</v>
      </c>
      <c r="D986" s="111" t="s">
        <v>338</v>
      </c>
      <c r="E986" s="111" t="str">
        <f t="shared" si="44"/>
        <v>20120301LGUM_421</v>
      </c>
      <c r="F986" s="103">
        <v>31</v>
      </c>
      <c r="G986" s="103">
        <v>0.01</v>
      </c>
      <c r="H986" s="103">
        <v>2.17</v>
      </c>
      <c r="I986" s="103">
        <f t="shared" si="45"/>
        <v>28.82</v>
      </c>
      <c r="J986" s="102" t="s">
        <v>616</v>
      </c>
    </row>
    <row r="987" spans="1:10">
      <c r="A987" s="102">
        <v>20120301</v>
      </c>
      <c r="B987" s="111" t="s">
        <v>606</v>
      </c>
      <c r="C987" s="111" t="str">
        <f t="shared" si="43"/>
        <v>20120301LS</v>
      </c>
      <c r="D987" s="111" t="s">
        <v>339</v>
      </c>
      <c r="E987" s="111" t="str">
        <f t="shared" si="44"/>
        <v>20120301LGUM_422</v>
      </c>
      <c r="F987" s="103">
        <v>36.04</v>
      </c>
      <c r="G987" s="103">
        <v>0.02</v>
      </c>
      <c r="H987" s="103">
        <v>3.48</v>
      </c>
      <c r="I987" s="103">
        <f t="shared" si="45"/>
        <v>32.54</v>
      </c>
      <c r="J987" s="102" t="s">
        <v>617</v>
      </c>
    </row>
    <row r="988" spans="1:10">
      <c r="A988" s="102">
        <v>20120301</v>
      </c>
      <c r="B988" s="111" t="s">
        <v>606</v>
      </c>
      <c r="C988" s="111" t="str">
        <f t="shared" si="43"/>
        <v>20120301LS</v>
      </c>
      <c r="D988" s="111" t="s">
        <v>340</v>
      </c>
      <c r="E988" s="111" t="str">
        <f t="shared" si="44"/>
        <v>20120301LGUM_423</v>
      </c>
      <c r="F988" s="103">
        <v>24.93</v>
      </c>
      <c r="G988" s="103">
        <v>0.01</v>
      </c>
      <c r="H988" s="103">
        <v>1.34</v>
      </c>
      <c r="I988" s="103">
        <f t="shared" si="45"/>
        <v>23.58</v>
      </c>
      <c r="J988" s="102" t="s">
        <v>618</v>
      </c>
    </row>
    <row r="989" spans="1:10">
      <c r="A989" s="102">
        <v>20120301</v>
      </c>
      <c r="B989" s="111" t="s">
        <v>606</v>
      </c>
      <c r="C989" s="111" t="str">
        <f t="shared" si="43"/>
        <v>20120301LS</v>
      </c>
      <c r="D989" s="111" t="s">
        <v>341</v>
      </c>
      <c r="E989" s="111" t="str">
        <f t="shared" si="44"/>
        <v>20120301LGUM_424</v>
      </c>
      <c r="F989" s="103">
        <v>26.740000000000002</v>
      </c>
      <c r="G989" s="103">
        <v>0.01</v>
      </c>
      <c r="H989" s="103">
        <v>3.48</v>
      </c>
      <c r="I989" s="103">
        <f t="shared" si="45"/>
        <v>23.25</v>
      </c>
      <c r="J989" s="102" t="s">
        <v>619</v>
      </c>
    </row>
    <row r="990" spans="1:10">
      <c r="A990" s="102">
        <v>20120301</v>
      </c>
      <c r="B990" s="111" t="s">
        <v>606</v>
      </c>
      <c r="C990" s="111" t="str">
        <f t="shared" si="43"/>
        <v>20120301LS</v>
      </c>
      <c r="D990" s="111" t="s">
        <v>342</v>
      </c>
      <c r="E990" s="111" t="str">
        <f t="shared" si="44"/>
        <v>20120301LGUM_425</v>
      </c>
      <c r="F990" s="103">
        <v>31.83</v>
      </c>
      <c r="G990" s="103">
        <v>0.02</v>
      </c>
      <c r="H990" s="103">
        <v>3.48</v>
      </c>
      <c r="I990" s="103">
        <f t="shared" si="45"/>
        <v>28.33</v>
      </c>
      <c r="J990" s="102" t="s">
        <v>620</v>
      </c>
    </row>
    <row r="991" spans="1:10">
      <c r="A991" s="102">
        <v>20120301</v>
      </c>
      <c r="B991" s="111" t="s">
        <v>606</v>
      </c>
      <c r="C991" s="111" t="str">
        <f t="shared" si="43"/>
        <v>20120301LS</v>
      </c>
      <c r="D991" s="111" t="s">
        <v>343</v>
      </c>
      <c r="E991" s="111" t="str">
        <f t="shared" si="44"/>
        <v>20120301LGUM_426</v>
      </c>
      <c r="F991" s="103">
        <v>31.73</v>
      </c>
      <c r="G991" s="103">
        <v>0.03</v>
      </c>
      <c r="H991" s="103">
        <v>0.61</v>
      </c>
      <c r="I991" s="103">
        <f t="shared" si="45"/>
        <v>31.09</v>
      </c>
      <c r="J991" s="119" t="s">
        <v>702</v>
      </c>
    </row>
    <row r="992" spans="1:10">
      <c r="A992" s="102">
        <v>20120301</v>
      </c>
      <c r="B992" s="111" t="s">
        <v>606</v>
      </c>
      <c r="C992" s="111" t="str">
        <f t="shared" si="43"/>
        <v>20120301LS</v>
      </c>
      <c r="D992" s="111" t="s">
        <v>344</v>
      </c>
      <c r="E992" s="111" t="str">
        <f t="shared" si="44"/>
        <v>20120301LGUM_427</v>
      </c>
      <c r="F992" s="103">
        <v>33.64</v>
      </c>
      <c r="G992" s="103">
        <v>0.03</v>
      </c>
      <c r="H992" s="103">
        <v>0.61</v>
      </c>
      <c r="I992" s="103">
        <f t="shared" si="45"/>
        <v>33</v>
      </c>
      <c r="J992" s="119" t="s">
        <v>703</v>
      </c>
    </row>
    <row r="993" spans="1:10">
      <c r="A993" s="102">
        <v>20120301</v>
      </c>
      <c r="B993" s="111" t="s">
        <v>606</v>
      </c>
      <c r="C993" s="111" t="str">
        <f t="shared" si="43"/>
        <v>20120301LS</v>
      </c>
      <c r="D993" s="111" t="s">
        <v>345</v>
      </c>
      <c r="E993" s="111" t="str">
        <f t="shared" si="44"/>
        <v>20120301LGUM_428</v>
      </c>
      <c r="F993" s="103">
        <v>32.5</v>
      </c>
      <c r="G993" s="103">
        <v>0.03</v>
      </c>
      <c r="H993" s="103">
        <v>0.86</v>
      </c>
      <c r="I993" s="103">
        <f t="shared" si="45"/>
        <v>31.61</v>
      </c>
      <c r="J993" s="102" t="s">
        <v>623</v>
      </c>
    </row>
    <row r="994" spans="1:10">
      <c r="A994" s="102">
        <v>20120301</v>
      </c>
      <c r="B994" s="111" t="s">
        <v>606</v>
      </c>
      <c r="C994" s="111" t="str">
        <f t="shared" si="43"/>
        <v>20120301LS</v>
      </c>
      <c r="D994" s="111" t="s">
        <v>346</v>
      </c>
      <c r="E994" s="111" t="str">
        <f t="shared" si="44"/>
        <v>20120301LGUM_429</v>
      </c>
      <c r="F994" s="103">
        <v>34.409999999999997</v>
      </c>
      <c r="G994" s="103">
        <v>0.03</v>
      </c>
      <c r="H994" s="103">
        <v>0.86</v>
      </c>
      <c r="I994" s="103">
        <f t="shared" si="45"/>
        <v>33.519999999999996</v>
      </c>
      <c r="J994" s="102" t="s">
        <v>624</v>
      </c>
    </row>
    <row r="995" spans="1:10">
      <c r="A995" s="102">
        <v>20120301</v>
      </c>
      <c r="B995" s="111" t="s">
        <v>606</v>
      </c>
      <c r="C995" s="111" t="str">
        <f t="shared" si="43"/>
        <v>20120301LS</v>
      </c>
      <c r="D995" s="111" t="s">
        <v>347</v>
      </c>
      <c r="E995" s="111" t="str">
        <f t="shared" si="44"/>
        <v>20120301LGUM_430</v>
      </c>
      <c r="F995" s="103">
        <v>30.8</v>
      </c>
      <c r="G995" s="103">
        <v>0.03</v>
      </c>
      <c r="H995" s="103">
        <v>0.61</v>
      </c>
      <c r="I995" s="103">
        <f t="shared" si="45"/>
        <v>30.16</v>
      </c>
      <c r="J995" s="119" t="s">
        <v>704</v>
      </c>
    </row>
    <row r="996" spans="1:10">
      <c r="A996" s="102">
        <v>20120301</v>
      </c>
      <c r="B996" s="111" t="s">
        <v>606</v>
      </c>
      <c r="C996" s="111" t="str">
        <f t="shared" si="43"/>
        <v>20120301LS</v>
      </c>
      <c r="D996" s="111" t="s">
        <v>348</v>
      </c>
      <c r="E996" s="111" t="str">
        <f t="shared" si="44"/>
        <v>20120301LGUM_431</v>
      </c>
      <c r="F996" s="103">
        <v>31.45</v>
      </c>
      <c r="G996" s="103">
        <v>0.03</v>
      </c>
      <c r="H996" s="103">
        <v>0.61</v>
      </c>
      <c r="I996" s="103">
        <f t="shared" si="45"/>
        <v>30.81</v>
      </c>
      <c r="J996" s="119" t="s">
        <v>705</v>
      </c>
    </row>
    <row r="997" spans="1:10">
      <c r="A997" s="102">
        <v>20120301</v>
      </c>
      <c r="B997" s="111" t="s">
        <v>606</v>
      </c>
      <c r="C997" s="111" t="str">
        <f t="shared" si="43"/>
        <v>20120301LS</v>
      </c>
      <c r="D997" s="111" t="s">
        <v>376</v>
      </c>
      <c r="E997" s="111" t="str">
        <f t="shared" si="44"/>
        <v>20120301LGUM_432</v>
      </c>
      <c r="F997" s="103">
        <v>32.729999999999997</v>
      </c>
      <c r="G997" s="103">
        <v>0.03</v>
      </c>
      <c r="H997" s="103">
        <v>0.86</v>
      </c>
      <c r="I997" s="103">
        <f t="shared" si="45"/>
        <v>31.839999999999996</v>
      </c>
      <c r="J997" s="102" t="s">
        <v>627</v>
      </c>
    </row>
    <row r="998" spans="1:10">
      <c r="A998" s="102">
        <v>20120301</v>
      </c>
      <c r="B998" s="111" t="s">
        <v>606</v>
      </c>
      <c r="C998" s="111" t="str">
        <f t="shared" si="43"/>
        <v>20120301LS</v>
      </c>
      <c r="D998" s="111" t="s">
        <v>349</v>
      </c>
      <c r="E998" s="111" t="str">
        <f t="shared" si="44"/>
        <v>20120301LGUM_433</v>
      </c>
      <c r="F998" s="103">
        <v>33.369999999999997</v>
      </c>
      <c r="G998" s="103">
        <v>0.03</v>
      </c>
      <c r="H998" s="103">
        <v>0.86</v>
      </c>
      <c r="I998" s="103">
        <f t="shared" si="45"/>
        <v>32.479999999999997</v>
      </c>
      <c r="J998" s="102" t="s">
        <v>628</v>
      </c>
    </row>
    <row r="999" spans="1:10">
      <c r="A999" s="102">
        <v>20120301</v>
      </c>
      <c r="B999" s="111" t="s">
        <v>606</v>
      </c>
      <c r="C999" s="111" t="str">
        <f t="shared" si="43"/>
        <v>20120301LS</v>
      </c>
      <c r="D999" s="111" t="s">
        <v>350</v>
      </c>
      <c r="E999" s="111" t="str">
        <f t="shared" si="44"/>
        <v>20120301LGUM_434</v>
      </c>
      <c r="F999" s="103">
        <v>16.349999999999998</v>
      </c>
      <c r="G999" s="103">
        <v>0.01</v>
      </c>
      <c r="H999" s="103">
        <v>0.92</v>
      </c>
      <c r="I999" s="103">
        <f t="shared" si="45"/>
        <v>15.419999999999996</v>
      </c>
      <c r="J999" s="102" t="s">
        <v>629</v>
      </c>
    </row>
    <row r="1000" spans="1:10">
      <c r="A1000" s="102">
        <v>20120301</v>
      </c>
      <c r="B1000" s="111" t="s">
        <v>606</v>
      </c>
      <c r="C1000" s="111" t="str">
        <f t="shared" si="43"/>
        <v>20120301LS</v>
      </c>
      <c r="D1000" s="111" t="s">
        <v>351</v>
      </c>
      <c r="E1000" s="111" t="str">
        <f t="shared" si="44"/>
        <v>20120301LGUM_435</v>
      </c>
      <c r="F1000" s="103">
        <v>18.020000000000003</v>
      </c>
      <c r="G1000" s="103">
        <v>0.01</v>
      </c>
      <c r="H1000" s="103">
        <v>1.55</v>
      </c>
      <c r="I1000" s="103">
        <f t="shared" si="45"/>
        <v>16.46</v>
      </c>
      <c r="J1000" s="102" t="s">
        <v>630</v>
      </c>
    </row>
    <row r="1001" spans="1:10">
      <c r="A1001" s="102">
        <v>20120301</v>
      </c>
      <c r="B1001" s="111" t="s">
        <v>606</v>
      </c>
      <c r="C1001" s="111" t="str">
        <f t="shared" si="43"/>
        <v>20120301LS</v>
      </c>
      <c r="D1001" s="111" t="s">
        <v>631</v>
      </c>
      <c r="E1001" s="111" t="str">
        <f t="shared" si="44"/>
        <v>20120301LGUM_436</v>
      </c>
      <c r="F1001" s="103">
        <v>21.990000000000002</v>
      </c>
      <c r="G1001" s="103">
        <v>0.01</v>
      </c>
      <c r="H1001" s="103">
        <v>3.41</v>
      </c>
      <c r="I1001" s="103">
        <f t="shared" si="45"/>
        <v>18.57</v>
      </c>
      <c r="J1001" s="102" t="s">
        <v>632</v>
      </c>
    </row>
    <row r="1002" spans="1:10">
      <c r="A1002" s="102">
        <v>20120301</v>
      </c>
      <c r="B1002" s="111" t="s">
        <v>606</v>
      </c>
      <c r="C1002" s="111" t="str">
        <f t="shared" si="43"/>
        <v>20120301LS</v>
      </c>
      <c r="D1002" s="111" t="s">
        <v>352</v>
      </c>
      <c r="E1002" s="111" t="str">
        <f t="shared" si="44"/>
        <v>20120301LGUM_437</v>
      </c>
      <c r="F1002" s="103">
        <v>23.46</v>
      </c>
      <c r="G1002" s="103">
        <v>0.01</v>
      </c>
      <c r="H1002" s="103">
        <v>2.2000000000000002</v>
      </c>
      <c r="I1002" s="103">
        <f t="shared" si="45"/>
        <v>21.25</v>
      </c>
      <c r="J1002" s="102" t="s">
        <v>633</v>
      </c>
    </row>
    <row r="1003" spans="1:10">
      <c r="A1003" s="102">
        <v>20120301</v>
      </c>
      <c r="B1003" s="111" t="s">
        <v>606</v>
      </c>
      <c r="C1003" s="111" t="str">
        <f t="shared" si="43"/>
        <v>20120301LS</v>
      </c>
      <c r="D1003" s="111" t="s">
        <v>353</v>
      </c>
      <c r="E1003" s="111" t="str">
        <f t="shared" si="44"/>
        <v>20120301LGUM_438</v>
      </c>
      <c r="F1003" s="103">
        <v>26.909999999999997</v>
      </c>
      <c r="G1003" s="103">
        <v>0.01</v>
      </c>
      <c r="H1003" s="103">
        <v>3.41</v>
      </c>
      <c r="I1003" s="103">
        <f t="shared" si="45"/>
        <v>23.489999999999995</v>
      </c>
      <c r="J1003" s="102" t="s">
        <v>634</v>
      </c>
    </row>
    <row r="1004" spans="1:10">
      <c r="A1004" s="102">
        <v>20120301</v>
      </c>
      <c r="B1004" s="111" t="s">
        <v>606</v>
      </c>
      <c r="C1004" s="111" t="str">
        <f t="shared" si="43"/>
        <v>20120301LS</v>
      </c>
      <c r="D1004" s="115" t="s">
        <v>729</v>
      </c>
      <c r="E1004" s="111" t="str">
        <f t="shared" si="44"/>
        <v>20120301LGUM_439</v>
      </c>
      <c r="F1004" s="103">
        <v>15.38</v>
      </c>
      <c r="G1004" s="103">
        <v>0.01</v>
      </c>
      <c r="H1004" s="103">
        <v>1.34</v>
      </c>
      <c r="I1004" s="103">
        <f t="shared" si="45"/>
        <v>14.030000000000001</v>
      </c>
      <c r="J1004" s="119" t="s">
        <v>700</v>
      </c>
    </row>
    <row r="1005" spans="1:10">
      <c r="A1005" s="102">
        <v>20120301</v>
      </c>
      <c r="B1005" s="111" t="s">
        <v>606</v>
      </c>
      <c r="C1005" s="111" t="str">
        <f t="shared" si="43"/>
        <v>20120301LS</v>
      </c>
      <c r="D1005" s="115" t="s">
        <v>730</v>
      </c>
      <c r="E1005" s="111" t="str">
        <f t="shared" si="44"/>
        <v>20120301LGUM_440</v>
      </c>
      <c r="F1005" s="103">
        <v>16.920000000000002</v>
      </c>
      <c r="G1005" s="103">
        <v>0.01</v>
      </c>
      <c r="H1005" s="103">
        <v>2.17</v>
      </c>
      <c r="I1005" s="103">
        <f t="shared" si="45"/>
        <v>14.74</v>
      </c>
      <c r="J1005" s="119" t="s">
        <v>701</v>
      </c>
    </row>
    <row r="1006" spans="1:10">
      <c r="A1006" s="102">
        <v>20120301</v>
      </c>
      <c r="B1006" s="111" t="s">
        <v>606</v>
      </c>
      <c r="C1006" s="111" t="str">
        <f t="shared" si="43"/>
        <v>20120301LS</v>
      </c>
      <c r="D1006" s="115" t="s">
        <v>378</v>
      </c>
      <c r="E1006" s="111" t="str">
        <f t="shared" si="44"/>
        <v>20120301LGUM_441</v>
      </c>
      <c r="F1006" s="103">
        <v>20.52</v>
      </c>
      <c r="G1006" s="103">
        <v>0.02</v>
      </c>
      <c r="H1006" s="103">
        <v>3.48</v>
      </c>
      <c r="I1006" s="103">
        <f t="shared" si="45"/>
        <v>17.02</v>
      </c>
      <c r="J1006" s="119" t="s">
        <v>742</v>
      </c>
    </row>
    <row r="1007" spans="1:10">
      <c r="A1007" s="102">
        <v>20120301</v>
      </c>
      <c r="B1007" s="111" t="s">
        <v>606</v>
      </c>
      <c r="C1007" s="111" t="str">
        <f t="shared" si="43"/>
        <v>20120301LS</v>
      </c>
      <c r="D1007" s="111" t="s">
        <v>354</v>
      </c>
      <c r="E1007" s="111" t="str">
        <f t="shared" si="44"/>
        <v>20120301LGUM_452</v>
      </c>
      <c r="F1007" s="103">
        <v>11.62</v>
      </c>
      <c r="G1007" s="103">
        <v>0.01</v>
      </c>
      <c r="H1007" s="103">
        <v>1.34</v>
      </c>
      <c r="I1007" s="103">
        <f t="shared" si="45"/>
        <v>10.27</v>
      </c>
      <c r="J1007" s="102" t="s">
        <v>635</v>
      </c>
    </row>
    <row r="1008" spans="1:10">
      <c r="A1008" s="102">
        <v>20120301</v>
      </c>
      <c r="B1008" s="111" t="s">
        <v>606</v>
      </c>
      <c r="C1008" s="111" t="str">
        <f t="shared" si="43"/>
        <v>20120301LS</v>
      </c>
      <c r="D1008" s="111" t="s">
        <v>355</v>
      </c>
      <c r="E1008" s="111" t="str">
        <f t="shared" si="44"/>
        <v>20120301LGUM_453</v>
      </c>
      <c r="F1008" s="103">
        <v>13.44</v>
      </c>
      <c r="G1008" s="103">
        <v>0.01</v>
      </c>
      <c r="H1008" s="103">
        <v>3.48</v>
      </c>
      <c r="I1008" s="103">
        <f t="shared" si="45"/>
        <v>9.9499999999999993</v>
      </c>
      <c r="J1008" s="102" t="s">
        <v>636</v>
      </c>
    </row>
    <row r="1009" spans="1:10">
      <c r="A1009" s="102">
        <v>20120301</v>
      </c>
      <c r="B1009" s="111" t="s">
        <v>606</v>
      </c>
      <c r="C1009" s="111" t="str">
        <f t="shared" si="43"/>
        <v>20120301LS</v>
      </c>
      <c r="D1009" s="111" t="s">
        <v>356</v>
      </c>
      <c r="E1009" s="111" t="str">
        <f t="shared" si="44"/>
        <v>20120301LGUM_454</v>
      </c>
      <c r="F1009" s="103">
        <v>18.53</v>
      </c>
      <c r="G1009" s="103">
        <v>0.02</v>
      </c>
      <c r="H1009" s="103">
        <v>3.48</v>
      </c>
      <c r="I1009" s="103">
        <f t="shared" si="45"/>
        <v>15.030000000000001</v>
      </c>
      <c r="J1009" s="102" t="s">
        <v>637</v>
      </c>
    </row>
    <row r="1010" spans="1:10">
      <c r="A1010" s="102">
        <v>20120301</v>
      </c>
      <c r="B1010" s="111" t="s">
        <v>606</v>
      </c>
      <c r="C1010" s="111" t="str">
        <f t="shared" si="43"/>
        <v>20120301LS</v>
      </c>
      <c r="D1010" s="111" t="s">
        <v>357</v>
      </c>
      <c r="E1010" s="111" t="str">
        <f t="shared" si="44"/>
        <v>20120301LGUM_455</v>
      </c>
      <c r="F1010" s="103">
        <v>13.23</v>
      </c>
      <c r="G1010" s="103">
        <v>0.01</v>
      </c>
      <c r="H1010" s="103">
        <v>1.34</v>
      </c>
      <c r="I1010" s="103">
        <f t="shared" si="45"/>
        <v>11.88</v>
      </c>
      <c r="J1010" s="102" t="s">
        <v>638</v>
      </c>
    </row>
    <row r="1011" spans="1:10">
      <c r="A1011" s="102">
        <v>20120301</v>
      </c>
      <c r="B1011" s="111" t="s">
        <v>606</v>
      </c>
      <c r="C1011" s="111" t="str">
        <f t="shared" ref="C1011:C1032" si="46">A1011&amp;B1011</f>
        <v>20120301LS</v>
      </c>
      <c r="D1011" s="111" t="s">
        <v>358</v>
      </c>
      <c r="E1011" s="111" t="str">
        <f t="shared" ref="E1011:E1032" si="47">A1011&amp;D1011</f>
        <v>20120301LGUM_456</v>
      </c>
      <c r="F1011" s="103">
        <v>19.5</v>
      </c>
      <c r="G1011" s="103">
        <v>0.02</v>
      </c>
      <c r="H1011" s="103">
        <v>3.48</v>
      </c>
      <c r="I1011" s="103">
        <f t="shared" si="45"/>
        <v>16</v>
      </c>
      <c r="J1011" s="102" t="s">
        <v>639</v>
      </c>
    </row>
    <row r="1012" spans="1:10">
      <c r="A1012" s="102">
        <v>20120301</v>
      </c>
      <c r="B1012" s="111" t="s">
        <v>606</v>
      </c>
      <c r="C1012" s="111" t="str">
        <f t="shared" si="46"/>
        <v>20120301LS</v>
      </c>
      <c r="D1012" s="111" t="s">
        <v>359</v>
      </c>
      <c r="E1012" s="111" t="str">
        <f t="shared" si="47"/>
        <v>20120301LGUM_457</v>
      </c>
      <c r="F1012" s="103">
        <v>10.4</v>
      </c>
      <c r="G1012" s="103">
        <v>0.03</v>
      </c>
      <c r="H1012" s="103">
        <v>0.86</v>
      </c>
      <c r="I1012" s="103">
        <f t="shared" si="45"/>
        <v>9.5100000000000016</v>
      </c>
      <c r="J1012" s="102" t="s">
        <v>640</v>
      </c>
    </row>
    <row r="1013" spans="1:10">
      <c r="A1013" s="102">
        <v>20120301</v>
      </c>
      <c r="B1013" s="111" t="s">
        <v>606</v>
      </c>
      <c r="C1013" s="111" t="str">
        <f t="shared" si="46"/>
        <v>20120301LS</v>
      </c>
      <c r="D1013" s="111" t="s">
        <v>360</v>
      </c>
      <c r="E1013" s="111" t="str">
        <f t="shared" si="47"/>
        <v>20120301LGUM_458</v>
      </c>
      <c r="F1013" s="103">
        <v>10.26</v>
      </c>
      <c r="G1013" s="103">
        <v>0.01</v>
      </c>
      <c r="H1013" s="103">
        <v>3.41</v>
      </c>
      <c r="I1013" s="103">
        <f t="shared" si="45"/>
        <v>6.84</v>
      </c>
      <c r="J1013" s="102" t="s">
        <v>641</v>
      </c>
    </row>
    <row r="1014" spans="1:10">
      <c r="A1014" s="102">
        <v>20120301</v>
      </c>
      <c r="B1014" s="111" t="s">
        <v>606</v>
      </c>
      <c r="C1014" s="111" t="str">
        <f t="shared" si="46"/>
        <v>20120301LS</v>
      </c>
      <c r="D1014" s="111" t="s">
        <v>361</v>
      </c>
      <c r="E1014" s="111" t="str">
        <f t="shared" si="47"/>
        <v>20120301LGUM_459</v>
      </c>
      <c r="F1014" s="103">
        <v>11.74</v>
      </c>
      <c r="G1014" s="103">
        <v>0.01</v>
      </c>
      <c r="H1014" s="103">
        <v>2.17</v>
      </c>
      <c r="I1014" s="103">
        <f t="shared" si="45"/>
        <v>9.56</v>
      </c>
      <c r="J1014" s="102" t="s">
        <v>642</v>
      </c>
    </row>
    <row r="1015" spans="1:10">
      <c r="A1015" s="102">
        <v>20120301</v>
      </c>
      <c r="B1015" s="111" t="s">
        <v>606</v>
      </c>
      <c r="C1015" s="111" t="str">
        <f t="shared" si="46"/>
        <v>20120301LS</v>
      </c>
      <c r="D1015" s="111" t="s">
        <v>362</v>
      </c>
      <c r="E1015" s="111" t="str">
        <f t="shared" si="47"/>
        <v>20120301LGUM_460</v>
      </c>
      <c r="F1015" s="103">
        <v>15.18</v>
      </c>
      <c r="G1015" s="103">
        <v>0.01</v>
      </c>
      <c r="H1015" s="103">
        <v>3.48</v>
      </c>
      <c r="I1015" s="103">
        <f t="shared" si="45"/>
        <v>11.69</v>
      </c>
      <c r="J1015" s="102" t="s">
        <v>643</v>
      </c>
    </row>
    <row r="1016" spans="1:10">
      <c r="A1016" s="102">
        <v>20120301</v>
      </c>
      <c r="B1016" s="111" t="s">
        <v>606</v>
      </c>
      <c r="C1016" s="111" t="str">
        <f t="shared" si="46"/>
        <v>20120301LS</v>
      </c>
      <c r="D1016" s="111" t="s">
        <v>363</v>
      </c>
      <c r="E1016" s="111" t="str">
        <f t="shared" si="47"/>
        <v>20120301LGUM_461</v>
      </c>
      <c r="F1016" s="103">
        <v>16.53</v>
      </c>
      <c r="G1016" s="103">
        <v>0.01</v>
      </c>
      <c r="H1016" s="103">
        <v>3.48</v>
      </c>
      <c r="I1016" s="103">
        <f t="shared" si="45"/>
        <v>13.04</v>
      </c>
      <c r="J1016" s="102" t="s">
        <v>644</v>
      </c>
    </row>
    <row r="1017" spans="1:10">
      <c r="A1017" s="102">
        <v>20120301</v>
      </c>
      <c r="B1017" s="111" t="s">
        <v>606</v>
      </c>
      <c r="C1017" s="111" t="str">
        <f t="shared" si="46"/>
        <v>20120301LS</v>
      </c>
      <c r="D1017" s="111" t="s">
        <v>364</v>
      </c>
      <c r="E1017" s="111" t="str">
        <f t="shared" si="47"/>
        <v>20120301LGUM_462</v>
      </c>
      <c r="F1017" s="103">
        <v>10</v>
      </c>
      <c r="G1017" s="103">
        <v>0.01</v>
      </c>
      <c r="H1017" s="103">
        <v>3.41</v>
      </c>
      <c r="I1017" s="103">
        <f t="shared" si="45"/>
        <v>6.58</v>
      </c>
      <c r="J1017" s="102" t="s">
        <v>645</v>
      </c>
    </row>
    <row r="1018" spans="1:10">
      <c r="A1018" s="102">
        <v>20120301</v>
      </c>
      <c r="B1018" s="111" t="s">
        <v>606</v>
      </c>
      <c r="C1018" s="111" t="str">
        <f t="shared" si="46"/>
        <v>20120301LS</v>
      </c>
      <c r="D1018" s="111" t="s">
        <v>365</v>
      </c>
      <c r="E1018" s="111" t="str">
        <f t="shared" si="47"/>
        <v>20120301LGUM_470</v>
      </c>
      <c r="F1018" s="103">
        <v>11.85</v>
      </c>
      <c r="G1018" s="103">
        <v>0.01</v>
      </c>
      <c r="H1018" s="103">
        <v>1.1100000000000001</v>
      </c>
      <c r="I1018" s="103">
        <f t="shared" si="45"/>
        <v>10.73</v>
      </c>
      <c r="J1018" s="102" t="s">
        <v>646</v>
      </c>
    </row>
    <row r="1019" spans="1:10">
      <c r="A1019" s="102">
        <v>20120301</v>
      </c>
      <c r="B1019" s="111" t="s">
        <v>606</v>
      </c>
      <c r="C1019" s="111" t="str">
        <f t="shared" si="46"/>
        <v>20120301LS</v>
      </c>
      <c r="D1019" s="111" t="s">
        <v>366</v>
      </c>
      <c r="E1019" s="111" t="str">
        <f t="shared" si="47"/>
        <v>20120301LGUM_471</v>
      </c>
      <c r="F1019" s="103">
        <v>14.05</v>
      </c>
      <c r="G1019" s="103">
        <v>0.01</v>
      </c>
      <c r="H1019" s="103">
        <v>1.1100000000000001</v>
      </c>
      <c r="I1019" s="103">
        <f t="shared" si="45"/>
        <v>12.930000000000001</v>
      </c>
      <c r="J1019" s="102" t="s">
        <v>647</v>
      </c>
    </row>
    <row r="1020" spans="1:10">
      <c r="A1020" s="102">
        <v>20120301</v>
      </c>
      <c r="B1020" s="111" t="s">
        <v>606</v>
      </c>
      <c r="C1020" s="111" t="str">
        <f t="shared" si="46"/>
        <v>20120301LS</v>
      </c>
      <c r="D1020" s="111" t="s">
        <v>648</v>
      </c>
      <c r="E1020" s="111" t="str">
        <f t="shared" si="47"/>
        <v>20120301LGUM_472</v>
      </c>
      <c r="F1020" s="103">
        <v>21.26</v>
      </c>
      <c r="G1020" s="103">
        <v>0.01</v>
      </c>
      <c r="H1020" s="103">
        <v>1.1100000000000001</v>
      </c>
      <c r="I1020" s="103">
        <f t="shared" si="45"/>
        <v>20.14</v>
      </c>
      <c r="J1020" s="102" t="s">
        <v>649</v>
      </c>
    </row>
    <row r="1021" spans="1:10">
      <c r="A1021" s="102">
        <v>20120301</v>
      </c>
      <c r="B1021" s="111" t="s">
        <v>606</v>
      </c>
      <c r="C1021" s="111" t="str">
        <f t="shared" si="46"/>
        <v>20120301LS</v>
      </c>
      <c r="D1021" s="111" t="s">
        <v>367</v>
      </c>
      <c r="E1021" s="111" t="str">
        <f t="shared" si="47"/>
        <v>20120301LGUM_473</v>
      </c>
      <c r="F1021" s="103">
        <v>17.189999999999998</v>
      </c>
      <c r="G1021" s="103">
        <v>0.02</v>
      </c>
      <c r="H1021" s="103">
        <v>2.58</v>
      </c>
      <c r="I1021" s="103">
        <f t="shared" si="45"/>
        <v>14.589999999999998</v>
      </c>
      <c r="J1021" s="102" t="s">
        <v>650</v>
      </c>
    </row>
    <row r="1022" spans="1:10">
      <c r="A1022" s="102">
        <v>20120301</v>
      </c>
      <c r="B1022" s="111" t="s">
        <v>606</v>
      </c>
      <c r="C1022" s="111" t="str">
        <f t="shared" si="46"/>
        <v>20120301LS</v>
      </c>
      <c r="D1022" s="111" t="s">
        <v>368</v>
      </c>
      <c r="E1022" s="111" t="str">
        <f t="shared" si="47"/>
        <v>20120301LGUM_474</v>
      </c>
      <c r="F1022" s="103">
        <v>19.399999999999999</v>
      </c>
      <c r="G1022" s="103">
        <v>0.02</v>
      </c>
      <c r="H1022" s="103">
        <v>2.58</v>
      </c>
      <c r="I1022" s="103">
        <f t="shared" si="45"/>
        <v>16.799999999999997</v>
      </c>
      <c r="J1022" s="102" t="s">
        <v>651</v>
      </c>
    </row>
    <row r="1023" spans="1:10">
      <c r="A1023" s="102">
        <v>20120301</v>
      </c>
      <c r="B1023" s="111" t="s">
        <v>606</v>
      </c>
      <c r="C1023" s="111" t="str">
        <f t="shared" si="46"/>
        <v>20120301LS</v>
      </c>
      <c r="D1023" s="111" t="s">
        <v>369</v>
      </c>
      <c r="E1023" s="111" t="str">
        <f t="shared" si="47"/>
        <v>20120301LGUM_475</v>
      </c>
      <c r="F1023" s="103">
        <v>26.6</v>
      </c>
      <c r="G1023" s="103">
        <v>0.02</v>
      </c>
      <c r="H1023" s="103">
        <v>2.58</v>
      </c>
      <c r="I1023" s="103">
        <f t="shared" si="45"/>
        <v>24</v>
      </c>
      <c r="J1023" s="102" t="s">
        <v>652</v>
      </c>
    </row>
    <row r="1024" spans="1:10">
      <c r="A1024" s="102">
        <v>20120301</v>
      </c>
      <c r="B1024" s="111" t="s">
        <v>606</v>
      </c>
      <c r="C1024" s="111" t="str">
        <f t="shared" si="46"/>
        <v>20120301LS</v>
      </c>
      <c r="D1024" s="111" t="s">
        <v>370</v>
      </c>
      <c r="E1024" s="111" t="str">
        <f t="shared" si="47"/>
        <v>20120301LGUM_476</v>
      </c>
      <c r="F1024" s="103">
        <v>35.92</v>
      </c>
      <c r="G1024" s="103">
        <v>0.04</v>
      </c>
      <c r="H1024" s="103">
        <v>7.97</v>
      </c>
      <c r="I1024" s="103">
        <f t="shared" si="45"/>
        <v>27.910000000000004</v>
      </c>
      <c r="J1024" s="102" t="s">
        <v>653</v>
      </c>
    </row>
    <row r="1025" spans="1:10">
      <c r="A1025" s="102">
        <v>20120301</v>
      </c>
      <c r="B1025" s="111" t="s">
        <v>606</v>
      </c>
      <c r="C1025" s="111" t="str">
        <f t="shared" si="46"/>
        <v>20120301LS</v>
      </c>
      <c r="D1025" s="111" t="s">
        <v>371</v>
      </c>
      <c r="E1025" s="111" t="str">
        <f t="shared" si="47"/>
        <v>20120301LGUM_477</v>
      </c>
      <c r="F1025" s="103">
        <v>38.990000000000009</v>
      </c>
      <c r="G1025" s="103">
        <v>0.04</v>
      </c>
      <c r="H1025" s="103">
        <v>7.97</v>
      </c>
      <c r="I1025" s="103">
        <f t="shared" si="45"/>
        <v>30.980000000000011</v>
      </c>
      <c r="J1025" s="102" t="s">
        <v>654</v>
      </c>
    </row>
    <row r="1026" spans="1:10">
      <c r="A1026" s="102">
        <v>20120301</v>
      </c>
      <c r="B1026" s="111" t="s">
        <v>606</v>
      </c>
      <c r="C1026" s="111" t="str">
        <f t="shared" si="46"/>
        <v>20120301LS</v>
      </c>
      <c r="D1026" s="111" t="s">
        <v>655</v>
      </c>
      <c r="E1026" s="111" t="str">
        <f t="shared" si="47"/>
        <v>20120301LGUM_478</v>
      </c>
      <c r="F1026" s="103">
        <v>45.320000000000007</v>
      </c>
      <c r="G1026" s="103">
        <v>0.04</v>
      </c>
      <c r="H1026" s="103">
        <v>7.97</v>
      </c>
      <c r="I1026" s="103">
        <f t="shared" si="45"/>
        <v>37.310000000000009</v>
      </c>
      <c r="J1026" s="102" t="s">
        <v>656</v>
      </c>
    </row>
    <row r="1027" spans="1:10">
      <c r="A1027" s="102">
        <v>20120301</v>
      </c>
      <c r="B1027" s="111" t="s">
        <v>606</v>
      </c>
      <c r="C1027" s="111" t="str">
        <f t="shared" si="46"/>
        <v>20120301LS</v>
      </c>
      <c r="D1027" s="111" t="s">
        <v>657</v>
      </c>
      <c r="E1027" s="111" t="str">
        <f t="shared" si="47"/>
        <v>20120301LGUM_479</v>
      </c>
      <c r="F1027" s="103">
        <v>13.08</v>
      </c>
      <c r="G1027" s="103">
        <v>0.01</v>
      </c>
      <c r="H1027" s="103">
        <v>1.1100000000000001</v>
      </c>
      <c r="I1027" s="103">
        <f t="shared" si="45"/>
        <v>11.96</v>
      </c>
      <c r="J1027" s="102" t="s">
        <v>658</v>
      </c>
    </row>
    <row r="1028" spans="1:10">
      <c r="A1028" s="102">
        <v>20120301</v>
      </c>
      <c r="B1028" s="111" t="s">
        <v>606</v>
      </c>
      <c r="C1028" s="111" t="str">
        <f t="shared" si="46"/>
        <v>20120301LS</v>
      </c>
      <c r="D1028" s="111" t="s">
        <v>659</v>
      </c>
      <c r="E1028" s="111" t="str">
        <f t="shared" si="47"/>
        <v>20120301LGUM_480</v>
      </c>
      <c r="F1028" s="103">
        <v>22.51</v>
      </c>
      <c r="G1028" s="103">
        <v>0.01</v>
      </c>
      <c r="H1028" s="103">
        <v>1.1100000000000001</v>
      </c>
      <c r="I1028" s="103">
        <f t="shared" si="45"/>
        <v>21.39</v>
      </c>
      <c r="J1028" s="102" t="s">
        <v>660</v>
      </c>
    </row>
    <row r="1029" spans="1:10">
      <c r="A1029" s="102">
        <v>20120301</v>
      </c>
      <c r="B1029" s="111" t="s">
        <v>606</v>
      </c>
      <c r="C1029" s="111" t="str">
        <f t="shared" si="46"/>
        <v>20120301LS</v>
      </c>
      <c r="D1029" s="111" t="s">
        <v>399</v>
      </c>
      <c r="E1029" s="111" t="str">
        <f t="shared" si="47"/>
        <v>20120301LGUM_481</v>
      </c>
      <c r="F1029" s="103">
        <v>18.91</v>
      </c>
      <c r="G1029" s="103">
        <v>0.02</v>
      </c>
      <c r="H1029" s="103">
        <v>2.58</v>
      </c>
      <c r="I1029" s="103">
        <f t="shared" ref="I1029:I1033" si="48">F1029-G1029-H1029</f>
        <v>16.310000000000002</v>
      </c>
      <c r="J1029" s="102" t="s">
        <v>661</v>
      </c>
    </row>
    <row r="1030" spans="1:10">
      <c r="A1030" s="102">
        <v>20120301</v>
      </c>
      <c r="B1030" s="111" t="s">
        <v>606</v>
      </c>
      <c r="C1030" s="111" t="str">
        <f t="shared" si="46"/>
        <v>20120301LS</v>
      </c>
      <c r="D1030" s="111" t="s">
        <v>372</v>
      </c>
      <c r="E1030" s="111" t="str">
        <f t="shared" si="47"/>
        <v>20120301LGUM_482</v>
      </c>
      <c r="F1030" s="103">
        <v>28.33</v>
      </c>
      <c r="G1030" s="103">
        <v>0.02</v>
      </c>
      <c r="H1030" s="103">
        <v>2.58</v>
      </c>
      <c r="I1030" s="103">
        <f t="shared" si="48"/>
        <v>25.729999999999997</v>
      </c>
      <c r="J1030" s="102" t="s">
        <v>662</v>
      </c>
    </row>
    <row r="1031" spans="1:10">
      <c r="A1031" s="102">
        <v>20120301</v>
      </c>
      <c r="B1031" s="111" t="s">
        <v>606</v>
      </c>
      <c r="C1031" s="111" t="str">
        <f t="shared" si="46"/>
        <v>20120301LS</v>
      </c>
      <c r="D1031" s="111" t="s">
        <v>373</v>
      </c>
      <c r="E1031" s="111" t="str">
        <f t="shared" si="47"/>
        <v>20120301LGUM_483</v>
      </c>
      <c r="F1031" s="103">
        <v>38.78</v>
      </c>
      <c r="G1031" s="103">
        <v>0.04</v>
      </c>
      <c r="H1031" s="103">
        <v>7.97</v>
      </c>
      <c r="I1031" s="103">
        <f t="shared" si="48"/>
        <v>30.770000000000003</v>
      </c>
      <c r="J1031" s="102" t="s">
        <v>663</v>
      </c>
    </row>
    <row r="1032" spans="1:10">
      <c r="A1032" s="102">
        <v>20120301</v>
      </c>
      <c r="B1032" s="111" t="s">
        <v>606</v>
      </c>
      <c r="C1032" s="111" t="str">
        <f t="shared" si="46"/>
        <v>20120301LS</v>
      </c>
      <c r="D1032" s="111" t="s">
        <v>374</v>
      </c>
      <c r="E1032" s="111" t="str">
        <f t="shared" si="47"/>
        <v>20120301LGUM_484</v>
      </c>
      <c r="F1032" s="103">
        <v>48.19</v>
      </c>
      <c r="G1032" s="103">
        <v>0.04</v>
      </c>
      <c r="H1032" s="103">
        <v>7.97</v>
      </c>
      <c r="I1032" s="103">
        <f t="shared" si="48"/>
        <v>40.18</v>
      </c>
      <c r="J1032" s="102" t="s">
        <v>664</v>
      </c>
    </row>
    <row r="1033" spans="1:10">
      <c r="A1033" s="138">
        <v>20130101</v>
      </c>
      <c r="B1033" s="131" t="s">
        <v>498</v>
      </c>
      <c r="C1033" s="131" t="str">
        <f t="shared" ref="C1033:C1064" si="49">A1033&amp;B1033</f>
        <v>20130101RLS</v>
      </c>
      <c r="D1033" s="131" t="s">
        <v>165</v>
      </c>
      <c r="E1033" s="131" t="str">
        <f t="shared" ref="E1033:E1064" si="50">A1033&amp;D1033</f>
        <v>20130101LGUM_002</v>
      </c>
      <c r="F1033" s="132">
        <v>9.06</v>
      </c>
      <c r="G1033" s="132">
        <f>VLOOKUP(D1033,$D$773:$I$1032,4,FALSE)</f>
        <v>0.01</v>
      </c>
      <c r="H1033" s="132">
        <f>VLOOKUP($D1033,$D$773:$I$1032,5,FALSE)</f>
        <v>1.55</v>
      </c>
      <c r="I1033" s="132">
        <f t="shared" si="48"/>
        <v>7.5000000000000009</v>
      </c>
      <c r="J1033" s="130" t="s">
        <v>500</v>
      </c>
    </row>
    <row r="1034" spans="1:10">
      <c r="A1034" s="138">
        <v>20130101</v>
      </c>
      <c r="B1034" s="131" t="s">
        <v>498</v>
      </c>
      <c r="C1034" s="131" t="str">
        <f t="shared" si="49"/>
        <v>20130101RLS</v>
      </c>
      <c r="D1034" s="131" t="s">
        <v>214</v>
      </c>
      <c r="E1034" s="131" t="str">
        <f t="shared" si="50"/>
        <v>20130101LGUM_152</v>
      </c>
      <c r="F1034" s="132">
        <v>9.06</v>
      </c>
      <c r="G1034" s="132">
        <f t="shared" ref="G1034:G1097" si="51">VLOOKUP(D1034,$D$773:$I$1032,4,FALSE)</f>
        <v>0.01</v>
      </c>
      <c r="H1034" s="132">
        <f t="shared" ref="H1034:H1097" si="52">VLOOKUP($D1034,$D$773:$I$1032,5,FALSE)</f>
        <v>1.55</v>
      </c>
      <c r="I1034" s="132">
        <f t="shared" ref="I1034:I1097" si="53">F1034-G1034-H1034</f>
        <v>7.5000000000000009</v>
      </c>
      <c r="J1034" s="130" t="s">
        <v>530</v>
      </c>
    </row>
    <row r="1035" spans="1:10">
      <c r="A1035" s="138">
        <v>20130101</v>
      </c>
      <c r="B1035" s="131" t="s">
        <v>498</v>
      </c>
      <c r="C1035" s="131" t="str">
        <f t="shared" si="49"/>
        <v>20130101RLS</v>
      </c>
      <c r="D1035" s="131" t="s">
        <v>224</v>
      </c>
      <c r="E1035" s="131" t="str">
        <f t="shared" si="50"/>
        <v>20130101LGUM_163</v>
      </c>
      <c r="F1035" s="132">
        <v>17.14</v>
      </c>
      <c r="G1035" s="132">
        <f t="shared" si="51"/>
        <v>0.02</v>
      </c>
      <c r="H1035" s="132">
        <f t="shared" si="52"/>
        <v>3.65</v>
      </c>
      <c r="I1035" s="132">
        <f t="shared" si="53"/>
        <v>13.47</v>
      </c>
      <c r="J1035" s="130" t="s">
        <v>545</v>
      </c>
    </row>
    <row r="1036" spans="1:10">
      <c r="A1036" s="138">
        <v>20130101</v>
      </c>
      <c r="B1036" s="131" t="s">
        <v>498</v>
      </c>
      <c r="C1036" s="131" t="str">
        <f t="shared" si="49"/>
        <v>20130101RLS</v>
      </c>
      <c r="D1036" s="134" t="s">
        <v>379</v>
      </c>
      <c r="E1036" s="131" t="str">
        <f t="shared" si="50"/>
        <v>20130101LGUM_201</v>
      </c>
      <c r="F1036" s="132">
        <v>7.82</v>
      </c>
      <c r="G1036" s="132">
        <f t="shared" si="51"/>
        <v>0.01</v>
      </c>
      <c r="H1036" s="132">
        <f t="shared" si="52"/>
        <v>0.92</v>
      </c>
      <c r="I1036" s="132">
        <f t="shared" si="53"/>
        <v>6.8900000000000006</v>
      </c>
      <c r="J1036" s="138" t="s">
        <v>499</v>
      </c>
    </row>
    <row r="1037" spans="1:10">
      <c r="A1037" s="138">
        <v>20130101</v>
      </c>
      <c r="B1037" s="131" t="s">
        <v>498</v>
      </c>
      <c r="C1037" s="131" t="str">
        <f t="shared" si="49"/>
        <v>20130101RLS</v>
      </c>
      <c r="D1037" s="131" t="s">
        <v>239</v>
      </c>
      <c r="E1037" s="131" t="str">
        <f t="shared" si="50"/>
        <v>20130101LGUM_202</v>
      </c>
      <c r="F1037" s="132">
        <v>9.06</v>
      </c>
      <c r="G1037" s="132">
        <f t="shared" si="51"/>
        <v>0.01</v>
      </c>
      <c r="H1037" s="132">
        <f t="shared" si="52"/>
        <v>1.55</v>
      </c>
      <c r="I1037" s="132">
        <f t="shared" si="53"/>
        <v>7.5000000000000009</v>
      </c>
      <c r="J1037" s="130" t="s">
        <v>500</v>
      </c>
    </row>
    <row r="1038" spans="1:10">
      <c r="A1038" s="138">
        <v>20130101</v>
      </c>
      <c r="B1038" s="131" t="s">
        <v>498</v>
      </c>
      <c r="C1038" s="131" t="str">
        <f t="shared" si="49"/>
        <v>20130101RLS</v>
      </c>
      <c r="D1038" s="131" t="s">
        <v>241</v>
      </c>
      <c r="E1038" s="131" t="str">
        <f t="shared" si="50"/>
        <v>20130101LGUM_203</v>
      </c>
      <c r="F1038" s="132">
        <v>10.28</v>
      </c>
      <c r="G1038" s="132">
        <f t="shared" si="51"/>
        <v>0.01</v>
      </c>
      <c r="H1038" s="132">
        <f t="shared" si="52"/>
        <v>2.2000000000000002</v>
      </c>
      <c r="I1038" s="132">
        <f t="shared" si="53"/>
        <v>8.07</v>
      </c>
      <c r="J1038" s="130" t="s">
        <v>501</v>
      </c>
    </row>
    <row r="1039" spans="1:10">
      <c r="A1039" s="138">
        <v>20130101</v>
      </c>
      <c r="B1039" s="131" t="s">
        <v>498</v>
      </c>
      <c r="C1039" s="131" t="str">
        <f t="shared" si="49"/>
        <v>20130101RLS</v>
      </c>
      <c r="D1039" s="131" t="s">
        <v>242</v>
      </c>
      <c r="E1039" s="131" t="str">
        <f t="shared" si="50"/>
        <v>20130101LGUM_204</v>
      </c>
      <c r="F1039" s="132">
        <v>12.51</v>
      </c>
      <c r="G1039" s="132">
        <f t="shared" si="51"/>
        <v>0.01</v>
      </c>
      <c r="H1039" s="132">
        <f t="shared" si="52"/>
        <v>3.41</v>
      </c>
      <c r="I1039" s="132">
        <f t="shared" si="53"/>
        <v>9.09</v>
      </c>
      <c r="J1039" s="130" t="s">
        <v>502</v>
      </c>
    </row>
    <row r="1040" spans="1:10">
      <c r="A1040" s="138">
        <v>20130101</v>
      </c>
      <c r="B1040" s="131" t="s">
        <v>498</v>
      </c>
      <c r="C1040" s="131" t="str">
        <f t="shared" si="49"/>
        <v>20130101RLS</v>
      </c>
      <c r="D1040" s="131" t="s">
        <v>380</v>
      </c>
      <c r="E1040" s="131" t="str">
        <f t="shared" si="50"/>
        <v>20130101LGUM_205</v>
      </c>
      <c r="F1040" s="132">
        <v>10.42</v>
      </c>
      <c r="G1040" s="132">
        <f t="shared" si="51"/>
        <v>0.01</v>
      </c>
      <c r="H1040" s="132">
        <f t="shared" si="52"/>
        <v>1.07</v>
      </c>
      <c r="I1040" s="132">
        <f t="shared" si="53"/>
        <v>9.34</v>
      </c>
      <c r="J1040" s="130" t="s">
        <v>503</v>
      </c>
    </row>
    <row r="1041" spans="1:10">
      <c r="A1041" s="138">
        <v>20130101</v>
      </c>
      <c r="B1041" s="131" t="s">
        <v>498</v>
      </c>
      <c r="C1041" s="131" t="str">
        <f t="shared" si="49"/>
        <v>20130101RLS</v>
      </c>
      <c r="D1041" s="131" t="s">
        <v>243</v>
      </c>
      <c r="E1041" s="131" t="str">
        <f t="shared" si="50"/>
        <v>20130101LGUM_206</v>
      </c>
      <c r="F1041" s="132">
        <v>12.13</v>
      </c>
      <c r="G1041" s="132">
        <f t="shared" si="51"/>
        <v>0.01</v>
      </c>
      <c r="H1041" s="132">
        <f t="shared" si="52"/>
        <v>0.92</v>
      </c>
      <c r="I1041" s="132">
        <f t="shared" si="53"/>
        <v>11.200000000000001</v>
      </c>
      <c r="J1041" s="130" t="s">
        <v>505</v>
      </c>
    </row>
    <row r="1042" spans="1:10">
      <c r="A1042" s="138">
        <v>20130101</v>
      </c>
      <c r="B1042" s="131" t="s">
        <v>498</v>
      </c>
      <c r="C1042" s="131" t="str">
        <f t="shared" si="49"/>
        <v>20130101RLS</v>
      </c>
      <c r="D1042" s="131" t="s">
        <v>244</v>
      </c>
      <c r="E1042" s="131" t="str">
        <f t="shared" si="50"/>
        <v>20130101LGUM_207</v>
      </c>
      <c r="F1042" s="132">
        <v>14.54</v>
      </c>
      <c r="G1042" s="132">
        <f t="shared" si="51"/>
        <v>0.01</v>
      </c>
      <c r="H1042" s="132">
        <f t="shared" si="52"/>
        <v>3.41</v>
      </c>
      <c r="I1042" s="132">
        <f t="shared" si="53"/>
        <v>11.12</v>
      </c>
      <c r="J1042" s="130" t="s">
        <v>506</v>
      </c>
    </row>
    <row r="1043" spans="1:10">
      <c r="A1043" s="138">
        <v>20130101</v>
      </c>
      <c r="B1043" s="131" t="s">
        <v>498</v>
      </c>
      <c r="C1043" s="131" t="str">
        <f t="shared" si="49"/>
        <v>20130101RLS</v>
      </c>
      <c r="D1043" s="131" t="s">
        <v>245</v>
      </c>
      <c r="E1043" s="131" t="str">
        <f t="shared" si="50"/>
        <v>20130101LGUM_208</v>
      </c>
      <c r="F1043" s="132">
        <v>13.73</v>
      </c>
      <c r="G1043" s="132">
        <f t="shared" si="51"/>
        <v>0.01</v>
      </c>
      <c r="H1043" s="132">
        <f t="shared" si="52"/>
        <v>1.55</v>
      </c>
      <c r="I1043" s="132">
        <f t="shared" si="53"/>
        <v>12.17</v>
      </c>
      <c r="J1043" s="130" t="s">
        <v>507</v>
      </c>
    </row>
    <row r="1044" spans="1:10">
      <c r="A1044" s="138">
        <v>20130101</v>
      </c>
      <c r="B1044" s="131" t="s">
        <v>498</v>
      </c>
      <c r="C1044" s="131" t="str">
        <f t="shared" si="49"/>
        <v>20130101RLS</v>
      </c>
      <c r="D1044" s="131" t="s">
        <v>381</v>
      </c>
      <c r="E1044" s="131" t="str">
        <f t="shared" si="50"/>
        <v>20130101LGUM_209</v>
      </c>
      <c r="F1044" s="132">
        <v>25.29</v>
      </c>
      <c r="G1044" s="132">
        <f t="shared" si="51"/>
        <v>0.02</v>
      </c>
      <c r="H1044" s="132">
        <f t="shared" si="52"/>
        <v>8.16</v>
      </c>
      <c r="I1044" s="132">
        <f t="shared" si="53"/>
        <v>17.11</v>
      </c>
      <c r="J1044" s="130" t="s">
        <v>509</v>
      </c>
    </row>
    <row r="1045" spans="1:10">
      <c r="A1045" s="138">
        <v>20130101</v>
      </c>
      <c r="B1045" s="131" t="s">
        <v>498</v>
      </c>
      <c r="C1045" s="131" t="str">
        <f t="shared" si="49"/>
        <v>20130101RLS</v>
      </c>
      <c r="D1045" s="131" t="s">
        <v>246</v>
      </c>
      <c r="E1045" s="131" t="str">
        <f t="shared" si="50"/>
        <v>20130101LGUM_210</v>
      </c>
      <c r="F1045" s="132">
        <v>26.49</v>
      </c>
      <c r="G1045" s="132">
        <f t="shared" si="51"/>
        <v>0.02</v>
      </c>
      <c r="H1045" s="132">
        <f t="shared" si="52"/>
        <v>8.16</v>
      </c>
      <c r="I1045" s="132">
        <f t="shared" si="53"/>
        <v>18.309999999999999</v>
      </c>
      <c r="J1045" s="130" t="s">
        <v>510</v>
      </c>
    </row>
    <row r="1046" spans="1:10">
      <c r="A1046" s="138">
        <v>20130101</v>
      </c>
      <c r="B1046" s="131" t="s">
        <v>498</v>
      </c>
      <c r="C1046" s="131" t="str">
        <f t="shared" si="49"/>
        <v>20130101RLS</v>
      </c>
      <c r="D1046" s="131" t="s">
        <v>247</v>
      </c>
      <c r="E1046" s="131" t="str">
        <f t="shared" si="50"/>
        <v>20130101LGUM_211</v>
      </c>
      <c r="F1046" s="132">
        <v>14.33</v>
      </c>
      <c r="G1046" s="132">
        <f t="shared" si="51"/>
        <v>0.02</v>
      </c>
      <c r="H1046" s="132">
        <f t="shared" si="52"/>
        <v>2.2999999999999998</v>
      </c>
      <c r="I1046" s="132">
        <f t="shared" si="53"/>
        <v>12.010000000000002</v>
      </c>
      <c r="J1046" s="130" t="s">
        <v>511</v>
      </c>
    </row>
    <row r="1047" spans="1:10">
      <c r="A1047" s="138">
        <v>20130101</v>
      </c>
      <c r="B1047" s="131" t="s">
        <v>498</v>
      </c>
      <c r="C1047" s="131" t="str">
        <f t="shared" si="49"/>
        <v>20130101RLS</v>
      </c>
      <c r="D1047" s="131" t="s">
        <v>248</v>
      </c>
      <c r="E1047" s="131" t="str">
        <f t="shared" si="50"/>
        <v>20130101LGUM_212</v>
      </c>
      <c r="F1047" s="132">
        <v>16.309999999999999</v>
      </c>
      <c r="G1047" s="132">
        <f t="shared" si="51"/>
        <v>0.02</v>
      </c>
      <c r="H1047" s="132">
        <f t="shared" si="52"/>
        <v>3.65</v>
      </c>
      <c r="I1047" s="132">
        <f t="shared" si="53"/>
        <v>12.639999999999999</v>
      </c>
      <c r="J1047" s="130" t="s">
        <v>512</v>
      </c>
    </row>
    <row r="1048" spans="1:10">
      <c r="A1048" s="138">
        <v>20130101</v>
      </c>
      <c r="B1048" s="131" t="s">
        <v>498</v>
      </c>
      <c r="C1048" s="131" t="str">
        <f t="shared" si="49"/>
        <v>20130101RLS</v>
      </c>
      <c r="D1048" s="131" t="s">
        <v>382</v>
      </c>
      <c r="E1048" s="131" t="str">
        <f t="shared" si="50"/>
        <v>20130101LGUM_213</v>
      </c>
      <c r="F1048" s="132">
        <v>17.14</v>
      </c>
      <c r="G1048" s="132">
        <f t="shared" si="51"/>
        <v>0.02</v>
      </c>
      <c r="H1048" s="132">
        <f t="shared" si="52"/>
        <v>3.65</v>
      </c>
      <c r="I1048" s="132">
        <f t="shared" si="53"/>
        <v>13.47</v>
      </c>
      <c r="J1048" s="130" t="s">
        <v>513</v>
      </c>
    </row>
    <row r="1049" spans="1:10">
      <c r="A1049" s="138">
        <v>20130101</v>
      </c>
      <c r="B1049" s="131" t="s">
        <v>498</v>
      </c>
      <c r="C1049" s="131" t="str">
        <f t="shared" si="49"/>
        <v>20130101RLS</v>
      </c>
      <c r="D1049" s="131" t="s">
        <v>384</v>
      </c>
      <c r="E1049" s="131" t="str">
        <f t="shared" si="50"/>
        <v>20130101LGUM_216</v>
      </c>
      <c r="F1049" s="132">
        <v>26.59</v>
      </c>
      <c r="G1049" s="132">
        <f t="shared" si="51"/>
        <v>0.02</v>
      </c>
      <c r="H1049" s="132">
        <f t="shared" si="52"/>
        <v>2.2999999999999998</v>
      </c>
      <c r="I1049" s="132">
        <f t="shared" si="53"/>
        <v>24.27</v>
      </c>
      <c r="J1049" s="130" t="s">
        <v>515</v>
      </c>
    </row>
    <row r="1050" spans="1:10">
      <c r="A1050" s="138">
        <v>20130101</v>
      </c>
      <c r="B1050" s="131" t="s">
        <v>498</v>
      </c>
      <c r="C1050" s="131" t="str">
        <f t="shared" si="49"/>
        <v>20130101RLS</v>
      </c>
      <c r="D1050" s="131" t="s">
        <v>385</v>
      </c>
      <c r="E1050" s="131" t="str">
        <f t="shared" si="50"/>
        <v>20130101LGUM_217</v>
      </c>
      <c r="F1050" s="132">
        <v>30.33</v>
      </c>
      <c r="G1050" s="132">
        <f t="shared" si="51"/>
        <v>0.02</v>
      </c>
      <c r="H1050" s="132">
        <f t="shared" si="52"/>
        <v>3.65</v>
      </c>
      <c r="I1050" s="132">
        <f t="shared" si="53"/>
        <v>26.66</v>
      </c>
      <c r="J1050" s="130" t="s">
        <v>517</v>
      </c>
    </row>
    <row r="1051" spans="1:10">
      <c r="A1051" s="138">
        <v>20130101</v>
      </c>
      <c r="B1051" s="131" t="s">
        <v>498</v>
      </c>
      <c r="C1051" s="131" t="str">
        <f t="shared" si="49"/>
        <v>20130101RLS</v>
      </c>
      <c r="D1051" s="131" t="s">
        <v>250</v>
      </c>
      <c r="E1051" s="131" t="str">
        <f t="shared" si="50"/>
        <v>20130101LGUM_222</v>
      </c>
      <c r="F1051" s="132">
        <v>12.28</v>
      </c>
      <c r="G1051" s="132">
        <f t="shared" si="51"/>
        <v>0.01</v>
      </c>
      <c r="H1051" s="132">
        <f t="shared" si="52"/>
        <v>1.55</v>
      </c>
      <c r="I1051" s="132">
        <f t="shared" si="53"/>
        <v>10.719999999999999</v>
      </c>
      <c r="J1051" s="130" t="s">
        <v>518</v>
      </c>
    </row>
    <row r="1052" spans="1:10">
      <c r="A1052" s="138">
        <v>20130101</v>
      </c>
      <c r="B1052" s="131" t="s">
        <v>498</v>
      </c>
      <c r="C1052" s="131" t="str">
        <f t="shared" si="49"/>
        <v>20130101RLS</v>
      </c>
      <c r="D1052" s="131" t="s">
        <v>386</v>
      </c>
      <c r="E1052" s="131" t="str">
        <f t="shared" si="50"/>
        <v>20130101LGUM_223</v>
      </c>
      <c r="F1052" s="132">
        <v>13.23</v>
      </c>
      <c r="G1052" s="132">
        <f t="shared" si="51"/>
        <v>0.01</v>
      </c>
      <c r="H1052" s="132">
        <f t="shared" si="52"/>
        <v>1.55</v>
      </c>
      <c r="I1052" s="132">
        <f t="shared" si="53"/>
        <v>11.67</v>
      </c>
      <c r="J1052" s="130" t="s">
        <v>519</v>
      </c>
    </row>
    <row r="1053" spans="1:10">
      <c r="A1053" s="138">
        <v>20130101</v>
      </c>
      <c r="B1053" s="131" t="s">
        <v>498</v>
      </c>
      <c r="C1053" s="131" t="str">
        <f t="shared" si="49"/>
        <v>20130101RLS</v>
      </c>
      <c r="D1053" s="131" t="s">
        <v>251</v>
      </c>
      <c r="E1053" s="131" t="str">
        <f t="shared" si="50"/>
        <v>20130101LGUM_224</v>
      </c>
      <c r="F1053" s="132">
        <v>16.73</v>
      </c>
      <c r="G1053" s="132">
        <f t="shared" si="51"/>
        <v>0.01</v>
      </c>
      <c r="H1053" s="132">
        <f t="shared" si="52"/>
        <v>1.07</v>
      </c>
      <c r="I1053" s="132">
        <f t="shared" si="53"/>
        <v>15.649999999999999</v>
      </c>
      <c r="J1053" s="130" t="s">
        <v>520</v>
      </c>
    </row>
    <row r="1054" spans="1:10">
      <c r="A1054" s="138">
        <v>20130101</v>
      </c>
      <c r="B1054" s="131" t="s">
        <v>498</v>
      </c>
      <c r="C1054" s="131" t="str">
        <f t="shared" si="49"/>
        <v>20130101RLS</v>
      </c>
      <c r="D1054" s="131" t="s">
        <v>523</v>
      </c>
      <c r="E1054" s="131" t="str">
        <f t="shared" si="50"/>
        <v>20130101LGUM_225</v>
      </c>
      <c r="F1054" s="132">
        <v>24.35</v>
      </c>
      <c r="G1054" s="132">
        <f t="shared" si="51"/>
        <v>0.01</v>
      </c>
      <c r="H1054" s="132">
        <f t="shared" si="52"/>
        <v>1.55</v>
      </c>
      <c r="I1054" s="132">
        <f t="shared" si="53"/>
        <v>22.79</v>
      </c>
      <c r="J1054" s="130" t="s">
        <v>518</v>
      </c>
    </row>
    <row r="1055" spans="1:10">
      <c r="A1055" s="138">
        <v>20130101</v>
      </c>
      <c r="B1055" s="131" t="s">
        <v>498</v>
      </c>
      <c r="C1055" s="131" t="str">
        <f t="shared" si="49"/>
        <v>20130101RLS</v>
      </c>
      <c r="D1055" s="131" t="s">
        <v>527</v>
      </c>
      <c r="E1055" s="131" t="str">
        <f t="shared" si="50"/>
        <v>20130101LGUM_226</v>
      </c>
      <c r="F1055" s="132">
        <v>13.78</v>
      </c>
      <c r="G1055" s="132">
        <f t="shared" si="51"/>
        <v>0.01</v>
      </c>
      <c r="H1055" s="132">
        <f t="shared" si="52"/>
        <v>0.74</v>
      </c>
      <c r="I1055" s="132">
        <f t="shared" si="53"/>
        <v>13.03</v>
      </c>
      <c r="J1055" s="130" t="s">
        <v>525</v>
      </c>
    </row>
    <row r="1056" spans="1:10">
      <c r="A1056" s="138">
        <v>20130101</v>
      </c>
      <c r="B1056" s="131" t="s">
        <v>498</v>
      </c>
      <c r="C1056" s="131" t="str">
        <f t="shared" si="49"/>
        <v>20130101RLS</v>
      </c>
      <c r="D1056" s="131" t="s">
        <v>528</v>
      </c>
      <c r="E1056" s="131" t="str">
        <f t="shared" si="50"/>
        <v>20130101LGUM_251</v>
      </c>
      <c r="F1056" s="132"/>
      <c r="G1056" s="132">
        <f t="shared" si="51"/>
        <v>0</v>
      </c>
      <c r="H1056" s="132">
        <f t="shared" si="52"/>
        <v>0</v>
      </c>
      <c r="I1056" s="132">
        <f t="shared" si="53"/>
        <v>0</v>
      </c>
      <c r="J1056" s="130" t="s">
        <v>529</v>
      </c>
    </row>
    <row r="1057" spans="1:10">
      <c r="A1057" s="138">
        <v>20130101</v>
      </c>
      <c r="B1057" s="131" t="s">
        <v>498</v>
      </c>
      <c r="C1057" s="131" t="str">
        <f t="shared" si="49"/>
        <v>20130101RLS</v>
      </c>
      <c r="D1057" s="131" t="s">
        <v>252</v>
      </c>
      <c r="E1057" s="131" t="str">
        <f t="shared" si="50"/>
        <v>20130101LGUM_252</v>
      </c>
      <c r="F1057" s="132">
        <v>9.06</v>
      </c>
      <c r="G1057" s="132">
        <f t="shared" si="51"/>
        <v>0.01</v>
      </c>
      <c r="H1057" s="132">
        <f t="shared" si="52"/>
        <v>1.55</v>
      </c>
      <c r="I1057" s="132">
        <f t="shared" si="53"/>
        <v>7.5000000000000009</v>
      </c>
      <c r="J1057" s="130" t="s">
        <v>530</v>
      </c>
    </row>
    <row r="1058" spans="1:10">
      <c r="A1058" s="138">
        <v>20130101</v>
      </c>
      <c r="B1058" s="131" t="s">
        <v>498</v>
      </c>
      <c r="C1058" s="131" t="str">
        <f t="shared" si="49"/>
        <v>20130101RLS</v>
      </c>
      <c r="D1058" s="131" t="s">
        <v>253</v>
      </c>
      <c r="E1058" s="131" t="str">
        <f t="shared" si="50"/>
        <v>20130101LGUM_253</v>
      </c>
      <c r="F1058" s="132">
        <v>10.28</v>
      </c>
      <c r="G1058" s="132">
        <f t="shared" si="51"/>
        <v>0.01</v>
      </c>
      <c r="H1058" s="132">
        <f t="shared" si="52"/>
        <v>2.2000000000000002</v>
      </c>
      <c r="I1058" s="132">
        <f t="shared" si="53"/>
        <v>8.07</v>
      </c>
      <c r="J1058" s="130" t="s">
        <v>531</v>
      </c>
    </row>
    <row r="1059" spans="1:10">
      <c r="A1059" s="138">
        <v>20130101</v>
      </c>
      <c r="B1059" s="131" t="s">
        <v>498</v>
      </c>
      <c r="C1059" s="131" t="str">
        <f t="shared" si="49"/>
        <v>20130101RLS</v>
      </c>
      <c r="D1059" s="131" t="s">
        <v>387</v>
      </c>
      <c r="E1059" s="131" t="str">
        <f t="shared" si="50"/>
        <v>20130101LGUM_254</v>
      </c>
      <c r="F1059" s="132">
        <v>12.51</v>
      </c>
      <c r="G1059" s="132">
        <f t="shared" si="51"/>
        <v>0.01</v>
      </c>
      <c r="H1059" s="132">
        <f t="shared" si="52"/>
        <v>3.41</v>
      </c>
      <c r="I1059" s="132">
        <f t="shared" si="53"/>
        <v>9.09</v>
      </c>
      <c r="J1059" s="130" t="s">
        <v>532</v>
      </c>
    </row>
    <row r="1060" spans="1:10">
      <c r="A1060" s="138">
        <v>20130101</v>
      </c>
      <c r="B1060" s="131" t="s">
        <v>498</v>
      </c>
      <c r="C1060" s="131" t="str">
        <f t="shared" si="49"/>
        <v>20130101RLS</v>
      </c>
      <c r="D1060" s="131" t="s">
        <v>254</v>
      </c>
      <c r="E1060" s="131" t="str">
        <f t="shared" si="50"/>
        <v>20130101LGUM_255</v>
      </c>
      <c r="F1060" s="132">
        <v>10.42</v>
      </c>
      <c r="G1060" s="132">
        <f t="shared" si="51"/>
        <v>0.01</v>
      </c>
      <c r="H1060" s="132">
        <f t="shared" si="52"/>
        <v>1.07</v>
      </c>
      <c r="I1060" s="132">
        <f t="shared" si="53"/>
        <v>9.34</v>
      </c>
      <c r="J1060" s="130" t="s">
        <v>533</v>
      </c>
    </row>
    <row r="1061" spans="1:10">
      <c r="A1061" s="138">
        <v>20130101</v>
      </c>
      <c r="B1061" s="131" t="s">
        <v>498</v>
      </c>
      <c r="C1061" s="131" t="str">
        <f t="shared" si="49"/>
        <v>20130101RLS</v>
      </c>
      <c r="D1061" s="131" t="s">
        <v>537</v>
      </c>
      <c r="E1061" s="131" t="str">
        <f t="shared" si="50"/>
        <v>20130101LGUM_256</v>
      </c>
      <c r="F1061" s="132"/>
      <c r="G1061" s="132">
        <f t="shared" si="51"/>
        <v>0.01</v>
      </c>
      <c r="H1061" s="132">
        <f t="shared" si="52"/>
        <v>0.92</v>
      </c>
      <c r="I1061" s="132">
        <f t="shared" si="53"/>
        <v>-0.93</v>
      </c>
      <c r="J1061" s="130" t="s">
        <v>535</v>
      </c>
    </row>
    <row r="1062" spans="1:10">
      <c r="A1062" s="138">
        <v>20130101</v>
      </c>
      <c r="B1062" s="131" t="s">
        <v>498</v>
      </c>
      <c r="C1062" s="131" t="str">
        <f t="shared" si="49"/>
        <v>20130101RLS</v>
      </c>
      <c r="D1062" s="131" t="s">
        <v>388</v>
      </c>
      <c r="E1062" s="131" t="str">
        <f t="shared" si="50"/>
        <v>20130101LGUM_257</v>
      </c>
      <c r="F1062" s="132">
        <v>14.54</v>
      </c>
      <c r="G1062" s="132">
        <f t="shared" si="51"/>
        <v>0.01</v>
      </c>
      <c r="H1062" s="132">
        <f t="shared" si="52"/>
        <v>3.41</v>
      </c>
      <c r="I1062" s="132">
        <f t="shared" si="53"/>
        <v>11.12</v>
      </c>
      <c r="J1062" s="130" t="s">
        <v>538</v>
      </c>
    </row>
    <row r="1063" spans="1:10">
      <c r="A1063" s="138">
        <v>20130101</v>
      </c>
      <c r="B1063" s="131" t="s">
        <v>498</v>
      </c>
      <c r="C1063" s="131" t="str">
        <f t="shared" si="49"/>
        <v>20130101RLS</v>
      </c>
      <c r="D1063" s="131" t="s">
        <v>256</v>
      </c>
      <c r="E1063" s="131" t="str">
        <f t="shared" si="50"/>
        <v>20130101LGUM_258</v>
      </c>
      <c r="F1063" s="132">
        <v>13.73</v>
      </c>
      <c r="G1063" s="132">
        <f t="shared" si="51"/>
        <v>0.01</v>
      </c>
      <c r="H1063" s="132">
        <f t="shared" si="52"/>
        <v>1.55</v>
      </c>
      <c r="I1063" s="132">
        <f t="shared" si="53"/>
        <v>12.17</v>
      </c>
      <c r="J1063" s="130" t="s">
        <v>539</v>
      </c>
    </row>
    <row r="1064" spans="1:10">
      <c r="A1064" s="138">
        <v>20130101</v>
      </c>
      <c r="B1064" s="131" t="s">
        <v>498</v>
      </c>
      <c r="C1064" s="131" t="str">
        <f t="shared" si="49"/>
        <v>20130101RLS</v>
      </c>
      <c r="D1064" s="131" t="s">
        <v>257</v>
      </c>
      <c r="E1064" s="131" t="str">
        <f t="shared" si="50"/>
        <v>20130101LGUM_259</v>
      </c>
      <c r="F1064" s="132">
        <v>25.29</v>
      </c>
      <c r="G1064" s="132">
        <f t="shared" si="51"/>
        <v>0.02</v>
      </c>
      <c r="H1064" s="132">
        <f t="shared" si="52"/>
        <v>8.16</v>
      </c>
      <c r="I1064" s="132">
        <f t="shared" si="53"/>
        <v>17.11</v>
      </c>
      <c r="J1064" s="130" t="s">
        <v>540</v>
      </c>
    </row>
    <row r="1065" spans="1:10">
      <c r="A1065" s="138">
        <v>20130101</v>
      </c>
      <c r="B1065" s="131" t="s">
        <v>498</v>
      </c>
      <c r="C1065" s="131" t="str">
        <f t="shared" ref="C1065:C1096" si="54">A1065&amp;B1065</f>
        <v>20130101RLS</v>
      </c>
      <c r="D1065" s="131" t="s">
        <v>390</v>
      </c>
      <c r="E1065" s="131" t="str">
        <f t="shared" ref="E1065:E1096" si="55">A1065&amp;D1065</f>
        <v>20130101LGUM_260</v>
      </c>
      <c r="F1065" s="132">
        <v>26.49</v>
      </c>
      <c r="G1065" s="132">
        <f t="shared" si="51"/>
        <v>0.02</v>
      </c>
      <c r="H1065" s="132">
        <f t="shared" si="52"/>
        <v>8.16</v>
      </c>
      <c r="I1065" s="132">
        <f t="shared" si="53"/>
        <v>18.309999999999999</v>
      </c>
      <c r="J1065" s="130" t="s">
        <v>542</v>
      </c>
    </row>
    <row r="1066" spans="1:10">
      <c r="A1066" s="138">
        <v>20130101</v>
      </c>
      <c r="B1066" s="131" t="s">
        <v>498</v>
      </c>
      <c r="C1066" s="131" t="str">
        <f t="shared" si="54"/>
        <v>20130101RLS</v>
      </c>
      <c r="D1066" s="131" t="s">
        <v>258</v>
      </c>
      <c r="E1066" s="131" t="str">
        <f t="shared" si="55"/>
        <v>20130101LGUM_261</v>
      </c>
      <c r="F1066" s="132">
        <v>14.33</v>
      </c>
      <c r="G1066" s="132">
        <f t="shared" si="51"/>
        <v>0.02</v>
      </c>
      <c r="H1066" s="132">
        <f t="shared" si="52"/>
        <v>2.2999999999999998</v>
      </c>
      <c r="I1066" s="132">
        <f t="shared" si="53"/>
        <v>12.010000000000002</v>
      </c>
      <c r="J1066" s="130" t="s">
        <v>543</v>
      </c>
    </row>
    <row r="1067" spans="1:10">
      <c r="A1067" s="138">
        <v>20130101</v>
      </c>
      <c r="B1067" s="131" t="s">
        <v>498</v>
      </c>
      <c r="C1067" s="131" t="str">
        <f t="shared" si="54"/>
        <v>20130101RLS</v>
      </c>
      <c r="D1067" s="131" t="s">
        <v>259</v>
      </c>
      <c r="E1067" s="131" t="str">
        <f t="shared" si="55"/>
        <v>20130101LGUM_262</v>
      </c>
      <c r="F1067" s="132">
        <v>16.309999999999999</v>
      </c>
      <c r="G1067" s="132">
        <f t="shared" si="51"/>
        <v>0.02</v>
      </c>
      <c r="H1067" s="132">
        <f t="shared" si="52"/>
        <v>3.65</v>
      </c>
      <c r="I1067" s="132">
        <f t="shared" si="53"/>
        <v>12.639999999999999</v>
      </c>
      <c r="J1067" s="130" t="s">
        <v>544</v>
      </c>
    </row>
    <row r="1068" spans="1:10">
      <c r="A1068" s="138">
        <v>20130101</v>
      </c>
      <c r="B1068" s="131" t="s">
        <v>498</v>
      </c>
      <c r="C1068" s="131" t="str">
        <f t="shared" si="54"/>
        <v>20130101RLS</v>
      </c>
      <c r="D1068" s="131" t="s">
        <v>261</v>
      </c>
      <c r="E1068" s="131" t="str">
        <f t="shared" si="55"/>
        <v>20130101LGUM_263</v>
      </c>
      <c r="F1068" s="132">
        <v>17.14</v>
      </c>
      <c r="G1068" s="132">
        <f t="shared" si="51"/>
        <v>0.02</v>
      </c>
      <c r="H1068" s="132">
        <f t="shared" si="52"/>
        <v>3.65</v>
      </c>
      <c r="I1068" s="132">
        <f t="shared" si="53"/>
        <v>13.47</v>
      </c>
      <c r="J1068" s="130" t="s">
        <v>545</v>
      </c>
    </row>
    <row r="1069" spans="1:10">
      <c r="A1069" s="138">
        <v>20130101</v>
      </c>
      <c r="B1069" s="131" t="s">
        <v>498</v>
      </c>
      <c r="C1069" s="131" t="str">
        <f t="shared" si="54"/>
        <v>20130101RLS</v>
      </c>
      <c r="D1069" s="131" t="s">
        <v>263</v>
      </c>
      <c r="E1069" s="131" t="str">
        <f t="shared" si="55"/>
        <v>20130101LGUM_266</v>
      </c>
      <c r="F1069" s="132">
        <v>26.59</v>
      </c>
      <c r="G1069" s="132">
        <f t="shared" si="51"/>
        <v>0.02</v>
      </c>
      <c r="H1069" s="132">
        <f t="shared" si="52"/>
        <v>2.2999999999999998</v>
      </c>
      <c r="I1069" s="132">
        <f t="shared" si="53"/>
        <v>24.27</v>
      </c>
      <c r="J1069" s="130" t="s">
        <v>546</v>
      </c>
    </row>
    <row r="1070" spans="1:10">
      <c r="A1070" s="138">
        <v>20130101</v>
      </c>
      <c r="B1070" s="131" t="s">
        <v>498</v>
      </c>
      <c r="C1070" s="131" t="str">
        <f t="shared" si="54"/>
        <v>20130101RLS</v>
      </c>
      <c r="D1070" s="131" t="s">
        <v>264</v>
      </c>
      <c r="E1070" s="131" t="str">
        <f t="shared" si="55"/>
        <v>20130101LGUM_267</v>
      </c>
      <c r="F1070" s="132">
        <v>30.33</v>
      </c>
      <c r="G1070" s="132">
        <f t="shared" si="51"/>
        <v>0.02</v>
      </c>
      <c r="H1070" s="132">
        <f t="shared" si="52"/>
        <v>3.65</v>
      </c>
      <c r="I1070" s="132">
        <f t="shared" si="53"/>
        <v>26.66</v>
      </c>
      <c r="J1070" s="130" t="s">
        <v>547</v>
      </c>
    </row>
    <row r="1071" spans="1:10">
      <c r="A1071" s="138">
        <v>20130101</v>
      </c>
      <c r="B1071" s="131" t="s">
        <v>498</v>
      </c>
      <c r="C1071" s="131" t="str">
        <f t="shared" si="54"/>
        <v>20130101RLS</v>
      </c>
      <c r="D1071" s="131" t="s">
        <v>265</v>
      </c>
      <c r="E1071" s="131" t="str">
        <f t="shared" si="55"/>
        <v>20130101LGUM_272</v>
      </c>
      <c r="F1071" s="132">
        <v>12.28</v>
      </c>
      <c r="G1071" s="132">
        <f t="shared" si="51"/>
        <v>0.01</v>
      </c>
      <c r="H1071" s="132">
        <f t="shared" si="52"/>
        <v>1.55</v>
      </c>
      <c r="I1071" s="132">
        <f t="shared" si="53"/>
        <v>10.719999999999999</v>
      </c>
      <c r="J1071" s="130" t="s">
        <v>548</v>
      </c>
    </row>
    <row r="1072" spans="1:10">
      <c r="A1072" s="138">
        <v>20130101</v>
      </c>
      <c r="B1072" s="131" t="s">
        <v>498</v>
      </c>
      <c r="C1072" s="131" t="str">
        <f t="shared" si="54"/>
        <v>20130101RLS</v>
      </c>
      <c r="D1072" s="131" t="s">
        <v>391</v>
      </c>
      <c r="E1072" s="131" t="str">
        <f t="shared" si="55"/>
        <v>20130101LGUM_273</v>
      </c>
      <c r="F1072" s="132">
        <v>13.23</v>
      </c>
      <c r="G1072" s="132">
        <f t="shared" si="51"/>
        <v>0.01</v>
      </c>
      <c r="H1072" s="132">
        <f t="shared" si="52"/>
        <v>1.55</v>
      </c>
      <c r="I1072" s="132">
        <f t="shared" si="53"/>
        <v>11.67</v>
      </c>
      <c r="J1072" s="130" t="s">
        <v>549</v>
      </c>
    </row>
    <row r="1073" spans="1:10">
      <c r="A1073" s="138">
        <v>20130101</v>
      </c>
      <c r="B1073" s="131" t="s">
        <v>498</v>
      </c>
      <c r="C1073" s="131" t="str">
        <f t="shared" si="54"/>
        <v>20130101RLS</v>
      </c>
      <c r="D1073" s="131" t="s">
        <v>267</v>
      </c>
      <c r="E1073" s="131" t="str">
        <f t="shared" si="55"/>
        <v>20130101LGUM_274</v>
      </c>
      <c r="F1073" s="132">
        <v>16.73</v>
      </c>
      <c r="G1073" s="132">
        <f t="shared" si="51"/>
        <v>0.01</v>
      </c>
      <c r="H1073" s="132">
        <f t="shared" si="52"/>
        <v>1.07</v>
      </c>
      <c r="I1073" s="132">
        <f t="shared" si="53"/>
        <v>15.649999999999999</v>
      </c>
      <c r="J1073" s="130" t="s">
        <v>550</v>
      </c>
    </row>
    <row r="1074" spans="1:10">
      <c r="A1074" s="138">
        <v>20130101</v>
      </c>
      <c r="B1074" s="131" t="s">
        <v>498</v>
      </c>
      <c r="C1074" s="131" t="str">
        <f t="shared" si="54"/>
        <v>20130101RLS</v>
      </c>
      <c r="D1074" s="131" t="s">
        <v>392</v>
      </c>
      <c r="E1074" s="131" t="str">
        <f t="shared" si="55"/>
        <v>20130101LGUM_275</v>
      </c>
      <c r="F1074" s="132">
        <v>24.35</v>
      </c>
      <c r="G1074" s="132">
        <f t="shared" si="51"/>
        <v>0.01</v>
      </c>
      <c r="H1074" s="132">
        <f t="shared" si="52"/>
        <v>1.48</v>
      </c>
      <c r="I1074" s="132">
        <f t="shared" si="53"/>
        <v>22.86</v>
      </c>
      <c r="J1074" s="130" t="s">
        <v>548</v>
      </c>
    </row>
    <row r="1075" spans="1:10">
      <c r="A1075" s="138">
        <v>20130101</v>
      </c>
      <c r="B1075" s="131" t="s">
        <v>498</v>
      </c>
      <c r="C1075" s="131" t="str">
        <f t="shared" si="54"/>
        <v>20130101RLS</v>
      </c>
      <c r="D1075" s="131" t="s">
        <v>268</v>
      </c>
      <c r="E1075" s="131" t="str">
        <f t="shared" si="55"/>
        <v>20130101LGUM_276</v>
      </c>
      <c r="F1075" s="132">
        <v>13.78</v>
      </c>
      <c r="G1075" s="132">
        <f t="shared" si="51"/>
        <v>0.01</v>
      </c>
      <c r="H1075" s="132">
        <f t="shared" si="52"/>
        <v>0.74</v>
      </c>
      <c r="I1075" s="132">
        <f t="shared" si="53"/>
        <v>13.03</v>
      </c>
      <c r="J1075" s="130" t="s">
        <v>551</v>
      </c>
    </row>
    <row r="1076" spans="1:10">
      <c r="A1076" s="138">
        <v>20130101</v>
      </c>
      <c r="B1076" s="131" t="s">
        <v>498</v>
      </c>
      <c r="C1076" s="131" t="str">
        <f t="shared" si="54"/>
        <v>20130101RLS</v>
      </c>
      <c r="D1076" s="131" t="s">
        <v>269</v>
      </c>
      <c r="E1076" s="131" t="str">
        <f t="shared" si="55"/>
        <v>20130101LGUM_277</v>
      </c>
      <c r="F1076" s="132">
        <v>21.61</v>
      </c>
      <c r="G1076" s="132">
        <f t="shared" si="51"/>
        <v>0.01</v>
      </c>
      <c r="H1076" s="132">
        <f t="shared" si="52"/>
        <v>1.48</v>
      </c>
      <c r="I1076" s="132">
        <f t="shared" si="53"/>
        <v>20.119999999999997</v>
      </c>
      <c r="J1076" s="130" t="s">
        <v>552</v>
      </c>
    </row>
    <row r="1077" spans="1:10">
      <c r="A1077" s="138">
        <v>20130101</v>
      </c>
      <c r="B1077" s="131" t="s">
        <v>498</v>
      </c>
      <c r="C1077" s="131" t="str">
        <f t="shared" si="54"/>
        <v>20130101RLS</v>
      </c>
      <c r="D1077" s="131" t="s">
        <v>393</v>
      </c>
      <c r="E1077" s="131" t="str">
        <f t="shared" si="55"/>
        <v>20130101LGUM_278</v>
      </c>
      <c r="F1077" s="132">
        <v>70</v>
      </c>
      <c r="G1077" s="132">
        <f t="shared" si="51"/>
        <v>0.05</v>
      </c>
      <c r="H1077" s="132">
        <f t="shared" si="52"/>
        <v>8.14</v>
      </c>
      <c r="I1077" s="132">
        <f t="shared" si="53"/>
        <v>61.81</v>
      </c>
      <c r="J1077" s="130" t="s">
        <v>554</v>
      </c>
    </row>
    <row r="1078" spans="1:10">
      <c r="A1078" s="138">
        <v>20130101</v>
      </c>
      <c r="B1078" s="131" t="s">
        <v>498</v>
      </c>
      <c r="C1078" s="131" t="str">
        <f t="shared" si="54"/>
        <v>20130101RLS</v>
      </c>
      <c r="D1078" s="131" t="s">
        <v>394</v>
      </c>
      <c r="E1078" s="131" t="str">
        <f t="shared" si="55"/>
        <v>20130101LGUM_279</v>
      </c>
      <c r="F1078" s="132">
        <v>38.880000000000003</v>
      </c>
      <c r="G1078" s="132">
        <f t="shared" si="51"/>
        <v>0.05</v>
      </c>
      <c r="H1078" s="132">
        <f t="shared" si="52"/>
        <v>8.14</v>
      </c>
      <c r="I1078" s="132">
        <f t="shared" si="53"/>
        <v>30.690000000000005</v>
      </c>
      <c r="J1078" s="130" t="s">
        <v>556</v>
      </c>
    </row>
    <row r="1079" spans="1:10">
      <c r="A1079" s="138">
        <v>20130101</v>
      </c>
      <c r="B1079" s="131" t="s">
        <v>498</v>
      </c>
      <c r="C1079" s="131" t="str">
        <f t="shared" si="54"/>
        <v>20130101RLS</v>
      </c>
      <c r="D1079" s="131" t="s">
        <v>398</v>
      </c>
      <c r="E1079" s="131" t="str">
        <f t="shared" si="55"/>
        <v>20130101LGUM_280</v>
      </c>
      <c r="F1079" s="132">
        <v>18.989999999999998</v>
      </c>
      <c r="G1079" s="132">
        <f t="shared" si="51"/>
        <v>0.01</v>
      </c>
      <c r="H1079" s="132">
        <f t="shared" si="52"/>
        <v>0.74</v>
      </c>
      <c r="I1079" s="132">
        <f t="shared" si="53"/>
        <v>18.239999999999998</v>
      </c>
      <c r="J1079" s="130" t="s">
        <v>558</v>
      </c>
    </row>
    <row r="1080" spans="1:10">
      <c r="A1080" s="138">
        <v>20130101</v>
      </c>
      <c r="B1080" s="131" t="s">
        <v>498</v>
      </c>
      <c r="C1080" s="131" t="str">
        <f t="shared" si="54"/>
        <v>20130101RLS</v>
      </c>
      <c r="D1080" s="131" t="s">
        <v>395</v>
      </c>
      <c r="E1080" s="131" t="str">
        <f t="shared" si="55"/>
        <v>20130101LGUM_281</v>
      </c>
      <c r="F1080" s="132">
        <v>19.89</v>
      </c>
      <c r="G1080" s="132">
        <f t="shared" si="51"/>
        <v>0.01</v>
      </c>
      <c r="H1080" s="132">
        <f t="shared" si="52"/>
        <v>1.07</v>
      </c>
      <c r="I1080" s="132">
        <f t="shared" si="53"/>
        <v>18.809999999999999</v>
      </c>
      <c r="J1080" s="130" t="s">
        <v>559</v>
      </c>
    </row>
    <row r="1081" spans="1:10">
      <c r="A1081" s="138">
        <v>20130101</v>
      </c>
      <c r="B1081" s="131" t="s">
        <v>498</v>
      </c>
      <c r="C1081" s="131" t="str">
        <f t="shared" si="54"/>
        <v>20130101RLS</v>
      </c>
      <c r="D1081" s="131" t="s">
        <v>396</v>
      </c>
      <c r="E1081" s="131" t="str">
        <f t="shared" si="55"/>
        <v>20130101LGUM_282</v>
      </c>
      <c r="F1081" s="132">
        <v>19.14</v>
      </c>
      <c r="G1081" s="132">
        <f t="shared" si="51"/>
        <v>0.01</v>
      </c>
      <c r="H1081" s="132">
        <f t="shared" si="52"/>
        <v>0.74</v>
      </c>
      <c r="I1081" s="132">
        <f t="shared" si="53"/>
        <v>18.39</v>
      </c>
      <c r="J1081" s="130" t="s">
        <v>560</v>
      </c>
    </row>
    <row r="1082" spans="1:10">
      <c r="A1082" s="138">
        <v>20130101</v>
      </c>
      <c r="B1082" s="131" t="s">
        <v>498</v>
      </c>
      <c r="C1082" s="131" t="str">
        <f t="shared" si="54"/>
        <v>20130101RLS</v>
      </c>
      <c r="D1082" s="131" t="s">
        <v>397</v>
      </c>
      <c r="E1082" s="131" t="str">
        <f t="shared" si="55"/>
        <v>20130101LGUM_283</v>
      </c>
      <c r="F1082" s="132">
        <v>20.36</v>
      </c>
      <c r="G1082" s="132">
        <f t="shared" si="51"/>
        <v>0.01</v>
      </c>
      <c r="H1082" s="132">
        <f t="shared" si="52"/>
        <v>1.07</v>
      </c>
      <c r="I1082" s="132">
        <f t="shared" si="53"/>
        <v>19.279999999999998</v>
      </c>
      <c r="J1082" s="130" t="s">
        <v>562</v>
      </c>
    </row>
    <row r="1083" spans="1:10">
      <c r="A1083" s="138">
        <v>20130101</v>
      </c>
      <c r="B1083" s="131" t="s">
        <v>498</v>
      </c>
      <c r="C1083" s="131" t="str">
        <f t="shared" si="54"/>
        <v>20130101RLS</v>
      </c>
      <c r="D1083" s="131" t="s">
        <v>270</v>
      </c>
      <c r="E1083" s="131" t="str">
        <f t="shared" si="55"/>
        <v>20130101LGUM_301</v>
      </c>
      <c r="F1083" s="132">
        <v>7.82</v>
      </c>
      <c r="G1083" s="132">
        <f t="shared" si="51"/>
        <v>0.01</v>
      </c>
      <c r="H1083" s="132">
        <f t="shared" si="52"/>
        <v>0.92</v>
      </c>
      <c r="I1083" s="132">
        <f t="shared" si="53"/>
        <v>6.8900000000000006</v>
      </c>
      <c r="J1083" s="130" t="s">
        <v>499</v>
      </c>
    </row>
    <row r="1084" spans="1:10">
      <c r="A1084" s="138">
        <v>20130101</v>
      </c>
      <c r="B1084" s="131" t="s">
        <v>498</v>
      </c>
      <c r="C1084" s="131" t="str">
        <f t="shared" si="54"/>
        <v>20130101RLS</v>
      </c>
      <c r="D1084" s="131" t="s">
        <v>271</v>
      </c>
      <c r="E1084" s="131" t="str">
        <f t="shared" si="55"/>
        <v>20130101LGUM_302</v>
      </c>
      <c r="F1084" s="132">
        <v>9.06</v>
      </c>
      <c r="G1084" s="132">
        <f t="shared" si="51"/>
        <v>0.01</v>
      </c>
      <c r="H1084" s="132">
        <f t="shared" si="52"/>
        <v>1.55</v>
      </c>
      <c r="I1084" s="132">
        <f t="shared" si="53"/>
        <v>7.5000000000000009</v>
      </c>
      <c r="J1084" s="130" t="s">
        <v>500</v>
      </c>
    </row>
    <row r="1085" spans="1:10">
      <c r="A1085" s="138">
        <v>20130101</v>
      </c>
      <c r="B1085" s="131" t="s">
        <v>498</v>
      </c>
      <c r="C1085" s="131" t="str">
        <f t="shared" si="54"/>
        <v>20130101RLS</v>
      </c>
      <c r="D1085" s="131" t="s">
        <v>272</v>
      </c>
      <c r="E1085" s="131" t="str">
        <f t="shared" si="55"/>
        <v>20130101LGUM_303</v>
      </c>
      <c r="F1085" s="132">
        <v>10.28</v>
      </c>
      <c r="G1085" s="132">
        <f t="shared" si="51"/>
        <v>0.01</v>
      </c>
      <c r="H1085" s="132">
        <f t="shared" si="52"/>
        <v>2.2000000000000002</v>
      </c>
      <c r="I1085" s="132">
        <f t="shared" si="53"/>
        <v>8.07</v>
      </c>
      <c r="J1085" s="130" t="s">
        <v>501</v>
      </c>
    </row>
    <row r="1086" spans="1:10">
      <c r="A1086" s="138">
        <v>20130101</v>
      </c>
      <c r="B1086" s="131" t="s">
        <v>498</v>
      </c>
      <c r="C1086" s="131" t="str">
        <f t="shared" si="54"/>
        <v>20130101RLS</v>
      </c>
      <c r="D1086" s="131" t="s">
        <v>273</v>
      </c>
      <c r="E1086" s="131" t="str">
        <f t="shared" si="55"/>
        <v>20130101LGUM_304</v>
      </c>
      <c r="F1086" s="132">
        <v>12.51</v>
      </c>
      <c r="G1086" s="132">
        <f t="shared" si="51"/>
        <v>0.01</v>
      </c>
      <c r="H1086" s="132">
        <f t="shared" si="52"/>
        <v>3.41</v>
      </c>
      <c r="I1086" s="132">
        <f t="shared" si="53"/>
        <v>9.09</v>
      </c>
      <c r="J1086" s="130" t="s">
        <v>502</v>
      </c>
    </row>
    <row r="1087" spans="1:10">
      <c r="A1087" s="138">
        <v>20130101</v>
      </c>
      <c r="B1087" s="131" t="s">
        <v>498</v>
      </c>
      <c r="C1087" s="131" t="str">
        <f t="shared" si="54"/>
        <v>20130101RLS</v>
      </c>
      <c r="D1087" s="131" t="s">
        <v>275</v>
      </c>
      <c r="E1087" s="131" t="str">
        <f t="shared" si="55"/>
        <v>20130101LGUM_305</v>
      </c>
      <c r="F1087" s="132">
        <v>10.42</v>
      </c>
      <c r="G1087" s="132">
        <f t="shared" si="51"/>
        <v>0.01</v>
      </c>
      <c r="H1087" s="132">
        <f t="shared" si="52"/>
        <v>1.07</v>
      </c>
      <c r="I1087" s="132">
        <f t="shared" si="53"/>
        <v>9.34</v>
      </c>
      <c r="J1087" s="130" t="s">
        <v>503</v>
      </c>
    </row>
    <row r="1088" spans="1:10">
      <c r="A1088" s="138">
        <v>20130101</v>
      </c>
      <c r="B1088" s="131" t="s">
        <v>498</v>
      </c>
      <c r="C1088" s="131" t="str">
        <f t="shared" si="54"/>
        <v>20130101RLS</v>
      </c>
      <c r="D1088" s="131" t="s">
        <v>276</v>
      </c>
      <c r="E1088" s="131" t="str">
        <f t="shared" si="55"/>
        <v>20130101LGUM_306</v>
      </c>
      <c r="F1088" s="132">
        <v>12.13</v>
      </c>
      <c r="G1088" s="132">
        <f t="shared" si="51"/>
        <v>0.01</v>
      </c>
      <c r="H1088" s="132">
        <f t="shared" si="52"/>
        <v>0.92</v>
      </c>
      <c r="I1088" s="132">
        <f t="shared" si="53"/>
        <v>11.200000000000001</v>
      </c>
      <c r="J1088" s="130" t="s">
        <v>563</v>
      </c>
    </row>
    <row r="1089" spans="1:10">
      <c r="A1089" s="138">
        <v>20130101</v>
      </c>
      <c r="B1089" s="131" t="s">
        <v>498</v>
      </c>
      <c r="C1089" s="131" t="str">
        <f t="shared" si="54"/>
        <v>20130101RLS</v>
      </c>
      <c r="D1089" s="131" t="s">
        <v>277</v>
      </c>
      <c r="E1089" s="131" t="str">
        <f t="shared" si="55"/>
        <v>20130101LGUM_307</v>
      </c>
      <c r="F1089" s="132">
        <v>14.54</v>
      </c>
      <c r="G1089" s="132">
        <f t="shared" si="51"/>
        <v>0.01</v>
      </c>
      <c r="H1089" s="132">
        <f t="shared" si="52"/>
        <v>3.41</v>
      </c>
      <c r="I1089" s="132">
        <f t="shared" si="53"/>
        <v>11.12</v>
      </c>
      <c r="J1089" s="130" t="s">
        <v>564</v>
      </c>
    </row>
    <row r="1090" spans="1:10">
      <c r="A1090" s="138">
        <v>20130101</v>
      </c>
      <c r="B1090" s="131" t="s">
        <v>498</v>
      </c>
      <c r="C1090" s="131" t="str">
        <f t="shared" si="54"/>
        <v>20130101RLS</v>
      </c>
      <c r="D1090" s="131" t="s">
        <v>278</v>
      </c>
      <c r="E1090" s="131" t="str">
        <f t="shared" si="55"/>
        <v>20130101LGUM_308</v>
      </c>
      <c r="F1090" s="132">
        <v>13.73</v>
      </c>
      <c r="G1090" s="132">
        <f t="shared" si="51"/>
        <v>0.01</v>
      </c>
      <c r="H1090" s="132">
        <f t="shared" si="52"/>
        <v>1.55</v>
      </c>
      <c r="I1090" s="132">
        <f t="shared" si="53"/>
        <v>12.17</v>
      </c>
      <c r="J1090" s="130" t="s">
        <v>681</v>
      </c>
    </row>
    <row r="1091" spans="1:10">
      <c r="A1091" s="138">
        <v>20130101</v>
      </c>
      <c r="B1091" s="131" t="s">
        <v>498</v>
      </c>
      <c r="C1091" s="131" t="str">
        <f t="shared" si="54"/>
        <v>20130101RLS</v>
      </c>
      <c r="D1091" s="131" t="s">
        <v>279</v>
      </c>
      <c r="E1091" s="131" t="str">
        <f t="shared" si="55"/>
        <v>20130101LGUM_309</v>
      </c>
      <c r="F1091" s="132">
        <v>25.29</v>
      </c>
      <c r="G1091" s="132">
        <f t="shared" si="51"/>
        <v>0.02</v>
      </c>
      <c r="H1091" s="132">
        <f t="shared" si="52"/>
        <v>8.16</v>
      </c>
      <c r="I1091" s="132">
        <f t="shared" si="53"/>
        <v>17.11</v>
      </c>
      <c r="J1091" s="130" t="s">
        <v>509</v>
      </c>
    </row>
    <row r="1092" spans="1:10">
      <c r="A1092" s="138">
        <v>20130101</v>
      </c>
      <c r="B1092" s="131" t="s">
        <v>498</v>
      </c>
      <c r="C1092" s="131" t="str">
        <f t="shared" si="54"/>
        <v>20130101RLS</v>
      </c>
      <c r="D1092" s="131" t="s">
        <v>280</v>
      </c>
      <c r="E1092" s="131" t="str">
        <f t="shared" si="55"/>
        <v>20130101LGUM_310</v>
      </c>
      <c r="F1092" s="132">
        <v>26.49</v>
      </c>
      <c r="G1092" s="132">
        <f t="shared" si="51"/>
        <v>0.02</v>
      </c>
      <c r="H1092" s="132">
        <f t="shared" si="52"/>
        <v>8.16</v>
      </c>
      <c r="I1092" s="132">
        <f t="shared" si="53"/>
        <v>18.309999999999999</v>
      </c>
      <c r="J1092" s="130" t="s">
        <v>510</v>
      </c>
    </row>
    <row r="1093" spans="1:10">
      <c r="A1093" s="138">
        <v>20130101</v>
      </c>
      <c r="B1093" s="131" t="s">
        <v>498</v>
      </c>
      <c r="C1093" s="131" t="str">
        <f t="shared" si="54"/>
        <v>20130101RLS</v>
      </c>
      <c r="D1093" s="131" t="s">
        <v>281</v>
      </c>
      <c r="E1093" s="131" t="str">
        <f t="shared" si="55"/>
        <v>20130101LGUM_311</v>
      </c>
      <c r="F1093" s="132">
        <v>14.33</v>
      </c>
      <c r="G1093" s="132">
        <f t="shared" si="51"/>
        <v>0.02</v>
      </c>
      <c r="H1093" s="132">
        <f t="shared" si="52"/>
        <v>2.2999999999999998</v>
      </c>
      <c r="I1093" s="132">
        <f t="shared" si="53"/>
        <v>12.010000000000002</v>
      </c>
      <c r="J1093" s="130" t="s">
        <v>511</v>
      </c>
    </row>
    <row r="1094" spans="1:10">
      <c r="A1094" s="138">
        <v>20130101</v>
      </c>
      <c r="B1094" s="131" t="s">
        <v>498</v>
      </c>
      <c r="C1094" s="131" t="str">
        <f t="shared" si="54"/>
        <v>20130101RLS</v>
      </c>
      <c r="D1094" s="131" t="s">
        <v>283</v>
      </c>
      <c r="E1094" s="131" t="str">
        <f t="shared" si="55"/>
        <v>20130101LGUM_312</v>
      </c>
      <c r="F1094" s="132">
        <v>16.309999999999999</v>
      </c>
      <c r="G1094" s="132">
        <f t="shared" si="51"/>
        <v>0.02</v>
      </c>
      <c r="H1094" s="132">
        <f t="shared" si="52"/>
        <v>3.65</v>
      </c>
      <c r="I1094" s="132">
        <f t="shared" si="53"/>
        <v>12.639999999999999</v>
      </c>
      <c r="J1094" s="130" t="s">
        <v>512</v>
      </c>
    </row>
    <row r="1095" spans="1:10">
      <c r="A1095" s="138">
        <v>20130101</v>
      </c>
      <c r="B1095" s="131" t="s">
        <v>498</v>
      </c>
      <c r="C1095" s="131" t="str">
        <f t="shared" si="54"/>
        <v>20130101RLS</v>
      </c>
      <c r="D1095" s="131" t="s">
        <v>285</v>
      </c>
      <c r="E1095" s="131" t="str">
        <f t="shared" si="55"/>
        <v>20130101LGUM_313</v>
      </c>
      <c r="F1095" s="132">
        <v>17.14</v>
      </c>
      <c r="G1095" s="132">
        <f t="shared" si="51"/>
        <v>0.02</v>
      </c>
      <c r="H1095" s="132">
        <f t="shared" si="52"/>
        <v>3.65</v>
      </c>
      <c r="I1095" s="132">
        <f t="shared" si="53"/>
        <v>13.47</v>
      </c>
      <c r="J1095" s="130" t="s">
        <v>513</v>
      </c>
    </row>
    <row r="1096" spans="1:10">
      <c r="A1096" s="138">
        <v>20130101</v>
      </c>
      <c r="B1096" s="131" t="s">
        <v>498</v>
      </c>
      <c r="C1096" s="131" t="str">
        <f t="shared" si="54"/>
        <v>20130101RLS</v>
      </c>
      <c r="D1096" s="131" t="s">
        <v>287</v>
      </c>
      <c r="E1096" s="131" t="str">
        <f t="shared" si="55"/>
        <v>20130101LGUM_314</v>
      </c>
      <c r="F1096" s="132">
        <v>18.52</v>
      </c>
      <c r="G1096" s="132">
        <f t="shared" si="51"/>
        <v>0.01</v>
      </c>
      <c r="H1096" s="132">
        <f t="shared" si="52"/>
        <v>2.2000000000000002</v>
      </c>
      <c r="I1096" s="132">
        <f t="shared" si="53"/>
        <v>16.309999999999999</v>
      </c>
      <c r="J1096" s="130" t="s">
        <v>682</v>
      </c>
    </row>
    <row r="1097" spans="1:10">
      <c r="A1097" s="138">
        <v>20130101</v>
      </c>
      <c r="B1097" s="131" t="s">
        <v>498</v>
      </c>
      <c r="C1097" s="131" t="str">
        <f t="shared" ref="C1097:C1128" si="56">A1097&amp;B1097</f>
        <v>20130101RLS</v>
      </c>
      <c r="D1097" s="131" t="s">
        <v>288</v>
      </c>
      <c r="E1097" s="131" t="str">
        <f t="shared" ref="E1097:E1128" si="57">A1097&amp;D1097</f>
        <v>20130101LGUM_315</v>
      </c>
      <c r="F1097" s="132">
        <v>21.95</v>
      </c>
      <c r="G1097" s="132">
        <f t="shared" si="51"/>
        <v>0.01</v>
      </c>
      <c r="H1097" s="132">
        <f t="shared" si="52"/>
        <v>3.41</v>
      </c>
      <c r="I1097" s="132">
        <f t="shared" si="53"/>
        <v>18.529999999999998</v>
      </c>
      <c r="J1097" s="130" t="s">
        <v>683</v>
      </c>
    </row>
    <row r="1098" spans="1:10">
      <c r="A1098" s="138">
        <v>20130101</v>
      </c>
      <c r="B1098" s="131" t="s">
        <v>498</v>
      </c>
      <c r="C1098" s="131" t="str">
        <f t="shared" si="56"/>
        <v>20130101RLS</v>
      </c>
      <c r="D1098" s="131" t="s">
        <v>289</v>
      </c>
      <c r="E1098" s="131" t="str">
        <f t="shared" si="57"/>
        <v>20130101LGUM_316</v>
      </c>
      <c r="F1098" s="132">
        <v>26.59</v>
      </c>
      <c r="G1098" s="132">
        <f t="shared" ref="G1098:G1161" si="58">VLOOKUP(D1098,$D$773:$I$1032,4,FALSE)</f>
        <v>0.02</v>
      </c>
      <c r="H1098" s="132">
        <f t="shared" ref="H1098:H1161" si="59">VLOOKUP($D1098,$D$773:$I$1032,5,FALSE)</f>
        <v>2.2999999999999998</v>
      </c>
      <c r="I1098" s="132">
        <f t="shared" ref="I1098:I1161" si="60">F1098-G1098-H1098</f>
        <v>24.27</v>
      </c>
      <c r="J1098" s="130" t="s">
        <v>515</v>
      </c>
    </row>
    <row r="1099" spans="1:10">
      <c r="A1099" s="138">
        <v>20130101</v>
      </c>
      <c r="B1099" s="131" t="s">
        <v>498</v>
      </c>
      <c r="C1099" s="131" t="str">
        <f t="shared" si="56"/>
        <v>20130101RLS</v>
      </c>
      <c r="D1099" s="131" t="s">
        <v>290</v>
      </c>
      <c r="E1099" s="131" t="str">
        <f t="shared" si="57"/>
        <v>20130101LGUM_317</v>
      </c>
      <c r="F1099" s="132">
        <v>30.33</v>
      </c>
      <c r="G1099" s="132">
        <f t="shared" si="58"/>
        <v>0.02</v>
      </c>
      <c r="H1099" s="132">
        <f t="shared" si="59"/>
        <v>3.65</v>
      </c>
      <c r="I1099" s="132">
        <f t="shared" si="60"/>
        <v>26.66</v>
      </c>
      <c r="J1099" s="130" t="s">
        <v>517</v>
      </c>
    </row>
    <row r="1100" spans="1:10">
      <c r="A1100" s="138">
        <v>20130101</v>
      </c>
      <c r="B1100" s="131" t="s">
        <v>498</v>
      </c>
      <c r="C1100" s="131" t="str">
        <f t="shared" si="56"/>
        <v>20130101RLS</v>
      </c>
      <c r="D1100" s="131" t="s">
        <v>291</v>
      </c>
      <c r="E1100" s="131" t="str">
        <f t="shared" si="57"/>
        <v>20130101LGUM_318</v>
      </c>
      <c r="F1100" s="132">
        <v>16.91</v>
      </c>
      <c r="G1100" s="132">
        <f t="shared" si="58"/>
        <v>0.01</v>
      </c>
      <c r="H1100" s="132">
        <f t="shared" si="59"/>
        <v>1.55</v>
      </c>
      <c r="I1100" s="132">
        <f t="shared" si="60"/>
        <v>15.349999999999998</v>
      </c>
      <c r="J1100" s="130" t="s">
        <v>684</v>
      </c>
    </row>
    <row r="1101" spans="1:10">
      <c r="A1101" s="138">
        <v>20130101</v>
      </c>
      <c r="B1101" s="131" t="s">
        <v>498</v>
      </c>
      <c r="C1101" s="131" t="str">
        <f t="shared" si="56"/>
        <v>20130101RLS</v>
      </c>
      <c r="D1101" s="131" t="s">
        <v>571</v>
      </c>
      <c r="E1101" s="131" t="str">
        <f t="shared" si="57"/>
        <v>20130101LGUM_319</v>
      </c>
      <c r="F1101" s="132"/>
      <c r="G1101" s="132">
        <f t="shared" si="58"/>
        <v>0.01</v>
      </c>
      <c r="H1101" s="132">
        <f t="shared" si="59"/>
        <v>3.41</v>
      </c>
      <c r="I1101" s="132">
        <f t="shared" si="60"/>
        <v>-3.42</v>
      </c>
      <c r="J1101" s="130" t="s">
        <v>685</v>
      </c>
    </row>
    <row r="1102" spans="1:10">
      <c r="A1102" s="138">
        <v>20130101</v>
      </c>
      <c r="B1102" s="131" t="s">
        <v>498</v>
      </c>
      <c r="C1102" s="131" t="str">
        <f t="shared" si="56"/>
        <v>20130101RLS</v>
      </c>
      <c r="D1102" s="131" t="s">
        <v>573</v>
      </c>
      <c r="E1102" s="131" t="str">
        <f t="shared" si="57"/>
        <v>20130101LGUM_320</v>
      </c>
      <c r="F1102" s="132">
        <v>26.59</v>
      </c>
      <c r="G1102" s="132">
        <f t="shared" si="58"/>
        <v>0.02</v>
      </c>
      <c r="H1102" s="132">
        <f t="shared" si="59"/>
        <v>2.2999999999999998</v>
      </c>
      <c r="I1102" s="132">
        <f t="shared" si="60"/>
        <v>24.27</v>
      </c>
      <c r="J1102" s="130" t="s">
        <v>686</v>
      </c>
    </row>
    <row r="1103" spans="1:10">
      <c r="A1103" s="138">
        <v>20130101</v>
      </c>
      <c r="B1103" s="131" t="s">
        <v>498</v>
      </c>
      <c r="C1103" s="131" t="str">
        <f t="shared" si="56"/>
        <v>20130101RLS</v>
      </c>
      <c r="D1103" s="131" t="s">
        <v>292</v>
      </c>
      <c r="E1103" s="131" t="str">
        <f t="shared" si="57"/>
        <v>20130101LGUM_321</v>
      </c>
      <c r="F1103" s="132">
        <v>30.33</v>
      </c>
      <c r="G1103" s="132">
        <f t="shared" si="58"/>
        <v>0.02</v>
      </c>
      <c r="H1103" s="132">
        <f t="shared" si="59"/>
        <v>3.65</v>
      </c>
      <c r="I1103" s="132">
        <f t="shared" si="60"/>
        <v>26.66</v>
      </c>
      <c r="J1103" s="130" t="s">
        <v>687</v>
      </c>
    </row>
    <row r="1104" spans="1:10">
      <c r="A1104" s="138">
        <v>20130101</v>
      </c>
      <c r="B1104" s="131" t="s">
        <v>498</v>
      </c>
      <c r="C1104" s="131" t="str">
        <f t="shared" si="56"/>
        <v>20130101RLS</v>
      </c>
      <c r="D1104" s="131" t="s">
        <v>293</v>
      </c>
      <c r="E1104" s="131" t="str">
        <f t="shared" si="57"/>
        <v>20130101LGUM_322</v>
      </c>
      <c r="F1104" s="132">
        <v>12.28</v>
      </c>
      <c r="G1104" s="132">
        <f t="shared" si="58"/>
        <v>0.01</v>
      </c>
      <c r="H1104" s="132">
        <f t="shared" si="59"/>
        <v>1.55</v>
      </c>
      <c r="I1104" s="132">
        <f t="shared" si="60"/>
        <v>10.719999999999999</v>
      </c>
      <c r="J1104" s="130" t="s">
        <v>518</v>
      </c>
    </row>
    <row r="1105" spans="1:10">
      <c r="A1105" s="138">
        <v>20130101</v>
      </c>
      <c r="B1105" s="131" t="s">
        <v>498</v>
      </c>
      <c r="C1105" s="131" t="str">
        <f t="shared" si="56"/>
        <v>20130101RLS</v>
      </c>
      <c r="D1105" s="131" t="s">
        <v>294</v>
      </c>
      <c r="E1105" s="131" t="str">
        <f t="shared" si="57"/>
        <v>20130101LGUM_323</v>
      </c>
      <c r="F1105" s="132">
        <v>13.23</v>
      </c>
      <c r="G1105" s="132">
        <f t="shared" si="58"/>
        <v>0.01</v>
      </c>
      <c r="H1105" s="132">
        <f t="shared" si="59"/>
        <v>1.55</v>
      </c>
      <c r="I1105" s="132">
        <f t="shared" si="60"/>
        <v>11.67</v>
      </c>
      <c r="J1105" s="130" t="s">
        <v>519</v>
      </c>
    </row>
    <row r="1106" spans="1:10">
      <c r="A1106" s="138">
        <v>20130101</v>
      </c>
      <c r="B1106" s="131" t="s">
        <v>498</v>
      </c>
      <c r="C1106" s="131" t="str">
        <f t="shared" si="56"/>
        <v>20130101RLS</v>
      </c>
      <c r="D1106" s="131" t="s">
        <v>295</v>
      </c>
      <c r="E1106" s="131" t="str">
        <f t="shared" si="57"/>
        <v>20130101LGUM_324</v>
      </c>
      <c r="F1106" s="132">
        <v>16.73</v>
      </c>
      <c r="G1106" s="132">
        <f t="shared" si="58"/>
        <v>0.01</v>
      </c>
      <c r="H1106" s="132">
        <f t="shared" si="59"/>
        <v>1.07</v>
      </c>
      <c r="I1106" s="132">
        <f t="shared" si="60"/>
        <v>15.649999999999999</v>
      </c>
      <c r="J1106" s="130" t="s">
        <v>576</v>
      </c>
    </row>
    <row r="1107" spans="1:10">
      <c r="A1107" s="138">
        <v>20130101</v>
      </c>
      <c r="B1107" s="131" t="s">
        <v>498</v>
      </c>
      <c r="C1107" s="131" t="str">
        <f t="shared" si="56"/>
        <v>20130101RLS</v>
      </c>
      <c r="D1107" s="131" t="s">
        <v>296</v>
      </c>
      <c r="E1107" s="131" t="str">
        <f t="shared" si="57"/>
        <v>20130101LGUM_325</v>
      </c>
      <c r="F1107" s="132">
        <v>24.35</v>
      </c>
      <c r="G1107" s="132">
        <f t="shared" si="58"/>
        <v>0.01</v>
      </c>
      <c r="H1107" s="132">
        <f t="shared" si="59"/>
        <v>1.55</v>
      </c>
      <c r="I1107" s="132">
        <f t="shared" si="60"/>
        <v>22.79</v>
      </c>
      <c r="J1107" s="136" t="s">
        <v>733</v>
      </c>
    </row>
    <row r="1108" spans="1:10">
      <c r="A1108" s="138">
        <v>20130101</v>
      </c>
      <c r="B1108" s="131" t="s">
        <v>498</v>
      </c>
      <c r="C1108" s="131" t="str">
        <f t="shared" si="56"/>
        <v>20130101RLS</v>
      </c>
      <c r="D1108" s="131" t="s">
        <v>577</v>
      </c>
      <c r="E1108" s="131" t="str">
        <f t="shared" si="57"/>
        <v>20130101LGUM_345</v>
      </c>
      <c r="F1108" s="132"/>
      <c r="G1108" s="132">
        <f t="shared" si="58"/>
        <v>0.01</v>
      </c>
      <c r="H1108" s="132">
        <f t="shared" si="59"/>
        <v>3.41</v>
      </c>
      <c r="I1108" s="132">
        <f t="shared" si="60"/>
        <v>-3.42</v>
      </c>
      <c r="J1108" s="130" t="s">
        <v>688</v>
      </c>
    </row>
    <row r="1109" spans="1:10">
      <c r="A1109" s="138">
        <v>20130101</v>
      </c>
      <c r="B1109" s="131" t="s">
        <v>498</v>
      </c>
      <c r="C1109" s="131" t="str">
        <f t="shared" si="56"/>
        <v>20130101RLS</v>
      </c>
      <c r="D1109" s="131" t="s">
        <v>579</v>
      </c>
      <c r="E1109" s="131" t="str">
        <f t="shared" si="57"/>
        <v>20130101LGUM_346</v>
      </c>
      <c r="F1109" s="132">
        <v>26.59</v>
      </c>
      <c r="G1109" s="132">
        <f t="shared" si="58"/>
        <v>0.02</v>
      </c>
      <c r="H1109" s="132">
        <f t="shared" si="59"/>
        <v>2.23</v>
      </c>
      <c r="I1109" s="132">
        <f t="shared" si="60"/>
        <v>24.34</v>
      </c>
      <c r="J1109" s="130" t="s">
        <v>689</v>
      </c>
    </row>
    <row r="1110" spans="1:10">
      <c r="A1110" s="138">
        <v>20130101</v>
      </c>
      <c r="B1110" s="131" t="s">
        <v>498</v>
      </c>
      <c r="C1110" s="131" t="str">
        <f t="shared" si="56"/>
        <v>20130101RLS</v>
      </c>
      <c r="D1110" s="131" t="s">
        <v>581</v>
      </c>
      <c r="E1110" s="131" t="str">
        <f t="shared" si="57"/>
        <v>20130101LGUM_347</v>
      </c>
      <c r="F1110" s="132">
        <v>21.94</v>
      </c>
      <c r="G1110" s="132">
        <f t="shared" si="58"/>
        <v>0.01</v>
      </c>
      <c r="H1110" s="132">
        <f t="shared" si="59"/>
        <v>3.41</v>
      </c>
      <c r="I1110" s="132">
        <f t="shared" si="60"/>
        <v>18.52</v>
      </c>
      <c r="J1110" s="130" t="s">
        <v>582</v>
      </c>
    </row>
    <row r="1111" spans="1:10">
      <c r="A1111" s="138">
        <v>20130101</v>
      </c>
      <c r="B1111" s="131" t="s">
        <v>498</v>
      </c>
      <c r="C1111" s="131" t="str">
        <f t="shared" si="56"/>
        <v>20130101RLS</v>
      </c>
      <c r="D1111" s="131" t="s">
        <v>297</v>
      </c>
      <c r="E1111" s="131" t="str">
        <f t="shared" si="57"/>
        <v>20130101LGUM_348</v>
      </c>
      <c r="F1111" s="132">
        <v>12.18</v>
      </c>
      <c r="G1111" s="132">
        <f t="shared" si="58"/>
        <v>0.01</v>
      </c>
      <c r="H1111" s="132">
        <f t="shared" si="59"/>
        <v>2.2200000000000002</v>
      </c>
      <c r="I1111" s="132">
        <f t="shared" si="60"/>
        <v>9.9499999999999993</v>
      </c>
      <c r="J1111" s="130" t="s">
        <v>583</v>
      </c>
    </row>
    <row r="1112" spans="1:10">
      <c r="A1112" s="138">
        <v>20130101</v>
      </c>
      <c r="B1112" s="131" t="s">
        <v>498</v>
      </c>
      <c r="C1112" s="131" t="str">
        <f t="shared" si="56"/>
        <v>20130101RLS</v>
      </c>
      <c r="D1112" s="131" t="s">
        <v>299</v>
      </c>
      <c r="E1112" s="131" t="str">
        <f t="shared" si="57"/>
        <v>20130101LGUM_349</v>
      </c>
      <c r="F1112" s="132">
        <v>8.7200000000000006</v>
      </c>
      <c r="G1112" s="132">
        <f t="shared" si="58"/>
        <v>0.01</v>
      </c>
      <c r="H1112" s="132">
        <f t="shared" si="59"/>
        <v>0.74</v>
      </c>
      <c r="I1112" s="132">
        <f t="shared" si="60"/>
        <v>7.9700000000000006</v>
      </c>
      <c r="J1112" s="130" t="s">
        <v>584</v>
      </c>
    </row>
    <row r="1113" spans="1:10">
      <c r="A1113" s="138">
        <v>20130101</v>
      </c>
      <c r="B1113" s="131" t="s">
        <v>498</v>
      </c>
      <c r="C1113" s="131" t="str">
        <f t="shared" si="56"/>
        <v>20130101RLS</v>
      </c>
      <c r="D1113" s="131" t="s">
        <v>301</v>
      </c>
      <c r="E1113" s="131" t="str">
        <f t="shared" si="57"/>
        <v>20130101LGUM_352</v>
      </c>
      <c r="F1113" s="132">
        <v>9.06</v>
      </c>
      <c r="G1113" s="132">
        <f t="shared" si="58"/>
        <v>0.01</v>
      </c>
      <c r="H1113" s="132">
        <f t="shared" si="59"/>
        <v>1.55</v>
      </c>
      <c r="I1113" s="132">
        <f t="shared" si="60"/>
        <v>7.5000000000000009</v>
      </c>
      <c r="J1113" s="130" t="s">
        <v>530</v>
      </c>
    </row>
    <row r="1114" spans="1:10">
      <c r="A1114" s="138">
        <v>20130101</v>
      </c>
      <c r="B1114" s="131" t="s">
        <v>498</v>
      </c>
      <c r="C1114" s="131" t="str">
        <f t="shared" si="56"/>
        <v>20130101RLS</v>
      </c>
      <c r="D1114" s="131" t="s">
        <v>302</v>
      </c>
      <c r="E1114" s="131" t="str">
        <f t="shared" si="57"/>
        <v>20130101LGUM_353</v>
      </c>
      <c r="F1114" s="132">
        <v>10.28</v>
      </c>
      <c r="G1114" s="132">
        <f t="shared" si="58"/>
        <v>0.01</v>
      </c>
      <c r="H1114" s="132">
        <f t="shared" si="59"/>
        <v>2.2000000000000002</v>
      </c>
      <c r="I1114" s="132">
        <f t="shared" si="60"/>
        <v>8.07</v>
      </c>
      <c r="J1114" s="130" t="s">
        <v>531</v>
      </c>
    </row>
    <row r="1115" spans="1:10">
      <c r="A1115" s="138">
        <v>20130101</v>
      </c>
      <c r="B1115" s="131" t="s">
        <v>498</v>
      </c>
      <c r="C1115" s="131" t="str">
        <f t="shared" si="56"/>
        <v>20130101RLS</v>
      </c>
      <c r="D1115" s="131" t="s">
        <v>303</v>
      </c>
      <c r="E1115" s="131" t="str">
        <f t="shared" si="57"/>
        <v>20130101LGUM_354</v>
      </c>
      <c r="F1115" s="132">
        <v>12.51</v>
      </c>
      <c r="G1115" s="132">
        <f t="shared" si="58"/>
        <v>0.01</v>
      </c>
      <c r="H1115" s="132">
        <f t="shared" si="59"/>
        <v>3.41</v>
      </c>
      <c r="I1115" s="132">
        <f t="shared" si="60"/>
        <v>9.09</v>
      </c>
      <c r="J1115" s="130" t="s">
        <v>532</v>
      </c>
    </row>
    <row r="1116" spans="1:10">
      <c r="A1116" s="138">
        <v>20130101</v>
      </c>
      <c r="B1116" s="131" t="s">
        <v>498</v>
      </c>
      <c r="C1116" s="131" t="str">
        <f t="shared" si="56"/>
        <v>20130101RLS</v>
      </c>
      <c r="D1116" s="131" t="s">
        <v>304</v>
      </c>
      <c r="E1116" s="131" t="str">
        <f t="shared" si="57"/>
        <v>20130101LGUM_355</v>
      </c>
      <c r="F1116" s="132">
        <v>10.42</v>
      </c>
      <c r="G1116" s="132">
        <f t="shared" si="58"/>
        <v>0.01</v>
      </c>
      <c r="H1116" s="132">
        <f t="shared" si="59"/>
        <v>1.07</v>
      </c>
      <c r="I1116" s="132">
        <f t="shared" si="60"/>
        <v>9.34</v>
      </c>
      <c r="J1116" s="130" t="s">
        <v>533</v>
      </c>
    </row>
    <row r="1117" spans="1:10">
      <c r="A1117" s="138">
        <v>20130101</v>
      </c>
      <c r="B1117" s="131" t="s">
        <v>498</v>
      </c>
      <c r="C1117" s="131" t="str">
        <f t="shared" si="56"/>
        <v>20130101RLS</v>
      </c>
      <c r="D1117" s="131" t="s">
        <v>585</v>
      </c>
      <c r="E1117" s="131" t="str">
        <f t="shared" si="57"/>
        <v>20130101LGUM_356</v>
      </c>
      <c r="F1117" s="132"/>
      <c r="G1117" s="132">
        <f t="shared" si="58"/>
        <v>0.01</v>
      </c>
      <c r="H1117" s="132">
        <f t="shared" si="59"/>
        <v>0.92</v>
      </c>
      <c r="I1117" s="132">
        <f t="shared" si="60"/>
        <v>-0.93</v>
      </c>
      <c r="J1117" s="130" t="s">
        <v>586</v>
      </c>
    </row>
    <row r="1118" spans="1:10">
      <c r="A1118" s="138">
        <v>20130101</v>
      </c>
      <c r="B1118" s="131" t="s">
        <v>498</v>
      </c>
      <c r="C1118" s="131" t="str">
        <f t="shared" si="56"/>
        <v>20130101RLS</v>
      </c>
      <c r="D1118" s="131" t="s">
        <v>305</v>
      </c>
      <c r="E1118" s="131" t="str">
        <f t="shared" si="57"/>
        <v>20130101LGUM_357</v>
      </c>
      <c r="F1118" s="132">
        <v>14.54</v>
      </c>
      <c r="G1118" s="132">
        <f t="shared" si="58"/>
        <v>0.01</v>
      </c>
      <c r="H1118" s="132">
        <f t="shared" si="59"/>
        <v>3.41</v>
      </c>
      <c r="I1118" s="132">
        <f t="shared" si="60"/>
        <v>11.12</v>
      </c>
      <c r="J1118" s="130" t="s">
        <v>538</v>
      </c>
    </row>
    <row r="1119" spans="1:10">
      <c r="A1119" s="138">
        <v>20130101</v>
      </c>
      <c r="B1119" s="131" t="s">
        <v>498</v>
      </c>
      <c r="C1119" s="131" t="str">
        <f t="shared" si="56"/>
        <v>20130101RLS</v>
      </c>
      <c r="D1119" s="131" t="s">
        <v>306</v>
      </c>
      <c r="E1119" s="131" t="str">
        <f t="shared" si="57"/>
        <v>20130101LGUM_358</v>
      </c>
      <c r="F1119" s="132">
        <v>13.73</v>
      </c>
      <c r="G1119" s="132">
        <f t="shared" si="58"/>
        <v>0.01</v>
      </c>
      <c r="H1119" s="132">
        <f t="shared" si="59"/>
        <v>1.55</v>
      </c>
      <c r="I1119" s="132">
        <f t="shared" si="60"/>
        <v>12.17</v>
      </c>
      <c r="J1119" s="130" t="s">
        <v>539</v>
      </c>
    </row>
    <row r="1120" spans="1:10">
      <c r="A1120" s="138">
        <v>20130101</v>
      </c>
      <c r="B1120" s="131" t="s">
        <v>498</v>
      </c>
      <c r="C1120" s="131" t="str">
        <f t="shared" si="56"/>
        <v>20130101RLS</v>
      </c>
      <c r="D1120" s="131" t="s">
        <v>307</v>
      </c>
      <c r="E1120" s="131" t="str">
        <f t="shared" si="57"/>
        <v>20130101LGUM_360</v>
      </c>
      <c r="F1120" s="132">
        <v>26.49</v>
      </c>
      <c r="G1120" s="132">
        <f t="shared" si="58"/>
        <v>0.02</v>
      </c>
      <c r="H1120" s="132">
        <f t="shared" si="59"/>
        <v>8.16</v>
      </c>
      <c r="I1120" s="132">
        <f t="shared" si="60"/>
        <v>18.309999999999999</v>
      </c>
      <c r="J1120" s="130" t="s">
        <v>542</v>
      </c>
    </row>
    <row r="1121" spans="1:10">
      <c r="A1121" s="138">
        <v>20130101</v>
      </c>
      <c r="B1121" s="131" t="s">
        <v>498</v>
      </c>
      <c r="C1121" s="131" t="str">
        <f t="shared" si="56"/>
        <v>20130101RLS</v>
      </c>
      <c r="D1121" s="131" t="s">
        <v>308</v>
      </c>
      <c r="E1121" s="131" t="str">
        <f t="shared" si="57"/>
        <v>20130101LGUM_361</v>
      </c>
      <c r="F1121" s="132">
        <v>14.33</v>
      </c>
      <c r="G1121" s="132">
        <f t="shared" si="58"/>
        <v>0.02</v>
      </c>
      <c r="H1121" s="132">
        <f t="shared" si="59"/>
        <v>2.2999999999999998</v>
      </c>
      <c r="I1121" s="132">
        <f t="shared" si="60"/>
        <v>12.010000000000002</v>
      </c>
      <c r="J1121" s="130" t="s">
        <v>543</v>
      </c>
    </row>
    <row r="1122" spans="1:10">
      <c r="A1122" s="138">
        <v>20130101</v>
      </c>
      <c r="B1122" s="131" t="s">
        <v>498</v>
      </c>
      <c r="C1122" s="131" t="str">
        <f t="shared" si="56"/>
        <v>20130101RLS</v>
      </c>
      <c r="D1122" s="131" t="s">
        <v>309</v>
      </c>
      <c r="E1122" s="131" t="str">
        <f t="shared" si="57"/>
        <v>20130101LGUM_362</v>
      </c>
      <c r="F1122" s="132">
        <v>16.309999999999999</v>
      </c>
      <c r="G1122" s="132">
        <f t="shared" si="58"/>
        <v>0.02</v>
      </c>
      <c r="H1122" s="132">
        <f t="shared" si="59"/>
        <v>3.65</v>
      </c>
      <c r="I1122" s="132">
        <f t="shared" si="60"/>
        <v>12.639999999999999</v>
      </c>
      <c r="J1122" s="130" t="s">
        <v>544</v>
      </c>
    </row>
    <row r="1123" spans="1:10">
      <c r="A1123" s="138">
        <v>20130101</v>
      </c>
      <c r="B1123" s="131" t="s">
        <v>498</v>
      </c>
      <c r="C1123" s="131" t="str">
        <f t="shared" si="56"/>
        <v>20130101RLS</v>
      </c>
      <c r="D1123" s="131" t="s">
        <v>310</v>
      </c>
      <c r="E1123" s="131" t="str">
        <f t="shared" si="57"/>
        <v>20130101LGUM_363</v>
      </c>
      <c r="F1123" s="132">
        <v>17.14</v>
      </c>
      <c r="G1123" s="132">
        <f t="shared" si="58"/>
        <v>0.02</v>
      </c>
      <c r="H1123" s="132">
        <f t="shared" si="59"/>
        <v>3.65</v>
      </c>
      <c r="I1123" s="132">
        <f t="shared" si="60"/>
        <v>13.47</v>
      </c>
      <c r="J1123" s="130" t="s">
        <v>545</v>
      </c>
    </row>
    <row r="1124" spans="1:10">
      <c r="A1124" s="138">
        <v>20130101</v>
      </c>
      <c r="B1124" s="131" t="s">
        <v>498</v>
      </c>
      <c r="C1124" s="131" t="str">
        <f t="shared" si="56"/>
        <v>20130101RLS</v>
      </c>
      <c r="D1124" s="131" t="s">
        <v>311</v>
      </c>
      <c r="E1124" s="131" t="str">
        <f t="shared" si="57"/>
        <v>20130101LGUM_364</v>
      </c>
      <c r="F1124" s="132">
        <v>18.52</v>
      </c>
      <c r="G1124" s="132">
        <f t="shared" si="58"/>
        <v>0.01</v>
      </c>
      <c r="H1124" s="132">
        <f t="shared" si="59"/>
        <v>2.2000000000000002</v>
      </c>
      <c r="I1124" s="132">
        <f t="shared" si="60"/>
        <v>16.309999999999999</v>
      </c>
      <c r="J1124" s="130" t="s">
        <v>690</v>
      </c>
    </row>
    <row r="1125" spans="1:10">
      <c r="A1125" s="138">
        <v>20130101</v>
      </c>
      <c r="B1125" s="131" t="s">
        <v>498</v>
      </c>
      <c r="C1125" s="131" t="str">
        <f t="shared" si="56"/>
        <v>20130101RLS</v>
      </c>
      <c r="D1125" s="131" t="s">
        <v>312</v>
      </c>
      <c r="E1125" s="131" t="str">
        <f t="shared" si="57"/>
        <v>20130101LGUM_365</v>
      </c>
      <c r="F1125" s="132">
        <v>21.95</v>
      </c>
      <c r="G1125" s="132">
        <f t="shared" si="58"/>
        <v>0.01</v>
      </c>
      <c r="H1125" s="132">
        <f t="shared" si="59"/>
        <v>3.41</v>
      </c>
      <c r="I1125" s="132">
        <f t="shared" si="60"/>
        <v>18.529999999999998</v>
      </c>
      <c r="J1125" s="130" t="s">
        <v>691</v>
      </c>
    </row>
    <row r="1126" spans="1:10">
      <c r="A1126" s="138">
        <v>20130101</v>
      </c>
      <c r="B1126" s="131" t="s">
        <v>498</v>
      </c>
      <c r="C1126" s="131" t="str">
        <f t="shared" si="56"/>
        <v>20130101RLS</v>
      </c>
      <c r="D1126" s="131" t="s">
        <v>313</v>
      </c>
      <c r="E1126" s="131" t="str">
        <f t="shared" si="57"/>
        <v>20130101LGUM_366</v>
      </c>
      <c r="F1126" s="132">
        <v>26.59</v>
      </c>
      <c r="G1126" s="132">
        <f t="shared" si="58"/>
        <v>0.02</v>
      </c>
      <c r="H1126" s="132">
        <f t="shared" si="59"/>
        <v>2.2999999999999998</v>
      </c>
      <c r="I1126" s="132">
        <f t="shared" si="60"/>
        <v>24.27</v>
      </c>
      <c r="J1126" s="130" t="s">
        <v>546</v>
      </c>
    </row>
    <row r="1127" spans="1:10">
      <c r="A1127" s="138">
        <v>20130101</v>
      </c>
      <c r="B1127" s="131" t="s">
        <v>498</v>
      </c>
      <c r="C1127" s="131" t="str">
        <f t="shared" si="56"/>
        <v>20130101RLS</v>
      </c>
      <c r="D1127" s="131" t="s">
        <v>314</v>
      </c>
      <c r="E1127" s="131" t="str">
        <f t="shared" si="57"/>
        <v>20130101LGUM_367</v>
      </c>
      <c r="F1127" s="132">
        <v>30.33</v>
      </c>
      <c r="G1127" s="132">
        <f t="shared" si="58"/>
        <v>0.02</v>
      </c>
      <c r="H1127" s="132">
        <f t="shared" si="59"/>
        <v>3.65</v>
      </c>
      <c r="I1127" s="132">
        <f t="shared" si="60"/>
        <v>26.66</v>
      </c>
      <c r="J1127" s="130" t="s">
        <v>692</v>
      </c>
    </row>
    <row r="1128" spans="1:10">
      <c r="A1128" s="138">
        <v>20130101</v>
      </c>
      <c r="B1128" s="131" t="s">
        <v>498</v>
      </c>
      <c r="C1128" s="131" t="str">
        <f t="shared" si="56"/>
        <v>20130101RLS</v>
      </c>
      <c r="D1128" s="131" t="s">
        <v>592</v>
      </c>
      <c r="E1128" s="131" t="str">
        <f t="shared" si="57"/>
        <v>20130101LGUM_368</v>
      </c>
      <c r="F1128" s="132"/>
      <c r="G1128" s="132">
        <f t="shared" si="58"/>
        <v>0.01</v>
      </c>
      <c r="H1128" s="132">
        <f t="shared" si="59"/>
        <v>1.55</v>
      </c>
      <c r="I1128" s="132">
        <f t="shared" si="60"/>
        <v>-1.56</v>
      </c>
      <c r="J1128" s="130" t="s">
        <v>684</v>
      </c>
    </row>
    <row r="1129" spans="1:10">
      <c r="A1129" s="138">
        <v>20130101</v>
      </c>
      <c r="B1129" s="131" t="s">
        <v>498</v>
      </c>
      <c r="C1129" s="131" t="str">
        <f t="shared" ref="C1129:C1160" si="61">A1129&amp;B1129</f>
        <v>20130101RLS</v>
      </c>
      <c r="D1129" s="131" t="s">
        <v>593</v>
      </c>
      <c r="E1129" s="131" t="str">
        <f t="shared" ref="E1129:E1160" si="62">A1129&amp;D1129</f>
        <v>20130101LGUM_369</v>
      </c>
      <c r="F1129" s="132"/>
      <c r="G1129" s="132">
        <f t="shared" si="58"/>
        <v>0.01</v>
      </c>
      <c r="H1129" s="132">
        <f t="shared" si="59"/>
        <v>3.41</v>
      </c>
      <c r="I1129" s="132">
        <f t="shared" si="60"/>
        <v>-3.42</v>
      </c>
      <c r="J1129" s="130" t="s">
        <v>693</v>
      </c>
    </row>
    <row r="1130" spans="1:10">
      <c r="A1130" s="138">
        <v>20130101</v>
      </c>
      <c r="B1130" s="131" t="s">
        <v>498</v>
      </c>
      <c r="C1130" s="131" t="str">
        <f t="shared" si="61"/>
        <v>20130101RLS</v>
      </c>
      <c r="D1130" s="131" t="s">
        <v>315</v>
      </c>
      <c r="E1130" s="131" t="str">
        <f t="shared" si="62"/>
        <v>20130101LGUM_370</v>
      </c>
      <c r="F1130" s="132">
        <v>26.59</v>
      </c>
      <c r="G1130" s="132">
        <f t="shared" si="58"/>
        <v>0.02</v>
      </c>
      <c r="H1130" s="132">
        <f t="shared" si="59"/>
        <v>2.2999999999999998</v>
      </c>
      <c r="I1130" s="132">
        <f t="shared" si="60"/>
        <v>24.27</v>
      </c>
      <c r="J1130" s="130" t="s">
        <v>694</v>
      </c>
    </row>
    <row r="1131" spans="1:10">
      <c r="A1131" s="138">
        <v>20130101</v>
      </c>
      <c r="B1131" s="131" t="s">
        <v>498</v>
      </c>
      <c r="C1131" s="131" t="str">
        <f t="shared" si="61"/>
        <v>20130101RLS</v>
      </c>
      <c r="D1131" s="131" t="s">
        <v>316</v>
      </c>
      <c r="E1131" s="131" t="str">
        <f t="shared" si="62"/>
        <v>20130101LGUM_371</v>
      </c>
      <c r="F1131" s="132">
        <v>30.33</v>
      </c>
      <c r="G1131" s="132">
        <f t="shared" si="58"/>
        <v>0.02</v>
      </c>
      <c r="H1131" s="132">
        <f t="shared" si="59"/>
        <v>3.65</v>
      </c>
      <c r="I1131" s="132">
        <f t="shared" si="60"/>
        <v>26.66</v>
      </c>
      <c r="J1131" s="130" t="s">
        <v>695</v>
      </c>
    </row>
    <row r="1132" spans="1:10">
      <c r="A1132" s="138">
        <v>20130101</v>
      </c>
      <c r="B1132" s="131" t="s">
        <v>498</v>
      </c>
      <c r="C1132" s="131" t="str">
        <f t="shared" si="61"/>
        <v>20130101RLS</v>
      </c>
      <c r="D1132" s="131" t="s">
        <v>317</v>
      </c>
      <c r="E1132" s="131" t="str">
        <f t="shared" si="62"/>
        <v>20130101LGUM_372</v>
      </c>
      <c r="F1132" s="132">
        <v>12.28</v>
      </c>
      <c r="G1132" s="132">
        <f t="shared" si="58"/>
        <v>0.01</v>
      </c>
      <c r="H1132" s="132">
        <f t="shared" si="59"/>
        <v>1.55</v>
      </c>
      <c r="I1132" s="132">
        <f t="shared" si="60"/>
        <v>10.719999999999999</v>
      </c>
      <c r="J1132" s="130" t="s">
        <v>548</v>
      </c>
    </row>
    <row r="1133" spans="1:10">
      <c r="A1133" s="138">
        <v>20130101</v>
      </c>
      <c r="B1133" s="131" t="s">
        <v>498</v>
      </c>
      <c r="C1133" s="131" t="str">
        <f t="shared" si="61"/>
        <v>20130101RLS</v>
      </c>
      <c r="D1133" s="131" t="s">
        <v>318</v>
      </c>
      <c r="E1133" s="131" t="str">
        <f t="shared" si="62"/>
        <v>20130101LGUM_373</v>
      </c>
      <c r="F1133" s="132">
        <v>13.23</v>
      </c>
      <c r="G1133" s="132">
        <f t="shared" si="58"/>
        <v>0.01</v>
      </c>
      <c r="H1133" s="132">
        <f t="shared" si="59"/>
        <v>1.55</v>
      </c>
      <c r="I1133" s="132">
        <f t="shared" si="60"/>
        <v>11.67</v>
      </c>
      <c r="J1133" s="130" t="s">
        <v>549</v>
      </c>
    </row>
    <row r="1134" spans="1:10">
      <c r="A1134" s="138">
        <v>20130101</v>
      </c>
      <c r="B1134" s="131" t="s">
        <v>498</v>
      </c>
      <c r="C1134" s="131" t="str">
        <f t="shared" si="61"/>
        <v>20130101RLS</v>
      </c>
      <c r="D1134" s="131" t="s">
        <v>319</v>
      </c>
      <c r="E1134" s="131" t="str">
        <f t="shared" si="62"/>
        <v>20130101LGUM_374</v>
      </c>
      <c r="F1134" s="132">
        <v>16.73</v>
      </c>
      <c r="G1134" s="132">
        <f t="shared" si="58"/>
        <v>0.01</v>
      </c>
      <c r="H1134" s="132">
        <f t="shared" si="59"/>
        <v>1.07</v>
      </c>
      <c r="I1134" s="132">
        <f t="shared" si="60"/>
        <v>15.649999999999999</v>
      </c>
      <c r="J1134" s="130" t="s">
        <v>597</v>
      </c>
    </row>
    <row r="1135" spans="1:10">
      <c r="A1135" s="138">
        <v>20130101</v>
      </c>
      <c r="B1135" s="131" t="s">
        <v>498</v>
      </c>
      <c r="C1135" s="131" t="str">
        <f t="shared" si="61"/>
        <v>20130101RLS</v>
      </c>
      <c r="D1135" s="131" t="s">
        <v>320</v>
      </c>
      <c r="E1135" s="131" t="str">
        <f t="shared" si="62"/>
        <v>20130101LGUM_375</v>
      </c>
      <c r="F1135" s="132">
        <v>24.35</v>
      </c>
      <c r="G1135" s="132">
        <f t="shared" si="58"/>
        <v>0.01</v>
      </c>
      <c r="H1135" s="132">
        <f t="shared" si="59"/>
        <v>1.48</v>
      </c>
      <c r="I1135" s="132">
        <f t="shared" si="60"/>
        <v>22.86</v>
      </c>
      <c r="J1135" s="130" t="s">
        <v>696</v>
      </c>
    </row>
    <row r="1136" spans="1:10">
      <c r="A1136" s="138">
        <v>20130101</v>
      </c>
      <c r="B1136" s="131" t="s">
        <v>498</v>
      </c>
      <c r="C1136" s="131" t="str">
        <f t="shared" si="61"/>
        <v>20130101RLS</v>
      </c>
      <c r="D1136" s="131" t="s">
        <v>321</v>
      </c>
      <c r="E1136" s="131" t="str">
        <f t="shared" si="62"/>
        <v>20130101LGUM_376</v>
      </c>
      <c r="F1136" s="132">
        <v>13.78</v>
      </c>
      <c r="G1136" s="132">
        <f t="shared" si="58"/>
        <v>0.01</v>
      </c>
      <c r="H1136" s="132">
        <f t="shared" si="59"/>
        <v>0.74</v>
      </c>
      <c r="I1136" s="132">
        <f t="shared" si="60"/>
        <v>13.03</v>
      </c>
      <c r="J1136" s="130" t="s">
        <v>551</v>
      </c>
    </row>
    <row r="1137" spans="1:10">
      <c r="A1137" s="138">
        <v>20130101</v>
      </c>
      <c r="B1137" s="131" t="s">
        <v>498</v>
      </c>
      <c r="C1137" s="131" t="str">
        <f t="shared" si="61"/>
        <v>20130101RLS</v>
      </c>
      <c r="D1137" s="131" t="s">
        <v>322</v>
      </c>
      <c r="E1137" s="131" t="str">
        <f t="shared" si="62"/>
        <v>20130101LGUM_377</v>
      </c>
      <c r="F1137" s="132">
        <v>21.61</v>
      </c>
      <c r="G1137" s="132">
        <f t="shared" si="58"/>
        <v>0.01</v>
      </c>
      <c r="H1137" s="132">
        <f t="shared" si="59"/>
        <v>1.48</v>
      </c>
      <c r="I1137" s="132">
        <f t="shared" si="60"/>
        <v>20.119999999999997</v>
      </c>
      <c r="J1137" s="130" t="s">
        <v>697</v>
      </c>
    </row>
    <row r="1138" spans="1:10">
      <c r="A1138" s="138">
        <v>20130101</v>
      </c>
      <c r="B1138" s="131" t="s">
        <v>498</v>
      </c>
      <c r="C1138" s="131" t="str">
        <f t="shared" si="61"/>
        <v>20130101RLS</v>
      </c>
      <c r="D1138" s="131" t="s">
        <v>323</v>
      </c>
      <c r="E1138" s="131" t="str">
        <f t="shared" si="62"/>
        <v>20130101LGUM_378</v>
      </c>
      <c r="F1138" s="132">
        <v>70</v>
      </c>
      <c r="G1138" s="132">
        <f t="shared" si="58"/>
        <v>0.05</v>
      </c>
      <c r="H1138" s="132">
        <f t="shared" si="59"/>
        <v>8.14</v>
      </c>
      <c r="I1138" s="132">
        <f t="shared" si="60"/>
        <v>61.81</v>
      </c>
      <c r="J1138" s="130" t="s">
        <v>554</v>
      </c>
    </row>
    <row r="1139" spans="1:10">
      <c r="A1139" s="138">
        <v>20130101</v>
      </c>
      <c r="B1139" s="131" t="s">
        <v>498</v>
      </c>
      <c r="C1139" s="131" t="str">
        <f t="shared" si="61"/>
        <v>20130101RLS</v>
      </c>
      <c r="D1139" s="131" t="s">
        <v>324</v>
      </c>
      <c r="E1139" s="131" t="str">
        <f t="shared" si="62"/>
        <v>20130101LGUM_379</v>
      </c>
      <c r="F1139" s="132">
        <v>38.880000000000003</v>
      </c>
      <c r="G1139" s="132">
        <f t="shared" si="58"/>
        <v>0.05</v>
      </c>
      <c r="H1139" s="132">
        <f t="shared" si="59"/>
        <v>8.14</v>
      </c>
      <c r="I1139" s="132">
        <f t="shared" si="60"/>
        <v>30.690000000000005</v>
      </c>
      <c r="J1139" s="130" t="s">
        <v>556</v>
      </c>
    </row>
    <row r="1140" spans="1:10">
      <c r="A1140" s="138">
        <v>20130101</v>
      </c>
      <c r="B1140" s="131" t="s">
        <v>498</v>
      </c>
      <c r="C1140" s="131" t="str">
        <f t="shared" si="61"/>
        <v>20130101RLS</v>
      </c>
      <c r="D1140" s="131" t="s">
        <v>325</v>
      </c>
      <c r="E1140" s="131" t="str">
        <f t="shared" si="62"/>
        <v>20130101LGUM_380</v>
      </c>
      <c r="F1140" s="132">
        <v>18.989999999999998</v>
      </c>
      <c r="G1140" s="132">
        <f t="shared" si="58"/>
        <v>0.01</v>
      </c>
      <c r="H1140" s="132">
        <f t="shared" si="59"/>
        <v>0.74</v>
      </c>
      <c r="I1140" s="132">
        <f t="shared" si="60"/>
        <v>18.239999999999998</v>
      </c>
      <c r="J1140" s="130" t="s">
        <v>558</v>
      </c>
    </row>
    <row r="1141" spans="1:10">
      <c r="A1141" s="138">
        <v>20130101</v>
      </c>
      <c r="B1141" s="131" t="s">
        <v>498</v>
      </c>
      <c r="C1141" s="131" t="str">
        <f t="shared" si="61"/>
        <v>20130101RLS</v>
      </c>
      <c r="D1141" s="131" t="s">
        <v>326</v>
      </c>
      <c r="E1141" s="131" t="str">
        <f t="shared" si="62"/>
        <v>20130101LGUM_381</v>
      </c>
      <c r="F1141" s="132">
        <v>19.89</v>
      </c>
      <c r="G1141" s="132">
        <f t="shared" si="58"/>
        <v>0.01</v>
      </c>
      <c r="H1141" s="132">
        <f t="shared" si="59"/>
        <v>1.07</v>
      </c>
      <c r="I1141" s="132">
        <f t="shared" si="60"/>
        <v>18.809999999999999</v>
      </c>
      <c r="J1141" s="130" t="s">
        <v>603</v>
      </c>
    </row>
    <row r="1142" spans="1:10">
      <c r="A1142" s="138">
        <v>20130101</v>
      </c>
      <c r="B1142" s="131" t="s">
        <v>498</v>
      </c>
      <c r="C1142" s="131" t="str">
        <f t="shared" si="61"/>
        <v>20130101RLS</v>
      </c>
      <c r="D1142" s="131" t="s">
        <v>327</v>
      </c>
      <c r="E1142" s="131" t="str">
        <f t="shared" si="62"/>
        <v>20130101LGUM_382</v>
      </c>
      <c r="F1142" s="132">
        <v>19.14</v>
      </c>
      <c r="G1142" s="132">
        <f t="shared" si="58"/>
        <v>0.01</v>
      </c>
      <c r="H1142" s="132">
        <f t="shared" si="59"/>
        <v>0.74</v>
      </c>
      <c r="I1142" s="132">
        <f t="shared" si="60"/>
        <v>18.39</v>
      </c>
      <c r="J1142" s="130" t="s">
        <v>560</v>
      </c>
    </row>
    <row r="1143" spans="1:10">
      <c r="A1143" s="138">
        <v>20130101</v>
      </c>
      <c r="B1143" s="131" t="s">
        <v>498</v>
      </c>
      <c r="C1143" s="131" t="str">
        <f t="shared" si="61"/>
        <v>20130101RLS</v>
      </c>
      <c r="D1143" s="131" t="s">
        <v>328</v>
      </c>
      <c r="E1143" s="131" t="str">
        <f t="shared" si="62"/>
        <v>20130101LGUM_383</v>
      </c>
      <c r="F1143" s="132">
        <v>20.36</v>
      </c>
      <c r="G1143" s="132">
        <f t="shared" si="58"/>
        <v>0.01</v>
      </c>
      <c r="H1143" s="132">
        <f t="shared" si="59"/>
        <v>1.07</v>
      </c>
      <c r="I1143" s="132">
        <f t="shared" si="60"/>
        <v>19.279999999999998</v>
      </c>
      <c r="J1143" s="130" t="s">
        <v>605</v>
      </c>
    </row>
    <row r="1144" spans="1:10">
      <c r="A1144" s="138">
        <v>20130101</v>
      </c>
      <c r="B1144" s="131" t="s">
        <v>498</v>
      </c>
      <c r="C1144" s="131" t="str">
        <f t="shared" si="61"/>
        <v>20130101RLS</v>
      </c>
      <c r="D1144" s="135" t="s">
        <v>871</v>
      </c>
      <c r="E1144" s="131" t="str">
        <f t="shared" si="62"/>
        <v>20130101LGUM_384</v>
      </c>
      <c r="F1144" s="132"/>
      <c r="G1144" s="132">
        <f t="shared" si="58"/>
        <v>0.01</v>
      </c>
      <c r="H1144" s="132">
        <f t="shared" si="59"/>
        <v>1.07</v>
      </c>
      <c r="I1144" s="132">
        <f t="shared" si="60"/>
        <v>-1.08</v>
      </c>
      <c r="J1144" s="137" t="s">
        <v>872</v>
      </c>
    </row>
    <row r="1145" spans="1:10">
      <c r="A1145" s="138">
        <v>20130101</v>
      </c>
      <c r="B1145" s="131" t="s">
        <v>498</v>
      </c>
      <c r="C1145" s="131" t="str">
        <f t="shared" si="61"/>
        <v>20130101RLS</v>
      </c>
      <c r="D1145" s="135" t="s">
        <v>873</v>
      </c>
      <c r="E1145" s="131" t="str">
        <f t="shared" si="62"/>
        <v>20130101LGUM_385</v>
      </c>
      <c r="F1145" s="132"/>
      <c r="G1145" s="132">
        <f t="shared" si="58"/>
        <v>0.01</v>
      </c>
      <c r="H1145" s="132">
        <f t="shared" si="59"/>
        <v>1.07</v>
      </c>
      <c r="I1145" s="132">
        <f t="shared" si="60"/>
        <v>-1.08</v>
      </c>
      <c r="J1145" s="137" t="s">
        <v>872</v>
      </c>
    </row>
    <row r="1146" spans="1:10">
      <c r="A1146" s="138">
        <v>20130101</v>
      </c>
      <c r="B1146" s="131" t="s">
        <v>725</v>
      </c>
      <c r="C1146" s="131" t="str">
        <f t="shared" si="61"/>
        <v>20130101DSK</v>
      </c>
      <c r="D1146" s="135" t="s">
        <v>377</v>
      </c>
      <c r="E1146" s="131" t="str">
        <f t="shared" si="62"/>
        <v>20130101LGUM_400</v>
      </c>
      <c r="F1146" s="132">
        <v>23.44</v>
      </c>
      <c r="G1146" s="132">
        <f t="shared" si="58"/>
        <v>0.02</v>
      </c>
      <c r="H1146" s="132">
        <f t="shared" si="59"/>
        <v>0.92</v>
      </c>
      <c r="I1146" s="132">
        <f t="shared" si="60"/>
        <v>22.5</v>
      </c>
      <c r="J1146" s="137" t="s">
        <v>726</v>
      </c>
    </row>
    <row r="1147" spans="1:10">
      <c r="A1147" s="138">
        <v>20130101</v>
      </c>
      <c r="B1147" s="131" t="s">
        <v>725</v>
      </c>
      <c r="C1147" s="131" t="str">
        <f t="shared" si="61"/>
        <v>20130101DSK</v>
      </c>
      <c r="D1147" s="135" t="s">
        <v>737</v>
      </c>
      <c r="E1147" s="131" t="str">
        <f t="shared" si="62"/>
        <v>20130101LGUM_401</v>
      </c>
      <c r="F1147" s="132">
        <v>24.46</v>
      </c>
      <c r="G1147" s="132">
        <f t="shared" si="58"/>
        <v>0.03</v>
      </c>
      <c r="H1147" s="132">
        <f t="shared" si="59"/>
        <v>0.86</v>
      </c>
      <c r="I1147" s="132">
        <f t="shared" si="60"/>
        <v>23.57</v>
      </c>
      <c r="J1147" s="137" t="s">
        <v>738</v>
      </c>
    </row>
    <row r="1148" spans="1:10">
      <c r="A1148" s="138">
        <v>20130101</v>
      </c>
      <c r="B1148" s="131" t="s">
        <v>606</v>
      </c>
      <c r="C1148" s="131" t="str">
        <f t="shared" si="61"/>
        <v>20130101LS</v>
      </c>
      <c r="D1148" s="131" t="s">
        <v>329</v>
      </c>
      <c r="E1148" s="131" t="str">
        <f t="shared" si="62"/>
        <v>20130101LGUM_412</v>
      </c>
      <c r="F1148" s="132">
        <v>19.420000000000002</v>
      </c>
      <c r="G1148" s="132">
        <f t="shared" si="58"/>
        <v>0.03</v>
      </c>
      <c r="H1148" s="132">
        <f t="shared" si="59"/>
        <v>0.61</v>
      </c>
      <c r="I1148" s="132">
        <f t="shared" si="60"/>
        <v>18.78</v>
      </c>
      <c r="J1148" s="137" t="s">
        <v>698</v>
      </c>
    </row>
    <row r="1149" spans="1:10">
      <c r="A1149" s="138">
        <v>20130101</v>
      </c>
      <c r="B1149" s="131" t="s">
        <v>606</v>
      </c>
      <c r="C1149" s="131" t="str">
        <f t="shared" si="61"/>
        <v>20130101LS</v>
      </c>
      <c r="D1149" s="131" t="s">
        <v>330</v>
      </c>
      <c r="E1149" s="131" t="str">
        <f t="shared" si="62"/>
        <v>20130101LGUM_413</v>
      </c>
      <c r="F1149" s="132">
        <v>20.05</v>
      </c>
      <c r="G1149" s="132">
        <f t="shared" si="58"/>
        <v>0.03</v>
      </c>
      <c r="H1149" s="132">
        <f t="shared" si="59"/>
        <v>0.86</v>
      </c>
      <c r="I1149" s="132">
        <f t="shared" si="60"/>
        <v>19.16</v>
      </c>
      <c r="J1149" s="130" t="s">
        <v>608</v>
      </c>
    </row>
    <row r="1150" spans="1:10">
      <c r="A1150" s="138">
        <v>20130101</v>
      </c>
      <c r="B1150" s="131" t="s">
        <v>606</v>
      </c>
      <c r="C1150" s="131" t="str">
        <f t="shared" si="61"/>
        <v>20130101LS</v>
      </c>
      <c r="D1150" s="131" t="s">
        <v>331</v>
      </c>
      <c r="E1150" s="131" t="str">
        <f t="shared" si="62"/>
        <v>20130101LGUM_414</v>
      </c>
      <c r="F1150" s="132">
        <v>21.61</v>
      </c>
      <c r="G1150" s="132">
        <f t="shared" si="58"/>
        <v>0.01</v>
      </c>
      <c r="H1150" s="132">
        <f t="shared" si="59"/>
        <v>1.34</v>
      </c>
      <c r="I1150" s="132">
        <f t="shared" si="60"/>
        <v>20.259999999999998</v>
      </c>
      <c r="J1150" s="130" t="s">
        <v>609</v>
      </c>
    </row>
    <row r="1151" spans="1:10">
      <c r="A1151" s="138">
        <v>20130101</v>
      </c>
      <c r="B1151" s="131" t="s">
        <v>606</v>
      </c>
      <c r="C1151" s="131" t="str">
        <f t="shared" si="61"/>
        <v>20130101LS</v>
      </c>
      <c r="D1151" s="131" t="s">
        <v>332</v>
      </c>
      <c r="E1151" s="131" t="str">
        <f t="shared" si="62"/>
        <v>20130101LGUM_415</v>
      </c>
      <c r="F1151" s="132">
        <v>19.809999999999999</v>
      </c>
      <c r="G1151" s="132">
        <f t="shared" si="58"/>
        <v>0.03</v>
      </c>
      <c r="H1151" s="132">
        <f t="shared" si="59"/>
        <v>0.61</v>
      </c>
      <c r="I1151" s="132">
        <f t="shared" si="60"/>
        <v>19.169999999999998</v>
      </c>
      <c r="J1151" s="137" t="s">
        <v>699</v>
      </c>
    </row>
    <row r="1152" spans="1:10">
      <c r="A1152" s="138">
        <v>20130101</v>
      </c>
      <c r="B1152" s="131" t="s">
        <v>606</v>
      </c>
      <c r="C1152" s="131" t="str">
        <f t="shared" si="61"/>
        <v>20130101LS</v>
      </c>
      <c r="D1152" s="131" t="s">
        <v>333</v>
      </c>
      <c r="E1152" s="131" t="str">
        <f t="shared" si="62"/>
        <v>20130101LGUM_416</v>
      </c>
      <c r="F1152" s="132">
        <v>22.12</v>
      </c>
      <c r="G1152" s="132">
        <f t="shared" si="58"/>
        <v>0.03</v>
      </c>
      <c r="H1152" s="132">
        <f t="shared" si="59"/>
        <v>0.86</v>
      </c>
      <c r="I1152" s="132">
        <f t="shared" si="60"/>
        <v>21.23</v>
      </c>
      <c r="J1152" s="130" t="s">
        <v>611</v>
      </c>
    </row>
    <row r="1153" spans="1:10">
      <c r="A1153" s="138">
        <v>20130101</v>
      </c>
      <c r="B1153" s="131" t="s">
        <v>606</v>
      </c>
      <c r="C1153" s="131" t="str">
        <f t="shared" si="61"/>
        <v>20130101LS</v>
      </c>
      <c r="D1153" s="131" t="s">
        <v>334</v>
      </c>
      <c r="E1153" s="131" t="str">
        <f t="shared" si="62"/>
        <v>20130101LGUM_417</v>
      </c>
      <c r="F1153" s="132">
        <v>23.24</v>
      </c>
      <c r="G1153" s="132">
        <f t="shared" si="58"/>
        <v>0.03</v>
      </c>
      <c r="H1153" s="132">
        <f t="shared" si="59"/>
        <v>0.83</v>
      </c>
      <c r="I1153" s="132">
        <f t="shared" si="60"/>
        <v>22.38</v>
      </c>
      <c r="J1153" s="130" t="s">
        <v>612</v>
      </c>
    </row>
    <row r="1154" spans="1:10">
      <c r="A1154" s="138">
        <v>20130101</v>
      </c>
      <c r="B1154" s="131" t="s">
        <v>606</v>
      </c>
      <c r="C1154" s="131" t="str">
        <f t="shared" si="61"/>
        <v>20130101LS</v>
      </c>
      <c r="D1154" s="131" t="s">
        <v>335</v>
      </c>
      <c r="E1154" s="131" t="str">
        <f t="shared" si="62"/>
        <v>20130101LGUM_418</v>
      </c>
      <c r="F1154" s="132">
        <v>21.61</v>
      </c>
      <c r="G1154" s="132">
        <f t="shared" si="58"/>
        <v>0.01</v>
      </c>
      <c r="H1154" s="132">
        <f t="shared" si="59"/>
        <v>1.34</v>
      </c>
      <c r="I1154" s="132">
        <f t="shared" si="60"/>
        <v>20.259999999999998</v>
      </c>
      <c r="J1154" s="130" t="s">
        <v>613</v>
      </c>
    </row>
    <row r="1155" spans="1:10">
      <c r="A1155" s="138">
        <v>20130101</v>
      </c>
      <c r="B1155" s="131" t="s">
        <v>606</v>
      </c>
      <c r="C1155" s="131" t="str">
        <f t="shared" si="61"/>
        <v>20130101LS</v>
      </c>
      <c r="D1155" s="131" t="s">
        <v>336</v>
      </c>
      <c r="E1155" s="131" t="str">
        <f t="shared" si="62"/>
        <v>20130101LGUM_419</v>
      </c>
      <c r="F1155" s="132">
        <v>24.1</v>
      </c>
      <c r="G1155" s="132">
        <f t="shared" si="58"/>
        <v>0.01</v>
      </c>
      <c r="H1155" s="132">
        <f t="shared" si="59"/>
        <v>1.34</v>
      </c>
      <c r="I1155" s="132">
        <f t="shared" si="60"/>
        <v>22.75</v>
      </c>
      <c r="J1155" s="130" t="s">
        <v>614</v>
      </c>
    </row>
    <row r="1156" spans="1:10">
      <c r="A1156" s="138">
        <v>20130101</v>
      </c>
      <c r="B1156" s="131" t="s">
        <v>606</v>
      </c>
      <c r="C1156" s="131" t="str">
        <f t="shared" si="61"/>
        <v>20130101LS</v>
      </c>
      <c r="D1156" s="131" t="s">
        <v>337</v>
      </c>
      <c r="E1156" s="131" t="str">
        <f t="shared" si="62"/>
        <v>20130101LGUM_420</v>
      </c>
      <c r="F1156" s="132">
        <v>29.35</v>
      </c>
      <c r="G1156" s="132">
        <f t="shared" si="58"/>
        <v>0.01</v>
      </c>
      <c r="H1156" s="132">
        <f t="shared" si="59"/>
        <v>1.34</v>
      </c>
      <c r="I1156" s="132">
        <f t="shared" si="60"/>
        <v>28</v>
      </c>
      <c r="J1156" s="130" t="s">
        <v>615</v>
      </c>
    </row>
    <row r="1157" spans="1:10">
      <c r="A1157" s="138">
        <v>20130101</v>
      </c>
      <c r="B1157" s="131" t="s">
        <v>606</v>
      </c>
      <c r="C1157" s="131" t="str">
        <f t="shared" si="61"/>
        <v>20130101LS</v>
      </c>
      <c r="D1157" s="131" t="s">
        <v>338</v>
      </c>
      <c r="E1157" s="131" t="str">
        <f t="shared" si="62"/>
        <v>20130101LGUM_421</v>
      </c>
      <c r="F1157" s="132">
        <v>32.1</v>
      </c>
      <c r="G1157" s="132">
        <f t="shared" si="58"/>
        <v>0.01</v>
      </c>
      <c r="H1157" s="132">
        <f t="shared" si="59"/>
        <v>2.17</v>
      </c>
      <c r="I1157" s="132">
        <f t="shared" si="60"/>
        <v>29.92</v>
      </c>
      <c r="J1157" s="130" t="s">
        <v>616</v>
      </c>
    </row>
    <row r="1158" spans="1:10">
      <c r="A1158" s="138">
        <v>20130101</v>
      </c>
      <c r="B1158" s="131" t="s">
        <v>606</v>
      </c>
      <c r="C1158" s="131" t="str">
        <f t="shared" si="61"/>
        <v>20130101LS</v>
      </c>
      <c r="D1158" s="131" t="s">
        <v>339</v>
      </c>
      <c r="E1158" s="131" t="str">
        <f t="shared" si="62"/>
        <v>20130101LGUM_422</v>
      </c>
      <c r="F1158" s="132">
        <v>37.32</v>
      </c>
      <c r="G1158" s="132">
        <f t="shared" si="58"/>
        <v>0.02</v>
      </c>
      <c r="H1158" s="132">
        <f t="shared" si="59"/>
        <v>3.48</v>
      </c>
      <c r="I1158" s="132">
        <f t="shared" si="60"/>
        <v>33.82</v>
      </c>
      <c r="J1158" s="130" t="s">
        <v>617</v>
      </c>
    </row>
    <row r="1159" spans="1:10">
      <c r="A1159" s="138">
        <v>20130101</v>
      </c>
      <c r="B1159" s="131" t="s">
        <v>606</v>
      </c>
      <c r="C1159" s="131" t="str">
        <f t="shared" si="61"/>
        <v>20130101LS</v>
      </c>
      <c r="D1159" s="131" t="s">
        <v>340</v>
      </c>
      <c r="E1159" s="131" t="str">
        <f t="shared" si="62"/>
        <v>20130101LGUM_423</v>
      </c>
      <c r="F1159" s="132">
        <v>25.81</v>
      </c>
      <c r="G1159" s="132">
        <f t="shared" si="58"/>
        <v>0.01</v>
      </c>
      <c r="H1159" s="132">
        <f t="shared" si="59"/>
        <v>1.34</v>
      </c>
      <c r="I1159" s="132">
        <f t="shared" si="60"/>
        <v>24.459999999999997</v>
      </c>
      <c r="J1159" s="130" t="s">
        <v>618</v>
      </c>
    </row>
    <row r="1160" spans="1:10">
      <c r="A1160" s="138">
        <v>20130101</v>
      </c>
      <c r="B1160" s="131" t="s">
        <v>606</v>
      </c>
      <c r="C1160" s="131" t="str">
        <f t="shared" si="61"/>
        <v>20130101LS</v>
      </c>
      <c r="D1160" s="131" t="s">
        <v>341</v>
      </c>
      <c r="E1160" s="131" t="str">
        <f t="shared" si="62"/>
        <v>20130101LGUM_424</v>
      </c>
      <c r="F1160" s="132">
        <v>27.69</v>
      </c>
      <c r="G1160" s="132">
        <f t="shared" si="58"/>
        <v>0.01</v>
      </c>
      <c r="H1160" s="132">
        <f t="shared" si="59"/>
        <v>3.48</v>
      </c>
      <c r="I1160" s="132">
        <f t="shared" si="60"/>
        <v>24.2</v>
      </c>
      <c r="J1160" s="130" t="s">
        <v>619</v>
      </c>
    </row>
    <row r="1161" spans="1:10">
      <c r="A1161" s="138">
        <v>20130101</v>
      </c>
      <c r="B1161" s="131" t="s">
        <v>606</v>
      </c>
      <c r="C1161" s="131" t="str">
        <f t="shared" ref="C1161:C1192" si="63">A1161&amp;B1161</f>
        <v>20130101LS</v>
      </c>
      <c r="D1161" s="131" t="s">
        <v>342</v>
      </c>
      <c r="E1161" s="131" t="str">
        <f t="shared" ref="E1161:E1192" si="64">A1161&amp;D1161</f>
        <v>20130101LGUM_425</v>
      </c>
      <c r="F1161" s="132">
        <v>32.96</v>
      </c>
      <c r="G1161" s="132">
        <f t="shared" si="58"/>
        <v>0.02</v>
      </c>
      <c r="H1161" s="132">
        <f t="shared" si="59"/>
        <v>3.48</v>
      </c>
      <c r="I1161" s="132">
        <f t="shared" si="60"/>
        <v>29.459999999999997</v>
      </c>
      <c r="J1161" s="130" t="s">
        <v>620</v>
      </c>
    </row>
    <row r="1162" spans="1:10">
      <c r="A1162" s="138">
        <v>20130101</v>
      </c>
      <c r="B1162" s="131" t="s">
        <v>606</v>
      </c>
      <c r="C1162" s="131" t="str">
        <f t="shared" si="63"/>
        <v>20130101LS</v>
      </c>
      <c r="D1162" s="131" t="s">
        <v>343</v>
      </c>
      <c r="E1162" s="131" t="str">
        <f t="shared" si="64"/>
        <v>20130101LGUM_426</v>
      </c>
      <c r="F1162" s="132">
        <v>32.85</v>
      </c>
      <c r="G1162" s="132">
        <f t="shared" ref="G1162:G1203" si="65">VLOOKUP(D1162,$D$773:$I$1032,4,FALSE)</f>
        <v>0.03</v>
      </c>
      <c r="H1162" s="132">
        <f t="shared" ref="H1162:H1203" si="66">VLOOKUP($D1162,$D$773:$I$1032,5,FALSE)</f>
        <v>0.61</v>
      </c>
      <c r="I1162" s="132">
        <f t="shared" ref="I1162:I1203" si="67">F1162-G1162-H1162</f>
        <v>32.21</v>
      </c>
      <c r="J1162" s="137" t="s">
        <v>702</v>
      </c>
    </row>
    <row r="1163" spans="1:10">
      <c r="A1163" s="138">
        <v>20130101</v>
      </c>
      <c r="B1163" s="131" t="s">
        <v>606</v>
      </c>
      <c r="C1163" s="131" t="str">
        <f t="shared" si="63"/>
        <v>20130101LS</v>
      </c>
      <c r="D1163" s="131" t="s">
        <v>344</v>
      </c>
      <c r="E1163" s="131" t="str">
        <f t="shared" si="64"/>
        <v>20130101LGUM_427</v>
      </c>
      <c r="F1163" s="132">
        <v>34.83</v>
      </c>
      <c r="G1163" s="132">
        <f t="shared" si="65"/>
        <v>0.03</v>
      </c>
      <c r="H1163" s="132">
        <f t="shared" si="66"/>
        <v>0.61</v>
      </c>
      <c r="I1163" s="132">
        <f t="shared" si="67"/>
        <v>34.19</v>
      </c>
      <c r="J1163" s="137" t="s">
        <v>703</v>
      </c>
    </row>
    <row r="1164" spans="1:10">
      <c r="A1164" s="138">
        <v>20130101</v>
      </c>
      <c r="B1164" s="131" t="s">
        <v>606</v>
      </c>
      <c r="C1164" s="131" t="str">
        <f t="shared" si="63"/>
        <v>20130101LS</v>
      </c>
      <c r="D1164" s="131" t="s">
        <v>345</v>
      </c>
      <c r="E1164" s="131" t="str">
        <f t="shared" si="64"/>
        <v>20130101LGUM_428</v>
      </c>
      <c r="F1164" s="132">
        <v>33.65</v>
      </c>
      <c r="G1164" s="132">
        <f t="shared" si="65"/>
        <v>0.03</v>
      </c>
      <c r="H1164" s="132">
        <f t="shared" si="66"/>
        <v>0.86</v>
      </c>
      <c r="I1164" s="132">
        <f t="shared" si="67"/>
        <v>32.76</v>
      </c>
      <c r="J1164" s="130" t="s">
        <v>623</v>
      </c>
    </row>
    <row r="1165" spans="1:10">
      <c r="A1165" s="138">
        <v>20130101</v>
      </c>
      <c r="B1165" s="131" t="s">
        <v>606</v>
      </c>
      <c r="C1165" s="131" t="str">
        <f t="shared" si="63"/>
        <v>20130101LS</v>
      </c>
      <c r="D1165" s="131" t="s">
        <v>346</v>
      </c>
      <c r="E1165" s="131" t="str">
        <f t="shared" si="64"/>
        <v>20130101LGUM_429</v>
      </c>
      <c r="F1165" s="132">
        <v>35.630000000000003</v>
      </c>
      <c r="G1165" s="132">
        <f t="shared" si="65"/>
        <v>0.03</v>
      </c>
      <c r="H1165" s="132">
        <f t="shared" si="66"/>
        <v>0.86</v>
      </c>
      <c r="I1165" s="132">
        <f t="shared" si="67"/>
        <v>34.74</v>
      </c>
      <c r="J1165" s="130" t="s">
        <v>624</v>
      </c>
    </row>
    <row r="1166" spans="1:10">
      <c r="A1166" s="138">
        <v>20130101</v>
      </c>
      <c r="B1166" s="131" t="s">
        <v>606</v>
      </c>
      <c r="C1166" s="131" t="str">
        <f t="shared" si="63"/>
        <v>20130101LS</v>
      </c>
      <c r="D1166" s="131" t="s">
        <v>347</v>
      </c>
      <c r="E1166" s="131" t="str">
        <f t="shared" si="64"/>
        <v>20130101LGUM_430</v>
      </c>
      <c r="F1166" s="132">
        <v>31.89</v>
      </c>
      <c r="G1166" s="132">
        <f t="shared" si="65"/>
        <v>0.03</v>
      </c>
      <c r="H1166" s="132">
        <f t="shared" si="66"/>
        <v>0.61</v>
      </c>
      <c r="I1166" s="132">
        <f t="shared" si="67"/>
        <v>31.25</v>
      </c>
      <c r="J1166" s="137" t="s">
        <v>704</v>
      </c>
    </row>
    <row r="1167" spans="1:10">
      <c r="A1167" s="138">
        <v>20130101</v>
      </c>
      <c r="B1167" s="131" t="s">
        <v>606</v>
      </c>
      <c r="C1167" s="131" t="str">
        <f t="shared" si="63"/>
        <v>20130101LS</v>
      </c>
      <c r="D1167" s="131" t="s">
        <v>348</v>
      </c>
      <c r="E1167" s="131" t="str">
        <f t="shared" si="64"/>
        <v>20130101LGUM_431</v>
      </c>
      <c r="F1167" s="132">
        <v>32.56</v>
      </c>
      <c r="G1167" s="132">
        <f t="shared" si="65"/>
        <v>0.03</v>
      </c>
      <c r="H1167" s="132">
        <f t="shared" si="66"/>
        <v>0.61</v>
      </c>
      <c r="I1167" s="132">
        <f t="shared" si="67"/>
        <v>31.92</v>
      </c>
      <c r="J1167" s="137" t="s">
        <v>705</v>
      </c>
    </row>
    <row r="1168" spans="1:10">
      <c r="A1168" s="138">
        <v>20130101</v>
      </c>
      <c r="B1168" s="131" t="s">
        <v>606</v>
      </c>
      <c r="C1168" s="131" t="str">
        <f t="shared" si="63"/>
        <v>20130101LS</v>
      </c>
      <c r="D1168" s="131" t="s">
        <v>376</v>
      </c>
      <c r="E1168" s="131" t="str">
        <f t="shared" si="64"/>
        <v>20130101LGUM_432</v>
      </c>
      <c r="F1168" s="132">
        <v>33.89</v>
      </c>
      <c r="G1168" s="132">
        <f t="shared" si="65"/>
        <v>0.03</v>
      </c>
      <c r="H1168" s="132">
        <f t="shared" si="66"/>
        <v>0.86</v>
      </c>
      <c r="I1168" s="132">
        <f t="shared" si="67"/>
        <v>33</v>
      </c>
      <c r="J1168" s="130" t="s">
        <v>627</v>
      </c>
    </row>
    <row r="1169" spans="1:10">
      <c r="A1169" s="138">
        <v>20130101</v>
      </c>
      <c r="B1169" s="131" t="s">
        <v>606</v>
      </c>
      <c r="C1169" s="131" t="str">
        <f t="shared" si="63"/>
        <v>20130101LS</v>
      </c>
      <c r="D1169" s="131" t="s">
        <v>349</v>
      </c>
      <c r="E1169" s="131" t="str">
        <f t="shared" si="64"/>
        <v>20130101LGUM_433</v>
      </c>
      <c r="F1169" s="132">
        <v>34.549999999999997</v>
      </c>
      <c r="G1169" s="132">
        <f t="shared" si="65"/>
        <v>0.03</v>
      </c>
      <c r="H1169" s="132">
        <f t="shared" si="66"/>
        <v>0.86</v>
      </c>
      <c r="I1169" s="132">
        <f t="shared" si="67"/>
        <v>33.659999999999997</v>
      </c>
      <c r="J1169" s="130" t="s">
        <v>628</v>
      </c>
    </row>
    <row r="1170" spans="1:10">
      <c r="A1170" s="138">
        <v>20130101</v>
      </c>
      <c r="B1170" s="131" t="s">
        <v>606</v>
      </c>
      <c r="C1170" s="131" t="str">
        <f t="shared" si="63"/>
        <v>20130101LS</v>
      </c>
      <c r="D1170" s="131" t="s">
        <v>350</v>
      </c>
      <c r="E1170" s="131" t="str">
        <f t="shared" si="64"/>
        <v>20130101LGUM_434</v>
      </c>
      <c r="F1170" s="132">
        <v>12.13</v>
      </c>
      <c r="G1170" s="132">
        <f t="shared" si="65"/>
        <v>0.01</v>
      </c>
      <c r="H1170" s="132">
        <f t="shared" si="66"/>
        <v>0.92</v>
      </c>
      <c r="I1170" s="132">
        <f t="shared" si="67"/>
        <v>11.200000000000001</v>
      </c>
      <c r="J1170" s="130" t="s">
        <v>629</v>
      </c>
    </row>
    <row r="1171" spans="1:10">
      <c r="A1171" s="138">
        <v>20130101</v>
      </c>
      <c r="B1171" s="131" t="s">
        <v>606</v>
      </c>
      <c r="C1171" s="131" t="str">
        <f t="shared" si="63"/>
        <v>20130101LS</v>
      </c>
      <c r="D1171" s="131" t="s">
        <v>351</v>
      </c>
      <c r="E1171" s="131" t="str">
        <f t="shared" si="64"/>
        <v>20130101LGUM_435</v>
      </c>
      <c r="F1171" s="132">
        <v>13.73</v>
      </c>
      <c r="G1171" s="132">
        <f t="shared" si="65"/>
        <v>0.01</v>
      </c>
      <c r="H1171" s="132">
        <f t="shared" si="66"/>
        <v>1.55</v>
      </c>
      <c r="I1171" s="132">
        <f t="shared" si="67"/>
        <v>12.17</v>
      </c>
      <c r="J1171" s="130" t="s">
        <v>630</v>
      </c>
    </row>
    <row r="1172" spans="1:10">
      <c r="A1172" s="138">
        <v>20130101</v>
      </c>
      <c r="B1172" s="131" t="s">
        <v>606</v>
      </c>
      <c r="C1172" s="131" t="str">
        <f t="shared" si="63"/>
        <v>20130101LS</v>
      </c>
      <c r="D1172" s="131" t="s">
        <v>631</v>
      </c>
      <c r="E1172" s="131" t="str">
        <f t="shared" si="64"/>
        <v>20130101LGUM_436</v>
      </c>
      <c r="F1172" s="132"/>
      <c r="G1172" s="132">
        <f t="shared" si="65"/>
        <v>0.01</v>
      </c>
      <c r="H1172" s="132">
        <f t="shared" si="66"/>
        <v>3.41</v>
      </c>
      <c r="I1172" s="132">
        <f t="shared" si="67"/>
        <v>-3.42</v>
      </c>
      <c r="J1172" s="130" t="s">
        <v>632</v>
      </c>
    </row>
    <row r="1173" spans="1:10">
      <c r="A1173" s="138">
        <v>20130101</v>
      </c>
      <c r="B1173" s="131" t="s">
        <v>606</v>
      </c>
      <c r="C1173" s="131" t="str">
        <f t="shared" si="63"/>
        <v>20130101LS</v>
      </c>
      <c r="D1173" s="131" t="s">
        <v>352</v>
      </c>
      <c r="E1173" s="131" t="str">
        <f t="shared" si="64"/>
        <v>20130101LGUM_437</v>
      </c>
      <c r="F1173" s="132"/>
      <c r="G1173" s="132">
        <f t="shared" si="65"/>
        <v>0.01</v>
      </c>
      <c r="H1173" s="132">
        <f t="shared" si="66"/>
        <v>2.2000000000000002</v>
      </c>
      <c r="I1173" s="132">
        <f t="shared" si="67"/>
        <v>-2.21</v>
      </c>
      <c r="J1173" s="130" t="s">
        <v>633</v>
      </c>
    </row>
    <row r="1174" spans="1:10">
      <c r="A1174" s="138">
        <v>20130101</v>
      </c>
      <c r="B1174" s="131" t="s">
        <v>606</v>
      </c>
      <c r="C1174" s="131" t="str">
        <f t="shared" si="63"/>
        <v>20130101LS</v>
      </c>
      <c r="D1174" s="131" t="s">
        <v>353</v>
      </c>
      <c r="E1174" s="131" t="str">
        <f t="shared" si="64"/>
        <v>20130101LGUM_438</v>
      </c>
      <c r="F1174" s="132">
        <v>21.95</v>
      </c>
      <c r="G1174" s="132">
        <f t="shared" si="65"/>
        <v>0.01</v>
      </c>
      <c r="H1174" s="132">
        <f t="shared" si="66"/>
        <v>3.41</v>
      </c>
      <c r="I1174" s="132">
        <f t="shared" si="67"/>
        <v>18.529999999999998</v>
      </c>
      <c r="J1174" s="130" t="s">
        <v>634</v>
      </c>
    </row>
    <row r="1175" spans="1:10">
      <c r="A1175" s="138">
        <v>20130101</v>
      </c>
      <c r="B1175" s="131" t="s">
        <v>606</v>
      </c>
      <c r="C1175" s="131" t="str">
        <f t="shared" si="63"/>
        <v>20130101LS</v>
      </c>
      <c r="D1175" s="135" t="s">
        <v>729</v>
      </c>
      <c r="E1175" s="131" t="str">
        <f t="shared" si="64"/>
        <v>20130101LGUM_439</v>
      </c>
      <c r="F1175" s="132">
        <v>15.92</v>
      </c>
      <c r="G1175" s="132">
        <f t="shared" si="65"/>
        <v>0.01</v>
      </c>
      <c r="H1175" s="132">
        <f t="shared" si="66"/>
        <v>1.34</v>
      </c>
      <c r="I1175" s="132">
        <f t="shared" si="67"/>
        <v>14.57</v>
      </c>
      <c r="J1175" s="137" t="s">
        <v>700</v>
      </c>
    </row>
    <row r="1176" spans="1:10">
      <c r="A1176" s="138">
        <v>20130101</v>
      </c>
      <c r="B1176" s="131" t="s">
        <v>606</v>
      </c>
      <c r="C1176" s="131" t="str">
        <f t="shared" si="63"/>
        <v>20130101LS</v>
      </c>
      <c r="D1176" s="135" t="s">
        <v>730</v>
      </c>
      <c r="E1176" s="131" t="str">
        <f t="shared" si="64"/>
        <v>20130101LGUM_440</v>
      </c>
      <c r="F1176" s="132">
        <v>17.52</v>
      </c>
      <c r="G1176" s="132">
        <f t="shared" si="65"/>
        <v>0.01</v>
      </c>
      <c r="H1176" s="132">
        <f t="shared" si="66"/>
        <v>2.17</v>
      </c>
      <c r="I1176" s="132">
        <f t="shared" si="67"/>
        <v>15.339999999999998</v>
      </c>
      <c r="J1176" s="137" t="s">
        <v>701</v>
      </c>
    </row>
    <row r="1177" spans="1:10">
      <c r="A1177" s="138">
        <v>20130101</v>
      </c>
      <c r="B1177" s="131" t="s">
        <v>606</v>
      </c>
      <c r="C1177" s="131" t="str">
        <f t="shared" si="63"/>
        <v>20130101LS</v>
      </c>
      <c r="D1177" s="135" t="s">
        <v>378</v>
      </c>
      <c r="E1177" s="131" t="str">
        <f t="shared" si="64"/>
        <v>20130101LGUM_441</v>
      </c>
      <c r="F1177" s="132">
        <v>21.25</v>
      </c>
      <c r="G1177" s="132">
        <f t="shared" si="65"/>
        <v>0.02</v>
      </c>
      <c r="H1177" s="132">
        <f t="shared" si="66"/>
        <v>3.48</v>
      </c>
      <c r="I1177" s="132">
        <f t="shared" si="67"/>
        <v>17.75</v>
      </c>
      <c r="J1177" s="137" t="s">
        <v>742</v>
      </c>
    </row>
    <row r="1178" spans="1:10">
      <c r="A1178" s="138">
        <v>20130101</v>
      </c>
      <c r="B1178" s="131" t="s">
        <v>606</v>
      </c>
      <c r="C1178" s="131" t="str">
        <f t="shared" si="63"/>
        <v>20130101LS</v>
      </c>
      <c r="D1178" s="131" t="s">
        <v>354</v>
      </c>
      <c r="E1178" s="131" t="str">
        <f t="shared" si="64"/>
        <v>20130101LGUM_452</v>
      </c>
      <c r="F1178" s="132">
        <v>12.28</v>
      </c>
      <c r="G1178" s="132">
        <f t="shared" si="65"/>
        <v>0.01</v>
      </c>
      <c r="H1178" s="132">
        <f t="shared" si="66"/>
        <v>1.34</v>
      </c>
      <c r="I1178" s="132">
        <f t="shared" si="67"/>
        <v>10.93</v>
      </c>
      <c r="J1178" s="130" t="s">
        <v>635</v>
      </c>
    </row>
    <row r="1179" spans="1:10">
      <c r="A1179" s="138">
        <v>20130101</v>
      </c>
      <c r="B1179" s="131" t="s">
        <v>606</v>
      </c>
      <c r="C1179" s="131" t="str">
        <f t="shared" si="63"/>
        <v>20130101LS</v>
      </c>
      <c r="D1179" s="131" t="s">
        <v>355</v>
      </c>
      <c r="E1179" s="131" t="str">
        <f t="shared" si="64"/>
        <v>20130101LGUM_453</v>
      </c>
      <c r="F1179" s="132">
        <v>14.33</v>
      </c>
      <c r="G1179" s="132">
        <f t="shared" si="65"/>
        <v>0.01</v>
      </c>
      <c r="H1179" s="132">
        <f t="shared" si="66"/>
        <v>3.48</v>
      </c>
      <c r="I1179" s="132">
        <f t="shared" si="67"/>
        <v>10.84</v>
      </c>
      <c r="J1179" s="130" t="s">
        <v>636</v>
      </c>
    </row>
    <row r="1180" spans="1:10">
      <c r="A1180" s="138">
        <v>20130101</v>
      </c>
      <c r="B1180" s="131" t="s">
        <v>606</v>
      </c>
      <c r="C1180" s="131" t="str">
        <f t="shared" si="63"/>
        <v>20130101LS</v>
      </c>
      <c r="D1180" s="131" t="s">
        <v>356</v>
      </c>
      <c r="E1180" s="131" t="str">
        <f t="shared" si="64"/>
        <v>20130101LGUM_454</v>
      </c>
      <c r="F1180" s="132">
        <v>16.309999999999999</v>
      </c>
      <c r="G1180" s="132">
        <f t="shared" si="65"/>
        <v>0.02</v>
      </c>
      <c r="H1180" s="132">
        <f t="shared" si="66"/>
        <v>3.48</v>
      </c>
      <c r="I1180" s="132">
        <f t="shared" si="67"/>
        <v>12.809999999999999</v>
      </c>
      <c r="J1180" s="130" t="s">
        <v>637</v>
      </c>
    </row>
    <row r="1181" spans="1:10">
      <c r="A1181" s="138">
        <v>20130101</v>
      </c>
      <c r="B1181" s="131" t="s">
        <v>606</v>
      </c>
      <c r="C1181" s="131" t="str">
        <f t="shared" si="63"/>
        <v>20130101LS</v>
      </c>
      <c r="D1181" s="131" t="s">
        <v>357</v>
      </c>
      <c r="E1181" s="131" t="str">
        <f t="shared" si="64"/>
        <v>20130101LGUM_455</v>
      </c>
      <c r="F1181" s="132">
        <v>13.23</v>
      </c>
      <c r="G1181" s="132">
        <f t="shared" si="65"/>
        <v>0.01</v>
      </c>
      <c r="H1181" s="132">
        <f t="shared" si="66"/>
        <v>1.34</v>
      </c>
      <c r="I1181" s="132">
        <f t="shared" si="67"/>
        <v>11.88</v>
      </c>
      <c r="J1181" s="130" t="s">
        <v>638</v>
      </c>
    </row>
    <row r="1182" spans="1:10">
      <c r="A1182" s="138">
        <v>20130101</v>
      </c>
      <c r="B1182" s="131" t="s">
        <v>606</v>
      </c>
      <c r="C1182" s="131" t="str">
        <f t="shared" si="63"/>
        <v>20130101LS</v>
      </c>
      <c r="D1182" s="131" t="s">
        <v>358</v>
      </c>
      <c r="E1182" s="131" t="str">
        <f t="shared" si="64"/>
        <v>20130101LGUM_456</v>
      </c>
      <c r="F1182" s="132">
        <v>17.14</v>
      </c>
      <c r="G1182" s="132">
        <f t="shared" si="65"/>
        <v>0.02</v>
      </c>
      <c r="H1182" s="132">
        <f t="shared" si="66"/>
        <v>3.48</v>
      </c>
      <c r="I1182" s="132">
        <f t="shared" si="67"/>
        <v>13.64</v>
      </c>
      <c r="J1182" s="130" t="s">
        <v>639</v>
      </c>
    </row>
    <row r="1183" spans="1:10">
      <c r="A1183" s="138">
        <v>20130101</v>
      </c>
      <c r="B1183" s="131" t="s">
        <v>606</v>
      </c>
      <c r="C1183" s="131" t="str">
        <f t="shared" si="63"/>
        <v>20130101LS</v>
      </c>
      <c r="D1183" s="131" t="s">
        <v>359</v>
      </c>
      <c r="E1183" s="131" t="str">
        <f t="shared" si="64"/>
        <v>20130101LGUM_457</v>
      </c>
      <c r="F1183" s="132">
        <v>10.42</v>
      </c>
      <c r="G1183" s="132">
        <f t="shared" si="65"/>
        <v>0.03</v>
      </c>
      <c r="H1183" s="132">
        <f t="shared" si="66"/>
        <v>0.86</v>
      </c>
      <c r="I1183" s="132">
        <f t="shared" si="67"/>
        <v>9.5300000000000011</v>
      </c>
      <c r="J1183" s="130" t="s">
        <v>640</v>
      </c>
    </row>
    <row r="1184" spans="1:10">
      <c r="A1184" s="138">
        <v>20130101</v>
      </c>
      <c r="B1184" s="131" t="s">
        <v>606</v>
      </c>
      <c r="C1184" s="131" t="str">
        <f t="shared" si="63"/>
        <v>20130101LS</v>
      </c>
      <c r="D1184" s="131" t="s">
        <v>360</v>
      </c>
      <c r="E1184" s="131" t="str">
        <f t="shared" si="64"/>
        <v>20130101LGUM_458</v>
      </c>
      <c r="F1184" s="132">
        <v>10.62</v>
      </c>
      <c r="G1184" s="132">
        <f t="shared" si="65"/>
        <v>0.01</v>
      </c>
      <c r="H1184" s="132">
        <f t="shared" si="66"/>
        <v>3.41</v>
      </c>
      <c r="I1184" s="132">
        <f t="shared" si="67"/>
        <v>7.1999999999999993</v>
      </c>
      <c r="J1184" s="130" t="s">
        <v>641</v>
      </c>
    </row>
    <row r="1185" spans="1:10">
      <c r="A1185" s="138">
        <v>20130101</v>
      </c>
      <c r="B1185" s="131" t="s">
        <v>606</v>
      </c>
      <c r="C1185" s="131" t="str">
        <f t="shared" si="63"/>
        <v>20130101LS</v>
      </c>
      <c r="D1185" s="131" t="s">
        <v>361</v>
      </c>
      <c r="E1185" s="131" t="str">
        <f t="shared" si="64"/>
        <v>20130101LGUM_459</v>
      </c>
      <c r="F1185" s="132">
        <v>10.28</v>
      </c>
      <c r="G1185" s="132">
        <f t="shared" si="65"/>
        <v>0.01</v>
      </c>
      <c r="H1185" s="132">
        <f t="shared" si="66"/>
        <v>2.17</v>
      </c>
      <c r="I1185" s="132">
        <f t="shared" si="67"/>
        <v>8.1</v>
      </c>
      <c r="J1185" s="130" t="s">
        <v>642</v>
      </c>
    </row>
    <row r="1186" spans="1:10">
      <c r="A1186" s="138">
        <v>20130101</v>
      </c>
      <c r="B1186" s="131" t="s">
        <v>606</v>
      </c>
      <c r="C1186" s="131" t="str">
        <f t="shared" si="63"/>
        <v>20130101LS</v>
      </c>
      <c r="D1186" s="131" t="s">
        <v>362</v>
      </c>
      <c r="E1186" s="131" t="str">
        <f t="shared" si="64"/>
        <v>20130101LGUM_460</v>
      </c>
      <c r="F1186" s="132">
        <v>12.51</v>
      </c>
      <c r="G1186" s="132">
        <f t="shared" si="65"/>
        <v>0.01</v>
      </c>
      <c r="H1186" s="132">
        <f t="shared" si="66"/>
        <v>3.48</v>
      </c>
      <c r="I1186" s="132">
        <f t="shared" si="67"/>
        <v>9.02</v>
      </c>
      <c r="J1186" s="130" t="s">
        <v>643</v>
      </c>
    </row>
    <row r="1187" spans="1:10">
      <c r="A1187" s="138">
        <v>20130101</v>
      </c>
      <c r="B1187" s="131" t="s">
        <v>606</v>
      </c>
      <c r="C1187" s="131" t="str">
        <f t="shared" si="63"/>
        <v>20130101LS</v>
      </c>
      <c r="D1187" s="131" t="s">
        <v>363</v>
      </c>
      <c r="E1187" s="131" t="str">
        <f t="shared" si="64"/>
        <v>20130101LGUM_461</v>
      </c>
      <c r="F1187" s="132">
        <v>14.54</v>
      </c>
      <c r="G1187" s="132">
        <f t="shared" si="65"/>
        <v>0.01</v>
      </c>
      <c r="H1187" s="132">
        <f t="shared" si="66"/>
        <v>3.48</v>
      </c>
      <c r="I1187" s="132">
        <f t="shared" si="67"/>
        <v>11.049999999999999</v>
      </c>
      <c r="J1187" s="130" t="s">
        <v>644</v>
      </c>
    </row>
    <row r="1188" spans="1:10">
      <c r="A1188" s="138">
        <v>20130101</v>
      </c>
      <c r="B1188" s="131" t="s">
        <v>606</v>
      </c>
      <c r="C1188" s="131" t="str">
        <f t="shared" si="63"/>
        <v>20130101LS</v>
      </c>
      <c r="D1188" s="131" t="s">
        <v>364</v>
      </c>
      <c r="E1188" s="131" t="str">
        <f t="shared" si="64"/>
        <v>20130101LGUM_462</v>
      </c>
      <c r="F1188" s="132">
        <v>9.06</v>
      </c>
      <c r="G1188" s="132">
        <f t="shared" si="65"/>
        <v>0.01</v>
      </c>
      <c r="H1188" s="132">
        <f t="shared" si="66"/>
        <v>3.41</v>
      </c>
      <c r="I1188" s="132">
        <f t="shared" si="67"/>
        <v>5.6400000000000006</v>
      </c>
      <c r="J1188" s="130" t="s">
        <v>645</v>
      </c>
    </row>
    <row r="1189" spans="1:10">
      <c r="A1189" s="138">
        <v>20130101</v>
      </c>
      <c r="B1189" s="131" t="s">
        <v>606</v>
      </c>
      <c r="C1189" s="131" t="str">
        <f t="shared" si="63"/>
        <v>20130101LS</v>
      </c>
      <c r="D1189" s="131" t="s">
        <v>365</v>
      </c>
      <c r="E1189" s="131" t="str">
        <f t="shared" si="64"/>
        <v>20130101LGUM_470</v>
      </c>
      <c r="F1189" s="132">
        <v>12.27</v>
      </c>
      <c r="G1189" s="132">
        <f t="shared" si="65"/>
        <v>0.01</v>
      </c>
      <c r="H1189" s="132">
        <f t="shared" si="66"/>
        <v>1.1100000000000001</v>
      </c>
      <c r="I1189" s="132">
        <f t="shared" si="67"/>
        <v>11.15</v>
      </c>
      <c r="J1189" s="130" t="s">
        <v>646</v>
      </c>
    </row>
    <row r="1190" spans="1:10">
      <c r="A1190" s="138">
        <v>20130101</v>
      </c>
      <c r="B1190" s="131" t="s">
        <v>606</v>
      </c>
      <c r="C1190" s="131" t="str">
        <f t="shared" si="63"/>
        <v>20130101LS</v>
      </c>
      <c r="D1190" s="131" t="s">
        <v>366</v>
      </c>
      <c r="E1190" s="131" t="str">
        <f t="shared" si="64"/>
        <v>20130101LGUM_471</v>
      </c>
      <c r="F1190" s="132">
        <v>14.55</v>
      </c>
      <c r="G1190" s="132">
        <f t="shared" si="65"/>
        <v>0.01</v>
      </c>
      <c r="H1190" s="132">
        <f t="shared" si="66"/>
        <v>1.1100000000000001</v>
      </c>
      <c r="I1190" s="132">
        <f t="shared" si="67"/>
        <v>13.430000000000001</v>
      </c>
      <c r="J1190" s="130" t="s">
        <v>647</v>
      </c>
    </row>
    <row r="1191" spans="1:10">
      <c r="A1191" s="138">
        <v>20130101</v>
      </c>
      <c r="B1191" s="131" t="s">
        <v>606</v>
      </c>
      <c r="C1191" s="131" t="str">
        <f t="shared" si="63"/>
        <v>20130101LS</v>
      </c>
      <c r="D1191" s="131" t="s">
        <v>648</v>
      </c>
      <c r="E1191" s="131" t="str">
        <f t="shared" si="64"/>
        <v>20130101LGUM_472</v>
      </c>
      <c r="F1191" s="132"/>
      <c r="G1191" s="132">
        <f t="shared" si="65"/>
        <v>0.01</v>
      </c>
      <c r="H1191" s="132">
        <f t="shared" si="66"/>
        <v>1.1100000000000001</v>
      </c>
      <c r="I1191" s="132">
        <f t="shared" si="67"/>
        <v>-1.1200000000000001</v>
      </c>
      <c r="J1191" s="130" t="s">
        <v>649</v>
      </c>
    </row>
    <row r="1192" spans="1:10">
      <c r="A1192" s="138">
        <v>20130101</v>
      </c>
      <c r="B1192" s="131" t="s">
        <v>606</v>
      </c>
      <c r="C1192" s="131" t="str">
        <f t="shared" si="63"/>
        <v>20130101LS</v>
      </c>
      <c r="D1192" s="131" t="s">
        <v>367</v>
      </c>
      <c r="E1192" s="131" t="str">
        <f t="shared" si="64"/>
        <v>20130101LGUM_473</v>
      </c>
      <c r="F1192" s="132">
        <v>17.8</v>
      </c>
      <c r="G1192" s="132">
        <f t="shared" si="65"/>
        <v>0.02</v>
      </c>
      <c r="H1192" s="132">
        <f t="shared" si="66"/>
        <v>2.58</v>
      </c>
      <c r="I1192" s="132">
        <f t="shared" si="67"/>
        <v>15.200000000000001</v>
      </c>
      <c r="J1192" s="130" t="s">
        <v>650</v>
      </c>
    </row>
    <row r="1193" spans="1:10">
      <c r="A1193" s="138">
        <v>20130101</v>
      </c>
      <c r="B1193" s="131" t="s">
        <v>606</v>
      </c>
      <c r="C1193" s="131" t="str">
        <f t="shared" ref="C1193:C1395" si="68">A1193&amp;B1193</f>
        <v>20130101LS</v>
      </c>
      <c r="D1193" s="131" t="s">
        <v>368</v>
      </c>
      <c r="E1193" s="131" t="str">
        <f t="shared" ref="E1193:E1395" si="69">A1193&amp;D1193</f>
        <v>20130101LGUM_474</v>
      </c>
      <c r="F1193" s="132">
        <v>20.09</v>
      </c>
      <c r="G1193" s="132">
        <f t="shared" si="65"/>
        <v>0.02</v>
      </c>
      <c r="H1193" s="132">
        <f t="shared" si="66"/>
        <v>2.58</v>
      </c>
      <c r="I1193" s="132">
        <f t="shared" si="67"/>
        <v>17.490000000000002</v>
      </c>
      <c r="J1193" s="130" t="s">
        <v>651</v>
      </c>
    </row>
    <row r="1194" spans="1:10">
      <c r="A1194" s="138">
        <v>20130101</v>
      </c>
      <c r="B1194" s="131" t="s">
        <v>606</v>
      </c>
      <c r="C1194" s="131" t="str">
        <f t="shared" si="68"/>
        <v>20130101LS</v>
      </c>
      <c r="D1194" s="131" t="s">
        <v>369</v>
      </c>
      <c r="E1194" s="131" t="str">
        <f t="shared" si="69"/>
        <v>20130101LGUM_475</v>
      </c>
      <c r="F1194" s="132">
        <v>27.54</v>
      </c>
      <c r="G1194" s="132">
        <f t="shared" si="65"/>
        <v>0.02</v>
      </c>
      <c r="H1194" s="132">
        <f t="shared" si="66"/>
        <v>2.58</v>
      </c>
      <c r="I1194" s="132">
        <f t="shared" si="67"/>
        <v>24.939999999999998</v>
      </c>
      <c r="J1194" s="130" t="s">
        <v>652</v>
      </c>
    </row>
    <row r="1195" spans="1:10">
      <c r="A1195" s="138">
        <v>20130101</v>
      </c>
      <c r="B1195" s="131" t="s">
        <v>606</v>
      </c>
      <c r="C1195" s="131" t="str">
        <f t="shared" si="68"/>
        <v>20130101LS</v>
      </c>
      <c r="D1195" s="131" t="s">
        <v>370</v>
      </c>
      <c r="E1195" s="131" t="str">
        <f t="shared" si="69"/>
        <v>20130101LGUM_476</v>
      </c>
      <c r="F1195" s="132">
        <v>37.19</v>
      </c>
      <c r="G1195" s="132">
        <f t="shared" si="65"/>
        <v>0.04</v>
      </c>
      <c r="H1195" s="132">
        <f t="shared" si="66"/>
        <v>7.97</v>
      </c>
      <c r="I1195" s="132">
        <f t="shared" si="67"/>
        <v>29.18</v>
      </c>
      <c r="J1195" s="130" t="s">
        <v>653</v>
      </c>
    </row>
    <row r="1196" spans="1:10">
      <c r="A1196" s="138">
        <v>20130101</v>
      </c>
      <c r="B1196" s="131" t="s">
        <v>606</v>
      </c>
      <c r="C1196" s="131" t="str">
        <f t="shared" si="68"/>
        <v>20130101LS</v>
      </c>
      <c r="D1196" s="131" t="s">
        <v>371</v>
      </c>
      <c r="E1196" s="131" t="str">
        <f t="shared" si="69"/>
        <v>20130101LGUM_477</v>
      </c>
      <c r="F1196" s="132">
        <v>40.369999999999997</v>
      </c>
      <c r="G1196" s="132">
        <f t="shared" si="65"/>
        <v>0.04</v>
      </c>
      <c r="H1196" s="132">
        <f t="shared" si="66"/>
        <v>7.97</v>
      </c>
      <c r="I1196" s="132">
        <f t="shared" si="67"/>
        <v>32.36</v>
      </c>
      <c r="J1196" s="130" t="s">
        <v>654</v>
      </c>
    </row>
    <row r="1197" spans="1:10">
      <c r="A1197" s="138">
        <v>20130101</v>
      </c>
      <c r="B1197" s="131" t="s">
        <v>606</v>
      </c>
      <c r="C1197" s="131" t="str">
        <f t="shared" si="68"/>
        <v>20130101LS</v>
      </c>
      <c r="D1197" s="131" t="s">
        <v>655</v>
      </c>
      <c r="E1197" s="131" t="str">
        <f t="shared" si="69"/>
        <v>20130101LGUM_478</v>
      </c>
      <c r="F1197" s="132">
        <v>45.32</v>
      </c>
      <c r="G1197" s="132">
        <f t="shared" si="65"/>
        <v>0.04</v>
      </c>
      <c r="H1197" s="132">
        <f t="shared" si="66"/>
        <v>7.97</v>
      </c>
      <c r="I1197" s="132">
        <f t="shared" si="67"/>
        <v>37.31</v>
      </c>
      <c r="J1197" s="130" t="s">
        <v>656</v>
      </c>
    </row>
    <row r="1198" spans="1:10">
      <c r="A1198" s="138">
        <v>20130101</v>
      </c>
      <c r="B1198" s="131" t="s">
        <v>606</v>
      </c>
      <c r="C1198" s="131" t="str">
        <f t="shared" si="68"/>
        <v>20130101LS</v>
      </c>
      <c r="D1198" s="131" t="s">
        <v>657</v>
      </c>
      <c r="E1198" s="131" t="str">
        <f t="shared" si="69"/>
        <v>20130101LGUM_479</v>
      </c>
      <c r="F1198" s="132">
        <v>13.54</v>
      </c>
      <c r="G1198" s="132">
        <f t="shared" si="65"/>
        <v>0.01</v>
      </c>
      <c r="H1198" s="132">
        <f t="shared" si="66"/>
        <v>1.1100000000000001</v>
      </c>
      <c r="I1198" s="132">
        <f t="shared" si="67"/>
        <v>12.42</v>
      </c>
      <c r="J1198" s="130" t="s">
        <v>658</v>
      </c>
    </row>
    <row r="1199" spans="1:10">
      <c r="A1199" s="138">
        <v>20130101</v>
      </c>
      <c r="B1199" s="131" t="s">
        <v>606</v>
      </c>
      <c r="C1199" s="131" t="str">
        <f t="shared" si="68"/>
        <v>20130101LS</v>
      </c>
      <c r="D1199" s="131" t="s">
        <v>659</v>
      </c>
      <c r="E1199" s="131" t="str">
        <f t="shared" si="69"/>
        <v>20130101LGUM_480</v>
      </c>
      <c r="F1199" s="132">
        <v>23.31</v>
      </c>
      <c r="G1199" s="132">
        <f t="shared" si="65"/>
        <v>0.01</v>
      </c>
      <c r="H1199" s="132">
        <f t="shared" si="66"/>
        <v>1.1100000000000001</v>
      </c>
      <c r="I1199" s="132">
        <f t="shared" si="67"/>
        <v>22.189999999999998</v>
      </c>
      <c r="J1199" s="130" t="s">
        <v>660</v>
      </c>
    </row>
    <row r="1200" spans="1:10">
      <c r="A1200" s="138">
        <v>20130101</v>
      </c>
      <c r="B1200" s="131" t="s">
        <v>606</v>
      </c>
      <c r="C1200" s="131" t="str">
        <f t="shared" si="68"/>
        <v>20130101LS</v>
      </c>
      <c r="D1200" s="131" t="s">
        <v>399</v>
      </c>
      <c r="E1200" s="131" t="str">
        <f t="shared" si="69"/>
        <v>20130101LGUM_481</v>
      </c>
      <c r="F1200" s="132">
        <v>19.579999999999998</v>
      </c>
      <c r="G1200" s="132">
        <f t="shared" si="65"/>
        <v>0.02</v>
      </c>
      <c r="H1200" s="132">
        <f t="shared" si="66"/>
        <v>2.58</v>
      </c>
      <c r="I1200" s="132">
        <f t="shared" si="67"/>
        <v>16.979999999999997</v>
      </c>
      <c r="J1200" s="130" t="s">
        <v>661</v>
      </c>
    </row>
    <row r="1201" spans="1:10">
      <c r="A1201" s="138">
        <v>20130101</v>
      </c>
      <c r="B1201" s="131" t="s">
        <v>606</v>
      </c>
      <c r="C1201" s="131" t="str">
        <f t="shared" si="68"/>
        <v>20130101LS</v>
      </c>
      <c r="D1201" s="131" t="s">
        <v>372</v>
      </c>
      <c r="E1201" s="131" t="str">
        <f t="shared" si="69"/>
        <v>20130101LGUM_482</v>
      </c>
      <c r="F1201" s="132">
        <v>29.33</v>
      </c>
      <c r="G1201" s="132">
        <f t="shared" si="65"/>
        <v>0.02</v>
      </c>
      <c r="H1201" s="132">
        <f t="shared" si="66"/>
        <v>2.58</v>
      </c>
      <c r="I1201" s="132">
        <f t="shared" si="67"/>
        <v>26.729999999999997</v>
      </c>
      <c r="J1201" s="130" t="s">
        <v>662</v>
      </c>
    </row>
    <row r="1202" spans="1:10">
      <c r="A1202" s="138">
        <v>20130101</v>
      </c>
      <c r="B1202" s="131" t="s">
        <v>606</v>
      </c>
      <c r="C1202" s="131" t="str">
        <f t="shared" si="68"/>
        <v>20130101LS</v>
      </c>
      <c r="D1202" s="131" t="s">
        <v>373</v>
      </c>
      <c r="E1202" s="131" t="str">
        <f t="shared" si="69"/>
        <v>20130101LGUM_483</v>
      </c>
      <c r="F1202" s="132">
        <v>40.15</v>
      </c>
      <c r="G1202" s="132">
        <f t="shared" si="65"/>
        <v>0.04</v>
      </c>
      <c r="H1202" s="132">
        <f t="shared" si="66"/>
        <v>7.97</v>
      </c>
      <c r="I1202" s="132">
        <f t="shared" si="67"/>
        <v>32.14</v>
      </c>
      <c r="J1202" s="130" t="s">
        <v>663</v>
      </c>
    </row>
    <row r="1203" spans="1:10">
      <c r="A1203" s="138">
        <v>20130101</v>
      </c>
      <c r="B1203" s="131" t="s">
        <v>606</v>
      </c>
      <c r="C1203" s="131" t="str">
        <f t="shared" si="68"/>
        <v>20130101LS</v>
      </c>
      <c r="D1203" s="131" t="s">
        <v>374</v>
      </c>
      <c r="E1203" s="131" t="str">
        <f t="shared" si="69"/>
        <v>20130101LGUM_484</v>
      </c>
      <c r="F1203" s="132">
        <v>49.9</v>
      </c>
      <c r="G1203" s="132">
        <f t="shared" si="65"/>
        <v>0.04</v>
      </c>
      <c r="H1203" s="132">
        <f t="shared" si="66"/>
        <v>7.97</v>
      </c>
      <c r="I1203" s="132">
        <f t="shared" si="67"/>
        <v>41.89</v>
      </c>
      <c r="J1203" s="130" t="s">
        <v>664</v>
      </c>
    </row>
    <row r="1204" spans="1:10">
      <c r="A1204" s="220">
        <v>20130701</v>
      </c>
      <c r="B1204" s="213" t="s">
        <v>498</v>
      </c>
      <c r="C1204" s="213" t="str">
        <f t="shared" ref="C1204:C1348" si="70">A1204&amp;B1204</f>
        <v>20130701RLS</v>
      </c>
      <c r="D1204" s="213" t="s">
        <v>165</v>
      </c>
      <c r="E1204" s="213" t="str">
        <f t="shared" ref="E1204:E1348" si="71">A1204&amp;D1204</f>
        <v>20130701LGUM_002</v>
      </c>
      <c r="F1204" s="214"/>
      <c r="G1204" s="214"/>
      <c r="H1204" s="214"/>
      <c r="I1204" s="214"/>
      <c r="J1204" s="221"/>
    </row>
    <row r="1205" spans="1:10">
      <c r="A1205" s="220">
        <v>20130701</v>
      </c>
      <c r="B1205" s="213" t="s">
        <v>498</v>
      </c>
      <c r="C1205" s="213" t="str">
        <f t="shared" si="70"/>
        <v>20130701RLS</v>
      </c>
      <c r="D1205" s="213" t="s">
        <v>214</v>
      </c>
      <c r="E1205" s="213" t="str">
        <f t="shared" si="71"/>
        <v>20130701LGUM_152</v>
      </c>
      <c r="F1205" s="214"/>
      <c r="G1205" s="214"/>
      <c r="H1205" s="214"/>
      <c r="I1205" s="214"/>
      <c r="J1205" s="221"/>
    </row>
    <row r="1206" spans="1:10">
      <c r="A1206" s="220">
        <v>20130701</v>
      </c>
      <c r="B1206" s="213" t="s">
        <v>498</v>
      </c>
      <c r="C1206" s="213" t="str">
        <f t="shared" si="70"/>
        <v>20130701RLS</v>
      </c>
      <c r="D1206" s="213" t="s">
        <v>224</v>
      </c>
      <c r="E1206" s="213" t="str">
        <f t="shared" si="71"/>
        <v>20130701LGUM_163</v>
      </c>
      <c r="F1206" s="214"/>
      <c r="G1206" s="214"/>
      <c r="H1206" s="214"/>
      <c r="I1206" s="214"/>
      <c r="J1206" s="221"/>
    </row>
    <row r="1207" spans="1:10">
      <c r="A1207" s="220">
        <v>20130701</v>
      </c>
      <c r="B1207" s="213" t="s">
        <v>498</v>
      </c>
      <c r="C1207" s="213" t="str">
        <f t="shared" si="70"/>
        <v>20130701RLS</v>
      </c>
      <c r="D1207" s="217" t="s">
        <v>379</v>
      </c>
      <c r="E1207" s="213" t="str">
        <f t="shared" si="71"/>
        <v>20130701LGUM_201</v>
      </c>
      <c r="F1207" s="214">
        <v>7.99</v>
      </c>
      <c r="G1207" s="214">
        <f>VLOOKUP(D1207,$D$1033:$I$1203,4,FALSE)</f>
        <v>0.01</v>
      </c>
      <c r="H1207" s="214">
        <f>F1207-G1207-I1207</f>
        <v>1.0899999999999999</v>
      </c>
      <c r="I1207" s="214">
        <v>6.8900000000000006</v>
      </c>
      <c r="J1207" s="220" t="s">
        <v>1086</v>
      </c>
    </row>
    <row r="1208" spans="1:10">
      <c r="A1208" s="220">
        <v>20130701</v>
      </c>
      <c r="B1208" s="213" t="s">
        <v>498</v>
      </c>
      <c r="C1208" s="213" t="str">
        <f t="shared" si="70"/>
        <v>20130701RLS</v>
      </c>
      <c r="D1208" s="213" t="s">
        <v>239</v>
      </c>
      <c r="E1208" s="213" t="str">
        <f t="shared" si="71"/>
        <v>20130701LGUM_202</v>
      </c>
      <c r="F1208" s="214"/>
      <c r="G1208" s="214"/>
      <c r="H1208" s="214"/>
      <c r="I1208" s="214"/>
      <c r="J1208" s="221"/>
    </row>
    <row r="1209" spans="1:10">
      <c r="A1209" s="220">
        <v>20130701</v>
      </c>
      <c r="B1209" s="213" t="s">
        <v>498</v>
      </c>
      <c r="C1209" s="213" t="str">
        <f t="shared" si="70"/>
        <v>20130701RLS</v>
      </c>
      <c r="D1209" s="213" t="s">
        <v>241</v>
      </c>
      <c r="E1209" s="213" t="str">
        <f t="shared" si="71"/>
        <v>20130701LGUM_203</v>
      </c>
      <c r="F1209" s="214">
        <v>10.79</v>
      </c>
      <c r="G1209" s="214">
        <f t="shared" ref="G1209:G1210" si="72">VLOOKUP(D1209,$D$1033:$I$1203,4,FALSE)</f>
        <v>0.01</v>
      </c>
      <c r="H1209" s="214">
        <f>F1209-G1209-I1209</f>
        <v>2.7099999999999991</v>
      </c>
      <c r="I1209" s="214">
        <v>8.07</v>
      </c>
      <c r="J1209" s="220" t="s">
        <v>1081</v>
      </c>
    </row>
    <row r="1210" spans="1:10">
      <c r="A1210" s="220">
        <v>20130701</v>
      </c>
      <c r="B1210" s="213" t="s">
        <v>498</v>
      </c>
      <c r="C1210" s="213" t="str">
        <f t="shared" si="70"/>
        <v>20130701RLS</v>
      </c>
      <c r="D1210" s="213" t="s">
        <v>242</v>
      </c>
      <c r="E1210" s="213" t="str">
        <f t="shared" si="71"/>
        <v>20130701LGUM_204</v>
      </c>
      <c r="F1210" s="214">
        <v>13.3</v>
      </c>
      <c r="G1210" s="214">
        <f t="shared" si="72"/>
        <v>0.01</v>
      </c>
      <c r="H1210" s="214">
        <f>F1210-G1210-I1210</f>
        <v>4.2000000000000011</v>
      </c>
      <c r="I1210" s="214">
        <v>9.09</v>
      </c>
      <c r="J1210" s="220" t="s">
        <v>1082</v>
      </c>
    </row>
    <row r="1211" spans="1:10">
      <c r="A1211" s="220">
        <v>20130701</v>
      </c>
      <c r="B1211" s="213" t="s">
        <v>498</v>
      </c>
      <c r="C1211" s="213" t="str">
        <f t="shared" si="70"/>
        <v>20130701RLS</v>
      </c>
      <c r="D1211" s="213" t="s">
        <v>380</v>
      </c>
      <c r="E1211" s="213" t="str">
        <f t="shared" si="71"/>
        <v>20130701LGUM_205</v>
      </c>
      <c r="F1211" s="214"/>
      <c r="G1211" s="214"/>
      <c r="H1211" s="214"/>
      <c r="I1211" s="214"/>
      <c r="J1211" s="221"/>
    </row>
    <row r="1212" spans="1:10">
      <c r="A1212" s="220">
        <v>20130701</v>
      </c>
      <c r="B1212" s="213" t="s">
        <v>498</v>
      </c>
      <c r="C1212" s="213" t="str">
        <f t="shared" si="70"/>
        <v>20130701RLS</v>
      </c>
      <c r="D1212" s="213" t="s">
        <v>243</v>
      </c>
      <c r="E1212" s="213" t="str">
        <f t="shared" si="71"/>
        <v>20130701LGUM_206</v>
      </c>
      <c r="F1212" s="214">
        <v>12.3</v>
      </c>
      <c r="G1212" s="214">
        <f t="shared" ref="G1212:G1216" si="73">VLOOKUP(D1212,$D$1033:$I$1203,4,FALSE)</f>
        <v>0.01</v>
      </c>
      <c r="H1212" s="214">
        <f>F1212-G1212-I1212</f>
        <v>1.0899999999999999</v>
      </c>
      <c r="I1212" s="214">
        <v>11.200000000000001</v>
      </c>
      <c r="J1212" s="212" t="s">
        <v>1113</v>
      </c>
    </row>
    <row r="1213" spans="1:10">
      <c r="A1213" s="220">
        <v>20130701</v>
      </c>
      <c r="B1213" s="213" t="s">
        <v>498</v>
      </c>
      <c r="C1213" s="213" t="str">
        <f t="shared" si="70"/>
        <v>20130701RLS</v>
      </c>
      <c r="D1213" s="213" t="s">
        <v>244</v>
      </c>
      <c r="E1213" s="213" t="str">
        <f t="shared" si="71"/>
        <v>20130701LGUM_207</v>
      </c>
      <c r="F1213" s="214">
        <v>15.33</v>
      </c>
      <c r="G1213" s="214">
        <f t="shared" si="73"/>
        <v>0.01</v>
      </c>
      <c r="H1213" s="214">
        <f>F1213-G1213-I1213</f>
        <v>4.2000000000000011</v>
      </c>
      <c r="I1213" s="214">
        <v>11.12</v>
      </c>
      <c r="J1213" s="212" t="s">
        <v>1084</v>
      </c>
    </row>
    <row r="1214" spans="1:10">
      <c r="A1214" s="220">
        <v>20130701</v>
      </c>
      <c r="B1214" s="213" t="s">
        <v>498</v>
      </c>
      <c r="C1214" s="213" t="str">
        <f t="shared" si="70"/>
        <v>20130701RLS</v>
      </c>
      <c r="D1214" s="213" t="s">
        <v>245</v>
      </c>
      <c r="E1214" s="213" t="str">
        <f t="shared" si="71"/>
        <v>20130701LGUM_208</v>
      </c>
      <c r="F1214" s="214">
        <v>14.09</v>
      </c>
      <c r="G1214" s="214">
        <f t="shared" si="73"/>
        <v>0.01</v>
      </c>
      <c r="H1214" s="214">
        <f>F1214-G1214-I1214</f>
        <v>1.9100000000000001</v>
      </c>
      <c r="I1214" s="214">
        <v>12.17</v>
      </c>
      <c r="J1214" s="220" t="s">
        <v>1114</v>
      </c>
    </row>
    <row r="1215" spans="1:10">
      <c r="A1215" s="220">
        <v>20130701</v>
      </c>
      <c r="B1215" s="213" t="s">
        <v>498</v>
      </c>
      <c r="C1215" s="213" t="str">
        <f t="shared" si="70"/>
        <v>20130701RLS</v>
      </c>
      <c r="D1215" s="213" t="s">
        <v>381</v>
      </c>
      <c r="E1215" s="213" t="str">
        <f t="shared" si="71"/>
        <v>20130701LGUM_209</v>
      </c>
      <c r="F1215" s="214">
        <v>27.3</v>
      </c>
      <c r="G1215" s="214">
        <f t="shared" si="73"/>
        <v>0.02</v>
      </c>
      <c r="H1215" s="214">
        <f>F1215-G1215-I1215</f>
        <v>10.170000000000002</v>
      </c>
      <c r="I1215" s="214">
        <v>17.11</v>
      </c>
      <c r="J1215" s="220" t="s">
        <v>1083</v>
      </c>
    </row>
    <row r="1216" spans="1:10">
      <c r="A1216" s="220">
        <v>20130701</v>
      </c>
      <c r="B1216" s="213" t="s">
        <v>498</v>
      </c>
      <c r="C1216" s="213" t="str">
        <f t="shared" si="70"/>
        <v>20130701RLS</v>
      </c>
      <c r="D1216" s="213" t="s">
        <v>246</v>
      </c>
      <c r="E1216" s="213" t="str">
        <f t="shared" si="71"/>
        <v>20130701LGUM_210</v>
      </c>
      <c r="F1216" s="214">
        <v>28.5</v>
      </c>
      <c r="G1216" s="214">
        <f t="shared" si="73"/>
        <v>0.02</v>
      </c>
      <c r="H1216" s="214">
        <f>F1216-G1216-I1216</f>
        <v>10.170000000000002</v>
      </c>
      <c r="I1216" s="214">
        <v>18.309999999999999</v>
      </c>
      <c r="J1216" s="220" t="s">
        <v>1085</v>
      </c>
    </row>
    <row r="1217" spans="1:10">
      <c r="A1217" s="220">
        <v>20130701</v>
      </c>
      <c r="B1217" s="213" t="s">
        <v>498</v>
      </c>
      <c r="C1217" s="213" t="str">
        <f t="shared" si="70"/>
        <v>20130701RLS</v>
      </c>
      <c r="D1217" s="213" t="s">
        <v>247</v>
      </c>
      <c r="E1217" s="213" t="str">
        <f t="shared" si="71"/>
        <v>20130701LGUM_211</v>
      </c>
      <c r="F1217" s="214"/>
      <c r="G1217" s="214"/>
      <c r="H1217" s="214"/>
      <c r="I1217" s="214"/>
      <c r="J1217" s="221"/>
    </row>
    <row r="1218" spans="1:10">
      <c r="A1218" s="220">
        <v>20130701</v>
      </c>
      <c r="B1218" s="213" t="s">
        <v>498</v>
      </c>
      <c r="C1218" s="213" t="str">
        <f t="shared" si="70"/>
        <v>20130701RLS</v>
      </c>
      <c r="D1218" s="213" t="s">
        <v>248</v>
      </c>
      <c r="E1218" s="213" t="str">
        <f t="shared" si="71"/>
        <v>20130701LGUM_212</v>
      </c>
      <c r="F1218" s="214"/>
      <c r="G1218" s="214"/>
      <c r="H1218" s="214"/>
      <c r="I1218" s="214"/>
      <c r="J1218" s="221"/>
    </row>
    <row r="1219" spans="1:10">
      <c r="A1219" s="220">
        <v>20130701</v>
      </c>
      <c r="B1219" s="213" t="s">
        <v>498</v>
      </c>
      <c r="C1219" s="213" t="str">
        <f t="shared" si="70"/>
        <v>20130701RLS</v>
      </c>
      <c r="D1219" s="213" t="s">
        <v>382</v>
      </c>
      <c r="E1219" s="213" t="str">
        <f t="shared" si="71"/>
        <v>20130701LGUM_213</v>
      </c>
      <c r="F1219" s="214"/>
      <c r="G1219" s="214"/>
      <c r="H1219" s="214"/>
      <c r="I1219" s="214"/>
      <c r="J1219" s="221"/>
    </row>
    <row r="1220" spans="1:10">
      <c r="A1220" s="220">
        <v>20130701</v>
      </c>
      <c r="B1220" s="213" t="s">
        <v>498</v>
      </c>
      <c r="C1220" s="213" t="str">
        <f t="shared" si="70"/>
        <v>20130701RLS</v>
      </c>
      <c r="D1220" s="213" t="s">
        <v>384</v>
      </c>
      <c r="E1220" s="213" t="str">
        <f t="shared" si="71"/>
        <v>20130701LGUM_216</v>
      </c>
      <c r="F1220" s="214"/>
      <c r="G1220" s="214"/>
      <c r="H1220" s="214"/>
      <c r="I1220" s="214"/>
      <c r="J1220" s="221"/>
    </row>
    <row r="1221" spans="1:10">
      <c r="A1221" s="220">
        <v>20130701</v>
      </c>
      <c r="B1221" s="213" t="s">
        <v>498</v>
      </c>
      <c r="C1221" s="213" t="str">
        <f t="shared" si="70"/>
        <v>20130701RLS</v>
      </c>
      <c r="D1221" s="213" t="s">
        <v>385</v>
      </c>
      <c r="E1221" s="213" t="str">
        <f t="shared" si="71"/>
        <v>20130701LGUM_217</v>
      </c>
      <c r="F1221" s="214"/>
      <c r="G1221" s="214"/>
      <c r="H1221" s="214"/>
      <c r="I1221" s="214"/>
      <c r="J1221" s="221"/>
    </row>
    <row r="1222" spans="1:10">
      <c r="A1222" s="220">
        <v>20130701</v>
      </c>
      <c r="B1222" s="213" t="s">
        <v>498</v>
      </c>
      <c r="C1222" s="213" t="str">
        <f t="shared" si="70"/>
        <v>20130701RLS</v>
      </c>
      <c r="D1222" s="213" t="s">
        <v>250</v>
      </c>
      <c r="E1222" s="213" t="str">
        <f t="shared" si="71"/>
        <v>20130701LGUM_222</v>
      </c>
      <c r="F1222" s="214"/>
      <c r="G1222" s="214"/>
      <c r="H1222" s="214"/>
      <c r="I1222" s="214"/>
      <c r="J1222" s="221"/>
    </row>
    <row r="1223" spans="1:10">
      <c r="A1223" s="220">
        <v>20130701</v>
      </c>
      <c r="B1223" s="213" t="s">
        <v>498</v>
      </c>
      <c r="C1223" s="213" t="str">
        <f t="shared" si="70"/>
        <v>20130701RLS</v>
      </c>
      <c r="D1223" s="213" t="s">
        <v>386</v>
      </c>
      <c r="E1223" s="213" t="str">
        <f t="shared" si="71"/>
        <v>20130701LGUM_223</v>
      </c>
      <c r="F1223" s="214"/>
      <c r="G1223" s="214"/>
      <c r="H1223" s="214"/>
      <c r="I1223" s="214"/>
      <c r="J1223" s="221"/>
    </row>
    <row r="1224" spans="1:10">
      <c r="A1224" s="220">
        <v>20130701</v>
      </c>
      <c r="B1224" s="213" t="s">
        <v>498</v>
      </c>
      <c r="C1224" s="213" t="str">
        <f t="shared" si="70"/>
        <v>20130701RLS</v>
      </c>
      <c r="D1224" s="213" t="s">
        <v>251</v>
      </c>
      <c r="E1224" s="213" t="str">
        <f t="shared" si="71"/>
        <v>20130701LGUM_224</v>
      </c>
      <c r="F1224" s="214"/>
      <c r="G1224" s="214"/>
      <c r="H1224" s="214"/>
      <c r="I1224" s="214"/>
      <c r="J1224" s="221"/>
    </row>
    <row r="1225" spans="1:10">
      <c r="A1225" s="220">
        <v>20130701</v>
      </c>
      <c r="B1225" s="213" t="s">
        <v>498</v>
      </c>
      <c r="C1225" s="213" t="str">
        <f t="shared" si="70"/>
        <v>20130701RLS</v>
      </c>
      <c r="D1225" s="213" t="s">
        <v>523</v>
      </c>
      <c r="E1225" s="213" t="str">
        <f t="shared" si="71"/>
        <v>20130701LGUM_225</v>
      </c>
      <c r="F1225" s="214"/>
      <c r="G1225" s="214"/>
      <c r="H1225" s="214"/>
      <c r="I1225" s="214"/>
      <c r="J1225" s="221"/>
    </row>
    <row r="1226" spans="1:10">
      <c r="A1226" s="220">
        <v>20130701</v>
      </c>
      <c r="B1226" s="213" t="s">
        <v>498</v>
      </c>
      <c r="C1226" s="213" t="str">
        <f t="shared" si="70"/>
        <v>20130701RLS</v>
      </c>
      <c r="D1226" s="213" t="s">
        <v>527</v>
      </c>
      <c r="E1226" s="213" t="str">
        <f t="shared" si="71"/>
        <v>20130701LGUM_226</v>
      </c>
      <c r="F1226" s="214"/>
      <c r="G1226" s="214"/>
      <c r="H1226" s="214"/>
      <c r="I1226" s="214"/>
      <c r="J1226" s="221"/>
    </row>
    <row r="1227" spans="1:10">
      <c r="A1227" s="220">
        <v>20130701</v>
      </c>
      <c r="B1227" s="213" t="s">
        <v>498</v>
      </c>
      <c r="C1227" s="213" t="str">
        <f t="shared" si="70"/>
        <v>20130701RLS</v>
      </c>
      <c r="D1227" s="213" t="s">
        <v>528</v>
      </c>
      <c r="E1227" s="213" t="str">
        <f t="shared" si="71"/>
        <v>20130701LGUM_251</v>
      </c>
      <c r="F1227" s="214"/>
      <c r="G1227" s="214"/>
      <c r="H1227" s="214"/>
      <c r="I1227" s="214"/>
      <c r="J1227" s="221"/>
    </row>
    <row r="1228" spans="1:10">
      <c r="A1228" s="220">
        <v>20130701</v>
      </c>
      <c r="B1228" s="213" t="s">
        <v>498</v>
      </c>
      <c r="C1228" s="213" t="str">
        <f t="shared" si="70"/>
        <v>20130701RLS</v>
      </c>
      <c r="D1228" s="213" t="s">
        <v>252</v>
      </c>
      <c r="E1228" s="213" t="str">
        <f t="shared" si="71"/>
        <v>20130701LGUM_252</v>
      </c>
      <c r="F1228" s="214">
        <v>9.42</v>
      </c>
      <c r="G1228" s="214">
        <f>VLOOKUP(D1228,$D$1033:$I$1203,4,FALSE)</f>
        <v>0.01</v>
      </c>
      <c r="H1228" s="214">
        <f>F1228-G1228-I1228</f>
        <v>1.9099999999999993</v>
      </c>
      <c r="I1228" s="214">
        <v>7.5000000000000009</v>
      </c>
      <c r="J1228" s="212" t="s">
        <v>1079</v>
      </c>
    </row>
    <row r="1229" spans="1:10">
      <c r="A1229" s="220">
        <v>20130701</v>
      </c>
      <c r="B1229" s="213" t="s">
        <v>498</v>
      </c>
      <c r="C1229" s="213" t="str">
        <f t="shared" si="70"/>
        <v>20130701RLS</v>
      </c>
      <c r="D1229" s="213" t="s">
        <v>253</v>
      </c>
      <c r="E1229" s="213" t="str">
        <f t="shared" si="71"/>
        <v>20130701LGUM_253</v>
      </c>
      <c r="F1229" s="214"/>
      <c r="G1229" s="214"/>
      <c r="H1229" s="214"/>
      <c r="I1229" s="214"/>
      <c r="J1229" s="221"/>
    </row>
    <row r="1230" spans="1:10">
      <c r="A1230" s="220">
        <v>20130701</v>
      </c>
      <c r="B1230" s="213" t="s">
        <v>498</v>
      </c>
      <c r="C1230" s="213" t="str">
        <f t="shared" si="70"/>
        <v>20130701RLS</v>
      </c>
      <c r="D1230" s="213" t="s">
        <v>387</v>
      </c>
      <c r="E1230" s="213" t="str">
        <f t="shared" si="71"/>
        <v>20130701LGUM_254</v>
      </c>
      <c r="F1230" s="214"/>
      <c r="G1230" s="214"/>
      <c r="H1230" s="214"/>
      <c r="I1230" s="214"/>
      <c r="J1230" s="221"/>
    </row>
    <row r="1231" spans="1:10">
      <c r="A1231" s="220">
        <v>20130701</v>
      </c>
      <c r="B1231" s="213" t="s">
        <v>498</v>
      </c>
      <c r="C1231" s="213" t="str">
        <f t="shared" si="70"/>
        <v>20130701RLS</v>
      </c>
      <c r="D1231" s="213" t="s">
        <v>254</v>
      </c>
      <c r="E1231" s="213" t="str">
        <f t="shared" si="71"/>
        <v>20130701LGUM_255</v>
      </c>
      <c r="F1231" s="214"/>
      <c r="G1231" s="214"/>
      <c r="H1231" s="214"/>
      <c r="I1231" s="214"/>
      <c r="J1231" s="221"/>
    </row>
    <row r="1232" spans="1:10">
      <c r="A1232" s="220">
        <v>20130701</v>
      </c>
      <c r="B1232" s="213" t="s">
        <v>498</v>
      </c>
      <c r="C1232" s="213" t="str">
        <f t="shared" si="70"/>
        <v>20130701RLS</v>
      </c>
      <c r="D1232" s="213" t="s">
        <v>537</v>
      </c>
      <c r="E1232" s="213" t="str">
        <f t="shared" si="71"/>
        <v>20130701LGUM_256</v>
      </c>
      <c r="F1232" s="214"/>
      <c r="G1232" s="214"/>
      <c r="H1232" s="214"/>
      <c r="I1232" s="214"/>
      <c r="J1232" s="221"/>
    </row>
    <row r="1233" spans="1:10">
      <c r="A1233" s="220">
        <v>20130701</v>
      </c>
      <c r="B1233" s="213" t="s">
        <v>498</v>
      </c>
      <c r="C1233" s="213" t="str">
        <f t="shared" si="70"/>
        <v>20130701RLS</v>
      </c>
      <c r="D1233" s="213" t="s">
        <v>388</v>
      </c>
      <c r="E1233" s="213" t="str">
        <f t="shared" si="71"/>
        <v>20130701LGUM_257</v>
      </c>
      <c r="F1233" s="214"/>
      <c r="G1233" s="214"/>
      <c r="H1233" s="214"/>
      <c r="I1233" s="214"/>
      <c r="J1233" s="221"/>
    </row>
    <row r="1234" spans="1:10">
      <c r="A1234" s="220">
        <v>20130701</v>
      </c>
      <c r="B1234" s="213" t="s">
        <v>498</v>
      </c>
      <c r="C1234" s="213" t="str">
        <f t="shared" si="70"/>
        <v>20130701RLS</v>
      </c>
      <c r="D1234" s="213" t="s">
        <v>256</v>
      </c>
      <c r="E1234" s="213" t="str">
        <f t="shared" si="71"/>
        <v>20130701LGUM_258</v>
      </c>
      <c r="F1234" s="214"/>
      <c r="G1234" s="214"/>
      <c r="H1234" s="214"/>
      <c r="I1234" s="214"/>
      <c r="J1234" s="221"/>
    </row>
    <row r="1235" spans="1:10">
      <c r="A1235" s="220">
        <v>20130701</v>
      </c>
      <c r="B1235" s="213" t="s">
        <v>498</v>
      </c>
      <c r="C1235" s="213" t="str">
        <f t="shared" si="70"/>
        <v>20130701RLS</v>
      </c>
      <c r="D1235" s="213" t="s">
        <v>257</v>
      </c>
      <c r="E1235" s="213" t="str">
        <f t="shared" si="71"/>
        <v>20130701LGUM_259</v>
      </c>
      <c r="F1235" s="214"/>
      <c r="G1235" s="214"/>
      <c r="H1235" s="214"/>
      <c r="I1235" s="214"/>
      <c r="J1235" s="221"/>
    </row>
    <row r="1236" spans="1:10">
      <c r="A1236" s="220">
        <v>20130701</v>
      </c>
      <c r="B1236" s="213" t="s">
        <v>498</v>
      </c>
      <c r="C1236" s="213" t="str">
        <f t="shared" si="70"/>
        <v>20130701RLS</v>
      </c>
      <c r="D1236" s="213" t="s">
        <v>390</v>
      </c>
      <c r="E1236" s="213" t="str">
        <f t="shared" si="71"/>
        <v>20130701LGUM_260</v>
      </c>
      <c r="F1236" s="214"/>
      <c r="G1236" s="214"/>
      <c r="H1236" s="214"/>
      <c r="I1236" s="214"/>
      <c r="J1236" s="221"/>
    </row>
    <row r="1237" spans="1:10">
      <c r="A1237" s="220">
        <v>20130701</v>
      </c>
      <c r="B1237" s="213" t="s">
        <v>498</v>
      </c>
      <c r="C1237" s="213" t="str">
        <f t="shared" si="70"/>
        <v>20130701RLS</v>
      </c>
      <c r="D1237" s="213" t="s">
        <v>258</v>
      </c>
      <c r="E1237" s="213" t="str">
        <f t="shared" si="71"/>
        <v>20130701LGUM_261</v>
      </c>
      <c r="F1237" s="214"/>
      <c r="G1237" s="214"/>
      <c r="H1237" s="214"/>
      <c r="I1237" s="214"/>
      <c r="J1237" s="221"/>
    </row>
    <row r="1238" spans="1:10">
      <c r="A1238" s="220">
        <v>20130701</v>
      </c>
      <c r="B1238" s="213" t="s">
        <v>498</v>
      </c>
      <c r="C1238" s="213" t="str">
        <f t="shared" si="70"/>
        <v>20130701RLS</v>
      </c>
      <c r="D1238" s="213" t="s">
        <v>259</v>
      </c>
      <c r="E1238" s="213" t="str">
        <f t="shared" si="71"/>
        <v>20130701LGUM_262</v>
      </c>
      <c r="F1238" s="214"/>
      <c r="G1238" s="214"/>
      <c r="H1238" s="214"/>
      <c r="I1238" s="214"/>
      <c r="J1238" s="221"/>
    </row>
    <row r="1239" spans="1:10">
      <c r="A1239" s="220">
        <v>20130701</v>
      </c>
      <c r="B1239" s="213" t="s">
        <v>498</v>
      </c>
      <c r="C1239" s="213" t="str">
        <f t="shared" si="70"/>
        <v>20130701RLS</v>
      </c>
      <c r="D1239" s="213" t="s">
        <v>261</v>
      </c>
      <c r="E1239" s="213" t="str">
        <f t="shared" si="71"/>
        <v>20130701LGUM_263</v>
      </c>
      <c r="F1239" s="214"/>
      <c r="G1239" s="214"/>
      <c r="H1239" s="214"/>
      <c r="I1239" s="214"/>
      <c r="J1239" s="221"/>
    </row>
    <row r="1240" spans="1:10">
      <c r="A1240" s="220">
        <v>20130701</v>
      </c>
      <c r="B1240" s="213" t="s">
        <v>498</v>
      </c>
      <c r="C1240" s="213" t="str">
        <f t="shared" si="70"/>
        <v>20130701RLS</v>
      </c>
      <c r="D1240" s="213" t="s">
        <v>263</v>
      </c>
      <c r="E1240" s="213" t="str">
        <f t="shared" si="71"/>
        <v>20130701LGUM_266</v>
      </c>
      <c r="F1240" s="214">
        <v>27.09</v>
      </c>
      <c r="G1240" s="214">
        <f t="shared" ref="G1240:G1241" si="74">VLOOKUP(D1240,$D$1033:$I$1203,4,FALSE)</f>
        <v>0.02</v>
      </c>
      <c r="H1240" s="214">
        <f>F1240-G1240-I1240</f>
        <v>2.8000000000000007</v>
      </c>
      <c r="I1240" s="214">
        <v>24.27</v>
      </c>
      <c r="J1240" s="220" t="s">
        <v>1091</v>
      </c>
    </row>
    <row r="1241" spans="1:10">
      <c r="A1241" s="220">
        <v>20130701</v>
      </c>
      <c r="B1241" s="213" t="s">
        <v>498</v>
      </c>
      <c r="C1241" s="213" t="str">
        <f t="shared" si="70"/>
        <v>20130701RLS</v>
      </c>
      <c r="D1241" s="213" t="s">
        <v>264</v>
      </c>
      <c r="E1241" s="213" t="str">
        <f t="shared" si="71"/>
        <v>20130701LGUM_267</v>
      </c>
      <c r="F1241" s="214">
        <v>31.13</v>
      </c>
      <c r="G1241" s="214">
        <f t="shared" si="74"/>
        <v>0.02</v>
      </c>
      <c r="H1241" s="214">
        <f>F1241-G1241-I1241</f>
        <v>4.4499999999999993</v>
      </c>
      <c r="I1241" s="214">
        <v>26.66</v>
      </c>
      <c r="J1241" s="220" t="s">
        <v>1092</v>
      </c>
    </row>
    <row r="1242" spans="1:10">
      <c r="A1242" s="220">
        <v>20130701</v>
      </c>
      <c r="B1242" s="213" t="s">
        <v>498</v>
      </c>
      <c r="C1242" s="213" t="str">
        <f t="shared" si="70"/>
        <v>20130701RLS</v>
      </c>
      <c r="D1242" s="213" t="s">
        <v>265</v>
      </c>
      <c r="E1242" s="213" t="str">
        <f t="shared" si="71"/>
        <v>20130701LGUM_272</v>
      </c>
      <c r="F1242" s="214"/>
      <c r="G1242" s="214"/>
      <c r="H1242" s="214"/>
      <c r="I1242" s="214"/>
      <c r="J1242" s="221"/>
    </row>
    <row r="1243" spans="1:10">
      <c r="A1243" s="220">
        <v>20130701</v>
      </c>
      <c r="B1243" s="213" t="s">
        <v>498</v>
      </c>
      <c r="C1243" s="213" t="str">
        <f t="shared" si="70"/>
        <v>20130701RLS</v>
      </c>
      <c r="D1243" s="213" t="s">
        <v>391</v>
      </c>
      <c r="E1243" s="213" t="str">
        <f t="shared" si="71"/>
        <v>20130701LGUM_273</v>
      </c>
      <c r="F1243" s="214"/>
      <c r="G1243" s="214"/>
      <c r="H1243" s="214"/>
      <c r="I1243" s="214"/>
      <c r="J1243" s="221"/>
    </row>
    <row r="1244" spans="1:10">
      <c r="A1244" s="220">
        <v>20130701</v>
      </c>
      <c r="B1244" s="213" t="s">
        <v>498</v>
      </c>
      <c r="C1244" s="213" t="str">
        <f t="shared" si="70"/>
        <v>20130701RLS</v>
      </c>
      <c r="D1244" s="213" t="s">
        <v>267</v>
      </c>
      <c r="E1244" s="213" t="str">
        <f t="shared" si="71"/>
        <v>20130701LGUM_274</v>
      </c>
      <c r="F1244" s="214">
        <v>16.93</v>
      </c>
      <c r="G1244" s="214">
        <f t="shared" ref="G1244:G1253" si="75">VLOOKUP(D1244,$D$1033:$I$1203,4,FALSE)</f>
        <v>0.01</v>
      </c>
      <c r="H1244" s="214">
        <f t="shared" ref="H1244:H1253" si="76">F1244-G1244-I1244</f>
        <v>1.2699999999999996</v>
      </c>
      <c r="I1244" s="214">
        <v>15.649999999999999</v>
      </c>
      <c r="J1244" s="220" t="s">
        <v>1095</v>
      </c>
    </row>
    <row r="1245" spans="1:10">
      <c r="A1245" s="220">
        <v>20130701</v>
      </c>
      <c r="B1245" s="213" t="s">
        <v>498</v>
      </c>
      <c r="C1245" s="213" t="str">
        <f t="shared" si="70"/>
        <v>20130701RLS</v>
      </c>
      <c r="D1245" s="213" t="s">
        <v>392</v>
      </c>
      <c r="E1245" s="213" t="str">
        <f t="shared" si="71"/>
        <v>20130701LGUM_275</v>
      </c>
      <c r="F1245" s="214">
        <v>24.66</v>
      </c>
      <c r="G1245" s="214">
        <f t="shared" si="75"/>
        <v>0.01</v>
      </c>
      <c r="H1245" s="214">
        <f t="shared" si="76"/>
        <v>1.7899999999999991</v>
      </c>
      <c r="I1245" s="214">
        <v>22.86</v>
      </c>
      <c r="J1245" s="220" t="s">
        <v>1093</v>
      </c>
    </row>
    <row r="1246" spans="1:10">
      <c r="A1246" s="220">
        <v>20130701</v>
      </c>
      <c r="B1246" s="213" t="s">
        <v>498</v>
      </c>
      <c r="C1246" s="213" t="str">
        <f t="shared" si="70"/>
        <v>20130701RLS</v>
      </c>
      <c r="D1246" s="213" t="s">
        <v>268</v>
      </c>
      <c r="E1246" s="213" t="str">
        <f t="shared" si="71"/>
        <v>20130701LGUM_276</v>
      </c>
      <c r="F1246" s="214">
        <v>13.92</v>
      </c>
      <c r="G1246" s="214">
        <f t="shared" si="75"/>
        <v>0.01</v>
      </c>
      <c r="H1246" s="214">
        <f t="shared" si="76"/>
        <v>0.88000000000000078</v>
      </c>
      <c r="I1246" s="214">
        <v>13.03</v>
      </c>
      <c r="J1246" s="212" t="s">
        <v>1094</v>
      </c>
    </row>
    <row r="1247" spans="1:10">
      <c r="A1247" s="220">
        <v>20130701</v>
      </c>
      <c r="B1247" s="213" t="s">
        <v>498</v>
      </c>
      <c r="C1247" s="213" t="str">
        <f t="shared" si="70"/>
        <v>20130701RLS</v>
      </c>
      <c r="D1247" s="213" t="s">
        <v>269</v>
      </c>
      <c r="E1247" s="213" t="str">
        <f t="shared" si="71"/>
        <v>20130701LGUM_277</v>
      </c>
      <c r="F1247" s="214">
        <v>21.92</v>
      </c>
      <c r="G1247" s="214">
        <f t="shared" si="75"/>
        <v>0.01</v>
      </c>
      <c r="H1247" s="214">
        <f t="shared" si="76"/>
        <v>1.7900000000000027</v>
      </c>
      <c r="I1247" s="214">
        <v>20.119999999999997</v>
      </c>
      <c r="J1247" s="220" t="s">
        <v>1096</v>
      </c>
    </row>
    <row r="1248" spans="1:10">
      <c r="A1248" s="220">
        <v>20130701</v>
      </c>
      <c r="B1248" s="213" t="s">
        <v>498</v>
      </c>
      <c r="C1248" s="213" t="str">
        <f t="shared" si="70"/>
        <v>20130701RLS</v>
      </c>
      <c r="D1248" s="213" t="s">
        <v>393</v>
      </c>
      <c r="E1248" s="213" t="str">
        <f t="shared" si="71"/>
        <v>20130701LGUM_278</v>
      </c>
      <c r="F1248" s="214">
        <v>71.7</v>
      </c>
      <c r="G1248" s="214">
        <f t="shared" si="75"/>
        <v>0.05</v>
      </c>
      <c r="H1248" s="214">
        <f t="shared" si="76"/>
        <v>9.8400000000000034</v>
      </c>
      <c r="I1248" s="214">
        <v>61.81</v>
      </c>
      <c r="J1248" s="220" t="s">
        <v>1098</v>
      </c>
    </row>
    <row r="1249" spans="1:10">
      <c r="A1249" s="220">
        <v>20130701</v>
      </c>
      <c r="B1249" s="213" t="s">
        <v>498</v>
      </c>
      <c r="C1249" s="213" t="str">
        <f t="shared" si="70"/>
        <v>20130701RLS</v>
      </c>
      <c r="D1249" s="213" t="s">
        <v>394</v>
      </c>
      <c r="E1249" s="213" t="str">
        <f t="shared" si="71"/>
        <v>20130701LGUM_279</v>
      </c>
      <c r="F1249" s="214">
        <v>40.58</v>
      </c>
      <c r="G1249" s="214">
        <f t="shared" si="75"/>
        <v>0.05</v>
      </c>
      <c r="H1249" s="214">
        <f t="shared" si="76"/>
        <v>9.8399999999999963</v>
      </c>
      <c r="I1249" s="214">
        <v>30.690000000000005</v>
      </c>
      <c r="J1249" s="212" t="s">
        <v>1097</v>
      </c>
    </row>
    <row r="1250" spans="1:10">
      <c r="A1250" s="220">
        <v>20130701</v>
      </c>
      <c r="B1250" s="213" t="s">
        <v>498</v>
      </c>
      <c r="C1250" s="213" t="str">
        <f t="shared" si="70"/>
        <v>20130701RLS</v>
      </c>
      <c r="D1250" s="213" t="s">
        <v>398</v>
      </c>
      <c r="E1250" s="213" t="str">
        <f t="shared" si="71"/>
        <v>20130701LGUM_280</v>
      </c>
      <c r="F1250" s="214">
        <v>19.13</v>
      </c>
      <c r="G1250" s="214">
        <f t="shared" si="75"/>
        <v>0.01</v>
      </c>
      <c r="H1250" s="214">
        <f t="shared" si="76"/>
        <v>0.87999999999999901</v>
      </c>
      <c r="I1250" s="214">
        <v>18.239999999999998</v>
      </c>
      <c r="J1250" s="220" t="s">
        <v>1101</v>
      </c>
    </row>
    <row r="1251" spans="1:10">
      <c r="A1251" s="220">
        <v>20130701</v>
      </c>
      <c r="B1251" s="213" t="s">
        <v>498</v>
      </c>
      <c r="C1251" s="213" t="str">
        <f t="shared" si="70"/>
        <v>20130701RLS</v>
      </c>
      <c r="D1251" s="213" t="s">
        <v>395</v>
      </c>
      <c r="E1251" s="213" t="str">
        <f t="shared" si="71"/>
        <v>20130701LGUM_281</v>
      </c>
      <c r="F1251" s="214">
        <v>20.09</v>
      </c>
      <c r="G1251" s="214">
        <f t="shared" si="75"/>
        <v>0.01</v>
      </c>
      <c r="H1251" s="214">
        <f t="shared" si="76"/>
        <v>1.2699999999999996</v>
      </c>
      <c r="I1251" s="214">
        <v>18.809999999999999</v>
      </c>
      <c r="J1251" s="220" t="s">
        <v>1102</v>
      </c>
    </row>
    <row r="1252" spans="1:10">
      <c r="A1252" s="220">
        <v>20130701</v>
      </c>
      <c r="B1252" s="213" t="s">
        <v>498</v>
      </c>
      <c r="C1252" s="213" t="str">
        <f t="shared" si="70"/>
        <v>20130701RLS</v>
      </c>
      <c r="D1252" s="213" t="s">
        <v>396</v>
      </c>
      <c r="E1252" s="213" t="str">
        <f t="shared" si="71"/>
        <v>20130701LGUM_282</v>
      </c>
      <c r="F1252" s="214">
        <v>19.28</v>
      </c>
      <c r="G1252" s="214">
        <f t="shared" si="75"/>
        <v>0.01</v>
      </c>
      <c r="H1252" s="214">
        <f t="shared" si="76"/>
        <v>0.87999999999999901</v>
      </c>
      <c r="I1252" s="214">
        <v>18.39</v>
      </c>
      <c r="J1252" s="220" t="s">
        <v>1103</v>
      </c>
    </row>
    <row r="1253" spans="1:10">
      <c r="A1253" s="220">
        <v>20130701</v>
      </c>
      <c r="B1253" s="213" t="s">
        <v>498</v>
      </c>
      <c r="C1253" s="213" t="str">
        <f t="shared" si="70"/>
        <v>20130701RLS</v>
      </c>
      <c r="D1253" s="213" t="s">
        <v>397</v>
      </c>
      <c r="E1253" s="213" t="str">
        <f t="shared" si="71"/>
        <v>20130701LGUM_283</v>
      </c>
      <c r="F1253" s="214">
        <v>20.56</v>
      </c>
      <c r="G1253" s="214">
        <f t="shared" si="75"/>
        <v>0.01</v>
      </c>
      <c r="H1253" s="214">
        <f t="shared" si="76"/>
        <v>1.2699999999999996</v>
      </c>
      <c r="I1253" s="214">
        <v>19.279999999999998</v>
      </c>
      <c r="J1253" s="220" t="s">
        <v>1104</v>
      </c>
    </row>
    <row r="1254" spans="1:10">
      <c r="A1254" s="220">
        <v>20130701</v>
      </c>
      <c r="B1254" s="213" t="s">
        <v>498</v>
      </c>
      <c r="C1254" s="213" t="str">
        <f t="shared" si="70"/>
        <v>20130701RLS</v>
      </c>
      <c r="D1254" s="213" t="s">
        <v>270</v>
      </c>
      <c r="E1254" s="213" t="str">
        <f t="shared" si="71"/>
        <v>20130701LGUM_301</v>
      </c>
      <c r="F1254" s="214"/>
      <c r="G1254" s="214"/>
      <c r="H1254" s="214"/>
      <c r="I1254" s="214"/>
      <c r="J1254" s="221"/>
    </row>
    <row r="1255" spans="1:10">
      <c r="A1255" s="220">
        <v>20130701</v>
      </c>
      <c r="B1255" s="213" t="s">
        <v>498</v>
      </c>
      <c r="C1255" s="213" t="str">
        <f t="shared" si="70"/>
        <v>20130701RLS</v>
      </c>
      <c r="D1255" s="213" t="s">
        <v>271</v>
      </c>
      <c r="E1255" s="213" t="str">
        <f t="shared" si="71"/>
        <v>20130701LGUM_302</v>
      </c>
      <c r="F1255" s="214"/>
      <c r="G1255" s="214"/>
      <c r="H1255" s="214"/>
      <c r="I1255" s="214"/>
      <c r="J1255" s="221"/>
    </row>
    <row r="1256" spans="1:10">
      <c r="A1256" s="220">
        <v>20130701</v>
      </c>
      <c r="B1256" s="213" t="s">
        <v>498</v>
      </c>
      <c r="C1256" s="213" t="str">
        <f t="shared" si="70"/>
        <v>20130701RLS</v>
      </c>
      <c r="D1256" s="213" t="s">
        <v>272</v>
      </c>
      <c r="E1256" s="213" t="str">
        <f t="shared" si="71"/>
        <v>20130701LGUM_303</v>
      </c>
      <c r="F1256" s="214"/>
      <c r="G1256" s="214"/>
      <c r="H1256" s="214"/>
      <c r="I1256" s="214"/>
      <c r="J1256" s="221"/>
    </row>
    <row r="1257" spans="1:10">
      <c r="A1257" s="220">
        <v>20130701</v>
      </c>
      <c r="B1257" s="213" t="s">
        <v>498</v>
      </c>
      <c r="C1257" s="213" t="str">
        <f t="shared" si="70"/>
        <v>20130701RLS</v>
      </c>
      <c r="D1257" s="213" t="s">
        <v>273</v>
      </c>
      <c r="E1257" s="213" t="str">
        <f t="shared" si="71"/>
        <v>20130701LGUM_304</v>
      </c>
      <c r="F1257" s="214"/>
      <c r="G1257" s="214"/>
      <c r="H1257" s="214"/>
      <c r="I1257" s="214"/>
      <c r="J1257" s="221"/>
    </row>
    <row r="1258" spans="1:10">
      <c r="A1258" s="220">
        <v>20130701</v>
      </c>
      <c r="B1258" s="213" t="s">
        <v>498</v>
      </c>
      <c r="C1258" s="213" t="str">
        <f t="shared" si="70"/>
        <v>20130701RLS</v>
      </c>
      <c r="D1258" s="213" t="s">
        <v>275</v>
      </c>
      <c r="E1258" s="213" t="str">
        <f t="shared" si="71"/>
        <v>20130701LGUM_305</v>
      </c>
      <c r="F1258" s="214"/>
      <c r="G1258" s="214"/>
      <c r="H1258" s="214"/>
      <c r="I1258" s="214"/>
      <c r="J1258" s="221"/>
    </row>
    <row r="1259" spans="1:10">
      <c r="A1259" s="220">
        <v>20130701</v>
      </c>
      <c r="B1259" s="213" t="s">
        <v>498</v>
      </c>
      <c r="C1259" s="213" t="str">
        <f t="shared" si="70"/>
        <v>20130701RLS</v>
      </c>
      <c r="D1259" s="213" t="s">
        <v>276</v>
      </c>
      <c r="E1259" s="213" t="str">
        <f t="shared" si="71"/>
        <v>20130701LGUM_306</v>
      </c>
      <c r="F1259" s="214"/>
      <c r="G1259" s="214"/>
      <c r="H1259" s="214"/>
      <c r="I1259" s="214"/>
      <c r="J1259" s="221"/>
    </row>
    <row r="1260" spans="1:10">
      <c r="A1260" s="220">
        <v>20130701</v>
      </c>
      <c r="B1260" s="213" t="s">
        <v>498</v>
      </c>
      <c r="C1260" s="213" t="str">
        <f t="shared" si="70"/>
        <v>20130701RLS</v>
      </c>
      <c r="D1260" s="213" t="s">
        <v>277</v>
      </c>
      <c r="E1260" s="213" t="str">
        <f t="shared" si="71"/>
        <v>20130701LGUM_307</v>
      </c>
      <c r="F1260" s="214"/>
      <c r="G1260" s="214"/>
      <c r="H1260" s="214"/>
      <c r="I1260" s="214"/>
      <c r="J1260" s="221"/>
    </row>
    <row r="1261" spans="1:10">
      <c r="A1261" s="220">
        <v>20130701</v>
      </c>
      <c r="B1261" s="213" t="s">
        <v>498</v>
      </c>
      <c r="C1261" s="213" t="str">
        <f t="shared" si="70"/>
        <v>20130701RLS</v>
      </c>
      <c r="D1261" s="213" t="s">
        <v>278</v>
      </c>
      <c r="E1261" s="213" t="str">
        <f t="shared" si="71"/>
        <v>20130701LGUM_308</v>
      </c>
      <c r="F1261" s="214"/>
      <c r="G1261" s="214"/>
      <c r="H1261" s="214"/>
      <c r="I1261" s="214"/>
      <c r="J1261" s="221"/>
    </row>
    <row r="1262" spans="1:10">
      <c r="A1262" s="220">
        <v>20130701</v>
      </c>
      <c r="B1262" s="213" t="s">
        <v>498</v>
      </c>
      <c r="C1262" s="213" t="str">
        <f t="shared" si="70"/>
        <v>20130701RLS</v>
      </c>
      <c r="D1262" s="213" t="s">
        <v>279</v>
      </c>
      <c r="E1262" s="213" t="str">
        <f t="shared" si="71"/>
        <v>20130701LGUM_309</v>
      </c>
      <c r="F1262" s="214"/>
      <c r="G1262" s="214"/>
      <c r="H1262" s="214"/>
      <c r="I1262" s="214"/>
      <c r="J1262" s="221"/>
    </row>
    <row r="1263" spans="1:10">
      <c r="A1263" s="220">
        <v>20130701</v>
      </c>
      <c r="B1263" s="213" t="s">
        <v>498</v>
      </c>
      <c r="C1263" s="213" t="str">
        <f t="shared" si="70"/>
        <v>20130701RLS</v>
      </c>
      <c r="D1263" s="213" t="s">
        <v>280</v>
      </c>
      <c r="E1263" s="213" t="str">
        <f t="shared" si="71"/>
        <v>20130701LGUM_310</v>
      </c>
      <c r="F1263" s="214"/>
      <c r="G1263" s="214"/>
      <c r="H1263" s="214"/>
      <c r="I1263" s="214"/>
      <c r="J1263" s="221"/>
    </row>
    <row r="1264" spans="1:10">
      <c r="A1264" s="220">
        <v>20130701</v>
      </c>
      <c r="B1264" s="213" t="s">
        <v>498</v>
      </c>
      <c r="C1264" s="213" t="str">
        <f t="shared" si="70"/>
        <v>20130701RLS</v>
      </c>
      <c r="D1264" s="213" t="s">
        <v>281</v>
      </c>
      <c r="E1264" s="213" t="str">
        <f t="shared" si="71"/>
        <v>20130701LGUM_311</v>
      </c>
      <c r="F1264" s="214"/>
      <c r="G1264" s="214"/>
      <c r="H1264" s="214"/>
      <c r="I1264" s="214"/>
      <c r="J1264" s="221"/>
    </row>
    <row r="1265" spans="1:10">
      <c r="A1265" s="220">
        <v>20130701</v>
      </c>
      <c r="B1265" s="213" t="s">
        <v>498</v>
      </c>
      <c r="C1265" s="213" t="str">
        <f t="shared" si="70"/>
        <v>20130701RLS</v>
      </c>
      <c r="D1265" s="213" t="s">
        <v>283</v>
      </c>
      <c r="E1265" s="213" t="str">
        <f t="shared" si="71"/>
        <v>20130701LGUM_312</v>
      </c>
      <c r="F1265" s="214"/>
      <c r="G1265" s="214"/>
      <c r="H1265" s="214"/>
      <c r="I1265" s="214"/>
      <c r="J1265" s="221"/>
    </row>
    <row r="1266" spans="1:10">
      <c r="A1266" s="220">
        <v>20130701</v>
      </c>
      <c r="B1266" s="213" t="s">
        <v>498</v>
      </c>
      <c r="C1266" s="213" t="str">
        <f t="shared" si="70"/>
        <v>20130701RLS</v>
      </c>
      <c r="D1266" s="213" t="s">
        <v>285</v>
      </c>
      <c r="E1266" s="213" t="str">
        <f t="shared" si="71"/>
        <v>20130701LGUM_313</v>
      </c>
      <c r="F1266" s="214"/>
      <c r="G1266" s="214"/>
      <c r="H1266" s="214"/>
      <c r="I1266" s="214"/>
      <c r="J1266" s="221"/>
    </row>
    <row r="1267" spans="1:10">
      <c r="A1267" s="220">
        <v>20130701</v>
      </c>
      <c r="B1267" s="213" t="s">
        <v>498</v>
      </c>
      <c r="C1267" s="213" t="str">
        <f t="shared" si="70"/>
        <v>20130701RLS</v>
      </c>
      <c r="D1267" s="213" t="s">
        <v>287</v>
      </c>
      <c r="E1267" s="213" t="str">
        <f t="shared" si="71"/>
        <v>20130701LGUM_314</v>
      </c>
      <c r="F1267" s="214">
        <v>19.03</v>
      </c>
      <c r="G1267" s="214">
        <f t="shared" ref="G1267:G1268" si="77">VLOOKUP(D1267,$D$1033:$I$1203,4,FALSE)</f>
        <v>0.01</v>
      </c>
      <c r="H1267" s="214">
        <f>F1267-G1267-I1267</f>
        <v>2.7100000000000009</v>
      </c>
      <c r="I1267" s="214">
        <v>16.309999999999999</v>
      </c>
      <c r="J1267" s="220" t="s">
        <v>1110</v>
      </c>
    </row>
    <row r="1268" spans="1:10">
      <c r="A1268" s="220">
        <v>20130701</v>
      </c>
      <c r="B1268" s="213" t="s">
        <v>498</v>
      </c>
      <c r="C1268" s="213" t="str">
        <f t="shared" si="70"/>
        <v>20130701RLS</v>
      </c>
      <c r="D1268" s="213" t="s">
        <v>288</v>
      </c>
      <c r="E1268" s="213" t="str">
        <f t="shared" si="71"/>
        <v>20130701LGUM_315</v>
      </c>
      <c r="F1268" s="214">
        <v>22.74</v>
      </c>
      <c r="G1268" s="214">
        <f t="shared" si="77"/>
        <v>0.01</v>
      </c>
      <c r="H1268" s="214">
        <f>F1268-G1268-I1268</f>
        <v>4.1999999999999993</v>
      </c>
      <c r="I1268" s="214">
        <v>18.529999999999998</v>
      </c>
      <c r="J1268" s="220" t="s">
        <v>1111</v>
      </c>
    </row>
    <row r="1269" spans="1:10">
      <c r="A1269" s="220">
        <v>20130701</v>
      </c>
      <c r="B1269" s="213" t="s">
        <v>498</v>
      </c>
      <c r="C1269" s="213" t="str">
        <f t="shared" si="70"/>
        <v>20130701RLS</v>
      </c>
      <c r="D1269" s="213" t="s">
        <v>289</v>
      </c>
      <c r="E1269" s="213" t="str">
        <f t="shared" si="71"/>
        <v>20130701LGUM_316</v>
      </c>
      <c r="F1269" s="214"/>
      <c r="G1269" s="214"/>
      <c r="H1269" s="214"/>
      <c r="I1269" s="214"/>
      <c r="J1269" s="221"/>
    </row>
    <row r="1270" spans="1:10">
      <c r="A1270" s="220">
        <v>20130701</v>
      </c>
      <c r="B1270" s="213" t="s">
        <v>498</v>
      </c>
      <c r="C1270" s="213" t="str">
        <f t="shared" si="70"/>
        <v>20130701RLS</v>
      </c>
      <c r="D1270" s="213" t="s">
        <v>290</v>
      </c>
      <c r="E1270" s="213" t="str">
        <f t="shared" si="71"/>
        <v>20130701LGUM_317</v>
      </c>
      <c r="F1270" s="214"/>
      <c r="G1270" s="214"/>
      <c r="H1270" s="214"/>
      <c r="I1270" s="214"/>
      <c r="J1270" s="221"/>
    </row>
    <row r="1271" spans="1:10">
      <c r="A1271" s="220">
        <v>20130701</v>
      </c>
      <c r="B1271" s="213" t="s">
        <v>498</v>
      </c>
      <c r="C1271" s="213" t="str">
        <f t="shared" si="70"/>
        <v>20130701RLS</v>
      </c>
      <c r="D1271" s="213" t="s">
        <v>291</v>
      </c>
      <c r="E1271" s="213" t="str">
        <f t="shared" si="71"/>
        <v>20130701LGUM_318</v>
      </c>
      <c r="F1271" s="214">
        <v>17.27</v>
      </c>
      <c r="G1271" s="214">
        <f>VLOOKUP(D1271,$D$1033:$I$1203,4,FALSE)</f>
        <v>0.01</v>
      </c>
      <c r="H1271" s="214">
        <f>F1271-G1271-I1271</f>
        <v>1.9100000000000001</v>
      </c>
      <c r="I1271" s="214">
        <v>15.349999999999998</v>
      </c>
      <c r="J1271" s="212" t="s">
        <v>1109</v>
      </c>
    </row>
    <row r="1272" spans="1:10">
      <c r="A1272" s="220">
        <v>20130701</v>
      </c>
      <c r="B1272" s="213" t="s">
        <v>498</v>
      </c>
      <c r="C1272" s="213" t="str">
        <f t="shared" si="70"/>
        <v>20130701RLS</v>
      </c>
      <c r="D1272" s="213" t="s">
        <v>571</v>
      </c>
      <c r="E1272" s="213" t="str">
        <f t="shared" si="71"/>
        <v>20130701LGUM_319</v>
      </c>
      <c r="F1272" s="214"/>
      <c r="G1272" s="214"/>
      <c r="H1272" s="214"/>
      <c r="I1272" s="214"/>
      <c r="J1272" s="221"/>
    </row>
    <row r="1273" spans="1:10">
      <c r="A1273" s="220">
        <v>20130701</v>
      </c>
      <c r="B1273" s="213" t="s">
        <v>498</v>
      </c>
      <c r="C1273" s="213" t="str">
        <f t="shared" si="70"/>
        <v>20130701RLS</v>
      </c>
      <c r="D1273" s="213" t="s">
        <v>573</v>
      </c>
      <c r="E1273" s="213" t="str">
        <f t="shared" si="71"/>
        <v>20130701LGUM_320</v>
      </c>
      <c r="F1273" s="214"/>
      <c r="G1273" s="214"/>
      <c r="H1273" s="214"/>
      <c r="I1273" s="214"/>
      <c r="J1273" s="221"/>
    </row>
    <row r="1274" spans="1:10">
      <c r="A1274" s="220">
        <v>20130701</v>
      </c>
      <c r="B1274" s="213" t="s">
        <v>498</v>
      </c>
      <c r="C1274" s="213" t="str">
        <f t="shared" si="70"/>
        <v>20130701RLS</v>
      </c>
      <c r="D1274" s="213" t="s">
        <v>292</v>
      </c>
      <c r="E1274" s="213" t="str">
        <f t="shared" si="71"/>
        <v>20130701LGUM_321</v>
      </c>
      <c r="F1274" s="214"/>
      <c r="G1274" s="214"/>
      <c r="H1274" s="214"/>
      <c r="I1274" s="214"/>
      <c r="J1274" s="221"/>
    </row>
    <row r="1275" spans="1:10">
      <c r="A1275" s="220">
        <v>20130701</v>
      </c>
      <c r="B1275" s="213" t="s">
        <v>498</v>
      </c>
      <c r="C1275" s="213" t="str">
        <f t="shared" si="70"/>
        <v>20130701RLS</v>
      </c>
      <c r="D1275" s="213" t="s">
        <v>293</v>
      </c>
      <c r="E1275" s="213" t="str">
        <f t="shared" si="71"/>
        <v>20130701LGUM_322</v>
      </c>
      <c r="F1275" s="214"/>
      <c r="G1275" s="214"/>
      <c r="H1275" s="214"/>
      <c r="I1275" s="214"/>
      <c r="J1275" s="221"/>
    </row>
    <row r="1276" spans="1:10">
      <c r="A1276" s="220">
        <v>20130701</v>
      </c>
      <c r="B1276" s="213" t="s">
        <v>498</v>
      </c>
      <c r="C1276" s="213" t="str">
        <f t="shared" si="70"/>
        <v>20130701RLS</v>
      </c>
      <c r="D1276" s="213" t="s">
        <v>294</v>
      </c>
      <c r="E1276" s="213" t="str">
        <f t="shared" si="71"/>
        <v>20130701LGUM_323</v>
      </c>
      <c r="F1276" s="214"/>
      <c r="G1276" s="214"/>
      <c r="H1276" s="214"/>
      <c r="I1276" s="214"/>
      <c r="J1276" s="221"/>
    </row>
    <row r="1277" spans="1:10">
      <c r="A1277" s="220">
        <v>20130701</v>
      </c>
      <c r="B1277" s="213" t="s">
        <v>498</v>
      </c>
      <c r="C1277" s="213" t="str">
        <f t="shared" si="70"/>
        <v>20130701RLS</v>
      </c>
      <c r="D1277" s="213" t="s">
        <v>295</v>
      </c>
      <c r="E1277" s="213" t="str">
        <f t="shared" si="71"/>
        <v>20130701LGUM_324</v>
      </c>
      <c r="F1277" s="214"/>
      <c r="G1277" s="214"/>
      <c r="H1277" s="214"/>
      <c r="I1277" s="214"/>
      <c r="J1277" s="221"/>
    </row>
    <row r="1278" spans="1:10">
      <c r="A1278" s="220">
        <v>20130701</v>
      </c>
      <c r="B1278" s="213" t="s">
        <v>498</v>
      </c>
      <c r="C1278" s="213" t="str">
        <f t="shared" si="70"/>
        <v>20130701RLS</v>
      </c>
      <c r="D1278" s="213" t="s">
        <v>296</v>
      </c>
      <c r="E1278" s="213" t="str">
        <f t="shared" si="71"/>
        <v>20130701LGUM_325</v>
      </c>
      <c r="F1278" s="214"/>
      <c r="G1278" s="214"/>
      <c r="H1278" s="214"/>
      <c r="I1278" s="214"/>
      <c r="J1278" s="212"/>
    </row>
    <row r="1279" spans="1:10">
      <c r="A1279" s="220">
        <v>20130701</v>
      </c>
      <c r="B1279" s="213" t="s">
        <v>498</v>
      </c>
      <c r="C1279" s="213" t="str">
        <f t="shared" si="70"/>
        <v>20130701RLS</v>
      </c>
      <c r="D1279" s="213" t="s">
        <v>577</v>
      </c>
      <c r="E1279" s="213" t="str">
        <f t="shared" si="71"/>
        <v>20130701LGUM_345</v>
      </c>
      <c r="F1279" s="214"/>
      <c r="G1279" s="214"/>
      <c r="H1279" s="214"/>
      <c r="I1279" s="214"/>
      <c r="J1279" s="221"/>
    </row>
    <row r="1280" spans="1:10">
      <c r="A1280" s="220">
        <v>20130701</v>
      </c>
      <c r="B1280" s="213" t="s">
        <v>498</v>
      </c>
      <c r="C1280" s="213" t="str">
        <f t="shared" si="70"/>
        <v>20130701RLS</v>
      </c>
      <c r="D1280" s="213" t="s">
        <v>579</v>
      </c>
      <c r="E1280" s="213" t="str">
        <f t="shared" si="71"/>
        <v>20130701LGUM_346</v>
      </c>
      <c r="F1280" s="214"/>
      <c r="G1280" s="214"/>
      <c r="H1280" s="214"/>
      <c r="I1280" s="214"/>
      <c r="J1280" s="221"/>
    </row>
    <row r="1281" spans="1:10">
      <c r="A1281" s="220">
        <v>20130701</v>
      </c>
      <c r="B1281" s="213" t="s">
        <v>498</v>
      </c>
      <c r="C1281" s="213" t="str">
        <f t="shared" si="70"/>
        <v>20130701RLS</v>
      </c>
      <c r="D1281" s="213" t="s">
        <v>581</v>
      </c>
      <c r="E1281" s="213" t="str">
        <f t="shared" si="71"/>
        <v>20130701LGUM_347</v>
      </c>
      <c r="F1281" s="214">
        <v>22.73</v>
      </c>
      <c r="G1281" s="214">
        <f t="shared" ref="G1281:G1283" si="78">VLOOKUP(D1281,$D$1033:$I$1203,4,FALSE)</f>
        <v>0.01</v>
      </c>
      <c r="H1281" s="214">
        <f>F1281-G1281-I1281</f>
        <v>26.14</v>
      </c>
      <c r="I1281" s="214">
        <v>-3.42</v>
      </c>
      <c r="J1281" s="220" t="s">
        <v>1112</v>
      </c>
    </row>
    <row r="1282" spans="1:10">
      <c r="A1282" s="220">
        <v>20130701</v>
      </c>
      <c r="B1282" s="213" t="s">
        <v>498</v>
      </c>
      <c r="C1282" s="213" t="str">
        <f t="shared" si="70"/>
        <v>20130701RLS</v>
      </c>
      <c r="D1282" s="213" t="s">
        <v>297</v>
      </c>
      <c r="E1282" s="213" t="str">
        <f t="shared" si="71"/>
        <v>20130701LGUM_348</v>
      </c>
      <c r="F1282" s="214">
        <v>12.94</v>
      </c>
      <c r="G1282" s="214">
        <f t="shared" si="78"/>
        <v>0.01</v>
      </c>
      <c r="H1282" s="214">
        <f>F1282-G1282-I1282</f>
        <v>2.9800000000000004</v>
      </c>
      <c r="I1282" s="214">
        <v>9.9499999999999993</v>
      </c>
      <c r="J1282" s="220" t="s">
        <v>1116</v>
      </c>
    </row>
    <row r="1283" spans="1:10">
      <c r="A1283" s="220">
        <v>20130701</v>
      </c>
      <c r="B1283" s="213" t="s">
        <v>498</v>
      </c>
      <c r="C1283" s="213" t="str">
        <f t="shared" si="70"/>
        <v>20130701RLS</v>
      </c>
      <c r="D1283" s="213" t="s">
        <v>299</v>
      </c>
      <c r="E1283" s="213" t="str">
        <f t="shared" si="71"/>
        <v>20130701LGUM_349</v>
      </c>
      <c r="F1283" s="214">
        <v>8.89</v>
      </c>
      <c r="G1283" s="214">
        <f t="shared" si="78"/>
        <v>0.01</v>
      </c>
      <c r="H1283" s="214">
        <f>F1283-G1283-I1283</f>
        <v>0.91000000000000014</v>
      </c>
      <c r="I1283" s="214">
        <v>7.9700000000000006</v>
      </c>
      <c r="J1283" s="212" t="s">
        <v>1115</v>
      </c>
    </row>
    <row r="1284" spans="1:10">
      <c r="A1284" s="220">
        <v>20130701</v>
      </c>
      <c r="B1284" s="213" t="s">
        <v>498</v>
      </c>
      <c r="C1284" s="213" t="str">
        <f t="shared" si="70"/>
        <v>20130701RLS</v>
      </c>
      <c r="D1284" s="213" t="s">
        <v>301</v>
      </c>
      <c r="E1284" s="213" t="str">
        <f t="shared" si="71"/>
        <v>20130701LGUM_352</v>
      </c>
      <c r="F1284" s="214"/>
      <c r="G1284" s="214"/>
      <c r="H1284" s="214"/>
      <c r="I1284" s="214"/>
      <c r="J1284" s="221"/>
    </row>
    <row r="1285" spans="1:10">
      <c r="A1285" s="220">
        <v>20130701</v>
      </c>
      <c r="B1285" s="213" t="s">
        <v>498</v>
      </c>
      <c r="C1285" s="213" t="str">
        <f t="shared" si="70"/>
        <v>20130701RLS</v>
      </c>
      <c r="D1285" s="213" t="s">
        <v>302</v>
      </c>
      <c r="E1285" s="213" t="str">
        <f t="shared" si="71"/>
        <v>20130701LGUM_353</v>
      </c>
      <c r="F1285" s="214"/>
      <c r="G1285" s="214"/>
      <c r="H1285" s="214"/>
      <c r="I1285" s="214"/>
      <c r="J1285" s="221"/>
    </row>
    <row r="1286" spans="1:10">
      <c r="A1286" s="220">
        <v>20130701</v>
      </c>
      <c r="B1286" s="213" t="s">
        <v>498</v>
      </c>
      <c r="C1286" s="213" t="str">
        <f t="shared" si="70"/>
        <v>20130701RLS</v>
      </c>
      <c r="D1286" s="213" t="s">
        <v>303</v>
      </c>
      <c r="E1286" s="213" t="str">
        <f t="shared" si="71"/>
        <v>20130701LGUM_354</v>
      </c>
      <c r="F1286" s="214"/>
      <c r="G1286" s="214"/>
      <c r="H1286" s="214"/>
      <c r="I1286" s="214"/>
      <c r="J1286" s="221"/>
    </row>
    <row r="1287" spans="1:10">
      <c r="A1287" s="220">
        <v>20130701</v>
      </c>
      <c r="B1287" s="213" t="s">
        <v>498</v>
      </c>
      <c r="C1287" s="213" t="str">
        <f t="shared" si="70"/>
        <v>20130701RLS</v>
      </c>
      <c r="D1287" s="213" t="s">
        <v>304</v>
      </c>
      <c r="E1287" s="213" t="str">
        <f t="shared" si="71"/>
        <v>20130701LGUM_355</v>
      </c>
      <c r="F1287" s="214"/>
      <c r="G1287" s="214"/>
      <c r="H1287" s="214"/>
      <c r="I1287" s="214"/>
      <c r="J1287" s="221"/>
    </row>
    <row r="1288" spans="1:10">
      <c r="A1288" s="220">
        <v>20130701</v>
      </c>
      <c r="B1288" s="213" t="s">
        <v>498</v>
      </c>
      <c r="C1288" s="213" t="str">
        <f t="shared" si="70"/>
        <v>20130701RLS</v>
      </c>
      <c r="D1288" s="213" t="s">
        <v>585</v>
      </c>
      <c r="E1288" s="213" t="str">
        <f t="shared" si="71"/>
        <v>20130701LGUM_356</v>
      </c>
      <c r="F1288" s="214"/>
      <c r="G1288" s="214"/>
      <c r="H1288" s="214"/>
      <c r="I1288" s="214"/>
      <c r="J1288" s="221"/>
    </row>
    <row r="1289" spans="1:10">
      <c r="A1289" s="220">
        <v>20130701</v>
      </c>
      <c r="B1289" s="213" t="s">
        <v>498</v>
      </c>
      <c r="C1289" s="213" t="str">
        <f t="shared" si="70"/>
        <v>20130701RLS</v>
      </c>
      <c r="D1289" s="213" t="s">
        <v>305</v>
      </c>
      <c r="E1289" s="213" t="str">
        <f t="shared" si="71"/>
        <v>20130701LGUM_357</v>
      </c>
      <c r="F1289" s="214"/>
      <c r="G1289" s="214"/>
      <c r="H1289" s="214"/>
      <c r="I1289" s="214"/>
      <c r="J1289" s="221"/>
    </row>
    <row r="1290" spans="1:10">
      <c r="A1290" s="220">
        <v>20130701</v>
      </c>
      <c r="B1290" s="213" t="s">
        <v>498</v>
      </c>
      <c r="C1290" s="213" t="str">
        <f t="shared" si="70"/>
        <v>20130701RLS</v>
      </c>
      <c r="D1290" s="213" t="s">
        <v>306</v>
      </c>
      <c r="E1290" s="213" t="str">
        <f t="shared" si="71"/>
        <v>20130701LGUM_358</v>
      </c>
      <c r="F1290" s="214"/>
      <c r="G1290" s="214"/>
      <c r="H1290" s="214"/>
      <c r="I1290" s="214"/>
      <c r="J1290" s="221"/>
    </row>
    <row r="1291" spans="1:10">
      <c r="A1291" s="220">
        <v>20130701</v>
      </c>
      <c r="B1291" s="213" t="s">
        <v>498</v>
      </c>
      <c r="C1291" s="213" t="str">
        <f t="shared" si="70"/>
        <v>20130701RLS</v>
      </c>
      <c r="D1291" s="213" t="s">
        <v>307</v>
      </c>
      <c r="E1291" s="213" t="str">
        <f t="shared" si="71"/>
        <v>20130701LGUM_360</v>
      </c>
      <c r="F1291" s="214"/>
      <c r="G1291" s="214"/>
      <c r="H1291" s="214"/>
      <c r="I1291" s="214"/>
      <c r="J1291" s="221"/>
    </row>
    <row r="1292" spans="1:10">
      <c r="A1292" s="220">
        <v>20130701</v>
      </c>
      <c r="B1292" s="213" t="s">
        <v>498</v>
      </c>
      <c r="C1292" s="213" t="str">
        <f t="shared" si="70"/>
        <v>20130701RLS</v>
      </c>
      <c r="D1292" s="213" t="s">
        <v>308</v>
      </c>
      <c r="E1292" s="213" t="str">
        <f t="shared" si="71"/>
        <v>20130701LGUM_361</v>
      </c>
      <c r="F1292" s="214"/>
      <c r="G1292" s="214"/>
      <c r="H1292" s="214"/>
      <c r="I1292" s="214"/>
      <c r="J1292" s="221"/>
    </row>
    <row r="1293" spans="1:10">
      <c r="A1293" s="220">
        <v>20130701</v>
      </c>
      <c r="B1293" s="213" t="s">
        <v>498</v>
      </c>
      <c r="C1293" s="213" t="str">
        <f t="shared" si="70"/>
        <v>20130701RLS</v>
      </c>
      <c r="D1293" s="213" t="s">
        <v>309</v>
      </c>
      <c r="E1293" s="213" t="str">
        <f t="shared" si="71"/>
        <v>20130701LGUM_362</v>
      </c>
      <c r="F1293" s="214"/>
      <c r="G1293" s="214"/>
      <c r="H1293" s="214"/>
      <c r="I1293" s="214"/>
      <c r="J1293" s="221"/>
    </row>
    <row r="1294" spans="1:10">
      <c r="A1294" s="220">
        <v>20130701</v>
      </c>
      <c r="B1294" s="213" t="s">
        <v>498</v>
      </c>
      <c r="C1294" s="213" t="str">
        <f t="shared" si="70"/>
        <v>20130701RLS</v>
      </c>
      <c r="D1294" s="213" t="s">
        <v>310</v>
      </c>
      <c r="E1294" s="213" t="str">
        <f t="shared" si="71"/>
        <v>20130701LGUM_363</v>
      </c>
      <c r="F1294" s="214"/>
      <c r="G1294" s="214"/>
      <c r="H1294" s="214"/>
      <c r="I1294" s="214"/>
      <c r="J1294" s="221"/>
    </row>
    <row r="1295" spans="1:10">
      <c r="A1295" s="220">
        <v>20130701</v>
      </c>
      <c r="B1295" s="213" t="s">
        <v>498</v>
      </c>
      <c r="C1295" s="213" t="str">
        <f t="shared" si="70"/>
        <v>20130701RLS</v>
      </c>
      <c r="D1295" s="213" t="s">
        <v>311</v>
      </c>
      <c r="E1295" s="213" t="str">
        <f t="shared" si="71"/>
        <v>20130701LGUM_364</v>
      </c>
      <c r="F1295" s="214"/>
      <c r="G1295" s="214"/>
      <c r="H1295" s="214"/>
      <c r="I1295" s="214"/>
      <c r="J1295" s="221"/>
    </row>
    <row r="1296" spans="1:10">
      <c r="A1296" s="220">
        <v>20130701</v>
      </c>
      <c r="B1296" s="213" t="s">
        <v>498</v>
      </c>
      <c r="C1296" s="213" t="str">
        <f t="shared" si="70"/>
        <v>20130701RLS</v>
      </c>
      <c r="D1296" s="213" t="s">
        <v>312</v>
      </c>
      <c r="E1296" s="213" t="str">
        <f t="shared" si="71"/>
        <v>20130701LGUM_365</v>
      </c>
      <c r="F1296" s="214"/>
      <c r="G1296" s="214"/>
      <c r="H1296" s="214"/>
      <c r="I1296" s="214"/>
      <c r="J1296" s="221"/>
    </row>
    <row r="1297" spans="1:10">
      <c r="A1297" s="220">
        <v>20130701</v>
      </c>
      <c r="B1297" s="213" t="s">
        <v>498</v>
      </c>
      <c r="C1297" s="213" t="str">
        <f t="shared" si="70"/>
        <v>20130701RLS</v>
      </c>
      <c r="D1297" s="213" t="s">
        <v>313</v>
      </c>
      <c r="E1297" s="213" t="str">
        <f t="shared" si="71"/>
        <v>20130701LGUM_366</v>
      </c>
      <c r="F1297" s="214"/>
      <c r="G1297" s="214"/>
      <c r="H1297" s="214"/>
      <c r="I1297" s="214"/>
      <c r="J1297" s="221"/>
    </row>
    <row r="1298" spans="1:10">
      <c r="A1298" s="220">
        <v>20130701</v>
      </c>
      <c r="B1298" s="213" t="s">
        <v>498</v>
      </c>
      <c r="C1298" s="213" t="str">
        <f t="shared" si="70"/>
        <v>20130701RLS</v>
      </c>
      <c r="D1298" s="213" t="s">
        <v>314</v>
      </c>
      <c r="E1298" s="213" t="str">
        <f t="shared" si="71"/>
        <v>20130701LGUM_367</v>
      </c>
      <c r="F1298" s="214"/>
      <c r="G1298" s="214"/>
      <c r="H1298" s="214"/>
      <c r="I1298" s="214"/>
      <c r="J1298" s="221"/>
    </row>
    <row r="1299" spans="1:10">
      <c r="A1299" s="220">
        <v>20130701</v>
      </c>
      <c r="B1299" s="213" t="s">
        <v>498</v>
      </c>
      <c r="C1299" s="213" t="str">
        <f t="shared" si="70"/>
        <v>20130701RLS</v>
      </c>
      <c r="D1299" s="213" t="s">
        <v>592</v>
      </c>
      <c r="E1299" s="213" t="str">
        <f t="shared" si="71"/>
        <v>20130701LGUM_368</v>
      </c>
      <c r="F1299" s="214"/>
      <c r="G1299" s="214"/>
      <c r="H1299" s="214"/>
      <c r="I1299" s="214"/>
      <c r="J1299" s="221"/>
    </row>
    <row r="1300" spans="1:10">
      <c r="A1300" s="220">
        <v>20130701</v>
      </c>
      <c r="B1300" s="213" t="s">
        <v>498</v>
      </c>
      <c r="C1300" s="213" t="str">
        <f t="shared" si="70"/>
        <v>20130701RLS</v>
      </c>
      <c r="D1300" s="213" t="s">
        <v>593</v>
      </c>
      <c r="E1300" s="213" t="str">
        <f t="shared" si="71"/>
        <v>20130701LGUM_369</v>
      </c>
      <c r="F1300" s="214"/>
      <c r="G1300" s="214"/>
      <c r="H1300" s="214"/>
      <c r="I1300" s="214"/>
      <c r="J1300" s="221"/>
    </row>
    <row r="1301" spans="1:10">
      <c r="A1301" s="220">
        <v>20130701</v>
      </c>
      <c r="B1301" s="213" t="s">
        <v>498</v>
      </c>
      <c r="C1301" s="213" t="str">
        <f t="shared" si="70"/>
        <v>20130701RLS</v>
      </c>
      <c r="D1301" s="213" t="s">
        <v>315</v>
      </c>
      <c r="E1301" s="213" t="str">
        <f t="shared" si="71"/>
        <v>20130701LGUM_370</v>
      </c>
      <c r="F1301" s="214"/>
      <c r="G1301" s="214"/>
      <c r="H1301" s="214"/>
      <c r="I1301" s="214"/>
      <c r="J1301" s="221"/>
    </row>
    <row r="1302" spans="1:10">
      <c r="A1302" s="220">
        <v>20130701</v>
      </c>
      <c r="B1302" s="213" t="s">
        <v>498</v>
      </c>
      <c r="C1302" s="213" t="str">
        <f t="shared" si="70"/>
        <v>20130701RLS</v>
      </c>
      <c r="D1302" s="213" t="s">
        <v>316</v>
      </c>
      <c r="E1302" s="213" t="str">
        <f t="shared" si="71"/>
        <v>20130701LGUM_371</v>
      </c>
      <c r="F1302" s="214"/>
      <c r="G1302" s="214"/>
      <c r="H1302" s="214"/>
      <c r="I1302" s="214"/>
      <c r="J1302" s="221"/>
    </row>
    <row r="1303" spans="1:10">
      <c r="A1303" s="220">
        <v>20130701</v>
      </c>
      <c r="B1303" s="213" t="s">
        <v>498</v>
      </c>
      <c r="C1303" s="213" t="str">
        <f t="shared" si="70"/>
        <v>20130701RLS</v>
      </c>
      <c r="D1303" s="213" t="s">
        <v>317</v>
      </c>
      <c r="E1303" s="213" t="str">
        <f t="shared" si="71"/>
        <v>20130701LGUM_372</v>
      </c>
      <c r="F1303" s="214"/>
      <c r="G1303" s="214"/>
      <c r="H1303" s="214"/>
      <c r="I1303" s="214"/>
      <c r="J1303" s="221"/>
    </row>
    <row r="1304" spans="1:10">
      <c r="A1304" s="220">
        <v>20130701</v>
      </c>
      <c r="B1304" s="213" t="s">
        <v>498</v>
      </c>
      <c r="C1304" s="213" t="str">
        <f t="shared" si="70"/>
        <v>20130701RLS</v>
      </c>
      <c r="D1304" s="213" t="s">
        <v>318</v>
      </c>
      <c r="E1304" s="213" t="str">
        <f t="shared" si="71"/>
        <v>20130701LGUM_373</v>
      </c>
      <c r="F1304" s="214"/>
      <c r="G1304" s="214"/>
      <c r="H1304" s="214"/>
      <c r="I1304" s="214"/>
      <c r="J1304" s="221"/>
    </row>
    <row r="1305" spans="1:10">
      <c r="A1305" s="220">
        <v>20130701</v>
      </c>
      <c r="B1305" s="213" t="s">
        <v>498</v>
      </c>
      <c r="C1305" s="213" t="str">
        <f t="shared" si="70"/>
        <v>20130701RLS</v>
      </c>
      <c r="D1305" s="213" t="s">
        <v>319</v>
      </c>
      <c r="E1305" s="213" t="str">
        <f t="shared" si="71"/>
        <v>20130701LGUM_374</v>
      </c>
      <c r="F1305" s="214"/>
      <c r="G1305" s="214"/>
      <c r="H1305" s="214"/>
      <c r="I1305" s="214"/>
      <c r="J1305" s="221"/>
    </row>
    <row r="1306" spans="1:10">
      <c r="A1306" s="220">
        <v>20130701</v>
      </c>
      <c r="B1306" s="213" t="s">
        <v>498</v>
      </c>
      <c r="C1306" s="213" t="str">
        <f t="shared" si="70"/>
        <v>20130701RLS</v>
      </c>
      <c r="D1306" s="213" t="s">
        <v>320</v>
      </c>
      <c r="E1306" s="213" t="str">
        <f t="shared" si="71"/>
        <v>20130701LGUM_375</v>
      </c>
      <c r="F1306" s="214"/>
      <c r="G1306" s="214"/>
      <c r="H1306" s="214"/>
      <c r="I1306" s="214"/>
      <c r="J1306" s="221"/>
    </row>
    <row r="1307" spans="1:10">
      <c r="A1307" s="220">
        <v>20130701</v>
      </c>
      <c r="B1307" s="213" t="s">
        <v>498</v>
      </c>
      <c r="C1307" s="213" t="str">
        <f t="shared" si="70"/>
        <v>20130701RLS</v>
      </c>
      <c r="D1307" s="213" t="s">
        <v>321</v>
      </c>
      <c r="E1307" s="213" t="str">
        <f t="shared" si="71"/>
        <v>20130701LGUM_376</v>
      </c>
      <c r="F1307" s="214"/>
      <c r="G1307" s="214"/>
      <c r="H1307" s="214"/>
      <c r="I1307" s="214"/>
      <c r="J1307" s="221"/>
    </row>
    <row r="1308" spans="1:10">
      <c r="A1308" s="220">
        <v>20130701</v>
      </c>
      <c r="B1308" s="213" t="s">
        <v>498</v>
      </c>
      <c r="C1308" s="213" t="str">
        <f t="shared" si="70"/>
        <v>20130701RLS</v>
      </c>
      <c r="D1308" s="213" t="s">
        <v>322</v>
      </c>
      <c r="E1308" s="213" t="str">
        <f t="shared" si="71"/>
        <v>20130701LGUM_377</v>
      </c>
      <c r="F1308" s="214"/>
      <c r="G1308" s="214"/>
      <c r="H1308" s="214"/>
      <c r="I1308" s="214"/>
      <c r="J1308" s="221"/>
    </row>
    <row r="1309" spans="1:10">
      <c r="A1309" s="220">
        <v>20130701</v>
      </c>
      <c r="B1309" s="213" t="s">
        <v>498</v>
      </c>
      <c r="C1309" s="213" t="str">
        <f t="shared" si="70"/>
        <v>20130701RLS</v>
      </c>
      <c r="D1309" s="213" t="s">
        <v>323</v>
      </c>
      <c r="E1309" s="213" t="str">
        <f t="shared" si="71"/>
        <v>20130701LGUM_378</v>
      </c>
      <c r="F1309" s="214"/>
      <c r="G1309" s="214"/>
      <c r="H1309" s="214"/>
      <c r="I1309" s="214"/>
      <c r="J1309" s="221"/>
    </row>
    <row r="1310" spans="1:10">
      <c r="A1310" s="220">
        <v>20130701</v>
      </c>
      <c r="B1310" s="213" t="s">
        <v>498</v>
      </c>
      <c r="C1310" s="213" t="str">
        <f t="shared" si="70"/>
        <v>20130701RLS</v>
      </c>
      <c r="D1310" s="213" t="s">
        <v>324</v>
      </c>
      <c r="E1310" s="213" t="str">
        <f t="shared" si="71"/>
        <v>20130701LGUM_379</v>
      </c>
      <c r="F1310" s="214"/>
      <c r="G1310" s="214"/>
      <c r="H1310" s="214"/>
      <c r="I1310" s="214"/>
      <c r="J1310" s="221"/>
    </row>
    <row r="1311" spans="1:10">
      <c r="A1311" s="220">
        <v>20130701</v>
      </c>
      <c r="B1311" s="213" t="s">
        <v>498</v>
      </c>
      <c r="C1311" s="213" t="str">
        <f t="shared" si="70"/>
        <v>20130701RLS</v>
      </c>
      <c r="D1311" s="213" t="s">
        <v>325</v>
      </c>
      <c r="E1311" s="213" t="str">
        <f t="shared" si="71"/>
        <v>20130701LGUM_380</v>
      </c>
      <c r="F1311" s="214"/>
      <c r="G1311" s="214"/>
      <c r="H1311" s="214"/>
      <c r="I1311" s="214"/>
      <c r="J1311" s="221"/>
    </row>
    <row r="1312" spans="1:10">
      <c r="A1312" s="220">
        <v>20130701</v>
      </c>
      <c r="B1312" s="213" t="s">
        <v>498</v>
      </c>
      <c r="C1312" s="213" t="str">
        <f t="shared" si="70"/>
        <v>20130701RLS</v>
      </c>
      <c r="D1312" s="213" t="s">
        <v>326</v>
      </c>
      <c r="E1312" s="213" t="str">
        <f t="shared" si="71"/>
        <v>20130701LGUM_381</v>
      </c>
      <c r="F1312" s="214"/>
      <c r="G1312" s="214"/>
      <c r="H1312" s="214"/>
      <c r="I1312" s="214"/>
      <c r="J1312" s="221"/>
    </row>
    <row r="1313" spans="1:10">
      <c r="A1313" s="220">
        <v>20130701</v>
      </c>
      <c r="B1313" s="213" t="s">
        <v>498</v>
      </c>
      <c r="C1313" s="213" t="str">
        <f t="shared" si="70"/>
        <v>20130701RLS</v>
      </c>
      <c r="D1313" s="213" t="s">
        <v>327</v>
      </c>
      <c r="E1313" s="213" t="str">
        <f t="shared" si="71"/>
        <v>20130701LGUM_382</v>
      </c>
      <c r="F1313" s="214"/>
      <c r="G1313" s="214"/>
      <c r="H1313" s="214"/>
      <c r="I1313" s="214"/>
      <c r="J1313" s="221"/>
    </row>
    <row r="1314" spans="1:10">
      <c r="A1314" s="220">
        <v>20130701</v>
      </c>
      <c r="B1314" s="213" t="s">
        <v>498</v>
      </c>
      <c r="C1314" s="213" t="str">
        <f t="shared" si="70"/>
        <v>20130701RLS</v>
      </c>
      <c r="D1314" s="213" t="s">
        <v>328</v>
      </c>
      <c r="E1314" s="213" t="str">
        <f t="shared" si="71"/>
        <v>20130701LGUM_383</v>
      </c>
      <c r="F1314" s="214"/>
      <c r="G1314" s="214"/>
      <c r="H1314" s="214"/>
      <c r="I1314" s="214"/>
      <c r="J1314" s="221"/>
    </row>
    <row r="1315" spans="1:10">
      <c r="A1315" s="220">
        <v>20130701</v>
      </c>
      <c r="B1315" s="213" t="s">
        <v>498</v>
      </c>
      <c r="C1315" s="213" t="str">
        <f t="shared" si="70"/>
        <v>20130701RLS</v>
      </c>
      <c r="D1315" s="218" t="s">
        <v>871</v>
      </c>
      <c r="E1315" s="213" t="str">
        <f t="shared" si="71"/>
        <v>20130701LGUM_384</v>
      </c>
      <c r="F1315" s="214"/>
      <c r="G1315" s="214"/>
      <c r="H1315" s="214"/>
      <c r="I1315" s="214"/>
      <c r="J1315" s="222"/>
    </row>
    <row r="1316" spans="1:10">
      <c r="A1316" s="220">
        <v>20130701</v>
      </c>
      <c r="B1316" s="213" t="s">
        <v>498</v>
      </c>
      <c r="C1316" s="213" t="str">
        <f t="shared" si="70"/>
        <v>20130701RLS</v>
      </c>
      <c r="D1316" s="218" t="s">
        <v>873</v>
      </c>
      <c r="E1316" s="213" t="str">
        <f t="shared" si="71"/>
        <v>20130701LGUM_385</v>
      </c>
      <c r="F1316" s="214"/>
      <c r="G1316" s="214"/>
      <c r="H1316" s="214"/>
      <c r="I1316" s="214"/>
      <c r="J1316" s="222"/>
    </row>
    <row r="1317" spans="1:10">
      <c r="A1317" s="220">
        <v>20130701</v>
      </c>
      <c r="B1317" s="213" t="s">
        <v>725</v>
      </c>
      <c r="C1317" s="213" t="str">
        <f t="shared" si="70"/>
        <v>20130701DSK</v>
      </c>
      <c r="D1317" s="218" t="s">
        <v>377</v>
      </c>
      <c r="E1317" s="213" t="str">
        <f t="shared" si="71"/>
        <v>20130701LGUM_400</v>
      </c>
      <c r="F1317" s="214">
        <v>23.54</v>
      </c>
      <c r="G1317" s="214">
        <f t="shared" ref="G1317:G1320" si="79">VLOOKUP(D1317,$D$1033:$I$1203,4,FALSE)</f>
        <v>0.02</v>
      </c>
      <c r="H1317" s="214">
        <f>F1317-G1317-I1317</f>
        <v>1.0199999999999996</v>
      </c>
      <c r="I1317" s="214">
        <v>22.5</v>
      </c>
      <c r="J1317" s="220" t="s">
        <v>1071</v>
      </c>
    </row>
    <row r="1318" spans="1:10">
      <c r="A1318" s="220">
        <v>20130701</v>
      </c>
      <c r="B1318" s="213" t="s">
        <v>725</v>
      </c>
      <c r="C1318" s="213" t="str">
        <f t="shared" si="70"/>
        <v>20130701DSK</v>
      </c>
      <c r="D1318" s="218" t="s">
        <v>737</v>
      </c>
      <c r="E1318" s="213" t="str">
        <f t="shared" si="71"/>
        <v>20130701LGUM_401</v>
      </c>
      <c r="F1318" s="214">
        <v>24.66</v>
      </c>
      <c r="G1318" s="214">
        <f t="shared" si="79"/>
        <v>0.03</v>
      </c>
      <c r="H1318" s="214">
        <f>F1318-G1318-I1318</f>
        <v>1.0599999999999987</v>
      </c>
      <c r="I1318" s="214">
        <v>23.57</v>
      </c>
      <c r="J1318" s="220" t="s">
        <v>1072</v>
      </c>
    </row>
    <row r="1319" spans="1:10">
      <c r="A1319" s="220">
        <v>20130701</v>
      </c>
      <c r="B1319" s="213" t="s">
        <v>606</v>
      </c>
      <c r="C1319" s="213" t="str">
        <f t="shared" si="70"/>
        <v>20130701LS</v>
      </c>
      <c r="D1319" s="213" t="s">
        <v>329</v>
      </c>
      <c r="E1319" s="213" t="str">
        <f t="shared" si="71"/>
        <v>20130701LGUM_412</v>
      </c>
      <c r="F1319" s="214">
        <v>19.559999999999999</v>
      </c>
      <c r="G1319" s="214">
        <f t="shared" si="79"/>
        <v>0.03</v>
      </c>
      <c r="H1319" s="214">
        <f>F1319-G1319-I1319</f>
        <v>0.74999999999999645</v>
      </c>
      <c r="I1319" s="214">
        <v>18.78</v>
      </c>
      <c r="J1319" s="220" t="s">
        <v>1054</v>
      </c>
    </row>
    <row r="1320" spans="1:10">
      <c r="A1320" s="220">
        <v>20130701</v>
      </c>
      <c r="B1320" s="213" t="s">
        <v>606</v>
      </c>
      <c r="C1320" s="213" t="str">
        <f t="shared" si="70"/>
        <v>20130701LS</v>
      </c>
      <c r="D1320" s="213" t="s">
        <v>330</v>
      </c>
      <c r="E1320" s="213" t="str">
        <f t="shared" si="71"/>
        <v>20130701LGUM_413</v>
      </c>
      <c r="F1320" s="214">
        <v>20.25</v>
      </c>
      <c r="G1320" s="214">
        <f t="shared" si="79"/>
        <v>0.03</v>
      </c>
      <c r="H1320" s="214">
        <f>F1320-G1320-I1320</f>
        <v>1.0599999999999987</v>
      </c>
      <c r="I1320" s="214">
        <v>19.16</v>
      </c>
      <c r="J1320" s="220" t="s">
        <v>1055</v>
      </c>
    </row>
    <row r="1321" spans="1:10">
      <c r="A1321" s="220">
        <v>20130701</v>
      </c>
      <c r="B1321" s="213" t="s">
        <v>606</v>
      </c>
      <c r="C1321" s="213" t="str">
        <f t="shared" si="70"/>
        <v>20130701LS</v>
      </c>
      <c r="D1321" s="213" t="s">
        <v>331</v>
      </c>
      <c r="E1321" s="213" t="str">
        <f t="shared" si="71"/>
        <v>20130701LGUM_414</v>
      </c>
      <c r="F1321" s="214"/>
      <c r="G1321" s="214"/>
      <c r="H1321" s="214"/>
      <c r="I1321" s="214"/>
      <c r="J1321" s="221"/>
    </row>
    <row r="1322" spans="1:10">
      <c r="A1322" s="220">
        <v>20130701</v>
      </c>
      <c r="B1322" s="213" t="s">
        <v>606</v>
      </c>
      <c r="C1322" s="213" t="str">
        <f t="shared" si="70"/>
        <v>20130701LS</v>
      </c>
      <c r="D1322" s="213" t="s">
        <v>332</v>
      </c>
      <c r="E1322" s="213" t="str">
        <f t="shared" si="71"/>
        <v>20130701LGUM_415</v>
      </c>
      <c r="F1322" s="214">
        <v>19.95</v>
      </c>
      <c r="G1322" s="214">
        <f t="shared" ref="G1322:G1324" si="80">VLOOKUP(D1322,$D$1033:$I$1203,4,FALSE)</f>
        <v>0.03</v>
      </c>
      <c r="H1322" s="214">
        <f>F1322-G1322-I1322</f>
        <v>0.75</v>
      </c>
      <c r="I1322" s="214">
        <v>19.169999999999998</v>
      </c>
      <c r="J1322" s="220" t="s">
        <v>1056</v>
      </c>
    </row>
    <row r="1323" spans="1:10">
      <c r="A1323" s="220">
        <v>20130701</v>
      </c>
      <c r="B1323" s="213" t="s">
        <v>606</v>
      </c>
      <c r="C1323" s="213" t="str">
        <f t="shared" si="70"/>
        <v>20130701LS</v>
      </c>
      <c r="D1323" s="213" t="s">
        <v>333</v>
      </c>
      <c r="E1323" s="213" t="str">
        <f t="shared" si="71"/>
        <v>20130701LGUM_416</v>
      </c>
      <c r="F1323" s="214">
        <v>22.32</v>
      </c>
      <c r="G1323" s="214">
        <f t="shared" si="80"/>
        <v>0.03</v>
      </c>
      <c r="H1323" s="214">
        <f>F1323-G1323-I1323</f>
        <v>1.0599999999999987</v>
      </c>
      <c r="I1323" s="214">
        <v>21.23</v>
      </c>
      <c r="J1323" s="220" t="s">
        <v>1057</v>
      </c>
    </row>
    <row r="1324" spans="1:10">
      <c r="A1324" s="220">
        <v>20130701</v>
      </c>
      <c r="B1324" s="223" t="s">
        <v>498</v>
      </c>
      <c r="C1324" s="213" t="str">
        <f t="shared" si="70"/>
        <v>20130701RLS</v>
      </c>
      <c r="D1324" s="213" t="s">
        <v>334</v>
      </c>
      <c r="E1324" s="213" t="str">
        <f t="shared" si="71"/>
        <v>20130701LGUM_417</v>
      </c>
      <c r="F1324" s="214">
        <v>23.44</v>
      </c>
      <c r="G1324" s="214">
        <f t="shared" si="80"/>
        <v>0.03</v>
      </c>
      <c r="H1324" s="214">
        <f>F1324-G1324-I1324</f>
        <v>1.0300000000000011</v>
      </c>
      <c r="I1324" s="214">
        <v>22.38</v>
      </c>
      <c r="J1324" s="212" t="s">
        <v>1099</v>
      </c>
    </row>
    <row r="1325" spans="1:10">
      <c r="A1325" s="220">
        <v>20130701</v>
      </c>
      <c r="B1325" s="213" t="s">
        <v>606</v>
      </c>
      <c r="C1325" s="213" t="str">
        <f t="shared" si="70"/>
        <v>20130701LS</v>
      </c>
      <c r="D1325" s="213" t="s">
        <v>335</v>
      </c>
      <c r="E1325" s="213" t="str">
        <f t="shared" si="71"/>
        <v>20130701LGUM_418</v>
      </c>
      <c r="F1325" s="214"/>
      <c r="G1325" s="214"/>
      <c r="H1325" s="214"/>
      <c r="I1325" s="214"/>
      <c r="J1325" s="221"/>
    </row>
    <row r="1326" spans="1:10">
      <c r="A1326" s="220">
        <v>20130701</v>
      </c>
      <c r="B1326" s="223" t="s">
        <v>498</v>
      </c>
      <c r="C1326" s="213" t="str">
        <f t="shared" si="70"/>
        <v>20130701RLS</v>
      </c>
      <c r="D1326" s="213" t="s">
        <v>336</v>
      </c>
      <c r="E1326" s="213" t="str">
        <f t="shared" si="71"/>
        <v>20130701LGUM_419</v>
      </c>
      <c r="F1326" s="214">
        <v>24.41</v>
      </c>
      <c r="G1326" s="214">
        <f t="shared" ref="G1326:G1340" si="81">VLOOKUP(D1326,$D$1033:$I$1203,4,FALSE)</f>
        <v>0.01</v>
      </c>
      <c r="H1326" s="214">
        <f t="shared" ref="H1326:H1340" si="82">F1326-G1326-I1326</f>
        <v>1.6499999999999986</v>
      </c>
      <c r="I1326" s="214">
        <v>22.75</v>
      </c>
      <c r="J1326" s="220" t="s">
        <v>1100</v>
      </c>
    </row>
    <row r="1327" spans="1:10">
      <c r="A1327" s="220">
        <v>20130701</v>
      </c>
      <c r="B1327" s="213" t="s">
        <v>606</v>
      </c>
      <c r="C1327" s="213" t="str">
        <f t="shared" si="70"/>
        <v>20130701LS</v>
      </c>
      <c r="D1327" s="213" t="s">
        <v>337</v>
      </c>
      <c r="E1327" s="213" t="str">
        <f t="shared" si="71"/>
        <v>20130701LGUM_420</v>
      </c>
      <c r="F1327" s="214">
        <v>29.66</v>
      </c>
      <c r="G1327" s="214">
        <f t="shared" si="81"/>
        <v>0.01</v>
      </c>
      <c r="H1327" s="214">
        <f t="shared" si="82"/>
        <v>1.6499999999999986</v>
      </c>
      <c r="I1327" s="214">
        <v>28</v>
      </c>
      <c r="J1327" s="212" t="s">
        <v>1068</v>
      </c>
    </row>
    <row r="1328" spans="1:10">
      <c r="A1328" s="220">
        <v>20130701</v>
      </c>
      <c r="B1328" s="213" t="s">
        <v>606</v>
      </c>
      <c r="C1328" s="213" t="str">
        <f t="shared" si="70"/>
        <v>20130701LS</v>
      </c>
      <c r="D1328" s="213" t="s">
        <v>338</v>
      </c>
      <c r="E1328" s="213" t="str">
        <f t="shared" si="71"/>
        <v>20130701LGUM_421</v>
      </c>
      <c r="F1328" s="214">
        <v>32.6</v>
      </c>
      <c r="G1328" s="214">
        <f t="shared" si="81"/>
        <v>0.01</v>
      </c>
      <c r="H1328" s="214">
        <f t="shared" si="82"/>
        <v>2.6700000000000017</v>
      </c>
      <c r="I1328" s="214">
        <v>29.92</v>
      </c>
      <c r="J1328" s="220" t="s">
        <v>1069</v>
      </c>
    </row>
    <row r="1329" spans="1:10">
      <c r="A1329" s="220">
        <v>20130701</v>
      </c>
      <c r="B1329" s="213" t="s">
        <v>606</v>
      </c>
      <c r="C1329" s="213" t="str">
        <f t="shared" si="70"/>
        <v>20130701LS</v>
      </c>
      <c r="D1329" s="213" t="s">
        <v>339</v>
      </c>
      <c r="E1329" s="213" t="str">
        <f t="shared" si="71"/>
        <v>20130701LGUM_422</v>
      </c>
      <c r="F1329" s="214">
        <v>38.119999999999997</v>
      </c>
      <c r="G1329" s="214">
        <f t="shared" si="81"/>
        <v>0.02</v>
      </c>
      <c r="H1329" s="214">
        <f t="shared" si="82"/>
        <v>4.279999999999994</v>
      </c>
      <c r="I1329" s="214">
        <v>33.82</v>
      </c>
      <c r="J1329" s="220" t="s">
        <v>1070</v>
      </c>
    </row>
    <row r="1330" spans="1:10">
      <c r="A1330" s="220">
        <v>20130701</v>
      </c>
      <c r="B1330" s="213" t="s">
        <v>606</v>
      </c>
      <c r="C1330" s="213" t="str">
        <f t="shared" si="70"/>
        <v>20130701LS</v>
      </c>
      <c r="D1330" s="213" t="s">
        <v>340</v>
      </c>
      <c r="E1330" s="213" t="str">
        <f t="shared" si="71"/>
        <v>20130701LGUM_423</v>
      </c>
      <c r="F1330" s="214">
        <v>26.12</v>
      </c>
      <c r="G1330" s="214">
        <f t="shared" si="81"/>
        <v>0.01</v>
      </c>
      <c r="H1330" s="214">
        <f t="shared" si="82"/>
        <v>1.6500000000000021</v>
      </c>
      <c r="I1330" s="214">
        <v>24.459999999999997</v>
      </c>
      <c r="J1330" s="212" t="s">
        <v>1062</v>
      </c>
    </row>
    <row r="1331" spans="1:10">
      <c r="A1331" s="220">
        <v>20130701</v>
      </c>
      <c r="B1331" s="213" t="s">
        <v>606</v>
      </c>
      <c r="C1331" s="213" t="str">
        <f t="shared" si="70"/>
        <v>20130701LS</v>
      </c>
      <c r="D1331" s="213" t="s">
        <v>341</v>
      </c>
      <c r="E1331" s="213" t="str">
        <f t="shared" si="71"/>
        <v>20130701LGUM_424</v>
      </c>
      <c r="F1331" s="214">
        <v>28.19</v>
      </c>
      <c r="G1331" s="214">
        <f t="shared" si="81"/>
        <v>0.01</v>
      </c>
      <c r="H1331" s="214">
        <f t="shared" si="82"/>
        <v>3.9800000000000004</v>
      </c>
      <c r="I1331" s="214">
        <v>24.2</v>
      </c>
      <c r="J1331" s="220" t="s">
        <v>1063</v>
      </c>
    </row>
    <row r="1332" spans="1:10">
      <c r="A1332" s="220">
        <v>20130701</v>
      </c>
      <c r="B1332" s="213" t="s">
        <v>606</v>
      </c>
      <c r="C1332" s="213" t="str">
        <f t="shared" si="70"/>
        <v>20130701LS</v>
      </c>
      <c r="D1332" s="213" t="s">
        <v>342</v>
      </c>
      <c r="E1332" s="213" t="str">
        <f t="shared" si="71"/>
        <v>20130701LGUM_425</v>
      </c>
      <c r="F1332" s="214">
        <v>33.76</v>
      </c>
      <c r="G1332" s="214">
        <f t="shared" si="81"/>
        <v>0.02</v>
      </c>
      <c r="H1332" s="214">
        <f t="shared" si="82"/>
        <v>4.2799999999999976</v>
      </c>
      <c r="I1332" s="214">
        <v>29.459999999999997</v>
      </c>
      <c r="J1332" s="220" t="s">
        <v>1064</v>
      </c>
    </row>
    <row r="1333" spans="1:10">
      <c r="A1333" s="220">
        <v>20130701</v>
      </c>
      <c r="B1333" s="223" t="s">
        <v>498</v>
      </c>
      <c r="C1333" s="213" t="str">
        <f t="shared" si="70"/>
        <v>20130701RLS</v>
      </c>
      <c r="D1333" s="213" t="s">
        <v>343</v>
      </c>
      <c r="E1333" s="213" t="str">
        <f t="shared" si="71"/>
        <v>20130701LGUM_426</v>
      </c>
      <c r="F1333" s="214">
        <v>32.99</v>
      </c>
      <c r="G1333" s="214">
        <f t="shared" si="81"/>
        <v>0.03</v>
      </c>
      <c r="H1333" s="214">
        <f t="shared" si="82"/>
        <v>0.75</v>
      </c>
      <c r="I1333" s="214">
        <v>32.21</v>
      </c>
      <c r="J1333" s="220" t="s">
        <v>1105</v>
      </c>
    </row>
    <row r="1334" spans="1:10">
      <c r="A1334" s="220">
        <v>20130701</v>
      </c>
      <c r="B1334" s="213" t="s">
        <v>606</v>
      </c>
      <c r="C1334" s="213" t="str">
        <f t="shared" si="70"/>
        <v>20130701LS</v>
      </c>
      <c r="D1334" s="213" t="s">
        <v>344</v>
      </c>
      <c r="E1334" s="213" t="str">
        <f t="shared" si="71"/>
        <v>20130701LGUM_427</v>
      </c>
      <c r="F1334" s="214">
        <v>34.97</v>
      </c>
      <c r="G1334" s="214">
        <f t="shared" si="81"/>
        <v>0.03</v>
      </c>
      <c r="H1334" s="214">
        <f t="shared" si="82"/>
        <v>0.75</v>
      </c>
      <c r="I1334" s="214">
        <v>34.19</v>
      </c>
      <c r="J1334" s="220" t="s">
        <v>1058</v>
      </c>
    </row>
    <row r="1335" spans="1:10">
      <c r="A1335" s="220">
        <v>20130701</v>
      </c>
      <c r="B1335" s="223" t="s">
        <v>498</v>
      </c>
      <c r="C1335" s="213" t="str">
        <f t="shared" si="70"/>
        <v>20130701RLS</v>
      </c>
      <c r="D1335" s="213" t="s">
        <v>345</v>
      </c>
      <c r="E1335" s="213" t="str">
        <f t="shared" si="71"/>
        <v>20130701LGUM_428</v>
      </c>
      <c r="F1335" s="214">
        <v>33.85</v>
      </c>
      <c r="G1335" s="214">
        <f t="shared" si="81"/>
        <v>0.03</v>
      </c>
      <c r="H1335" s="214">
        <f t="shared" si="82"/>
        <v>1.0600000000000023</v>
      </c>
      <c r="I1335" s="214">
        <v>32.76</v>
      </c>
      <c r="J1335" s="220" t="s">
        <v>1106</v>
      </c>
    </row>
    <row r="1336" spans="1:10">
      <c r="A1336" s="220">
        <v>20130701</v>
      </c>
      <c r="B1336" s="213" t="s">
        <v>606</v>
      </c>
      <c r="C1336" s="213" t="str">
        <f t="shared" si="70"/>
        <v>20130701LS</v>
      </c>
      <c r="D1336" s="213" t="s">
        <v>346</v>
      </c>
      <c r="E1336" s="213" t="str">
        <f t="shared" si="71"/>
        <v>20130701LGUM_429</v>
      </c>
      <c r="F1336" s="214">
        <v>35.83</v>
      </c>
      <c r="G1336" s="214">
        <f t="shared" si="81"/>
        <v>0.03</v>
      </c>
      <c r="H1336" s="214">
        <f t="shared" si="82"/>
        <v>1.0599999999999952</v>
      </c>
      <c r="I1336" s="214">
        <v>34.74</v>
      </c>
      <c r="J1336" s="220" t="s">
        <v>1059</v>
      </c>
    </row>
    <row r="1337" spans="1:10">
      <c r="A1337" s="220">
        <v>20130701</v>
      </c>
      <c r="B1337" s="223" t="s">
        <v>498</v>
      </c>
      <c r="C1337" s="213" t="str">
        <f t="shared" si="70"/>
        <v>20130701RLS</v>
      </c>
      <c r="D1337" s="213" t="s">
        <v>347</v>
      </c>
      <c r="E1337" s="213" t="str">
        <f t="shared" si="71"/>
        <v>20130701LGUM_430</v>
      </c>
      <c r="F1337" s="214">
        <v>32.03</v>
      </c>
      <c r="G1337" s="214">
        <f t="shared" si="81"/>
        <v>0.03</v>
      </c>
      <c r="H1337" s="214">
        <f t="shared" si="82"/>
        <v>0.75</v>
      </c>
      <c r="I1337" s="214">
        <v>31.25</v>
      </c>
      <c r="J1337" s="220" t="s">
        <v>1107</v>
      </c>
    </row>
    <row r="1338" spans="1:10">
      <c r="A1338" s="220">
        <v>20130701</v>
      </c>
      <c r="B1338" s="213" t="s">
        <v>606</v>
      </c>
      <c r="C1338" s="213" t="str">
        <f t="shared" si="70"/>
        <v>20130701LS</v>
      </c>
      <c r="D1338" s="213" t="s">
        <v>348</v>
      </c>
      <c r="E1338" s="213" t="str">
        <f t="shared" si="71"/>
        <v>20130701LGUM_431</v>
      </c>
      <c r="F1338" s="214">
        <v>32.700000000000003</v>
      </c>
      <c r="G1338" s="214">
        <f t="shared" si="81"/>
        <v>0.03</v>
      </c>
      <c r="H1338" s="214">
        <f t="shared" si="82"/>
        <v>0.75</v>
      </c>
      <c r="I1338" s="214">
        <v>31.92</v>
      </c>
      <c r="J1338" s="220" t="s">
        <v>1060</v>
      </c>
    </row>
    <row r="1339" spans="1:10">
      <c r="A1339" s="220">
        <v>20130701</v>
      </c>
      <c r="B1339" s="223" t="s">
        <v>498</v>
      </c>
      <c r="C1339" s="213" t="str">
        <f t="shared" si="70"/>
        <v>20130701RLS</v>
      </c>
      <c r="D1339" s="213" t="s">
        <v>376</v>
      </c>
      <c r="E1339" s="213" t="str">
        <f t="shared" si="71"/>
        <v>20130701LGUM_432</v>
      </c>
      <c r="F1339" s="214">
        <v>34.090000000000003</v>
      </c>
      <c r="G1339" s="214">
        <f t="shared" si="81"/>
        <v>0.03</v>
      </c>
      <c r="H1339" s="214">
        <f t="shared" si="82"/>
        <v>1.0600000000000023</v>
      </c>
      <c r="I1339" s="214">
        <v>33</v>
      </c>
      <c r="J1339" s="220" t="s">
        <v>1108</v>
      </c>
    </row>
    <row r="1340" spans="1:10">
      <c r="A1340" s="220">
        <v>20130701</v>
      </c>
      <c r="B1340" s="213" t="s">
        <v>606</v>
      </c>
      <c r="C1340" s="213" t="str">
        <f t="shared" si="70"/>
        <v>20130701LS</v>
      </c>
      <c r="D1340" s="213" t="s">
        <v>349</v>
      </c>
      <c r="E1340" s="213" t="str">
        <f t="shared" si="71"/>
        <v>20130701LGUM_433</v>
      </c>
      <c r="F1340" s="214">
        <v>34.75</v>
      </c>
      <c r="G1340" s="214">
        <f t="shared" si="81"/>
        <v>0.03</v>
      </c>
      <c r="H1340" s="214">
        <f t="shared" si="82"/>
        <v>1.0600000000000023</v>
      </c>
      <c r="I1340" s="214">
        <v>33.659999999999997</v>
      </c>
      <c r="J1340" s="220" t="s">
        <v>1061</v>
      </c>
    </row>
    <row r="1341" spans="1:10">
      <c r="A1341" s="220">
        <v>20130701</v>
      </c>
      <c r="B1341" s="213" t="s">
        <v>606</v>
      </c>
      <c r="C1341" s="213" t="str">
        <f t="shared" si="70"/>
        <v>20130701LS</v>
      </c>
      <c r="D1341" s="213" t="s">
        <v>350</v>
      </c>
      <c r="E1341" s="213" t="str">
        <f t="shared" si="71"/>
        <v>20130701LGUM_434</v>
      </c>
      <c r="F1341" s="214"/>
      <c r="G1341" s="214"/>
      <c r="H1341" s="214"/>
      <c r="I1341" s="214"/>
      <c r="J1341" s="221"/>
    </row>
    <row r="1342" spans="1:10">
      <c r="A1342" s="220">
        <v>20130701</v>
      </c>
      <c r="B1342" s="213" t="s">
        <v>606</v>
      </c>
      <c r="C1342" s="213" t="str">
        <f t="shared" si="70"/>
        <v>20130701LS</v>
      </c>
      <c r="D1342" s="213" t="s">
        <v>351</v>
      </c>
      <c r="E1342" s="213" t="str">
        <f t="shared" si="71"/>
        <v>20130701LGUM_435</v>
      </c>
      <c r="F1342" s="214"/>
      <c r="G1342" s="214"/>
      <c r="H1342" s="214"/>
      <c r="I1342" s="214"/>
      <c r="J1342" s="221"/>
    </row>
    <row r="1343" spans="1:10">
      <c r="A1343" s="220">
        <v>20130701</v>
      </c>
      <c r="B1343" s="213" t="s">
        <v>606</v>
      </c>
      <c r="C1343" s="213" t="str">
        <f t="shared" si="70"/>
        <v>20130701LS</v>
      </c>
      <c r="D1343" s="213" t="s">
        <v>631</v>
      </c>
      <c r="E1343" s="213" t="str">
        <f t="shared" si="71"/>
        <v>20130701LGUM_436</v>
      </c>
      <c r="F1343" s="214"/>
      <c r="G1343" s="214"/>
      <c r="H1343" s="214"/>
      <c r="I1343" s="214"/>
      <c r="J1343" s="221"/>
    </row>
    <row r="1344" spans="1:10">
      <c r="A1344" s="220">
        <v>20130701</v>
      </c>
      <c r="B1344" s="213" t="s">
        <v>606</v>
      </c>
      <c r="C1344" s="213" t="str">
        <f t="shared" si="70"/>
        <v>20130701LS</v>
      </c>
      <c r="D1344" s="213" t="s">
        <v>352</v>
      </c>
      <c r="E1344" s="213" t="str">
        <f t="shared" si="71"/>
        <v>20130701LGUM_437</v>
      </c>
      <c r="F1344" s="214"/>
      <c r="G1344" s="214"/>
      <c r="H1344" s="214"/>
      <c r="I1344" s="214"/>
      <c r="J1344" s="221"/>
    </row>
    <row r="1345" spans="1:10">
      <c r="A1345" s="220">
        <v>20130701</v>
      </c>
      <c r="B1345" s="213" t="s">
        <v>606</v>
      </c>
      <c r="C1345" s="213" t="str">
        <f t="shared" si="70"/>
        <v>20130701LS</v>
      </c>
      <c r="D1345" s="213" t="s">
        <v>353</v>
      </c>
      <c r="E1345" s="213" t="str">
        <f t="shared" si="71"/>
        <v>20130701LGUM_438</v>
      </c>
      <c r="F1345" s="214"/>
      <c r="G1345" s="214"/>
      <c r="H1345" s="214"/>
      <c r="I1345" s="214"/>
      <c r="J1345" s="221"/>
    </row>
    <row r="1346" spans="1:10">
      <c r="A1346" s="220">
        <v>20130701</v>
      </c>
      <c r="B1346" s="213" t="s">
        <v>606</v>
      </c>
      <c r="C1346" s="213" t="str">
        <f t="shared" si="70"/>
        <v>20130701LS</v>
      </c>
      <c r="D1346" s="218" t="s">
        <v>729</v>
      </c>
      <c r="E1346" s="213" t="str">
        <f t="shared" si="71"/>
        <v>20130701LGUM_439</v>
      </c>
      <c r="F1346" s="214">
        <v>16.23</v>
      </c>
      <c r="G1346" s="214">
        <f t="shared" ref="G1346:G1355" si="83">VLOOKUP(D1346,$D$1033:$I$1203,4,FALSE)</f>
        <v>0.01</v>
      </c>
      <c r="H1346" s="214">
        <f t="shared" ref="H1346:H1355" si="84">F1346-G1346-I1346</f>
        <v>1.6499999999999986</v>
      </c>
      <c r="I1346" s="214">
        <v>14.57</v>
      </c>
      <c r="J1346" s="220" t="s">
        <v>1065</v>
      </c>
    </row>
    <row r="1347" spans="1:10">
      <c r="A1347" s="220">
        <v>20130701</v>
      </c>
      <c r="B1347" s="213" t="s">
        <v>606</v>
      </c>
      <c r="C1347" s="213" t="str">
        <f t="shared" si="70"/>
        <v>20130701LS</v>
      </c>
      <c r="D1347" s="218" t="s">
        <v>730</v>
      </c>
      <c r="E1347" s="213" t="str">
        <f t="shared" si="71"/>
        <v>20130701LGUM_440</v>
      </c>
      <c r="F1347" s="214">
        <v>18.02</v>
      </c>
      <c r="G1347" s="214">
        <f t="shared" si="83"/>
        <v>0.01</v>
      </c>
      <c r="H1347" s="214">
        <f t="shared" si="84"/>
        <v>2.67</v>
      </c>
      <c r="I1347" s="214">
        <v>15.339999999999998</v>
      </c>
      <c r="J1347" s="220" t="s">
        <v>1066</v>
      </c>
    </row>
    <row r="1348" spans="1:10">
      <c r="A1348" s="220">
        <v>20130701</v>
      </c>
      <c r="B1348" s="213" t="s">
        <v>606</v>
      </c>
      <c r="C1348" s="213" t="str">
        <f t="shared" si="70"/>
        <v>20130701LS</v>
      </c>
      <c r="D1348" s="218" t="s">
        <v>378</v>
      </c>
      <c r="E1348" s="213" t="str">
        <f t="shared" si="71"/>
        <v>20130701LGUM_441</v>
      </c>
      <c r="F1348" s="214">
        <v>22.05</v>
      </c>
      <c r="G1348" s="214">
        <f t="shared" si="83"/>
        <v>0.02</v>
      </c>
      <c r="H1348" s="214">
        <f t="shared" si="84"/>
        <v>4.2800000000000011</v>
      </c>
      <c r="I1348" s="214">
        <v>17.75</v>
      </c>
      <c r="J1348" s="220" t="s">
        <v>1067</v>
      </c>
    </row>
    <row r="1349" spans="1:10">
      <c r="A1349" s="220">
        <v>20130701</v>
      </c>
      <c r="B1349" s="213" t="s">
        <v>606</v>
      </c>
      <c r="C1349" s="213" t="str">
        <f>A1349&amp;B1349</f>
        <v>20130701LS</v>
      </c>
      <c r="D1349" s="217" t="s">
        <v>354</v>
      </c>
      <c r="E1349" s="213" t="str">
        <f>A1349&amp;D1349</f>
        <v>20130701LGUM_452</v>
      </c>
      <c r="F1349" s="214">
        <v>12.59</v>
      </c>
      <c r="G1349" s="214">
        <f t="shared" si="83"/>
        <v>0.01</v>
      </c>
      <c r="H1349" s="214">
        <f t="shared" si="84"/>
        <v>1.6500000000000004</v>
      </c>
      <c r="I1349" s="214">
        <v>10.93</v>
      </c>
      <c r="J1349" s="212" t="s">
        <v>1045</v>
      </c>
    </row>
    <row r="1350" spans="1:10">
      <c r="A1350" s="220">
        <v>20130701</v>
      </c>
      <c r="B1350" s="213" t="s">
        <v>606</v>
      </c>
      <c r="C1350" s="213" t="str">
        <f t="shared" ref="C1350:C1374" si="85">A1350&amp;B1350</f>
        <v>20130701LS</v>
      </c>
      <c r="D1350" s="213" t="s">
        <v>355</v>
      </c>
      <c r="E1350" s="213" t="str">
        <f t="shared" ref="E1350:E1374" si="86">A1350&amp;D1350</f>
        <v>20130701LGUM_453</v>
      </c>
      <c r="F1350" s="214">
        <v>14.83</v>
      </c>
      <c r="G1350" s="214">
        <f t="shared" si="83"/>
        <v>0.01</v>
      </c>
      <c r="H1350" s="214">
        <f t="shared" si="84"/>
        <v>3.9800000000000004</v>
      </c>
      <c r="I1350" s="214">
        <v>10.84</v>
      </c>
      <c r="J1350" s="220" t="s">
        <v>1046</v>
      </c>
    </row>
    <row r="1351" spans="1:10">
      <c r="A1351" s="220">
        <v>20130701</v>
      </c>
      <c r="B1351" s="213" t="s">
        <v>606</v>
      </c>
      <c r="C1351" s="213" t="str">
        <f t="shared" si="85"/>
        <v>20130701LS</v>
      </c>
      <c r="D1351" s="213" t="s">
        <v>356</v>
      </c>
      <c r="E1351" s="213" t="str">
        <f t="shared" si="86"/>
        <v>20130701LGUM_454</v>
      </c>
      <c r="F1351" s="214">
        <v>17.11</v>
      </c>
      <c r="G1351" s="214">
        <f t="shared" si="83"/>
        <v>0.02</v>
      </c>
      <c r="H1351" s="214">
        <f t="shared" si="84"/>
        <v>4.2800000000000011</v>
      </c>
      <c r="I1351" s="214">
        <v>12.809999999999999</v>
      </c>
      <c r="J1351" s="220" t="s">
        <v>1047</v>
      </c>
    </row>
    <row r="1352" spans="1:10">
      <c r="A1352" s="220">
        <v>20130701</v>
      </c>
      <c r="B1352" s="213" t="s">
        <v>606</v>
      </c>
      <c r="C1352" s="213" t="str">
        <f t="shared" si="85"/>
        <v>20130701LS</v>
      </c>
      <c r="D1352" s="213" t="s">
        <v>357</v>
      </c>
      <c r="E1352" s="213" t="str">
        <f t="shared" si="86"/>
        <v>20130701LGUM_455</v>
      </c>
      <c r="F1352" s="214">
        <v>13.54</v>
      </c>
      <c r="G1352" s="214">
        <f t="shared" si="83"/>
        <v>0.01</v>
      </c>
      <c r="H1352" s="214">
        <f t="shared" si="84"/>
        <v>1.6499999999999986</v>
      </c>
      <c r="I1352" s="214">
        <v>11.88</v>
      </c>
      <c r="J1352" s="220" t="s">
        <v>1048</v>
      </c>
    </row>
    <row r="1353" spans="1:10">
      <c r="A1353" s="220">
        <v>20130701</v>
      </c>
      <c r="B1353" s="213" t="s">
        <v>606</v>
      </c>
      <c r="C1353" s="213" t="str">
        <f t="shared" si="85"/>
        <v>20130701LS</v>
      </c>
      <c r="D1353" s="213" t="s">
        <v>358</v>
      </c>
      <c r="E1353" s="213" t="str">
        <f t="shared" si="86"/>
        <v>20130701LGUM_456</v>
      </c>
      <c r="F1353" s="214">
        <v>17.940000000000001</v>
      </c>
      <c r="G1353" s="214">
        <f t="shared" si="83"/>
        <v>0.02</v>
      </c>
      <c r="H1353" s="214">
        <f t="shared" si="84"/>
        <v>4.2800000000000011</v>
      </c>
      <c r="I1353" s="214">
        <v>13.64</v>
      </c>
      <c r="J1353" s="220" t="s">
        <v>1049</v>
      </c>
    </row>
    <row r="1354" spans="1:10">
      <c r="A1354" s="220">
        <v>20130701</v>
      </c>
      <c r="B1354" s="213" t="s">
        <v>606</v>
      </c>
      <c r="C1354" s="213" t="str">
        <f t="shared" si="85"/>
        <v>20130701LS</v>
      </c>
      <c r="D1354" s="213" t="s">
        <v>359</v>
      </c>
      <c r="E1354" s="213" t="str">
        <f t="shared" si="86"/>
        <v>20130701LGUM_457</v>
      </c>
      <c r="F1354" s="214">
        <v>10.62</v>
      </c>
      <c r="G1354" s="214">
        <f t="shared" si="83"/>
        <v>0.03</v>
      </c>
      <c r="H1354" s="214">
        <f t="shared" si="84"/>
        <v>1.0599999999999987</v>
      </c>
      <c r="I1354" s="214">
        <v>9.5300000000000011</v>
      </c>
      <c r="J1354" s="212" t="s">
        <v>1051</v>
      </c>
    </row>
    <row r="1355" spans="1:10">
      <c r="A1355" s="220">
        <v>20130701</v>
      </c>
      <c r="B1355" s="223" t="s">
        <v>498</v>
      </c>
      <c r="C1355" s="213" t="str">
        <f t="shared" si="85"/>
        <v>20130701RLS</v>
      </c>
      <c r="D1355" s="213" t="s">
        <v>360</v>
      </c>
      <c r="E1355" s="213" t="str">
        <f t="shared" si="86"/>
        <v>20130701LGUM_458</v>
      </c>
      <c r="F1355" s="214">
        <v>10.98</v>
      </c>
      <c r="G1355" s="214">
        <f t="shared" si="83"/>
        <v>0.01</v>
      </c>
      <c r="H1355" s="214">
        <f t="shared" si="84"/>
        <v>3.7700000000000014</v>
      </c>
      <c r="I1355" s="214">
        <v>7.1999999999999993</v>
      </c>
      <c r="J1355" s="212" t="s">
        <v>1080</v>
      </c>
    </row>
    <row r="1356" spans="1:10">
      <c r="A1356" s="220">
        <v>20130701</v>
      </c>
      <c r="B1356" s="213" t="s">
        <v>606</v>
      </c>
      <c r="C1356" s="213" t="str">
        <f t="shared" si="85"/>
        <v>20130701LS</v>
      </c>
      <c r="D1356" s="213" t="s">
        <v>361</v>
      </c>
      <c r="E1356" s="213" t="str">
        <f t="shared" si="86"/>
        <v>20130701LGUM_459</v>
      </c>
      <c r="F1356" s="214"/>
      <c r="G1356" s="214"/>
      <c r="H1356" s="214"/>
      <c r="I1356" s="214"/>
      <c r="J1356" s="221"/>
    </row>
    <row r="1357" spans="1:10">
      <c r="A1357" s="220">
        <v>20130701</v>
      </c>
      <c r="B1357" s="213" t="s">
        <v>606</v>
      </c>
      <c r="C1357" s="213" t="str">
        <f t="shared" si="85"/>
        <v>20130701LS</v>
      </c>
      <c r="D1357" s="213" t="s">
        <v>362</v>
      </c>
      <c r="E1357" s="213" t="str">
        <f t="shared" si="86"/>
        <v>20130701LGUM_460</v>
      </c>
      <c r="F1357" s="214"/>
      <c r="G1357" s="214"/>
      <c r="H1357" s="214"/>
      <c r="I1357" s="214"/>
      <c r="J1357" s="221"/>
    </row>
    <row r="1358" spans="1:10">
      <c r="A1358" s="220">
        <v>20130701</v>
      </c>
      <c r="B1358" s="213" t="s">
        <v>606</v>
      </c>
      <c r="C1358" s="213" t="str">
        <f t="shared" si="85"/>
        <v>20130701LS</v>
      </c>
      <c r="D1358" s="213" t="s">
        <v>363</v>
      </c>
      <c r="E1358" s="213" t="str">
        <f t="shared" si="86"/>
        <v>20130701LGUM_461</v>
      </c>
      <c r="F1358" s="214"/>
      <c r="G1358" s="214"/>
      <c r="H1358" s="214"/>
      <c r="I1358" s="214"/>
      <c r="J1358" s="221"/>
    </row>
    <row r="1359" spans="1:10">
      <c r="A1359" s="220">
        <v>20130701</v>
      </c>
      <c r="B1359" s="213" t="s">
        <v>606</v>
      </c>
      <c r="C1359" s="213" t="str">
        <f t="shared" si="85"/>
        <v>20130701LS</v>
      </c>
      <c r="D1359" s="213" t="s">
        <v>364</v>
      </c>
      <c r="E1359" s="213" t="str">
        <f t="shared" si="86"/>
        <v>20130701LGUM_462</v>
      </c>
      <c r="F1359" s="214"/>
      <c r="G1359" s="214"/>
      <c r="H1359" s="214"/>
      <c r="I1359" s="214"/>
      <c r="J1359" s="221"/>
    </row>
    <row r="1360" spans="1:10">
      <c r="A1360" s="220">
        <v>20130701</v>
      </c>
      <c r="B1360" s="213" t="s">
        <v>606</v>
      </c>
      <c r="C1360" s="213" t="str">
        <f t="shared" si="85"/>
        <v>20130701LS</v>
      </c>
      <c r="D1360" s="213" t="s">
        <v>365</v>
      </c>
      <c r="E1360" s="213" t="str">
        <f t="shared" si="86"/>
        <v>20130701LGUM_470</v>
      </c>
      <c r="F1360" s="214">
        <v>12.53</v>
      </c>
      <c r="G1360" s="214">
        <f t="shared" ref="G1360:G1361" si="87">VLOOKUP(D1360,$D$1033:$I$1203,4,FALSE)</f>
        <v>0.01</v>
      </c>
      <c r="H1360" s="214">
        <f>F1360-G1360-I1360</f>
        <v>1.3699999999999992</v>
      </c>
      <c r="I1360" s="214">
        <v>11.15</v>
      </c>
      <c r="J1360" s="212" t="s">
        <v>1050</v>
      </c>
    </row>
    <row r="1361" spans="1:16">
      <c r="A1361" s="220">
        <v>20130701</v>
      </c>
      <c r="B1361" s="223" t="s">
        <v>498</v>
      </c>
      <c r="C1361" s="213" t="str">
        <f t="shared" si="85"/>
        <v>20130701RLS</v>
      </c>
      <c r="D1361" s="213" t="s">
        <v>366</v>
      </c>
      <c r="E1361" s="213" t="str">
        <f t="shared" si="86"/>
        <v>20130701LGUM_471</v>
      </c>
      <c r="F1361" s="214">
        <v>14.81</v>
      </c>
      <c r="G1361" s="214">
        <f t="shared" si="87"/>
        <v>0.01</v>
      </c>
      <c r="H1361" s="214">
        <f>F1361-G1361-I1361</f>
        <v>1.3699999999999992</v>
      </c>
      <c r="I1361" s="214">
        <v>13.430000000000001</v>
      </c>
      <c r="J1361" s="220" t="s">
        <v>1089</v>
      </c>
    </row>
    <row r="1362" spans="1:16">
      <c r="A1362" s="220">
        <v>20130701</v>
      </c>
      <c r="B1362" s="213" t="s">
        <v>606</v>
      </c>
      <c r="C1362" s="213" t="str">
        <f t="shared" si="85"/>
        <v>20130701LS</v>
      </c>
      <c r="D1362" s="213" t="s">
        <v>648</v>
      </c>
      <c r="E1362" s="213" t="str">
        <f t="shared" si="86"/>
        <v>20130701LGUM_472</v>
      </c>
      <c r="F1362" s="214"/>
      <c r="G1362" s="214"/>
      <c r="H1362" s="214"/>
      <c r="I1362" s="214"/>
      <c r="J1362" s="221"/>
    </row>
    <row r="1363" spans="1:16">
      <c r="A1363" s="220">
        <v>20130701</v>
      </c>
      <c r="B1363" s="213" t="s">
        <v>606</v>
      </c>
      <c r="C1363" s="213" t="str">
        <f t="shared" si="85"/>
        <v>20130701LS</v>
      </c>
      <c r="D1363" s="213" t="s">
        <v>367</v>
      </c>
      <c r="E1363" s="213" t="str">
        <f t="shared" si="86"/>
        <v>20130701LGUM_473</v>
      </c>
      <c r="F1363" s="214">
        <v>18.399999999999999</v>
      </c>
      <c r="G1363" s="214">
        <f t="shared" ref="G1363:G1367" si="88">VLOOKUP(D1363,$D$1033:$I$1203,4,FALSE)</f>
        <v>0.02</v>
      </c>
      <c r="H1363" s="214">
        <f>F1363-G1363-I1363</f>
        <v>3.1799999999999979</v>
      </c>
      <c r="I1363" s="214">
        <v>15.200000000000001</v>
      </c>
      <c r="J1363" s="220" t="s">
        <v>1052</v>
      </c>
    </row>
    <row r="1364" spans="1:16">
      <c r="A1364" s="220">
        <v>20130701</v>
      </c>
      <c r="B1364" s="223" t="s">
        <v>498</v>
      </c>
      <c r="C1364" s="213" t="str">
        <f t="shared" si="85"/>
        <v>20130701RLS</v>
      </c>
      <c r="D1364" s="213" t="s">
        <v>368</v>
      </c>
      <c r="E1364" s="213" t="str">
        <f t="shared" si="86"/>
        <v>20130701LGUM_474</v>
      </c>
      <c r="F1364" s="214">
        <v>20.69</v>
      </c>
      <c r="G1364" s="214">
        <f t="shared" si="88"/>
        <v>0.02</v>
      </c>
      <c r="H1364" s="214">
        <f>F1364-G1364-I1364</f>
        <v>3.1799999999999997</v>
      </c>
      <c r="I1364" s="214">
        <v>17.490000000000002</v>
      </c>
      <c r="J1364" s="220" t="s">
        <v>1088</v>
      </c>
    </row>
    <row r="1365" spans="1:16">
      <c r="A1365" s="220">
        <v>20130701</v>
      </c>
      <c r="B1365" s="223" t="s">
        <v>498</v>
      </c>
      <c r="C1365" s="213" t="str">
        <f t="shared" si="85"/>
        <v>20130701RLS</v>
      </c>
      <c r="D1365" s="213" t="s">
        <v>369</v>
      </c>
      <c r="E1365" s="213" t="str">
        <f t="shared" si="86"/>
        <v>20130701LGUM_475</v>
      </c>
      <c r="F1365" s="214">
        <v>28.14</v>
      </c>
      <c r="G1365" s="214">
        <f t="shared" si="88"/>
        <v>0.02</v>
      </c>
      <c r="H1365" s="214">
        <f>F1365-G1365-I1365</f>
        <v>3.1800000000000033</v>
      </c>
      <c r="I1365" s="214">
        <v>24.939999999999998</v>
      </c>
      <c r="J1365" s="220" t="s">
        <v>1087</v>
      </c>
    </row>
    <row r="1366" spans="1:16">
      <c r="A1366" s="220">
        <v>20130701</v>
      </c>
      <c r="B1366" s="213" t="s">
        <v>606</v>
      </c>
      <c r="C1366" s="213" t="str">
        <f t="shared" si="85"/>
        <v>20130701LS</v>
      </c>
      <c r="D1366" s="213" t="s">
        <v>370</v>
      </c>
      <c r="E1366" s="213" t="str">
        <f t="shared" si="86"/>
        <v>20130701LGUM_476</v>
      </c>
      <c r="F1366" s="214">
        <v>39.03</v>
      </c>
      <c r="G1366" s="214">
        <f t="shared" si="88"/>
        <v>0.04</v>
      </c>
      <c r="H1366" s="214">
        <f>F1366-G1366-I1366</f>
        <v>9.8100000000000023</v>
      </c>
      <c r="I1366" s="214">
        <v>29.18</v>
      </c>
      <c r="J1366" s="220" t="s">
        <v>1053</v>
      </c>
    </row>
    <row r="1367" spans="1:16">
      <c r="A1367" s="220">
        <v>20130701</v>
      </c>
      <c r="B1367" s="223" t="s">
        <v>498</v>
      </c>
      <c r="C1367" s="213" t="str">
        <f t="shared" si="85"/>
        <v>20130701RLS</v>
      </c>
      <c r="D1367" s="213" t="s">
        <v>371</v>
      </c>
      <c r="E1367" s="213" t="str">
        <f t="shared" si="86"/>
        <v>20130701LGUM_477</v>
      </c>
      <c r="F1367" s="214">
        <v>42.21</v>
      </c>
      <c r="G1367" s="214">
        <f t="shared" si="88"/>
        <v>0.04</v>
      </c>
      <c r="H1367" s="214">
        <f>F1367-G1367-I1367</f>
        <v>9.8100000000000023</v>
      </c>
      <c r="I1367" s="214">
        <v>32.36</v>
      </c>
      <c r="J1367" s="220" t="s">
        <v>1090</v>
      </c>
    </row>
    <row r="1368" spans="1:16">
      <c r="A1368" s="220">
        <v>20130701</v>
      </c>
      <c r="B1368" s="213" t="s">
        <v>606</v>
      </c>
      <c r="C1368" s="213" t="str">
        <f t="shared" si="85"/>
        <v>20130701LS</v>
      </c>
      <c r="D1368" s="213" t="s">
        <v>655</v>
      </c>
      <c r="E1368" s="213" t="str">
        <f t="shared" si="86"/>
        <v>20130701LGUM_478</v>
      </c>
      <c r="F1368" s="214"/>
      <c r="G1368" s="214"/>
      <c r="H1368" s="214"/>
      <c r="I1368" s="214"/>
      <c r="J1368" s="221"/>
    </row>
    <row r="1369" spans="1:16">
      <c r="A1369" s="220">
        <v>20130701</v>
      </c>
      <c r="B1369" s="213" t="s">
        <v>606</v>
      </c>
      <c r="C1369" s="213" t="str">
        <f t="shared" si="85"/>
        <v>20130701LS</v>
      </c>
      <c r="D1369" s="213" t="s">
        <v>657</v>
      </c>
      <c r="E1369" s="213" t="str">
        <f t="shared" si="86"/>
        <v>20130701LGUM_479</v>
      </c>
      <c r="F1369" s="214">
        <v>13.8</v>
      </c>
      <c r="G1369" s="214">
        <f t="shared" ref="G1369:G1374" si="89">VLOOKUP(D1369,$D$1033:$I$1203,4,FALSE)</f>
        <v>0.01</v>
      </c>
      <c r="H1369" s="214">
        <f t="shared" ref="H1369:H1374" si="90">F1369-G1369-I1369</f>
        <v>1.370000000000001</v>
      </c>
      <c r="I1369" s="214">
        <v>12.42</v>
      </c>
      <c r="J1369" s="212" t="s">
        <v>1073</v>
      </c>
    </row>
    <row r="1370" spans="1:16">
      <c r="A1370" s="220">
        <v>20130701</v>
      </c>
      <c r="B1370" s="213" t="s">
        <v>606</v>
      </c>
      <c r="C1370" s="213" t="str">
        <f t="shared" si="85"/>
        <v>20130701LS</v>
      </c>
      <c r="D1370" s="213" t="s">
        <v>659</v>
      </c>
      <c r="E1370" s="213" t="str">
        <f t="shared" si="86"/>
        <v>20130701LGUM_480</v>
      </c>
      <c r="F1370" s="214">
        <v>23.57</v>
      </c>
      <c r="G1370" s="214">
        <f t="shared" si="89"/>
        <v>0.01</v>
      </c>
      <c r="H1370" s="214">
        <f t="shared" si="90"/>
        <v>1.370000000000001</v>
      </c>
      <c r="I1370" s="214">
        <v>22.189999999999998</v>
      </c>
      <c r="J1370" s="220" t="s">
        <v>1074</v>
      </c>
    </row>
    <row r="1371" spans="1:16">
      <c r="A1371" s="220">
        <v>20130701</v>
      </c>
      <c r="B1371" s="213" t="s">
        <v>606</v>
      </c>
      <c r="C1371" s="213" t="str">
        <f t="shared" si="85"/>
        <v>20130701LS</v>
      </c>
      <c r="D1371" s="213" t="s">
        <v>399</v>
      </c>
      <c r="E1371" s="213" t="str">
        <f t="shared" si="86"/>
        <v>20130701LGUM_481</v>
      </c>
      <c r="F1371" s="214">
        <v>20.18</v>
      </c>
      <c r="G1371" s="214">
        <f t="shared" si="89"/>
        <v>0.02</v>
      </c>
      <c r="H1371" s="214">
        <f t="shared" si="90"/>
        <v>3.1800000000000033</v>
      </c>
      <c r="I1371" s="214">
        <v>16.979999999999997</v>
      </c>
      <c r="J1371" s="220" t="s">
        <v>1078</v>
      </c>
    </row>
    <row r="1372" spans="1:16">
      <c r="A1372" s="220">
        <v>20130701</v>
      </c>
      <c r="B1372" s="213" t="s">
        <v>606</v>
      </c>
      <c r="C1372" s="213" t="str">
        <f t="shared" si="85"/>
        <v>20130701LS</v>
      </c>
      <c r="D1372" s="213" t="s">
        <v>372</v>
      </c>
      <c r="E1372" s="213" t="str">
        <f t="shared" si="86"/>
        <v>20130701LGUM_482</v>
      </c>
      <c r="F1372" s="214">
        <v>29.93</v>
      </c>
      <c r="G1372" s="214">
        <f t="shared" si="89"/>
        <v>0.02</v>
      </c>
      <c r="H1372" s="214">
        <f t="shared" si="90"/>
        <v>3.1800000000000033</v>
      </c>
      <c r="I1372" s="214">
        <v>26.729999999999997</v>
      </c>
      <c r="J1372" s="220" t="s">
        <v>1077</v>
      </c>
    </row>
    <row r="1373" spans="1:16">
      <c r="A1373" s="220">
        <v>20130701</v>
      </c>
      <c r="B1373" s="213" t="s">
        <v>606</v>
      </c>
      <c r="C1373" s="213" t="str">
        <f t="shared" si="85"/>
        <v>20130701LS</v>
      </c>
      <c r="D1373" s="213" t="s">
        <v>373</v>
      </c>
      <c r="E1373" s="213" t="str">
        <f t="shared" si="86"/>
        <v>20130701LGUM_483</v>
      </c>
      <c r="F1373" s="214">
        <v>41.99</v>
      </c>
      <c r="G1373" s="214">
        <f t="shared" si="89"/>
        <v>0.04</v>
      </c>
      <c r="H1373" s="214">
        <f t="shared" si="90"/>
        <v>9.8100000000000023</v>
      </c>
      <c r="I1373" s="214">
        <v>32.14</v>
      </c>
      <c r="J1373" s="220" t="s">
        <v>1075</v>
      </c>
    </row>
    <row r="1374" spans="1:16">
      <c r="A1374" s="220">
        <v>20130701</v>
      </c>
      <c r="B1374" s="213" t="s">
        <v>606</v>
      </c>
      <c r="C1374" s="213" t="str">
        <f t="shared" si="85"/>
        <v>20130701LS</v>
      </c>
      <c r="D1374" s="213" t="s">
        <v>374</v>
      </c>
      <c r="E1374" s="213" t="str">
        <f t="shared" si="86"/>
        <v>20130701LGUM_484</v>
      </c>
      <c r="F1374" s="214">
        <v>51.74</v>
      </c>
      <c r="G1374" s="214">
        <f t="shared" si="89"/>
        <v>0.04</v>
      </c>
      <c r="H1374" s="214">
        <f t="shared" si="90"/>
        <v>9.8100000000000023</v>
      </c>
      <c r="I1374" s="214">
        <v>41.89</v>
      </c>
      <c r="J1374" s="220" t="s">
        <v>1076</v>
      </c>
    </row>
    <row r="1375" spans="1:16">
      <c r="A1375" s="232">
        <v>20140101</v>
      </c>
      <c r="B1375" s="225" t="s">
        <v>498</v>
      </c>
      <c r="C1375" s="225" t="str">
        <f t="shared" si="68"/>
        <v>20140101RLS</v>
      </c>
      <c r="D1375" s="229" t="s">
        <v>379</v>
      </c>
      <c r="E1375" s="225" t="str">
        <f t="shared" si="69"/>
        <v>20140101LGUM_201</v>
      </c>
      <c r="F1375" s="226">
        <f>SUM(G1375:I1375)</f>
        <v>8.14</v>
      </c>
      <c r="G1375" s="226">
        <v>0.16</v>
      </c>
      <c r="H1375" s="226">
        <v>1.0899999999999999</v>
      </c>
      <c r="I1375" s="226">
        <v>6.8900000000000006</v>
      </c>
      <c r="J1375" s="232" t="s">
        <v>1086</v>
      </c>
      <c r="K1375" s="230"/>
      <c r="L1375" s="230"/>
      <c r="M1375" s="230"/>
      <c r="N1375" s="230"/>
      <c r="O1375" s="230"/>
      <c r="P1375" s="230"/>
    </row>
    <row r="1376" spans="1:16">
      <c r="A1376" s="232">
        <v>20140101</v>
      </c>
      <c r="B1376" s="225" t="s">
        <v>498</v>
      </c>
      <c r="C1376" s="225" t="str">
        <f t="shared" si="68"/>
        <v>20140101RLS</v>
      </c>
      <c r="D1376" s="225" t="s">
        <v>241</v>
      </c>
      <c r="E1376" s="225" t="str">
        <f t="shared" si="69"/>
        <v>20140101LGUM_203</v>
      </c>
      <c r="F1376" s="226">
        <f t="shared" ref="F1376:F1439" si="91">SUM(G1376:I1376)</f>
        <v>10.959999999999999</v>
      </c>
      <c r="G1376" s="226">
        <v>0.18</v>
      </c>
      <c r="H1376" s="226">
        <v>2.7099999999999991</v>
      </c>
      <c r="I1376" s="226">
        <v>8.07</v>
      </c>
      <c r="J1376" s="232" t="s">
        <v>1081</v>
      </c>
      <c r="K1376" s="230"/>
      <c r="L1376" s="230"/>
      <c r="M1376" s="230"/>
      <c r="N1376" s="230"/>
      <c r="O1376" s="230"/>
      <c r="P1376" s="230"/>
    </row>
    <row r="1377" spans="1:16">
      <c r="A1377" s="232">
        <v>20140101</v>
      </c>
      <c r="B1377" s="225" t="s">
        <v>498</v>
      </c>
      <c r="C1377" s="225" t="str">
        <f t="shared" si="68"/>
        <v>20140101RLS</v>
      </c>
      <c r="D1377" s="225" t="s">
        <v>242</v>
      </c>
      <c r="E1377" s="225" t="str">
        <f t="shared" si="69"/>
        <v>20140101LGUM_204</v>
      </c>
      <c r="F1377" s="226">
        <f t="shared" si="91"/>
        <v>13.510000000000002</v>
      </c>
      <c r="G1377" s="226">
        <v>0.22</v>
      </c>
      <c r="H1377" s="226">
        <v>4.2000000000000011</v>
      </c>
      <c r="I1377" s="226">
        <v>9.09</v>
      </c>
      <c r="J1377" s="232" t="s">
        <v>1082</v>
      </c>
      <c r="K1377" s="230"/>
      <c r="L1377" s="230"/>
      <c r="M1377" s="230"/>
      <c r="N1377" s="230"/>
      <c r="O1377" s="230"/>
      <c r="P1377" s="230"/>
    </row>
    <row r="1378" spans="1:16">
      <c r="A1378" s="232">
        <v>20140101</v>
      </c>
      <c r="B1378" s="225" t="s">
        <v>498</v>
      </c>
      <c r="C1378" s="225" t="str">
        <f t="shared" si="68"/>
        <v>20140101RLS</v>
      </c>
      <c r="D1378" s="225" t="s">
        <v>243</v>
      </c>
      <c r="E1378" s="225" t="str">
        <f t="shared" si="69"/>
        <v>20140101LGUM_206</v>
      </c>
      <c r="F1378" s="226">
        <f t="shared" si="91"/>
        <v>12.450000000000001</v>
      </c>
      <c r="G1378" s="226">
        <v>0.16</v>
      </c>
      <c r="H1378" s="226">
        <v>1.0899999999999999</v>
      </c>
      <c r="I1378" s="226">
        <v>11.200000000000001</v>
      </c>
      <c r="J1378" s="224" t="s">
        <v>1113</v>
      </c>
      <c r="K1378" s="230"/>
      <c r="L1378" s="230"/>
      <c r="M1378" s="230"/>
      <c r="N1378" s="230"/>
      <c r="O1378" s="230"/>
      <c r="P1378" s="230"/>
    </row>
    <row r="1379" spans="1:16">
      <c r="A1379" s="232">
        <v>20140101</v>
      </c>
      <c r="B1379" s="225" t="s">
        <v>498</v>
      </c>
      <c r="C1379" s="225" t="str">
        <f t="shared" si="68"/>
        <v>20140101RLS</v>
      </c>
      <c r="D1379" s="225" t="s">
        <v>244</v>
      </c>
      <c r="E1379" s="225" t="str">
        <f t="shared" si="69"/>
        <v>20140101LGUM_207</v>
      </c>
      <c r="F1379" s="226">
        <f t="shared" si="91"/>
        <v>15.54</v>
      </c>
      <c r="G1379" s="226">
        <v>0.22</v>
      </c>
      <c r="H1379" s="226">
        <v>4.2000000000000011</v>
      </c>
      <c r="I1379" s="226">
        <v>11.12</v>
      </c>
      <c r="J1379" s="224" t="s">
        <v>1084</v>
      </c>
      <c r="K1379" s="230"/>
      <c r="L1379" s="230"/>
      <c r="M1379" s="230"/>
      <c r="N1379" s="230"/>
      <c r="O1379" s="230"/>
      <c r="P1379" s="230"/>
    </row>
    <row r="1380" spans="1:16">
      <c r="A1380" s="232">
        <v>20140101</v>
      </c>
      <c r="B1380" s="225" t="s">
        <v>498</v>
      </c>
      <c r="C1380" s="225" t="str">
        <f t="shared" si="68"/>
        <v>20140101RLS</v>
      </c>
      <c r="D1380" s="225" t="s">
        <v>245</v>
      </c>
      <c r="E1380" s="225" t="str">
        <f t="shared" si="69"/>
        <v>20140101LGUM_208</v>
      </c>
      <c r="F1380" s="226">
        <f t="shared" si="91"/>
        <v>14.24</v>
      </c>
      <c r="G1380" s="226">
        <v>0.16</v>
      </c>
      <c r="H1380" s="226">
        <v>1.9100000000000001</v>
      </c>
      <c r="I1380" s="226">
        <v>12.17</v>
      </c>
      <c r="J1380" s="232" t="s">
        <v>1114</v>
      </c>
      <c r="K1380" s="230"/>
      <c r="L1380" s="230"/>
      <c r="M1380" s="230"/>
      <c r="N1380" s="230"/>
      <c r="O1380" s="230"/>
      <c r="P1380" s="230"/>
    </row>
    <row r="1381" spans="1:16">
      <c r="A1381" s="232">
        <v>20140101</v>
      </c>
      <c r="B1381" s="225" t="s">
        <v>498</v>
      </c>
      <c r="C1381" s="225" t="str">
        <f t="shared" si="68"/>
        <v>20140101RLS</v>
      </c>
      <c r="D1381" s="225" t="s">
        <v>381</v>
      </c>
      <c r="E1381" s="225" t="str">
        <f t="shared" si="69"/>
        <v>20140101LGUM_209</v>
      </c>
      <c r="F1381" s="226">
        <f t="shared" si="91"/>
        <v>27.69</v>
      </c>
      <c r="G1381" s="226">
        <v>0.41</v>
      </c>
      <c r="H1381" s="226">
        <v>10.170000000000002</v>
      </c>
      <c r="I1381" s="226">
        <v>17.11</v>
      </c>
      <c r="J1381" s="232" t="s">
        <v>1083</v>
      </c>
      <c r="K1381" s="230"/>
      <c r="L1381" s="230"/>
      <c r="M1381" s="230"/>
      <c r="N1381" s="230"/>
      <c r="O1381" s="230"/>
      <c r="P1381" s="230"/>
    </row>
    <row r="1382" spans="1:16">
      <c r="A1382" s="232">
        <v>20140101</v>
      </c>
      <c r="B1382" s="225" t="s">
        <v>498</v>
      </c>
      <c r="C1382" s="225" t="str">
        <f t="shared" si="68"/>
        <v>20140101RLS</v>
      </c>
      <c r="D1382" s="225" t="s">
        <v>246</v>
      </c>
      <c r="E1382" s="225" t="str">
        <f t="shared" si="69"/>
        <v>20140101LGUM_210</v>
      </c>
      <c r="F1382" s="226">
        <f t="shared" si="91"/>
        <v>28.89</v>
      </c>
      <c r="G1382" s="226">
        <v>0.41</v>
      </c>
      <c r="H1382" s="226">
        <v>10.170000000000002</v>
      </c>
      <c r="I1382" s="226">
        <v>18.309999999999999</v>
      </c>
      <c r="J1382" s="232" t="s">
        <v>1085</v>
      </c>
      <c r="K1382" s="230"/>
      <c r="L1382" s="230"/>
      <c r="M1382" s="230"/>
      <c r="N1382" s="230"/>
      <c r="O1382" s="230"/>
      <c r="P1382" s="230"/>
    </row>
    <row r="1383" spans="1:16">
      <c r="A1383" s="232">
        <v>20140101</v>
      </c>
      <c r="B1383" s="225" t="s">
        <v>498</v>
      </c>
      <c r="C1383" s="225" t="str">
        <f t="shared" si="68"/>
        <v>20140101RLS</v>
      </c>
      <c r="D1383" s="225" t="s">
        <v>252</v>
      </c>
      <c r="E1383" s="225" t="str">
        <f t="shared" si="69"/>
        <v>20140101LGUM_252</v>
      </c>
      <c r="F1383" s="226">
        <f t="shared" si="91"/>
        <v>9.57</v>
      </c>
      <c r="G1383" s="226">
        <v>0.16</v>
      </c>
      <c r="H1383" s="226">
        <v>1.9099999999999993</v>
      </c>
      <c r="I1383" s="226">
        <v>7.5000000000000009</v>
      </c>
      <c r="J1383" s="224" t="s">
        <v>1079</v>
      </c>
      <c r="K1383" s="230"/>
      <c r="L1383" s="230"/>
      <c r="M1383" s="230"/>
      <c r="N1383" s="230"/>
      <c r="O1383" s="230"/>
      <c r="P1383" s="230"/>
    </row>
    <row r="1384" spans="1:16">
      <c r="A1384" s="232">
        <v>20140101</v>
      </c>
      <c r="B1384" s="225" t="s">
        <v>498</v>
      </c>
      <c r="C1384" s="225" t="str">
        <f t="shared" si="68"/>
        <v>20140101RLS</v>
      </c>
      <c r="D1384" s="225" t="s">
        <v>263</v>
      </c>
      <c r="E1384" s="225" t="str">
        <f t="shared" si="69"/>
        <v>20140101LGUM_266</v>
      </c>
      <c r="F1384" s="226">
        <f t="shared" si="91"/>
        <v>27.34</v>
      </c>
      <c r="G1384" s="226">
        <v>0.27</v>
      </c>
      <c r="H1384" s="226">
        <v>2.8000000000000007</v>
      </c>
      <c r="I1384" s="226">
        <v>24.27</v>
      </c>
      <c r="J1384" s="232" t="s">
        <v>1091</v>
      </c>
      <c r="K1384" s="230"/>
      <c r="L1384" s="230"/>
      <c r="M1384" s="230"/>
      <c r="N1384" s="230"/>
      <c r="O1384" s="230"/>
      <c r="P1384" s="230"/>
    </row>
    <row r="1385" spans="1:16">
      <c r="A1385" s="232">
        <v>20140101</v>
      </c>
      <c r="B1385" s="225" t="s">
        <v>498</v>
      </c>
      <c r="C1385" s="225" t="str">
        <f t="shared" si="68"/>
        <v>20140101RLS</v>
      </c>
      <c r="D1385" s="225" t="s">
        <v>264</v>
      </c>
      <c r="E1385" s="225" t="str">
        <f t="shared" si="69"/>
        <v>20140101LGUM_267</v>
      </c>
      <c r="F1385" s="226">
        <f t="shared" si="91"/>
        <v>31.4</v>
      </c>
      <c r="G1385" s="226">
        <v>0.28999999999999998</v>
      </c>
      <c r="H1385" s="226">
        <v>4.4499999999999993</v>
      </c>
      <c r="I1385" s="226">
        <v>26.66</v>
      </c>
      <c r="J1385" s="232" t="s">
        <v>1092</v>
      </c>
      <c r="K1385" s="230"/>
      <c r="L1385" s="230"/>
      <c r="M1385" s="230"/>
      <c r="N1385" s="230"/>
      <c r="O1385" s="230"/>
      <c r="P1385" s="230"/>
    </row>
    <row r="1386" spans="1:16">
      <c r="A1386" s="232">
        <v>20140101</v>
      </c>
      <c r="B1386" s="225" t="s">
        <v>498</v>
      </c>
      <c r="C1386" s="225" t="str">
        <f t="shared" si="68"/>
        <v>20140101RLS</v>
      </c>
      <c r="D1386" s="225" t="s">
        <v>267</v>
      </c>
      <c r="E1386" s="225" t="str">
        <f t="shared" si="69"/>
        <v>20140101LGUM_274</v>
      </c>
      <c r="F1386" s="226">
        <f t="shared" si="91"/>
        <v>17.189999999999998</v>
      </c>
      <c r="G1386" s="226">
        <v>0.27</v>
      </c>
      <c r="H1386" s="226">
        <v>1.2699999999999996</v>
      </c>
      <c r="I1386" s="226">
        <v>15.649999999999999</v>
      </c>
      <c r="J1386" s="232" t="s">
        <v>1095</v>
      </c>
      <c r="K1386" s="230"/>
      <c r="L1386" s="230"/>
      <c r="M1386" s="230"/>
      <c r="N1386" s="230"/>
      <c r="O1386" s="230"/>
      <c r="P1386" s="230"/>
    </row>
    <row r="1387" spans="1:16">
      <c r="A1387" s="232">
        <v>20140101</v>
      </c>
      <c r="B1387" s="225" t="s">
        <v>498</v>
      </c>
      <c r="C1387" s="225" t="str">
        <f t="shared" si="68"/>
        <v>20140101RLS</v>
      </c>
      <c r="D1387" s="225" t="s">
        <v>392</v>
      </c>
      <c r="E1387" s="225" t="str">
        <f t="shared" si="69"/>
        <v>20140101LGUM_275</v>
      </c>
      <c r="F1387" s="226">
        <f t="shared" si="91"/>
        <v>24.89</v>
      </c>
      <c r="G1387" s="226">
        <v>0.24</v>
      </c>
      <c r="H1387" s="226">
        <v>1.7899999999999991</v>
      </c>
      <c r="I1387" s="226">
        <v>22.86</v>
      </c>
      <c r="J1387" s="232" t="s">
        <v>1093</v>
      </c>
      <c r="K1387" s="230"/>
      <c r="L1387" s="230"/>
      <c r="M1387" s="230"/>
      <c r="N1387" s="230"/>
      <c r="O1387" s="230"/>
      <c r="P1387" s="230"/>
    </row>
    <row r="1388" spans="1:16">
      <c r="A1388" s="232">
        <v>20140101</v>
      </c>
      <c r="B1388" s="225" t="s">
        <v>498</v>
      </c>
      <c r="C1388" s="225" t="str">
        <f t="shared" si="68"/>
        <v>20140101RLS</v>
      </c>
      <c r="D1388" s="225" t="s">
        <v>268</v>
      </c>
      <c r="E1388" s="225" t="str">
        <f t="shared" si="69"/>
        <v>20140101LGUM_276</v>
      </c>
      <c r="F1388" s="226">
        <f t="shared" si="91"/>
        <v>14.17</v>
      </c>
      <c r="G1388" s="226">
        <v>0.26</v>
      </c>
      <c r="H1388" s="226">
        <v>0.88000000000000078</v>
      </c>
      <c r="I1388" s="226">
        <v>13.03</v>
      </c>
      <c r="J1388" s="224" t="s">
        <v>1094</v>
      </c>
      <c r="K1388" s="230"/>
      <c r="L1388" s="230"/>
      <c r="M1388" s="230"/>
      <c r="N1388" s="230"/>
      <c r="O1388" s="230"/>
      <c r="P1388" s="230"/>
    </row>
    <row r="1389" spans="1:16">
      <c r="A1389" s="232">
        <v>20140101</v>
      </c>
      <c r="B1389" s="225" t="s">
        <v>498</v>
      </c>
      <c r="C1389" s="225" t="str">
        <f t="shared" si="68"/>
        <v>20140101RLS</v>
      </c>
      <c r="D1389" s="225" t="s">
        <v>269</v>
      </c>
      <c r="E1389" s="225" t="str">
        <f t="shared" si="69"/>
        <v>20140101LGUM_277</v>
      </c>
      <c r="F1389" s="226">
        <f t="shared" si="91"/>
        <v>22.15</v>
      </c>
      <c r="G1389" s="226">
        <v>0.24</v>
      </c>
      <c r="H1389" s="226">
        <v>1.7900000000000027</v>
      </c>
      <c r="I1389" s="226">
        <v>20.119999999999997</v>
      </c>
      <c r="J1389" s="232" t="s">
        <v>1096</v>
      </c>
      <c r="K1389" s="230"/>
      <c r="L1389" s="230"/>
      <c r="M1389" s="230"/>
      <c r="N1389" s="230"/>
      <c r="O1389" s="230"/>
      <c r="P1389" s="230"/>
    </row>
    <row r="1390" spans="1:16">
      <c r="A1390" s="232">
        <v>20140101</v>
      </c>
      <c r="B1390" s="225" t="s">
        <v>498</v>
      </c>
      <c r="C1390" s="225" t="str">
        <f t="shared" si="68"/>
        <v>20140101RLS</v>
      </c>
      <c r="D1390" s="225" t="s">
        <v>393</v>
      </c>
      <c r="E1390" s="225" t="str">
        <f t="shared" si="69"/>
        <v>20140101LGUM_278</v>
      </c>
      <c r="F1390" s="226">
        <f t="shared" si="91"/>
        <v>72.550000000000011</v>
      </c>
      <c r="G1390" s="226">
        <v>0.9</v>
      </c>
      <c r="H1390" s="226">
        <v>9.8400000000000034</v>
      </c>
      <c r="I1390" s="226">
        <v>61.81</v>
      </c>
      <c r="J1390" s="232" t="s">
        <v>1098</v>
      </c>
      <c r="K1390" s="230"/>
      <c r="L1390" s="230"/>
      <c r="M1390" s="230"/>
      <c r="N1390" s="230"/>
      <c r="O1390" s="230"/>
      <c r="P1390" s="230"/>
    </row>
    <row r="1391" spans="1:16">
      <c r="A1391" s="232">
        <v>20140101</v>
      </c>
      <c r="B1391" s="225" t="s">
        <v>498</v>
      </c>
      <c r="C1391" s="225" t="str">
        <f t="shared" si="68"/>
        <v>20140101RLS</v>
      </c>
      <c r="D1391" s="225" t="s">
        <v>394</v>
      </c>
      <c r="E1391" s="225" t="str">
        <f t="shared" si="69"/>
        <v>20140101LGUM_279</v>
      </c>
      <c r="F1391" s="226">
        <f t="shared" si="91"/>
        <v>41.43</v>
      </c>
      <c r="G1391" s="226">
        <v>0.9</v>
      </c>
      <c r="H1391" s="226">
        <v>9.8399999999999963</v>
      </c>
      <c r="I1391" s="226">
        <v>30.690000000000005</v>
      </c>
      <c r="J1391" s="224" t="s">
        <v>1097</v>
      </c>
      <c r="K1391" s="230"/>
      <c r="L1391" s="230"/>
      <c r="M1391" s="230"/>
      <c r="N1391" s="230"/>
      <c r="O1391" s="230"/>
      <c r="P1391" s="230"/>
    </row>
    <row r="1392" spans="1:16">
      <c r="A1392" s="232">
        <v>20140101</v>
      </c>
      <c r="B1392" s="225" t="s">
        <v>498</v>
      </c>
      <c r="C1392" s="225" t="str">
        <f t="shared" si="68"/>
        <v>20140101RLS</v>
      </c>
      <c r="D1392" s="225" t="s">
        <v>398</v>
      </c>
      <c r="E1392" s="225" t="str">
        <f t="shared" si="69"/>
        <v>20140101LGUM_280</v>
      </c>
      <c r="F1392" s="226">
        <f t="shared" si="91"/>
        <v>19.38</v>
      </c>
      <c r="G1392" s="226">
        <v>0.26</v>
      </c>
      <c r="H1392" s="226">
        <v>0.87999999999999901</v>
      </c>
      <c r="I1392" s="226">
        <v>18.239999999999998</v>
      </c>
      <c r="J1392" s="232" t="s">
        <v>1101</v>
      </c>
      <c r="K1392" s="230"/>
      <c r="L1392" s="230"/>
      <c r="M1392" s="230"/>
      <c r="N1392" s="230"/>
      <c r="O1392" s="230"/>
      <c r="P1392" s="230"/>
    </row>
    <row r="1393" spans="1:16">
      <c r="A1393" s="232">
        <v>20140101</v>
      </c>
      <c r="B1393" s="225" t="s">
        <v>498</v>
      </c>
      <c r="C1393" s="225" t="str">
        <f t="shared" si="68"/>
        <v>20140101RLS</v>
      </c>
      <c r="D1393" s="225" t="s">
        <v>395</v>
      </c>
      <c r="E1393" s="225" t="str">
        <f t="shared" si="69"/>
        <v>20140101LGUM_281</v>
      </c>
      <c r="F1393" s="226">
        <f t="shared" si="91"/>
        <v>20.349999999999998</v>
      </c>
      <c r="G1393" s="226">
        <v>0.27</v>
      </c>
      <c r="H1393" s="226">
        <v>1.2699999999999996</v>
      </c>
      <c r="I1393" s="226">
        <v>18.809999999999999</v>
      </c>
      <c r="J1393" s="232" t="s">
        <v>1102</v>
      </c>
      <c r="K1393" s="230"/>
      <c r="L1393" s="230"/>
      <c r="M1393" s="230"/>
      <c r="N1393" s="230"/>
      <c r="O1393" s="230"/>
      <c r="P1393" s="230"/>
    </row>
    <row r="1394" spans="1:16">
      <c r="A1394" s="232">
        <v>20140101</v>
      </c>
      <c r="B1394" s="225" t="s">
        <v>498</v>
      </c>
      <c r="C1394" s="225" t="str">
        <f t="shared" si="68"/>
        <v>20140101RLS</v>
      </c>
      <c r="D1394" s="225" t="s">
        <v>396</v>
      </c>
      <c r="E1394" s="225" t="str">
        <f t="shared" si="69"/>
        <v>20140101LGUM_282</v>
      </c>
      <c r="F1394" s="226">
        <f t="shared" si="91"/>
        <v>19.53</v>
      </c>
      <c r="G1394" s="226">
        <v>0.26</v>
      </c>
      <c r="H1394" s="226">
        <v>0.87999999999999901</v>
      </c>
      <c r="I1394" s="226">
        <v>18.39</v>
      </c>
      <c r="J1394" s="232" t="s">
        <v>1103</v>
      </c>
      <c r="K1394" s="230"/>
      <c r="L1394" s="230"/>
      <c r="M1394" s="230"/>
      <c r="N1394" s="230"/>
      <c r="O1394" s="230"/>
      <c r="P1394" s="230"/>
    </row>
    <row r="1395" spans="1:16">
      <c r="A1395" s="232">
        <v>20140101</v>
      </c>
      <c r="B1395" s="225" t="s">
        <v>498</v>
      </c>
      <c r="C1395" s="225" t="str">
        <f t="shared" si="68"/>
        <v>20140101RLS</v>
      </c>
      <c r="D1395" s="225" t="s">
        <v>397</v>
      </c>
      <c r="E1395" s="225" t="str">
        <f t="shared" si="69"/>
        <v>20140101LGUM_283</v>
      </c>
      <c r="F1395" s="226">
        <f t="shared" si="91"/>
        <v>20.819999999999997</v>
      </c>
      <c r="G1395" s="226">
        <v>0.27</v>
      </c>
      <c r="H1395" s="226">
        <v>1.2699999999999996</v>
      </c>
      <c r="I1395" s="226">
        <v>19.279999999999998</v>
      </c>
      <c r="J1395" s="232" t="s">
        <v>1104</v>
      </c>
      <c r="K1395" s="230"/>
      <c r="L1395" s="230"/>
      <c r="M1395" s="230"/>
      <c r="N1395" s="230"/>
      <c r="O1395" s="230"/>
      <c r="P1395" s="230"/>
    </row>
    <row r="1396" spans="1:16">
      <c r="A1396" s="232">
        <v>20140101</v>
      </c>
      <c r="B1396" s="225" t="s">
        <v>498</v>
      </c>
      <c r="C1396" s="225" t="str">
        <f t="shared" ref="C1396:C1405" si="92">A1396&amp;B1396</f>
        <v>20140101RLS</v>
      </c>
      <c r="D1396" s="225" t="s">
        <v>287</v>
      </c>
      <c r="E1396" s="225" t="str">
        <f t="shared" ref="E1396:E1405" si="93">A1396&amp;D1396</f>
        <v>20140101LGUM_314</v>
      </c>
      <c r="F1396" s="226">
        <f t="shared" si="91"/>
        <v>19.2</v>
      </c>
      <c r="G1396" s="226">
        <v>0.18</v>
      </c>
      <c r="H1396" s="226">
        <v>2.7100000000000009</v>
      </c>
      <c r="I1396" s="226">
        <v>16.309999999999999</v>
      </c>
      <c r="J1396" s="232" t="s">
        <v>1110</v>
      </c>
      <c r="K1396" s="230"/>
      <c r="L1396" s="230"/>
      <c r="M1396" s="230"/>
      <c r="N1396" s="230"/>
      <c r="O1396" s="230"/>
      <c r="P1396" s="230"/>
    </row>
    <row r="1397" spans="1:16">
      <c r="A1397" s="232">
        <v>20140101</v>
      </c>
      <c r="B1397" s="225" t="s">
        <v>498</v>
      </c>
      <c r="C1397" s="225" t="str">
        <f t="shared" si="92"/>
        <v>20140101RLS</v>
      </c>
      <c r="D1397" s="225" t="s">
        <v>288</v>
      </c>
      <c r="E1397" s="225" t="str">
        <f t="shared" si="93"/>
        <v>20140101LGUM_315</v>
      </c>
      <c r="F1397" s="226">
        <f t="shared" si="91"/>
        <v>22.949999999999996</v>
      </c>
      <c r="G1397" s="226">
        <v>0.22</v>
      </c>
      <c r="H1397" s="226">
        <v>4.1999999999999993</v>
      </c>
      <c r="I1397" s="226">
        <v>18.529999999999998</v>
      </c>
      <c r="J1397" s="232" t="s">
        <v>1111</v>
      </c>
      <c r="K1397" s="230"/>
      <c r="L1397" s="230"/>
      <c r="M1397" s="230"/>
      <c r="N1397" s="230"/>
      <c r="O1397" s="230"/>
      <c r="P1397" s="230"/>
    </row>
    <row r="1398" spans="1:16">
      <c r="A1398" s="232">
        <v>20140101</v>
      </c>
      <c r="B1398" s="225" t="s">
        <v>498</v>
      </c>
      <c r="C1398" s="225" t="str">
        <f t="shared" si="92"/>
        <v>20140101RLS</v>
      </c>
      <c r="D1398" s="225" t="s">
        <v>291</v>
      </c>
      <c r="E1398" s="225" t="str">
        <f t="shared" si="93"/>
        <v>20140101LGUM_318</v>
      </c>
      <c r="F1398" s="226">
        <f t="shared" si="91"/>
        <v>17.419999999999998</v>
      </c>
      <c r="G1398" s="226">
        <v>0.16</v>
      </c>
      <c r="H1398" s="226">
        <v>1.9100000000000001</v>
      </c>
      <c r="I1398" s="226">
        <v>15.349999999999998</v>
      </c>
      <c r="J1398" s="224" t="s">
        <v>1109</v>
      </c>
      <c r="K1398" s="230"/>
      <c r="L1398" s="230"/>
      <c r="M1398" s="230"/>
      <c r="N1398" s="230"/>
      <c r="O1398" s="230"/>
      <c r="P1398" s="230"/>
    </row>
    <row r="1399" spans="1:16">
      <c r="A1399" s="232">
        <v>20140101</v>
      </c>
      <c r="B1399" s="225" t="s">
        <v>498</v>
      </c>
      <c r="C1399" s="225" t="str">
        <f t="shared" si="92"/>
        <v>20140101RLS</v>
      </c>
      <c r="D1399" s="225" t="s">
        <v>581</v>
      </c>
      <c r="E1399" s="225" t="str">
        <f t="shared" si="93"/>
        <v>20140101LGUM_347</v>
      </c>
      <c r="F1399" s="226">
        <f t="shared" si="91"/>
        <v>22.939999999999998</v>
      </c>
      <c r="G1399" s="226">
        <v>0.22</v>
      </c>
      <c r="H1399" s="226">
        <v>26.14</v>
      </c>
      <c r="I1399" s="226">
        <v>-3.42</v>
      </c>
      <c r="J1399" s="232" t="s">
        <v>1112</v>
      </c>
      <c r="K1399" s="230"/>
      <c r="L1399" s="230"/>
      <c r="M1399" s="230"/>
      <c r="N1399" s="230"/>
      <c r="O1399" s="230"/>
      <c r="P1399" s="230"/>
    </row>
    <row r="1400" spans="1:16">
      <c r="A1400" s="232">
        <v>20140101</v>
      </c>
      <c r="B1400" s="225" t="s">
        <v>498</v>
      </c>
      <c r="C1400" s="225" t="str">
        <f t="shared" si="92"/>
        <v>20140101RLS</v>
      </c>
      <c r="D1400" s="225" t="s">
        <v>297</v>
      </c>
      <c r="E1400" s="225" t="str">
        <f t="shared" si="93"/>
        <v>20140101LGUM_348</v>
      </c>
      <c r="F1400" s="226">
        <f t="shared" si="91"/>
        <v>13.12</v>
      </c>
      <c r="G1400" s="226">
        <v>0.19</v>
      </c>
      <c r="H1400" s="226">
        <v>2.9800000000000004</v>
      </c>
      <c r="I1400" s="226">
        <v>9.9499999999999993</v>
      </c>
      <c r="J1400" s="232" t="s">
        <v>1116</v>
      </c>
      <c r="K1400" s="230"/>
      <c r="L1400" s="230"/>
      <c r="M1400" s="230"/>
      <c r="N1400" s="230"/>
      <c r="O1400" s="230"/>
      <c r="P1400" s="230"/>
    </row>
    <row r="1401" spans="1:16">
      <c r="A1401" s="232">
        <v>20140101</v>
      </c>
      <c r="B1401" s="225" t="s">
        <v>498</v>
      </c>
      <c r="C1401" s="225" t="str">
        <f t="shared" si="92"/>
        <v>20140101RLS</v>
      </c>
      <c r="D1401" s="225" t="s">
        <v>299</v>
      </c>
      <c r="E1401" s="225" t="str">
        <f t="shared" si="93"/>
        <v>20140101LGUM_349</v>
      </c>
      <c r="F1401" s="226">
        <f t="shared" si="91"/>
        <v>9.0200000000000014</v>
      </c>
      <c r="G1401" s="226">
        <v>0.14000000000000001</v>
      </c>
      <c r="H1401" s="226">
        <v>0.91000000000000014</v>
      </c>
      <c r="I1401" s="226">
        <v>7.9700000000000006</v>
      </c>
      <c r="J1401" s="224" t="s">
        <v>1115</v>
      </c>
      <c r="K1401" s="230"/>
      <c r="L1401" s="230"/>
      <c r="M1401" s="230"/>
      <c r="N1401" s="230"/>
      <c r="O1401" s="230"/>
      <c r="P1401" s="230"/>
    </row>
    <row r="1402" spans="1:16">
      <c r="A1402" s="232">
        <v>20140101</v>
      </c>
      <c r="B1402" s="225" t="s">
        <v>725</v>
      </c>
      <c r="C1402" s="225" t="str">
        <f t="shared" si="92"/>
        <v>20140101DSK</v>
      </c>
      <c r="D1402" s="231" t="s">
        <v>377</v>
      </c>
      <c r="E1402" s="225" t="str">
        <f t="shared" si="93"/>
        <v>20140101LGUM_400</v>
      </c>
      <c r="F1402" s="226">
        <f t="shared" si="91"/>
        <v>23.89</v>
      </c>
      <c r="G1402" s="226">
        <v>0.37</v>
      </c>
      <c r="H1402" s="226">
        <v>1.0199999999999996</v>
      </c>
      <c r="I1402" s="226">
        <v>22.5</v>
      </c>
      <c r="J1402" s="232" t="s">
        <v>1071</v>
      </c>
      <c r="K1402" s="230"/>
      <c r="L1402" s="230"/>
      <c r="M1402" s="230"/>
      <c r="N1402" s="230"/>
      <c r="O1402" s="230"/>
      <c r="P1402" s="230"/>
    </row>
    <row r="1403" spans="1:16">
      <c r="A1403" s="232">
        <v>20140101</v>
      </c>
      <c r="B1403" s="225" t="s">
        <v>725</v>
      </c>
      <c r="C1403" s="225" t="str">
        <f t="shared" si="92"/>
        <v>20140101DSK</v>
      </c>
      <c r="D1403" s="231" t="s">
        <v>737</v>
      </c>
      <c r="E1403" s="225" t="str">
        <f t="shared" si="93"/>
        <v>20140101LGUM_401</v>
      </c>
      <c r="F1403" s="226">
        <f t="shared" si="91"/>
        <v>24.9</v>
      </c>
      <c r="G1403" s="226">
        <v>0.27</v>
      </c>
      <c r="H1403" s="226">
        <v>1.0599999999999987</v>
      </c>
      <c r="I1403" s="226">
        <v>23.57</v>
      </c>
      <c r="J1403" s="232" t="s">
        <v>1072</v>
      </c>
      <c r="K1403" s="230"/>
      <c r="L1403" s="230"/>
      <c r="M1403" s="230"/>
      <c r="N1403" s="230"/>
      <c r="O1403" s="230"/>
      <c r="P1403" s="230"/>
    </row>
    <row r="1404" spans="1:16">
      <c r="A1404" s="232">
        <v>20140101</v>
      </c>
      <c r="B1404" s="225" t="s">
        <v>606</v>
      </c>
      <c r="C1404" s="225" t="str">
        <f t="shared" si="92"/>
        <v>20140101LS</v>
      </c>
      <c r="D1404" s="225" t="s">
        <v>329</v>
      </c>
      <c r="E1404" s="225" t="str">
        <f t="shared" si="93"/>
        <v>20140101LGUM_412</v>
      </c>
      <c r="F1404" s="226">
        <f t="shared" si="91"/>
        <v>19.79</v>
      </c>
      <c r="G1404" s="226">
        <v>0.26</v>
      </c>
      <c r="H1404" s="226">
        <v>0.74999999999999645</v>
      </c>
      <c r="I1404" s="226">
        <v>18.78</v>
      </c>
      <c r="J1404" s="232" t="s">
        <v>1054</v>
      </c>
      <c r="K1404" s="230"/>
      <c r="L1404" s="230"/>
      <c r="M1404" s="230"/>
      <c r="N1404" s="230"/>
      <c r="O1404" s="230"/>
      <c r="P1404" s="230"/>
    </row>
    <row r="1405" spans="1:16">
      <c r="A1405" s="232">
        <v>20140101</v>
      </c>
      <c r="B1405" s="225" t="s">
        <v>606</v>
      </c>
      <c r="C1405" s="225" t="str">
        <f t="shared" si="92"/>
        <v>20140101LS</v>
      </c>
      <c r="D1405" s="225" t="s">
        <v>330</v>
      </c>
      <c r="E1405" s="225" t="str">
        <f t="shared" si="93"/>
        <v>20140101LGUM_413</v>
      </c>
      <c r="F1405" s="226">
        <f t="shared" si="91"/>
        <v>20.49</v>
      </c>
      <c r="G1405" s="226">
        <v>0.27</v>
      </c>
      <c r="H1405" s="226">
        <v>1.0599999999999987</v>
      </c>
      <c r="I1405" s="226">
        <v>19.16</v>
      </c>
      <c r="J1405" s="232" t="s">
        <v>1055</v>
      </c>
      <c r="K1405" s="230"/>
      <c r="L1405" s="230"/>
      <c r="M1405" s="230"/>
      <c r="N1405" s="230"/>
      <c r="O1405" s="230"/>
      <c r="P1405" s="230"/>
    </row>
    <row r="1406" spans="1:16">
      <c r="A1406" s="232">
        <v>20140101</v>
      </c>
      <c r="B1406" s="225" t="s">
        <v>606</v>
      </c>
      <c r="C1406" s="225" t="str">
        <f t="shared" ref="C1406:C1446" si="94">A1406&amp;B1406</f>
        <v>20140101LS</v>
      </c>
      <c r="D1406" s="225" t="s">
        <v>332</v>
      </c>
      <c r="E1406" s="225" t="str">
        <f t="shared" ref="E1406:E1446" si="95">A1406&amp;D1406</f>
        <v>20140101LGUM_415</v>
      </c>
      <c r="F1406" s="226">
        <f t="shared" si="91"/>
        <v>20.18</v>
      </c>
      <c r="G1406" s="226">
        <v>0.26</v>
      </c>
      <c r="H1406" s="226">
        <v>0.75</v>
      </c>
      <c r="I1406" s="226">
        <v>19.169999999999998</v>
      </c>
      <c r="J1406" s="232" t="s">
        <v>1056</v>
      </c>
      <c r="K1406" s="230"/>
      <c r="L1406" s="230"/>
      <c r="M1406" s="230"/>
      <c r="N1406" s="230"/>
      <c r="O1406" s="230"/>
      <c r="P1406" s="230"/>
    </row>
    <row r="1407" spans="1:16">
      <c r="A1407" s="232">
        <v>20140101</v>
      </c>
      <c r="B1407" s="225" t="s">
        <v>606</v>
      </c>
      <c r="C1407" s="225" t="str">
        <f t="shared" si="94"/>
        <v>20140101LS</v>
      </c>
      <c r="D1407" s="225" t="s">
        <v>333</v>
      </c>
      <c r="E1407" s="225" t="str">
        <f t="shared" si="95"/>
        <v>20140101LGUM_416</v>
      </c>
      <c r="F1407" s="226">
        <f t="shared" si="91"/>
        <v>22.56</v>
      </c>
      <c r="G1407" s="226">
        <v>0.27</v>
      </c>
      <c r="H1407" s="226">
        <v>1.0599999999999987</v>
      </c>
      <c r="I1407" s="226">
        <v>21.23</v>
      </c>
      <c r="J1407" s="232" t="s">
        <v>1057</v>
      </c>
      <c r="K1407" s="230"/>
      <c r="L1407" s="230"/>
      <c r="M1407" s="230"/>
      <c r="N1407" s="230"/>
      <c r="O1407" s="230"/>
      <c r="P1407" s="230"/>
    </row>
    <row r="1408" spans="1:16">
      <c r="A1408" s="232">
        <v>20140101</v>
      </c>
      <c r="B1408" s="233" t="s">
        <v>498</v>
      </c>
      <c r="C1408" s="225" t="str">
        <f t="shared" si="94"/>
        <v>20140101RLS</v>
      </c>
      <c r="D1408" s="225" t="s">
        <v>334</v>
      </c>
      <c r="E1408" s="225" t="str">
        <f t="shared" si="95"/>
        <v>20140101LGUM_417</v>
      </c>
      <c r="F1408" s="226">
        <f t="shared" si="91"/>
        <v>23.68</v>
      </c>
      <c r="G1408" s="226">
        <v>0.27</v>
      </c>
      <c r="H1408" s="226">
        <v>1.0300000000000011</v>
      </c>
      <c r="I1408" s="226">
        <v>22.38</v>
      </c>
      <c r="J1408" s="224" t="s">
        <v>1099</v>
      </c>
      <c r="K1408" s="230"/>
      <c r="L1408" s="230"/>
      <c r="M1408" s="230"/>
      <c r="N1408" s="230"/>
      <c r="O1408" s="230"/>
      <c r="P1408" s="230"/>
    </row>
    <row r="1409" spans="1:16">
      <c r="A1409" s="232">
        <v>20140101</v>
      </c>
      <c r="B1409" s="233" t="s">
        <v>498</v>
      </c>
      <c r="C1409" s="225" t="str">
        <f t="shared" si="94"/>
        <v>20140101RLS</v>
      </c>
      <c r="D1409" s="225" t="s">
        <v>336</v>
      </c>
      <c r="E1409" s="225" t="str">
        <f t="shared" si="95"/>
        <v>20140101LGUM_419</v>
      </c>
      <c r="F1409" s="226">
        <f t="shared" si="91"/>
        <v>24.77</v>
      </c>
      <c r="G1409" s="226">
        <v>0.37</v>
      </c>
      <c r="H1409" s="226">
        <v>1.6499999999999986</v>
      </c>
      <c r="I1409" s="226">
        <v>22.75</v>
      </c>
      <c r="J1409" s="232" t="s">
        <v>1100</v>
      </c>
      <c r="K1409" s="230"/>
      <c r="L1409" s="230"/>
      <c r="M1409" s="230"/>
      <c r="N1409" s="230"/>
      <c r="O1409" s="230"/>
      <c r="P1409" s="230"/>
    </row>
    <row r="1410" spans="1:16">
      <c r="A1410" s="232">
        <v>20140101</v>
      </c>
      <c r="B1410" s="225" t="s">
        <v>606</v>
      </c>
      <c r="C1410" s="225" t="str">
        <f t="shared" si="94"/>
        <v>20140101LS</v>
      </c>
      <c r="D1410" s="225" t="s">
        <v>337</v>
      </c>
      <c r="E1410" s="225" t="str">
        <f t="shared" si="95"/>
        <v>20140101LGUM_420</v>
      </c>
      <c r="F1410" s="226">
        <f t="shared" si="91"/>
        <v>29.889999999999997</v>
      </c>
      <c r="G1410" s="226">
        <v>0.24</v>
      </c>
      <c r="H1410" s="226">
        <v>1.6499999999999986</v>
      </c>
      <c r="I1410" s="226">
        <v>28</v>
      </c>
      <c r="J1410" s="224" t="s">
        <v>1068</v>
      </c>
      <c r="K1410" s="230"/>
      <c r="L1410" s="230"/>
      <c r="M1410" s="230"/>
      <c r="N1410" s="230"/>
      <c r="O1410" s="230"/>
      <c r="P1410" s="230"/>
    </row>
    <row r="1411" spans="1:16">
      <c r="A1411" s="232">
        <v>20140101</v>
      </c>
      <c r="B1411" s="225" t="s">
        <v>606</v>
      </c>
      <c r="C1411" s="225" t="str">
        <f t="shared" si="94"/>
        <v>20140101LS</v>
      </c>
      <c r="D1411" s="225" t="s">
        <v>338</v>
      </c>
      <c r="E1411" s="225" t="str">
        <f t="shared" si="95"/>
        <v>20140101LGUM_421</v>
      </c>
      <c r="F1411" s="226">
        <f t="shared" si="91"/>
        <v>32.860000000000007</v>
      </c>
      <c r="G1411" s="226">
        <v>0.27</v>
      </c>
      <c r="H1411" s="226">
        <v>2.6700000000000017</v>
      </c>
      <c r="I1411" s="226">
        <v>29.92</v>
      </c>
      <c r="J1411" s="232" t="s">
        <v>1069</v>
      </c>
      <c r="K1411" s="230"/>
      <c r="L1411" s="230"/>
      <c r="M1411" s="230"/>
      <c r="N1411" s="230"/>
      <c r="O1411" s="230"/>
      <c r="P1411" s="230"/>
    </row>
    <row r="1412" spans="1:16">
      <c r="A1412" s="232">
        <v>20140101</v>
      </c>
      <c r="B1412" s="225" t="s">
        <v>606</v>
      </c>
      <c r="C1412" s="225" t="str">
        <f t="shared" si="94"/>
        <v>20140101LS</v>
      </c>
      <c r="D1412" s="225" t="s">
        <v>339</v>
      </c>
      <c r="E1412" s="225" t="str">
        <f t="shared" si="95"/>
        <v>20140101LGUM_422</v>
      </c>
      <c r="F1412" s="226">
        <f t="shared" si="91"/>
        <v>38.389999999999993</v>
      </c>
      <c r="G1412" s="226">
        <v>0.28999999999999998</v>
      </c>
      <c r="H1412" s="226">
        <v>4.279999999999994</v>
      </c>
      <c r="I1412" s="226">
        <v>33.82</v>
      </c>
      <c r="J1412" s="232" t="s">
        <v>1070</v>
      </c>
      <c r="K1412" s="230"/>
      <c r="L1412" s="230"/>
      <c r="M1412" s="230"/>
      <c r="N1412" s="230"/>
      <c r="O1412" s="230"/>
      <c r="P1412" s="230"/>
    </row>
    <row r="1413" spans="1:16">
      <c r="A1413" s="232">
        <v>20140101</v>
      </c>
      <c r="B1413" s="225" t="s">
        <v>606</v>
      </c>
      <c r="C1413" s="225" t="str">
        <f t="shared" si="94"/>
        <v>20140101LS</v>
      </c>
      <c r="D1413" s="225" t="s">
        <v>340</v>
      </c>
      <c r="E1413" s="225" t="str">
        <f t="shared" si="95"/>
        <v>20140101LGUM_423</v>
      </c>
      <c r="F1413" s="226">
        <f t="shared" si="91"/>
        <v>26.349999999999998</v>
      </c>
      <c r="G1413" s="226">
        <v>0.24</v>
      </c>
      <c r="H1413" s="226">
        <v>1.6500000000000021</v>
      </c>
      <c r="I1413" s="226">
        <v>24.459999999999997</v>
      </c>
      <c r="J1413" s="224" t="s">
        <v>1062</v>
      </c>
      <c r="K1413" s="230"/>
      <c r="L1413" s="230"/>
      <c r="M1413" s="230"/>
      <c r="N1413" s="230"/>
      <c r="O1413" s="230"/>
      <c r="P1413" s="230"/>
    </row>
    <row r="1414" spans="1:16">
      <c r="A1414" s="232">
        <v>20140101</v>
      </c>
      <c r="B1414" s="225" t="s">
        <v>606</v>
      </c>
      <c r="C1414" s="225" t="str">
        <f t="shared" si="94"/>
        <v>20140101LS</v>
      </c>
      <c r="D1414" s="225" t="s">
        <v>341</v>
      </c>
      <c r="E1414" s="225" t="str">
        <f t="shared" si="95"/>
        <v>20140101LGUM_424</v>
      </c>
      <c r="F1414" s="226">
        <f t="shared" si="91"/>
        <v>28.45</v>
      </c>
      <c r="G1414" s="226">
        <v>0.27</v>
      </c>
      <c r="H1414" s="226">
        <v>3.9800000000000004</v>
      </c>
      <c r="I1414" s="226">
        <v>24.2</v>
      </c>
      <c r="J1414" s="232" t="s">
        <v>1063</v>
      </c>
      <c r="K1414" s="230"/>
      <c r="L1414" s="230"/>
      <c r="M1414" s="230"/>
      <c r="N1414" s="230"/>
      <c r="O1414" s="230"/>
      <c r="P1414" s="230"/>
    </row>
    <row r="1415" spans="1:16">
      <c r="A1415" s="232">
        <v>20140101</v>
      </c>
      <c r="B1415" s="225" t="s">
        <v>606</v>
      </c>
      <c r="C1415" s="225" t="str">
        <f t="shared" si="94"/>
        <v>20140101LS</v>
      </c>
      <c r="D1415" s="225" t="s">
        <v>342</v>
      </c>
      <c r="E1415" s="225" t="str">
        <f t="shared" si="95"/>
        <v>20140101LGUM_425</v>
      </c>
      <c r="F1415" s="226">
        <f t="shared" si="91"/>
        <v>34.029999999999994</v>
      </c>
      <c r="G1415" s="226">
        <v>0.28999999999999998</v>
      </c>
      <c r="H1415" s="226">
        <v>4.2799999999999976</v>
      </c>
      <c r="I1415" s="226">
        <v>29.459999999999997</v>
      </c>
      <c r="J1415" s="232" t="s">
        <v>1064</v>
      </c>
      <c r="K1415" s="230"/>
      <c r="L1415" s="230"/>
      <c r="M1415" s="230"/>
      <c r="N1415" s="230"/>
      <c r="O1415" s="230"/>
      <c r="P1415" s="230"/>
    </row>
    <row r="1416" spans="1:16">
      <c r="A1416" s="232">
        <v>20140101</v>
      </c>
      <c r="B1416" s="233" t="s">
        <v>498</v>
      </c>
      <c r="C1416" s="225" t="str">
        <f t="shared" si="94"/>
        <v>20140101RLS</v>
      </c>
      <c r="D1416" s="225" t="s">
        <v>343</v>
      </c>
      <c r="E1416" s="225" t="str">
        <f t="shared" si="95"/>
        <v>20140101LGUM_426</v>
      </c>
      <c r="F1416" s="226">
        <f t="shared" si="91"/>
        <v>33.22</v>
      </c>
      <c r="G1416" s="226">
        <v>0.26</v>
      </c>
      <c r="H1416" s="226">
        <v>0.75</v>
      </c>
      <c r="I1416" s="226">
        <v>32.21</v>
      </c>
      <c r="J1416" s="232" t="s">
        <v>1105</v>
      </c>
      <c r="K1416" s="230"/>
      <c r="L1416" s="230"/>
      <c r="M1416" s="230"/>
      <c r="N1416" s="230"/>
      <c r="O1416" s="230"/>
      <c r="P1416" s="230"/>
    </row>
    <row r="1417" spans="1:16">
      <c r="A1417" s="232">
        <v>20140101</v>
      </c>
      <c r="B1417" s="225" t="s">
        <v>606</v>
      </c>
      <c r="C1417" s="225" t="str">
        <f t="shared" si="94"/>
        <v>20140101LS</v>
      </c>
      <c r="D1417" s="225" t="s">
        <v>344</v>
      </c>
      <c r="E1417" s="225" t="str">
        <f t="shared" si="95"/>
        <v>20140101LGUM_427</v>
      </c>
      <c r="F1417" s="226">
        <f t="shared" si="91"/>
        <v>35.199999999999996</v>
      </c>
      <c r="G1417" s="226">
        <v>0.26</v>
      </c>
      <c r="H1417" s="226">
        <v>0.75</v>
      </c>
      <c r="I1417" s="226">
        <v>34.19</v>
      </c>
      <c r="J1417" s="232" t="s">
        <v>1058</v>
      </c>
      <c r="K1417" s="230"/>
      <c r="L1417" s="230"/>
      <c r="M1417" s="230"/>
      <c r="N1417" s="230"/>
      <c r="O1417" s="230"/>
      <c r="P1417" s="230"/>
    </row>
    <row r="1418" spans="1:16">
      <c r="A1418" s="232">
        <v>20140101</v>
      </c>
      <c r="B1418" s="233" t="s">
        <v>498</v>
      </c>
      <c r="C1418" s="225" t="str">
        <f t="shared" si="94"/>
        <v>20140101RLS</v>
      </c>
      <c r="D1418" s="225" t="s">
        <v>345</v>
      </c>
      <c r="E1418" s="225" t="str">
        <f t="shared" si="95"/>
        <v>20140101LGUM_428</v>
      </c>
      <c r="F1418" s="226">
        <f t="shared" si="91"/>
        <v>34.090000000000003</v>
      </c>
      <c r="G1418" s="226">
        <v>0.27</v>
      </c>
      <c r="H1418" s="226">
        <v>1.0600000000000023</v>
      </c>
      <c r="I1418" s="226">
        <v>32.76</v>
      </c>
      <c r="J1418" s="232" t="s">
        <v>1106</v>
      </c>
      <c r="K1418" s="230"/>
      <c r="L1418" s="230"/>
      <c r="M1418" s="230"/>
      <c r="N1418" s="230"/>
      <c r="O1418" s="230"/>
      <c r="P1418" s="230"/>
    </row>
    <row r="1419" spans="1:16">
      <c r="A1419" s="232">
        <v>20140101</v>
      </c>
      <c r="B1419" s="225" t="s">
        <v>606</v>
      </c>
      <c r="C1419" s="225" t="str">
        <f t="shared" si="94"/>
        <v>20140101LS</v>
      </c>
      <c r="D1419" s="225" t="s">
        <v>346</v>
      </c>
      <c r="E1419" s="225" t="str">
        <f t="shared" si="95"/>
        <v>20140101LGUM_429</v>
      </c>
      <c r="F1419" s="226">
        <f t="shared" si="91"/>
        <v>36.07</v>
      </c>
      <c r="G1419" s="226">
        <v>0.27</v>
      </c>
      <c r="H1419" s="226">
        <v>1.0599999999999952</v>
      </c>
      <c r="I1419" s="226">
        <v>34.74</v>
      </c>
      <c r="J1419" s="232" t="s">
        <v>1059</v>
      </c>
      <c r="K1419" s="230"/>
      <c r="L1419" s="230"/>
      <c r="M1419" s="230"/>
      <c r="N1419" s="230"/>
      <c r="O1419" s="230"/>
      <c r="P1419" s="230"/>
    </row>
    <row r="1420" spans="1:16">
      <c r="A1420" s="232">
        <v>20140101</v>
      </c>
      <c r="B1420" s="233" t="s">
        <v>498</v>
      </c>
      <c r="C1420" s="225" t="str">
        <f t="shared" si="94"/>
        <v>20140101RLS</v>
      </c>
      <c r="D1420" s="225" t="s">
        <v>347</v>
      </c>
      <c r="E1420" s="225" t="str">
        <f t="shared" si="95"/>
        <v>20140101LGUM_430</v>
      </c>
      <c r="F1420" s="226">
        <f t="shared" si="91"/>
        <v>32.26</v>
      </c>
      <c r="G1420" s="226">
        <v>0.26</v>
      </c>
      <c r="H1420" s="226">
        <v>0.75</v>
      </c>
      <c r="I1420" s="226">
        <v>31.25</v>
      </c>
      <c r="J1420" s="232" t="s">
        <v>1107</v>
      </c>
      <c r="K1420" s="230"/>
      <c r="L1420" s="230"/>
      <c r="M1420" s="230"/>
      <c r="N1420" s="230"/>
      <c r="O1420" s="230"/>
      <c r="P1420" s="230"/>
    </row>
    <row r="1421" spans="1:16">
      <c r="A1421" s="232">
        <v>20140101</v>
      </c>
      <c r="B1421" s="225" t="s">
        <v>606</v>
      </c>
      <c r="C1421" s="225" t="str">
        <f t="shared" si="94"/>
        <v>20140101LS</v>
      </c>
      <c r="D1421" s="225" t="s">
        <v>348</v>
      </c>
      <c r="E1421" s="225" t="str">
        <f t="shared" si="95"/>
        <v>20140101LGUM_431</v>
      </c>
      <c r="F1421" s="226">
        <f t="shared" si="91"/>
        <v>32.93</v>
      </c>
      <c r="G1421" s="226">
        <v>0.26</v>
      </c>
      <c r="H1421" s="226">
        <v>0.75</v>
      </c>
      <c r="I1421" s="226">
        <v>31.92</v>
      </c>
      <c r="J1421" s="232" t="s">
        <v>1060</v>
      </c>
      <c r="K1421" s="230"/>
      <c r="L1421" s="230"/>
      <c r="M1421" s="230"/>
      <c r="N1421" s="230"/>
      <c r="O1421" s="230"/>
      <c r="P1421" s="230"/>
    </row>
    <row r="1422" spans="1:16">
      <c r="A1422" s="232">
        <v>20140101</v>
      </c>
      <c r="B1422" s="233" t="s">
        <v>498</v>
      </c>
      <c r="C1422" s="225" t="str">
        <f t="shared" si="94"/>
        <v>20140101RLS</v>
      </c>
      <c r="D1422" s="225" t="s">
        <v>376</v>
      </c>
      <c r="E1422" s="225" t="str">
        <f t="shared" si="95"/>
        <v>20140101LGUM_432</v>
      </c>
      <c r="F1422" s="226">
        <f t="shared" si="91"/>
        <v>34.330000000000005</v>
      </c>
      <c r="G1422" s="226">
        <v>0.27</v>
      </c>
      <c r="H1422" s="226">
        <v>1.0600000000000023</v>
      </c>
      <c r="I1422" s="226">
        <v>33</v>
      </c>
      <c r="J1422" s="232" t="s">
        <v>1108</v>
      </c>
      <c r="K1422" s="230"/>
      <c r="L1422" s="230"/>
      <c r="M1422" s="230"/>
      <c r="N1422" s="230"/>
      <c r="O1422" s="230"/>
      <c r="P1422" s="230"/>
    </row>
    <row r="1423" spans="1:16">
      <c r="A1423" s="232">
        <v>20140101</v>
      </c>
      <c r="B1423" s="225" t="s">
        <v>606</v>
      </c>
      <c r="C1423" s="225" t="str">
        <f t="shared" si="94"/>
        <v>20140101LS</v>
      </c>
      <c r="D1423" s="225" t="s">
        <v>349</v>
      </c>
      <c r="E1423" s="225" t="str">
        <f t="shared" si="95"/>
        <v>20140101LGUM_433</v>
      </c>
      <c r="F1423" s="226">
        <f t="shared" si="91"/>
        <v>34.99</v>
      </c>
      <c r="G1423" s="226">
        <v>0.27</v>
      </c>
      <c r="H1423" s="226">
        <v>1.0600000000000023</v>
      </c>
      <c r="I1423" s="226">
        <v>33.659999999999997</v>
      </c>
      <c r="J1423" s="232" t="s">
        <v>1061</v>
      </c>
      <c r="K1423" s="230"/>
      <c r="L1423" s="230"/>
      <c r="M1423" s="230"/>
      <c r="N1423" s="230"/>
      <c r="O1423" s="230"/>
      <c r="P1423" s="230"/>
    </row>
    <row r="1424" spans="1:16">
      <c r="A1424" s="232">
        <v>20140101</v>
      </c>
      <c r="B1424" s="225" t="s">
        <v>606</v>
      </c>
      <c r="C1424" s="225" t="str">
        <f t="shared" si="94"/>
        <v>20140101LS</v>
      </c>
      <c r="D1424" s="231" t="s">
        <v>729</v>
      </c>
      <c r="E1424" s="225" t="str">
        <f t="shared" si="95"/>
        <v>20140101LGUM_439</v>
      </c>
      <c r="F1424" s="226">
        <f t="shared" si="91"/>
        <v>16.459999999999997</v>
      </c>
      <c r="G1424" s="226">
        <v>0.24</v>
      </c>
      <c r="H1424" s="226">
        <v>1.6499999999999986</v>
      </c>
      <c r="I1424" s="226">
        <v>14.57</v>
      </c>
      <c r="J1424" s="232" t="s">
        <v>1065</v>
      </c>
      <c r="K1424" s="230"/>
      <c r="L1424" s="230"/>
      <c r="M1424" s="230"/>
      <c r="N1424" s="230"/>
      <c r="O1424" s="230"/>
      <c r="P1424" s="230"/>
    </row>
    <row r="1425" spans="1:16">
      <c r="A1425" s="232">
        <v>20140101</v>
      </c>
      <c r="B1425" s="225" t="s">
        <v>606</v>
      </c>
      <c r="C1425" s="225" t="str">
        <f t="shared" si="94"/>
        <v>20140101LS</v>
      </c>
      <c r="D1425" s="231" t="s">
        <v>730</v>
      </c>
      <c r="E1425" s="225" t="str">
        <f t="shared" si="95"/>
        <v>20140101LGUM_440</v>
      </c>
      <c r="F1425" s="226">
        <f t="shared" si="91"/>
        <v>18.279999999999998</v>
      </c>
      <c r="G1425" s="226">
        <v>0.27</v>
      </c>
      <c r="H1425" s="226">
        <v>2.67</v>
      </c>
      <c r="I1425" s="226">
        <v>15.339999999999998</v>
      </c>
      <c r="J1425" s="232" t="s">
        <v>1066</v>
      </c>
      <c r="K1425" s="230"/>
      <c r="L1425" s="230"/>
      <c r="M1425" s="230"/>
      <c r="N1425" s="230"/>
      <c r="O1425" s="230"/>
      <c r="P1425" s="230"/>
    </row>
    <row r="1426" spans="1:16">
      <c r="A1426" s="232">
        <v>20140101</v>
      </c>
      <c r="B1426" s="225" t="s">
        <v>606</v>
      </c>
      <c r="C1426" s="225" t="str">
        <f t="shared" si="94"/>
        <v>20140101LS</v>
      </c>
      <c r="D1426" s="231" t="s">
        <v>378</v>
      </c>
      <c r="E1426" s="225" t="str">
        <f t="shared" si="95"/>
        <v>20140101LGUM_441</v>
      </c>
      <c r="F1426" s="226">
        <f t="shared" si="91"/>
        <v>22.32</v>
      </c>
      <c r="G1426" s="226">
        <v>0.28999999999999998</v>
      </c>
      <c r="H1426" s="226">
        <v>4.2800000000000011</v>
      </c>
      <c r="I1426" s="226">
        <v>17.75</v>
      </c>
      <c r="J1426" s="232" t="s">
        <v>1067</v>
      </c>
      <c r="K1426" s="230"/>
      <c r="L1426" s="230"/>
      <c r="M1426" s="230"/>
      <c r="N1426" s="230"/>
      <c r="O1426" s="230"/>
      <c r="P1426" s="230"/>
    </row>
    <row r="1427" spans="1:16">
      <c r="A1427" s="232">
        <v>20140101</v>
      </c>
      <c r="B1427" s="225" t="s">
        <v>606</v>
      </c>
      <c r="C1427" s="225" t="str">
        <f>A1427&amp;B1427</f>
        <v>20140101LS</v>
      </c>
      <c r="D1427" s="229" t="s">
        <v>354</v>
      </c>
      <c r="E1427" s="225" t="str">
        <f>A1427&amp;D1427</f>
        <v>20140101LGUM_452</v>
      </c>
      <c r="F1427" s="226">
        <f t="shared" si="91"/>
        <v>12.82</v>
      </c>
      <c r="G1427" s="226">
        <v>0.24</v>
      </c>
      <c r="H1427" s="226">
        <v>1.6500000000000004</v>
      </c>
      <c r="I1427" s="226">
        <v>10.93</v>
      </c>
      <c r="J1427" s="224" t="s">
        <v>1045</v>
      </c>
      <c r="K1427" s="230"/>
      <c r="L1427" s="230"/>
      <c r="M1427" s="230"/>
      <c r="N1427" s="230"/>
      <c r="O1427" s="230"/>
      <c r="P1427" s="230"/>
    </row>
    <row r="1428" spans="1:16">
      <c r="A1428" s="232">
        <v>20140101</v>
      </c>
      <c r="B1428" s="225" t="s">
        <v>606</v>
      </c>
      <c r="C1428" s="225" t="str">
        <f t="shared" si="94"/>
        <v>20140101LS</v>
      </c>
      <c r="D1428" s="225" t="s">
        <v>355</v>
      </c>
      <c r="E1428" s="225" t="str">
        <f t="shared" si="95"/>
        <v>20140101LGUM_453</v>
      </c>
      <c r="F1428" s="226">
        <f t="shared" si="91"/>
        <v>15.08</v>
      </c>
      <c r="G1428" s="226">
        <v>0.27</v>
      </c>
      <c r="H1428" s="226">
        <v>3.9800000000000004</v>
      </c>
      <c r="I1428" s="226">
        <v>10.83</v>
      </c>
      <c r="J1428" s="232" t="s">
        <v>1046</v>
      </c>
      <c r="K1428" s="230"/>
      <c r="L1428" s="230"/>
      <c r="M1428" s="230"/>
      <c r="N1428" s="230"/>
      <c r="O1428" s="230"/>
      <c r="P1428" s="230"/>
    </row>
    <row r="1429" spans="1:16">
      <c r="A1429" s="232">
        <v>20140101</v>
      </c>
      <c r="B1429" s="225" t="s">
        <v>606</v>
      </c>
      <c r="C1429" s="225" t="str">
        <f t="shared" si="94"/>
        <v>20140101LS</v>
      </c>
      <c r="D1429" s="225" t="s">
        <v>356</v>
      </c>
      <c r="E1429" s="225" t="str">
        <f t="shared" si="95"/>
        <v>20140101LGUM_454</v>
      </c>
      <c r="F1429" s="226">
        <f t="shared" si="91"/>
        <v>17.38</v>
      </c>
      <c r="G1429" s="226">
        <v>0.28999999999999998</v>
      </c>
      <c r="H1429" s="226">
        <v>4.2800000000000011</v>
      </c>
      <c r="I1429" s="226">
        <v>12.809999999999999</v>
      </c>
      <c r="J1429" s="232" t="s">
        <v>1047</v>
      </c>
      <c r="K1429" s="230"/>
      <c r="L1429" s="230"/>
      <c r="M1429" s="230"/>
      <c r="N1429" s="230"/>
      <c r="O1429" s="230"/>
      <c r="P1429" s="230"/>
    </row>
    <row r="1430" spans="1:16">
      <c r="A1430" s="232">
        <v>20140101</v>
      </c>
      <c r="B1430" s="225" t="s">
        <v>606</v>
      </c>
      <c r="C1430" s="225" t="str">
        <f t="shared" si="94"/>
        <v>20140101LS</v>
      </c>
      <c r="D1430" s="225" t="s">
        <v>357</v>
      </c>
      <c r="E1430" s="225" t="str">
        <f t="shared" si="95"/>
        <v>20140101LGUM_455</v>
      </c>
      <c r="F1430" s="226">
        <f t="shared" si="91"/>
        <v>13.77</v>
      </c>
      <c r="G1430" s="226">
        <v>0.24</v>
      </c>
      <c r="H1430" s="226">
        <v>1.6499999999999986</v>
      </c>
      <c r="I1430" s="226">
        <v>11.88</v>
      </c>
      <c r="J1430" s="232" t="s">
        <v>1048</v>
      </c>
      <c r="K1430" s="230"/>
      <c r="L1430" s="230"/>
      <c r="M1430" s="230"/>
      <c r="N1430" s="230"/>
      <c r="O1430" s="230"/>
      <c r="P1430" s="230"/>
    </row>
    <row r="1431" spans="1:16">
      <c r="A1431" s="232">
        <v>20140101</v>
      </c>
      <c r="B1431" s="225" t="s">
        <v>606</v>
      </c>
      <c r="C1431" s="225" t="str">
        <f t="shared" si="94"/>
        <v>20140101LS</v>
      </c>
      <c r="D1431" s="225" t="s">
        <v>358</v>
      </c>
      <c r="E1431" s="225" t="str">
        <f t="shared" si="95"/>
        <v>20140101LGUM_456</v>
      </c>
      <c r="F1431" s="226">
        <f t="shared" si="91"/>
        <v>18.21</v>
      </c>
      <c r="G1431" s="226">
        <v>0.28999999999999998</v>
      </c>
      <c r="H1431" s="226">
        <v>4.2800000000000011</v>
      </c>
      <c r="I1431" s="226">
        <v>13.64</v>
      </c>
      <c r="J1431" s="232" t="s">
        <v>1049</v>
      </c>
      <c r="K1431" s="230"/>
      <c r="L1431" s="230"/>
      <c r="M1431" s="230"/>
      <c r="N1431" s="230"/>
      <c r="O1431" s="230"/>
      <c r="P1431" s="230"/>
    </row>
    <row r="1432" spans="1:16">
      <c r="A1432" s="232">
        <v>20140101</v>
      </c>
      <c r="B1432" s="225" t="s">
        <v>606</v>
      </c>
      <c r="C1432" s="225" t="str">
        <f t="shared" si="94"/>
        <v>20140101LS</v>
      </c>
      <c r="D1432" s="225" t="s">
        <v>359</v>
      </c>
      <c r="E1432" s="225" t="str">
        <f t="shared" si="95"/>
        <v>20140101LGUM_457</v>
      </c>
      <c r="F1432" s="226">
        <f t="shared" si="91"/>
        <v>10.86</v>
      </c>
      <c r="G1432" s="226">
        <v>0.27</v>
      </c>
      <c r="H1432" s="226">
        <v>1.0599999999999987</v>
      </c>
      <c r="I1432" s="226">
        <v>9.5300000000000011</v>
      </c>
      <c r="J1432" s="224" t="s">
        <v>1051</v>
      </c>
      <c r="K1432" s="230"/>
      <c r="L1432" s="230"/>
      <c r="M1432" s="230"/>
      <c r="N1432" s="230"/>
      <c r="O1432" s="230"/>
      <c r="P1432" s="230"/>
    </row>
    <row r="1433" spans="1:16">
      <c r="A1433" s="232">
        <v>20140101</v>
      </c>
      <c r="B1433" s="233" t="s">
        <v>498</v>
      </c>
      <c r="C1433" s="225" t="str">
        <f t="shared" si="94"/>
        <v>20140101RLS</v>
      </c>
      <c r="D1433" s="225" t="s">
        <v>360</v>
      </c>
      <c r="E1433" s="225" t="str">
        <f t="shared" si="95"/>
        <v>20140101LGUM_458</v>
      </c>
      <c r="F1433" s="226">
        <f t="shared" si="91"/>
        <v>11.13</v>
      </c>
      <c r="G1433" s="226">
        <v>0.16</v>
      </c>
      <c r="H1433" s="226">
        <v>3.7700000000000014</v>
      </c>
      <c r="I1433" s="226">
        <v>7.1999999999999993</v>
      </c>
      <c r="J1433" s="224" t="s">
        <v>1080</v>
      </c>
      <c r="K1433" s="230"/>
      <c r="L1433" s="230"/>
      <c r="M1433" s="230"/>
      <c r="N1433" s="230"/>
      <c r="O1433" s="230"/>
      <c r="P1433" s="230"/>
    </row>
    <row r="1434" spans="1:16">
      <c r="A1434" s="232">
        <v>20140101</v>
      </c>
      <c r="B1434" s="225" t="s">
        <v>606</v>
      </c>
      <c r="C1434" s="225" t="str">
        <f t="shared" si="94"/>
        <v>20140101LS</v>
      </c>
      <c r="D1434" s="225" t="s">
        <v>365</v>
      </c>
      <c r="E1434" s="225" t="str">
        <f t="shared" si="95"/>
        <v>20140101LGUM_470</v>
      </c>
      <c r="F1434" s="226">
        <f t="shared" si="91"/>
        <v>12.79</v>
      </c>
      <c r="G1434" s="226">
        <v>0.27</v>
      </c>
      <c r="H1434" s="226">
        <v>1.3699999999999992</v>
      </c>
      <c r="I1434" s="226">
        <v>11.15</v>
      </c>
      <c r="J1434" s="224" t="s">
        <v>1050</v>
      </c>
      <c r="K1434" s="230"/>
      <c r="L1434" s="230"/>
      <c r="M1434" s="230"/>
      <c r="N1434" s="230"/>
      <c r="O1434" s="230"/>
      <c r="P1434" s="230"/>
    </row>
    <row r="1435" spans="1:16">
      <c r="A1435" s="232">
        <v>20140101</v>
      </c>
      <c r="B1435" s="233" t="s">
        <v>498</v>
      </c>
      <c r="C1435" s="225" t="str">
        <f t="shared" si="94"/>
        <v>20140101RLS</v>
      </c>
      <c r="D1435" s="225" t="s">
        <v>366</v>
      </c>
      <c r="E1435" s="225" t="str">
        <f t="shared" si="95"/>
        <v>20140101LGUM_471</v>
      </c>
      <c r="F1435" s="226">
        <f t="shared" si="91"/>
        <v>15.07</v>
      </c>
      <c r="G1435" s="226">
        <v>0.27</v>
      </c>
      <c r="H1435" s="226">
        <v>1.3699999999999992</v>
      </c>
      <c r="I1435" s="226">
        <v>13.430000000000001</v>
      </c>
      <c r="J1435" s="232" t="s">
        <v>1089</v>
      </c>
      <c r="K1435" s="230"/>
      <c r="L1435" s="230"/>
      <c r="M1435" s="230"/>
      <c r="N1435" s="230"/>
      <c r="O1435" s="230"/>
      <c r="P1435" s="230"/>
    </row>
    <row r="1436" spans="1:16">
      <c r="A1436" s="232">
        <v>20140101</v>
      </c>
      <c r="B1436" s="225" t="s">
        <v>606</v>
      </c>
      <c r="C1436" s="225" t="str">
        <f t="shared" si="94"/>
        <v>20140101LS</v>
      </c>
      <c r="D1436" s="225" t="s">
        <v>367</v>
      </c>
      <c r="E1436" s="225" t="str">
        <f t="shared" si="95"/>
        <v>20140101LGUM_473</v>
      </c>
      <c r="F1436" s="226">
        <f t="shared" si="91"/>
        <v>18.68</v>
      </c>
      <c r="G1436" s="226">
        <v>0.3</v>
      </c>
      <c r="H1436" s="226">
        <v>3.1799999999999979</v>
      </c>
      <c r="I1436" s="226">
        <v>15.200000000000001</v>
      </c>
      <c r="J1436" s="232" t="s">
        <v>1052</v>
      </c>
      <c r="K1436" s="230"/>
      <c r="L1436" s="230"/>
      <c r="M1436" s="230"/>
      <c r="N1436" s="230"/>
      <c r="O1436" s="230"/>
      <c r="P1436" s="230"/>
    </row>
    <row r="1437" spans="1:16">
      <c r="A1437" s="232">
        <v>20140101</v>
      </c>
      <c r="B1437" s="233" t="s">
        <v>498</v>
      </c>
      <c r="C1437" s="225" t="str">
        <f t="shared" si="94"/>
        <v>20140101RLS</v>
      </c>
      <c r="D1437" s="225" t="s">
        <v>368</v>
      </c>
      <c r="E1437" s="225" t="str">
        <f t="shared" si="95"/>
        <v>20140101LGUM_474</v>
      </c>
      <c r="F1437" s="226">
        <f t="shared" si="91"/>
        <v>20.970000000000002</v>
      </c>
      <c r="G1437" s="226">
        <v>0.3</v>
      </c>
      <c r="H1437" s="226">
        <v>3.1799999999999997</v>
      </c>
      <c r="I1437" s="226">
        <v>17.490000000000002</v>
      </c>
      <c r="J1437" s="232" t="s">
        <v>1088</v>
      </c>
      <c r="K1437" s="230"/>
      <c r="L1437" s="230"/>
      <c r="M1437" s="230"/>
      <c r="N1437" s="230"/>
      <c r="O1437" s="230"/>
      <c r="P1437" s="230"/>
    </row>
    <row r="1438" spans="1:16">
      <c r="A1438" s="232">
        <v>20140101</v>
      </c>
      <c r="B1438" s="233" t="s">
        <v>498</v>
      </c>
      <c r="C1438" s="225" t="str">
        <f t="shared" si="94"/>
        <v>20140101RLS</v>
      </c>
      <c r="D1438" s="225" t="s">
        <v>369</v>
      </c>
      <c r="E1438" s="225" t="str">
        <f t="shared" si="95"/>
        <v>20140101LGUM_475</v>
      </c>
      <c r="F1438" s="226">
        <f t="shared" si="91"/>
        <v>28.42</v>
      </c>
      <c r="G1438" s="226">
        <v>0.3</v>
      </c>
      <c r="H1438" s="226">
        <v>3.1800000000000033</v>
      </c>
      <c r="I1438" s="226">
        <v>24.939999999999998</v>
      </c>
      <c r="J1438" s="232" t="s">
        <v>1087</v>
      </c>
      <c r="K1438" s="230"/>
      <c r="L1438" s="230"/>
      <c r="M1438" s="230"/>
      <c r="N1438" s="230"/>
      <c r="O1438" s="230"/>
      <c r="P1438" s="230"/>
    </row>
    <row r="1439" spans="1:16">
      <c r="A1439" s="232">
        <v>20140101</v>
      </c>
      <c r="B1439" s="225" t="s">
        <v>606</v>
      </c>
      <c r="C1439" s="225" t="str">
        <f t="shared" si="94"/>
        <v>20140101LS</v>
      </c>
      <c r="D1439" s="225" t="s">
        <v>370</v>
      </c>
      <c r="E1439" s="225" t="str">
        <f t="shared" si="95"/>
        <v>20140101LGUM_476</v>
      </c>
      <c r="F1439" s="226">
        <f t="shared" si="91"/>
        <v>39.6</v>
      </c>
      <c r="G1439" s="226">
        <v>0.61</v>
      </c>
      <c r="H1439" s="226">
        <v>9.8100000000000023</v>
      </c>
      <c r="I1439" s="226">
        <v>29.18</v>
      </c>
      <c r="J1439" s="232" t="s">
        <v>1053</v>
      </c>
      <c r="K1439" s="230"/>
      <c r="L1439" s="230"/>
      <c r="M1439" s="230"/>
      <c r="N1439" s="230"/>
      <c r="O1439" s="230"/>
      <c r="P1439" s="230"/>
    </row>
    <row r="1440" spans="1:16">
      <c r="A1440" s="232">
        <v>20140101</v>
      </c>
      <c r="B1440" s="233" t="s">
        <v>498</v>
      </c>
      <c r="C1440" s="225" t="str">
        <f t="shared" si="94"/>
        <v>20140101RLS</v>
      </c>
      <c r="D1440" s="225" t="s">
        <v>371</v>
      </c>
      <c r="E1440" s="225" t="str">
        <f t="shared" si="95"/>
        <v>20140101LGUM_477</v>
      </c>
      <c r="F1440" s="226">
        <f t="shared" ref="F1440:F1446" si="96">SUM(G1440:I1440)</f>
        <v>42.78</v>
      </c>
      <c r="G1440" s="226">
        <v>0.61</v>
      </c>
      <c r="H1440" s="226">
        <v>9.8100000000000023</v>
      </c>
      <c r="I1440" s="226">
        <v>32.36</v>
      </c>
      <c r="J1440" s="232" t="s">
        <v>1090</v>
      </c>
      <c r="K1440" s="230"/>
      <c r="L1440" s="230"/>
      <c r="M1440" s="230"/>
      <c r="N1440" s="230"/>
      <c r="O1440" s="230"/>
      <c r="P1440" s="230"/>
    </row>
    <row r="1441" spans="1:16">
      <c r="A1441" s="232">
        <v>20140101</v>
      </c>
      <c r="B1441" s="225" t="s">
        <v>606</v>
      </c>
      <c r="C1441" s="225" t="str">
        <f t="shared" si="94"/>
        <v>20140101LS</v>
      </c>
      <c r="D1441" s="225" t="s">
        <v>657</v>
      </c>
      <c r="E1441" s="225" t="str">
        <f t="shared" si="95"/>
        <v>20140101LGUM_479</v>
      </c>
      <c r="F1441" s="226">
        <f t="shared" si="96"/>
        <v>14.06</v>
      </c>
      <c r="G1441" s="226">
        <v>0.27</v>
      </c>
      <c r="H1441" s="226">
        <v>1.370000000000001</v>
      </c>
      <c r="I1441" s="226">
        <v>12.42</v>
      </c>
      <c r="J1441" s="224" t="s">
        <v>1073</v>
      </c>
      <c r="K1441" s="230"/>
      <c r="L1441" s="230"/>
      <c r="M1441" s="230"/>
      <c r="N1441" s="230"/>
      <c r="O1441" s="230"/>
      <c r="P1441" s="230"/>
    </row>
    <row r="1442" spans="1:16">
      <c r="A1442" s="232">
        <v>20140101</v>
      </c>
      <c r="B1442" s="225" t="s">
        <v>606</v>
      </c>
      <c r="C1442" s="225" t="str">
        <f t="shared" si="94"/>
        <v>20140101LS</v>
      </c>
      <c r="D1442" s="225" t="s">
        <v>659</v>
      </c>
      <c r="E1442" s="225" t="str">
        <f t="shared" si="95"/>
        <v>20140101LGUM_480</v>
      </c>
      <c r="F1442" s="226">
        <f t="shared" si="96"/>
        <v>23.83</v>
      </c>
      <c r="G1442" s="226">
        <v>0.27</v>
      </c>
      <c r="H1442" s="226">
        <v>1.370000000000001</v>
      </c>
      <c r="I1442" s="226">
        <v>22.189999999999998</v>
      </c>
      <c r="J1442" s="232" t="s">
        <v>1074</v>
      </c>
      <c r="K1442" s="230"/>
      <c r="L1442" s="230"/>
      <c r="M1442" s="230"/>
      <c r="N1442" s="230"/>
      <c r="O1442" s="230"/>
      <c r="P1442" s="230"/>
    </row>
    <row r="1443" spans="1:16">
      <c r="A1443" s="232">
        <v>20140101</v>
      </c>
      <c r="B1443" s="225" t="s">
        <v>606</v>
      </c>
      <c r="C1443" s="225" t="str">
        <f t="shared" si="94"/>
        <v>20140101LS</v>
      </c>
      <c r="D1443" s="225" t="s">
        <v>399</v>
      </c>
      <c r="E1443" s="225" t="str">
        <f t="shared" si="95"/>
        <v>20140101LGUM_481</v>
      </c>
      <c r="F1443" s="226">
        <f t="shared" si="96"/>
        <v>20.46</v>
      </c>
      <c r="G1443" s="226">
        <v>0.3</v>
      </c>
      <c r="H1443" s="226">
        <v>3.1800000000000033</v>
      </c>
      <c r="I1443" s="226">
        <v>16.979999999999997</v>
      </c>
      <c r="J1443" s="232" t="s">
        <v>1078</v>
      </c>
      <c r="K1443" s="230"/>
      <c r="L1443" s="230"/>
      <c r="M1443" s="230"/>
      <c r="N1443" s="230"/>
      <c r="O1443" s="230"/>
      <c r="P1443" s="230"/>
    </row>
    <row r="1444" spans="1:16">
      <c r="A1444" s="232">
        <v>20140101</v>
      </c>
      <c r="B1444" s="225" t="s">
        <v>606</v>
      </c>
      <c r="C1444" s="225" t="str">
        <f t="shared" si="94"/>
        <v>20140101LS</v>
      </c>
      <c r="D1444" s="225" t="s">
        <v>372</v>
      </c>
      <c r="E1444" s="225" t="str">
        <f t="shared" si="95"/>
        <v>20140101LGUM_482</v>
      </c>
      <c r="F1444" s="226">
        <f t="shared" si="96"/>
        <v>30.21</v>
      </c>
      <c r="G1444" s="226">
        <v>0.3</v>
      </c>
      <c r="H1444" s="226">
        <v>3.1800000000000033</v>
      </c>
      <c r="I1444" s="226">
        <v>26.729999999999997</v>
      </c>
      <c r="J1444" s="232" t="s">
        <v>1077</v>
      </c>
      <c r="K1444" s="230"/>
      <c r="L1444" s="230"/>
      <c r="M1444" s="230"/>
      <c r="N1444" s="230"/>
      <c r="O1444" s="230"/>
      <c r="P1444" s="230"/>
    </row>
    <row r="1445" spans="1:16">
      <c r="A1445" s="232">
        <v>20140101</v>
      </c>
      <c r="B1445" s="225" t="s">
        <v>606</v>
      </c>
      <c r="C1445" s="225" t="str">
        <f t="shared" si="94"/>
        <v>20140101LS</v>
      </c>
      <c r="D1445" s="225" t="s">
        <v>373</v>
      </c>
      <c r="E1445" s="225" t="str">
        <f t="shared" si="95"/>
        <v>20140101LGUM_483</v>
      </c>
      <c r="F1445" s="226">
        <f t="shared" si="96"/>
        <v>42.56</v>
      </c>
      <c r="G1445" s="226">
        <v>0.61</v>
      </c>
      <c r="H1445" s="226">
        <v>9.8100000000000023</v>
      </c>
      <c r="I1445" s="226">
        <v>32.14</v>
      </c>
      <c r="J1445" s="232" t="s">
        <v>1075</v>
      </c>
      <c r="K1445" s="230"/>
      <c r="L1445" s="230"/>
      <c r="M1445" s="230"/>
      <c r="N1445" s="230"/>
      <c r="O1445" s="230"/>
      <c r="P1445" s="230"/>
    </row>
    <row r="1446" spans="1:16">
      <c r="A1446" s="232">
        <v>20140101</v>
      </c>
      <c r="B1446" s="225" t="s">
        <v>606</v>
      </c>
      <c r="C1446" s="225" t="str">
        <f t="shared" si="94"/>
        <v>20140101LS</v>
      </c>
      <c r="D1446" s="225" t="s">
        <v>374</v>
      </c>
      <c r="E1446" s="225" t="str">
        <f t="shared" si="95"/>
        <v>20140101LGUM_484</v>
      </c>
      <c r="F1446" s="226">
        <f t="shared" si="96"/>
        <v>52.31</v>
      </c>
      <c r="G1446" s="226">
        <v>0.61</v>
      </c>
      <c r="H1446" s="226">
        <v>9.8100000000000023</v>
      </c>
      <c r="I1446" s="226">
        <v>41.89</v>
      </c>
      <c r="J1446" s="232" t="s">
        <v>1076</v>
      </c>
      <c r="K1446" s="230"/>
      <c r="L1446" s="230"/>
      <c r="M1446" s="230"/>
      <c r="N1446" s="230"/>
      <c r="O1446" s="230"/>
      <c r="P1446" s="230"/>
    </row>
  </sheetData>
  <autoFilter ref="A2:J1446"/>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L104"/>
  <sheetViews>
    <sheetView workbookViewId="0"/>
  </sheetViews>
  <sheetFormatPr defaultColWidth="9.33203125" defaultRowHeight="12"/>
  <cols>
    <col min="1" max="1" width="9.1640625" customWidth="1"/>
    <col min="2" max="3" width="9.33203125" style="39"/>
    <col min="4" max="4" width="15" style="39" bestFit="1" customWidth="1"/>
    <col min="5" max="5" width="23.33203125" style="39" bestFit="1" customWidth="1"/>
    <col min="6" max="6" width="15.1640625" bestFit="1" customWidth="1"/>
    <col min="7" max="8" width="14.33203125" customWidth="1"/>
    <col min="9" max="9" width="12" customWidth="1"/>
    <col min="10" max="10" width="9.33203125" style="23"/>
    <col min="11" max="15" width="9.1640625"/>
    <col min="16" max="16" width="11.1640625" customWidth="1"/>
    <col min="17" max="18" width="11.5" customWidth="1"/>
    <col min="19" max="23" width="9.1640625" customWidth="1"/>
    <col min="24" max="16384" width="9.33203125" style="39"/>
  </cols>
  <sheetData>
    <row r="1" spans="1:38">
      <c r="A1" s="39"/>
      <c r="F1" s="39"/>
      <c r="G1" s="39"/>
      <c r="H1" s="39"/>
      <c r="I1" s="39"/>
      <c r="J1" s="39"/>
      <c r="K1" s="39"/>
      <c r="L1" s="39"/>
      <c r="M1" s="39"/>
      <c r="N1" s="39"/>
      <c r="O1" s="39"/>
      <c r="P1" s="39"/>
      <c r="Q1" s="39"/>
      <c r="R1" s="39"/>
      <c r="S1" s="39"/>
      <c r="T1" s="39"/>
      <c r="U1" s="39"/>
      <c r="V1" s="39"/>
      <c r="W1" s="39"/>
    </row>
    <row r="2" spans="1:38" ht="84">
      <c r="A2" t="s">
        <v>8</v>
      </c>
      <c r="B2" s="40" t="s">
        <v>9</v>
      </c>
      <c r="C2" s="40"/>
      <c r="D2" s="40" t="s">
        <v>4</v>
      </c>
      <c r="E2" s="40" t="s">
        <v>10</v>
      </c>
      <c r="F2" s="38" t="s">
        <v>24</v>
      </c>
      <c r="G2" s="38" t="s">
        <v>470</v>
      </c>
      <c r="H2" s="37" t="s">
        <v>471</v>
      </c>
      <c r="I2" s="37" t="s">
        <v>472</v>
      </c>
      <c r="J2" s="37" t="s">
        <v>473</v>
      </c>
      <c r="K2" s="38" t="s">
        <v>11</v>
      </c>
      <c r="L2" s="38" t="s">
        <v>12</v>
      </c>
      <c r="M2" s="38" t="s">
        <v>474</v>
      </c>
      <c r="N2" s="38" t="s">
        <v>475</v>
      </c>
      <c r="O2" s="38" t="s">
        <v>476</v>
      </c>
      <c r="P2" s="38" t="s">
        <v>477</v>
      </c>
      <c r="Q2" s="37" t="s">
        <v>478</v>
      </c>
      <c r="R2" s="37" t="s">
        <v>479</v>
      </c>
      <c r="S2" s="37" t="s">
        <v>480</v>
      </c>
      <c r="T2" s="38" t="s">
        <v>481</v>
      </c>
      <c r="U2" s="38" t="s">
        <v>482</v>
      </c>
      <c r="V2" s="38" t="s">
        <v>483</v>
      </c>
      <c r="W2" s="38" t="s">
        <v>484</v>
      </c>
      <c r="X2" s="38" t="s">
        <v>485</v>
      </c>
      <c r="Y2" s="38" t="s">
        <v>486</v>
      </c>
      <c r="Z2" s="38" t="s">
        <v>487</v>
      </c>
      <c r="AA2" s="38" t="s">
        <v>488</v>
      </c>
      <c r="AB2" s="38" t="s">
        <v>489</v>
      </c>
      <c r="AC2" s="38" t="s">
        <v>490</v>
      </c>
      <c r="AD2" s="38" t="s">
        <v>491</v>
      </c>
      <c r="AE2" s="38" t="s">
        <v>492</v>
      </c>
      <c r="AF2" s="38" t="s">
        <v>493</v>
      </c>
      <c r="AG2" s="38" t="s">
        <v>494</v>
      </c>
      <c r="AH2" s="38" t="s">
        <v>495</v>
      </c>
      <c r="AI2" s="40"/>
      <c r="AJ2" s="40"/>
      <c r="AK2" s="40"/>
      <c r="AL2" s="40"/>
    </row>
    <row r="3" spans="1:38">
      <c r="A3">
        <v>1</v>
      </c>
      <c r="B3" s="39">
        <f>A3+1</f>
        <v>2</v>
      </c>
      <c r="D3" s="39">
        <f>B3+1</f>
        <v>3</v>
      </c>
      <c r="E3" s="39">
        <f t="shared" ref="E3:AH3" si="0">D3+1</f>
        <v>4</v>
      </c>
      <c r="F3" s="39">
        <f t="shared" si="0"/>
        <v>5</v>
      </c>
      <c r="G3" s="39">
        <f t="shared" si="0"/>
        <v>6</v>
      </c>
      <c r="H3" s="39">
        <f t="shared" si="0"/>
        <v>7</v>
      </c>
      <c r="I3" s="39">
        <f t="shared" si="0"/>
        <v>8</v>
      </c>
      <c r="J3" s="39">
        <f t="shared" si="0"/>
        <v>9</v>
      </c>
      <c r="K3" s="39">
        <f t="shared" si="0"/>
        <v>10</v>
      </c>
      <c r="L3" s="39">
        <f t="shared" si="0"/>
        <v>11</v>
      </c>
      <c r="M3" s="39">
        <f t="shared" si="0"/>
        <v>12</v>
      </c>
      <c r="N3" s="39">
        <f t="shared" si="0"/>
        <v>13</v>
      </c>
      <c r="O3" s="39">
        <f t="shared" si="0"/>
        <v>14</v>
      </c>
      <c r="P3" s="39">
        <f t="shared" si="0"/>
        <v>15</v>
      </c>
      <c r="Q3" s="39">
        <f t="shared" si="0"/>
        <v>16</v>
      </c>
      <c r="R3" s="39">
        <f t="shared" si="0"/>
        <v>17</v>
      </c>
      <c r="S3" s="39">
        <f t="shared" si="0"/>
        <v>18</v>
      </c>
      <c r="T3" s="39">
        <f t="shared" si="0"/>
        <v>19</v>
      </c>
      <c r="U3" s="39">
        <f t="shared" si="0"/>
        <v>20</v>
      </c>
      <c r="V3" s="39">
        <f t="shared" si="0"/>
        <v>21</v>
      </c>
      <c r="W3" s="39">
        <f t="shared" si="0"/>
        <v>22</v>
      </c>
      <c r="X3" s="39">
        <f t="shared" si="0"/>
        <v>23</v>
      </c>
      <c r="Y3" s="39">
        <f t="shared" si="0"/>
        <v>24</v>
      </c>
      <c r="Z3" s="39">
        <f t="shared" si="0"/>
        <v>25</v>
      </c>
      <c r="AA3" s="39">
        <f t="shared" si="0"/>
        <v>26</v>
      </c>
      <c r="AB3" s="39">
        <f t="shared" si="0"/>
        <v>27</v>
      </c>
      <c r="AC3" s="39">
        <f t="shared" si="0"/>
        <v>28</v>
      </c>
      <c r="AD3" s="39">
        <f t="shared" si="0"/>
        <v>29</v>
      </c>
      <c r="AE3" s="39">
        <f t="shared" si="0"/>
        <v>30</v>
      </c>
      <c r="AF3" s="39">
        <f t="shared" si="0"/>
        <v>31</v>
      </c>
      <c r="AG3" s="39">
        <f t="shared" si="0"/>
        <v>32</v>
      </c>
      <c r="AH3" s="39">
        <f t="shared" si="0"/>
        <v>33</v>
      </c>
    </row>
    <row r="4" spans="1:38">
      <c r="A4" s="7">
        <v>20100128</v>
      </c>
      <c r="B4" s="108" t="s">
        <v>498</v>
      </c>
      <c r="C4" s="108" t="str">
        <f>A4&amp;B4</f>
        <v>20100128RLS</v>
      </c>
      <c r="D4" s="108" t="s">
        <v>665</v>
      </c>
      <c r="E4" s="108" t="str">
        <f>A4&amp;D4</f>
        <v>20100128LE_900Pole</v>
      </c>
      <c r="F4" s="4">
        <v>1.78</v>
      </c>
      <c r="G4" s="4">
        <v>0</v>
      </c>
      <c r="H4" s="5">
        <v>0</v>
      </c>
      <c r="I4" s="5">
        <v>0</v>
      </c>
      <c r="J4" s="5">
        <v>0</v>
      </c>
      <c r="K4" s="4">
        <v>0</v>
      </c>
      <c r="L4" s="4">
        <v>0</v>
      </c>
      <c r="M4" s="4">
        <v>1.78</v>
      </c>
      <c r="N4" s="5">
        <f t="shared" ref="N4:P6" si="1">IF(H4=0,0,H4-$K4-$L4)</f>
        <v>0</v>
      </c>
      <c r="O4" s="5">
        <f t="shared" si="1"/>
        <v>0</v>
      </c>
      <c r="P4" s="5">
        <f t="shared" si="1"/>
        <v>0</v>
      </c>
      <c r="X4"/>
      <c r="Y4"/>
      <c r="Z4"/>
      <c r="AA4"/>
      <c r="AB4"/>
      <c r="AC4"/>
      <c r="AD4"/>
      <c r="AE4"/>
      <c r="AF4"/>
      <c r="AG4"/>
      <c r="AH4"/>
    </row>
    <row r="5" spans="1:38">
      <c r="A5" s="7">
        <v>20100128</v>
      </c>
      <c r="B5" s="108" t="s">
        <v>498</v>
      </c>
      <c r="C5" s="108" t="str">
        <f>A5&amp;B5</f>
        <v>20100128RLS</v>
      </c>
      <c r="D5" s="108" t="s">
        <v>666</v>
      </c>
      <c r="E5" s="108" t="str">
        <f>A5&amp;D5</f>
        <v>20100128LE_901Pole</v>
      </c>
      <c r="F5" s="4">
        <v>9.36</v>
      </c>
      <c r="G5" s="4">
        <v>0</v>
      </c>
      <c r="H5" s="5">
        <v>0</v>
      </c>
      <c r="I5" s="5">
        <v>0</v>
      </c>
      <c r="J5" s="5">
        <v>0</v>
      </c>
      <c r="K5" s="4">
        <v>0</v>
      </c>
      <c r="L5" s="4">
        <v>0</v>
      </c>
      <c r="M5" s="4">
        <v>9.36</v>
      </c>
      <c r="N5" s="5">
        <f t="shared" si="1"/>
        <v>0</v>
      </c>
      <c r="O5" s="5">
        <f t="shared" si="1"/>
        <v>0</v>
      </c>
      <c r="P5" s="5">
        <f t="shared" si="1"/>
        <v>0</v>
      </c>
      <c r="X5"/>
      <c r="Y5"/>
      <c r="Z5"/>
      <c r="AA5"/>
      <c r="AB5"/>
      <c r="AC5"/>
      <c r="AD5"/>
      <c r="AE5"/>
      <c r="AF5"/>
      <c r="AG5"/>
      <c r="AH5"/>
    </row>
    <row r="6" spans="1:38">
      <c r="A6" s="7">
        <v>20100128</v>
      </c>
      <c r="B6" s="108" t="s">
        <v>498</v>
      </c>
      <c r="C6" s="108" t="str">
        <f>A6&amp;B6</f>
        <v>20100128RLS</v>
      </c>
      <c r="D6" s="108" t="s">
        <v>667</v>
      </c>
      <c r="E6" s="108" t="str">
        <f>A6&amp;D6</f>
        <v>20100128LE_902Pole</v>
      </c>
      <c r="F6" s="4">
        <v>11.17</v>
      </c>
      <c r="G6" s="4">
        <v>0</v>
      </c>
      <c r="H6" s="5">
        <v>0</v>
      </c>
      <c r="I6" s="5">
        <v>0</v>
      </c>
      <c r="J6" s="5">
        <v>0</v>
      </c>
      <c r="K6" s="4">
        <v>0</v>
      </c>
      <c r="L6" s="4">
        <v>0</v>
      </c>
      <c r="M6" s="4">
        <v>11.17</v>
      </c>
      <c r="N6" s="5">
        <f t="shared" si="1"/>
        <v>0</v>
      </c>
      <c r="O6" s="5">
        <f t="shared" si="1"/>
        <v>0</v>
      </c>
      <c r="P6" s="5">
        <f t="shared" si="1"/>
        <v>0</v>
      </c>
      <c r="X6"/>
      <c r="Y6"/>
      <c r="Z6"/>
      <c r="AA6"/>
      <c r="AB6"/>
      <c r="AC6"/>
      <c r="AD6"/>
      <c r="AE6"/>
      <c r="AF6"/>
      <c r="AG6"/>
      <c r="AH6"/>
    </row>
    <row r="7" spans="1:38">
      <c r="A7" s="7">
        <v>20100128</v>
      </c>
      <c r="B7" s="108" t="s">
        <v>606</v>
      </c>
      <c r="C7" s="108" t="str">
        <f t="shared" ref="C7:C18" si="2">A7&amp;B7</f>
        <v>20100128LS</v>
      </c>
      <c r="D7" s="108" t="s">
        <v>668</v>
      </c>
      <c r="E7" s="108" t="str">
        <f t="shared" ref="E7:E18" si="3">A7&amp;D7</f>
        <v>20100128LE_910Pole</v>
      </c>
      <c r="F7" s="4">
        <v>1.78</v>
      </c>
      <c r="G7" s="4">
        <v>0</v>
      </c>
      <c r="H7" s="5">
        <v>0</v>
      </c>
      <c r="I7" s="5">
        <v>0</v>
      </c>
      <c r="J7" s="5">
        <v>0</v>
      </c>
      <c r="K7" s="4">
        <v>0</v>
      </c>
      <c r="L7" s="4">
        <v>0</v>
      </c>
      <c r="M7" s="4">
        <v>1.78</v>
      </c>
      <c r="N7" s="5">
        <f t="shared" ref="N7:P18" si="4">IF(H7=0,0,H7-$K7-$L7)</f>
        <v>0</v>
      </c>
      <c r="O7" s="5">
        <f t="shared" si="4"/>
        <v>0</v>
      </c>
      <c r="P7" s="5">
        <f t="shared" si="4"/>
        <v>0</v>
      </c>
      <c r="X7"/>
      <c r="Y7"/>
      <c r="Z7"/>
      <c r="AA7"/>
      <c r="AB7"/>
      <c r="AC7"/>
      <c r="AD7"/>
      <c r="AE7"/>
      <c r="AF7"/>
      <c r="AG7"/>
      <c r="AH7"/>
    </row>
    <row r="8" spans="1:38">
      <c r="A8" s="7">
        <v>20100128</v>
      </c>
      <c r="B8" s="108" t="s">
        <v>606</v>
      </c>
      <c r="C8" s="108" t="str">
        <f t="shared" si="2"/>
        <v>20100128LS</v>
      </c>
      <c r="D8" s="108" t="s">
        <v>669</v>
      </c>
      <c r="E8" s="108" t="str">
        <f t="shared" si="3"/>
        <v>20100128LE_911Pole</v>
      </c>
      <c r="F8" s="4">
        <v>9.36</v>
      </c>
      <c r="G8" s="4">
        <v>0</v>
      </c>
      <c r="H8" s="5">
        <v>0</v>
      </c>
      <c r="I8" s="5">
        <v>0</v>
      </c>
      <c r="J8" s="5">
        <v>0</v>
      </c>
      <c r="K8" s="4">
        <v>0</v>
      </c>
      <c r="L8" s="4">
        <v>0</v>
      </c>
      <c r="M8" s="4">
        <v>9.36</v>
      </c>
      <c r="N8" s="5">
        <f t="shared" si="4"/>
        <v>0</v>
      </c>
      <c r="O8" s="5">
        <f t="shared" si="4"/>
        <v>0</v>
      </c>
      <c r="P8" s="5">
        <f t="shared" si="4"/>
        <v>0</v>
      </c>
      <c r="X8"/>
      <c r="Y8"/>
      <c r="Z8"/>
      <c r="AA8"/>
      <c r="AB8"/>
      <c r="AC8"/>
      <c r="AD8"/>
      <c r="AE8"/>
      <c r="AF8"/>
      <c r="AG8"/>
      <c r="AH8"/>
    </row>
    <row r="9" spans="1:38">
      <c r="A9" s="7">
        <v>20100128</v>
      </c>
      <c r="B9" s="108" t="s">
        <v>606</v>
      </c>
      <c r="C9" s="108" t="str">
        <f t="shared" si="2"/>
        <v>20100128LS</v>
      </c>
      <c r="D9" s="108" t="s">
        <v>670</v>
      </c>
      <c r="E9" s="108" t="str">
        <f t="shared" si="3"/>
        <v>20100128LE_912Pole</v>
      </c>
      <c r="F9" s="4">
        <v>11.17</v>
      </c>
      <c r="G9" s="4">
        <v>0</v>
      </c>
      <c r="H9" s="5">
        <v>0</v>
      </c>
      <c r="I9" s="5">
        <v>0</v>
      </c>
      <c r="J9" s="5">
        <v>0</v>
      </c>
      <c r="K9" s="4">
        <v>0</v>
      </c>
      <c r="L9" s="4">
        <v>0</v>
      </c>
      <c r="M9" s="4">
        <v>11.17</v>
      </c>
      <c r="N9" s="5">
        <f t="shared" si="4"/>
        <v>0</v>
      </c>
      <c r="O9" s="5">
        <f t="shared" si="4"/>
        <v>0</v>
      </c>
      <c r="P9" s="5">
        <f t="shared" si="4"/>
        <v>0</v>
      </c>
      <c r="X9"/>
      <c r="Y9"/>
      <c r="Z9"/>
      <c r="AA9"/>
      <c r="AB9"/>
      <c r="AC9"/>
      <c r="AD9"/>
      <c r="AE9"/>
      <c r="AF9"/>
      <c r="AG9"/>
      <c r="AH9"/>
    </row>
    <row r="10" spans="1:38">
      <c r="A10" s="7">
        <v>20100128</v>
      </c>
      <c r="B10" s="108" t="s">
        <v>498</v>
      </c>
      <c r="C10" s="108" t="str">
        <f t="shared" si="2"/>
        <v>20100128RLS</v>
      </c>
      <c r="D10" s="108" t="s">
        <v>671</v>
      </c>
      <c r="E10" s="108" t="str">
        <f t="shared" si="3"/>
        <v>20100128LE_950Base</v>
      </c>
      <c r="F10" s="4">
        <v>3</v>
      </c>
      <c r="G10" s="4">
        <v>0</v>
      </c>
      <c r="H10" s="5">
        <v>0</v>
      </c>
      <c r="I10" s="5">
        <v>0</v>
      </c>
      <c r="J10" s="5">
        <v>0</v>
      </c>
      <c r="K10" s="4">
        <v>0</v>
      </c>
      <c r="L10" s="4">
        <v>0</v>
      </c>
      <c r="M10" s="4">
        <v>3</v>
      </c>
      <c r="N10" s="5">
        <f t="shared" si="4"/>
        <v>0</v>
      </c>
      <c r="O10" s="5">
        <f t="shared" si="4"/>
        <v>0</v>
      </c>
      <c r="P10" s="5">
        <f t="shared" si="4"/>
        <v>0</v>
      </c>
      <c r="X10"/>
      <c r="Y10"/>
      <c r="Z10"/>
      <c r="AA10"/>
      <c r="AB10"/>
      <c r="AC10"/>
      <c r="AD10"/>
      <c r="AE10"/>
      <c r="AF10"/>
      <c r="AG10"/>
      <c r="AH10"/>
    </row>
    <row r="11" spans="1:38">
      <c r="A11" s="7">
        <v>20100128</v>
      </c>
      <c r="B11" s="108" t="s">
        <v>498</v>
      </c>
      <c r="C11" s="108" t="str">
        <f t="shared" si="2"/>
        <v>20100128RLS</v>
      </c>
      <c r="D11" s="108" t="s">
        <v>672</v>
      </c>
      <c r="E11" s="108" t="str">
        <f t="shared" si="3"/>
        <v>20100128LE_951Base</v>
      </c>
      <c r="F11" s="4">
        <v>3.22</v>
      </c>
      <c r="G11" s="4">
        <v>0</v>
      </c>
      <c r="H11" s="5">
        <v>0</v>
      </c>
      <c r="I11" s="5">
        <v>0</v>
      </c>
      <c r="J11" s="5">
        <v>0</v>
      </c>
      <c r="K11" s="4">
        <v>0</v>
      </c>
      <c r="L11" s="4">
        <v>0</v>
      </c>
      <c r="M11" s="4">
        <v>3.22</v>
      </c>
      <c r="N11" s="5">
        <f t="shared" si="4"/>
        <v>0</v>
      </c>
      <c r="O11" s="5">
        <f t="shared" si="4"/>
        <v>0</v>
      </c>
      <c r="P11" s="5">
        <f t="shared" si="4"/>
        <v>0</v>
      </c>
      <c r="X11"/>
      <c r="Y11"/>
      <c r="Z11"/>
      <c r="AA11"/>
      <c r="AB11"/>
      <c r="AC11"/>
      <c r="AD11"/>
      <c r="AE11"/>
      <c r="AF11"/>
      <c r="AG11"/>
      <c r="AH11"/>
    </row>
    <row r="12" spans="1:38">
      <c r="A12" s="7">
        <v>20100128</v>
      </c>
      <c r="B12" s="108" t="s">
        <v>498</v>
      </c>
      <c r="C12" s="108" t="str">
        <f t="shared" si="2"/>
        <v>20100128RLS</v>
      </c>
      <c r="D12" s="108" t="s">
        <v>673</v>
      </c>
      <c r="E12" s="108" t="str">
        <f t="shared" si="3"/>
        <v>20100128LE_952Base</v>
      </c>
      <c r="F12" s="4">
        <v>3.25</v>
      </c>
      <c r="G12" s="4">
        <v>0</v>
      </c>
      <c r="H12" s="5">
        <v>0</v>
      </c>
      <c r="I12" s="5">
        <v>0</v>
      </c>
      <c r="J12" s="5">
        <v>0</v>
      </c>
      <c r="K12" s="4">
        <v>0</v>
      </c>
      <c r="L12" s="4">
        <v>0</v>
      </c>
      <c r="M12" s="4">
        <v>3.25</v>
      </c>
      <c r="N12" s="5">
        <f t="shared" si="4"/>
        <v>0</v>
      </c>
      <c r="O12" s="5">
        <f t="shared" si="4"/>
        <v>0</v>
      </c>
      <c r="P12" s="5">
        <f t="shared" si="4"/>
        <v>0</v>
      </c>
      <c r="X12"/>
      <c r="Y12"/>
      <c r="Z12"/>
      <c r="AA12"/>
      <c r="AB12"/>
      <c r="AC12"/>
      <c r="AD12"/>
      <c r="AE12"/>
      <c r="AF12"/>
      <c r="AG12"/>
      <c r="AH12"/>
    </row>
    <row r="13" spans="1:38">
      <c r="A13" s="7">
        <v>20100128</v>
      </c>
      <c r="B13" s="108" t="s">
        <v>498</v>
      </c>
      <c r="C13" s="108" t="str">
        <f t="shared" si="2"/>
        <v>20100128RLS</v>
      </c>
      <c r="D13" s="108" t="s">
        <v>674</v>
      </c>
      <c r="E13" s="108" t="str">
        <f t="shared" si="3"/>
        <v>20100128LE_953Base</v>
      </c>
      <c r="F13" s="4">
        <v>3.42</v>
      </c>
      <c r="G13" s="4">
        <v>0</v>
      </c>
      <c r="H13" s="5">
        <v>0</v>
      </c>
      <c r="I13" s="5">
        <v>0</v>
      </c>
      <c r="J13" s="5">
        <v>0</v>
      </c>
      <c r="K13" s="4">
        <v>0</v>
      </c>
      <c r="L13" s="4">
        <v>0</v>
      </c>
      <c r="M13" s="4">
        <v>3.42</v>
      </c>
      <c r="N13" s="5">
        <f t="shared" si="4"/>
        <v>0</v>
      </c>
      <c r="O13" s="5">
        <f t="shared" si="4"/>
        <v>0</v>
      </c>
      <c r="P13" s="5">
        <f t="shared" si="4"/>
        <v>0</v>
      </c>
      <c r="X13"/>
      <c r="Y13"/>
      <c r="Z13"/>
      <c r="AA13"/>
      <c r="AB13"/>
      <c r="AC13"/>
      <c r="AD13"/>
      <c r="AE13"/>
      <c r="AF13"/>
      <c r="AG13"/>
      <c r="AH13"/>
    </row>
    <row r="14" spans="1:38">
      <c r="A14" s="7">
        <v>20100128</v>
      </c>
      <c r="B14" s="108" t="s">
        <v>606</v>
      </c>
      <c r="C14" s="108" t="str">
        <f t="shared" si="2"/>
        <v>20100128LS</v>
      </c>
      <c r="D14" s="108" t="s">
        <v>675</v>
      </c>
      <c r="E14" s="108" t="str">
        <f t="shared" si="3"/>
        <v>20100128LE_954Base</v>
      </c>
      <c r="F14" s="4">
        <v>2.5299999999999998</v>
      </c>
      <c r="G14" s="4">
        <v>0</v>
      </c>
      <c r="H14" s="5">
        <v>0</v>
      </c>
      <c r="I14" s="5">
        <v>0</v>
      </c>
      <c r="J14" s="5">
        <v>0</v>
      </c>
      <c r="K14" s="4">
        <v>0</v>
      </c>
      <c r="L14" s="4">
        <v>0</v>
      </c>
      <c r="M14" s="4">
        <v>2.5299999999999998</v>
      </c>
      <c r="N14" s="5">
        <f t="shared" si="4"/>
        <v>0</v>
      </c>
      <c r="O14" s="5">
        <f t="shared" si="4"/>
        <v>0</v>
      </c>
      <c r="P14" s="5">
        <f t="shared" si="4"/>
        <v>0</v>
      </c>
      <c r="X14"/>
      <c r="Y14"/>
      <c r="Z14"/>
      <c r="AA14"/>
      <c r="AB14"/>
      <c r="AC14"/>
      <c r="AD14"/>
      <c r="AE14"/>
      <c r="AF14"/>
      <c r="AG14"/>
      <c r="AH14"/>
    </row>
    <row r="15" spans="1:38">
      <c r="A15" s="7">
        <v>20100128</v>
      </c>
      <c r="B15" s="108" t="s">
        <v>606</v>
      </c>
      <c r="C15" s="108" t="str">
        <f t="shared" si="2"/>
        <v>20100128LS</v>
      </c>
      <c r="D15" s="108" t="s">
        <v>676</v>
      </c>
      <c r="E15" s="108" t="str">
        <f t="shared" si="3"/>
        <v>20100128LE_955Base</v>
      </c>
      <c r="F15" s="4">
        <v>2.5299999999999998</v>
      </c>
      <c r="G15" s="4">
        <v>0</v>
      </c>
      <c r="H15" s="5">
        <v>0</v>
      </c>
      <c r="I15" s="5">
        <v>0</v>
      </c>
      <c r="J15" s="5">
        <v>0</v>
      </c>
      <c r="K15" s="4">
        <v>0</v>
      </c>
      <c r="L15" s="4">
        <v>0</v>
      </c>
      <c r="M15" s="4">
        <v>2.5299999999999998</v>
      </c>
      <c r="N15" s="5">
        <f t="shared" si="4"/>
        <v>0</v>
      </c>
      <c r="O15" s="5">
        <f t="shared" si="4"/>
        <v>0</v>
      </c>
      <c r="P15" s="5">
        <f t="shared" si="4"/>
        <v>0</v>
      </c>
      <c r="X15"/>
      <c r="Y15"/>
      <c r="Z15"/>
      <c r="AA15"/>
      <c r="AB15"/>
      <c r="AC15"/>
      <c r="AD15"/>
      <c r="AE15"/>
      <c r="AF15"/>
      <c r="AG15"/>
      <c r="AH15"/>
    </row>
    <row r="16" spans="1:38">
      <c r="A16" s="7">
        <v>20100128</v>
      </c>
      <c r="B16" s="108" t="s">
        <v>606</v>
      </c>
      <c r="C16" s="108" t="str">
        <f t="shared" si="2"/>
        <v>20100128LS</v>
      </c>
      <c r="D16" s="108" t="s">
        <v>677</v>
      </c>
      <c r="E16" s="108" t="str">
        <f t="shared" si="3"/>
        <v>20100128LE_956Base</v>
      </c>
      <c r="F16" s="4">
        <v>2.5299999999999998</v>
      </c>
      <c r="G16" s="4">
        <v>0</v>
      </c>
      <c r="H16" s="5">
        <v>0</v>
      </c>
      <c r="I16" s="5">
        <v>0</v>
      </c>
      <c r="J16" s="5">
        <v>0</v>
      </c>
      <c r="K16" s="4">
        <v>0</v>
      </c>
      <c r="L16" s="4">
        <v>0</v>
      </c>
      <c r="M16" s="4">
        <v>2.5299999999999998</v>
      </c>
      <c r="N16" s="5">
        <f t="shared" si="4"/>
        <v>0</v>
      </c>
      <c r="O16" s="5">
        <f t="shared" si="4"/>
        <v>0</v>
      </c>
      <c r="P16" s="5">
        <f t="shared" si="4"/>
        <v>0</v>
      </c>
      <c r="X16"/>
      <c r="Y16"/>
      <c r="Z16"/>
      <c r="AA16"/>
      <c r="AB16"/>
      <c r="AC16"/>
      <c r="AD16"/>
      <c r="AE16"/>
      <c r="AF16"/>
      <c r="AG16"/>
      <c r="AH16"/>
    </row>
    <row r="17" spans="1:34">
      <c r="A17" s="7">
        <v>20100128</v>
      </c>
      <c r="B17" s="108" t="s">
        <v>606</v>
      </c>
      <c r="C17" s="108" t="str">
        <f t="shared" si="2"/>
        <v>20100128LS</v>
      </c>
      <c r="D17" s="108" t="s">
        <v>678</v>
      </c>
      <c r="E17" s="108" t="str">
        <f t="shared" si="3"/>
        <v>20100128LE_957Base</v>
      </c>
      <c r="F17" s="4">
        <v>2.69</v>
      </c>
      <c r="G17" s="4">
        <v>0</v>
      </c>
      <c r="H17" s="5">
        <v>0</v>
      </c>
      <c r="I17" s="5">
        <v>0</v>
      </c>
      <c r="J17" s="5">
        <v>0</v>
      </c>
      <c r="K17" s="4">
        <v>0</v>
      </c>
      <c r="L17" s="4">
        <v>0</v>
      </c>
      <c r="M17" s="4">
        <v>2.69</v>
      </c>
      <c r="N17" s="5">
        <f t="shared" si="4"/>
        <v>0</v>
      </c>
      <c r="O17" s="5">
        <f t="shared" si="4"/>
        <v>0</v>
      </c>
      <c r="P17" s="5">
        <f t="shared" si="4"/>
        <v>0</v>
      </c>
      <c r="X17"/>
      <c r="Y17"/>
      <c r="Z17"/>
      <c r="AA17"/>
      <c r="AB17"/>
      <c r="AC17"/>
      <c r="AD17"/>
      <c r="AE17"/>
      <c r="AF17"/>
      <c r="AG17"/>
      <c r="AH17"/>
    </row>
    <row r="18" spans="1:34">
      <c r="A18" s="7">
        <v>20100128</v>
      </c>
      <c r="B18" s="108" t="s">
        <v>606</v>
      </c>
      <c r="C18" s="108" t="str">
        <f t="shared" si="2"/>
        <v>20100128LS</v>
      </c>
      <c r="D18" s="108" t="s">
        <v>679</v>
      </c>
      <c r="E18" s="108" t="str">
        <f t="shared" si="3"/>
        <v>20100128LE_958Pole</v>
      </c>
      <c r="F18" s="4">
        <v>9.7899999999999991</v>
      </c>
      <c r="G18" s="4">
        <v>0</v>
      </c>
      <c r="H18" s="5">
        <v>0</v>
      </c>
      <c r="I18" s="5">
        <v>0</v>
      </c>
      <c r="J18" s="5">
        <v>0</v>
      </c>
      <c r="K18" s="4">
        <v>0</v>
      </c>
      <c r="L18" s="4">
        <v>0</v>
      </c>
      <c r="M18" s="4">
        <v>9.7899999999999991</v>
      </c>
      <c r="N18" s="5">
        <f t="shared" si="4"/>
        <v>0</v>
      </c>
      <c r="O18" s="5">
        <f t="shared" si="4"/>
        <v>0</v>
      </c>
      <c r="P18" s="5">
        <f t="shared" si="4"/>
        <v>0</v>
      </c>
      <c r="X18"/>
      <c r="Y18"/>
      <c r="Z18"/>
      <c r="AA18"/>
      <c r="AB18"/>
      <c r="AC18"/>
      <c r="AD18"/>
      <c r="AE18"/>
      <c r="AF18"/>
      <c r="AG18"/>
      <c r="AH18"/>
    </row>
    <row r="19" spans="1:34">
      <c r="A19" s="8">
        <v>20100729</v>
      </c>
      <c r="B19" s="109" t="s">
        <v>498</v>
      </c>
      <c r="C19" s="109" t="str">
        <f t="shared" ref="C19:C37" si="5">A19&amp;B19</f>
        <v>20100729RLS</v>
      </c>
      <c r="D19" s="109" t="s">
        <v>665</v>
      </c>
      <c r="E19" s="109" t="str">
        <f t="shared" ref="E19:E37" si="6">A19&amp;D19</f>
        <v>20100729LE_900Pole</v>
      </c>
      <c r="F19" s="58">
        <v>1.99</v>
      </c>
      <c r="G19" s="58">
        <v>0</v>
      </c>
      <c r="H19" s="82">
        <v>0</v>
      </c>
      <c r="I19" s="82">
        <v>0</v>
      </c>
      <c r="J19" s="82">
        <v>0</v>
      </c>
      <c r="K19" s="58">
        <v>0</v>
      </c>
      <c r="L19" s="58">
        <v>0</v>
      </c>
      <c r="M19" s="58">
        <v>1.99</v>
      </c>
      <c r="N19" s="82">
        <f t="shared" ref="N19:P22" si="7">IF(H19=0,0,H19-$K19-$L19)</f>
        <v>0</v>
      </c>
      <c r="O19" s="82">
        <f t="shared" si="7"/>
        <v>0</v>
      </c>
      <c r="P19" s="82">
        <f t="shared" si="7"/>
        <v>0</v>
      </c>
      <c r="X19"/>
      <c r="Y19"/>
      <c r="Z19"/>
      <c r="AA19"/>
      <c r="AB19"/>
      <c r="AC19"/>
      <c r="AD19"/>
      <c r="AE19"/>
      <c r="AF19"/>
      <c r="AG19"/>
      <c r="AH19"/>
    </row>
    <row r="20" spans="1:34">
      <c r="A20" s="8">
        <v>20100729</v>
      </c>
      <c r="B20" s="109" t="s">
        <v>498</v>
      </c>
      <c r="C20" s="109" t="str">
        <f t="shared" si="5"/>
        <v>20100729RLS</v>
      </c>
      <c r="D20" s="109" t="s">
        <v>666</v>
      </c>
      <c r="E20" s="109" t="str">
        <f t="shared" si="6"/>
        <v>20100729LE_901Pole</v>
      </c>
      <c r="F20" s="58">
        <v>10.44</v>
      </c>
      <c r="G20" s="58">
        <v>0</v>
      </c>
      <c r="H20" s="82">
        <v>0</v>
      </c>
      <c r="I20" s="82">
        <v>0</v>
      </c>
      <c r="J20" s="82">
        <v>0</v>
      </c>
      <c r="K20" s="58">
        <v>0</v>
      </c>
      <c r="L20" s="58">
        <v>0</v>
      </c>
      <c r="M20" s="58">
        <v>10.44</v>
      </c>
      <c r="N20" s="82">
        <f t="shared" si="7"/>
        <v>0</v>
      </c>
      <c r="O20" s="82">
        <f t="shared" si="7"/>
        <v>0</v>
      </c>
      <c r="P20" s="82">
        <f t="shared" si="7"/>
        <v>0</v>
      </c>
      <c r="X20"/>
      <c r="Y20"/>
      <c r="Z20"/>
      <c r="AA20"/>
      <c r="AB20"/>
      <c r="AC20"/>
      <c r="AD20"/>
      <c r="AE20"/>
      <c r="AF20"/>
      <c r="AG20"/>
      <c r="AH20"/>
    </row>
    <row r="21" spans="1:34">
      <c r="A21" s="8">
        <v>20100729</v>
      </c>
      <c r="B21" s="109" t="s">
        <v>498</v>
      </c>
      <c r="C21" s="109" t="str">
        <f t="shared" si="5"/>
        <v>20100729RLS</v>
      </c>
      <c r="D21" s="109" t="s">
        <v>667</v>
      </c>
      <c r="E21" s="109" t="str">
        <f t="shared" si="6"/>
        <v>20100729LE_902Pole</v>
      </c>
      <c r="F21" s="58">
        <v>12.46</v>
      </c>
      <c r="G21" s="58">
        <v>0</v>
      </c>
      <c r="H21" s="82">
        <v>0</v>
      </c>
      <c r="I21" s="82">
        <v>0</v>
      </c>
      <c r="J21" s="82">
        <v>0</v>
      </c>
      <c r="K21" s="58">
        <v>0</v>
      </c>
      <c r="L21" s="58">
        <v>0</v>
      </c>
      <c r="M21" s="58">
        <v>12.46</v>
      </c>
      <c r="N21" s="82">
        <f t="shared" si="7"/>
        <v>0</v>
      </c>
      <c r="O21" s="82">
        <f t="shared" si="7"/>
        <v>0</v>
      </c>
      <c r="P21" s="82">
        <f t="shared" si="7"/>
        <v>0</v>
      </c>
      <c r="X21"/>
      <c r="Y21"/>
      <c r="Z21"/>
      <c r="AA21"/>
      <c r="AB21"/>
      <c r="AC21"/>
      <c r="AD21"/>
      <c r="AE21"/>
      <c r="AF21"/>
      <c r="AG21"/>
      <c r="AH21"/>
    </row>
    <row r="22" spans="1:34">
      <c r="A22" s="8">
        <v>20100729</v>
      </c>
      <c r="B22" s="109" t="s">
        <v>606</v>
      </c>
      <c r="C22" s="109" t="str">
        <f t="shared" si="5"/>
        <v>20100729LS</v>
      </c>
      <c r="D22" s="109" t="s">
        <v>668</v>
      </c>
      <c r="E22" s="109" t="str">
        <f t="shared" si="6"/>
        <v>20100729LE_910Pole</v>
      </c>
      <c r="F22" s="58">
        <v>1.99</v>
      </c>
      <c r="G22" s="58">
        <v>0</v>
      </c>
      <c r="H22" s="82">
        <v>0</v>
      </c>
      <c r="I22" s="82">
        <v>0</v>
      </c>
      <c r="J22" s="82">
        <v>0</v>
      </c>
      <c r="K22" s="58">
        <v>0</v>
      </c>
      <c r="L22" s="58">
        <v>0</v>
      </c>
      <c r="M22" s="58">
        <v>1.99</v>
      </c>
      <c r="N22" s="82">
        <f t="shared" si="7"/>
        <v>0</v>
      </c>
      <c r="O22" s="82">
        <f t="shared" si="7"/>
        <v>0</v>
      </c>
      <c r="P22" s="82">
        <f t="shared" si="7"/>
        <v>0</v>
      </c>
      <c r="X22"/>
      <c r="Y22"/>
      <c r="Z22"/>
      <c r="AA22"/>
      <c r="AB22"/>
      <c r="AC22"/>
      <c r="AD22"/>
      <c r="AE22"/>
      <c r="AF22"/>
      <c r="AG22"/>
      <c r="AH22"/>
    </row>
    <row r="23" spans="1:34">
      <c r="A23" s="8">
        <v>20100729</v>
      </c>
      <c r="B23" s="109" t="s">
        <v>606</v>
      </c>
      <c r="C23" s="109" t="str">
        <f t="shared" si="5"/>
        <v>20100729LS</v>
      </c>
      <c r="D23" s="109" t="s">
        <v>669</v>
      </c>
      <c r="E23" s="109" t="str">
        <f t="shared" si="6"/>
        <v>20100729LE_911Pole</v>
      </c>
      <c r="F23" s="58">
        <v>10.44</v>
      </c>
      <c r="G23" s="58">
        <v>0</v>
      </c>
      <c r="H23" s="82">
        <v>0</v>
      </c>
      <c r="I23" s="82">
        <v>0</v>
      </c>
      <c r="J23" s="82">
        <v>0</v>
      </c>
      <c r="K23" s="58">
        <v>0</v>
      </c>
      <c r="L23" s="58">
        <v>0</v>
      </c>
      <c r="M23" s="58">
        <v>10.44</v>
      </c>
      <c r="N23" s="82">
        <f t="shared" ref="N23:P37" si="8">IF(H23=0,0,H23-$K23-$L23)</f>
        <v>0</v>
      </c>
      <c r="O23" s="82">
        <f t="shared" si="8"/>
        <v>0</v>
      </c>
      <c r="P23" s="82">
        <f t="shared" si="8"/>
        <v>0</v>
      </c>
      <c r="X23"/>
      <c r="Y23"/>
      <c r="Z23"/>
      <c r="AA23"/>
      <c r="AB23"/>
      <c r="AC23"/>
      <c r="AD23"/>
      <c r="AE23"/>
      <c r="AF23"/>
      <c r="AG23"/>
      <c r="AH23"/>
    </row>
    <row r="24" spans="1:34">
      <c r="A24" s="8">
        <v>20100729</v>
      </c>
      <c r="B24" s="109" t="s">
        <v>606</v>
      </c>
      <c r="C24" s="109" t="str">
        <f t="shared" si="5"/>
        <v>20100729LS</v>
      </c>
      <c r="D24" s="109" t="s">
        <v>670</v>
      </c>
      <c r="E24" s="109" t="str">
        <f t="shared" si="6"/>
        <v>20100729LE_912Pole</v>
      </c>
      <c r="F24" s="58">
        <v>12.46</v>
      </c>
      <c r="G24" s="58">
        <v>0</v>
      </c>
      <c r="H24" s="82">
        <v>0</v>
      </c>
      <c r="I24" s="82">
        <v>0</v>
      </c>
      <c r="J24" s="82">
        <v>0</v>
      </c>
      <c r="K24" s="58">
        <v>0</v>
      </c>
      <c r="L24" s="58">
        <v>0</v>
      </c>
      <c r="M24" s="58">
        <v>12.46</v>
      </c>
      <c r="N24" s="82">
        <f t="shared" si="8"/>
        <v>0</v>
      </c>
      <c r="O24" s="82">
        <f t="shared" si="8"/>
        <v>0</v>
      </c>
      <c r="P24" s="82">
        <f t="shared" si="8"/>
        <v>0</v>
      </c>
      <c r="X24"/>
      <c r="Y24"/>
      <c r="Z24"/>
      <c r="AA24"/>
      <c r="AB24"/>
      <c r="AC24"/>
      <c r="AD24"/>
      <c r="AE24"/>
      <c r="AF24"/>
      <c r="AG24"/>
      <c r="AH24"/>
    </row>
    <row r="25" spans="1:34">
      <c r="A25" s="8">
        <v>20100729</v>
      </c>
      <c r="B25" s="109" t="s">
        <v>498</v>
      </c>
      <c r="C25" s="109" t="str">
        <f>A25&amp;B25</f>
        <v>20100729RLS</v>
      </c>
      <c r="D25" s="109" t="s">
        <v>671</v>
      </c>
      <c r="E25" s="109" t="str">
        <f>A25&amp;D25</f>
        <v>20100729LE_950Base</v>
      </c>
      <c r="F25" s="58">
        <v>3.35</v>
      </c>
      <c r="G25" s="58">
        <v>0</v>
      </c>
      <c r="H25" s="82">
        <v>0</v>
      </c>
      <c r="I25" s="82">
        <v>0</v>
      </c>
      <c r="J25" s="82">
        <v>0</v>
      </c>
      <c r="K25" s="58">
        <v>0</v>
      </c>
      <c r="L25" s="58">
        <v>0</v>
      </c>
      <c r="M25" s="58">
        <v>3.35</v>
      </c>
      <c r="N25" s="82">
        <f>IF(H25=0,0,H25-$K25-$L25)</f>
        <v>0</v>
      </c>
      <c r="O25" s="82">
        <f>IF(I25=0,0,I25-$K25-$L25)</f>
        <v>0</v>
      </c>
      <c r="P25" s="82">
        <f>IF(J25=0,0,J25-$K25-$L25)</f>
        <v>0</v>
      </c>
      <c r="X25"/>
      <c r="Y25"/>
      <c r="Z25"/>
      <c r="AA25"/>
      <c r="AB25"/>
      <c r="AC25"/>
      <c r="AD25"/>
      <c r="AE25"/>
      <c r="AF25"/>
      <c r="AG25"/>
      <c r="AH25"/>
    </row>
    <row r="26" spans="1:34">
      <c r="A26" s="8">
        <v>20100729</v>
      </c>
      <c r="B26" s="113" t="s">
        <v>606</v>
      </c>
      <c r="C26" s="109" t="str">
        <f t="shared" si="5"/>
        <v>20100729LS</v>
      </c>
      <c r="D26" s="113" t="s">
        <v>757</v>
      </c>
      <c r="E26" s="109" t="str">
        <f t="shared" si="6"/>
        <v>20100729LE_960Base</v>
      </c>
      <c r="F26" s="58">
        <v>3.35</v>
      </c>
      <c r="G26" s="58">
        <v>0</v>
      </c>
      <c r="H26" s="82">
        <v>0</v>
      </c>
      <c r="I26" s="82">
        <v>0</v>
      </c>
      <c r="J26" s="82">
        <v>0</v>
      </c>
      <c r="K26" s="58">
        <v>0</v>
      </c>
      <c r="L26" s="58">
        <v>0</v>
      </c>
      <c r="M26" s="58">
        <v>3.35</v>
      </c>
      <c r="N26" s="82">
        <f t="shared" si="8"/>
        <v>0</v>
      </c>
      <c r="O26" s="82">
        <f t="shared" si="8"/>
        <v>0</v>
      </c>
      <c r="P26" s="82">
        <f t="shared" si="8"/>
        <v>0</v>
      </c>
      <c r="X26"/>
      <c r="Y26"/>
      <c r="Z26"/>
      <c r="AA26"/>
      <c r="AB26"/>
      <c r="AC26"/>
      <c r="AD26"/>
      <c r="AE26"/>
      <c r="AF26"/>
      <c r="AG26"/>
      <c r="AH26"/>
    </row>
    <row r="27" spans="1:34">
      <c r="A27" s="8">
        <v>20100729</v>
      </c>
      <c r="B27" s="109" t="s">
        <v>498</v>
      </c>
      <c r="C27" s="109" t="str">
        <f t="shared" si="5"/>
        <v>20100729RLS</v>
      </c>
      <c r="D27" s="109" t="s">
        <v>672</v>
      </c>
      <c r="E27" s="109" t="str">
        <f t="shared" si="6"/>
        <v>20100729LE_951Base</v>
      </c>
      <c r="F27" s="58">
        <v>3.6</v>
      </c>
      <c r="G27" s="58">
        <v>0</v>
      </c>
      <c r="H27" s="82">
        <v>0</v>
      </c>
      <c r="I27" s="82">
        <v>0</v>
      </c>
      <c r="J27" s="82">
        <v>0</v>
      </c>
      <c r="K27" s="58">
        <v>0</v>
      </c>
      <c r="L27" s="58">
        <v>0</v>
      </c>
      <c r="M27" s="58">
        <v>3.6</v>
      </c>
      <c r="N27" s="82">
        <f t="shared" si="8"/>
        <v>0</v>
      </c>
      <c r="O27" s="82">
        <f t="shared" si="8"/>
        <v>0</v>
      </c>
      <c r="P27" s="82">
        <f t="shared" si="8"/>
        <v>0</v>
      </c>
      <c r="X27"/>
      <c r="Y27"/>
      <c r="Z27"/>
      <c r="AA27"/>
      <c r="AB27"/>
      <c r="AC27"/>
      <c r="AD27"/>
      <c r="AE27"/>
      <c r="AF27"/>
      <c r="AG27"/>
      <c r="AH27"/>
    </row>
    <row r="28" spans="1:34">
      <c r="A28" s="8">
        <v>20100729</v>
      </c>
      <c r="B28" s="113" t="s">
        <v>606</v>
      </c>
      <c r="C28" s="109" t="str">
        <f>A28&amp;B28</f>
        <v>20100729LS</v>
      </c>
      <c r="D28" s="113" t="s">
        <v>758</v>
      </c>
      <c r="E28" s="109" t="str">
        <f>A28&amp;D28</f>
        <v>20100729LE_961Base</v>
      </c>
      <c r="F28" s="58">
        <v>3.6</v>
      </c>
      <c r="G28" s="58">
        <v>0</v>
      </c>
      <c r="H28" s="82">
        <v>0</v>
      </c>
      <c r="I28" s="82">
        <v>0</v>
      </c>
      <c r="J28" s="82">
        <v>0</v>
      </c>
      <c r="K28" s="58">
        <v>0</v>
      </c>
      <c r="L28" s="58">
        <v>0</v>
      </c>
      <c r="M28" s="58">
        <v>3.6</v>
      </c>
      <c r="N28" s="82">
        <f>IF(H28=0,0,H28-$K28-$L28)</f>
        <v>0</v>
      </c>
      <c r="O28" s="82">
        <f>IF(I28=0,0,I28-$K28-$L28)</f>
        <v>0</v>
      </c>
      <c r="P28" s="82">
        <f>IF(J28=0,0,J28-$K28-$L28)</f>
        <v>0</v>
      </c>
      <c r="X28"/>
      <c r="Y28"/>
      <c r="Z28"/>
      <c r="AA28"/>
      <c r="AB28"/>
      <c r="AC28"/>
      <c r="AD28"/>
      <c r="AE28"/>
      <c r="AF28"/>
      <c r="AG28"/>
      <c r="AH28"/>
    </row>
    <row r="29" spans="1:34">
      <c r="A29" s="8">
        <v>20100729</v>
      </c>
      <c r="B29" s="109" t="s">
        <v>498</v>
      </c>
      <c r="C29" s="109" t="str">
        <f t="shared" si="5"/>
        <v>20100729RLS</v>
      </c>
      <c r="D29" s="109" t="s">
        <v>673</v>
      </c>
      <c r="E29" s="109" t="str">
        <f t="shared" si="6"/>
        <v>20100729LE_952Base</v>
      </c>
      <c r="F29" s="58">
        <v>3.62</v>
      </c>
      <c r="G29" s="58">
        <v>0</v>
      </c>
      <c r="H29" s="82">
        <v>0</v>
      </c>
      <c r="I29" s="82">
        <v>0</v>
      </c>
      <c r="J29" s="82">
        <v>0</v>
      </c>
      <c r="K29" s="58">
        <v>0</v>
      </c>
      <c r="L29" s="58">
        <v>0</v>
      </c>
      <c r="M29" s="58">
        <v>3.62</v>
      </c>
      <c r="N29" s="82">
        <f t="shared" si="8"/>
        <v>0</v>
      </c>
      <c r="O29" s="82">
        <f t="shared" si="8"/>
        <v>0</v>
      </c>
      <c r="P29" s="82">
        <f t="shared" si="8"/>
        <v>0</v>
      </c>
      <c r="X29"/>
      <c r="Y29"/>
      <c r="Z29"/>
      <c r="AA29"/>
      <c r="AB29"/>
      <c r="AC29"/>
      <c r="AD29"/>
      <c r="AE29"/>
      <c r="AF29"/>
      <c r="AG29"/>
      <c r="AH29"/>
    </row>
    <row r="30" spans="1:34">
      <c r="A30" s="8">
        <v>20100729</v>
      </c>
      <c r="B30" s="109" t="s">
        <v>498</v>
      </c>
      <c r="C30" s="109" t="str">
        <f>A30&amp;B30</f>
        <v>20100729RLS</v>
      </c>
      <c r="D30" s="109" t="s">
        <v>674</v>
      </c>
      <c r="E30" s="109" t="str">
        <f>A30&amp;D30</f>
        <v>20100729LE_953Base</v>
      </c>
      <c r="F30" s="58">
        <v>3.81</v>
      </c>
      <c r="G30" s="58">
        <v>0</v>
      </c>
      <c r="H30" s="82">
        <v>0</v>
      </c>
      <c r="I30" s="82">
        <v>0</v>
      </c>
      <c r="J30" s="82">
        <v>0</v>
      </c>
      <c r="K30" s="58">
        <v>0</v>
      </c>
      <c r="L30" s="58">
        <v>0</v>
      </c>
      <c r="M30" s="58">
        <v>3.81</v>
      </c>
      <c r="N30" s="82">
        <f>IF(H30=0,0,H30-$K30-$L30)</f>
        <v>0</v>
      </c>
      <c r="O30" s="82">
        <f>IF(I30=0,0,I30-$K30-$L30)</f>
        <v>0</v>
      </c>
      <c r="P30" s="82">
        <f>IF(J30=0,0,J30-$K30-$L30)</f>
        <v>0</v>
      </c>
      <c r="X30"/>
      <c r="Y30"/>
      <c r="Z30"/>
      <c r="AA30"/>
      <c r="AB30"/>
      <c r="AC30"/>
      <c r="AD30"/>
      <c r="AE30"/>
      <c r="AF30"/>
      <c r="AG30"/>
      <c r="AH30"/>
    </row>
    <row r="31" spans="1:34">
      <c r="A31" s="8">
        <v>20100729</v>
      </c>
      <c r="B31" s="113" t="s">
        <v>606</v>
      </c>
      <c r="C31" s="109" t="str">
        <f t="shared" si="5"/>
        <v>20100729LS</v>
      </c>
      <c r="D31" s="113" t="s">
        <v>759</v>
      </c>
      <c r="E31" s="109" t="str">
        <f t="shared" si="6"/>
        <v>20100729LE_963Base</v>
      </c>
      <c r="F31" s="58">
        <v>3.81</v>
      </c>
      <c r="G31" s="58">
        <v>0</v>
      </c>
      <c r="H31" s="82">
        <v>0</v>
      </c>
      <c r="I31" s="82">
        <v>0</v>
      </c>
      <c r="J31" s="82">
        <v>0</v>
      </c>
      <c r="K31" s="58">
        <v>0</v>
      </c>
      <c r="L31" s="58">
        <v>0</v>
      </c>
      <c r="M31" s="58">
        <v>3.81</v>
      </c>
      <c r="N31" s="82">
        <f t="shared" si="8"/>
        <v>0</v>
      </c>
      <c r="O31" s="82">
        <f t="shared" si="8"/>
        <v>0</v>
      </c>
      <c r="P31" s="82">
        <f t="shared" si="8"/>
        <v>0</v>
      </c>
      <c r="X31"/>
      <c r="Y31"/>
      <c r="Z31"/>
      <c r="AA31"/>
      <c r="AB31"/>
      <c r="AC31"/>
      <c r="AD31"/>
      <c r="AE31"/>
      <c r="AF31"/>
      <c r="AG31"/>
      <c r="AH31"/>
    </row>
    <row r="32" spans="1:34">
      <c r="A32" s="8">
        <v>20100729</v>
      </c>
      <c r="B32" s="109" t="s">
        <v>606</v>
      </c>
      <c r="C32" s="109" t="str">
        <f t="shared" si="5"/>
        <v>20100729LS</v>
      </c>
      <c r="D32" s="109" t="s">
        <v>675</v>
      </c>
      <c r="E32" s="109" t="str">
        <f t="shared" si="6"/>
        <v>20100729LE_954Base</v>
      </c>
      <c r="F32" s="58">
        <v>2.83</v>
      </c>
      <c r="G32" s="58">
        <v>0</v>
      </c>
      <c r="H32" s="82">
        <v>0</v>
      </c>
      <c r="I32" s="82">
        <v>0</v>
      </c>
      <c r="J32" s="82">
        <v>0</v>
      </c>
      <c r="K32" s="58">
        <v>0</v>
      </c>
      <c r="L32" s="58">
        <v>0</v>
      </c>
      <c r="M32" s="58">
        <v>2.83</v>
      </c>
      <c r="N32" s="82">
        <f t="shared" si="8"/>
        <v>0</v>
      </c>
      <c r="O32" s="82">
        <f t="shared" si="8"/>
        <v>0</v>
      </c>
      <c r="P32" s="82">
        <f t="shared" si="8"/>
        <v>0</v>
      </c>
      <c r="X32"/>
      <c r="Y32"/>
      <c r="Z32"/>
      <c r="AA32"/>
      <c r="AB32"/>
      <c r="AC32"/>
      <c r="AD32"/>
      <c r="AE32"/>
      <c r="AF32"/>
      <c r="AG32"/>
      <c r="AH32"/>
    </row>
    <row r="33" spans="1:34">
      <c r="A33" s="8">
        <v>20100729</v>
      </c>
      <c r="B33" s="109" t="s">
        <v>606</v>
      </c>
      <c r="C33" s="109" t="str">
        <f t="shared" si="5"/>
        <v>20100729LS</v>
      </c>
      <c r="D33" s="109" t="s">
        <v>676</v>
      </c>
      <c r="E33" s="109" t="str">
        <f t="shared" si="6"/>
        <v>20100729LE_955Base</v>
      </c>
      <c r="F33" s="58">
        <v>2.83</v>
      </c>
      <c r="G33" s="58">
        <v>0</v>
      </c>
      <c r="H33" s="82">
        <v>0</v>
      </c>
      <c r="I33" s="82">
        <v>0</v>
      </c>
      <c r="J33" s="82">
        <v>0</v>
      </c>
      <c r="K33" s="58">
        <v>0</v>
      </c>
      <c r="L33" s="58">
        <v>0</v>
      </c>
      <c r="M33" s="58">
        <v>2.83</v>
      </c>
      <c r="N33" s="82">
        <f t="shared" si="8"/>
        <v>0</v>
      </c>
      <c r="O33" s="82">
        <f t="shared" si="8"/>
        <v>0</v>
      </c>
      <c r="P33" s="82">
        <f t="shared" si="8"/>
        <v>0</v>
      </c>
      <c r="X33"/>
      <c r="Y33"/>
      <c r="Z33"/>
      <c r="AA33"/>
      <c r="AB33"/>
      <c r="AC33"/>
      <c r="AD33"/>
      <c r="AE33"/>
      <c r="AF33"/>
      <c r="AG33"/>
      <c r="AH33"/>
    </row>
    <row r="34" spans="1:34">
      <c r="A34" s="8">
        <v>20100729</v>
      </c>
      <c r="B34" s="109" t="s">
        <v>606</v>
      </c>
      <c r="C34" s="109" t="str">
        <f t="shared" si="5"/>
        <v>20100729LS</v>
      </c>
      <c r="D34" s="109" t="s">
        <v>677</v>
      </c>
      <c r="E34" s="109" t="str">
        <f t="shared" si="6"/>
        <v>20100729LE_956Base</v>
      </c>
      <c r="F34" s="58">
        <v>2.83</v>
      </c>
      <c r="G34" s="58">
        <v>0</v>
      </c>
      <c r="H34" s="82">
        <v>0</v>
      </c>
      <c r="I34" s="82">
        <v>0</v>
      </c>
      <c r="J34" s="82">
        <v>0</v>
      </c>
      <c r="K34" s="58">
        <v>0</v>
      </c>
      <c r="L34" s="58">
        <v>0</v>
      </c>
      <c r="M34" s="58">
        <v>2.83</v>
      </c>
      <c r="N34" s="82">
        <f t="shared" si="8"/>
        <v>0</v>
      </c>
      <c r="O34" s="82">
        <f t="shared" si="8"/>
        <v>0</v>
      </c>
      <c r="P34" s="82">
        <f t="shared" si="8"/>
        <v>0</v>
      </c>
      <c r="X34"/>
      <c r="Y34"/>
      <c r="Z34"/>
      <c r="AA34"/>
      <c r="AB34"/>
      <c r="AC34"/>
      <c r="AD34"/>
      <c r="AE34"/>
      <c r="AF34"/>
      <c r="AG34"/>
      <c r="AH34"/>
    </row>
    <row r="35" spans="1:34">
      <c r="A35" s="8">
        <v>20100729</v>
      </c>
      <c r="B35" s="109" t="s">
        <v>606</v>
      </c>
      <c r="C35" s="109" t="str">
        <f t="shared" si="5"/>
        <v>20100729LS</v>
      </c>
      <c r="D35" s="109" t="s">
        <v>678</v>
      </c>
      <c r="E35" s="109" t="str">
        <f t="shared" si="6"/>
        <v>20100729LE_957Base</v>
      </c>
      <c r="F35" s="58">
        <v>3</v>
      </c>
      <c r="G35" s="58">
        <v>0</v>
      </c>
      <c r="H35" s="82">
        <v>0</v>
      </c>
      <c r="I35" s="82">
        <v>0</v>
      </c>
      <c r="J35" s="82">
        <v>0</v>
      </c>
      <c r="K35" s="58">
        <v>0</v>
      </c>
      <c r="L35" s="58">
        <v>0</v>
      </c>
      <c r="M35" s="58">
        <v>3</v>
      </c>
      <c r="N35" s="82">
        <f t="shared" si="8"/>
        <v>0</v>
      </c>
      <c r="O35" s="82">
        <f t="shared" si="8"/>
        <v>0</v>
      </c>
      <c r="P35" s="82">
        <f t="shared" si="8"/>
        <v>0</v>
      </c>
      <c r="X35"/>
      <c r="Y35"/>
      <c r="Z35"/>
      <c r="AA35"/>
      <c r="AB35"/>
      <c r="AC35"/>
      <c r="AD35"/>
      <c r="AE35"/>
      <c r="AF35"/>
      <c r="AG35"/>
      <c r="AH35"/>
    </row>
    <row r="36" spans="1:34">
      <c r="A36" s="8">
        <v>20100729</v>
      </c>
      <c r="B36" s="109" t="s">
        <v>606</v>
      </c>
      <c r="C36" s="109" t="str">
        <f>A36&amp;B36</f>
        <v>20100729LS</v>
      </c>
      <c r="D36" s="109" t="s">
        <v>679</v>
      </c>
      <c r="E36" s="109" t="str">
        <f>A36&amp;D36</f>
        <v>20100729LE_958Pole</v>
      </c>
      <c r="F36" s="58">
        <v>10.92</v>
      </c>
      <c r="G36" s="58">
        <v>0</v>
      </c>
      <c r="H36" s="82">
        <v>0</v>
      </c>
      <c r="I36" s="82">
        <v>0</v>
      </c>
      <c r="J36" s="82">
        <v>0</v>
      </c>
      <c r="K36" s="58">
        <v>0</v>
      </c>
      <c r="L36" s="58">
        <v>0</v>
      </c>
      <c r="M36" s="58">
        <v>10.92</v>
      </c>
      <c r="N36" s="82">
        <f>IF(H36=0,0,H36-$K36-$L36)</f>
        <v>0</v>
      </c>
      <c r="O36" s="82">
        <f>IF(I36=0,0,I36-$K36-$L36)</f>
        <v>0</v>
      </c>
      <c r="P36" s="82">
        <f>IF(J36=0,0,J36-$K36-$L36)</f>
        <v>0</v>
      </c>
      <c r="X36"/>
      <c r="Y36"/>
      <c r="Z36"/>
      <c r="AA36"/>
      <c r="AB36"/>
      <c r="AC36"/>
      <c r="AD36"/>
      <c r="AE36"/>
      <c r="AF36"/>
      <c r="AG36"/>
      <c r="AH36"/>
    </row>
    <row r="37" spans="1:34">
      <c r="A37" s="8">
        <v>20100729</v>
      </c>
      <c r="B37" s="109" t="s">
        <v>606</v>
      </c>
      <c r="C37" s="109" t="str">
        <f t="shared" si="5"/>
        <v>20100729LS</v>
      </c>
      <c r="D37" s="113" t="s">
        <v>756</v>
      </c>
      <c r="E37" s="109" t="str">
        <f t="shared" si="6"/>
        <v>20100729LE_962Base</v>
      </c>
      <c r="F37" s="58">
        <v>3.62</v>
      </c>
      <c r="G37" s="58">
        <v>0</v>
      </c>
      <c r="H37" s="82">
        <v>0</v>
      </c>
      <c r="I37" s="82">
        <v>0</v>
      </c>
      <c r="J37" s="82">
        <v>0</v>
      </c>
      <c r="K37" s="58">
        <v>0</v>
      </c>
      <c r="L37" s="58">
        <v>0</v>
      </c>
      <c r="M37" s="58">
        <v>10.92</v>
      </c>
      <c r="N37" s="82">
        <f t="shared" si="8"/>
        <v>0</v>
      </c>
      <c r="O37" s="82">
        <f t="shared" si="8"/>
        <v>0</v>
      </c>
      <c r="P37" s="82">
        <f t="shared" si="8"/>
        <v>0</v>
      </c>
      <c r="X37"/>
      <c r="Y37"/>
      <c r="Z37"/>
      <c r="AA37"/>
      <c r="AB37"/>
      <c r="AC37"/>
      <c r="AD37"/>
      <c r="AE37"/>
      <c r="AF37"/>
      <c r="AG37"/>
      <c r="AH37"/>
    </row>
    <row r="38" spans="1:34">
      <c r="A38" s="80">
        <v>20110629</v>
      </c>
      <c r="B38" s="110" t="s">
        <v>498</v>
      </c>
      <c r="C38" s="110" t="str">
        <f t="shared" ref="C38:C56" si="9">A38&amp;B38</f>
        <v>20110629RLS</v>
      </c>
      <c r="D38" s="110" t="s">
        <v>665</v>
      </c>
      <c r="E38" s="110" t="str">
        <f t="shared" ref="E38:E56" si="10">A38&amp;D38</f>
        <v>20110629LE_900Pole</v>
      </c>
      <c r="F38" s="83">
        <v>1.99</v>
      </c>
      <c r="G38" s="83">
        <v>0</v>
      </c>
      <c r="H38" s="83">
        <v>0</v>
      </c>
      <c r="I38" s="83">
        <v>0</v>
      </c>
      <c r="J38" s="83">
        <v>0</v>
      </c>
      <c r="K38" s="83">
        <v>0</v>
      </c>
      <c r="L38" s="83">
        <v>0</v>
      </c>
      <c r="M38" s="83">
        <f t="shared" ref="M38:M56" si="11">F38-K38-L38</f>
        <v>1.99</v>
      </c>
      <c r="N38" s="81">
        <f t="shared" ref="N38:P51" si="12">IF(H38=0,0,H38-$K38-$L38)</f>
        <v>0</v>
      </c>
      <c r="O38" s="81">
        <f t="shared" si="12"/>
        <v>0</v>
      </c>
      <c r="P38" s="81">
        <f t="shared" si="12"/>
        <v>0</v>
      </c>
      <c r="X38"/>
      <c r="Y38"/>
      <c r="Z38"/>
      <c r="AA38"/>
      <c r="AB38"/>
      <c r="AC38"/>
      <c r="AD38"/>
      <c r="AE38"/>
      <c r="AF38"/>
      <c r="AG38"/>
      <c r="AH38"/>
    </row>
    <row r="39" spans="1:34">
      <c r="A39" s="80">
        <f t="shared" ref="A39:A51" si="13">A38</f>
        <v>20110629</v>
      </c>
      <c r="B39" s="110" t="s">
        <v>498</v>
      </c>
      <c r="C39" s="110" t="str">
        <f t="shared" si="9"/>
        <v>20110629RLS</v>
      </c>
      <c r="D39" s="110" t="s">
        <v>666</v>
      </c>
      <c r="E39" s="110" t="str">
        <f t="shared" si="10"/>
        <v>20110629LE_901Pole</v>
      </c>
      <c r="F39" s="83">
        <v>10.44</v>
      </c>
      <c r="G39" s="83">
        <v>0</v>
      </c>
      <c r="H39" s="83">
        <v>0</v>
      </c>
      <c r="I39" s="83">
        <v>0</v>
      </c>
      <c r="J39" s="83">
        <v>0</v>
      </c>
      <c r="K39" s="83">
        <v>0</v>
      </c>
      <c r="L39" s="83">
        <v>0</v>
      </c>
      <c r="M39" s="83">
        <f t="shared" si="11"/>
        <v>10.44</v>
      </c>
      <c r="N39" s="81">
        <f t="shared" si="12"/>
        <v>0</v>
      </c>
      <c r="O39" s="81">
        <f t="shared" si="12"/>
        <v>0</v>
      </c>
      <c r="P39" s="81">
        <f t="shared" si="12"/>
        <v>0</v>
      </c>
      <c r="X39"/>
      <c r="Y39"/>
      <c r="Z39"/>
      <c r="AA39"/>
      <c r="AB39"/>
      <c r="AC39"/>
      <c r="AD39"/>
      <c r="AE39"/>
      <c r="AF39"/>
      <c r="AG39"/>
      <c r="AH39"/>
    </row>
    <row r="40" spans="1:34">
      <c r="A40" s="80">
        <f t="shared" si="13"/>
        <v>20110629</v>
      </c>
      <c r="B40" s="110" t="s">
        <v>498</v>
      </c>
      <c r="C40" s="110" t="str">
        <f t="shared" si="9"/>
        <v>20110629RLS</v>
      </c>
      <c r="D40" s="110" t="s">
        <v>667</v>
      </c>
      <c r="E40" s="110" t="str">
        <f t="shared" si="10"/>
        <v>20110629LE_902Pole</v>
      </c>
      <c r="F40" s="83">
        <v>12.46</v>
      </c>
      <c r="G40" s="83">
        <v>0</v>
      </c>
      <c r="H40" s="83">
        <v>0</v>
      </c>
      <c r="I40" s="83">
        <v>0</v>
      </c>
      <c r="J40" s="83">
        <v>0</v>
      </c>
      <c r="K40" s="83">
        <v>0</v>
      </c>
      <c r="L40" s="83">
        <v>0</v>
      </c>
      <c r="M40" s="83">
        <f t="shared" si="11"/>
        <v>12.46</v>
      </c>
      <c r="N40" s="81">
        <f t="shared" si="12"/>
        <v>0</v>
      </c>
      <c r="O40" s="81">
        <f t="shared" si="12"/>
        <v>0</v>
      </c>
      <c r="P40" s="81">
        <f t="shared" si="12"/>
        <v>0</v>
      </c>
      <c r="X40"/>
      <c r="Y40"/>
      <c r="Z40"/>
      <c r="AA40"/>
      <c r="AB40"/>
      <c r="AC40"/>
      <c r="AD40"/>
      <c r="AE40"/>
      <c r="AF40"/>
      <c r="AG40"/>
      <c r="AH40"/>
    </row>
    <row r="41" spans="1:34">
      <c r="A41" s="80">
        <f t="shared" si="13"/>
        <v>20110629</v>
      </c>
      <c r="B41" s="110" t="s">
        <v>606</v>
      </c>
      <c r="C41" s="110" t="str">
        <f t="shared" si="9"/>
        <v>20110629LS</v>
      </c>
      <c r="D41" s="110" t="s">
        <v>668</v>
      </c>
      <c r="E41" s="110" t="str">
        <f t="shared" si="10"/>
        <v>20110629LE_910Pole</v>
      </c>
      <c r="F41" s="83">
        <v>1.99</v>
      </c>
      <c r="G41" s="83">
        <v>0</v>
      </c>
      <c r="H41" s="83">
        <v>0</v>
      </c>
      <c r="I41" s="83">
        <v>0</v>
      </c>
      <c r="J41" s="83">
        <v>0</v>
      </c>
      <c r="K41" s="83">
        <v>0</v>
      </c>
      <c r="L41" s="83">
        <v>0</v>
      </c>
      <c r="M41" s="83">
        <f t="shared" si="11"/>
        <v>1.99</v>
      </c>
      <c r="N41" s="81">
        <f t="shared" si="12"/>
        <v>0</v>
      </c>
      <c r="O41" s="81">
        <f t="shared" si="12"/>
        <v>0</v>
      </c>
      <c r="P41" s="81">
        <f t="shared" si="12"/>
        <v>0</v>
      </c>
      <c r="X41"/>
      <c r="Y41"/>
      <c r="Z41"/>
      <c r="AA41"/>
      <c r="AB41"/>
      <c r="AC41"/>
      <c r="AD41"/>
      <c r="AE41"/>
      <c r="AF41"/>
      <c r="AG41"/>
      <c r="AH41"/>
    </row>
    <row r="42" spans="1:34">
      <c r="A42" s="80">
        <f t="shared" si="13"/>
        <v>20110629</v>
      </c>
      <c r="B42" s="110" t="s">
        <v>606</v>
      </c>
      <c r="C42" s="110" t="str">
        <f t="shared" si="9"/>
        <v>20110629LS</v>
      </c>
      <c r="D42" s="110" t="s">
        <v>669</v>
      </c>
      <c r="E42" s="110" t="str">
        <f t="shared" si="10"/>
        <v>20110629LE_911Pole</v>
      </c>
      <c r="F42" s="83">
        <v>10.44</v>
      </c>
      <c r="G42" s="83">
        <v>0</v>
      </c>
      <c r="H42" s="83">
        <v>0</v>
      </c>
      <c r="I42" s="83">
        <v>0</v>
      </c>
      <c r="J42" s="83">
        <v>0</v>
      </c>
      <c r="K42" s="83">
        <v>0</v>
      </c>
      <c r="L42" s="83">
        <v>0</v>
      </c>
      <c r="M42" s="83">
        <f t="shared" si="11"/>
        <v>10.44</v>
      </c>
      <c r="N42" s="81">
        <f t="shared" si="12"/>
        <v>0</v>
      </c>
      <c r="O42" s="81">
        <f t="shared" si="12"/>
        <v>0</v>
      </c>
      <c r="P42" s="81">
        <f t="shared" si="12"/>
        <v>0</v>
      </c>
      <c r="X42"/>
      <c r="Y42"/>
      <c r="Z42"/>
      <c r="AA42"/>
      <c r="AB42"/>
      <c r="AC42"/>
      <c r="AD42"/>
      <c r="AE42"/>
      <c r="AF42"/>
      <c r="AG42"/>
      <c r="AH42"/>
    </row>
    <row r="43" spans="1:34">
      <c r="A43" s="80">
        <f t="shared" si="13"/>
        <v>20110629</v>
      </c>
      <c r="B43" s="110" t="s">
        <v>606</v>
      </c>
      <c r="C43" s="110" t="str">
        <f t="shared" si="9"/>
        <v>20110629LS</v>
      </c>
      <c r="D43" s="110" t="s">
        <v>670</v>
      </c>
      <c r="E43" s="110" t="str">
        <f t="shared" si="10"/>
        <v>20110629LE_912Pole</v>
      </c>
      <c r="F43" s="83">
        <v>12.46</v>
      </c>
      <c r="G43" s="83">
        <v>0</v>
      </c>
      <c r="H43" s="83">
        <v>0</v>
      </c>
      <c r="I43" s="83">
        <v>0</v>
      </c>
      <c r="J43" s="83">
        <v>0</v>
      </c>
      <c r="K43" s="83">
        <v>0</v>
      </c>
      <c r="L43" s="83">
        <v>0</v>
      </c>
      <c r="M43" s="83">
        <f t="shared" si="11"/>
        <v>12.46</v>
      </c>
      <c r="N43" s="81">
        <f t="shared" si="12"/>
        <v>0</v>
      </c>
      <c r="O43" s="81">
        <f t="shared" si="12"/>
        <v>0</v>
      </c>
      <c r="P43" s="81">
        <f t="shared" si="12"/>
        <v>0</v>
      </c>
      <c r="X43"/>
      <c r="Y43"/>
      <c r="Z43"/>
      <c r="AA43"/>
      <c r="AB43"/>
      <c r="AC43"/>
      <c r="AD43"/>
      <c r="AE43"/>
      <c r="AF43"/>
      <c r="AG43"/>
      <c r="AH43"/>
    </row>
    <row r="44" spans="1:34">
      <c r="A44" s="80">
        <f t="shared" si="13"/>
        <v>20110629</v>
      </c>
      <c r="B44" s="110" t="s">
        <v>498</v>
      </c>
      <c r="C44" s="110" t="str">
        <f t="shared" si="9"/>
        <v>20110629RLS</v>
      </c>
      <c r="D44" s="110" t="s">
        <v>671</v>
      </c>
      <c r="E44" s="110" t="str">
        <f t="shared" si="10"/>
        <v>20110629LE_950Base</v>
      </c>
      <c r="F44" s="83">
        <v>3.35</v>
      </c>
      <c r="G44" s="83">
        <v>0</v>
      </c>
      <c r="H44" s="83">
        <v>0</v>
      </c>
      <c r="I44" s="83">
        <v>0</v>
      </c>
      <c r="J44" s="83">
        <v>0</v>
      </c>
      <c r="K44" s="83">
        <v>0</v>
      </c>
      <c r="L44" s="83">
        <v>0</v>
      </c>
      <c r="M44" s="83">
        <f t="shared" si="11"/>
        <v>3.35</v>
      </c>
      <c r="N44" s="81">
        <f t="shared" si="12"/>
        <v>0</v>
      </c>
      <c r="O44" s="81">
        <f t="shared" si="12"/>
        <v>0</v>
      </c>
      <c r="P44" s="81">
        <f t="shared" si="12"/>
        <v>0</v>
      </c>
      <c r="X44"/>
      <c r="Y44"/>
      <c r="Z44"/>
      <c r="AA44"/>
      <c r="AB44"/>
      <c r="AC44"/>
      <c r="AD44"/>
      <c r="AE44"/>
      <c r="AF44"/>
      <c r="AG44"/>
      <c r="AH44"/>
    </row>
    <row r="45" spans="1:34">
      <c r="A45" s="80">
        <f t="shared" si="13"/>
        <v>20110629</v>
      </c>
      <c r="B45" s="110" t="s">
        <v>498</v>
      </c>
      <c r="C45" s="110" t="str">
        <f t="shared" si="9"/>
        <v>20110629RLS</v>
      </c>
      <c r="D45" s="110" t="s">
        <v>672</v>
      </c>
      <c r="E45" s="110" t="str">
        <f t="shared" si="10"/>
        <v>20110629LE_951Base</v>
      </c>
      <c r="F45" s="83">
        <v>3.6</v>
      </c>
      <c r="G45" s="83">
        <v>0</v>
      </c>
      <c r="H45" s="83">
        <v>0</v>
      </c>
      <c r="I45" s="83">
        <v>0</v>
      </c>
      <c r="J45" s="83">
        <v>0</v>
      </c>
      <c r="K45" s="83">
        <v>0</v>
      </c>
      <c r="L45" s="83">
        <v>0</v>
      </c>
      <c r="M45" s="83">
        <f t="shared" si="11"/>
        <v>3.6</v>
      </c>
      <c r="N45" s="81">
        <f t="shared" si="12"/>
        <v>0</v>
      </c>
      <c r="O45" s="81">
        <f t="shared" si="12"/>
        <v>0</v>
      </c>
      <c r="P45" s="81">
        <f t="shared" si="12"/>
        <v>0</v>
      </c>
      <c r="X45"/>
      <c r="Y45"/>
      <c r="Z45"/>
      <c r="AA45"/>
      <c r="AB45"/>
      <c r="AC45"/>
      <c r="AD45"/>
      <c r="AE45"/>
      <c r="AF45"/>
      <c r="AG45"/>
      <c r="AH45"/>
    </row>
    <row r="46" spans="1:34">
      <c r="A46" s="80">
        <f t="shared" si="13"/>
        <v>20110629</v>
      </c>
      <c r="B46" s="110" t="s">
        <v>498</v>
      </c>
      <c r="C46" s="110" t="str">
        <f t="shared" si="9"/>
        <v>20110629RLS</v>
      </c>
      <c r="D46" s="110" t="s">
        <v>673</v>
      </c>
      <c r="E46" s="110" t="str">
        <f t="shared" si="10"/>
        <v>20110629LE_952Base</v>
      </c>
      <c r="F46" s="83">
        <v>3.62</v>
      </c>
      <c r="G46" s="83">
        <v>0</v>
      </c>
      <c r="H46" s="83">
        <v>0</v>
      </c>
      <c r="I46" s="83">
        <v>0</v>
      </c>
      <c r="J46" s="83">
        <v>0</v>
      </c>
      <c r="K46" s="83">
        <v>0</v>
      </c>
      <c r="L46" s="83">
        <v>0</v>
      </c>
      <c r="M46" s="83">
        <f t="shared" si="11"/>
        <v>3.62</v>
      </c>
      <c r="N46" s="81">
        <f t="shared" si="12"/>
        <v>0</v>
      </c>
      <c r="O46" s="81">
        <f t="shared" si="12"/>
        <v>0</v>
      </c>
      <c r="P46" s="81">
        <f t="shared" si="12"/>
        <v>0</v>
      </c>
      <c r="X46"/>
      <c r="Y46"/>
      <c r="Z46"/>
      <c r="AA46"/>
      <c r="AB46"/>
      <c r="AC46"/>
      <c r="AD46"/>
      <c r="AE46"/>
      <c r="AF46"/>
      <c r="AG46"/>
      <c r="AH46"/>
    </row>
    <row r="47" spans="1:34">
      <c r="A47" s="80">
        <f t="shared" si="13"/>
        <v>20110629</v>
      </c>
      <c r="B47" s="110" t="s">
        <v>498</v>
      </c>
      <c r="C47" s="110" t="str">
        <f t="shared" si="9"/>
        <v>20110629RLS</v>
      </c>
      <c r="D47" s="110" t="s">
        <v>674</v>
      </c>
      <c r="E47" s="110" t="str">
        <f t="shared" si="10"/>
        <v>20110629LE_953Base</v>
      </c>
      <c r="F47" s="83">
        <v>3.81</v>
      </c>
      <c r="G47" s="83">
        <v>0</v>
      </c>
      <c r="H47" s="83">
        <v>0</v>
      </c>
      <c r="I47" s="83">
        <v>0</v>
      </c>
      <c r="J47" s="83">
        <v>0</v>
      </c>
      <c r="K47" s="83">
        <v>0</v>
      </c>
      <c r="L47" s="83">
        <v>0</v>
      </c>
      <c r="M47" s="83">
        <f t="shared" si="11"/>
        <v>3.81</v>
      </c>
      <c r="N47" s="81">
        <f t="shared" si="12"/>
        <v>0</v>
      </c>
      <c r="O47" s="81">
        <f t="shared" si="12"/>
        <v>0</v>
      </c>
      <c r="P47" s="81">
        <f t="shared" si="12"/>
        <v>0</v>
      </c>
      <c r="X47"/>
      <c r="Y47"/>
      <c r="Z47"/>
      <c r="AA47"/>
      <c r="AB47"/>
      <c r="AC47"/>
      <c r="AD47"/>
      <c r="AE47"/>
      <c r="AF47"/>
      <c r="AG47"/>
      <c r="AH47"/>
    </row>
    <row r="48" spans="1:34">
      <c r="A48" s="80">
        <f t="shared" si="13"/>
        <v>20110629</v>
      </c>
      <c r="B48" s="110" t="s">
        <v>606</v>
      </c>
      <c r="C48" s="110" t="str">
        <f t="shared" si="9"/>
        <v>20110629LS</v>
      </c>
      <c r="D48" s="110" t="s">
        <v>675</v>
      </c>
      <c r="E48" s="110" t="str">
        <f t="shared" si="10"/>
        <v>20110629LE_954Base</v>
      </c>
      <c r="F48" s="83">
        <v>2.83</v>
      </c>
      <c r="G48" s="83">
        <v>0</v>
      </c>
      <c r="H48" s="83">
        <v>0</v>
      </c>
      <c r="I48" s="83">
        <v>0</v>
      </c>
      <c r="J48" s="83">
        <v>0</v>
      </c>
      <c r="K48" s="83">
        <v>0</v>
      </c>
      <c r="L48" s="83">
        <v>0</v>
      </c>
      <c r="M48" s="83">
        <f t="shared" si="11"/>
        <v>2.83</v>
      </c>
      <c r="N48" s="81">
        <f t="shared" si="12"/>
        <v>0</v>
      </c>
      <c r="O48" s="81">
        <f t="shared" si="12"/>
        <v>0</v>
      </c>
      <c r="P48" s="81">
        <f t="shared" si="12"/>
        <v>0</v>
      </c>
      <c r="X48"/>
      <c r="Y48"/>
      <c r="Z48"/>
      <c r="AA48"/>
      <c r="AB48"/>
      <c r="AC48"/>
      <c r="AD48"/>
      <c r="AE48"/>
      <c r="AF48"/>
      <c r="AG48"/>
      <c r="AH48"/>
    </row>
    <row r="49" spans="1:34">
      <c r="A49" s="80">
        <f t="shared" si="13"/>
        <v>20110629</v>
      </c>
      <c r="B49" s="110" t="s">
        <v>606</v>
      </c>
      <c r="C49" s="110" t="str">
        <f t="shared" si="9"/>
        <v>20110629LS</v>
      </c>
      <c r="D49" s="110" t="s">
        <v>676</v>
      </c>
      <c r="E49" s="110" t="str">
        <f t="shared" si="10"/>
        <v>20110629LE_955Base</v>
      </c>
      <c r="F49" s="83">
        <v>2.83</v>
      </c>
      <c r="G49" s="83">
        <v>0</v>
      </c>
      <c r="H49" s="83">
        <v>0</v>
      </c>
      <c r="I49" s="83">
        <v>0</v>
      </c>
      <c r="J49" s="83">
        <v>0</v>
      </c>
      <c r="K49" s="83">
        <v>0</v>
      </c>
      <c r="L49" s="83">
        <v>0</v>
      </c>
      <c r="M49" s="83">
        <f t="shared" si="11"/>
        <v>2.83</v>
      </c>
      <c r="N49" s="81">
        <f t="shared" si="12"/>
        <v>0</v>
      </c>
      <c r="O49" s="81">
        <f t="shared" si="12"/>
        <v>0</v>
      </c>
      <c r="P49" s="81">
        <f t="shared" si="12"/>
        <v>0</v>
      </c>
      <c r="X49"/>
      <c r="Y49"/>
      <c r="Z49"/>
      <c r="AA49"/>
      <c r="AB49"/>
      <c r="AC49"/>
      <c r="AD49"/>
      <c r="AE49"/>
      <c r="AF49"/>
      <c r="AG49"/>
      <c r="AH49"/>
    </row>
    <row r="50" spans="1:34">
      <c r="A50" s="80">
        <f t="shared" si="13"/>
        <v>20110629</v>
      </c>
      <c r="B50" s="110" t="s">
        <v>606</v>
      </c>
      <c r="C50" s="110" t="str">
        <f t="shared" si="9"/>
        <v>20110629LS</v>
      </c>
      <c r="D50" s="110" t="s">
        <v>677</v>
      </c>
      <c r="E50" s="110" t="str">
        <f t="shared" si="10"/>
        <v>20110629LE_956Base</v>
      </c>
      <c r="F50" s="83">
        <v>2.83</v>
      </c>
      <c r="G50" s="83">
        <v>0</v>
      </c>
      <c r="H50" s="83">
        <v>0</v>
      </c>
      <c r="I50" s="83">
        <v>0</v>
      </c>
      <c r="J50" s="83">
        <v>0</v>
      </c>
      <c r="K50" s="83">
        <v>0</v>
      </c>
      <c r="L50" s="83">
        <v>0</v>
      </c>
      <c r="M50" s="83">
        <f t="shared" si="11"/>
        <v>2.83</v>
      </c>
      <c r="N50" s="81">
        <f t="shared" si="12"/>
        <v>0</v>
      </c>
      <c r="O50" s="81">
        <f t="shared" si="12"/>
        <v>0</v>
      </c>
      <c r="P50" s="81">
        <f t="shared" si="12"/>
        <v>0</v>
      </c>
      <c r="X50"/>
      <c r="Y50"/>
      <c r="Z50"/>
      <c r="AA50"/>
      <c r="AB50"/>
      <c r="AC50"/>
      <c r="AD50"/>
      <c r="AE50"/>
      <c r="AF50"/>
      <c r="AG50"/>
      <c r="AH50"/>
    </row>
    <row r="51" spans="1:34">
      <c r="A51" s="80">
        <f t="shared" si="13"/>
        <v>20110629</v>
      </c>
      <c r="B51" s="110" t="s">
        <v>606</v>
      </c>
      <c r="C51" s="110" t="str">
        <f t="shared" si="9"/>
        <v>20110629LS</v>
      </c>
      <c r="D51" s="110" t="s">
        <v>678</v>
      </c>
      <c r="E51" s="110" t="str">
        <f t="shared" si="10"/>
        <v>20110629LE_957Base</v>
      </c>
      <c r="F51" s="83">
        <v>3</v>
      </c>
      <c r="G51" s="83">
        <v>0</v>
      </c>
      <c r="H51" s="83">
        <v>0</v>
      </c>
      <c r="I51" s="83">
        <v>0</v>
      </c>
      <c r="J51" s="83">
        <v>0</v>
      </c>
      <c r="K51" s="83">
        <v>0</v>
      </c>
      <c r="L51" s="83">
        <v>0</v>
      </c>
      <c r="M51" s="83">
        <f t="shared" si="11"/>
        <v>3</v>
      </c>
      <c r="N51" s="81">
        <f t="shared" si="12"/>
        <v>0</v>
      </c>
      <c r="O51" s="81">
        <f t="shared" si="12"/>
        <v>0</v>
      </c>
      <c r="P51" s="81">
        <f t="shared" si="12"/>
        <v>0</v>
      </c>
      <c r="X51"/>
      <c r="Y51"/>
      <c r="Z51"/>
      <c r="AA51"/>
      <c r="AB51"/>
      <c r="AC51"/>
      <c r="AD51"/>
      <c r="AE51"/>
      <c r="AF51"/>
      <c r="AG51"/>
      <c r="AH51"/>
    </row>
    <row r="52" spans="1:34">
      <c r="A52" s="80">
        <f>A50</f>
        <v>20110629</v>
      </c>
      <c r="B52" s="110" t="s">
        <v>606</v>
      </c>
      <c r="C52" s="110" t="str">
        <f>A52&amp;B52</f>
        <v>20110629LS</v>
      </c>
      <c r="D52" s="110" t="s">
        <v>679</v>
      </c>
      <c r="E52" s="110" t="str">
        <f>A52&amp;D52</f>
        <v>20110629LE_958Pole</v>
      </c>
      <c r="F52" s="83">
        <v>10.92</v>
      </c>
      <c r="G52" s="83">
        <v>0</v>
      </c>
      <c r="H52" s="83">
        <v>0</v>
      </c>
      <c r="I52" s="83">
        <v>0</v>
      </c>
      <c r="J52" s="83">
        <v>0</v>
      </c>
      <c r="K52" s="83">
        <v>0</v>
      </c>
      <c r="L52" s="83">
        <v>0</v>
      </c>
      <c r="M52" s="83">
        <f>F52-K52-L52</f>
        <v>10.92</v>
      </c>
      <c r="N52" s="81">
        <f t="shared" ref="N52:P64" si="14">IF(H52=0,0,H52-$K52-$L52)</f>
        <v>0</v>
      </c>
      <c r="O52" s="81">
        <f t="shared" si="14"/>
        <v>0</v>
      </c>
      <c r="P52" s="81">
        <f t="shared" si="14"/>
        <v>0</v>
      </c>
      <c r="X52"/>
      <c r="Y52"/>
      <c r="Z52"/>
      <c r="AA52"/>
      <c r="AB52"/>
      <c r="AC52"/>
      <c r="AD52"/>
      <c r="AE52"/>
      <c r="AF52"/>
      <c r="AG52"/>
      <c r="AH52"/>
    </row>
    <row r="53" spans="1:34">
      <c r="A53" s="80">
        <f>A50</f>
        <v>20110629</v>
      </c>
      <c r="B53" s="110" t="s">
        <v>606</v>
      </c>
      <c r="C53" s="110" t="str">
        <f>A53&amp;B53</f>
        <v>20110629LS</v>
      </c>
      <c r="D53" s="114" t="s">
        <v>757</v>
      </c>
      <c r="E53" s="110" t="str">
        <f>A53&amp;D53</f>
        <v>20110629LE_960Base</v>
      </c>
      <c r="F53" s="83">
        <v>3.35</v>
      </c>
      <c r="G53" s="83">
        <v>0</v>
      </c>
      <c r="H53" s="83">
        <v>0</v>
      </c>
      <c r="I53" s="83">
        <v>0</v>
      </c>
      <c r="J53" s="83">
        <v>0</v>
      </c>
      <c r="K53" s="83">
        <v>0</v>
      </c>
      <c r="L53" s="83">
        <v>0</v>
      </c>
      <c r="M53" s="83">
        <f>F53-K53-L53</f>
        <v>3.35</v>
      </c>
      <c r="N53" s="81">
        <f t="shared" si="14"/>
        <v>0</v>
      </c>
      <c r="O53" s="81">
        <f t="shared" si="14"/>
        <v>0</v>
      </c>
      <c r="P53" s="81">
        <f t="shared" si="14"/>
        <v>0</v>
      </c>
      <c r="X53"/>
      <c r="Y53"/>
      <c r="Z53"/>
      <c r="AA53"/>
      <c r="AB53"/>
      <c r="AC53"/>
      <c r="AD53"/>
      <c r="AE53"/>
      <c r="AF53"/>
      <c r="AG53"/>
      <c r="AH53"/>
    </row>
    <row r="54" spans="1:34">
      <c r="A54" s="80">
        <f>A49</f>
        <v>20110629</v>
      </c>
      <c r="B54" s="110" t="s">
        <v>606</v>
      </c>
      <c r="C54" s="110" t="str">
        <f>A54&amp;B54</f>
        <v>20110629LS</v>
      </c>
      <c r="D54" s="114" t="s">
        <v>758</v>
      </c>
      <c r="E54" s="110" t="str">
        <f>A54&amp;D54</f>
        <v>20110629LE_961Base</v>
      </c>
      <c r="F54" s="83">
        <v>3.6</v>
      </c>
      <c r="G54" s="83">
        <v>0</v>
      </c>
      <c r="H54" s="83">
        <v>0</v>
      </c>
      <c r="I54" s="83">
        <v>0</v>
      </c>
      <c r="J54" s="83">
        <v>0</v>
      </c>
      <c r="K54" s="83">
        <v>0</v>
      </c>
      <c r="L54" s="83">
        <v>0</v>
      </c>
      <c r="M54" s="83">
        <f>F54-K54-L54</f>
        <v>3.6</v>
      </c>
      <c r="N54" s="81">
        <f t="shared" si="14"/>
        <v>0</v>
      </c>
      <c r="O54" s="81">
        <f t="shared" si="14"/>
        <v>0</v>
      </c>
      <c r="P54" s="81">
        <f t="shared" si="14"/>
        <v>0</v>
      </c>
      <c r="X54"/>
      <c r="Y54"/>
      <c r="Z54"/>
      <c r="AA54"/>
      <c r="AB54"/>
      <c r="AC54"/>
      <c r="AD54"/>
      <c r="AE54"/>
      <c r="AF54"/>
      <c r="AG54"/>
      <c r="AH54"/>
    </row>
    <row r="55" spans="1:34">
      <c r="A55" s="80">
        <f>A50</f>
        <v>20110629</v>
      </c>
      <c r="B55" s="110" t="s">
        <v>606</v>
      </c>
      <c r="C55" s="110" t="str">
        <f>A55&amp;B55</f>
        <v>20110629LS</v>
      </c>
      <c r="D55" s="114" t="s">
        <v>756</v>
      </c>
      <c r="E55" s="110" t="str">
        <f>A55&amp;D55</f>
        <v>20110629LE_962Base</v>
      </c>
      <c r="F55" s="83">
        <v>3.62</v>
      </c>
      <c r="G55" s="83">
        <v>0</v>
      </c>
      <c r="H55" s="83">
        <v>0</v>
      </c>
      <c r="I55" s="83">
        <v>0</v>
      </c>
      <c r="J55" s="83">
        <v>0</v>
      </c>
      <c r="K55" s="83">
        <v>0</v>
      </c>
      <c r="L55" s="83">
        <v>0</v>
      </c>
      <c r="M55" s="83">
        <f>F55-K55-L55</f>
        <v>3.62</v>
      </c>
      <c r="N55" s="81">
        <f t="shared" si="14"/>
        <v>0</v>
      </c>
      <c r="O55" s="81">
        <f t="shared" si="14"/>
        <v>0</v>
      </c>
      <c r="P55" s="81">
        <f t="shared" si="14"/>
        <v>0</v>
      </c>
      <c r="X55"/>
      <c r="Y55"/>
      <c r="Z55"/>
      <c r="AA55"/>
      <c r="AB55"/>
      <c r="AC55"/>
      <c r="AD55"/>
      <c r="AE55"/>
      <c r="AF55"/>
      <c r="AG55"/>
      <c r="AH55"/>
    </row>
    <row r="56" spans="1:34">
      <c r="A56" s="80">
        <f>A51</f>
        <v>20110629</v>
      </c>
      <c r="B56" s="110" t="s">
        <v>606</v>
      </c>
      <c r="C56" s="110" t="str">
        <f t="shared" si="9"/>
        <v>20110629LS</v>
      </c>
      <c r="D56" s="114" t="s">
        <v>759</v>
      </c>
      <c r="E56" s="110" t="str">
        <f t="shared" si="10"/>
        <v>20110629LE_963Base</v>
      </c>
      <c r="F56" s="83">
        <v>3.81</v>
      </c>
      <c r="G56" s="83">
        <v>0</v>
      </c>
      <c r="H56" s="83">
        <v>0</v>
      </c>
      <c r="I56" s="83">
        <v>0</v>
      </c>
      <c r="J56" s="83">
        <v>0</v>
      </c>
      <c r="K56" s="83">
        <v>0</v>
      </c>
      <c r="L56" s="83">
        <v>0</v>
      </c>
      <c r="M56" s="83">
        <f t="shared" si="11"/>
        <v>3.81</v>
      </c>
      <c r="N56" s="81">
        <f t="shared" si="14"/>
        <v>0</v>
      </c>
      <c r="O56" s="81">
        <f t="shared" si="14"/>
        <v>0</v>
      </c>
      <c r="P56" s="81">
        <f t="shared" si="14"/>
        <v>0</v>
      </c>
      <c r="X56"/>
      <c r="Y56"/>
      <c r="Z56"/>
      <c r="AA56"/>
      <c r="AB56"/>
      <c r="AC56"/>
      <c r="AD56"/>
      <c r="AE56"/>
      <c r="AF56"/>
      <c r="AG56"/>
      <c r="AH56"/>
    </row>
    <row r="57" spans="1:34">
      <c r="A57" s="9">
        <v>20120301</v>
      </c>
      <c r="B57" s="105" t="s">
        <v>498</v>
      </c>
      <c r="C57" s="105" t="str">
        <f t="shared" ref="C57:C67" si="15">A57&amp;B57</f>
        <v>20120301RLS</v>
      </c>
      <c r="D57" s="105" t="s">
        <v>665</v>
      </c>
      <c r="E57" s="105" t="str">
        <f t="shared" ref="E57:E67" si="16">A57&amp;D57</f>
        <v>20120301LE_900Pole</v>
      </c>
      <c r="F57" s="106">
        <v>1.99</v>
      </c>
      <c r="G57" s="106">
        <v>0</v>
      </c>
      <c r="H57" s="106">
        <v>0</v>
      </c>
      <c r="I57" s="106">
        <v>0</v>
      </c>
      <c r="J57" s="106">
        <v>0</v>
      </c>
      <c r="K57" s="106">
        <v>0</v>
      </c>
      <c r="L57" s="106">
        <v>0</v>
      </c>
      <c r="M57" s="106">
        <f t="shared" ref="M57:M67" si="17">F57-K57-L57</f>
        <v>1.99</v>
      </c>
      <c r="N57" s="107">
        <f t="shared" si="14"/>
        <v>0</v>
      </c>
      <c r="O57" s="107">
        <f t="shared" si="14"/>
        <v>0</v>
      </c>
      <c r="P57" s="107">
        <f t="shared" si="14"/>
        <v>0</v>
      </c>
    </row>
    <row r="58" spans="1:34">
      <c r="A58" s="9">
        <v>20120301</v>
      </c>
      <c r="B58" s="105" t="s">
        <v>498</v>
      </c>
      <c r="C58" s="105" t="str">
        <f t="shared" si="15"/>
        <v>20120301RLS</v>
      </c>
      <c r="D58" s="105" t="s">
        <v>666</v>
      </c>
      <c r="E58" s="105" t="str">
        <f t="shared" si="16"/>
        <v>20120301LE_901Pole</v>
      </c>
      <c r="F58" s="106">
        <v>10.44</v>
      </c>
      <c r="G58" s="106">
        <v>0</v>
      </c>
      <c r="H58" s="106">
        <v>0</v>
      </c>
      <c r="I58" s="106">
        <v>0</v>
      </c>
      <c r="J58" s="106">
        <v>0</v>
      </c>
      <c r="K58" s="106">
        <v>0</v>
      </c>
      <c r="L58" s="106">
        <v>0</v>
      </c>
      <c r="M58" s="106">
        <f t="shared" si="17"/>
        <v>10.44</v>
      </c>
      <c r="N58" s="107">
        <f t="shared" si="14"/>
        <v>0</v>
      </c>
      <c r="O58" s="107">
        <f t="shared" si="14"/>
        <v>0</v>
      </c>
      <c r="P58" s="107">
        <f t="shared" si="14"/>
        <v>0</v>
      </c>
    </row>
    <row r="59" spans="1:34">
      <c r="A59" s="9">
        <v>20120301</v>
      </c>
      <c r="B59" s="105" t="s">
        <v>498</v>
      </c>
      <c r="C59" s="105" t="str">
        <f t="shared" si="15"/>
        <v>20120301RLS</v>
      </c>
      <c r="D59" s="105" t="s">
        <v>667</v>
      </c>
      <c r="E59" s="105" t="str">
        <f t="shared" si="16"/>
        <v>20120301LE_902Pole</v>
      </c>
      <c r="F59" s="106">
        <v>12.46</v>
      </c>
      <c r="G59" s="106">
        <v>0</v>
      </c>
      <c r="H59" s="106">
        <v>0</v>
      </c>
      <c r="I59" s="106">
        <v>0</v>
      </c>
      <c r="J59" s="106">
        <v>0</v>
      </c>
      <c r="K59" s="106">
        <v>0</v>
      </c>
      <c r="L59" s="106">
        <v>0</v>
      </c>
      <c r="M59" s="106">
        <f t="shared" si="17"/>
        <v>12.46</v>
      </c>
      <c r="N59" s="107">
        <f t="shared" si="14"/>
        <v>0</v>
      </c>
      <c r="O59" s="107">
        <f t="shared" si="14"/>
        <v>0</v>
      </c>
      <c r="P59" s="107">
        <f t="shared" si="14"/>
        <v>0</v>
      </c>
    </row>
    <row r="60" spans="1:34">
      <c r="A60" s="9">
        <v>20120301</v>
      </c>
      <c r="B60" s="105" t="s">
        <v>498</v>
      </c>
      <c r="C60" s="105" t="str">
        <f t="shared" si="15"/>
        <v>20120301RLS</v>
      </c>
      <c r="D60" s="105" t="s">
        <v>671</v>
      </c>
      <c r="E60" s="105" t="str">
        <f t="shared" si="16"/>
        <v>20120301LE_950Base</v>
      </c>
      <c r="F60" s="106">
        <v>3.35</v>
      </c>
      <c r="G60" s="106">
        <v>0</v>
      </c>
      <c r="H60" s="106">
        <v>0</v>
      </c>
      <c r="I60" s="106">
        <v>0</v>
      </c>
      <c r="J60" s="106">
        <v>0</v>
      </c>
      <c r="K60" s="106">
        <v>0</v>
      </c>
      <c r="L60" s="106">
        <v>0</v>
      </c>
      <c r="M60" s="106">
        <f t="shared" si="17"/>
        <v>3.35</v>
      </c>
      <c r="N60" s="107">
        <f t="shared" si="14"/>
        <v>0</v>
      </c>
      <c r="O60" s="107">
        <f t="shared" si="14"/>
        <v>0</v>
      </c>
      <c r="P60" s="107">
        <f t="shared" si="14"/>
        <v>0</v>
      </c>
    </row>
    <row r="61" spans="1:34">
      <c r="A61" s="9">
        <v>20120301</v>
      </c>
      <c r="B61" s="105" t="s">
        <v>498</v>
      </c>
      <c r="C61" s="105" t="str">
        <f t="shared" si="15"/>
        <v>20120301RLS</v>
      </c>
      <c r="D61" s="105" t="s">
        <v>672</v>
      </c>
      <c r="E61" s="105" t="str">
        <f t="shared" si="16"/>
        <v>20120301LE_951Base</v>
      </c>
      <c r="F61" s="106">
        <v>3.6</v>
      </c>
      <c r="G61" s="106">
        <v>0</v>
      </c>
      <c r="H61" s="106">
        <v>0</v>
      </c>
      <c r="I61" s="106">
        <v>0</v>
      </c>
      <c r="J61" s="106">
        <v>0</v>
      </c>
      <c r="K61" s="106">
        <v>0</v>
      </c>
      <c r="L61" s="106">
        <v>0</v>
      </c>
      <c r="M61" s="106">
        <f t="shared" si="17"/>
        <v>3.6</v>
      </c>
      <c r="N61" s="107">
        <f t="shared" si="14"/>
        <v>0</v>
      </c>
      <c r="O61" s="107">
        <f t="shared" si="14"/>
        <v>0</v>
      </c>
      <c r="P61" s="107">
        <f t="shared" si="14"/>
        <v>0</v>
      </c>
    </row>
    <row r="62" spans="1:34">
      <c r="A62" s="9">
        <v>20120301</v>
      </c>
      <c r="B62" s="105" t="s">
        <v>498</v>
      </c>
      <c r="C62" s="105" t="str">
        <f t="shared" si="15"/>
        <v>20120301RLS</v>
      </c>
      <c r="D62" s="105" t="s">
        <v>673</v>
      </c>
      <c r="E62" s="105" t="str">
        <f t="shared" si="16"/>
        <v>20120301LE_952Base</v>
      </c>
      <c r="F62" s="106">
        <v>3.62</v>
      </c>
      <c r="G62" s="106">
        <v>0</v>
      </c>
      <c r="H62" s="106">
        <v>0</v>
      </c>
      <c r="I62" s="106">
        <v>0</v>
      </c>
      <c r="J62" s="106">
        <v>0</v>
      </c>
      <c r="K62" s="106">
        <v>0</v>
      </c>
      <c r="L62" s="106">
        <v>0</v>
      </c>
      <c r="M62" s="106">
        <f t="shared" si="17"/>
        <v>3.62</v>
      </c>
      <c r="N62" s="107">
        <f t="shared" si="14"/>
        <v>0</v>
      </c>
      <c r="O62" s="107">
        <f t="shared" si="14"/>
        <v>0</v>
      </c>
      <c r="P62" s="107">
        <f t="shared" si="14"/>
        <v>0</v>
      </c>
    </row>
    <row r="63" spans="1:34">
      <c r="A63" s="9">
        <v>20120301</v>
      </c>
      <c r="B63" s="105" t="s">
        <v>498</v>
      </c>
      <c r="C63" s="105" t="str">
        <f t="shared" si="15"/>
        <v>20120301RLS</v>
      </c>
      <c r="D63" s="105" t="s">
        <v>674</v>
      </c>
      <c r="E63" s="105" t="str">
        <f t="shared" si="16"/>
        <v>20120301LE_953Base</v>
      </c>
      <c r="F63" s="106">
        <v>3.81</v>
      </c>
      <c r="G63" s="106">
        <v>0</v>
      </c>
      <c r="H63" s="106">
        <v>0</v>
      </c>
      <c r="I63" s="106">
        <v>0</v>
      </c>
      <c r="J63" s="106">
        <v>0</v>
      </c>
      <c r="K63" s="106">
        <v>0</v>
      </c>
      <c r="L63" s="106">
        <v>0</v>
      </c>
      <c r="M63" s="106">
        <f t="shared" si="17"/>
        <v>3.81</v>
      </c>
      <c r="N63" s="107">
        <f t="shared" si="14"/>
        <v>0</v>
      </c>
      <c r="O63" s="107">
        <f t="shared" si="14"/>
        <v>0</v>
      </c>
      <c r="P63" s="107">
        <f t="shared" si="14"/>
        <v>0</v>
      </c>
    </row>
    <row r="64" spans="1:34">
      <c r="A64" s="9">
        <v>20120301</v>
      </c>
      <c r="B64" s="105" t="s">
        <v>606</v>
      </c>
      <c r="C64" s="105" t="str">
        <f t="shared" si="15"/>
        <v>20120301LS</v>
      </c>
      <c r="D64" s="105" t="s">
        <v>675</v>
      </c>
      <c r="E64" s="105" t="str">
        <f t="shared" si="16"/>
        <v>20120301LE_954Base</v>
      </c>
      <c r="F64" s="106">
        <v>2.83</v>
      </c>
      <c r="G64" s="106">
        <v>0</v>
      </c>
      <c r="H64" s="106">
        <v>0</v>
      </c>
      <c r="I64" s="106">
        <v>0</v>
      </c>
      <c r="J64" s="106">
        <v>0</v>
      </c>
      <c r="K64" s="106">
        <v>0</v>
      </c>
      <c r="L64" s="106">
        <v>0</v>
      </c>
      <c r="M64" s="106">
        <f t="shared" si="17"/>
        <v>2.83</v>
      </c>
      <c r="N64" s="107">
        <f t="shared" si="14"/>
        <v>0</v>
      </c>
      <c r="O64" s="107">
        <f t="shared" si="14"/>
        <v>0</v>
      </c>
      <c r="P64" s="107">
        <f t="shared" si="14"/>
        <v>0</v>
      </c>
    </row>
    <row r="65" spans="1:16">
      <c r="A65" s="9">
        <v>20120301</v>
      </c>
      <c r="B65" s="105" t="s">
        <v>606</v>
      </c>
      <c r="C65" s="105" t="str">
        <f t="shared" si="15"/>
        <v>20120301LS</v>
      </c>
      <c r="D65" s="105" t="s">
        <v>676</v>
      </c>
      <c r="E65" s="105" t="str">
        <f t="shared" si="16"/>
        <v>20120301LE_955Base</v>
      </c>
      <c r="F65" s="106">
        <v>2.83</v>
      </c>
      <c r="G65" s="106">
        <v>0</v>
      </c>
      <c r="H65" s="106">
        <v>0</v>
      </c>
      <c r="I65" s="106">
        <v>0</v>
      </c>
      <c r="J65" s="106">
        <v>0</v>
      </c>
      <c r="K65" s="106">
        <v>0</v>
      </c>
      <c r="L65" s="106">
        <v>0</v>
      </c>
      <c r="M65" s="106">
        <f t="shared" si="17"/>
        <v>2.83</v>
      </c>
      <c r="N65" s="107">
        <f t="shared" ref="N65:N76" si="18">IF(H65=0,0,H65-$K65-$L65)</f>
        <v>0</v>
      </c>
      <c r="O65" s="107">
        <f t="shared" ref="O65:O76" si="19">IF(I65=0,0,I65-$K65-$L65)</f>
        <v>0</v>
      </c>
      <c r="P65" s="107">
        <f t="shared" ref="P65:P76" si="20">IF(J65=0,0,J65-$K65-$L65)</f>
        <v>0</v>
      </c>
    </row>
    <row r="66" spans="1:16">
      <c r="A66" s="9">
        <v>20120301</v>
      </c>
      <c r="B66" s="105" t="s">
        <v>606</v>
      </c>
      <c r="C66" s="105" t="str">
        <f t="shared" si="15"/>
        <v>20120301LS</v>
      </c>
      <c r="D66" s="105" t="s">
        <v>677</v>
      </c>
      <c r="E66" s="105" t="str">
        <f t="shared" si="16"/>
        <v>20120301LE_956Base</v>
      </c>
      <c r="F66" s="106">
        <v>2.83</v>
      </c>
      <c r="G66" s="106">
        <v>0</v>
      </c>
      <c r="H66" s="106">
        <v>0</v>
      </c>
      <c r="I66" s="106">
        <v>0</v>
      </c>
      <c r="J66" s="106">
        <v>0</v>
      </c>
      <c r="K66" s="106">
        <v>0</v>
      </c>
      <c r="L66" s="106">
        <v>0</v>
      </c>
      <c r="M66" s="106">
        <f t="shared" si="17"/>
        <v>2.83</v>
      </c>
      <c r="N66" s="107">
        <f t="shared" si="18"/>
        <v>0</v>
      </c>
      <c r="O66" s="107">
        <f t="shared" si="19"/>
        <v>0</v>
      </c>
      <c r="P66" s="107">
        <f t="shared" si="20"/>
        <v>0</v>
      </c>
    </row>
    <row r="67" spans="1:16">
      <c r="A67" s="9">
        <v>20120301</v>
      </c>
      <c r="B67" s="105" t="s">
        <v>606</v>
      </c>
      <c r="C67" s="105" t="str">
        <f t="shared" si="15"/>
        <v>20120301LS</v>
      </c>
      <c r="D67" s="105" t="s">
        <v>678</v>
      </c>
      <c r="E67" s="105" t="str">
        <f t="shared" si="16"/>
        <v>20120301LE_957Base</v>
      </c>
      <c r="F67" s="106">
        <v>3</v>
      </c>
      <c r="G67" s="106">
        <v>0</v>
      </c>
      <c r="H67" s="106">
        <v>0</v>
      </c>
      <c r="I67" s="106">
        <v>0</v>
      </c>
      <c r="J67" s="106">
        <v>0</v>
      </c>
      <c r="K67" s="106">
        <v>0</v>
      </c>
      <c r="L67" s="106">
        <v>0</v>
      </c>
      <c r="M67" s="106">
        <f t="shared" si="17"/>
        <v>3</v>
      </c>
      <c r="N67" s="107">
        <f t="shared" si="18"/>
        <v>0</v>
      </c>
      <c r="O67" s="107">
        <f t="shared" si="19"/>
        <v>0</v>
      </c>
      <c r="P67" s="107">
        <f t="shared" si="20"/>
        <v>0</v>
      </c>
    </row>
    <row r="68" spans="1:16">
      <c r="A68" s="9">
        <v>20120301</v>
      </c>
      <c r="B68" s="105" t="s">
        <v>606</v>
      </c>
      <c r="C68" s="105" t="str">
        <f>A68&amp;B68</f>
        <v>20120301LS</v>
      </c>
      <c r="D68" s="105" t="s">
        <v>679</v>
      </c>
      <c r="E68" s="105" t="str">
        <f>A68&amp;D68</f>
        <v>20120301LE_958Pole</v>
      </c>
      <c r="F68" s="106">
        <v>10.92</v>
      </c>
      <c r="G68" s="106">
        <v>0</v>
      </c>
      <c r="H68" s="106">
        <v>0</v>
      </c>
      <c r="I68" s="106">
        <v>0</v>
      </c>
      <c r="J68" s="106">
        <v>0</v>
      </c>
      <c r="K68" s="106">
        <v>0</v>
      </c>
      <c r="L68" s="106">
        <v>0</v>
      </c>
      <c r="M68" s="106">
        <f>F68-K68-L68</f>
        <v>10.92</v>
      </c>
      <c r="N68" s="107">
        <f t="shared" si="18"/>
        <v>0</v>
      </c>
      <c r="O68" s="107">
        <f t="shared" si="19"/>
        <v>0</v>
      </c>
      <c r="P68" s="107">
        <f t="shared" si="20"/>
        <v>0</v>
      </c>
    </row>
    <row r="69" spans="1:16">
      <c r="A69" s="7">
        <v>20130101</v>
      </c>
      <c r="B69" s="108" t="s">
        <v>498</v>
      </c>
      <c r="C69" s="108" t="str">
        <f t="shared" ref="C69:C79" si="21">A69&amp;B69</f>
        <v>20130101RLS</v>
      </c>
      <c r="D69" s="108" t="s">
        <v>665</v>
      </c>
      <c r="E69" s="108" t="str">
        <f t="shared" ref="E69:E79" si="22">A69&amp;D69</f>
        <v>20130101LE_900Pole</v>
      </c>
      <c r="F69" s="4">
        <v>2.06</v>
      </c>
      <c r="G69" s="4">
        <v>0</v>
      </c>
      <c r="H69" s="4">
        <v>0</v>
      </c>
      <c r="I69" s="4">
        <v>0</v>
      </c>
      <c r="J69" s="4">
        <v>0</v>
      </c>
      <c r="K69" s="4">
        <v>0</v>
      </c>
      <c r="L69" s="4">
        <v>0</v>
      </c>
      <c r="M69" s="4">
        <f t="shared" ref="M69:M79" si="23">F69-K69-L69</f>
        <v>2.06</v>
      </c>
      <c r="N69" s="5">
        <f t="shared" si="18"/>
        <v>0</v>
      </c>
      <c r="O69" s="5">
        <f t="shared" si="19"/>
        <v>0</v>
      </c>
      <c r="P69" s="5">
        <f t="shared" si="20"/>
        <v>0</v>
      </c>
    </row>
    <row r="70" spans="1:16">
      <c r="A70" s="7">
        <v>20130101</v>
      </c>
      <c r="B70" s="108" t="s">
        <v>498</v>
      </c>
      <c r="C70" s="108" t="str">
        <f t="shared" si="21"/>
        <v>20130101RLS</v>
      </c>
      <c r="D70" s="108" t="s">
        <v>666</v>
      </c>
      <c r="E70" s="108" t="str">
        <f t="shared" si="22"/>
        <v>20130101LE_901Pole</v>
      </c>
      <c r="F70" s="4">
        <v>10.81</v>
      </c>
      <c r="G70" s="4">
        <v>0</v>
      </c>
      <c r="H70" s="4">
        <v>0</v>
      </c>
      <c r="I70" s="4">
        <v>0</v>
      </c>
      <c r="J70" s="4">
        <v>0</v>
      </c>
      <c r="K70" s="4">
        <v>0</v>
      </c>
      <c r="L70" s="4">
        <v>0</v>
      </c>
      <c r="M70" s="4">
        <f t="shared" si="23"/>
        <v>10.81</v>
      </c>
      <c r="N70" s="5">
        <f t="shared" si="18"/>
        <v>0</v>
      </c>
      <c r="O70" s="5">
        <f t="shared" si="19"/>
        <v>0</v>
      </c>
      <c r="P70" s="5">
        <f t="shared" si="20"/>
        <v>0</v>
      </c>
    </row>
    <row r="71" spans="1:16">
      <c r="A71" s="7">
        <v>20130101</v>
      </c>
      <c r="B71" s="108" t="s">
        <v>498</v>
      </c>
      <c r="C71" s="108" t="str">
        <f t="shared" si="21"/>
        <v>20130101RLS</v>
      </c>
      <c r="D71" s="108" t="s">
        <v>667</v>
      </c>
      <c r="E71" s="108" t="str">
        <f t="shared" si="22"/>
        <v>20130101LE_902Pole</v>
      </c>
      <c r="F71" s="4">
        <v>12.9</v>
      </c>
      <c r="G71" s="4">
        <v>0</v>
      </c>
      <c r="H71" s="4">
        <v>0</v>
      </c>
      <c r="I71" s="4">
        <v>0</v>
      </c>
      <c r="J71" s="4">
        <v>0</v>
      </c>
      <c r="K71" s="4">
        <v>0</v>
      </c>
      <c r="L71" s="4">
        <v>0</v>
      </c>
      <c r="M71" s="4">
        <f t="shared" si="23"/>
        <v>12.9</v>
      </c>
      <c r="N71" s="5">
        <f t="shared" si="18"/>
        <v>0</v>
      </c>
      <c r="O71" s="5">
        <f t="shared" si="19"/>
        <v>0</v>
      </c>
      <c r="P71" s="5">
        <f t="shared" si="20"/>
        <v>0</v>
      </c>
    </row>
    <row r="72" spans="1:16">
      <c r="A72" s="7">
        <v>20130101</v>
      </c>
      <c r="B72" s="108" t="s">
        <v>498</v>
      </c>
      <c r="C72" s="108" t="str">
        <f t="shared" si="21"/>
        <v>20130101RLS</v>
      </c>
      <c r="D72" s="108" t="s">
        <v>671</v>
      </c>
      <c r="E72" s="108" t="str">
        <f t="shared" si="22"/>
        <v>20130101LE_950Base</v>
      </c>
      <c r="F72" s="4">
        <v>3.47</v>
      </c>
      <c r="G72" s="4">
        <v>0</v>
      </c>
      <c r="H72" s="4">
        <v>0</v>
      </c>
      <c r="I72" s="4">
        <v>0</v>
      </c>
      <c r="J72" s="4">
        <v>0</v>
      </c>
      <c r="K72" s="4">
        <v>0</v>
      </c>
      <c r="L72" s="4">
        <v>0</v>
      </c>
      <c r="M72" s="4">
        <f t="shared" si="23"/>
        <v>3.47</v>
      </c>
      <c r="N72" s="5">
        <f t="shared" si="18"/>
        <v>0</v>
      </c>
      <c r="O72" s="5">
        <f t="shared" si="19"/>
        <v>0</v>
      </c>
      <c r="P72" s="5">
        <f t="shared" si="20"/>
        <v>0</v>
      </c>
    </row>
    <row r="73" spans="1:16">
      <c r="A73" s="7">
        <v>20130101</v>
      </c>
      <c r="B73" s="108" t="s">
        <v>498</v>
      </c>
      <c r="C73" s="108" t="str">
        <f t="shared" si="21"/>
        <v>20130101RLS</v>
      </c>
      <c r="D73" s="108" t="s">
        <v>672</v>
      </c>
      <c r="E73" s="108" t="str">
        <f t="shared" si="22"/>
        <v>20130101LE_951Base</v>
      </c>
      <c r="F73" s="4">
        <v>3.73</v>
      </c>
      <c r="G73" s="4">
        <v>0</v>
      </c>
      <c r="H73" s="4">
        <v>0</v>
      </c>
      <c r="I73" s="4">
        <v>0</v>
      </c>
      <c r="J73" s="4">
        <v>0</v>
      </c>
      <c r="K73" s="4">
        <v>0</v>
      </c>
      <c r="L73" s="4">
        <v>0</v>
      </c>
      <c r="M73" s="4">
        <f t="shared" si="23"/>
        <v>3.73</v>
      </c>
      <c r="N73" s="5">
        <f t="shared" si="18"/>
        <v>0</v>
      </c>
      <c r="O73" s="5">
        <f t="shared" si="19"/>
        <v>0</v>
      </c>
      <c r="P73" s="5">
        <f t="shared" si="20"/>
        <v>0</v>
      </c>
    </row>
    <row r="74" spans="1:16">
      <c r="A74" s="7">
        <v>20130101</v>
      </c>
      <c r="B74" s="108" t="s">
        <v>498</v>
      </c>
      <c r="C74" s="108" t="str">
        <f t="shared" si="21"/>
        <v>20130101RLS</v>
      </c>
      <c r="D74" s="108" t="s">
        <v>673</v>
      </c>
      <c r="E74" s="108" t="str">
        <f t="shared" si="22"/>
        <v>20130101LE_952Base</v>
      </c>
      <c r="F74" s="4">
        <v>3.56</v>
      </c>
      <c r="G74" s="4">
        <v>0</v>
      </c>
      <c r="H74" s="4">
        <v>0</v>
      </c>
      <c r="I74" s="4">
        <v>0</v>
      </c>
      <c r="J74" s="4">
        <v>0</v>
      </c>
      <c r="K74" s="4">
        <v>0</v>
      </c>
      <c r="L74" s="4">
        <v>0</v>
      </c>
      <c r="M74" s="4">
        <f t="shared" si="23"/>
        <v>3.56</v>
      </c>
      <c r="N74" s="5">
        <f t="shared" si="18"/>
        <v>0</v>
      </c>
      <c r="O74" s="5">
        <f t="shared" si="19"/>
        <v>0</v>
      </c>
      <c r="P74" s="5">
        <f t="shared" si="20"/>
        <v>0</v>
      </c>
    </row>
    <row r="75" spans="1:16">
      <c r="A75" s="7">
        <v>20130101</v>
      </c>
      <c r="B75" s="108" t="s">
        <v>498</v>
      </c>
      <c r="C75" s="108" t="str">
        <f t="shared" si="21"/>
        <v>20130101RLS</v>
      </c>
      <c r="D75" s="108" t="s">
        <v>674</v>
      </c>
      <c r="E75" s="108" t="str">
        <f t="shared" si="22"/>
        <v>20130101LE_953Base</v>
      </c>
      <c r="F75" s="4">
        <v>3.73</v>
      </c>
      <c r="G75" s="4">
        <v>0</v>
      </c>
      <c r="H75" s="4">
        <v>0</v>
      </c>
      <c r="I75" s="4">
        <v>0</v>
      </c>
      <c r="J75" s="4">
        <v>0</v>
      </c>
      <c r="K75" s="4">
        <v>0</v>
      </c>
      <c r="L75" s="4">
        <v>0</v>
      </c>
      <c r="M75" s="4">
        <f t="shared" si="23"/>
        <v>3.73</v>
      </c>
      <c r="N75" s="5">
        <f t="shared" si="18"/>
        <v>0</v>
      </c>
      <c r="O75" s="5">
        <f t="shared" si="19"/>
        <v>0</v>
      </c>
      <c r="P75" s="5">
        <f t="shared" si="20"/>
        <v>0</v>
      </c>
    </row>
    <row r="76" spans="1:16">
      <c r="A76" s="7">
        <v>20130101</v>
      </c>
      <c r="B76" s="108" t="s">
        <v>606</v>
      </c>
      <c r="C76" s="108" t="str">
        <f t="shared" ref="C76" si="24">A76&amp;B76</f>
        <v>20130101LS</v>
      </c>
      <c r="D76" s="112" t="s">
        <v>675</v>
      </c>
      <c r="E76" s="108" t="str">
        <f t="shared" ref="E76" si="25">A76&amp;D76</f>
        <v>20130101LE_954Base</v>
      </c>
      <c r="F76" s="4">
        <v>3.47</v>
      </c>
      <c r="G76" s="4">
        <v>0</v>
      </c>
      <c r="H76" s="4">
        <v>0</v>
      </c>
      <c r="I76" s="4">
        <v>0</v>
      </c>
      <c r="J76" s="4">
        <v>0</v>
      </c>
      <c r="K76" s="4">
        <v>0</v>
      </c>
      <c r="L76" s="4">
        <v>0</v>
      </c>
      <c r="M76" s="4">
        <f t="shared" ref="M76" si="26">F76-K76-L76</f>
        <v>3.47</v>
      </c>
      <c r="N76" s="5">
        <f t="shared" si="18"/>
        <v>0</v>
      </c>
      <c r="O76" s="5">
        <f t="shared" si="19"/>
        <v>0</v>
      </c>
      <c r="P76" s="5">
        <f t="shared" si="20"/>
        <v>0</v>
      </c>
    </row>
    <row r="77" spans="1:16">
      <c r="A77" s="7">
        <v>20130101</v>
      </c>
      <c r="B77" s="108" t="s">
        <v>606</v>
      </c>
      <c r="C77" s="108" t="str">
        <f t="shared" si="21"/>
        <v>20130101LS</v>
      </c>
      <c r="D77" s="108" t="s">
        <v>676</v>
      </c>
      <c r="E77" s="108" t="str">
        <f t="shared" si="22"/>
        <v>20130101LE_955Base</v>
      </c>
      <c r="F77" s="4">
        <v>3.56</v>
      </c>
      <c r="G77" s="4">
        <v>0</v>
      </c>
      <c r="H77" s="4">
        <v>0</v>
      </c>
      <c r="I77" s="4">
        <v>0</v>
      </c>
      <c r="J77" s="4">
        <v>0</v>
      </c>
      <c r="K77" s="4">
        <v>0</v>
      </c>
      <c r="L77" s="4">
        <v>0</v>
      </c>
      <c r="M77" s="4">
        <f t="shared" si="23"/>
        <v>3.56</v>
      </c>
      <c r="N77" s="5">
        <f t="shared" ref="N77:N87" si="27">IF(H77=0,0,H77-$K77-$L77)</f>
        <v>0</v>
      </c>
      <c r="O77" s="5">
        <f t="shared" ref="O77:O87" si="28">IF(I77=0,0,I77-$K77-$L77)</f>
        <v>0</v>
      </c>
      <c r="P77" s="5">
        <f t="shared" ref="P77:P87" si="29">IF(J77=0,0,J77-$K77-$L77)</f>
        <v>0</v>
      </c>
    </row>
    <row r="78" spans="1:16">
      <c r="A78" s="7">
        <v>20130101</v>
      </c>
      <c r="B78" s="108" t="s">
        <v>606</v>
      </c>
      <c r="C78" s="108" t="str">
        <f t="shared" si="21"/>
        <v>20130101LS</v>
      </c>
      <c r="D78" s="108" t="s">
        <v>677</v>
      </c>
      <c r="E78" s="108" t="str">
        <f t="shared" si="22"/>
        <v>20130101LE_956Base</v>
      </c>
      <c r="F78" s="4">
        <v>3.56</v>
      </c>
      <c r="G78" s="4">
        <v>0</v>
      </c>
      <c r="H78" s="4">
        <v>0</v>
      </c>
      <c r="I78" s="4">
        <v>0</v>
      </c>
      <c r="J78" s="4">
        <v>0</v>
      </c>
      <c r="K78" s="4">
        <v>0</v>
      </c>
      <c r="L78" s="4">
        <v>0</v>
      </c>
      <c r="M78" s="4">
        <f t="shared" si="23"/>
        <v>3.56</v>
      </c>
      <c r="N78" s="5">
        <f t="shared" si="27"/>
        <v>0</v>
      </c>
      <c r="O78" s="5">
        <f t="shared" si="28"/>
        <v>0</v>
      </c>
      <c r="P78" s="5">
        <f t="shared" si="29"/>
        <v>0</v>
      </c>
    </row>
    <row r="79" spans="1:16">
      <c r="A79" s="7">
        <v>20130101</v>
      </c>
      <c r="B79" s="108" t="s">
        <v>606</v>
      </c>
      <c r="C79" s="108" t="str">
        <f t="shared" si="21"/>
        <v>20130101LS</v>
      </c>
      <c r="D79" s="108" t="s">
        <v>678</v>
      </c>
      <c r="E79" s="108" t="str">
        <f t="shared" si="22"/>
        <v>20130101LE_957Base</v>
      </c>
      <c r="F79" s="4">
        <v>3.56</v>
      </c>
      <c r="G79" s="4">
        <v>0</v>
      </c>
      <c r="H79" s="4">
        <v>0</v>
      </c>
      <c r="I79" s="4">
        <v>0</v>
      </c>
      <c r="J79" s="4">
        <v>0</v>
      </c>
      <c r="K79" s="4">
        <v>0</v>
      </c>
      <c r="L79" s="4">
        <v>0</v>
      </c>
      <c r="M79" s="4">
        <f t="shared" si="23"/>
        <v>3.56</v>
      </c>
      <c r="N79" s="5">
        <f t="shared" si="27"/>
        <v>0</v>
      </c>
      <c r="O79" s="5">
        <f t="shared" si="28"/>
        <v>0</v>
      </c>
      <c r="P79" s="5">
        <f t="shared" si="29"/>
        <v>0</v>
      </c>
    </row>
    <row r="80" spans="1:16">
      <c r="A80" s="7">
        <v>20130101</v>
      </c>
      <c r="B80" s="108" t="s">
        <v>606</v>
      </c>
      <c r="C80" s="108" t="str">
        <f>A80&amp;B80</f>
        <v>20130101LS</v>
      </c>
      <c r="D80" s="108" t="s">
        <v>679</v>
      </c>
      <c r="E80" s="108" t="str">
        <f>A80&amp;D80</f>
        <v>20130101LE_958Pole</v>
      </c>
      <c r="F80" s="4">
        <v>11.31</v>
      </c>
      <c r="G80" s="4">
        <v>0</v>
      </c>
      <c r="H80" s="4">
        <v>0</v>
      </c>
      <c r="I80" s="4">
        <v>0</v>
      </c>
      <c r="J80" s="4">
        <v>0</v>
      </c>
      <c r="K80" s="4">
        <v>0</v>
      </c>
      <c r="L80" s="4">
        <v>0</v>
      </c>
      <c r="M80" s="4">
        <f>F80-K80-L80</f>
        <v>11.31</v>
      </c>
      <c r="N80" s="5">
        <f t="shared" si="27"/>
        <v>0</v>
      </c>
      <c r="O80" s="5">
        <f t="shared" si="28"/>
        <v>0</v>
      </c>
      <c r="P80" s="5">
        <f t="shared" si="29"/>
        <v>0</v>
      </c>
    </row>
    <row r="81" spans="1:16">
      <c r="A81" s="80">
        <v>20130701</v>
      </c>
      <c r="B81" s="110" t="s">
        <v>498</v>
      </c>
      <c r="C81" s="110" t="str">
        <f t="shared" ref="C81:C91" si="30">A81&amp;B81</f>
        <v>20130701RLS</v>
      </c>
      <c r="D81" s="110" t="s">
        <v>665</v>
      </c>
      <c r="E81" s="110" t="str">
        <f t="shared" ref="E81:E91" si="31">A81&amp;D81</f>
        <v>20130701LE_900Pole</v>
      </c>
      <c r="F81" s="83">
        <v>2.06</v>
      </c>
      <c r="G81" s="83">
        <v>0</v>
      </c>
      <c r="H81" s="83">
        <v>0</v>
      </c>
      <c r="I81" s="83">
        <v>0</v>
      </c>
      <c r="J81" s="83">
        <v>0</v>
      </c>
      <c r="K81" s="83">
        <v>0</v>
      </c>
      <c r="L81" s="83">
        <v>0</v>
      </c>
      <c r="M81" s="83">
        <f t="shared" ref="M81:M91" si="32">F81-K81-L81</f>
        <v>2.06</v>
      </c>
      <c r="N81" s="81">
        <f t="shared" si="27"/>
        <v>0</v>
      </c>
      <c r="O81" s="81">
        <f t="shared" si="28"/>
        <v>0</v>
      </c>
      <c r="P81" s="81">
        <f t="shared" si="29"/>
        <v>0</v>
      </c>
    </row>
    <row r="82" spans="1:16">
      <c r="A82" s="80">
        <v>20130701</v>
      </c>
      <c r="B82" s="110" t="s">
        <v>498</v>
      </c>
      <c r="C82" s="110" t="str">
        <f t="shared" si="30"/>
        <v>20130701RLS</v>
      </c>
      <c r="D82" s="110" t="s">
        <v>666</v>
      </c>
      <c r="E82" s="110" t="str">
        <f t="shared" si="31"/>
        <v>20130701LE_901Pole</v>
      </c>
      <c r="F82" s="83">
        <v>10.81</v>
      </c>
      <c r="G82" s="83">
        <v>0</v>
      </c>
      <c r="H82" s="83">
        <v>0</v>
      </c>
      <c r="I82" s="83">
        <v>0</v>
      </c>
      <c r="J82" s="83">
        <v>0</v>
      </c>
      <c r="K82" s="83">
        <v>0</v>
      </c>
      <c r="L82" s="83">
        <v>0</v>
      </c>
      <c r="M82" s="83">
        <f t="shared" si="32"/>
        <v>10.81</v>
      </c>
      <c r="N82" s="81">
        <f t="shared" si="27"/>
        <v>0</v>
      </c>
      <c r="O82" s="81">
        <f t="shared" si="28"/>
        <v>0</v>
      </c>
      <c r="P82" s="81">
        <f t="shared" si="29"/>
        <v>0</v>
      </c>
    </row>
    <row r="83" spans="1:16">
      <c r="A83" s="80">
        <v>20130701</v>
      </c>
      <c r="B83" s="110" t="s">
        <v>498</v>
      </c>
      <c r="C83" s="110" t="str">
        <f t="shared" si="30"/>
        <v>20130701RLS</v>
      </c>
      <c r="D83" s="110" t="s">
        <v>667</v>
      </c>
      <c r="E83" s="110" t="str">
        <f t="shared" si="31"/>
        <v>20130701LE_902Pole</v>
      </c>
      <c r="F83" s="83">
        <v>12.9</v>
      </c>
      <c r="G83" s="83">
        <v>0</v>
      </c>
      <c r="H83" s="83">
        <v>0</v>
      </c>
      <c r="I83" s="83">
        <v>0</v>
      </c>
      <c r="J83" s="83">
        <v>0</v>
      </c>
      <c r="K83" s="83">
        <v>0</v>
      </c>
      <c r="L83" s="83">
        <v>0</v>
      </c>
      <c r="M83" s="83">
        <f t="shared" si="32"/>
        <v>12.9</v>
      </c>
      <c r="N83" s="81">
        <f t="shared" si="27"/>
        <v>0</v>
      </c>
      <c r="O83" s="81">
        <f t="shared" si="28"/>
        <v>0</v>
      </c>
      <c r="P83" s="81">
        <f t="shared" si="29"/>
        <v>0</v>
      </c>
    </row>
    <row r="84" spans="1:16">
      <c r="A84" s="80">
        <v>20130701</v>
      </c>
      <c r="B84" s="110" t="s">
        <v>498</v>
      </c>
      <c r="C84" s="110" t="str">
        <f t="shared" si="30"/>
        <v>20130701RLS</v>
      </c>
      <c r="D84" s="110" t="s">
        <v>671</v>
      </c>
      <c r="E84" s="110" t="str">
        <f t="shared" si="31"/>
        <v>20130701LE_950Base</v>
      </c>
      <c r="F84" s="83">
        <v>3.47</v>
      </c>
      <c r="G84" s="83">
        <v>0</v>
      </c>
      <c r="H84" s="83">
        <v>0</v>
      </c>
      <c r="I84" s="83">
        <v>0</v>
      </c>
      <c r="J84" s="83">
        <v>0</v>
      </c>
      <c r="K84" s="83">
        <v>0</v>
      </c>
      <c r="L84" s="83">
        <v>0</v>
      </c>
      <c r="M84" s="83">
        <f t="shared" si="32"/>
        <v>3.47</v>
      </c>
      <c r="N84" s="81">
        <f t="shared" si="27"/>
        <v>0</v>
      </c>
      <c r="O84" s="81">
        <f t="shared" si="28"/>
        <v>0</v>
      </c>
      <c r="P84" s="81">
        <f t="shared" si="29"/>
        <v>0</v>
      </c>
    </row>
    <row r="85" spans="1:16">
      <c r="A85" s="80">
        <v>20130701</v>
      </c>
      <c r="B85" s="110" t="s">
        <v>498</v>
      </c>
      <c r="C85" s="110" t="str">
        <f t="shared" si="30"/>
        <v>20130701RLS</v>
      </c>
      <c r="D85" s="110" t="s">
        <v>672</v>
      </c>
      <c r="E85" s="110" t="str">
        <f t="shared" si="31"/>
        <v>20130701LE_951Base</v>
      </c>
      <c r="F85" s="83">
        <v>3.73</v>
      </c>
      <c r="G85" s="83">
        <v>0</v>
      </c>
      <c r="H85" s="83">
        <v>0</v>
      </c>
      <c r="I85" s="83">
        <v>0</v>
      </c>
      <c r="J85" s="83">
        <v>0</v>
      </c>
      <c r="K85" s="83">
        <v>0</v>
      </c>
      <c r="L85" s="83">
        <v>0</v>
      </c>
      <c r="M85" s="83">
        <f t="shared" si="32"/>
        <v>3.73</v>
      </c>
      <c r="N85" s="81">
        <f t="shared" si="27"/>
        <v>0</v>
      </c>
      <c r="O85" s="81">
        <f t="shared" si="28"/>
        <v>0</v>
      </c>
      <c r="P85" s="81">
        <f t="shared" si="29"/>
        <v>0</v>
      </c>
    </row>
    <row r="86" spans="1:16">
      <c r="A86" s="80">
        <v>20130701</v>
      </c>
      <c r="B86" s="110" t="s">
        <v>498</v>
      </c>
      <c r="C86" s="110" t="str">
        <f t="shared" si="30"/>
        <v>20130701RLS</v>
      </c>
      <c r="D86" s="110" t="s">
        <v>673</v>
      </c>
      <c r="E86" s="110" t="str">
        <f t="shared" si="31"/>
        <v>20130701LE_952Base</v>
      </c>
      <c r="F86" s="83">
        <v>3.56</v>
      </c>
      <c r="G86" s="83">
        <v>0</v>
      </c>
      <c r="H86" s="83">
        <v>0</v>
      </c>
      <c r="I86" s="83">
        <v>0</v>
      </c>
      <c r="J86" s="83">
        <v>0</v>
      </c>
      <c r="K86" s="83">
        <v>0</v>
      </c>
      <c r="L86" s="83">
        <v>0</v>
      </c>
      <c r="M86" s="83">
        <f t="shared" si="32"/>
        <v>3.56</v>
      </c>
      <c r="N86" s="81">
        <f t="shared" si="27"/>
        <v>0</v>
      </c>
      <c r="O86" s="81">
        <f t="shared" si="28"/>
        <v>0</v>
      </c>
      <c r="P86" s="81">
        <f t="shared" si="29"/>
        <v>0</v>
      </c>
    </row>
    <row r="87" spans="1:16">
      <c r="A87" s="80">
        <v>20130701</v>
      </c>
      <c r="B87" s="110" t="s">
        <v>498</v>
      </c>
      <c r="C87" s="110" t="str">
        <f t="shared" si="30"/>
        <v>20130701RLS</v>
      </c>
      <c r="D87" s="110" t="s">
        <v>674</v>
      </c>
      <c r="E87" s="110" t="str">
        <f t="shared" si="31"/>
        <v>20130701LE_953Base</v>
      </c>
      <c r="F87" s="83">
        <v>3.73</v>
      </c>
      <c r="G87" s="83">
        <v>0</v>
      </c>
      <c r="H87" s="83">
        <v>0</v>
      </c>
      <c r="I87" s="83">
        <v>0</v>
      </c>
      <c r="J87" s="83">
        <v>0</v>
      </c>
      <c r="K87" s="83">
        <v>0</v>
      </c>
      <c r="L87" s="83">
        <v>0</v>
      </c>
      <c r="M87" s="83">
        <f t="shared" si="32"/>
        <v>3.73</v>
      </c>
      <c r="N87" s="81">
        <f t="shared" si="27"/>
        <v>0</v>
      </c>
      <c r="O87" s="81">
        <f t="shared" si="28"/>
        <v>0</v>
      </c>
      <c r="P87" s="81">
        <f t="shared" si="29"/>
        <v>0</v>
      </c>
    </row>
    <row r="88" spans="1:16">
      <c r="A88" s="80">
        <v>20130701</v>
      </c>
      <c r="B88" s="110" t="s">
        <v>498</v>
      </c>
      <c r="C88" s="110" t="str">
        <f t="shared" ref="C88" si="33">A88&amp;B88</f>
        <v>20130701RLS</v>
      </c>
      <c r="D88" s="114" t="s">
        <v>675</v>
      </c>
      <c r="E88" s="110" t="str">
        <f t="shared" ref="E88" si="34">A88&amp;D88</f>
        <v>20130701LE_954Base</v>
      </c>
      <c r="F88" s="83">
        <v>3.47</v>
      </c>
      <c r="G88" s="83">
        <v>0</v>
      </c>
      <c r="H88" s="83">
        <v>0</v>
      </c>
      <c r="I88" s="83">
        <v>0</v>
      </c>
      <c r="J88" s="83">
        <v>0</v>
      </c>
      <c r="K88" s="83">
        <v>0</v>
      </c>
      <c r="L88" s="83">
        <v>0</v>
      </c>
      <c r="M88" s="83">
        <f t="shared" ref="M88" si="35">F88-K88-L88</f>
        <v>3.47</v>
      </c>
      <c r="N88" s="81">
        <f t="shared" ref="N88" si="36">IF(H88=0,0,H88-$K88-$L88)</f>
        <v>0</v>
      </c>
      <c r="O88" s="81">
        <f t="shared" ref="O88" si="37">IF(I88=0,0,I88-$K88-$L88)</f>
        <v>0</v>
      </c>
      <c r="P88" s="81">
        <f t="shared" ref="P88" si="38">IF(J88=0,0,J88-$K88-$L88)</f>
        <v>0</v>
      </c>
    </row>
    <row r="89" spans="1:16">
      <c r="A89" s="80">
        <v>20130701</v>
      </c>
      <c r="B89" s="110" t="s">
        <v>606</v>
      </c>
      <c r="C89" s="110" t="str">
        <f t="shared" si="30"/>
        <v>20130701LS</v>
      </c>
      <c r="D89" s="110" t="s">
        <v>676</v>
      </c>
      <c r="E89" s="110" t="str">
        <f t="shared" si="31"/>
        <v>20130701LE_955Base</v>
      </c>
      <c r="F89" s="83">
        <v>3.56</v>
      </c>
      <c r="G89" s="83">
        <v>0</v>
      </c>
      <c r="H89" s="83">
        <v>0</v>
      </c>
      <c r="I89" s="83">
        <v>0</v>
      </c>
      <c r="J89" s="83">
        <v>0</v>
      </c>
      <c r="K89" s="83">
        <v>0</v>
      </c>
      <c r="L89" s="83">
        <v>0</v>
      </c>
      <c r="M89" s="83">
        <f t="shared" si="32"/>
        <v>3.56</v>
      </c>
      <c r="N89" s="81">
        <f t="shared" ref="N89:N104" si="39">IF(H89=0,0,H89-$K89-$L89)</f>
        <v>0</v>
      </c>
      <c r="O89" s="81">
        <f t="shared" ref="O89:O104" si="40">IF(I89=0,0,I89-$K89-$L89)</f>
        <v>0</v>
      </c>
      <c r="P89" s="81">
        <f t="shared" ref="P89:P104" si="41">IF(J89=0,0,J89-$K89-$L89)</f>
        <v>0</v>
      </c>
    </row>
    <row r="90" spans="1:16">
      <c r="A90" s="80">
        <v>20130701</v>
      </c>
      <c r="B90" s="110" t="s">
        <v>606</v>
      </c>
      <c r="C90" s="110" t="str">
        <f t="shared" si="30"/>
        <v>20130701LS</v>
      </c>
      <c r="D90" s="110" t="s">
        <v>677</v>
      </c>
      <c r="E90" s="110" t="str">
        <f t="shared" si="31"/>
        <v>20130701LE_956Base</v>
      </c>
      <c r="F90" s="83">
        <v>3.56</v>
      </c>
      <c r="G90" s="83">
        <v>0</v>
      </c>
      <c r="H90" s="83">
        <v>0</v>
      </c>
      <c r="I90" s="83">
        <v>0</v>
      </c>
      <c r="J90" s="83">
        <v>0</v>
      </c>
      <c r="K90" s="83">
        <v>0</v>
      </c>
      <c r="L90" s="83">
        <v>0</v>
      </c>
      <c r="M90" s="83">
        <f t="shared" si="32"/>
        <v>3.56</v>
      </c>
      <c r="N90" s="81">
        <f t="shared" si="39"/>
        <v>0</v>
      </c>
      <c r="O90" s="81">
        <f t="shared" si="40"/>
        <v>0</v>
      </c>
      <c r="P90" s="81">
        <f t="shared" si="41"/>
        <v>0</v>
      </c>
    </row>
    <row r="91" spans="1:16">
      <c r="A91" s="80">
        <v>20130701</v>
      </c>
      <c r="B91" s="110" t="s">
        <v>606</v>
      </c>
      <c r="C91" s="110" t="str">
        <f t="shared" si="30"/>
        <v>20130701LS</v>
      </c>
      <c r="D91" s="110" t="s">
        <v>678</v>
      </c>
      <c r="E91" s="110" t="str">
        <f t="shared" si="31"/>
        <v>20130701LE_957Base</v>
      </c>
      <c r="F91" s="83">
        <v>3.56</v>
      </c>
      <c r="G91" s="83">
        <v>0</v>
      </c>
      <c r="H91" s="83">
        <v>0</v>
      </c>
      <c r="I91" s="83">
        <v>0</v>
      </c>
      <c r="J91" s="83">
        <v>0</v>
      </c>
      <c r="K91" s="83">
        <v>0</v>
      </c>
      <c r="L91" s="83">
        <v>0</v>
      </c>
      <c r="M91" s="83">
        <f t="shared" si="32"/>
        <v>3.56</v>
      </c>
      <c r="N91" s="81">
        <f t="shared" si="39"/>
        <v>0</v>
      </c>
      <c r="O91" s="81">
        <f t="shared" si="40"/>
        <v>0</v>
      </c>
      <c r="P91" s="81">
        <f t="shared" si="41"/>
        <v>0</v>
      </c>
    </row>
    <row r="92" spans="1:16">
      <c r="A92" s="80">
        <v>20130701</v>
      </c>
      <c r="B92" s="110" t="s">
        <v>606</v>
      </c>
      <c r="C92" s="110" t="str">
        <f>A92&amp;B92</f>
        <v>20130701LS</v>
      </c>
      <c r="D92" s="110" t="s">
        <v>679</v>
      </c>
      <c r="E92" s="110" t="str">
        <f>A92&amp;D92</f>
        <v>20130701LE_958Pole</v>
      </c>
      <c r="F92" s="83">
        <v>11.31</v>
      </c>
      <c r="G92" s="83">
        <v>0</v>
      </c>
      <c r="H92" s="83">
        <v>0</v>
      </c>
      <c r="I92" s="83">
        <v>0</v>
      </c>
      <c r="J92" s="83">
        <v>0</v>
      </c>
      <c r="K92" s="83">
        <v>0</v>
      </c>
      <c r="L92" s="83">
        <v>0</v>
      </c>
      <c r="M92" s="83">
        <f>F92-K92-L92</f>
        <v>11.31</v>
      </c>
      <c r="N92" s="81">
        <f t="shared" si="39"/>
        <v>0</v>
      </c>
      <c r="O92" s="81">
        <f t="shared" si="40"/>
        <v>0</v>
      </c>
      <c r="P92" s="81">
        <f t="shared" si="41"/>
        <v>0</v>
      </c>
    </row>
    <row r="93" spans="1:16">
      <c r="A93" s="245">
        <v>20140101</v>
      </c>
      <c r="B93" s="230" t="s">
        <v>498</v>
      </c>
      <c r="C93" s="230" t="str">
        <f t="shared" ref="C93:C103" si="42">A93&amp;B93</f>
        <v>20140101RLS</v>
      </c>
      <c r="D93" s="230" t="s">
        <v>665</v>
      </c>
      <c r="E93" s="230" t="str">
        <f t="shared" ref="E93:E103" si="43">A93&amp;D93</f>
        <v>20140101LE_900Pole</v>
      </c>
      <c r="F93" s="90">
        <v>2.06</v>
      </c>
      <c r="G93" s="90">
        <v>0</v>
      </c>
      <c r="H93" s="90">
        <v>0</v>
      </c>
      <c r="I93" s="90">
        <v>0</v>
      </c>
      <c r="J93" s="90">
        <v>0</v>
      </c>
      <c r="K93" s="90">
        <v>0</v>
      </c>
      <c r="L93" s="90">
        <v>0</v>
      </c>
      <c r="M93" s="90">
        <f t="shared" ref="M93:M103" si="44">F93-K93-L93</f>
        <v>2.06</v>
      </c>
      <c r="N93" s="228">
        <f t="shared" si="39"/>
        <v>0</v>
      </c>
      <c r="O93" s="228">
        <f t="shared" si="40"/>
        <v>0</v>
      </c>
      <c r="P93" s="228">
        <f t="shared" si="41"/>
        <v>0</v>
      </c>
    </row>
    <row r="94" spans="1:16">
      <c r="A94" s="245">
        <v>20140101</v>
      </c>
      <c r="B94" s="230" t="s">
        <v>498</v>
      </c>
      <c r="C94" s="230" t="str">
        <f t="shared" si="42"/>
        <v>20140101RLS</v>
      </c>
      <c r="D94" s="230" t="s">
        <v>666</v>
      </c>
      <c r="E94" s="230" t="str">
        <f t="shared" si="43"/>
        <v>20140101LE_901Pole</v>
      </c>
      <c r="F94" s="90">
        <v>10.81</v>
      </c>
      <c r="G94" s="90">
        <v>0</v>
      </c>
      <c r="H94" s="90">
        <v>0</v>
      </c>
      <c r="I94" s="90">
        <v>0</v>
      </c>
      <c r="J94" s="90">
        <v>0</v>
      </c>
      <c r="K94" s="90">
        <v>0</v>
      </c>
      <c r="L94" s="90">
        <v>0</v>
      </c>
      <c r="M94" s="90">
        <f t="shared" si="44"/>
        <v>10.81</v>
      </c>
      <c r="N94" s="228">
        <f t="shared" si="39"/>
        <v>0</v>
      </c>
      <c r="O94" s="228">
        <f t="shared" si="40"/>
        <v>0</v>
      </c>
      <c r="P94" s="228">
        <f t="shared" si="41"/>
        <v>0</v>
      </c>
    </row>
    <row r="95" spans="1:16">
      <c r="A95" s="245">
        <v>20140101</v>
      </c>
      <c r="B95" s="230" t="s">
        <v>498</v>
      </c>
      <c r="C95" s="230" t="str">
        <f t="shared" si="42"/>
        <v>20140101RLS</v>
      </c>
      <c r="D95" s="230" t="s">
        <v>667</v>
      </c>
      <c r="E95" s="230" t="str">
        <f t="shared" si="43"/>
        <v>20140101LE_902Pole</v>
      </c>
      <c r="F95" s="90">
        <v>12.9</v>
      </c>
      <c r="G95" s="90">
        <v>0</v>
      </c>
      <c r="H95" s="90">
        <v>0</v>
      </c>
      <c r="I95" s="90">
        <v>0</v>
      </c>
      <c r="J95" s="90">
        <v>0</v>
      </c>
      <c r="K95" s="90">
        <v>0</v>
      </c>
      <c r="L95" s="90">
        <v>0</v>
      </c>
      <c r="M95" s="90">
        <f t="shared" si="44"/>
        <v>12.9</v>
      </c>
      <c r="N95" s="228">
        <f t="shared" si="39"/>
        <v>0</v>
      </c>
      <c r="O95" s="228">
        <f t="shared" si="40"/>
        <v>0</v>
      </c>
      <c r="P95" s="228">
        <f t="shared" si="41"/>
        <v>0</v>
      </c>
    </row>
    <row r="96" spans="1:16">
      <c r="A96" s="245">
        <v>20140101</v>
      </c>
      <c r="B96" s="230" t="s">
        <v>498</v>
      </c>
      <c r="C96" s="230" t="str">
        <f t="shared" si="42"/>
        <v>20140101RLS</v>
      </c>
      <c r="D96" s="230" t="s">
        <v>671</v>
      </c>
      <c r="E96" s="230" t="str">
        <f t="shared" si="43"/>
        <v>20140101LE_950Base</v>
      </c>
      <c r="F96" s="90">
        <v>3.47</v>
      </c>
      <c r="G96" s="90">
        <v>0</v>
      </c>
      <c r="H96" s="90">
        <v>0</v>
      </c>
      <c r="I96" s="90">
        <v>0</v>
      </c>
      <c r="J96" s="90">
        <v>0</v>
      </c>
      <c r="K96" s="90">
        <v>0</v>
      </c>
      <c r="L96" s="90">
        <v>0</v>
      </c>
      <c r="M96" s="90">
        <f t="shared" si="44"/>
        <v>3.47</v>
      </c>
      <c r="N96" s="228">
        <f t="shared" si="39"/>
        <v>0</v>
      </c>
      <c r="O96" s="228">
        <f t="shared" si="40"/>
        <v>0</v>
      </c>
      <c r="P96" s="228">
        <f t="shared" si="41"/>
        <v>0</v>
      </c>
    </row>
    <row r="97" spans="1:16">
      <c r="A97" s="245">
        <v>20140101</v>
      </c>
      <c r="B97" s="230" t="s">
        <v>498</v>
      </c>
      <c r="C97" s="230" t="str">
        <f t="shared" si="42"/>
        <v>20140101RLS</v>
      </c>
      <c r="D97" s="249" t="s">
        <v>672</v>
      </c>
      <c r="E97" s="230" t="str">
        <f t="shared" si="43"/>
        <v>20140101LE_951Base</v>
      </c>
      <c r="F97" s="90">
        <v>3.73</v>
      </c>
      <c r="G97" s="90">
        <v>0</v>
      </c>
      <c r="H97" s="90">
        <v>0</v>
      </c>
      <c r="I97" s="90">
        <v>0</v>
      </c>
      <c r="J97" s="90">
        <v>0</v>
      </c>
      <c r="K97" s="90">
        <v>0</v>
      </c>
      <c r="L97" s="90">
        <v>0</v>
      </c>
      <c r="M97" s="90">
        <f t="shared" si="44"/>
        <v>3.73</v>
      </c>
      <c r="N97" s="228">
        <f t="shared" si="39"/>
        <v>0</v>
      </c>
      <c r="O97" s="228">
        <f t="shared" si="40"/>
        <v>0</v>
      </c>
      <c r="P97" s="228">
        <f t="shared" si="41"/>
        <v>0</v>
      </c>
    </row>
    <row r="98" spans="1:16">
      <c r="A98" s="245">
        <v>20140101</v>
      </c>
      <c r="B98" s="230" t="s">
        <v>498</v>
      </c>
      <c r="C98" s="230" t="str">
        <f t="shared" si="42"/>
        <v>20140101RLS</v>
      </c>
      <c r="D98" s="230" t="s">
        <v>673</v>
      </c>
      <c r="E98" s="230" t="str">
        <f t="shared" si="43"/>
        <v>20140101LE_952Base</v>
      </c>
      <c r="F98" s="90">
        <v>3.56</v>
      </c>
      <c r="G98" s="90">
        <v>0</v>
      </c>
      <c r="H98" s="90">
        <v>0</v>
      </c>
      <c r="I98" s="90">
        <v>0</v>
      </c>
      <c r="J98" s="90">
        <v>0</v>
      </c>
      <c r="K98" s="90">
        <v>0</v>
      </c>
      <c r="L98" s="90">
        <v>0</v>
      </c>
      <c r="M98" s="90">
        <f t="shared" si="44"/>
        <v>3.56</v>
      </c>
      <c r="N98" s="228">
        <f t="shared" si="39"/>
        <v>0</v>
      </c>
      <c r="O98" s="228">
        <f t="shared" si="40"/>
        <v>0</v>
      </c>
      <c r="P98" s="228">
        <f t="shared" si="41"/>
        <v>0</v>
      </c>
    </row>
    <row r="99" spans="1:16">
      <c r="A99" s="245">
        <v>20140101</v>
      </c>
      <c r="B99" s="230" t="s">
        <v>498</v>
      </c>
      <c r="C99" s="230" t="str">
        <f t="shared" si="42"/>
        <v>20140101RLS</v>
      </c>
      <c r="D99" s="230" t="s">
        <v>674</v>
      </c>
      <c r="E99" s="230" t="str">
        <f t="shared" si="43"/>
        <v>20140101LE_953Base</v>
      </c>
      <c r="F99" s="90">
        <v>3.73</v>
      </c>
      <c r="G99" s="90">
        <v>0</v>
      </c>
      <c r="H99" s="90">
        <v>0</v>
      </c>
      <c r="I99" s="90">
        <v>0</v>
      </c>
      <c r="J99" s="90">
        <v>0</v>
      </c>
      <c r="K99" s="90">
        <v>0</v>
      </c>
      <c r="L99" s="90">
        <v>0</v>
      </c>
      <c r="M99" s="90">
        <f t="shared" si="44"/>
        <v>3.73</v>
      </c>
      <c r="N99" s="228">
        <f t="shared" si="39"/>
        <v>0</v>
      </c>
      <c r="O99" s="228">
        <f t="shared" si="40"/>
        <v>0</v>
      </c>
      <c r="P99" s="228">
        <f t="shared" si="41"/>
        <v>0</v>
      </c>
    </row>
    <row r="100" spans="1:16">
      <c r="A100" s="245">
        <v>20140101</v>
      </c>
      <c r="B100" s="230" t="s">
        <v>498</v>
      </c>
      <c r="C100" s="230" t="str">
        <f t="shared" ref="C100" si="45">A100&amp;B100</f>
        <v>20140101RLS</v>
      </c>
      <c r="D100" s="249" t="s">
        <v>675</v>
      </c>
      <c r="E100" s="230" t="str">
        <f t="shared" ref="E100" si="46">A100&amp;D100</f>
        <v>20140101LE_954Base</v>
      </c>
      <c r="F100" s="90">
        <v>3.47</v>
      </c>
      <c r="G100" s="90">
        <v>0</v>
      </c>
      <c r="H100" s="90">
        <v>0</v>
      </c>
      <c r="I100" s="90">
        <v>0</v>
      </c>
      <c r="J100" s="90">
        <v>0</v>
      </c>
      <c r="K100" s="90">
        <v>0</v>
      </c>
      <c r="L100" s="90">
        <v>0</v>
      </c>
      <c r="M100" s="90">
        <f t="shared" ref="M100" si="47">F100-K100-L100</f>
        <v>3.47</v>
      </c>
      <c r="N100" s="228">
        <f t="shared" ref="N100" si="48">IF(H100=0,0,H100-$K100-$L100)</f>
        <v>0</v>
      </c>
      <c r="O100" s="228">
        <f t="shared" ref="O100" si="49">IF(I100=0,0,I100-$K100-$L100)</f>
        <v>0</v>
      </c>
      <c r="P100" s="228">
        <f t="shared" ref="P100" si="50">IF(J100=0,0,J100-$K100-$L100)</f>
        <v>0</v>
      </c>
    </row>
    <row r="101" spans="1:16">
      <c r="A101" s="245">
        <v>20140101</v>
      </c>
      <c r="B101" s="230" t="s">
        <v>606</v>
      </c>
      <c r="C101" s="230" t="str">
        <f t="shared" si="42"/>
        <v>20140101LS</v>
      </c>
      <c r="D101" s="230" t="s">
        <v>676</v>
      </c>
      <c r="E101" s="230" t="str">
        <f t="shared" si="43"/>
        <v>20140101LE_955Base</v>
      </c>
      <c r="F101" s="90">
        <v>3.56</v>
      </c>
      <c r="G101" s="90">
        <v>0</v>
      </c>
      <c r="H101" s="90">
        <v>0</v>
      </c>
      <c r="I101" s="90">
        <v>0</v>
      </c>
      <c r="J101" s="90">
        <v>0</v>
      </c>
      <c r="K101" s="90">
        <v>0</v>
      </c>
      <c r="L101" s="90">
        <v>0</v>
      </c>
      <c r="M101" s="90">
        <f t="shared" si="44"/>
        <v>3.56</v>
      </c>
      <c r="N101" s="228">
        <f t="shared" si="39"/>
        <v>0</v>
      </c>
      <c r="O101" s="228">
        <f t="shared" si="40"/>
        <v>0</v>
      </c>
      <c r="P101" s="228">
        <f t="shared" si="41"/>
        <v>0</v>
      </c>
    </row>
    <row r="102" spans="1:16">
      <c r="A102" s="245">
        <v>20140101</v>
      </c>
      <c r="B102" s="230" t="s">
        <v>606</v>
      </c>
      <c r="C102" s="230" t="str">
        <f t="shared" si="42"/>
        <v>20140101LS</v>
      </c>
      <c r="D102" s="230" t="s">
        <v>677</v>
      </c>
      <c r="E102" s="230" t="str">
        <f t="shared" si="43"/>
        <v>20140101LE_956Base</v>
      </c>
      <c r="F102" s="90">
        <v>3.56</v>
      </c>
      <c r="G102" s="90">
        <v>0</v>
      </c>
      <c r="H102" s="90">
        <v>0</v>
      </c>
      <c r="I102" s="90">
        <v>0</v>
      </c>
      <c r="J102" s="90">
        <v>0</v>
      </c>
      <c r="K102" s="90">
        <v>0</v>
      </c>
      <c r="L102" s="90">
        <v>0</v>
      </c>
      <c r="M102" s="90">
        <f t="shared" si="44"/>
        <v>3.56</v>
      </c>
      <c r="N102" s="228">
        <f t="shared" si="39"/>
        <v>0</v>
      </c>
      <c r="O102" s="228">
        <f t="shared" si="40"/>
        <v>0</v>
      </c>
      <c r="P102" s="228">
        <f t="shared" si="41"/>
        <v>0</v>
      </c>
    </row>
    <row r="103" spans="1:16">
      <c r="A103" s="245">
        <v>20140101</v>
      </c>
      <c r="B103" s="230" t="s">
        <v>606</v>
      </c>
      <c r="C103" s="230" t="str">
        <f t="shared" si="42"/>
        <v>20140101LS</v>
      </c>
      <c r="D103" s="230" t="s">
        <v>678</v>
      </c>
      <c r="E103" s="230" t="str">
        <f t="shared" si="43"/>
        <v>20140101LE_957Base</v>
      </c>
      <c r="F103" s="90">
        <v>3.56</v>
      </c>
      <c r="G103" s="90">
        <v>0</v>
      </c>
      <c r="H103" s="90">
        <v>0</v>
      </c>
      <c r="I103" s="90">
        <v>0</v>
      </c>
      <c r="J103" s="90">
        <v>0</v>
      </c>
      <c r="K103" s="90">
        <v>0</v>
      </c>
      <c r="L103" s="90">
        <v>0</v>
      </c>
      <c r="M103" s="90">
        <f t="shared" si="44"/>
        <v>3.56</v>
      </c>
      <c r="N103" s="228">
        <f t="shared" si="39"/>
        <v>0</v>
      </c>
      <c r="O103" s="228">
        <f t="shared" si="40"/>
        <v>0</v>
      </c>
      <c r="P103" s="228">
        <f t="shared" si="41"/>
        <v>0</v>
      </c>
    </row>
    <row r="104" spans="1:16">
      <c r="A104" s="245">
        <v>20140101</v>
      </c>
      <c r="B104" s="230" t="s">
        <v>606</v>
      </c>
      <c r="C104" s="230" t="str">
        <f>A104&amp;B104</f>
        <v>20140101LS</v>
      </c>
      <c r="D104" s="230" t="s">
        <v>679</v>
      </c>
      <c r="E104" s="230" t="str">
        <f>A104&amp;D104</f>
        <v>20140101LE_958Pole</v>
      </c>
      <c r="F104" s="90">
        <v>11.31</v>
      </c>
      <c r="G104" s="90">
        <v>0</v>
      </c>
      <c r="H104" s="90">
        <v>0</v>
      </c>
      <c r="I104" s="90">
        <v>0</v>
      </c>
      <c r="J104" s="90">
        <v>0</v>
      </c>
      <c r="K104" s="90">
        <v>0</v>
      </c>
      <c r="L104" s="90">
        <v>0</v>
      </c>
      <c r="M104" s="90">
        <f>F104-K104-L104</f>
        <v>11.31</v>
      </c>
      <c r="N104" s="228">
        <f t="shared" si="39"/>
        <v>0</v>
      </c>
      <c r="O104" s="228">
        <f t="shared" si="40"/>
        <v>0</v>
      </c>
      <c r="P104" s="228">
        <f t="shared" si="41"/>
        <v>0</v>
      </c>
    </row>
  </sheetData>
  <autoFilter ref="A2:W56"/>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filterMode="1"/>
  <dimension ref="A1:AY420"/>
  <sheetViews>
    <sheetView workbookViewId="0"/>
  </sheetViews>
  <sheetFormatPr defaultRowHeight="12"/>
  <cols>
    <col min="1" max="1" width="7.5" customWidth="1"/>
    <col min="2" max="2" width="13.5" customWidth="1"/>
    <col min="3" max="3" width="13.1640625" style="36" customWidth="1"/>
    <col min="4" max="4" width="16.33203125" customWidth="1"/>
    <col min="5" max="5" width="9" customWidth="1"/>
    <col min="6" max="6" width="9.1640625" customWidth="1"/>
    <col min="7" max="7" width="9" customWidth="1"/>
    <col min="8" max="9" width="22.1640625" bestFit="1" customWidth="1"/>
    <col min="10" max="10" width="22.1640625" customWidth="1"/>
    <col min="11" max="11" width="22.1640625" bestFit="1" customWidth="1"/>
    <col min="12" max="12" width="18.33203125" bestFit="1" customWidth="1"/>
    <col min="13" max="13" width="21.6640625" bestFit="1" customWidth="1"/>
    <col min="14" max="14" width="17" bestFit="1" customWidth="1"/>
    <col min="15" max="15" width="16.33203125" bestFit="1" customWidth="1"/>
    <col min="16" max="16" width="13.83203125" bestFit="1" customWidth="1"/>
    <col min="17" max="17" width="11.1640625" bestFit="1" customWidth="1"/>
    <col min="18" max="18" width="24.5" bestFit="1" customWidth="1"/>
    <col min="19" max="19" width="10.83203125" customWidth="1"/>
    <col min="23" max="23" width="14.1640625" bestFit="1" customWidth="1"/>
    <col min="25" max="25" width="13.33203125" bestFit="1" customWidth="1"/>
  </cols>
  <sheetData>
    <row r="1" spans="1:19" ht="23.25" thickBot="1">
      <c r="A1" s="25" t="s">
        <v>3</v>
      </c>
      <c r="B1" s="25" t="s">
        <v>0</v>
      </c>
      <c r="C1" s="25" t="s">
        <v>4</v>
      </c>
      <c r="D1" s="25" t="s">
        <v>1</v>
      </c>
      <c r="E1" s="25" t="s">
        <v>403</v>
      </c>
      <c r="F1" s="25" t="s">
        <v>404</v>
      </c>
      <c r="G1" s="25" t="s">
        <v>405</v>
      </c>
      <c r="H1" s="25" t="s">
        <v>2</v>
      </c>
      <c r="I1" s="25" t="s">
        <v>137</v>
      </c>
      <c r="J1" s="25" t="s">
        <v>138</v>
      </c>
      <c r="K1" s="25" t="s">
        <v>139</v>
      </c>
      <c r="L1" s="25" t="s">
        <v>1033</v>
      </c>
      <c r="M1" s="25" t="s">
        <v>1034</v>
      </c>
      <c r="N1" s="25" t="s">
        <v>1035</v>
      </c>
      <c r="O1" s="25" t="s">
        <v>1036</v>
      </c>
      <c r="P1" s="25" t="s">
        <v>1037</v>
      </c>
      <c r="Q1" s="25" t="s">
        <v>1038</v>
      </c>
      <c r="R1" s="25" t="s">
        <v>1039</v>
      </c>
      <c r="S1" s="16" t="s">
        <v>1219</v>
      </c>
    </row>
    <row r="2" spans="1:19" ht="12.75" hidden="1" thickBot="1">
      <c r="A2" s="25" t="s">
        <v>3</v>
      </c>
      <c r="B2" s="25" t="s">
        <v>0</v>
      </c>
      <c r="C2" s="25" t="s">
        <v>4</v>
      </c>
      <c r="D2" s="45"/>
      <c r="E2" s="45" t="s">
        <v>5</v>
      </c>
      <c r="F2" s="45" t="s">
        <v>5</v>
      </c>
      <c r="G2" s="45" t="s">
        <v>5</v>
      </c>
      <c r="H2" s="45" t="s">
        <v>5</v>
      </c>
      <c r="I2" s="45"/>
      <c r="J2" s="45"/>
      <c r="K2" s="45"/>
      <c r="L2" s="45"/>
      <c r="M2" s="45"/>
      <c r="N2" s="45"/>
      <c r="O2" s="45"/>
      <c r="P2" s="45"/>
      <c r="Q2" s="45"/>
      <c r="R2" s="45"/>
      <c r="S2" s="250" t="s">
        <v>6</v>
      </c>
    </row>
    <row r="3" spans="1:19" ht="12.75" thickBot="1">
      <c r="A3" s="25" t="s">
        <v>406</v>
      </c>
      <c r="B3" s="57" t="s">
        <v>1273</v>
      </c>
      <c r="C3" s="25" t="s">
        <v>407</v>
      </c>
      <c r="D3" s="77"/>
      <c r="E3" s="20"/>
      <c r="F3" s="20"/>
      <c r="G3" s="20"/>
      <c r="H3" s="77"/>
      <c r="I3" s="20"/>
      <c r="J3" s="20"/>
      <c r="K3" s="20"/>
      <c r="L3" s="20"/>
      <c r="M3" s="20"/>
      <c r="N3" s="20"/>
      <c r="O3" s="28"/>
      <c r="P3" s="20"/>
      <c r="Q3" s="20"/>
      <c r="R3" s="20"/>
      <c r="S3" s="20"/>
    </row>
    <row r="4" spans="1:19" ht="12.75" thickBot="1">
      <c r="A4" s="25" t="s">
        <v>406</v>
      </c>
      <c r="B4" s="57" t="s">
        <v>1273</v>
      </c>
      <c r="C4" s="25" t="s">
        <v>409</v>
      </c>
      <c r="D4" s="568">
        <v>28091</v>
      </c>
      <c r="E4" s="567"/>
      <c r="F4" s="567"/>
      <c r="G4" s="567"/>
      <c r="H4" s="568">
        <v>32732666</v>
      </c>
      <c r="I4" s="567"/>
      <c r="J4" s="567"/>
      <c r="K4" s="567"/>
      <c r="L4" s="567"/>
      <c r="M4" s="567"/>
      <c r="N4" s="567"/>
      <c r="O4" s="572"/>
      <c r="P4" s="571"/>
      <c r="Q4" s="567"/>
      <c r="R4" s="571"/>
      <c r="S4" s="567"/>
    </row>
    <row r="5" spans="1:19" ht="12.75" thickBot="1">
      <c r="A5" s="25" t="s">
        <v>406</v>
      </c>
      <c r="B5" s="57" t="s">
        <v>1273</v>
      </c>
      <c r="C5" s="25" t="s">
        <v>410</v>
      </c>
      <c r="D5" s="77"/>
      <c r="E5" s="20"/>
      <c r="F5" s="20"/>
      <c r="G5" s="20"/>
      <c r="H5" s="77"/>
      <c r="I5" s="20"/>
      <c r="J5" s="20"/>
      <c r="K5" s="20"/>
      <c r="L5" s="20"/>
      <c r="M5" s="20"/>
      <c r="N5" s="20"/>
      <c r="O5" s="28"/>
      <c r="P5" s="20"/>
      <c r="Q5" s="20"/>
      <c r="R5" s="20"/>
      <c r="S5" s="20"/>
    </row>
    <row r="6" spans="1:19" ht="12.75" thickBot="1">
      <c r="A6" s="25" t="s">
        <v>406</v>
      </c>
      <c r="B6" s="57" t="s">
        <v>1273</v>
      </c>
      <c r="C6" s="25" t="s">
        <v>411</v>
      </c>
      <c r="D6" s="76"/>
      <c r="E6" s="19"/>
      <c r="F6" s="19"/>
      <c r="G6" s="19"/>
      <c r="H6" s="76"/>
      <c r="I6" s="19"/>
      <c r="J6" s="19"/>
      <c r="K6" s="19"/>
      <c r="L6" s="19"/>
      <c r="M6" s="19"/>
      <c r="N6" s="19"/>
      <c r="O6" s="31"/>
      <c r="P6" s="144"/>
      <c r="Q6" s="19"/>
      <c r="R6" s="144"/>
      <c r="S6" s="19"/>
    </row>
    <row r="7" spans="1:19" ht="12.75" thickBot="1">
      <c r="A7" s="25" t="s">
        <v>406</v>
      </c>
      <c r="B7" s="57" t="s">
        <v>1273</v>
      </c>
      <c r="C7" s="25" t="s">
        <v>413</v>
      </c>
      <c r="D7" s="77"/>
      <c r="E7" s="20"/>
      <c r="F7" s="20"/>
      <c r="G7" s="20"/>
      <c r="H7" s="77"/>
      <c r="I7" s="20"/>
      <c r="J7" s="20"/>
      <c r="K7" s="20"/>
      <c r="L7" s="20"/>
      <c r="M7" s="20"/>
      <c r="N7" s="20"/>
      <c r="O7" s="28"/>
      <c r="P7" s="20"/>
      <c r="Q7" s="20"/>
      <c r="R7" s="20"/>
      <c r="S7" s="20"/>
    </row>
    <row r="8" spans="1:19" ht="12.75" thickBot="1">
      <c r="A8" s="25" t="s">
        <v>406</v>
      </c>
      <c r="B8" s="57" t="s">
        <v>1273</v>
      </c>
      <c r="C8" s="25" t="s">
        <v>414</v>
      </c>
      <c r="D8" s="568">
        <v>2579</v>
      </c>
      <c r="E8" s="567"/>
      <c r="F8" s="567"/>
      <c r="G8" s="567"/>
      <c r="H8" s="568">
        <v>138087722</v>
      </c>
      <c r="I8" s="567"/>
      <c r="J8" s="567"/>
      <c r="K8" s="567"/>
      <c r="L8" s="573"/>
      <c r="M8" s="573"/>
      <c r="N8" s="567"/>
      <c r="O8" s="572"/>
      <c r="P8" s="571">
        <v>342873.33</v>
      </c>
      <c r="Q8" s="567"/>
      <c r="R8" s="571">
        <v>342873.33</v>
      </c>
      <c r="S8" s="573"/>
    </row>
    <row r="9" spans="1:19" ht="12.75" thickBot="1">
      <c r="A9" s="25" t="s">
        <v>406</v>
      </c>
      <c r="B9" s="57" t="s">
        <v>1273</v>
      </c>
      <c r="C9" s="25" t="s">
        <v>415</v>
      </c>
      <c r="D9" s="568">
        <v>52</v>
      </c>
      <c r="E9" s="567"/>
      <c r="F9" s="567"/>
      <c r="G9" s="567"/>
      <c r="H9" s="568">
        <v>11910378</v>
      </c>
      <c r="I9" s="567"/>
      <c r="J9" s="567"/>
      <c r="K9" s="567"/>
      <c r="L9" s="573"/>
      <c r="M9" s="573"/>
      <c r="N9" s="567"/>
      <c r="O9" s="572"/>
      <c r="P9" s="571">
        <v>28924.21</v>
      </c>
      <c r="Q9" s="567"/>
      <c r="R9" s="571">
        <v>28924.21</v>
      </c>
      <c r="S9" s="573"/>
    </row>
    <row r="10" spans="1:19" ht="12.75" thickBot="1">
      <c r="A10" s="25" t="s">
        <v>406</v>
      </c>
      <c r="B10" s="57" t="s">
        <v>1273</v>
      </c>
      <c r="C10" s="25" t="s">
        <v>416</v>
      </c>
      <c r="D10" s="76"/>
      <c r="E10" s="19"/>
      <c r="F10" s="19"/>
      <c r="G10" s="19"/>
      <c r="H10" s="76"/>
      <c r="I10" s="19"/>
      <c r="J10" s="19"/>
      <c r="K10" s="19"/>
      <c r="L10" s="18"/>
      <c r="M10" s="19"/>
      <c r="N10" s="19"/>
      <c r="O10" s="31"/>
      <c r="P10" s="144"/>
      <c r="Q10" s="19"/>
      <c r="R10" s="144"/>
      <c r="S10" s="19"/>
    </row>
    <row r="11" spans="1:19" ht="12.75" thickBot="1">
      <c r="A11" s="25" t="s">
        <v>406</v>
      </c>
      <c r="B11" s="57" t="s">
        <v>1273</v>
      </c>
      <c r="C11" s="25" t="s">
        <v>417</v>
      </c>
      <c r="D11" s="568">
        <v>210</v>
      </c>
      <c r="E11" s="567"/>
      <c r="F11" s="567"/>
      <c r="G11" s="567"/>
      <c r="H11" s="568">
        <v>59772745</v>
      </c>
      <c r="I11" s="571"/>
      <c r="J11" s="571"/>
      <c r="K11" s="571"/>
      <c r="L11" s="567"/>
      <c r="M11" s="567"/>
      <c r="N11" s="571"/>
      <c r="O11" s="572">
        <v>118926.32</v>
      </c>
      <c r="P11" s="571">
        <v>109154.84</v>
      </c>
      <c r="Q11" s="571">
        <v>106745.42</v>
      </c>
      <c r="R11" s="567"/>
      <c r="S11" s="573"/>
    </row>
    <row r="12" spans="1:19" ht="12.75" thickBot="1">
      <c r="A12" s="25" t="s">
        <v>406</v>
      </c>
      <c r="B12" s="57" t="s">
        <v>1273</v>
      </c>
      <c r="C12" s="25" t="s">
        <v>418</v>
      </c>
      <c r="D12" s="568">
        <v>36</v>
      </c>
      <c r="E12" s="567"/>
      <c r="F12" s="567"/>
      <c r="G12" s="567"/>
      <c r="H12" s="568">
        <v>29781693</v>
      </c>
      <c r="I12" s="571"/>
      <c r="J12" s="571"/>
      <c r="K12" s="571"/>
      <c r="L12" s="567"/>
      <c r="M12" s="567"/>
      <c r="N12" s="567"/>
      <c r="O12" s="571">
        <v>67617.759999999995</v>
      </c>
      <c r="P12" s="571">
        <v>59777.67</v>
      </c>
      <c r="Q12" s="571">
        <v>57718.8</v>
      </c>
      <c r="R12" s="567"/>
      <c r="S12" s="567"/>
    </row>
    <row r="13" spans="1:19" ht="12.75" thickBot="1">
      <c r="A13" s="25" t="s">
        <v>406</v>
      </c>
      <c r="B13" s="57" t="s">
        <v>1273</v>
      </c>
      <c r="C13" s="25" t="s">
        <v>420</v>
      </c>
      <c r="D13" s="568">
        <v>16311</v>
      </c>
      <c r="E13" s="567"/>
      <c r="F13" s="567"/>
      <c r="G13" s="567"/>
      <c r="H13" s="568">
        <v>83507811</v>
      </c>
      <c r="I13" s="567"/>
      <c r="J13" s="567"/>
      <c r="K13" s="567"/>
      <c r="L13" s="567"/>
      <c r="M13" s="567"/>
      <c r="N13" s="567"/>
      <c r="O13" s="571">
        <v>202510.61</v>
      </c>
      <c r="P13" s="571"/>
      <c r="Q13" s="567"/>
      <c r="R13" s="571">
        <v>202510.61</v>
      </c>
      <c r="S13" s="567"/>
    </row>
    <row r="14" spans="1:19" ht="12.75" thickBot="1">
      <c r="A14" s="25" t="s">
        <v>406</v>
      </c>
      <c r="B14" s="57" t="s">
        <v>1273</v>
      </c>
      <c r="C14" s="25" t="s">
        <v>421</v>
      </c>
      <c r="D14" s="76"/>
      <c r="E14" s="19"/>
      <c r="F14" s="19"/>
      <c r="G14" s="19"/>
      <c r="H14" s="76"/>
      <c r="I14" s="19"/>
      <c r="J14" s="19"/>
      <c r="K14" s="19"/>
      <c r="L14" s="19"/>
      <c r="M14" s="19"/>
      <c r="N14" s="19"/>
      <c r="O14" s="31"/>
      <c r="P14" s="144"/>
      <c r="Q14" s="19"/>
      <c r="R14" s="144"/>
      <c r="S14" s="19"/>
    </row>
    <row r="15" spans="1:19" ht="12.75" thickBot="1">
      <c r="A15" s="25" t="s">
        <v>406</v>
      </c>
      <c r="B15" s="57" t="s">
        <v>1273</v>
      </c>
      <c r="C15" s="25" t="s">
        <v>423</v>
      </c>
      <c r="D15" s="77"/>
      <c r="E15" s="20"/>
      <c r="F15" s="20"/>
      <c r="G15" s="20"/>
      <c r="H15" s="77"/>
      <c r="I15" s="20"/>
      <c r="J15" s="20"/>
      <c r="K15" s="20"/>
      <c r="L15" s="20"/>
      <c r="M15" s="20"/>
      <c r="N15" s="20"/>
      <c r="O15" s="28"/>
      <c r="P15" s="143"/>
      <c r="Q15" s="20"/>
      <c r="R15" s="143"/>
      <c r="S15" s="20"/>
    </row>
    <row r="16" spans="1:19" ht="12.75" thickBot="1">
      <c r="A16" s="25" t="s">
        <v>406</v>
      </c>
      <c r="B16" s="57" t="s">
        <v>1273</v>
      </c>
      <c r="C16" s="25" t="s">
        <v>424</v>
      </c>
      <c r="D16" s="568">
        <v>2</v>
      </c>
      <c r="E16" s="567"/>
      <c r="F16" s="567"/>
      <c r="G16" s="567"/>
      <c r="H16" s="568">
        <v>5498880</v>
      </c>
      <c r="I16" s="567"/>
      <c r="J16" s="567"/>
      <c r="K16" s="567"/>
      <c r="L16" s="573"/>
      <c r="M16" s="567"/>
      <c r="N16" s="567"/>
      <c r="O16" s="572"/>
      <c r="P16" s="571">
        <v>9316.7999999999993</v>
      </c>
      <c r="Q16" s="567"/>
      <c r="R16" s="571">
        <v>9316.7999999999993</v>
      </c>
      <c r="S16" s="567"/>
    </row>
    <row r="17" spans="1:26" ht="12.75" thickBot="1">
      <c r="A17" s="25" t="s">
        <v>406</v>
      </c>
      <c r="B17" s="57" t="s">
        <v>1273</v>
      </c>
      <c r="C17" s="25" t="s">
        <v>1204</v>
      </c>
      <c r="D17" s="77"/>
      <c r="E17" s="20"/>
      <c r="F17" s="20"/>
      <c r="G17" s="20"/>
      <c r="H17" s="20"/>
      <c r="I17" s="20"/>
      <c r="J17" s="20"/>
      <c r="K17" s="20"/>
      <c r="L17" s="20"/>
      <c r="M17" s="20"/>
      <c r="N17" s="20"/>
      <c r="O17" s="27"/>
      <c r="P17" s="20"/>
      <c r="Q17" s="20"/>
      <c r="R17" s="20"/>
      <c r="S17" s="20"/>
    </row>
    <row r="18" spans="1:26" ht="12.75" thickBot="1">
      <c r="A18" s="25" t="s">
        <v>406</v>
      </c>
      <c r="B18" s="57" t="s">
        <v>1273</v>
      </c>
      <c r="C18" s="25" t="s">
        <v>425</v>
      </c>
      <c r="D18" s="76"/>
      <c r="E18" s="19"/>
      <c r="F18" s="19"/>
      <c r="G18" s="19"/>
      <c r="H18" s="19"/>
      <c r="I18" s="19"/>
      <c r="J18" s="19"/>
      <c r="K18" s="19"/>
      <c r="L18" s="19"/>
      <c r="M18" s="19"/>
      <c r="N18" s="19"/>
      <c r="O18" s="30"/>
      <c r="P18" s="19"/>
      <c r="Q18" s="19"/>
      <c r="R18" s="19"/>
      <c r="S18" s="19"/>
    </row>
    <row r="19" spans="1:26" ht="12.75" thickBot="1">
      <c r="A19" s="25" t="s">
        <v>406</v>
      </c>
      <c r="B19" s="57" t="s">
        <v>1273</v>
      </c>
      <c r="C19" s="25" t="s">
        <v>426</v>
      </c>
      <c r="D19" s="568">
        <v>1</v>
      </c>
      <c r="E19" s="567"/>
      <c r="F19" s="567"/>
      <c r="G19" s="567"/>
      <c r="H19" s="568">
        <v>10975500</v>
      </c>
      <c r="I19" s="571"/>
      <c r="J19" s="567"/>
      <c r="K19" s="567"/>
      <c r="L19" s="573"/>
      <c r="M19" s="567"/>
      <c r="N19" s="567"/>
      <c r="O19" s="572"/>
      <c r="P19" s="571">
        <v>15562</v>
      </c>
      <c r="Q19" s="567"/>
      <c r="R19" s="571">
        <v>15562</v>
      </c>
      <c r="S19" s="573"/>
      <c r="U19" s="700">
        <v>0.98180000000000001</v>
      </c>
      <c r="V19">
        <v>-7.1999999999999995E-2</v>
      </c>
      <c r="W19">
        <v>464636.15999999997</v>
      </c>
      <c r="X19" t="s">
        <v>1323</v>
      </c>
      <c r="Y19">
        <f>V19*W19</f>
        <v>-33453.803519999994</v>
      </c>
      <c r="Z19" s="6">
        <v>41671</v>
      </c>
    </row>
    <row r="20" spans="1:26" ht="12.75" thickBot="1">
      <c r="A20" s="25" t="s">
        <v>406</v>
      </c>
      <c r="B20" s="57" t="s">
        <v>1273</v>
      </c>
      <c r="C20" s="25" t="s">
        <v>427</v>
      </c>
      <c r="D20" s="568">
        <v>12</v>
      </c>
      <c r="E20" s="567"/>
      <c r="F20" s="567"/>
      <c r="G20" s="567"/>
      <c r="H20" s="568">
        <v>68664529</v>
      </c>
      <c r="I20" s="571"/>
      <c r="J20" s="571"/>
      <c r="K20" s="571"/>
      <c r="L20" s="567"/>
      <c r="M20" s="567"/>
      <c r="N20" s="567"/>
      <c r="O20" s="572">
        <v>161805.84</v>
      </c>
      <c r="P20" s="571">
        <v>147087.78</v>
      </c>
      <c r="Q20" s="571">
        <v>90645.05</v>
      </c>
      <c r="R20" s="567"/>
      <c r="S20" s="567"/>
    </row>
    <row r="21" spans="1:26" ht="12.75" thickBot="1">
      <c r="A21" s="25" t="s">
        <v>406</v>
      </c>
      <c r="B21" s="57" t="s">
        <v>1273</v>
      </c>
      <c r="C21" s="25" t="s">
        <v>428</v>
      </c>
      <c r="D21" s="568">
        <v>224</v>
      </c>
      <c r="E21" s="567"/>
      <c r="F21" s="567"/>
      <c r="G21" s="567"/>
      <c r="H21" s="568">
        <v>19983286</v>
      </c>
      <c r="I21" s="567"/>
      <c r="J21" s="567"/>
      <c r="K21" s="567"/>
      <c r="L21" s="573"/>
      <c r="M21" s="573"/>
      <c r="N21" s="567"/>
      <c r="O21" s="572"/>
      <c r="P21" s="571">
        <v>62882.12</v>
      </c>
      <c r="Q21" s="567"/>
      <c r="R21" s="571">
        <v>62882.12</v>
      </c>
      <c r="S21" s="573"/>
    </row>
    <row r="22" spans="1:26" ht="12.75" thickBot="1">
      <c r="A22" s="25" t="s">
        <v>406</v>
      </c>
      <c r="B22" s="57" t="s">
        <v>1273</v>
      </c>
      <c r="C22" s="25" t="s">
        <v>429</v>
      </c>
      <c r="D22" s="568">
        <v>21</v>
      </c>
      <c r="E22" s="567"/>
      <c r="F22" s="567"/>
      <c r="G22" s="567"/>
      <c r="H22" s="568">
        <v>1027007</v>
      </c>
      <c r="I22" s="567"/>
      <c r="J22" s="567"/>
      <c r="K22" s="567"/>
      <c r="L22" s="573"/>
      <c r="M22" s="573"/>
      <c r="N22" s="567"/>
      <c r="O22" s="572"/>
      <c r="P22" s="571">
        <v>3724.22</v>
      </c>
      <c r="Q22" s="567"/>
      <c r="R22" s="571">
        <v>3724.22</v>
      </c>
      <c r="S22" s="573"/>
    </row>
    <row r="23" spans="1:26" ht="12.75" thickBot="1">
      <c r="A23" s="25" t="s">
        <v>406</v>
      </c>
      <c r="B23" s="57" t="s">
        <v>1273</v>
      </c>
      <c r="C23" s="25" t="s">
        <v>430</v>
      </c>
      <c r="D23" s="568">
        <v>87</v>
      </c>
      <c r="E23" s="567"/>
      <c r="F23" s="567"/>
      <c r="G23" s="567"/>
      <c r="H23" s="568">
        <v>18715683</v>
      </c>
      <c r="I23" s="571"/>
      <c r="J23" s="571"/>
      <c r="K23" s="571"/>
      <c r="L23" s="567"/>
      <c r="M23" s="567"/>
      <c r="N23" s="571"/>
      <c r="O23" s="571">
        <v>45890.25</v>
      </c>
      <c r="P23" s="571">
        <v>41453.519999999997</v>
      </c>
      <c r="Q23" s="571">
        <v>40895.56</v>
      </c>
      <c r="R23" s="567"/>
      <c r="S23" s="573"/>
    </row>
    <row r="24" spans="1:26" ht="12.75" thickBot="1">
      <c r="A24" s="25" t="s">
        <v>406</v>
      </c>
      <c r="B24" s="57" t="s">
        <v>1273</v>
      </c>
      <c r="C24" s="25" t="s">
        <v>431</v>
      </c>
      <c r="D24" s="568">
        <v>66</v>
      </c>
      <c r="E24" s="567"/>
      <c r="F24" s="567"/>
      <c r="G24" s="567"/>
      <c r="H24" s="568">
        <v>129504748</v>
      </c>
      <c r="I24" s="571"/>
      <c r="J24" s="571"/>
      <c r="K24" s="571"/>
      <c r="L24" s="567"/>
      <c r="M24" s="567"/>
      <c r="N24" s="567"/>
      <c r="O24" s="571">
        <v>318044.36</v>
      </c>
      <c r="P24" s="571">
        <v>288740.3</v>
      </c>
      <c r="Q24" s="571">
        <v>284904.73</v>
      </c>
      <c r="R24" s="567"/>
      <c r="S24" s="567"/>
    </row>
    <row r="25" spans="1:26" ht="12.75" thickBot="1">
      <c r="A25" s="25" t="s">
        <v>406</v>
      </c>
      <c r="B25" s="57" t="s">
        <v>1273</v>
      </c>
      <c r="C25" s="25" t="s">
        <v>433</v>
      </c>
      <c r="D25" s="568"/>
      <c r="E25" s="567"/>
      <c r="F25" s="567"/>
      <c r="G25" s="567"/>
      <c r="H25" s="568"/>
      <c r="I25" s="567"/>
      <c r="J25" s="567"/>
      <c r="K25" s="567"/>
      <c r="L25" s="567"/>
      <c r="M25" s="567"/>
      <c r="N25" s="567"/>
      <c r="O25" s="567"/>
      <c r="P25" s="567"/>
      <c r="Q25" s="567"/>
      <c r="R25" s="567"/>
      <c r="S25" s="567"/>
    </row>
    <row r="26" spans="1:26" ht="12.75" thickBot="1">
      <c r="A26" s="25" t="s">
        <v>406</v>
      </c>
      <c r="B26" s="57" t="s">
        <v>1273</v>
      </c>
      <c r="C26" s="25" t="s">
        <v>434</v>
      </c>
      <c r="D26" s="568">
        <v>156</v>
      </c>
      <c r="E26" s="567"/>
      <c r="F26" s="567"/>
      <c r="G26" s="567"/>
      <c r="H26" s="568">
        <v>367257</v>
      </c>
      <c r="I26" s="567"/>
      <c r="J26" s="567"/>
      <c r="K26" s="567"/>
      <c r="L26" s="567"/>
      <c r="M26" s="567"/>
      <c r="N26" s="567"/>
      <c r="O26" s="567"/>
      <c r="P26" s="567"/>
      <c r="Q26" s="567"/>
      <c r="R26" s="567"/>
      <c r="S26" s="567"/>
    </row>
    <row r="27" spans="1:26" ht="12.75" thickBot="1">
      <c r="A27" s="25" t="s">
        <v>406</v>
      </c>
      <c r="B27" s="57" t="s">
        <v>1273</v>
      </c>
      <c r="C27" s="25" t="s">
        <v>435</v>
      </c>
      <c r="D27" s="77"/>
      <c r="E27" s="20"/>
      <c r="F27" s="20"/>
      <c r="G27" s="20"/>
      <c r="H27" s="77"/>
      <c r="I27" s="20"/>
      <c r="J27" s="20"/>
      <c r="K27" s="20"/>
      <c r="L27" s="20"/>
      <c r="M27" s="20"/>
      <c r="N27" s="20"/>
      <c r="O27" s="20"/>
      <c r="P27" s="20"/>
      <c r="Q27" s="20"/>
      <c r="R27" s="20"/>
      <c r="S27" s="20"/>
    </row>
    <row r="28" spans="1:26" ht="12.75" thickBot="1">
      <c r="A28" s="25" t="s">
        <v>406</v>
      </c>
      <c r="B28" s="57" t="s">
        <v>1273</v>
      </c>
      <c r="C28" s="25" t="s">
        <v>436</v>
      </c>
      <c r="D28" s="568">
        <v>905</v>
      </c>
      <c r="E28" s="567"/>
      <c r="F28" s="567"/>
      <c r="G28" s="567"/>
      <c r="H28" s="568">
        <v>296686</v>
      </c>
      <c r="I28" s="567"/>
      <c r="J28" s="567"/>
      <c r="K28" s="567"/>
      <c r="L28" s="567"/>
      <c r="M28" s="567"/>
      <c r="N28" s="567"/>
      <c r="O28" s="567"/>
      <c r="P28" s="567"/>
      <c r="Q28" s="567"/>
      <c r="R28" s="567"/>
      <c r="S28" s="567"/>
    </row>
    <row r="29" spans="1:26" ht="12.75" thickBot="1">
      <c r="A29" s="25" t="s">
        <v>406</v>
      </c>
      <c r="B29" s="57" t="s">
        <v>1273</v>
      </c>
      <c r="C29" s="25" t="s">
        <v>437</v>
      </c>
      <c r="D29" s="77"/>
      <c r="E29" s="20"/>
      <c r="F29" s="20"/>
      <c r="G29" s="20"/>
      <c r="H29" s="77"/>
      <c r="I29" s="20"/>
      <c r="J29" s="20"/>
      <c r="K29" s="20"/>
      <c r="L29" s="20"/>
      <c r="M29" s="20"/>
      <c r="N29" s="20"/>
      <c r="O29" s="20"/>
      <c r="P29" s="20"/>
      <c r="Q29" s="20"/>
      <c r="R29" s="20"/>
      <c r="S29" s="20"/>
    </row>
    <row r="30" spans="1:26" ht="12.75" thickBot="1">
      <c r="A30" s="25" t="s">
        <v>406</v>
      </c>
      <c r="B30" s="57" t="s">
        <v>1273</v>
      </c>
      <c r="C30" s="25" t="s">
        <v>438</v>
      </c>
      <c r="D30" s="76"/>
      <c r="E30" s="19"/>
      <c r="F30" s="19"/>
      <c r="G30" s="19"/>
      <c r="H30" s="76"/>
      <c r="I30" s="19"/>
      <c r="J30" s="19"/>
      <c r="K30" s="19"/>
      <c r="L30" s="19"/>
      <c r="M30" s="19"/>
      <c r="N30" s="19"/>
      <c r="O30" s="19"/>
      <c r="P30" s="19"/>
      <c r="Q30" s="19"/>
      <c r="R30" s="19"/>
      <c r="S30" s="19"/>
    </row>
    <row r="31" spans="1:26" ht="12.75" thickBot="1">
      <c r="A31" s="25" t="s">
        <v>406</v>
      </c>
      <c r="B31" s="57" t="s">
        <v>1273</v>
      </c>
      <c r="C31" s="25" t="s">
        <v>439</v>
      </c>
      <c r="D31" s="568">
        <v>359156</v>
      </c>
      <c r="E31" s="567"/>
      <c r="F31" s="567"/>
      <c r="G31" s="567"/>
      <c r="H31" s="568">
        <v>379463319</v>
      </c>
      <c r="I31" s="567"/>
      <c r="J31" s="567"/>
      <c r="K31" s="567"/>
      <c r="L31" s="567"/>
      <c r="M31" s="567"/>
      <c r="N31" s="567"/>
      <c r="O31" s="567"/>
      <c r="P31" s="567"/>
      <c r="Q31" s="567"/>
      <c r="R31" s="567"/>
      <c r="S31" s="567"/>
    </row>
    <row r="32" spans="1:26" ht="12.75" thickBot="1">
      <c r="A32" s="25" t="s">
        <v>406</v>
      </c>
      <c r="B32" s="57" t="s">
        <v>1273</v>
      </c>
      <c r="C32" s="25" t="s">
        <v>440</v>
      </c>
      <c r="D32" s="76"/>
      <c r="E32" s="19"/>
      <c r="F32" s="19"/>
      <c r="G32" s="19"/>
      <c r="H32" s="76"/>
      <c r="I32" s="19"/>
      <c r="J32" s="19"/>
      <c r="K32" s="19"/>
      <c r="L32" s="19"/>
      <c r="M32" s="19"/>
      <c r="N32" s="19"/>
      <c r="O32" s="19"/>
      <c r="P32" s="19"/>
      <c r="Q32" s="19"/>
      <c r="R32" s="19"/>
      <c r="S32" s="19"/>
    </row>
    <row r="33" spans="1:19" ht="12.75" thickBot="1">
      <c r="A33" s="25" t="s">
        <v>406</v>
      </c>
      <c r="B33" s="57" t="s">
        <v>1273</v>
      </c>
      <c r="C33" s="25" t="s">
        <v>441</v>
      </c>
      <c r="D33" s="77"/>
      <c r="E33" s="20"/>
      <c r="F33" s="20"/>
      <c r="G33" s="20"/>
      <c r="H33" s="77"/>
      <c r="I33" s="20"/>
      <c r="J33" s="20"/>
      <c r="K33" s="20"/>
      <c r="L33" s="20"/>
      <c r="M33" s="20"/>
      <c r="N33" s="20"/>
      <c r="O33" s="20"/>
      <c r="P33" s="20"/>
      <c r="Q33" s="20"/>
      <c r="R33" s="20"/>
      <c r="S33" s="20"/>
    </row>
    <row r="34" spans="1:19" ht="12.75" thickBot="1">
      <c r="A34" s="25" t="s">
        <v>406</v>
      </c>
      <c r="B34" s="57" t="s">
        <v>1273</v>
      </c>
      <c r="C34" s="25" t="s">
        <v>755</v>
      </c>
      <c r="D34" s="76"/>
      <c r="E34" s="18"/>
      <c r="F34" s="18"/>
      <c r="G34" s="18"/>
      <c r="H34" s="76"/>
      <c r="I34" s="19"/>
      <c r="J34" s="19"/>
      <c r="K34" s="19"/>
      <c r="L34" s="19"/>
      <c r="M34" s="19"/>
      <c r="N34" s="19"/>
      <c r="O34" s="19"/>
      <c r="P34" s="19"/>
      <c r="Q34" s="19"/>
      <c r="R34" s="19"/>
      <c r="S34" s="19"/>
    </row>
    <row r="35" spans="1:19" ht="12.75" thickBot="1">
      <c r="A35" s="25" t="s">
        <v>406</v>
      </c>
      <c r="B35" s="57" t="s">
        <v>1273</v>
      </c>
      <c r="C35" s="25" t="s">
        <v>1208</v>
      </c>
      <c r="D35" s="77"/>
      <c r="E35" s="17"/>
      <c r="F35" s="17"/>
      <c r="G35" s="17"/>
      <c r="H35" s="77"/>
      <c r="I35" s="20"/>
      <c r="J35" s="20"/>
      <c r="K35" s="20"/>
      <c r="L35" s="20"/>
      <c r="M35" s="20"/>
      <c r="N35" s="20"/>
      <c r="O35" s="20"/>
      <c r="P35" s="20"/>
      <c r="Q35" s="20"/>
      <c r="R35" s="20"/>
      <c r="S35" s="20"/>
    </row>
    <row r="36" spans="1:19" ht="12.75" thickBot="1">
      <c r="A36" s="25" t="s">
        <v>406</v>
      </c>
      <c r="B36" s="57" t="s">
        <v>1273</v>
      </c>
      <c r="C36" s="42" t="s">
        <v>7</v>
      </c>
      <c r="D36" s="79"/>
      <c r="E36" s="21"/>
      <c r="F36" s="21"/>
      <c r="G36" s="21"/>
      <c r="H36" s="79"/>
      <c r="I36" s="145"/>
      <c r="J36" s="145"/>
      <c r="K36" s="145"/>
      <c r="L36" s="21"/>
      <c r="M36" s="21"/>
      <c r="N36" s="145"/>
      <c r="O36" s="44"/>
      <c r="P36" s="145"/>
      <c r="Q36" s="145"/>
      <c r="R36" s="145"/>
      <c r="S36" s="21"/>
    </row>
    <row r="37" spans="1:19" ht="12.75" thickBot="1">
      <c r="A37" s="16" t="s">
        <v>406</v>
      </c>
      <c r="B37" s="569" t="s">
        <v>1274</v>
      </c>
      <c r="C37" s="16" t="s">
        <v>407</v>
      </c>
      <c r="D37" s="77"/>
      <c r="E37" s="20"/>
      <c r="F37" s="20"/>
      <c r="G37" s="20"/>
      <c r="H37" s="77"/>
      <c r="I37" s="20"/>
      <c r="J37" s="20"/>
      <c r="K37" s="20"/>
      <c r="L37" s="20"/>
      <c r="M37" s="20"/>
      <c r="N37" s="20"/>
      <c r="O37" s="20"/>
      <c r="P37" s="20"/>
      <c r="Q37" s="20"/>
      <c r="R37" s="20"/>
      <c r="S37" s="20"/>
    </row>
    <row r="38" spans="1:19" ht="12.75" thickBot="1">
      <c r="A38" s="16" t="s">
        <v>406</v>
      </c>
      <c r="B38" s="569" t="s">
        <v>1274</v>
      </c>
      <c r="C38" s="16" t="s">
        <v>409</v>
      </c>
      <c r="D38" s="568">
        <v>28102</v>
      </c>
      <c r="E38" s="567"/>
      <c r="F38" s="567"/>
      <c r="G38" s="567"/>
      <c r="H38" s="568">
        <v>30448441</v>
      </c>
      <c r="I38" s="567"/>
      <c r="J38" s="567"/>
      <c r="K38" s="567"/>
      <c r="L38" s="567"/>
      <c r="M38" s="567"/>
      <c r="N38" s="567"/>
      <c r="O38" s="567"/>
      <c r="P38" s="571"/>
      <c r="Q38" s="567"/>
      <c r="R38" s="571"/>
      <c r="S38" s="567"/>
    </row>
    <row r="39" spans="1:19" ht="12.75" thickBot="1">
      <c r="A39" s="16" t="s">
        <v>406</v>
      </c>
      <c r="B39" s="569" t="s">
        <v>1274</v>
      </c>
      <c r="C39" s="16" t="s">
        <v>410</v>
      </c>
      <c r="D39" s="77"/>
      <c r="E39" s="20"/>
      <c r="F39" s="20"/>
      <c r="G39" s="20"/>
      <c r="H39" s="77"/>
      <c r="I39" s="20"/>
      <c r="J39" s="20"/>
      <c r="K39" s="20"/>
      <c r="L39" s="20"/>
      <c r="M39" s="20"/>
      <c r="N39" s="20"/>
      <c r="O39" s="20"/>
      <c r="P39" s="20"/>
      <c r="Q39" s="20"/>
      <c r="R39" s="20"/>
      <c r="S39" s="20"/>
    </row>
    <row r="40" spans="1:19" ht="12.75" thickBot="1">
      <c r="A40" s="16" t="s">
        <v>406</v>
      </c>
      <c r="B40" s="569" t="s">
        <v>1274</v>
      </c>
      <c r="C40" s="16" t="s">
        <v>411</v>
      </c>
      <c r="D40" s="76"/>
      <c r="E40" s="19"/>
      <c r="F40" s="19"/>
      <c r="G40" s="19"/>
      <c r="H40" s="76"/>
      <c r="I40" s="19"/>
      <c r="J40" s="19"/>
      <c r="K40" s="19"/>
      <c r="L40" s="19"/>
      <c r="M40" s="19"/>
      <c r="N40" s="19"/>
      <c r="O40" s="19"/>
      <c r="P40" s="144"/>
      <c r="Q40" s="19"/>
      <c r="R40" s="144"/>
      <c r="S40" s="19"/>
    </row>
    <row r="41" spans="1:19" ht="12.75" thickBot="1">
      <c r="A41" s="16" t="s">
        <v>406</v>
      </c>
      <c r="B41" s="569" t="s">
        <v>1274</v>
      </c>
      <c r="C41" s="16" t="s">
        <v>413</v>
      </c>
      <c r="D41" s="77"/>
      <c r="E41" s="20"/>
      <c r="F41" s="20"/>
      <c r="G41" s="20"/>
      <c r="H41" s="77"/>
      <c r="I41" s="20"/>
      <c r="J41" s="20"/>
      <c r="K41" s="20"/>
      <c r="L41" s="20"/>
      <c r="M41" s="20"/>
      <c r="N41" s="20"/>
      <c r="O41" s="20"/>
      <c r="P41" s="20"/>
      <c r="Q41" s="20"/>
      <c r="R41" s="20"/>
      <c r="S41" s="20"/>
    </row>
    <row r="42" spans="1:19" ht="12.75" thickBot="1">
      <c r="A42" s="16" t="s">
        <v>406</v>
      </c>
      <c r="B42" s="569" t="s">
        <v>1274</v>
      </c>
      <c r="C42" s="16" t="s">
        <v>414</v>
      </c>
      <c r="D42" s="568">
        <v>2579</v>
      </c>
      <c r="E42" s="567"/>
      <c r="F42" s="567"/>
      <c r="G42" s="567"/>
      <c r="H42" s="568">
        <v>136097089</v>
      </c>
      <c r="I42" s="567"/>
      <c r="J42" s="567"/>
      <c r="K42" s="567"/>
      <c r="L42" s="573"/>
      <c r="M42" s="573"/>
      <c r="N42" s="567"/>
      <c r="O42" s="567"/>
      <c r="P42" s="571">
        <v>337872.83</v>
      </c>
      <c r="Q42" s="567"/>
      <c r="R42" s="571">
        <v>337872.83</v>
      </c>
      <c r="S42" s="573"/>
    </row>
    <row r="43" spans="1:19" ht="12.75" thickBot="1">
      <c r="A43" s="16" t="s">
        <v>406</v>
      </c>
      <c r="B43" s="569" t="s">
        <v>1274</v>
      </c>
      <c r="C43" s="16" t="s">
        <v>415</v>
      </c>
      <c r="D43" s="568">
        <v>52</v>
      </c>
      <c r="E43" s="567"/>
      <c r="F43" s="567"/>
      <c r="G43" s="567"/>
      <c r="H43" s="568">
        <v>10884472</v>
      </c>
      <c r="I43" s="567"/>
      <c r="J43" s="567"/>
      <c r="K43" s="567"/>
      <c r="L43" s="573"/>
      <c r="M43" s="573"/>
      <c r="N43" s="567"/>
      <c r="O43" s="567"/>
      <c r="P43" s="571">
        <v>26512.74</v>
      </c>
      <c r="Q43" s="567"/>
      <c r="R43" s="571">
        <v>26512.74</v>
      </c>
      <c r="S43" s="573"/>
    </row>
    <row r="44" spans="1:19" ht="12.75" thickBot="1">
      <c r="A44" s="16" t="s">
        <v>406</v>
      </c>
      <c r="B44" s="569" t="s">
        <v>1274</v>
      </c>
      <c r="C44" s="16" t="s">
        <v>416</v>
      </c>
      <c r="D44" s="76"/>
      <c r="E44" s="19"/>
      <c r="F44" s="19"/>
      <c r="G44" s="19"/>
      <c r="H44" s="76"/>
      <c r="I44" s="19"/>
      <c r="J44" s="19"/>
      <c r="K44" s="19"/>
      <c r="L44" s="18"/>
      <c r="M44" s="19"/>
      <c r="N44" s="19"/>
      <c r="O44" s="19"/>
      <c r="P44" s="144"/>
      <c r="Q44" s="19"/>
      <c r="R44" s="144"/>
      <c r="S44" s="19"/>
    </row>
    <row r="45" spans="1:19" ht="12.75" thickBot="1">
      <c r="A45" s="16" t="s">
        <v>406</v>
      </c>
      <c r="B45" s="569" t="s">
        <v>1274</v>
      </c>
      <c r="C45" s="16" t="s">
        <v>417</v>
      </c>
      <c r="D45" s="568">
        <v>211</v>
      </c>
      <c r="E45" s="567"/>
      <c r="F45" s="567"/>
      <c r="G45" s="567"/>
      <c r="H45" s="568">
        <v>59375199</v>
      </c>
      <c r="I45" s="571"/>
      <c r="J45" s="571"/>
      <c r="K45" s="571"/>
      <c r="L45" s="567"/>
      <c r="M45" s="567"/>
      <c r="N45" s="571"/>
      <c r="O45" s="571">
        <v>135768.23000000001</v>
      </c>
      <c r="P45" s="571">
        <v>124709.57</v>
      </c>
      <c r="Q45" s="571">
        <v>122141.63</v>
      </c>
      <c r="R45" s="567"/>
      <c r="S45" s="573"/>
    </row>
    <row r="46" spans="1:19" ht="12.75" thickBot="1">
      <c r="A46" s="16" t="s">
        <v>406</v>
      </c>
      <c r="B46" s="569" t="s">
        <v>1274</v>
      </c>
      <c r="C46" s="16" t="s">
        <v>418</v>
      </c>
      <c r="D46" s="568">
        <v>36</v>
      </c>
      <c r="E46" s="567"/>
      <c r="F46" s="567"/>
      <c r="G46" s="567"/>
      <c r="H46" s="568">
        <v>27470272</v>
      </c>
      <c r="I46" s="571"/>
      <c r="J46" s="571"/>
      <c r="K46" s="571"/>
      <c r="L46" s="567"/>
      <c r="M46" s="567"/>
      <c r="N46" s="567"/>
      <c r="O46" s="571">
        <v>65785.25</v>
      </c>
      <c r="P46" s="571">
        <v>57131.37</v>
      </c>
      <c r="Q46" s="571">
        <v>55738.06</v>
      </c>
      <c r="R46" s="567"/>
      <c r="S46" s="567"/>
    </row>
    <row r="47" spans="1:19" ht="12.75" thickBot="1">
      <c r="A47" s="16" t="s">
        <v>406</v>
      </c>
      <c r="B47" s="569" t="s">
        <v>1274</v>
      </c>
      <c r="C47" s="16" t="s">
        <v>420</v>
      </c>
      <c r="D47" s="568">
        <v>16317</v>
      </c>
      <c r="E47" s="567"/>
      <c r="F47" s="567"/>
      <c r="G47" s="567"/>
      <c r="H47" s="568">
        <v>77606706</v>
      </c>
      <c r="I47" s="567"/>
      <c r="J47" s="567"/>
      <c r="K47" s="567"/>
      <c r="L47" s="567"/>
      <c r="M47" s="567"/>
      <c r="N47" s="567"/>
      <c r="O47" s="571">
        <v>197014.88</v>
      </c>
      <c r="P47" s="571"/>
      <c r="Q47" s="567"/>
      <c r="R47" s="571">
        <v>197014.88</v>
      </c>
      <c r="S47" s="567"/>
    </row>
    <row r="48" spans="1:19" ht="12.75" thickBot="1">
      <c r="A48" s="16" t="s">
        <v>406</v>
      </c>
      <c r="B48" s="569" t="s">
        <v>1274</v>
      </c>
      <c r="C48" s="16" t="s">
        <v>421</v>
      </c>
      <c r="D48" s="76"/>
      <c r="E48" s="19"/>
      <c r="F48" s="19"/>
      <c r="G48" s="19"/>
      <c r="H48" s="76"/>
      <c r="I48" s="19"/>
      <c r="J48" s="19"/>
      <c r="K48" s="19"/>
      <c r="L48" s="19"/>
      <c r="M48" s="19"/>
      <c r="N48" s="19"/>
      <c r="O48" s="19"/>
      <c r="P48" s="144"/>
      <c r="Q48" s="19"/>
      <c r="R48" s="144"/>
      <c r="S48" s="19"/>
    </row>
    <row r="49" spans="1:26" ht="12.75" thickBot="1">
      <c r="A49" s="16" t="s">
        <v>406</v>
      </c>
      <c r="B49" s="569" t="s">
        <v>1274</v>
      </c>
      <c r="C49" s="16" t="s">
        <v>423</v>
      </c>
      <c r="D49" s="77"/>
      <c r="E49" s="20"/>
      <c r="F49" s="20"/>
      <c r="G49" s="20"/>
      <c r="H49" s="77"/>
      <c r="I49" s="20"/>
      <c r="J49" s="20"/>
      <c r="K49" s="20"/>
      <c r="L49" s="20"/>
      <c r="M49" s="20"/>
      <c r="N49" s="20"/>
      <c r="O49" s="20"/>
      <c r="P49" s="143"/>
      <c r="Q49" s="20"/>
      <c r="R49" s="143"/>
      <c r="S49" s="20"/>
    </row>
    <row r="50" spans="1:26" ht="12.75" thickBot="1">
      <c r="A50" s="16" t="s">
        <v>406</v>
      </c>
      <c r="B50" s="569" t="s">
        <v>1274</v>
      </c>
      <c r="C50" s="16" t="s">
        <v>424</v>
      </c>
      <c r="D50" s="568">
        <v>2</v>
      </c>
      <c r="E50" s="567"/>
      <c r="F50" s="567"/>
      <c r="G50" s="567"/>
      <c r="H50" s="568">
        <v>4744800</v>
      </c>
      <c r="I50" s="567"/>
      <c r="J50" s="567"/>
      <c r="K50" s="567"/>
      <c r="L50" s="573"/>
      <c r="M50" s="567"/>
      <c r="N50" s="567"/>
      <c r="O50" s="567"/>
      <c r="P50" s="571">
        <v>9316.7999999999993</v>
      </c>
      <c r="Q50" s="567"/>
      <c r="R50" s="571">
        <v>9316.7999999999993</v>
      </c>
      <c r="S50" s="567"/>
    </row>
    <row r="51" spans="1:26" ht="12.75" thickBot="1">
      <c r="A51" s="16" t="s">
        <v>406</v>
      </c>
      <c r="B51" s="569" t="s">
        <v>1274</v>
      </c>
      <c r="C51" s="16" t="s">
        <v>1204</v>
      </c>
      <c r="D51" s="77"/>
      <c r="E51" s="20"/>
      <c r="F51" s="20"/>
      <c r="G51" s="20"/>
      <c r="H51" s="20"/>
      <c r="I51" s="20"/>
      <c r="J51" s="20"/>
      <c r="K51" s="20"/>
      <c r="L51" s="20"/>
      <c r="M51" s="20"/>
      <c r="N51" s="20"/>
      <c r="O51" s="20"/>
      <c r="P51" s="20"/>
      <c r="Q51" s="20"/>
      <c r="R51" s="20"/>
      <c r="S51" s="20"/>
    </row>
    <row r="52" spans="1:26" ht="12.75" thickBot="1">
      <c r="A52" s="16" t="s">
        <v>406</v>
      </c>
      <c r="B52" s="569" t="s">
        <v>1274</v>
      </c>
      <c r="C52" s="16" t="s">
        <v>425</v>
      </c>
      <c r="D52" s="76"/>
      <c r="E52" s="19"/>
      <c r="F52" s="19"/>
      <c r="G52" s="19"/>
      <c r="H52" s="19"/>
      <c r="I52" s="19"/>
      <c r="J52" s="19"/>
      <c r="K52" s="19"/>
      <c r="L52" s="19"/>
      <c r="M52" s="19"/>
      <c r="N52" s="19"/>
      <c r="O52" s="19"/>
      <c r="P52" s="19"/>
      <c r="Q52" s="19"/>
      <c r="R52" s="19"/>
      <c r="S52" s="19"/>
    </row>
    <row r="53" spans="1:26" ht="12.75" thickBot="1">
      <c r="A53" s="16" t="s">
        <v>406</v>
      </c>
      <c r="B53" s="569" t="s">
        <v>1274</v>
      </c>
      <c r="C53" s="16" t="s">
        <v>426</v>
      </c>
      <c r="D53" s="568">
        <v>1</v>
      </c>
      <c r="E53" s="567"/>
      <c r="F53" s="567"/>
      <c r="G53" s="567"/>
      <c r="H53" s="568">
        <v>9522500</v>
      </c>
      <c r="I53" s="571"/>
      <c r="J53" s="567"/>
      <c r="K53" s="567"/>
      <c r="L53" s="573"/>
      <c r="M53" s="567"/>
      <c r="N53" s="567"/>
      <c r="O53" s="567"/>
      <c r="P53" s="571">
        <v>14314</v>
      </c>
      <c r="Q53" s="567"/>
      <c r="R53" s="571">
        <v>14314</v>
      </c>
      <c r="S53" s="573"/>
      <c r="U53" s="700">
        <v>0.98340000000000005</v>
      </c>
      <c r="V53">
        <v>-7.1999999999999995E-2</v>
      </c>
      <c r="W53">
        <v>446777.28</v>
      </c>
      <c r="X53" t="s">
        <v>1323</v>
      </c>
      <c r="Y53">
        <f>V53*W53</f>
        <v>-32167.96416</v>
      </c>
      <c r="Z53" s="6">
        <v>41699</v>
      </c>
    </row>
    <row r="54" spans="1:26" ht="12.75" thickBot="1">
      <c r="A54" s="16" t="s">
        <v>406</v>
      </c>
      <c r="B54" s="569" t="s">
        <v>1274</v>
      </c>
      <c r="C54" s="16" t="s">
        <v>427</v>
      </c>
      <c r="D54" s="568">
        <v>12</v>
      </c>
      <c r="E54" s="567"/>
      <c r="F54" s="567"/>
      <c r="G54" s="567"/>
      <c r="H54" s="568">
        <v>57918168</v>
      </c>
      <c r="I54" s="571"/>
      <c r="J54" s="571"/>
      <c r="K54" s="571"/>
      <c r="L54" s="567"/>
      <c r="M54" s="567"/>
      <c r="N54" s="567"/>
      <c r="O54" s="573">
        <v>151940.91</v>
      </c>
      <c r="P54" s="571">
        <v>139155.96</v>
      </c>
      <c r="Q54" s="571">
        <v>76458.62</v>
      </c>
      <c r="R54" s="567"/>
      <c r="S54" s="567"/>
    </row>
    <row r="55" spans="1:26" ht="12.75" thickBot="1">
      <c r="A55" s="16" t="s">
        <v>406</v>
      </c>
      <c r="B55" s="569" t="s">
        <v>1274</v>
      </c>
      <c r="C55" s="16" t="s">
        <v>428</v>
      </c>
      <c r="D55" s="568">
        <v>223</v>
      </c>
      <c r="E55" s="567"/>
      <c r="F55" s="567"/>
      <c r="G55" s="567"/>
      <c r="H55" s="568">
        <v>19552110</v>
      </c>
      <c r="I55" s="567"/>
      <c r="J55" s="567"/>
      <c r="K55" s="567"/>
      <c r="L55" s="573"/>
      <c r="M55" s="573"/>
      <c r="N55" s="567"/>
      <c r="O55" s="567"/>
      <c r="P55" s="571">
        <v>61759.199999999997</v>
      </c>
      <c r="Q55" s="567"/>
      <c r="R55" s="571">
        <v>61759.199999999997</v>
      </c>
      <c r="S55" s="573"/>
    </row>
    <row r="56" spans="1:26" ht="12.75" thickBot="1">
      <c r="A56" s="16" t="s">
        <v>406</v>
      </c>
      <c r="B56" s="569" t="s">
        <v>1274</v>
      </c>
      <c r="C56" s="16" t="s">
        <v>429</v>
      </c>
      <c r="D56" s="568">
        <v>21</v>
      </c>
      <c r="E56" s="567"/>
      <c r="F56" s="567"/>
      <c r="G56" s="567"/>
      <c r="H56" s="568">
        <v>993661</v>
      </c>
      <c r="I56" s="567"/>
      <c r="J56" s="567"/>
      <c r="K56" s="567"/>
      <c r="L56" s="573"/>
      <c r="M56" s="573"/>
      <c r="N56" s="567"/>
      <c r="O56" s="567"/>
      <c r="P56" s="571">
        <v>3603.29</v>
      </c>
      <c r="Q56" s="567"/>
      <c r="R56" s="571">
        <v>3603.29</v>
      </c>
      <c r="S56" s="573"/>
    </row>
    <row r="57" spans="1:26" ht="12.75" thickBot="1">
      <c r="A57" s="16" t="s">
        <v>406</v>
      </c>
      <c r="B57" s="569" t="s">
        <v>1274</v>
      </c>
      <c r="C57" s="16" t="s">
        <v>430</v>
      </c>
      <c r="D57" s="568">
        <v>88</v>
      </c>
      <c r="E57" s="567"/>
      <c r="F57" s="567"/>
      <c r="G57" s="567"/>
      <c r="H57" s="568">
        <v>19185880</v>
      </c>
      <c r="I57" s="571"/>
      <c r="J57" s="571"/>
      <c r="K57" s="571"/>
      <c r="L57" s="567"/>
      <c r="M57" s="567"/>
      <c r="N57" s="571"/>
      <c r="O57" s="571">
        <v>48977.26</v>
      </c>
      <c r="P57" s="571">
        <v>44593.03</v>
      </c>
      <c r="Q57" s="571">
        <v>43810.98</v>
      </c>
      <c r="R57" s="567"/>
      <c r="S57" s="573"/>
    </row>
    <row r="58" spans="1:26" ht="12.75" thickBot="1">
      <c r="A58" s="16" t="s">
        <v>406</v>
      </c>
      <c r="B58" s="569" t="s">
        <v>1274</v>
      </c>
      <c r="C58" s="16" t="s">
        <v>431</v>
      </c>
      <c r="D58" s="568">
        <v>67</v>
      </c>
      <c r="E58" s="567"/>
      <c r="F58" s="567"/>
      <c r="G58" s="567"/>
      <c r="H58" s="568">
        <v>125299763</v>
      </c>
      <c r="I58" s="571"/>
      <c r="J58" s="571"/>
      <c r="K58" s="571"/>
      <c r="L58" s="567"/>
      <c r="M58" s="567"/>
      <c r="N58" s="567"/>
      <c r="O58" s="571">
        <v>307717.53999999998</v>
      </c>
      <c r="P58" s="571">
        <v>279364.98</v>
      </c>
      <c r="Q58" s="571">
        <v>275653.94</v>
      </c>
      <c r="R58" s="567"/>
      <c r="S58" s="567"/>
    </row>
    <row r="59" spans="1:26" ht="12.75" thickBot="1">
      <c r="A59" s="16" t="s">
        <v>406</v>
      </c>
      <c r="B59" s="569" t="s">
        <v>1274</v>
      </c>
      <c r="C59" s="16" t="s">
        <v>433</v>
      </c>
      <c r="D59" s="568"/>
      <c r="E59" s="567"/>
      <c r="F59" s="567"/>
      <c r="G59" s="567"/>
      <c r="H59" s="568"/>
      <c r="I59" s="567"/>
      <c r="J59" s="567"/>
      <c r="K59" s="567"/>
      <c r="L59" s="567"/>
      <c r="M59" s="567"/>
      <c r="N59" s="567"/>
      <c r="O59" s="567"/>
      <c r="P59" s="567"/>
      <c r="Q59" s="567"/>
      <c r="R59" s="567"/>
      <c r="S59" s="567"/>
    </row>
    <row r="60" spans="1:26" ht="12.75" thickBot="1">
      <c r="A60" s="16" t="s">
        <v>406</v>
      </c>
      <c r="B60" s="569" t="s">
        <v>1274</v>
      </c>
      <c r="C60" s="16" t="s">
        <v>434</v>
      </c>
      <c r="D60" s="568">
        <v>156</v>
      </c>
      <c r="E60" s="567"/>
      <c r="F60" s="567"/>
      <c r="G60" s="567"/>
      <c r="H60" s="568">
        <v>285906</v>
      </c>
      <c r="I60" s="567"/>
      <c r="J60" s="567"/>
      <c r="K60" s="567"/>
      <c r="L60" s="567"/>
      <c r="M60" s="567"/>
      <c r="N60" s="567"/>
      <c r="O60" s="567"/>
      <c r="P60" s="567"/>
      <c r="Q60" s="567"/>
      <c r="R60" s="567"/>
      <c r="S60" s="567"/>
    </row>
    <row r="61" spans="1:26" ht="12.75" thickBot="1">
      <c r="A61" s="16" t="s">
        <v>406</v>
      </c>
      <c r="B61" s="569" t="s">
        <v>1274</v>
      </c>
      <c r="C61" s="16" t="s">
        <v>435</v>
      </c>
      <c r="D61" s="77"/>
      <c r="E61" s="20"/>
      <c r="F61" s="20"/>
      <c r="G61" s="20"/>
      <c r="H61" s="77"/>
      <c r="I61" s="20"/>
      <c r="J61" s="20"/>
      <c r="K61" s="20"/>
      <c r="L61" s="20"/>
      <c r="M61" s="20"/>
      <c r="N61" s="20"/>
      <c r="O61" s="20"/>
      <c r="P61" s="20"/>
      <c r="Q61" s="20"/>
      <c r="R61" s="20"/>
      <c r="S61" s="20"/>
    </row>
    <row r="62" spans="1:26" ht="12.75" thickBot="1">
      <c r="A62" s="16" t="s">
        <v>406</v>
      </c>
      <c r="B62" s="569" t="s">
        <v>1274</v>
      </c>
      <c r="C62" s="16" t="s">
        <v>436</v>
      </c>
      <c r="D62" s="568">
        <v>905</v>
      </c>
      <c r="E62" s="567"/>
      <c r="F62" s="567"/>
      <c r="G62" s="567"/>
      <c r="H62" s="568">
        <v>246865</v>
      </c>
      <c r="I62" s="567"/>
      <c r="J62" s="567"/>
      <c r="K62" s="567"/>
      <c r="L62" s="567"/>
      <c r="M62" s="567"/>
      <c r="N62" s="567"/>
      <c r="O62" s="567"/>
      <c r="P62" s="567"/>
      <c r="Q62" s="567"/>
      <c r="R62" s="567"/>
      <c r="S62" s="567"/>
    </row>
    <row r="63" spans="1:26" ht="12.75" thickBot="1">
      <c r="A63" s="16" t="s">
        <v>406</v>
      </c>
      <c r="B63" s="569" t="s">
        <v>1274</v>
      </c>
      <c r="C63" s="16" t="s">
        <v>437</v>
      </c>
      <c r="D63" s="77"/>
      <c r="E63" s="20"/>
      <c r="F63" s="20"/>
      <c r="G63" s="20"/>
      <c r="H63" s="77"/>
      <c r="I63" s="20"/>
      <c r="J63" s="20"/>
      <c r="K63" s="20"/>
      <c r="L63" s="20"/>
      <c r="M63" s="20"/>
      <c r="N63" s="20"/>
      <c r="O63" s="20"/>
      <c r="P63" s="20"/>
      <c r="Q63" s="20"/>
      <c r="R63" s="20"/>
      <c r="S63" s="20"/>
    </row>
    <row r="64" spans="1:26" ht="12.75" thickBot="1">
      <c r="A64" s="16" t="s">
        <v>406</v>
      </c>
      <c r="B64" s="569" t="s">
        <v>1274</v>
      </c>
      <c r="C64" s="16" t="s">
        <v>438</v>
      </c>
      <c r="D64" s="76"/>
      <c r="E64" s="19"/>
      <c r="F64" s="19"/>
      <c r="G64" s="19"/>
      <c r="H64" s="76"/>
      <c r="I64" s="19"/>
      <c r="J64" s="19"/>
      <c r="K64" s="19"/>
      <c r="L64" s="19"/>
      <c r="M64" s="19"/>
      <c r="N64" s="19"/>
      <c r="O64" s="19"/>
      <c r="P64" s="19"/>
      <c r="Q64" s="19"/>
      <c r="R64" s="19"/>
      <c r="S64" s="19"/>
    </row>
    <row r="65" spans="1:43" ht="12.75" thickBot="1">
      <c r="A65" s="16" t="s">
        <v>406</v>
      </c>
      <c r="B65" s="569" t="s">
        <v>1274</v>
      </c>
      <c r="C65" s="16" t="s">
        <v>439</v>
      </c>
      <c r="D65" s="568">
        <v>359362</v>
      </c>
      <c r="E65" s="567"/>
      <c r="F65" s="567"/>
      <c r="G65" s="567"/>
      <c r="H65" s="568">
        <v>347328231</v>
      </c>
      <c r="I65" s="567"/>
      <c r="J65" s="567"/>
      <c r="K65" s="567"/>
      <c r="L65" s="567"/>
      <c r="M65" s="567"/>
      <c r="N65" s="567"/>
      <c r="O65" s="567"/>
      <c r="P65" s="567"/>
      <c r="Q65" s="567"/>
      <c r="R65" s="567"/>
      <c r="S65" s="567"/>
    </row>
    <row r="66" spans="1:43" ht="12.75" thickBot="1">
      <c r="A66" s="16" t="s">
        <v>406</v>
      </c>
      <c r="B66" s="569" t="s">
        <v>1274</v>
      </c>
      <c r="C66" s="16" t="s">
        <v>440</v>
      </c>
      <c r="D66" s="76"/>
      <c r="E66" s="19"/>
      <c r="F66" s="19"/>
      <c r="G66" s="19"/>
      <c r="H66" s="76"/>
      <c r="I66" s="19"/>
      <c r="J66" s="19"/>
      <c r="K66" s="19"/>
      <c r="L66" s="19"/>
      <c r="M66" s="19"/>
      <c r="N66" s="19"/>
      <c r="O66" s="19"/>
      <c r="P66" s="19"/>
      <c r="Q66" s="19"/>
      <c r="R66" s="19"/>
      <c r="S66" s="19"/>
    </row>
    <row r="67" spans="1:43" ht="12.75" thickBot="1">
      <c r="A67" s="16" t="s">
        <v>406</v>
      </c>
      <c r="B67" s="569" t="s">
        <v>1274</v>
      </c>
      <c r="C67" s="16" t="s">
        <v>441</v>
      </c>
      <c r="D67" s="77"/>
      <c r="E67" s="20"/>
      <c r="F67" s="20"/>
      <c r="G67" s="20"/>
      <c r="H67" s="77"/>
      <c r="I67" s="20"/>
      <c r="J67" s="20"/>
      <c r="K67" s="20"/>
      <c r="L67" s="20"/>
      <c r="M67" s="20"/>
      <c r="N67" s="20"/>
      <c r="O67" s="20"/>
      <c r="P67" s="20"/>
      <c r="Q67" s="20"/>
      <c r="R67" s="20"/>
      <c r="S67" s="20"/>
    </row>
    <row r="68" spans="1:43" ht="12.75" thickBot="1">
      <c r="A68" s="16" t="s">
        <v>406</v>
      </c>
      <c r="B68" s="569" t="s">
        <v>1274</v>
      </c>
      <c r="C68" s="16" t="s">
        <v>755</v>
      </c>
      <c r="D68" s="76"/>
      <c r="E68" s="18"/>
      <c r="F68" s="18"/>
      <c r="G68" s="18"/>
      <c r="H68" s="76"/>
      <c r="I68" s="19"/>
      <c r="J68" s="19"/>
      <c r="K68" s="19"/>
      <c r="L68" s="19"/>
      <c r="M68" s="19"/>
      <c r="N68" s="19"/>
      <c r="O68" s="19"/>
      <c r="P68" s="19"/>
      <c r="Q68" s="19"/>
      <c r="R68" s="19"/>
      <c r="S68" s="19"/>
    </row>
    <row r="69" spans="1:43" s="41" customFormat="1" ht="12.75" thickBot="1">
      <c r="A69" s="16" t="s">
        <v>406</v>
      </c>
      <c r="B69" s="569" t="s">
        <v>1274</v>
      </c>
      <c r="C69" s="16" t="s">
        <v>1208</v>
      </c>
      <c r="D69" s="77"/>
      <c r="E69" s="17"/>
      <c r="F69" s="17"/>
      <c r="G69" s="17"/>
      <c r="H69" s="77"/>
      <c r="I69" s="20"/>
      <c r="J69" s="20"/>
      <c r="K69" s="20"/>
      <c r="L69" s="20"/>
      <c r="M69" s="20"/>
      <c r="N69" s="20"/>
      <c r="O69" s="20"/>
      <c r="P69" s="20"/>
      <c r="Q69" s="20"/>
      <c r="R69" s="20"/>
      <c r="S69" s="20"/>
      <c r="T69"/>
      <c r="U69"/>
      <c r="V69"/>
      <c r="W69"/>
      <c r="X69"/>
      <c r="Y69"/>
      <c r="Z69"/>
      <c r="AA69"/>
      <c r="AB69"/>
      <c r="AC69"/>
      <c r="AD69"/>
      <c r="AE69"/>
      <c r="AF69"/>
      <c r="AG69"/>
      <c r="AH69"/>
      <c r="AI69"/>
      <c r="AJ69"/>
      <c r="AK69"/>
      <c r="AL69"/>
      <c r="AM69"/>
      <c r="AN69"/>
      <c r="AO69"/>
      <c r="AP69"/>
      <c r="AQ69"/>
    </row>
    <row r="70" spans="1:43" s="41" customFormat="1" ht="12.75" thickBot="1">
      <c r="A70" s="16" t="s">
        <v>406</v>
      </c>
      <c r="B70" s="569" t="s">
        <v>1274</v>
      </c>
      <c r="C70" s="78" t="s">
        <v>7</v>
      </c>
      <c r="D70" s="79"/>
      <c r="E70" s="21"/>
      <c r="F70" s="21"/>
      <c r="G70" s="21"/>
      <c r="H70" s="79"/>
      <c r="I70" s="145"/>
      <c r="J70" s="145"/>
      <c r="K70" s="145"/>
      <c r="L70" s="21"/>
      <c r="M70" s="21"/>
      <c r="N70" s="145"/>
      <c r="O70" s="251"/>
      <c r="P70" s="145"/>
      <c r="Q70" s="145"/>
      <c r="R70" s="145"/>
      <c r="S70" s="21"/>
      <c r="T70"/>
      <c r="U70"/>
      <c r="V70"/>
      <c r="W70"/>
      <c r="X70"/>
      <c r="Y70"/>
      <c r="Z70"/>
      <c r="AA70"/>
      <c r="AB70"/>
      <c r="AC70"/>
      <c r="AD70"/>
      <c r="AE70"/>
      <c r="AF70"/>
      <c r="AG70"/>
      <c r="AH70"/>
      <c r="AI70"/>
      <c r="AJ70"/>
      <c r="AK70"/>
      <c r="AL70"/>
      <c r="AM70"/>
      <c r="AN70"/>
      <c r="AO70"/>
      <c r="AP70"/>
      <c r="AQ70"/>
    </row>
    <row r="71" spans="1:43" ht="12.75" hidden="1" thickBot="1">
      <c r="A71" s="25" t="s">
        <v>406</v>
      </c>
      <c r="B71" s="25" t="s">
        <v>1212</v>
      </c>
      <c r="C71" s="25" t="s">
        <v>407</v>
      </c>
      <c r="D71" s="26">
        <v>55</v>
      </c>
      <c r="E71" s="27"/>
      <c r="F71" s="27"/>
      <c r="G71" s="27"/>
      <c r="H71" s="26">
        <v>10567</v>
      </c>
      <c r="I71" s="27"/>
      <c r="J71" s="27"/>
      <c r="K71" s="27"/>
      <c r="L71" s="27"/>
      <c r="M71" s="27"/>
      <c r="N71" s="27"/>
      <c r="O71" s="27"/>
      <c r="P71" s="27"/>
      <c r="Q71" s="27"/>
      <c r="R71" s="27"/>
      <c r="S71" s="20"/>
    </row>
    <row r="72" spans="1:43" ht="12.75" hidden="1" thickBot="1">
      <c r="A72" s="25" t="s">
        <v>406</v>
      </c>
      <c r="B72" s="25" t="s">
        <v>1212</v>
      </c>
      <c r="C72" s="25" t="s">
        <v>409</v>
      </c>
      <c r="D72" s="29">
        <v>28820</v>
      </c>
      <c r="E72" s="30"/>
      <c r="F72" s="30"/>
      <c r="G72" s="30"/>
      <c r="H72" s="29">
        <v>35756461</v>
      </c>
      <c r="I72" s="30"/>
      <c r="J72" s="30"/>
      <c r="K72" s="30"/>
      <c r="L72" s="30"/>
      <c r="M72" s="30"/>
      <c r="N72" s="30"/>
      <c r="O72" s="56">
        <v>13621</v>
      </c>
      <c r="P72" s="56"/>
      <c r="Q72" s="30"/>
      <c r="R72" s="56">
        <v>13621</v>
      </c>
      <c r="S72" s="19"/>
    </row>
    <row r="73" spans="1:43" ht="12.75" hidden="1" thickBot="1">
      <c r="A73" s="25" t="s">
        <v>406</v>
      </c>
      <c r="B73" s="25" t="s">
        <v>1212</v>
      </c>
      <c r="C73" s="25" t="s">
        <v>410</v>
      </c>
      <c r="D73" s="26">
        <v>1</v>
      </c>
      <c r="E73" s="27"/>
      <c r="F73" s="27"/>
      <c r="G73" s="27"/>
      <c r="H73" s="26">
        <v>13802</v>
      </c>
      <c r="I73" s="27"/>
      <c r="J73" s="27"/>
      <c r="K73" s="27"/>
      <c r="L73" s="27"/>
      <c r="M73" s="27"/>
      <c r="N73" s="27"/>
      <c r="O73" s="27"/>
      <c r="P73" s="27"/>
      <c r="Q73" s="27"/>
      <c r="R73" s="27"/>
      <c r="S73" s="20"/>
    </row>
    <row r="74" spans="1:43" ht="12.75" hidden="1" thickBot="1">
      <c r="A74" s="25" t="s">
        <v>406</v>
      </c>
      <c r="B74" s="25" t="s">
        <v>1212</v>
      </c>
      <c r="C74" s="25" t="s">
        <v>411</v>
      </c>
      <c r="D74" s="29">
        <v>122</v>
      </c>
      <c r="E74" s="30"/>
      <c r="F74" s="30"/>
      <c r="G74" s="30"/>
      <c r="H74" s="29">
        <v>292506</v>
      </c>
      <c r="I74" s="30"/>
      <c r="J74" s="30"/>
      <c r="K74" s="30"/>
      <c r="L74" s="30"/>
      <c r="M74" s="30"/>
      <c r="N74" s="30"/>
      <c r="O74" s="56">
        <v>1.3</v>
      </c>
      <c r="P74" s="56"/>
      <c r="Q74" s="30"/>
      <c r="R74" s="56">
        <v>1.3</v>
      </c>
      <c r="S74" s="19"/>
    </row>
    <row r="75" spans="1:43" ht="12.75" hidden="1" thickBot="1">
      <c r="A75" s="25" t="s">
        <v>406</v>
      </c>
      <c r="B75" s="25" t="s">
        <v>1212</v>
      </c>
      <c r="C75" s="25" t="s">
        <v>413</v>
      </c>
      <c r="D75" s="26">
        <v>7</v>
      </c>
      <c r="E75" s="27"/>
      <c r="F75" s="27"/>
      <c r="G75" s="27"/>
      <c r="H75" s="26">
        <v>5831</v>
      </c>
      <c r="I75" s="27"/>
      <c r="J75" s="27"/>
      <c r="K75" s="27"/>
      <c r="L75" s="27"/>
      <c r="M75" s="27"/>
      <c r="N75" s="27"/>
      <c r="O75" s="27"/>
      <c r="P75" s="27"/>
      <c r="Q75" s="27"/>
      <c r="R75" s="27"/>
      <c r="S75" s="20"/>
    </row>
    <row r="76" spans="1:43" ht="12.75" hidden="1" thickBot="1">
      <c r="A76" s="25" t="s">
        <v>406</v>
      </c>
      <c r="B76" s="25" t="s">
        <v>1212</v>
      </c>
      <c r="C76" s="25" t="s">
        <v>414</v>
      </c>
      <c r="D76" s="29">
        <v>2586</v>
      </c>
      <c r="E76" s="30"/>
      <c r="F76" s="30"/>
      <c r="G76" s="30"/>
      <c r="H76" s="29">
        <v>135336210</v>
      </c>
      <c r="I76" s="56">
        <v>0</v>
      </c>
      <c r="J76" s="30"/>
      <c r="K76" s="30"/>
      <c r="L76" s="31">
        <v>357970.4</v>
      </c>
      <c r="M76" s="31">
        <v>583.5</v>
      </c>
      <c r="N76" s="30"/>
      <c r="O76" s="30"/>
      <c r="P76" s="56">
        <v>343595.5</v>
      </c>
      <c r="Q76" s="30"/>
      <c r="R76" s="56">
        <v>343595.5</v>
      </c>
      <c r="S76" s="18">
        <v>8090.98</v>
      </c>
    </row>
    <row r="77" spans="1:43" ht="12.75" hidden="1" thickBot="1">
      <c r="A77" s="25" t="s">
        <v>406</v>
      </c>
      <c r="B77" s="25" t="s">
        <v>1212</v>
      </c>
      <c r="C77" s="25" t="s">
        <v>415</v>
      </c>
      <c r="D77" s="26">
        <v>57</v>
      </c>
      <c r="E77" s="27"/>
      <c r="F77" s="27"/>
      <c r="G77" s="27"/>
      <c r="H77" s="26">
        <v>13078540</v>
      </c>
      <c r="I77" s="27"/>
      <c r="J77" s="27"/>
      <c r="K77" s="27"/>
      <c r="L77" s="28">
        <v>27680.45</v>
      </c>
      <c r="M77" s="28">
        <v>1051</v>
      </c>
      <c r="N77" s="27"/>
      <c r="O77" s="27"/>
      <c r="P77" s="55">
        <v>27556.799999999999</v>
      </c>
      <c r="Q77" s="27"/>
      <c r="R77" s="55">
        <v>27556.799999999999</v>
      </c>
      <c r="S77" s="17">
        <v>12254.65</v>
      </c>
    </row>
    <row r="78" spans="1:43" ht="12.75" hidden="1" thickBot="1">
      <c r="A78" s="25" t="s">
        <v>406</v>
      </c>
      <c r="B78" s="25" t="s">
        <v>1212</v>
      </c>
      <c r="C78" s="25" t="s">
        <v>416</v>
      </c>
      <c r="D78" s="29">
        <v>1</v>
      </c>
      <c r="E78" s="30"/>
      <c r="F78" s="30"/>
      <c r="G78" s="30"/>
      <c r="H78" s="29">
        <v>83760</v>
      </c>
      <c r="I78" s="30"/>
      <c r="J78" s="30"/>
      <c r="K78" s="30"/>
      <c r="L78" s="31">
        <v>234.95</v>
      </c>
      <c r="M78" s="30"/>
      <c r="N78" s="30"/>
      <c r="O78" s="30"/>
      <c r="P78" s="56">
        <v>231.2</v>
      </c>
      <c r="Q78" s="30"/>
      <c r="R78" s="56"/>
      <c r="S78" s="19"/>
    </row>
    <row r="79" spans="1:43" ht="12.75" hidden="1" thickBot="1">
      <c r="A79" s="25" t="s">
        <v>406</v>
      </c>
      <c r="B79" s="25" t="s">
        <v>1212</v>
      </c>
      <c r="C79" s="25" t="s">
        <v>417</v>
      </c>
      <c r="D79" s="26">
        <v>203</v>
      </c>
      <c r="E79" s="27"/>
      <c r="F79" s="27"/>
      <c r="G79" s="27"/>
      <c r="H79" s="26">
        <v>54864433</v>
      </c>
      <c r="I79" s="55">
        <v>122508.52499999999</v>
      </c>
      <c r="J79" s="55">
        <v>113427.75</v>
      </c>
      <c r="K79" s="55">
        <v>110631.4</v>
      </c>
      <c r="L79" s="27"/>
      <c r="M79" s="27"/>
      <c r="N79" s="55">
        <v>3284.1</v>
      </c>
      <c r="O79" s="55">
        <v>113072.2</v>
      </c>
      <c r="P79" s="55">
        <v>112617.5</v>
      </c>
      <c r="Q79" s="55">
        <v>108954.4</v>
      </c>
      <c r="R79" s="27"/>
      <c r="S79" s="17">
        <v>16071.25</v>
      </c>
    </row>
    <row r="80" spans="1:43" ht="12.75" hidden="1" thickBot="1">
      <c r="A80" s="25" t="s">
        <v>406</v>
      </c>
      <c r="B80" s="25" t="s">
        <v>1212</v>
      </c>
      <c r="C80" s="25" t="s">
        <v>418</v>
      </c>
      <c r="D80" s="29">
        <v>34</v>
      </c>
      <c r="E80" s="30"/>
      <c r="F80" s="30"/>
      <c r="G80" s="30"/>
      <c r="H80" s="29">
        <v>28462500</v>
      </c>
      <c r="I80" s="56">
        <v>68545.5</v>
      </c>
      <c r="J80" s="56">
        <v>62168.5</v>
      </c>
      <c r="K80" s="56">
        <v>60754.9</v>
      </c>
      <c r="L80" s="30"/>
      <c r="M80" s="30"/>
      <c r="N80" s="30"/>
      <c r="O80" s="56">
        <v>63323.9</v>
      </c>
      <c r="P80" s="56">
        <v>61901.1</v>
      </c>
      <c r="Q80" s="56">
        <v>60482</v>
      </c>
      <c r="R80" s="30"/>
      <c r="S80" s="19"/>
    </row>
    <row r="81" spans="1:19" ht="12.75" hidden="1" thickBot="1">
      <c r="A81" s="25" t="s">
        <v>406</v>
      </c>
      <c r="B81" s="25" t="s">
        <v>1212</v>
      </c>
      <c r="C81" s="25" t="s">
        <v>420</v>
      </c>
      <c r="D81" s="26">
        <v>14694</v>
      </c>
      <c r="E81" s="27"/>
      <c r="F81" s="27"/>
      <c r="G81" s="27"/>
      <c r="H81" s="26">
        <v>68607587</v>
      </c>
      <c r="I81" s="27"/>
      <c r="J81" s="27"/>
      <c r="K81" s="27"/>
      <c r="L81" s="27"/>
      <c r="M81" s="27"/>
      <c r="N81" s="27"/>
      <c r="O81" s="55">
        <v>175757</v>
      </c>
      <c r="P81" s="55"/>
      <c r="Q81" s="27"/>
      <c r="R81" s="55">
        <v>175757</v>
      </c>
      <c r="S81" s="20"/>
    </row>
    <row r="82" spans="1:19" ht="12.75" hidden="1" thickBot="1">
      <c r="A82" s="25" t="s">
        <v>406</v>
      </c>
      <c r="B82" s="25" t="s">
        <v>1212</v>
      </c>
      <c r="C82" s="25" t="s">
        <v>421</v>
      </c>
      <c r="D82" s="29">
        <v>699</v>
      </c>
      <c r="E82" s="30"/>
      <c r="F82" s="30"/>
      <c r="G82" s="30"/>
      <c r="H82" s="29">
        <v>2862954</v>
      </c>
      <c r="I82" s="30"/>
      <c r="J82" s="30"/>
      <c r="K82" s="30"/>
      <c r="L82" s="30"/>
      <c r="M82" s="30"/>
      <c r="N82" s="30"/>
      <c r="O82" s="56">
        <v>4107.2</v>
      </c>
      <c r="P82" s="56"/>
      <c r="Q82" s="30"/>
      <c r="R82" s="56">
        <v>4107.2</v>
      </c>
      <c r="S82" s="19"/>
    </row>
    <row r="83" spans="1:19" ht="12.75" hidden="1" thickBot="1">
      <c r="A83" s="25" t="s">
        <v>406</v>
      </c>
      <c r="B83" s="25" t="s">
        <v>1212</v>
      </c>
      <c r="C83" s="25" t="s">
        <v>423</v>
      </c>
      <c r="D83" s="26">
        <v>8</v>
      </c>
      <c r="E83" s="27"/>
      <c r="F83" s="27"/>
      <c r="G83" s="27"/>
      <c r="H83" s="26">
        <v>146095</v>
      </c>
      <c r="I83" s="27"/>
      <c r="J83" s="27"/>
      <c r="K83" s="27"/>
      <c r="L83" s="27"/>
      <c r="M83" s="27"/>
      <c r="N83" s="27"/>
      <c r="O83" s="55">
        <v>410.5</v>
      </c>
      <c r="P83" s="55"/>
      <c r="Q83" s="27"/>
      <c r="R83" s="55">
        <v>410.5</v>
      </c>
      <c r="S83" s="20"/>
    </row>
    <row r="84" spans="1:19" ht="12.75" hidden="1" thickBot="1">
      <c r="A84" s="25" t="s">
        <v>406</v>
      </c>
      <c r="B84" s="25" t="s">
        <v>1212</v>
      </c>
      <c r="C84" s="25" t="s">
        <v>424</v>
      </c>
      <c r="D84" s="29">
        <v>2</v>
      </c>
      <c r="E84" s="30"/>
      <c r="F84" s="30"/>
      <c r="G84" s="30"/>
      <c r="H84" s="29">
        <v>4479600</v>
      </c>
      <c r="I84" s="30"/>
      <c r="J84" s="30"/>
      <c r="K84" s="30"/>
      <c r="L84" s="31">
        <v>9614.4</v>
      </c>
      <c r="M84" s="30"/>
      <c r="N84" s="30"/>
      <c r="O84" s="30"/>
      <c r="P84" s="56">
        <v>8966.4</v>
      </c>
      <c r="Q84" s="30"/>
      <c r="R84" s="56">
        <v>8966.4</v>
      </c>
      <c r="S84" s="19"/>
    </row>
    <row r="85" spans="1:19" ht="12.75" hidden="1" thickBot="1">
      <c r="A85" s="25" t="s">
        <v>406</v>
      </c>
      <c r="B85" s="25" t="s">
        <v>1212</v>
      </c>
      <c r="C85" s="25" t="s">
        <v>427</v>
      </c>
      <c r="D85" s="26">
        <v>10</v>
      </c>
      <c r="E85" s="27"/>
      <c r="F85" s="27"/>
      <c r="G85" s="27"/>
      <c r="H85" s="26">
        <v>30798000</v>
      </c>
      <c r="I85" s="55">
        <v>69838.3</v>
      </c>
      <c r="J85" s="55">
        <v>67254.899999999994</v>
      </c>
      <c r="K85" s="55">
        <v>66843.199999999997</v>
      </c>
      <c r="L85" s="27"/>
      <c r="M85" s="27"/>
      <c r="N85" s="27"/>
      <c r="O85" s="55">
        <v>68174.3</v>
      </c>
      <c r="P85" s="55">
        <v>66680.7</v>
      </c>
      <c r="Q85" s="55">
        <v>66680.7</v>
      </c>
      <c r="R85" s="27"/>
      <c r="S85" s="20"/>
    </row>
    <row r="86" spans="1:19" ht="12.75" hidden="1" thickBot="1">
      <c r="A86" s="25" t="s">
        <v>406</v>
      </c>
      <c r="B86" s="25" t="s">
        <v>1212</v>
      </c>
      <c r="C86" s="25" t="s">
        <v>428</v>
      </c>
      <c r="D86" s="29">
        <v>253</v>
      </c>
      <c r="E86" s="30"/>
      <c r="F86" s="30"/>
      <c r="G86" s="30"/>
      <c r="H86" s="29">
        <v>24930937</v>
      </c>
      <c r="I86" s="30"/>
      <c r="J86" s="30"/>
      <c r="K86" s="30"/>
      <c r="L86" s="31">
        <v>66386.3</v>
      </c>
      <c r="M86" s="31">
        <v>4379.7</v>
      </c>
      <c r="N86" s="30"/>
      <c r="O86" s="30"/>
      <c r="P86" s="56">
        <v>66053.7</v>
      </c>
      <c r="Q86" s="30"/>
      <c r="R86" s="56">
        <v>66053.7</v>
      </c>
      <c r="S86" s="18">
        <v>61358.080000000002</v>
      </c>
    </row>
    <row r="87" spans="1:19" ht="12.75" hidden="1" thickBot="1">
      <c r="A87" s="25" t="s">
        <v>406</v>
      </c>
      <c r="B87" s="25" t="s">
        <v>1212</v>
      </c>
      <c r="C87" s="25" t="s">
        <v>429</v>
      </c>
      <c r="D87" s="26">
        <v>21</v>
      </c>
      <c r="E87" s="27"/>
      <c r="F87" s="27"/>
      <c r="G87" s="27"/>
      <c r="H87" s="26">
        <v>1159155</v>
      </c>
      <c r="I87" s="27"/>
      <c r="J87" s="27"/>
      <c r="K87" s="27"/>
      <c r="L87" s="28">
        <v>4243.25</v>
      </c>
      <c r="M87" s="28">
        <v>754.6</v>
      </c>
      <c r="N87" s="27"/>
      <c r="O87" s="27"/>
      <c r="P87" s="55">
        <v>4095.4</v>
      </c>
      <c r="Q87" s="27"/>
      <c r="R87" s="55">
        <v>4095.4</v>
      </c>
      <c r="S87" s="17">
        <v>8798.65</v>
      </c>
    </row>
    <row r="88" spans="1:19" ht="12.75" hidden="1" thickBot="1">
      <c r="A88" s="25" t="s">
        <v>406</v>
      </c>
      <c r="B88" s="25" t="s">
        <v>1212</v>
      </c>
      <c r="C88" s="25" t="s">
        <v>430</v>
      </c>
      <c r="D88" s="29">
        <v>74</v>
      </c>
      <c r="E88" s="30"/>
      <c r="F88" s="30"/>
      <c r="G88" s="30"/>
      <c r="H88" s="29">
        <v>18006720</v>
      </c>
      <c r="I88" s="56">
        <v>46555.325000000019</v>
      </c>
      <c r="J88" s="56">
        <v>43149.30000000001</v>
      </c>
      <c r="K88" s="56">
        <v>41351.200000000004</v>
      </c>
      <c r="L88" s="30"/>
      <c r="M88" s="30"/>
      <c r="N88" s="56">
        <v>7245.9</v>
      </c>
      <c r="O88" s="56">
        <v>43364.400000000016</v>
      </c>
      <c r="P88" s="56">
        <v>42698.100000000013</v>
      </c>
      <c r="Q88" s="56">
        <v>40856.9</v>
      </c>
      <c r="R88" s="30"/>
      <c r="S88" s="18">
        <v>36672.71</v>
      </c>
    </row>
    <row r="89" spans="1:19" ht="12.75" hidden="1" thickBot="1">
      <c r="A89" s="25" t="s">
        <v>406</v>
      </c>
      <c r="B89" s="25" t="s">
        <v>1212</v>
      </c>
      <c r="C89" s="25" t="s">
        <v>431</v>
      </c>
      <c r="D89" s="26">
        <v>65</v>
      </c>
      <c r="E89" s="27"/>
      <c r="F89" s="27"/>
      <c r="G89" s="27"/>
      <c r="H89" s="26">
        <v>122528400</v>
      </c>
      <c r="I89" s="55">
        <v>296514.2</v>
      </c>
      <c r="J89" s="55">
        <v>280810.8</v>
      </c>
      <c r="K89" s="55">
        <v>276124.40000000002</v>
      </c>
      <c r="L89" s="27"/>
      <c r="M89" s="27"/>
      <c r="N89" s="27"/>
      <c r="O89" s="55">
        <v>289467.49999999994</v>
      </c>
      <c r="P89" s="55">
        <v>280504.09999999998</v>
      </c>
      <c r="Q89" s="55">
        <v>274298.40000000002</v>
      </c>
      <c r="R89" s="27"/>
      <c r="S89" s="20"/>
    </row>
    <row r="90" spans="1:19" ht="12.75" hidden="1" thickBot="1">
      <c r="A90" s="25" t="s">
        <v>406</v>
      </c>
      <c r="B90" s="25" t="s">
        <v>1212</v>
      </c>
      <c r="C90" s="25" t="s">
        <v>433</v>
      </c>
      <c r="D90" s="29">
        <v>1</v>
      </c>
      <c r="E90" s="30"/>
      <c r="F90" s="30"/>
      <c r="G90" s="30"/>
      <c r="H90" s="29">
        <v>196</v>
      </c>
      <c r="I90" s="30"/>
      <c r="J90" s="30"/>
      <c r="K90" s="30"/>
      <c r="L90" s="30"/>
      <c r="M90" s="30"/>
      <c r="N90" s="30"/>
      <c r="O90" s="30"/>
      <c r="P90" s="30"/>
      <c r="Q90" s="30"/>
      <c r="R90" s="30"/>
      <c r="S90" s="19"/>
    </row>
    <row r="91" spans="1:19" ht="12.75" hidden="1" thickBot="1">
      <c r="A91" s="25" t="s">
        <v>406</v>
      </c>
      <c r="B91" s="25" t="s">
        <v>1212</v>
      </c>
      <c r="C91" s="25" t="s">
        <v>434</v>
      </c>
      <c r="D91" s="26">
        <v>157</v>
      </c>
      <c r="E91" s="27"/>
      <c r="F91" s="27"/>
      <c r="G91" s="27"/>
      <c r="H91" s="26">
        <v>177718</v>
      </c>
      <c r="I91" s="27"/>
      <c r="J91" s="27"/>
      <c r="K91" s="27"/>
      <c r="L91" s="27"/>
      <c r="M91" s="27"/>
      <c r="N91" s="27"/>
      <c r="O91" s="27"/>
      <c r="P91" s="27"/>
      <c r="Q91" s="27"/>
      <c r="R91" s="27"/>
      <c r="S91" s="20"/>
    </row>
    <row r="92" spans="1:19" ht="12.75" hidden="1" thickBot="1">
      <c r="A92" s="25" t="s">
        <v>406</v>
      </c>
      <c r="B92" s="25" t="s">
        <v>1212</v>
      </c>
      <c r="C92" s="25" t="s">
        <v>435</v>
      </c>
      <c r="D92" s="29">
        <v>13</v>
      </c>
      <c r="E92" s="30"/>
      <c r="F92" s="30"/>
      <c r="G92" s="30"/>
      <c r="H92" s="29">
        <v>87003</v>
      </c>
      <c r="I92" s="30"/>
      <c r="J92" s="30"/>
      <c r="K92" s="30"/>
      <c r="L92" s="30"/>
      <c r="M92" s="30"/>
      <c r="N92" s="30"/>
      <c r="O92" s="30"/>
      <c r="P92" s="30"/>
      <c r="Q92" s="30"/>
      <c r="R92" s="30"/>
      <c r="S92" s="19"/>
    </row>
    <row r="93" spans="1:19" ht="12.75" hidden="1" thickBot="1">
      <c r="A93" s="25" t="s">
        <v>406</v>
      </c>
      <c r="B93" s="25" t="s">
        <v>1212</v>
      </c>
      <c r="C93" s="25" t="s">
        <v>436</v>
      </c>
      <c r="D93" s="26">
        <v>898</v>
      </c>
      <c r="E93" s="27"/>
      <c r="F93" s="27"/>
      <c r="G93" s="27"/>
      <c r="H93" s="26">
        <v>186880</v>
      </c>
      <c r="I93" s="27"/>
      <c r="J93" s="27"/>
      <c r="K93" s="27"/>
      <c r="L93" s="27"/>
      <c r="M93" s="27"/>
      <c r="N93" s="27"/>
      <c r="O93" s="27"/>
      <c r="P93" s="27"/>
      <c r="Q93" s="27"/>
      <c r="R93" s="27"/>
      <c r="S93" s="20"/>
    </row>
    <row r="94" spans="1:19" ht="12.75" hidden="1" thickBot="1">
      <c r="A94" s="25" t="s">
        <v>406</v>
      </c>
      <c r="B94" s="25" t="s">
        <v>1212</v>
      </c>
      <c r="C94" s="25" t="s">
        <v>437</v>
      </c>
      <c r="D94" s="29">
        <v>8</v>
      </c>
      <c r="E94" s="30"/>
      <c r="F94" s="30"/>
      <c r="G94" s="30"/>
      <c r="H94" s="29">
        <v>68742</v>
      </c>
      <c r="I94" s="30"/>
      <c r="J94" s="30"/>
      <c r="K94" s="30"/>
      <c r="L94" s="30"/>
      <c r="M94" s="30"/>
      <c r="N94" s="30"/>
      <c r="O94" s="30"/>
      <c r="P94" s="30"/>
      <c r="Q94" s="30"/>
      <c r="R94" s="30"/>
      <c r="S94" s="19"/>
    </row>
    <row r="95" spans="1:19" ht="12.75" hidden="1" thickBot="1">
      <c r="A95" s="25" t="s">
        <v>406</v>
      </c>
      <c r="B95" s="25" t="s">
        <v>1212</v>
      </c>
      <c r="C95" s="25" t="s">
        <v>438</v>
      </c>
      <c r="D95" s="26">
        <v>3471</v>
      </c>
      <c r="E95" s="27"/>
      <c r="F95" s="27"/>
      <c r="G95" s="27"/>
      <c r="H95" s="26">
        <v>927781</v>
      </c>
      <c r="I95" s="27"/>
      <c r="J95" s="27"/>
      <c r="K95" s="27"/>
      <c r="L95" s="27"/>
      <c r="M95" s="27"/>
      <c r="N95" s="27"/>
      <c r="O95" s="27"/>
      <c r="P95" s="27"/>
      <c r="Q95" s="27"/>
      <c r="R95" s="27"/>
      <c r="S95" s="20"/>
    </row>
    <row r="96" spans="1:19" ht="12.75" hidden="1" thickBot="1">
      <c r="A96" s="25" t="s">
        <v>406</v>
      </c>
      <c r="B96" s="25" t="s">
        <v>1212</v>
      </c>
      <c r="C96" s="25" t="s">
        <v>439</v>
      </c>
      <c r="D96" s="29">
        <v>353499</v>
      </c>
      <c r="E96" s="30"/>
      <c r="F96" s="30"/>
      <c r="G96" s="30"/>
      <c r="H96" s="29">
        <v>325379194</v>
      </c>
      <c r="I96" s="30"/>
      <c r="J96" s="30"/>
      <c r="K96" s="30"/>
      <c r="L96" s="30"/>
      <c r="M96" s="30"/>
      <c r="N96" s="30"/>
      <c r="O96" s="30"/>
      <c r="P96" s="30"/>
      <c r="Q96" s="30"/>
      <c r="R96" s="30"/>
      <c r="S96" s="19"/>
    </row>
    <row r="97" spans="1:19" ht="12.75" hidden="1" thickBot="1">
      <c r="A97" s="25" t="s">
        <v>406</v>
      </c>
      <c r="B97" s="25" t="s">
        <v>1212</v>
      </c>
      <c r="C97" s="25" t="s">
        <v>440</v>
      </c>
      <c r="D97" s="26">
        <v>127</v>
      </c>
      <c r="E97" s="27"/>
      <c r="F97" s="27"/>
      <c r="G97" s="27"/>
      <c r="H97" s="26">
        <v>133746</v>
      </c>
      <c r="I97" s="27"/>
      <c r="J97" s="27"/>
      <c r="K97" s="27"/>
      <c r="L97" s="27"/>
      <c r="M97" s="27"/>
      <c r="N97" s="27"/>
      <c r="O97" s="27"/>
      <c r="P97" s="27"/>
      <c r="Q97" s="27"/>
      <c r="R97" s="27"/>
      <c r="S97" s="20"/>
    </row>
    <row r="98" spans="1:19" ht="12.75" hidden="1" thickBot="1">
      <c r="A98" s="25" t="s">
        <v>406</v>
      </c>
      <c r="B98" s="25" t="s">
        <v>1212</v>
      </c>
      <c r="C98" s="25" t="s">
        <v>441</v>
      </c>
      <c r="D98" s="29">
        <v>6</v>
      </c>
      <c r="E98" s="30"/>
      <c r="F98" s="30"/>
      <c r="G98" s="30"/>
      <c r="H98" s="29">
        <v>30870</v>
      </c>
      <c r="I98" s="30"/>
      <c r="J98" s="30"/>
      <c r="K98" s="30"/>
      <c r="L98" s="30"/>
      <c r="M98" s="30"/>
      <c r="N98" s="30"/>
      <c r="O98" s="30"/>
      <c r="P98" s="30"/>
      <c r="Q98" s="30"/>
      <c r="R98" s="30"/>
      <c r="S98" s="19"/>
    </row>
    <row r="99" spans="1:19" ht="12.75" hidden="1" thickBot="1">
      <c r="A99" s="25" t="s">
        <v>406</v>
      </c>
      <c r="B99" s="25" t="s">
        <v>1212</v>
      </c>
      <c r="C99" s="25" t="s">
        <v>755</v>
      </c>
      <c r="D99" s="26">
        <v>17</v>
      </c>
      <c r="E99" s="28">
        <v>15238</v>
      </c>
      <c r="F99" s="28">
        <v>7392</v>
      </c>
      <c r="G99" s="28">
        <v>5213</v>
      </c>
      <c r="H99" s="26">
        <v>27843</v>
      </c>
      <c r="I99" s="27"/>
      <c r="J99" s="27"/>
      <c r="K99" s="27"/>
      <c r="L99" s="27"/>
      <c r="M99" s="27"/>
      <c r="N99" s="27"/>
      <c r="O99" s="27"/>
      <c r="P99" s="27"/>
      <c r="Q99" s="27"/>
      <c r="R99" s="27"/>
      <c r="S99" s="20"/>
    </row>
    <row r="100" spans="1:19" ht="12.75" hidden="1" thickBot="1">
      <c r="A100" s="25" t="s">
        <v>406</v>
      </c>
      <c r="B100" s="25" t="s">
        <v>1212</v>
      </c>
      <c r="C100" s="25" t="s">
        <v>1208</v>
      </c>
      <c r="D100" s="29">
        <v>1</v>
      </c>
      <c r="E100" s="31">
        <v>89</v>
      </c>
      <c r="F100" s="31">
        <v>0</v>
      </c>
      <c r="G100" s="31">
        <v>0</v>
      </c>
      <c r="H100" s="29">
        <v>89</v>
      </c>
      <c r="I100" s="30"/>
      <c r="J100" s="30"/>
      <c r="K100" s="30"/>
      <c r="L100" s="30"/>
      <c r="M100" s="30"/>
      <c r="N100" s="30"/>
      <c r="O100" s="30"/>
      <c r="P100" s="30"/>
      <c r="Q100" s="30"/>
      <c r="R100" s="30"/>
      <c r="S100" s="19"/>
    </row>
    <row r="101" spans="1:19" ht="12.75" hidden="1" thickBot="1">
      <c r="A101" s="25" t="s">
        <v>406</v>
      </c>
      <c r="B101" s="25" t="s">
        <v>1212</v>
      </c>
      <c r="C101" s="42" t="s">
        <v>7</v>
      </c>
      <c r="D101" s="43">
        <v>405910</v>
      </c>
      <c r="E101" s="44">
        <v>15327</v>
      </c>
      <c r="F101" s="44">
        <v>7392</v>
      </c>
      <c r="G101" s="44">
        <v>5213</v>
      </c>
      <c r="H101" s="43">
        <v>868444120</v>
      </c>
      <c r="I101" s="60">
        <v>603299.55000000005</v>
      </c>
      <c r="J101" s="60">
        <v>566148.94999999995</v>
      </c>
      <c r="K101" s="60">
        <v>555042.80000000005</v>
      </c>
      <c r="L101" s="44">
        <v>466129.75</v>
      </c>
      <c r="M101" s="44">
        <v>6768.8</v>
      </c>
      <c r="N101" s="60">
        <v>10530</v>
      </c>
      <c r="O101" s="246"/>
      <c r="P101" s="60">
        <v>564063.39999999991</v>
      </c>
      <c r="Q101" s="60">
        <v>550844.30000000005</v>
      </c>
      <c r="R101" s="60">
        <v>644396</v>
      </c>
      <c r="S101" s="21">
        <v>142463.12999999998</v>
      </c>
    </row>
    <row r="102" spans="1:19" ht="12.75" hidden="1" thickBot="1">
      <c r="A102" s="25" t="s">
        <v>406</v>
      </c>
      <c r="B102" s="25" t="s">
        <v>1213</v>
      </c>
      <c r="C102" s="25" t="s">
        <v>407</v>
      </c>
      <c r="D102" s="26">
        <v>56</v>
      </c>
      <c r="E102" s="27"/>
      <c r="F102" s="27"/>
      <c r="G102" s="27"/>
      <c r="H102" s="26">
        <v>9858</v>
      </c>
      <c r="I102" s="27"/>
      <c r="J102" s="27"/>
      <c r="K102" s="27"/>
      <c r="L102" s="27"/>
      <c r="M102" s="27"/>
      <c r="N102" s="27"/>
      <c r="O102" s="27"/>
      <c r="P102" s="27"/>
      <c r="Q102" s="27"/>
      <c r="R102" s="27"/>
      <c r="S102" s="20"/>
    </row>
    <row r="103" spans="1:19" ht="12.75" hidden="1" thickBot="1">
      <c r="A103" s="25" t="s">
        <v>406</v>
      </c>
      <c r="B103" s="25" t="s">
        <v>1213</v>
      </c>
      <c r="C103" s="25" t="s">
        <v>409</v>
      </c>
      <c r="D103" s="29">
        <v>28829</v>
      </c>
      <c r="E103" s="30"/>
      <c r="F103" s="30"/>
      <c r="G103" s="30"/>
      <c r="H103" s="29">
        <v>31085013</v>
      </c>
      <c r="I103" s="30"/>
      <c r="J103" s="30"/>
      <c r="K103" s="30"/>
      <c r="L103" s="30"/>
      <c r="M103" s="30"/>
      <c r="N103" s="30"/>
      <c r="O103" s="56">
        <v>12996.7</v>
      </c>
      <c r="P103" s="56"/>
      <c r="Q103" s="56"/>
      <c r="R103" s="56">
        <v>12996.7</v>
      </c>
      <c r="S103" s="19"/>
    </row>
    <row r="104" spans="1:19" ht="12.75" hidden="1" thickBot="1">
      <c r="A104" s="25" t="s">
        <v>406</v>
      </c>
      <c r="B104" s="25" t="s">
        <v>1213</v>
      </c>
      <c r="C104" s="25" t="s">
        <v>410</v>
      </c>
      <c r="D104" s="26">
        <v>1</v>
      </c>
      <c r="E104" s="27"/>
      <c r="F104" s="27"/>
      <c r="G104" s="27"/>
      <c r="H104" s="26">
        <v>13802</v>
      </c>
      <c r="I104" s="27"/>
      <c r="J104" s="27"/>
      <c r="K104" s="27"/>
      <c r="L104" s="27"/>
      <c r="M104" s="27"/>
      <c r="N104" s="27"/>
      <c r="O104" s="27"/>
      <c r="P104" s="27"/>
      <c r="Q104" s="27"/>
      <c r="R104" s="27"/>
      <c r="S104" s="20"/>
    </row>
    <row r="105" spans="1:19" ht="12.75" hidden="1" thickBot="1">
      <c r="A105" s="25" t="s">
        <v>406</v>
      </c>
      <c r="B105" s="25" t="s">
        <v>1213</v>
      </c>
      <c r="C105" s="25" t="s">
        <v>411</v>
      </c>
      <c r="D105" s="29">
        <v>119</v>
      </c>
      <c r="E105" s="30"/>
      <c r="F105" s="30"/>
      <c r="G105" s="30"/>
      <c r="H105" s="29">
        <v>142709</v>
      </c>
      <c r="I105" s="30"/>
      <c r="J105" s="30"/>
      <c r="K105" s="30"/>
      <c r="L105" s="30"/>
      <c r="M105" s="30"/>
      <c r="N105" s="30"/>
      <c r="O105" s="56">
        <v>1.3</v>
      </c>
      <c r="P105" s="56"/>
      <c r="Q105" s="56"/>
      <c r="R105" s="56">
        <v>1.3</v>
      </c>
      <c r="S105" s="19"/>
    </row>
    <row r="106" spans="1:19" ht="12.75" hidden="1" thickBot="1">
      <c r="A106" s="25" t="s">
        <v>406</v>
      </c>
      <c r="B106" s="25" t="s">
        <v>1213</v>
      </c>
      <c r="C106" s="25" t="s">
        <v>413</v>
      </c>
      <c r="D106" s="26">
        <v>7</v>
      </c>
      <c r="E106" s="27"/>
      <c r="F106" s="27"/>
      <c r="G106" s="27"/>
      <c r="H106" s="26">
        <v>2779</v>
      </c>
      <c r="I106" s="27"/>
      <c r="J106" s="27"/>
      <c r="K106" s="27"/>
      <c r="L106" s="27"/>
      <c r="M106" s="27"/>
      <c r="N106" s="27"/>
      <c r="O106" s="27"/>
      <c r="P106" s="27"/>
      <c r="Q106" s="27"/>
      <c r="R106" s="27"/>
      <c r="S106" s="20"/>
    </row>
    <row r="107" spans="1:19" ht="12.75" hidden="1" thickBot="1">
      <c r="A107" s="25" t="s">
        <v>406</v>
      </c>
      <c r="B107" s="25" t="s">
        <v>1213</v>
      </c>
      <c r="C107" s="25" t="s">
        <v>414</v>
      </c>
      <c r="D107" s="29">
        <v>2528</v>
      </c>
      <c r="E107" s="30"/>
      <c r="F107" s="30"/>
      <c r="G107" s="30"/>
      <c r="H107" s="29">
        <v>122572976</v>
      </c>
      <c r="I107" s="30"/>
      <c r="J107" s="30"/>
      <c r="K107" s="30"/>
      <c r="L107" s="31">
        <v>350625.9</v>
      </c>
      <c r="M107" s="31">
        <v>703.3</v>
      </c>
      <c r="N107" s="30"/>
      <c r="O107" s="30"/>
      <c r="P107" s="56">
        <v>338566.8</v>
      </c>
      <c r="Q107" s="56"/>
      <c r="R107" s="56">
        <v>338566.8</v>
      </c>
      <c r="S107" s="18">
        <v>9853.2800000000007</v>
      </c>
    </row>
    <row r="108" spans="1:19" ht="12.75" hidden="1" thickBot="1">
      <c r="A108" s="25" t="s">
        <v>406</v>
      </c>
      <c r="B108" s="25" t="s">
        <v>1213</v>
      </c>
      <c r="C108" s="25" t="s">
        <v>415</v>
      </c>
      <c r="D108" s="26">
        <v>55</v>
      </c>
      <c r="E108" s="27"/>
      <c r="F108" s="27"/>
      <c r="G108" s="27"/>
      <c r="H108" s="26">
        <v>10973920</v>
      </c>
      <c r="I108" s="27"/>
      <c r="J108" s="27"/>
      <c r="K108" s="27"/>
      <c r="L108" s="28">
        <v>24082.7</v>
      </c>
      <c r="M108" s="28">
        <v>1068.5999999999999</v>
      </c>
      <c r="N108" s="27"/>
      <c r="O108" s="27"/>
      <c r="P108" s="55">
        <v>23983.9</v>
      </c>
      <c r="Q108" s="55"/>
      <c r="R108" s="55">
        <v>23983.9</v>
      </c>
      <c r="S108" s="17">
        <v>12459.86</v>
      </c>
    </row>
    <row r="109" spans="1:19" ht="12.75" hidden="1" thickBot="1">
      <c r="A109" s="25" t="s">
        <v>406</v>
      </c>
      <c r="B109" s="25" t="s">
        <v>1213</v>
      </c>
      <c r="C109" s="25" t="s">
        <v>416</v>
      </c>
      <c r="D109" s="29">
        <v>1</v>
      </c>
      <c r="E109" s="30"/>
      <c r="F109" s="30"/>
      <c r="G109" s="30"/>
      <c r="H109" s="29">
        <v>89040</v>
      </c>
      <c r="I109" s="30"/>
      <c r="J109" s="30"/>
      <c r="K109" s="30"/>
      <c r="L109" s="31">
        <v>234.95</v>
      </c>
      <c r="M109" s="30"/>
      <c r="N109" s="30"/>
      <c r="O109" s="30"/>
      <c r="P109" s="56">
        <v>233.4</v>
      </c>
      <c r="Q109" s="56"/>
      <c r="R109" s="56"/>
      <c r="S109" s="19"/>
    </row>
    <row r="110" spans="1:19" ht="12.75" hidden="1" thickBot="1">
      <c r="A110" s="25" t="s">
        <v>406</v>
      </c>
      <c r="B110" s="25" t="s">
        <v>1213</v>
      </c>
      <c r="C110" s="25" t="s">
        <v>417</v>
      </c>
      <c r="D110" s="26">
        <v>205</v>
      </c>
      <c r="E110" s="27"/>
      <c r="F110" s="27"/>
      <c r="G110" s="27"/>
      <c r="H110" s="26">
        <v>51325675</v>
      </c>
      <c r="I110" s="55">
        <v>120398.77499999999</v>
      </c>
      <c r="J110" s="55">
        <v>111661.25</v>
      </c>
      <c r="K110" s="55">
        <v>108650.95</v>
      </c>
      <c r="L110" s="27"/>
      <c r="M110" s="27"/>
      <c r="N110" s="55">
        <v>3408.6</v>
      </c>
      <c r="O110" s="55">
        <v>112917.5</v>
      </c>
      <c r="P110" s="55">
        <v>111337.7</v>
      </c>
      <c r="Q110" s="55">
        <v>108054</v>
      </c>
      <c r="R110" s="27"/>
      <c r="S110" s="17">
        <v>16204.97</v>
      </c>
    </row>
    <row r="111" spans="1:19" ht="12.75" hidden="1" thickBot="1">
      <c r="A111" s="25" t="s">
        <v>406</v>
      </c>
      <c r="B111" s="25" t="s">
        <v>1213</v>
      </c>
      <c r="C111" s="25" t="s">
        <v>418</v>
      </c>
      <c r="D111" s="29">
        <v>34</v>
      </c>
      <c r="E111" s="30"/>
      <c r="F111" s="30"/>
      <c r="G111" s="30"/>
      <c r="H111" s="29">
        <v>28902300</v>
      </c>
      <c r="I111" s="56">
        <v>70613.7</v>
      </c>
      <c r="J111" s="56">
        <v>64959.6</v>
      </c>
      <c r="K111" s="56">
        <v>62762.3</v>
      </c>
      <c r="L111" s="30"/>
      <c r="M111" s="30"/>
      <c r="N111" s="30"/>
      <c r="O111" s="56">
        <v>64723.1</v>
      </c>
      <c r="P111" s="56">
        <v>64244.4</v>
      </c>
      <c r="Q111" s="56">
        <v>61843.6</v>
      </c>
      <c r="R111" s="30"/>
      <c r="S111" s="19"/>
    </row>
    <row r="112" spans="1:19" ht="12.75" hidden="1" thickBot="1">
      <c r="A112" s="25" t="s">
        <v>406</v>
      </c>
      <c r="B112" s="25" t="s">
        <v>1213</v>
      </c>
      <c r="C112" s="25" t="s">
        <v>420</v>
      </c>
      <c r="D112" s="26">
        <v>14497</v>
      </c>
      <c r="E112" s="27"/>
      <c r="F112" s="27"/>
      <c r="G112" s="27"/>
      <c r="H112" s="26">
        <v>61163635</v>
      </c>
      <c r="I112" s="27"/>
      <c r="J112" s="27"/>
      <c r="K112" s="27"/>
      <c r="L112" s="27"/>
      <c r="M112" s="27"/>
      <c r="N112" s="27"/>
      <c r="O112" s="55">
        <v>175181.6</v>
      </c>
      <c r="P112" s="55"/>
      <c r="Q112" s="27"/>
      <c r="R112" s="55">
        <v>175181.6</v>
      </c>
      <c r="S112" s="20"/>
    </row>
    <row r="113" spans="1:26" ht="12.75" hidden="1" thickBot="1">
      <c r="A113" s="25" t="s">
        <v>406</v>
      </c>
      <c r="B113" s="25" t="s">
        <v>1213</v>
      </c>
      <c r="C113" s="25" t="s">
        <v>421</v>
      </c>
      <c r="D113" s="29">
        <v>667</v>
      </c>
      <c r="E113" s="30"/>
      <c r="F113" s="30"/>
      <c r="G113" s="30"/>
      <c r="H113" s="29">
        <v>1365373</v>
      </c>
      <c r="I113" s="30"/>
      <c r="J113" s="30"/>
      <c r="K113" s="30"/>
      <c r="L113" s="30"/>
      <c r="M113" s="30"/>
      <c r="N113" s="30"/>
      <c r="O113" s="56">
        <v>2754.5</v>
      </c>
      <c r="P113" s="56"/>
      <c r="Q113" s="30"/>
      <c r="R113" s="56">
        <v>2754.5</v>
      </c>
      <c r="S113" s="19"/>
    </row>
    <row r="114" spans="1:26" ht="12.75" hidden="1" thickBot="1">
      <c r="A114" s="25" t="s">
        <v>406</v>
      </c>
      <c r="B114" s="25" t="s">
        <v>1213</v>
      </c>
      <c r="C114" s="25" t="s">
        <v>423</v>
      </c>
      <c r="D114" s="26">
        <v>8</v>
      </c>
      <c r="E114" s="27"/>
      <c r="F114" s="27"/>
      <c r="G114" s="27"/>
      <c r="H114" s="26">
        <v>123699</v>
      </c>
      <c r="I114" s="27"/>
      <c r="J114" s="27"/>
      <c r="K114" s="27"/>
      <c r="L114" s="27"/>
      <c r="M114" s="27"/>
      <c r="N114" s="27"/>
      <c r="O114" s="55">
        <v>392.2</v>
      </c>
      <c r="P114" s="55"/>
      <c r="Q114" s="27"/>
      <c r="R114" s="55">
        <v>392.2</v>
      </c>
      <c r="S114" s="20"/>
    </row>
    <row r="115" spans="1:26" ht="12.75" hidden="1" thickBot="1">
      <c r="A115" s="25" t="s">
        <v>406</v>
      </c>
      <c r="B115" s="25" t="s">
        <v>1213</v>
      </c>
      <c r="C115" s="25" t="s">
        <v>424</v>
      </c>
      <c r="D115" s="29">
        <v>2</v>
      </c>
      <c r="E115" s="30"/>
      <c r="F115" s="30"/>
      <c r="G115" s="30"/>
      <c r="H115" s="29">
        <v>4389600</v>
      </c>
      <c r="I115" s="30"/>
      <c r="J115" s="30"/>
      <c r="K115" s="30"/>
      <c r="L115" s="31">
        <v>9614.4</v>
      </c>
      <c r="M115" s="30"/>
      <c r="N115" s="30"/>
      <c r="O115" s="30"/>
      <c r="P115" s="56">
        <v>8836.7999999999993</v>
      </c>
      <c r="Q115" s="30"/>
      <c r="R115" s="56">
        <v>8836.7999999999993</v>
      </c>
      <c r="S115" s="19"/>
    </row>
    <row r="116" spans="1:26" ht="12.75" hidden="1" thickBot="1">
      <c r="A116" s="25" t="s">
        <v>406</v>
      </c>
      <c r="B116" s="25" t="s">
        <v>1213</v>
      </c>
      <c r="C116" s="25" t="s">
        <v>1204</v>
      </c>
      <c r="D116" s="26">
        <v>1</v>
      </c>
      <c r="E116" s="27"/>
      <c r="F116" s="27"/>
      <c r="G116" s="27"/>
      <c r="H116" s="27"/>
      <c r="I116" s="27"/>
      <c r="J116" s="27"/>
      <c r="K116" s="27"/>
      <c r="L116" s="27"/>
      <c r="M116" s="27"/>
      <c r="N116" s="27"/>
      <c r="O116" s="27"/>
      <c r="P116" s="27"/>
      <c r="Q116" s="27"/>
      <c r="R116" s="27"/>
      <c r="S116" s="20"/>
    </row>
    <row r="117" spans="1:26" ht="12.75" hidden="1" thickBot="1">
      <c r="A117" s="25" t="s">
        <v>406</v>
      </c>
      <c r="B117" s="25" t="s">
        <v>1213</v>
      </c>
      <c r="C117" s="25" t="s">
        <v>425</v>
      </c>
      <c r="D117" s="29">
        <v>1</v>
      </c>
      <c r="E117" s="30"/>
      <c r="F117" s="30"/>
      <c r="G117" s="30"/>
      <c r="H117" s="30"/>
      <c r="I117" s="30"/>
      <c r="J117" s="30"/>
      <c r="K117" s="30"/>
      <c r="L117" s="30"/>
      <c r="M117" s="30"/>
      <c r="N117" s="30"/>
      <c r="O117" s="30"/>
      <c r="P117" s="30"/>
      <c r="Q117" s="30"/>
      <c r="R117" s="30"/>
      <c r="S117" s="19"/>
    </row>
    <row r="118" spans="1:26" ht="12.75" hidden="1" thickBot="1">
      <c r="A118" s="25" t="s">
        <v>406</v>
      </c>
      <c r="B118" s="25" t="s">
        <v>1213</v>
      </c>
      <c r="C118" s="25" t="s">
        <v>426</v>
      </c>
      <c r="D118" s="26">
        <v>1</v>
      </c>
      <c r="E118" s="27"/>
      <c r="F118" s="27"/>
      <c r="G118" s="27"/>
      <c r="H118" s="26">
        <v>16319000</v>
      </c>
      <c r="I118" s="55">
        <v>32760</v>
      </c>
      <c r="J118" s="27"/>
      <c r="K118" s="27"/>
      <c r="L118" s="28">
        <v>32760</v>
      </c>
      <c r="M118" s="27"/>
      <c r="N118" s="27"/>
      <c r="O118" s="27"/>
      <c r="P118" s="55">
        <v>32760</v>
      </c>
      <c r="Q118" s="27"/>
      <c r="R118" s="55"/>
      <c r="S118" s="17">
        <v>-30002.92</v>
      </c>
      <c r="U118" s="700">
        <v>0.98440000000000005</v>
      </c>
      <c r="V118">
        <v>-7.1999999999999995E-2</v>
      </c>
      <c r="W118">
        <v>416707.2</v>
      </c>
      <c r="X118" t="s">
        <v>1323</v>
      </c>
      <c r="Y118">
        <f>V118*W118</f>
        <v>-30002.918399999999</v>
      </c>
      <c r="Z118" s="6">
        <v>41730</v>
      </c>
    </row>
    <row r="119" spans="1:26" ht="12.75" hidden="1" thickBot="1">
      <c r="A119" s="25" t="s">
        <v>406</v>
      </c>
      <c r="B119" s="25" t="s">
        <v>1213</v>
      </c>
      <c r="C119" s="25" t="s">
        <v>427</v>
      </c>
      <c r="D119" s="29">
        <v>12</v>
      </c>
      <c r="E119" s="30"/>
      <c r="F119" s="30"/>
      <c r="G119" s="30"/>
      <c r="H119" s="29">
        <v>63755110</v>
      </c>
      <c r="I119" s="56">
        <v>146693</v>
      </c>
      <c r="J119" s="56">
        <v>142361.29999999999</v>
      </c>
      <c r="K119" s="56">
        <v>102277.6</v>
      </c>
      <c r="L119" s="30"/>
      <c r="M119" s="30"/>
      <c r="N119" s="30"/>
      <c r="O119" s="56">
        <v>145069.70000000001</v>
      </c>
      <c r="P119" s="56">
        <v>141733.29999999999</v>
      </c>
      <c r="Q119" s="56">
        <v>102121.4</v>
      </c>
      <c r="R119" s="30"/>
      <c r="S119" s="19"/>
    </row>
    <row r="120" spans="1:26" ht="12.75" hidden="1" thickBot="1">
      <c r="A120" s="25" t="s">
        <v>406</v>
      </c>
      <c r="B120" s="25" t="s">
        <v>1213</v>
      </c>
      <c r="C120" s="25" t="s">
        <v>428</v>
      </c>
      <c r="D120" s="26">
        <v>241</v>
      </c>
      <c r="E120" s="27"/>
      <c r="F120" s="27"/>
      <c r="G120" s="27"/>
      <c r="H120" s="26">
        <v>23614645</v>
      </c>
      <c r="I120" s="27"/>
      <c r="J120" s="27"/>
      <c r="K120" s="27"/>
      <c r="L120" s="28">
        <v>65376.25</v>
      </c>
      <c r="M120" s="28">
        <v>4411.5</v>
      </c>
      <c r="N120" s="27"/>
      <c r="O120" s="27"/>
      <c r="P120" s="55">
        <v>64748.2</v>
      </c>
      <c r="Q120" s="27"/>
      <c r="R120" s="55">
        <v>64748.2</v>
      </c>
      <c r="S120" s="17">
        <v>61416.29</v>
      </c>
    </row>
    <row r="121" spans="1:26" ht="12.75" hidden="1" thickBot="1">
      <c r="A121" s="25" t="s">
        <v>406</v>
      </c>
      <c r="B121" s="25" t="s">
        <v>1213</v>
      </c>
      <c r="C121" s="25" t="s">
        <v>429</v>
      </c>
      <c r="D121" s="29">
        <v>21</v>
      </c>
      <c r="E121" s="30"/>
      <c r="F121" s="30"/>
      <c r="G121" s="30"/>
      <c r="H121" s="29">
        <v>1014660</v>
      </c>
      <c r="I121" s="30"/>
      <c r="J121" s="30"/>
      <c r="K121" s="30"/>
      <c r="L121" s="31">
        <v>3510.25</v>
      </c>
      <c r="M121" s="31">
        <v>929</v>
      </c>
      <c r="N121" s="30"/>
      <c r="O121" s="30"/>
      <c r="P121" s="56">
        <v>3437.1</v>
      </c>
      <c r="Q121" s="30"/>
      <c r="R121" s="56">
        <v>3437.1</v>
      </c>
      <c r="S121" s="18">
        <v>10832.13</v>
      </c>
    </row>
    <row r="122" spans="1:26" ht="12.75" hidden="1" thickBot="1">
      <c r="A122" s="25" t="s">
        <v>406</v>
      </c>
      <c r="B122" s="25" t="s">
        <v>1213</v>
      </c>
      <c r="C122" s="25" t="s">
        <v>430</v>
      </c>
      <c r="D122" s="26">
        <v>74</v>
      </c>
      <c r="E122" s="27"/>
      <c r="F122" s="27"/>
      <c r="G122" s="27"/>
      <c r="H122" s="26">
        <v>17924420</v>
      </c>
      <c r="I122" s="55">
        <v>45781.525000000001</v>
      </c>
      <c r="J122" s="55">
        <v>43094.7</v>
      </c>
      <c r="K122" s="55">
        <v>41902.550000000003</v>
      </c>
      <c r="L122" s="27"/>
      <c r="M122" s="27"/>
      <c r="N122" s="55">
        <v>7568</v>
      </c>
      <c r="O122" s="55">
        <v>43473.599999999999</v>
      </c>
      <c r="P122" s="55">
        <v>42888.9</v>
      </c>
      <c r="Q122" s="55">
        <v>41686.1</v>
      </c>
      <c r="R122" s="27"/>
      <c r="S122" s="17">
        <v>36861.1</v>
      </c>
    </row>
    <row r="123" spans="1:26" ht="12.75" hidden="1" thickBot="1">
      <c r="A123" s="25" t="s">
        <v>406</v>
      </c>
      <c r="B123" s="25" t="s">
        <v>1213</v>
      </c>
      <c r="C123" s="25" t="s">
        <v>431</v>
      </c>
      <c r="D123" s="29">
        <v>62</v>
      </c>
      <c r="E123" s="30"/>
      <c r="F123" s="30"/>
      <c r="G123" s="30"/>
      <c r="H123" s="29">
        <v>119109000</v>
      </c>
      <c r="I123" s="56">
        <v>275210.59999999998</v>
      </c>
      <c r="J123" s="56">
        <v>264630.5</v>
      </c>
      <c r="K123" s="56">
        <v>260028.1</v>
      </c>
      <c r="L123" s="30"/>
      <c r="M123" s="30"/>
      <c r="N123" s="30"/>
      <c r="O123" s="56">
        <v>273675.7</v>
      </c>
      <c r="P123" s="56">
        <v>264630.5</v>
      </c>
      <c r="Q123" s="56">
        <v>260028.1</v>
      </c>
      <c r="R123" s="30"/>
      <c r="S123" s="19"/>
    </row>
    <row r="124" spans="1:26" ht="12.75" hidden="1" thickBot="1">
      <c r="A124" s="25" t="s">
        <v>406</v>
      </c>
      <c r="B124" s="25" t="s">
        <v>1213</v>
      </c>
      <c r="C124" s="25" t="s">
        <v>433</v>
      </c>
      <c r="D124" s="26">
        <v>1</v>
      </c>
      <c r="E124" s="27"/>
      <c r="F124" s="27"/>
      <c r="G124" s="27"/>
      <c r="H124" s="26">
        <v>196</v>
      </c>
      <c r="I124" s="27"/>
      <c r="J124" s="27"/>
      <c r="K124" s="27"/>
      <c r="L124" s="27"/>
      <c r="M124" s="27"/>
      <c r="N124" s="27"/>
      <c r="O124" s="27"/>
      <c r="P124" s="27"/>
      <c r="Q124" s="27"/>
      <c r="R124" s="27"/>
      <c r="S124" s="20"/>
    </row>
    <row r="125" spans="1:26" ht="12.75" hidden="1" thickBot="1">
      <c r="A125" s="25" t="s">
        <v>406</v>
      </c>
      <c r="B125" s="25" t="s">
        <v>1213</v>
      </c>
      <c r="C125" s="25" t="s">
        <v>434</v>
      </c>
      <c r="D125" s="29">
        <v>159</v>
      </c>
      <c r="E125" s="30"/>
      <c r="F125" s="30"/>
      <c r="G125" s="30"/>
      <c r="H125" s="29">
        <v>170467</v>
      </c>
      <c r="I125" s="30"/>
      <c r="J125" s="30"/>
      <c r="K125" s="30"/>
      <c r="L125" s="30"/>
      <c r="M125" s="30"/>
      <c r="N125" s="30"/>
      <c r="O125" s="30"/>
      <c r="P125" s="30"/>
      <c r="Q125" s="30"/>
      <c r="R125" s="30"/>
      <c r="S125" s="19"/>
    </row>
    <row r="126" spans="1:26" ht="12.75" hidden="1" thickBot="1">
      <c r="A126" s="25" t="s">
        <v>406</v>
      </c>
      <c r="B126" s="25" t="s">
        <v>1213</v>
      </c>
      <c r="C126" s="25" t="s">
        <v>435</v>
      </c>
      <c r="D126" s="26">
        <v>13</v>
      </c>
      <c r="E126" s="27"/>
      <c r="F126" s="27"/>
      <c r="G126" s="27"/>
      <c r="H126" s="26">
        <v>86895</v>
      </c>
      <c r="I126" s="27"/>
      <c r="J126" s="27"/>
      <c r="K126" s="27"/>
      <c r="L126" s="27"/>
      <c r="M126" s="27"/>
      <c r="N126" s="27"/>
      <c r="O126" s="27"/>
      <c r="P126" s="27"/>
      <c r="Q126" s="27"/>
      <c r="R126" s="27"/>
      <c r="S126" s="20"/>
    </row>
    <row r="127" spans="1:26" ht="12.75" hidden="1" thickBot="1">
      <c r="A127" s="25" t="s">
        <v>406</v>
      </c>
      <c r="B127" s="25" t="s">
        <v>1213</v>
      </c>
      <c r="C127" s="25" t="s">
        <v>436</v>
      </c>
      <c r="D127" s="29">
        <v>899</v>
      </c>
      <c r="E127" s="30"/>
      <c r="F127" s="30"/>
      <c r="G127" s="30"/>
      <c r="H127" s="29">
        <v>181626</v>
      </c>
      <c r="I127" s="30"/>
      <c r="J127" s="30"/>
      <c r="K127" s="30"/>
      <c r="L127" s="30"/>
      <c r="M127" s="30"/>
      <c r="N127" s="30"/>
      <c r="O127" s="30"/>
      <c r="P127" s="30"/>
      <c r="Q127" s="30"/>
      <c r="R127" s="30"/>
      <c r="S127" s="19"/>
    </row>
    <row r="128" spans="1:26" ht="12.75" hidden="1" thickBot="1">
      <c r="A128" s="25" t="s">
        <v>406</v>
      </c>
      <c r="B128" s="25" t="s">
        <v>1213</v>
      </c>
      <c r="C128" s="25" t="s">
        <v>437</v>
      </c>
      <c r="D128" s="26">
        <v>8</v>
      </c>
      <c r="E128" s="27"/>
      <c r="F128" s="27"/>
      <c r="G128" s="27"/>
      <c r="H128" s="26">
        <v>68742</v>
      </c>
      <c r="I128" s="27"/>
      <c r="J128" s="27"/>
      <c r="K128" s="27"/>
      <c r="L128" s="27"/>
      <c r="M128" s="27"/>
      <c r="N128" s="27"/>
      <c r="O128" s="27"/>
      <c r="P128" s="27"/>
      <c r="Q128" s="27"/>
      <c r="R128" s="27"/>
      <c r="S128" s="20"/>
    </row>
    <row r="129" spans="1:19" ht="12.75" hidden="1" thickBot="1">
      <c r="A129" s="25" t="s">
        <v>406</v>
      </c>
      <c r="B129" s="25" t="s">
        <v>1213</v>
      </c>
      <c r="C129" s="25" t="s">
        <v>438</v>
      </c>
      <c r="D129" s="29">
        <v>3478</v>
      </c>
      <c r="E129" s="30"/>
      <c r="F129" s="30"/>
      <c r="G129" s="30"/>
      <c r="H129" s="29">
        <v>831206</v>
      </c>
      <c r="I129" s="30"/>
      <c r="J129" s="30"/>
      <c r="K129" s="30"/>
      <c r="L129" s="30"/>
      <c r="M129" s="30"/>
      <c r="N129" s="30"/>
      <c r="O129" s="30"/>
      <c r="P129" s="30"/>
      <c r="Q129" s="30"/>
      <c r="R129" s="30"/>
      <c r="S129" s="19"/>
    </row>
    <row r="130" spans="1:19" ht="12.75" hidden="1" thickBot="1">
      <c r="A130" s="25" t="s">
        <v>406</v>
      </c>
      <c r="B130" s="25" t="s">
        <v>1213</v>
      </c>
      <c r="C130" s="25" t="s">
        <v>439</v>
      </c>
      <c r="D130" s="26">
        <v>353170</v>
      </c>
      <c r="E130" s="27"/>
      <c r="F130" s="27"/>
      <c r="G130" s="27"/>
      <c r="H130" s="26">
        <v>249761470</v>
      </c>
      <c r="I130" s="27"/>
      <c r="J130" s="27"/>
      <c r="K130" s="27"/>
      <c r="L130" s="27"/>
      <c r="M130" s="27"/>
      <c r="N130" s="27"/>
      <c r="O130" s="27"/>
      <c r="P130" s="27"/>
      <c r="Q130" s="27"/>
      <c r="R130" s="27"/>
      <c r="S130" s="20"/>
    </row>
    <row r="131" spans="1:19" ht="12.75" hidden="1" thickBot="1">
      <c r="A131" s="25" t="s">
        <v>406</v>
      </c>
      <c r="B131" s="25" t="s">
        <v>1213</v>
      </c>
      <c r="C131" s="25" t="s">
        <v>440</v>
      </c>
      <c r="D131" s="29">
        <v>127</v>
      </c>
      <c r="E131" s="30"/>
      <c r="F131" s="30"/>
      <c r="G131" s="30"/>
      <c r="H131" s="29">
        <v>88307</v>
      </c>
      <c r="I131" s="30"/>
      <c r="J131" s="30"/>
      <c r="K131" s="30"/>
      <c r="L131" s="30"/>
      <c r="M131" s="30"/>
      <c r="N131" s="30"/>
      <c r="O131" s="30"/>
      <c r="P131" s="30"/>
      <c r="Q131" s="30"/>
      <c r="R131" s="30"/>
      <c r="S131" s="19"/>
    </row>
    <row r="132" spans="1:19" ht="12.75" hidden="1" thickBot="1">
      <c r="A132" s="25" t="s">
        <v>406</v>
      </c>
      <c r="B132" s="25" t="s">
        <v>1213</v>
      </c>
      <c r="C132" s="25" t="s">
        <v>441</v>
      </c>
      <c r="D132" s="26">
        <v>6</v>
      </c>
      <c r="E132" s="27"/>
      <c r="F132" s="27"/>
      <c r="G132" s="27"/>
      <c r="H132" s="26">
        <v>27519</v>
      </c>
      <c r="I132" s="27"/>
      <c r="J132" s="27"/>
      <c r="K132" s="27"/>
      <c r="L132" s="27"/>
      <c r="M132" s="27"/>
      <c r="N132" s="27"/>
      <c r="O132" s="27"/>
      <c r="P132" s="27"/>
      <c r="Q132" s="27"/>
      <c r="R132" s="27"/>
      <c r="S132" s="20"/>
    </row>
    <row r="133" spans="1:19" ht="12.75" hidden="1" thickBot="1">
      <c r="A133" s="25" t="s">
        <v>406</v>
      </c>
      <c r="B133" s="25" t="s">
        <v>1213</v>
      </c>
      <c r="C133" s="25" t="s">
        <v>755</v>
      </c>
      <c r="D133" s="29">
        <v>17</v>
      </c>
      <c r="E133" s="31">
        <v>11784</v>
      </c>
      <c r="F133" s="31">
        <v>6179</v>
      </c>
      <c r="G133" s="31">
        <v>3689</v>
      </c>
      <c r="H133" s="29">
        <v>21652</v>
      </c>
      <c r="I133" s="30"/>
      <c r="J133" s="30"/>
      <c r="K133" s="30"/>
      <c r="L133" s="30"/>
      <c r="M133" s="30"/>
      <c r="N133" s="30"/>
      <c r="O133" s="30"/>
      <c r="P133" s="30"/>
      <c r="Q133" s="30"/>
      <c r="R133" s="30"/>
      <c r="S133" s="19"/>
    </row>
    <row r="134" spans="1:19" ht="12.75" hidden="1" thickBot="1">
      <c r="A134" s="25" t="s">
        <v>406</v>
      </c>
      <c r="B134" s="25" t="s">
        <v>1213</v>
      </c>
      <c r="C134" s="25" t="s">
        <v>1208</v>
      </c>
      <c r="D134" s="26">
        <v>1</v>
      </c>
      <c r="E134" s="28">
        <v>114</v>
      </c>
      <c r="F134" s="28">
        <v>0</v>
      </c>
      <c r="G134" s="28">
        <v>0</v>
      </c>
      <c r="H134" s="26">
        <v>114</v>
      </c>
      <c r="I134" s="27"/>
      <c r="J134" s="27"/>
      <c r="K134" s="27"/>
      <c r="L134" s="27"/>
      <c r="M134" s="27"/>
      <c r="N134" s="27"/>
      <c r="O134" s="27"/>
      <c r="P134" s="27"/>
      <c r="Q134" s="27"/>
      <c r="R134" s="27"/>
      <c r="S134" s="20"/>
    </row>
    <row r="135" spans="1:19" ht="12.75" hidden="1" thickBot="1">
      <c r="A135" s="25" t="s">
        <v>406</v>
      </c>
      <c r="B135" s="25" t="s">
        <v>1213</v>
      </c>
      <c r="C135" s="42" t="s">
        <v>7</v>
      </c>
      <c r="D135" s="43">
        <v>405301</v>
      </c>
      <c r="E135" s="44">
        <v>11898</v>
      </c>
      <c r="F135" s="44">
        <v>6179</v>
      </c>
      <c r="G135" s="44">
        <v>3689</v>
      </c>
      <c r="H135" s="43">
        <v>805135408</v>
      </c>
      <c r="I135" s="60">
        <v>691457.6</v>
      </c>
      <c r="J135" s="60">
        <v>626707.35000000009</v>
      </c>
      <c r="K135" s="60">
        <v>575621.5</v>
      </c>
      <c r="L135" s="44">
        <v>486204.45</v>
      </c>
      <c r="M135" s="44">
        <v>7112.4</v>
      </c>
      <c r="N135" s="60">
        <v>10976.6</v>
      </c>
      <c r="O135" s="246"/>
      <c r="P135" s="60">
        <v>624834.80000000005</v>
      </c>
      <c r="Q135" s="60">
        <v>573733.19999999995</v>
      </c>
      <c r="R135" s="60">
        <v>663892.5</v>
      </c>
      <c r="S135" s="21">
        <v>117624.71000000002</v>
      </c>
    </row>
    <row r="136" spans="1:19" ht="12.75" hidden="1" thickBot="1">
      <c r="A136" s="25" t="s">
        <v>406</v>
      </c>
      <c r="B136" s="25" t="s">
        <v>1214</v>
      </c>
      <c r="C136" s="25" t="s">
        <v>407</v>
      </c>
      <c r="D136" s="26">
        <v>54</v>
      </c>
      <c r="E136" s="27"/>
      <c r="F136" s="27"/>
      <c r="G136" s="27"/>
      <c r="H136" s="26">
        <v>10322</v>
      </c>
      <c r="I136" s="27"/>
      <c r="J136" s="27"/>
      <c r="K136" s="27"/>
      <c r="L136" s="27"/>
      <c r="M136" s="27"/>
      <c r="N136" s="27"/>
      <c r="O136" s="27"/>
      <c r="P136" s="27"/>
      <c r="Q136" s="27"/>
      <c r="R136" s="27"/>
      <c r="S136" s="20"/>
    </row>
    <row r="137" spans="1:19" ht="12.75" hidden="1" thickBot="1">
      <c r="A137" s="25" t="s">
        <v>406</v>
      </c>
      <c r="B137" s="25" t="s">
        <v>1214</v>
      </c>
      <c r="C137" s="25" t="s">
        <v>409</v>
      </c>
      <c r="D137" s="29">
        <v>29196</v>
      </c>
      <c r="E137" s="30"/>
      <c r="F137" s="30"/>
      <c r="G137" s="30"/>
      <c r="H137" s="29">
        <v>33603505</v>
      </c>
      <c r="I137" s="30"/>
      <c r="J137" s="30"/>
      <c r="K137" s="30"/>
      <c r="L137" s="30"/>
      <c r="M137" s="30"/>
      <c r="N137" s="30"/>
      <c r="O137" s="56">
        <v>15660.5</v>
      </c>
      <c r="P137" s="30"/>
      <c r="Q137" s="56"/>
      <c r="R137" s="56">
        <v>15660.5</v>
      </c>
      <c r="S137" s="19"/>
    </row>
    <row r="138" spans="1:19" ht="12.75" hidden="1" thickBot="1">
      <c r="A138" s="25" t="s">
        <v>406</v>
      </c>
      <c r="B138" s="25" t="s">
        <v>1214</v>
      </c>
      <c r="C138" s="25" t="s">
        <v>410</v>
      </c>
      <c r="D138" s="26">
        <v>1</v>
      </c>
      <c r="E138" s="27"/>
      <c r="F138" s="27"/>
      <c r="G138" s="27"/>
      <c r="H138" s="26">
        <v>13802</v>
      </c>
      <c r="I138" s="27"/>
      <c r="J138" s="27"/>
      <c r="K138" s="27"/>
      <c r="L138" s="27"/>
      <c r="M138" s="27"/>
      <c r="N138" s="27"/>
      <c r="O138" s="27"/>
      <c r="P138" s="27"/>
      <c r="Q138" s="27"/>
      <c r="R138" s="27"/>
      <c r="S138" s="20"/>
    </row>
    <row r="139" spans="1:19" ht="12.75" hidden="1" thickBot="1">
      <c r="A139" s="25" t="s">
        <v>406</v>
      </c>
      <c r="B139" s="25" t="s">
        <v>1214</v>
      </c>
      <c r="C139" s="25" t="s">
        <v>411</v>
      </c>
      <c r="D139" s="29">
        <v>120</v>
      </c>
      <c r="E139" s="30"/>
      <c r="F139" s="30"/>
      <c r="G139" s="30"/>
      <c r="H139" s="29">
        <v>86350</v>
      </c>
      <c r="I139" s="30"/>
      <c r="J139" s="30"/>
      <c r="K139" s="30"/>
      <c r="L139" s="30"/>
      <c r="M139" s="30"/>
      <c r="N139" s="30"/>
      <c r="O139" s="56">
        <v>1.3</v>
      </c>
      <c r="P139" s="30"/>
      <c r="Q139" s="56"/>
      <c r="R139" s="56">
        <v>1.3</v>
      </c>
      <c r="S139" s="19"/>
    </row>
    <row r="140" spans="1:19" ht="12.75" hidden="1" thickBot="1">
      <c r="A140" s="25" t="s">
        <v>406</v>
      </c>
      <c r="B140" s="25" t="s">
        <v>1214</v>
      </c>
      <c r="C140" s="25" t="s">
        <v>413</v>
      </c>
      <c r="D140" s="26">
        <v>7</v>
      </c>
      <c r="E140" s="27"/>
      <c r="F140" s="27"/>
      <c r="G140" s="27"/>
      <c r="H140" s="26">
        <v>1464</v>
      </c>
      <c r="I140" s="27"/>
      <c r="J140" s="27"/>
      <c r="K140" s="27"/>
      <c r="L140" s="27"/>
      <c r="M140" s="27"/>
      <c r="N140" s="27"/>
      <c r="O140" s="27"/>
      <c r="P140" s="27"/>
      <c r="Q140" s="27"/>
      <c r="R140" s="27"/>
      <c r="S140" s="20"/>
    </row>
    <row r="141" spans="1:19" ht="12.75" hidden="1" thickBot="1">
      <c r="A141" s="25" t="s">
        <v>406</v>
      </c>
      <c r="B141" s="25" t="s">
        <v>1214</v>
      </c>
      <c r="C141" s="25" t="s">
        <v>414</v>
      </c>
      <c r="D141" s="29">
        <v>2573</v>
      </c>
      <c r="E141" s="30"/>
      <c r="F141" s="30"/>
      <c r="G141" s="30"/>
      <c r="H141" s="29">
        <v>137149217</v>
      </c>
      <c r="I141" s="30"/>
      <c r="J141" s="30"/>
      <c r="K141" s="30"/>
      <c r="L141" s="31">
        <v>384693.4</v>
      </c>
      <c r="M141" s="31">
        <v>908.4</v>
      </c>
      <c r="N141" s="30"/>
      <c r="O141" s="30"/>
      <c r="P141" s="30"/>
      <c r="Q141" s="56">
        <v>375096.9</v>
      </c>
      <c r="R141" s="56">
        <v>375096.9</v>
      </c>
      <c r="S141" s="18">
        <v>14857.6</v>
      </c>
    </row>
    <row r="142" spans="1:19" ht="12.75" hidden="1" thickBot="1">
      <c r="A142" s="25" t="s">
        <v>406</v>
      </c>
      <c r="B142" s="25" t="s">
        <v>1214</v>
      </c>
      <c r="C142" s="25" t="s">
        <v>415</v>
      </c>
      <c r="D142" s="26">
        <v>59</v>
      </c>
      <c r="E142" s="27"/>
      <c r="F142" s="27"/>
      <c r="G142" s="27"/>
      <c r="H142" s="26">
        <v>1758760</v>
      </c>
      <c r="I142" s="27"/>
      <c r="J142" s="27"/>
      <c r="K142" s="27"/>
      <c r="L142" s="28">
        <v>13326.7</v>
      </c>
      <c r="M142" s="28">
        <v>5762.5</v>
      </c>
      <c r="N142" s="27"/>
      <c r="O142" s="27"/>
      <c r="P142" s="27"/>
      <c r="Q142" s="55">
        <v>13270.3</v>
      </c>
      <c r="R142" s="55">
        <v>13270.3</v>
      </c>
      <c r="S142" s="17">
        <v>81266.149999999994</v>
      </c>
    </row>
    <row r="143" spans="1:19" ht="12.75" hidden="1" thickBot="1">
      <c r="A143" s="25" t="s">
        <v>406</v>
      </c>
      <c r="B143" s="25" t="s">
        <v>1214</v>
      </c>
      <c r="C143" s="25" t="s">
        <v>416</v>
      </c>
      <c r="D143" s="29">
        <v>1</v>
      </c>
      <c r="E143" s="30"/>
      <c r="F143" s="30"/>
      <c r="G143" s="30"/>
      <c r="H143" s="29">
        <v>89760</v>
      </c>
      <c r="I143" s="30"/>
      <c r="J143" s="30"/>
      <c r="K143" s="30"/>
      <c r="L143" s="31">
        <v>310.5</v>
      </c>
      <c r="M143" s="31">
        <v>0</v>
      </c>
      <c r="N143" s="30"/>
      <c r="O143" s="30"/>
      <c r="P143" s="30"/>
      <c r="Q143" s="56">
        <v>310.5</v>
      </c>
      <c r="R143" s="56">
        <v>310.5</v>
      </c>
      <c r="S143" s="18">
        <v>0</v>
      </c>
    </row>
    <row r="144" spans="1:19" ht="12.75" hidden="1" thickBot="1">
      <c r="A144" s="25" t="s">
        <v>406</v>
      </c>
      <c r="B144" s="25" t="s">
        <v>1214</v>
      </c>
      <c r="C144" s="25" t="s">
        <v>417</v>
      </c>
      <c r="D144" s="26">
        <v>216</v>
      </c>
      <c r="E144" s="27"/>
      <c r="F144" s="27"/>
      <c r="G144" s="27"/>
      <c r="H144" s="26">
        <v>56220092</v>
      </c>
      <c r="I144" s="55">
        <v>130214.22500000001</v>
      </c>
      <c r="J144" s="55">
        <v>122677.95</v>
      </c>
      <c r="K144" s="55">
        <v>120996.85</v>
      </c>
      <c r="L144" s="27"/>
      <c r="M144" s="27"/>
      <c r="N144" s="55">
        <v>6304.3</v>
      </c>
      <c r="O144" s="55">
        <v>122971.5</v>
      </c>
      <c r="P144" s="55">
        <v>121931.1</v>
      </c>
      <c r="Q144" s="55">
        <v>120187.1</v>
      </c>
      <c r="R144" s="27"/>
      <c r="S144" s="17">
        <v>31089.69</v>
      </c>
    </row>
    <row r="145" spans="1:26" ht="12.75" hidden="1" thickBot="1">
      <c r="A145" s="25" t="s">
        <v>406</v>
      </c>
      <c r="B145" s="25" t="s">
        <v>1214</v>
      </c>
      <c r="C145" s="25" t="s">
        <v>418</v>
      </c>
      <c r="D145" s="29">
        <v>36</v>
      </c>
      <c r="E145" s="30"/>
      <c r="F145" s="30"/>
      <c r="G145" s="30"/>
      <c r="H145" s="29">
        <v>33395700</v>
      </c>
      <c r="I145" s="56">
        <v>77136.399999999994</v>
      </c>
      <c r="J145" s="56">
        <v>72516</v>
      </c>
      <c r="K145" s="56">
        <v>70841.600000000006</v>
      </c>
      <c r="L145" s="30"/>
      <c r="M145" s="30"/>
      <c r="N145" s="30"/>
      <c r="O145" s="56">
        <v>72951.3</v>
      </c>
      <c r="P145" s="56">
        <v>71231.899999999994</v>
      </c>
      <c r="Q145" s="56">
        <v>69425.8</v>
      </c>
      <c r="R145" s="30"/>
      <c r="S145" s="19"/>
    </row>
    <row r="146" spans="1:26" ht="12.75" hidden="1" thickBot="1">
      <c r="A146" s="25" t="s">
        <v>406</v>
      </c>
      <c r="B146" s="25" t="s">
        <v>1214</v>
      </c>
      <c r="C146" s="25" t="s">
        <v>420</v>
      </c>
      <c r="D146" s="26">
        <v>14307</v>
      </c>
      <c r="E146" s="27"/>
      <c r="F146" s="27"/>
      <c r="G146" s="27"/>
      <c r="H146" s="26">
        <v>69079625</v>
      </c>
      <c r="I146" s="27"/>
      <c r="J146" s="27"/>
      <c r="K146" s="27"/>
      <c r="L146" s="27"/>
      <c r="M146" s="27"/>
      <c r="N146" s="27"/>
      <c r="O146" s="55">
        <v>204735.2</v>
      </c>
      <c r="P146" s="27"/>
      <c r="Q146" s="55"/>
      <c r="R146" s="55">
        <v>204735.2</v>
      </c>
      <c r="S146" s="20"/>
    </row>
    <row r="147" spans="1:26" ht="12.75" hidden="1" thickBot="1">
      <c r="A147" s="25" t="s">
        <v>406</v>
      </c>
      <c r="B147" s="25" t="s">
        <v>1214</v>
      </c>
      <c r="C147" s="25" t="s">
        <v>421</v>
      </c>
      <c r="D147" s="29">
        <v>677</v>
      </c>
      <c r="E147" s="30"/>
      <c r="F147" s="30"/>
      <c r="G147" s="30"/>
      <c r="H147" s="29">
        <v>1231413</v>
      </c>
      <c r="I147" s="30"/>
      <c r="J147" s="30"/>
      <c r="K147" s="30"/>
      <c r="L147" s="30"/>
      <c r="M147" s="30"/>
      <c r="N147" s="30"/>
      <c r="O147" s="56">
        <v>2807.6</v>
      </c>
      <c r="P147" s="30"/>
      <c r="Q147" s="56"/>
      <c r="R147" s="56">
        <v>2807.6</v>
      </c>
      <c r="S147" s="19"/>
    </row>
    <row r="148" spans="1:26" ht="12.75" hidden="1" thickBot="1">
      <c r="A148" s="25" t="s">
        <v>406</v>
      </c>
      <c r="B148" s="25" t="s">
        <v>1214</v>
      </c>
      <c r="C148" s="25" t="s">
        <v>423</v>
      </c>
      <c r="D148" s="26">
        <v>8</v>
      </c>
      <c r="E148" s="27"/>
      <c r="F148" s="27"/>
      <c r="G148" s="27"/>
      <c r="H148" s="26">
        <v>134835</v>
      </c>
      <c r="I148" s="27"/>
      <c r="J148" s="27"/>
      <c r="K148" s="27"/>
      <c r="L148" s="27"/>
      <c r="M148" s="27"/>
      <c r="N148" s="27"/>
      <c r="O148" s="55">
        <v>510.6</v>
      </c>
      <c r="P148" s="27"/>
      <c r="Q148" s="55"/>
      <c r="R148" s="55">
        <v>510.6</v>
      </c>
      <c r="S148" s="20"/>
    </row>
    <row r="149" spans="1:26" ht="12.75" hidden="1" thickBot="1">
      <c r="A149" s="25" t="s">
        <v>406</v>
      </c>
      <c r="B149" s="25" t="s">
        <v>1214</v>
      </c>
      <c r="C149" s="25" t="s">
        <v>424</v>
      </c>
      <c r="D149" s="29">
        <v>2</v>
      </c>
      <c r="E149" s="30"/>
      <c r="F149" s="30"/>
      <c r="G149" s="30"/>
      <c r="H149" s="29">
        <v>4348800</v>
      </c>
      <c r="I149" s="30"/>
      <c r="J149" s="30"/>
      <c r="K149" s="30"/>
      <c r="L149" s="31">
        <v>9614.4</v>
      </c>
      <c r="M149" s="30"/>
      <c r="N149" s="30"/>
      <c r="O149" s="30"/>
      <c r="P149" s="30"/>
      <c r="Q149" s="56">
        <v>8822.4</v>
      </c>
      <c r="R149" s="56">
        <v>8822.4</v>
      </c>
      <c r="S149" s="19"/>
    </row>
    <row r="150" spans="1:26" ht="12.75" hidden="1" thickBot="1">
      <c r="A150" s="25" t="s">
        <v>406</v>
      </c>
      <c r="B150" s="25" t="s">
        <v>1214</v>
      </c>
      <c r="C150" s="25" t="s">
        <v>1204</v>
      </c>
      <c r="D150" s="26">
        <v>1</v>
      </c>
      <c r="E150" s="27"/>
      <c r="F150" s="27"/>
      <c r="G150" s="27"/>
      <c r="H150" s="27"/>
      <c r="I150" s="27"/>
      <c r="J150" s="27"/>
      <c r="K150" s="27"/>
      <c r="L150" s="27"/>
      <c r="M150" s="27"/>
      <c r="N150" s="27"/>
      <c r="O150" s="27"/>
      <c r="P150" s="27"/>
      <c r="Q150" s="27"/>
      <c r="R150" s="27"/>
      <c r="S150" s="20"/>
    </row>
    <row r="151" spans="1:26" ht="12.75" hidden="1" thickBot="1">
      <c r="A151" s="25" t="s">
        <v>406</v>
      </c>
      <c r="B151" s="25" t="s">
        <v>1214</v>
      </c>
      <c r="C151" s="25" t="s">
        <v>425</v>
      </c>
      <c r="D151" s="29">
        <v>1</v>
      </c>
      <c r="E151" s="30"/>
      <c r="F151" s="30"/>
      <c r="G151" s="30"/>
      <c r="H151" s="30"/>
      <c r="I151" s="30"/>
      <c r="J151" s="30"/>
      <c r="K151" s="30"/>
      <c r="L151" s="30"/>
      <c r="M151" s="30"/>
      <c r="N151" s="30"/>
      <c r="O151" s="30"/>
      <c r="P151" s="30"/>
      <c r="Q151" s="30"/>
      <c r="R151" s="30"/>
      <c r="S151" s="19"/>
    </row>
    <row r="152" spans="1:26" ht="12.75" hidden="1" thickBot="1">
      <c r="A152" s="25" t="s">
        <v>406</v>
      </c>
      <c r="B152" s="25" t="s">
        <v>1214</v>
      </c>
      <c r="C152" s="25" t="s">
        <v>426</v>
      </c>
      <c r="D152" s="26">
        <v>1</v>
      </c>
      <c r="E152" s="27"/>
      <c r="F152" s="27"/>
      <c r="G152" s="27"/>
      <c r="H152" s="26">
        <v>14360000</v>
      </c>
      <c r="I152" s="55">
        <v>27108</v>
      </c>
      <c r="J152" s="27"/>
      <c r="K152" s="27"/>
      <c r="L152" s="28">
        <v>27108</v>
      </c>
      <c r="M152" s="27"/>
      <c r="N152" s="27"/>
      <c r="O152" s="27"/>
      <c r="P152" s="55">
        <v>27108</v>
      </c>
      <c r="Q152" s="55"/>
      <c r="R152" s="55">
        <v>27108</v>
      </c>
      <c r="S152" s="17">
        <v>-24826.59</v>
      </c>
      <c r="U152" s="700">
        <v>0.98250000000000004</v>
      </c>
      <c r="V152">
        <v>-7.1999999999999995E-2</v>
      </c>
      <c r="W152">
        <v>344813.76</v>
      </c>
      <c r="X152" t="s">
        <v>1323</v>
      </c>
      <c r="Y152">
        <f>V152*W152</f>
        <v>-24826.59072</v>
      </c>
      <c r="Z152" s="6">
        <v>41760</v>
      </c>
    </row>
    <row r="153" spans="1:26" ht="12.75" hidden="1" thickBot="1">
      <c r="A153" s="25" t="s">
        <v>406</v>
      </c>
      <c r="B153" s="25" t="s">
        <v>1214</v>
      </c>
      <c r="C153" s="25" t="s">
        <v>427</v>
      </c>
      <c r="D153" s="29">
        <v>10</v>
      </c>
      <c r="E153" s="30"/>
      <c r="F153" s="30"/>
      <c r="G153" s="30"/>
      <c r="H153" s="29">
        <v>69750524</v>
      </c>
      <c r="I153" s="56">
        <v>141273.9</v>
      </c>
      <c r="J153" s="56">
        <v>139275.9</v>
      </c>
      <c r="K153" s="56">
        <v>96825.1</v>
      </c>
      <c r="L153" s="30"/>
      <c r="M153" s="30"/>
      <c r="N153" s="30"/>
      <c r="O153" s="56">
        <v>139801.70000000001</v>
      </c>
      <c r="P153" s="56">
        <v>138755.1</v>
      </c>
      <c r="Q153" s="56">
        <v>96825.1</v>
      </c>
      <c r="R153" s="30"/>
      <c r="S153" s="19"/>
    </row>
    <row r="154" spans="1:26" ht="12.75" hidden="1" thickBot="1">
      <c r="A154" s="25" t="s">
        <v>406</v>
      </c>
      <c r="B154" s="25" t="s">
        <v>1214</v>
      </c>
      <c r="C154" s="25" t="s">
        <v>428</v>
      </c>
      <c r="D154" s="26">
        <v>244</v>
      </c>
      <c r="E154" s="27"/>
      <c r="F154" s="27"/>
      <c r="G154" s="27"/>
      <c r="H154" s="26">
        <v>24660519</v>
      </c>
      <c r="I154" s="27"/>
      <c r="J154" s="27"/>
      <c r="K154" s="27"/>
      <c r="L154" s="28">
        <v>68394.05</v>
      </c>
      <c r="M154" s="28">
        <v>4865.8</v>
      </c>
      <c r="N154" s="27"/>
      <c r="O154" s="27"/>
      <c r="P154" s="27"/>
      <c r="Q154" s="55">
        <v>67815.399999999994</v>
      </c>
      <c r="R154" s="55">
        <v>67815.399999999994</v>
      </c>
      <c r="S154" s="17">
        <v>79371.66</v>
      </c>
    </row>
    <row r="155" spans="1:26" ht="12.75" hidden="1" thickBot="1">
      <c r="A155" s="25" t="s">
        <v>406</v>
      </c>
      <c r="B155" s="25" t="s">
        <v>1214</v>
      </c>
      <c r="C155" s="25" t="s">
        <v>429</v>
      </c>
      <c r="D155" s="29">
        <v>23</v>
      </c>
      <c r="E155" s="30"/>
      <c r="F155" s="30"/>
      <c r="G155" s="30"/>
      <c r="H155" s="29">
        <v>11983995</v>
      </c>
      <c r="I155" s="30"/>
      <c r="J155" s="30"/>
      <c r="K155" s="30"/>
      <c r="L155" s="31">
        <v>27554.9</v>
      </c>
      <c r="M155" s="31">
        <v>1203.4000000000001</v>
      </c>
      <c r="N155" s="30"/>
      <c r="O155" s="30"/>
      <c r="P155" s="30"/>
      <c r="Q155" s="56">
        <v>27252.5</v>
      </c>
      <c r="R155" s="56">
        <v>27252.5</v>
      </c>
      <c r="S155" s="18">
        <v>15785.69</v>
      </c>
    </row>
    <row r="156" spans="1:26" ht="12.75" hidden="1" thickBot="1">
      <c r="A156" s="25" t="s">
        <v>406</v>
      </c>
      <c r="B156" s="25" t="s">
        <v>1214</v>
      </c>
      <c r="C156" s="25" t="s">
        <v>430</v>
      </c>
      <c r="D156" s="26">
        <v>75</v>
      </c>
      <c r="E156" s="27"/>
      <c r="F156" s="27"/>
      <c r="G156" s="27"/>
      <c r="H156" s="26">
        <v>18380980</v>
      </c>
      <c r="I156" s="55">
        <v>46860.925000000003</v>
      </c>
      <c r="J156" s="55">
        <v>44210.6</v>
      </c>
      <c r="K156" s="55">
        <v>43113.85</v>
      </c>
      <c r="L156" s="27"/>
      <c r="M156" s="27"/>
      <c r="N156" s="55">
        <v>8003.2</v>
      </c>
      <c r="O156" s="55">
        <v>45022</v>
      </c>
      <c r="P156" s="55">
        <v>44108.4</v>
      </c>
      <c r="Q156" s="55">
        <v>43034.7</v>
      </c>
      <c r="R156" s="27"/>
      <c r="S156" s="17">
        <v>39074.660000000003</v>
      </c>
    </row>
    <row r="157" spans="1:26" ht="12.75" hidden="1" thickBot="1">
      <c r="A157" s="25" t="s">
        <v>406</v>
      </c>
      <c r="B157" s="25" t="s">
        <v>1214</v>
      </c>
      <c r="C157" s="25" t="s">
        <v>431</v>
      </c>
      <c r="D157" s="29">
        <v>66</v>
      </c>
      <c r="E157" s="30"/>
      <c r="F157" s="30"/>
      <c r="G157" s="30"/>
      <c r="H157" s="29">
        <v>147409800</v>
      </c>
      <c r="I157" s="56">
        <v>340479.1</v>
      </c>
      <c r="J157" s="56">
        <v>328875.59999999998</v>
      </c>
      <c r="K157" s="56">
        <v>325088.09999999998</v>
      </c>
      <c r="L157" s="30"/>
      <c r="M157" s="30"/>
      <c r="N157" s="30"/>
      <c r="O157" s="56">
        <v>336833.70000000013</v>
      </c>
      <c r="P157" s="56">
        <v>328875.59999999998</v>
      </c>
      <c r="Q157" s="56">
        <v>325088.09999999998</v>
      </c>
      <c r="R157" s="30"/>
      <c r="S157" s="19"/>
    </row>
    <row r="158" spans="1:26" ht="12.75" hidden="1" thickBot="1">
      <c r="A158" s="25" t="s">
        <v>406</v>
      </c>
      <c r="B158" s="25" t="s">
        <v>1214</v>
      </c>
      <c r="C158" s="25" t="s">
        <v>433</v>
      </c>
      <c r="D158" s="26">
        <v>1</v>
      </c>
      <c r="E158" s="27"/>
      <c r="F158" s="27"/>
      <c r="G158" s="27"/>
      <c r="H158" s="26">
        <v>196</v>
      </c>
      <c r="I158" s="27"/>
      <c r="J158" s="27"/>
      <c r="K158" s="27"/>
      <c r="L158" s="27"/>
      <c r="M158" s="27"/>
      <c r="N158" s="27"/>
      <c r="O158" s="27"/>
      <c r="P158" s="27"/>
      <c r="Q158" s="27"/>
      <c r="R158" s="27"/>
      <c r="S158" s="20"/>
    </row>
    <row r="159" spans="1:26" ht="12.75" hidden="1" thickBot="1">
      <c r="A159" s="25" t="s">
        <v>406</v>
      </c>
      <c r="B159" s="25" t="s">
        <v>1214</v>
      </c>
      <c r="C159" s="25" t="s">
        <v>434</v>
      </c>
      <c r="D159" s="29">
        <v>158</v>
      </c>
      <c r="E159" s="30"/>
      <c r="F159" s="30"/>
      <c r="G159" s="30"/>
      <c r="H159" s="29">
        <v>152460</v>
      </c>
      <c r="I159" s="30"/>
      <c r="J159" s="30"/>
      <c r="K159" s="30"/>
      <c r="L159" s="30"/>
      <c r="M159" s="30"/>
      <c r="N159" s="30"/>
      <c r="O159" s="30"/>
      <c r="P159" s="30"/>
      <c r="Q159" s="30"/>
      <c r="R159" s="30"/>
      <c r="S159" s="19"/>
    </row>
    <row r="160" spans="1:26" ht="12.75" hidden="1" thickBot="1">
      <c r="A160" s="25" t="s">
        <v>406</v>
      </c>
      <c r="B160" s="25" t="s">
        <v>1214</v>
      </c>
      <c r="C160" s="25" t="s">
        <v>435</v>
      </c>
      <c r="D160" s="26">
        <v>7</v>
      </c>
      <c r="E160" s="27"/>
      <c r="F160" s="27"/>
      <c r="G160" s="27"/>
      <c r="H160" s="26">
        <v>8149</v>
      </c>
      <c r="I160" s="27"/>
      <c r="J160" s="27"/>
      <c r="K160" s="27"/>
      <c r="L160" s="27"/>
      <c r="M160" s="27"/>
      <c r="N160" s="27"/>
      <c r="O160" s="27"/>
      <c r="P160" s="27"/>
      <c r="Q160" s="27"/>
      <c r="R160" s="27"/>
      <c r="S160" s="20"/>
    </row>
    <row r="161" spans="1:19" ht="12.75" hidden="1" thickBot="1">
      <c r="A161" s="25" t="s">
        <v>406</v>
      </c>
      <c r="B161" s="25" t="s">
        <v>1214</v>
      </c>
      <c r="C161" s="25" t="s">
        <v>436</v>
      </c>
      <c r="D161" s="29">
        <v>896</v>
      </c>
      <c r="E161" s="30"/>
      <c r="F161" s="30"/>
      <c r="G161" s="30"/>
      <c r="H161" s="29">
        <v>177436</v>
      </c>
      <c r="I161" s="30"/>
      <c r="J161" s="30"/>
      <c r="K161" s="30"/>
      <c r="L161" s="30"/>
      <c r="M161" s="30"/>
      <c r="N161" s="30"/>
      <c r="O161" s="30"/>
      <c r="P161" s="30"/>
      <c r="Q161" s="30"/>
      <c r="R161" s="30"/>
      <c r="S161" s="19"/>
    </row>
    <row r="162" spans="1:19" ht="12.75" hidden="1" thickBot="1">
      <c r="A162" s="25" t="s">
        <v>406</v>
      </c>
      <c r="B162" s="25" t="s">
        <v>1214</v>
      </c>
      <c r="C162" s="25" t="s">
        <v>437</v>
      </c>
      <c r="D162" s="26">
        <v>8</v>
      </c>
      <c r="E162" s="27"/>
      <c r="F162" s="27"/>
      <c r="G162" s="27"/>
      <c r="H162" s="26">
        <v>68742</v>
      </c>
      <c r="I162" s="27"/>
      <c r="J162" s="27"/>
      <c r="K162" s="27"/>
      <c r="L162" s="27"/>
      <c r="M162" s="27"/>
      <c r="N162" s="27"/>
      <c r="O162" s="27"/>
      <c r="P162" s="27"/>
      <c r="Q162" s="27"/>
      <c r="R162" s="27"/>
      <c r="S162" s="20"/>
    </row>
    <row r="163" spans="1:19" ht="12.75" hidden="1" thickBot="1">
      <c r="A163" s="25" t="s">
        <v>406</v>
      </c>
      <c r="B163" s="25" t="s">
        <v>1214</v>
      </c>
      <c r="C163" s="25" t="s">
        <v>438</v>
      </c>
      <c r="D163" s="29">
        <v>3484</v>
      </c>
      <c r="E163" s="30"/>
      <c r="F163" s="30"/>
      <c r="G163" s="30"/>
      <c r="H163" s="29">
        <v>768882</v>
      </c>
      <c r="I163" s="30"/>
      <c r="J163" s="30"/>
      <c r="K163" s="30"/>
      <c r="L163" s="30"/>
      <c r="M163" s="30"/>
      <c r="N163" s="30"/>
      <c r="O163" s="30"/>
      <c r="P163" s="30"/>
      <c r="Q163" s="30"/>
      <c r="R163" s="30"/>
      <c r="S163" s="19"/>
    </row>
    <row r="164" spans="1:19" ht="12.75" hidden="1" thickBot="1">
      <c r="A164" s="25" t="s">
        <v>406</v>
      </c>
      <c r="B164" s="25" t="s">
        <v>1214</v>
      </c>
      <c r="C164" s="25" t="s">
        <v>439</v>
      </c>
      <c r="D164" s="26">
        <v>352912</v>
      </c>
      <c r="E164" s="27"/>
      <c r="F164" s="27"/>
      <c r="G164" s="27"/>
      <c r="H164" s="26">
        <v>262861434</v>
      </c>
      <c r="I164" s="27"/>
      <c r="J164" s="27"/>
      <c r="K164" s="27"/>
      <c r="L164" s="27"/>
      <c r="M164" s="27"/>
      <c r="N164" s="27"/>
      <c r="O164" s="27"/>
      <c r="P164" s="27"/>
      <c r="Q164" s="27"/>
      <c r="R164" s="27"/>
      <c r="S164" s="20"/>
    </row>
    <row r="165" spans="1:19" ht="12.75" hidden="1" thickBot="1">
      <c r="A165" s="25" t="s">
        <v>406</v>
      </c>
      <c r="B165" s="25" t="s">
        <v>1214</v>
      </c>
      <c r="C165" s="25" t="s">
        <v>440</v>
      </c>
      <c r="D165" s="29">
        <v>127</v>
      </c>
      <c r="E165" s="30"/>
      <c r="F165" s="30"/>
      <c r="G165" s="30"/>
      <c r="H165" s="29">
        <v>79310</v>
      </c>
      <c r="I165" s="30"/>
      <c r="J165" s="30"/>
      <c r="K165" s="30"/>
      <c r="L165" s="30"/>
      <c r="M165" s="30"/>
      <c r="N165" s="30"/>
      <c r="O165" s="30"/>
      <c r="P165" s="30"/>
      <c r="Q165" s="30"/>
      <c r="R165" s="30"/>
      <c r="S165" s="19"/>
    </row>
    <row r="166" spans="1:19" ht="12.75" hidden="1" thickBot="1">
      <c r="A166" s="25" t="s">
        <v>406</v>
      </c>
      <c r="B166" s="25" t="s">
        <v>1214</v>
      </c>
      <c r="C166" s="25" t="s">
        <v>441</v>
      </c>
      <c r="D166" s="26">
        <v>6</v>
      </c>
      <c r="E166" s="27"/>
      <c r="F166" s="27"/>
      <c r="G166" s="27"/>
      <c r="H166" s="26">
        <v>32308</v>
      </c>
      <c r="I166" s="27"/>
      <c r="J166" s="27"/>
      <c r="K166" s="27"/>
      <c r="L166" s="27"/>
      <c r="M166" s="27"/>
      <c r="N166" s="27"/>
      <c r="O166" s="27"/>
      <c r="P166" s="27"/>
      <c r="Q166" s="27"/>
      <c r="R166" s="27"/>
      <c r="S166" s="20"/>
    </row>
    <row r="167" spans="1:19" ht="12.75" hidden="1" thickBot="1">
      <c r="A167" s="25" t="s">
        <v>406</v>
      </c>
      <c r="B167" s="25" t="s">
        <v>1214</v>
      </c>
      <c r="C167" s="25" t="s">
        <v>755</v>
      </c>
      <c r="D167" s="29">
        <v>18</v>
      </c>
      <c r="E167" s="31">
        <v>11987</v>
      </c>
      <c r="F167" s="31">
        <v>5858</v>
      </c>
      <c r="G167" s="31">
        <v>3658</v>
      </c>
      <c r="H167" s="29">
        <v>21503</v>
      </c>
      <c r="I167" s="30"/>
      <c r="J167" s="30"/>
      <c r="K167" s="30"/>
      <c r="L167" s="30"/>
      <c r="M167" s="30"/>
      <c r="N167" s="30"/>
      <c r="O167" s="30"/>
      <c r="P167" s="30"/>
      <c r="Q167" s="30"/>
      <c r="R167" s="30"/>
      <c r="S167" s="19"/>
    </row>
    <row r="168" spans="1:19" ht="12.75" hidden="1" thickBot="1">
      <c r="A168" s="25" t="s">
        <v>406</v>
      </c>
      <c r="B168" s="25" t="s">
        <v>1214</v>
      </c>
      <c r="C168" s="25" t="s">
        <v>1208</v>
      </c>
      <c r="D168" s="26">
        <v>1</v>
      </c>
      <c r="E168" s="28">
        <v>79</v>
      </c>
      <c r="F168" s="28">
        <v>0</v>
      </c>
      <c r="G168" s="28">
        <v>0</v>
      </c>
      <c r="H168" s="26">
        <v>79</v>
      </c>
      <c r="I168" s="27"/>
      <c r="J168" s="27"/>
      <c r="K168" s="27"/>
      <c r="L168" s="27"/>
      <c r="M168" s="27"/>
      <c r="N168" s="27"/>
      <c r="O168" s="27"/>
      <c r="P168" s="27"/>
      <c r="Q168" s="27"/>
      <c r="R168" s="27"/>
      <c r="S168" s="20"/>
    </row>
    <row r="169" spans="1:19" ht="12.75" hidden="1" thickBot="1">
      <c r="A169" s="25" t="s">
        <v>406</v>
      </c>
      <c r="B169" s="25" t="s">
        <v>1214</v>
      </c>
      <c r="C169" s="42" t="s">
        <v>7</v>
      </c>
      <c r="D169" s="43">
        <v>405296</v>
      </c>
      <c r="E169" s="44">
        <v>12066</v>
      </c>
      <c r="F169" s="44">
        <v>5858</v>
      </c>
      <c r="G169" s="44">
        <v>3658</v>
      </c>
      <c r="H169" s="43">
        <v>887839962</v>
      </c>
      <c r="I169" s="60">
        <v>763072.55</v>
      </c>
      <c r="J169" s="60">
        <v>707556.04999999993</v>
      </c>
      <c r="K169" s="60">
        <v>656865.5</v>
      </c>
      <c r="L169" s="44">
        <v>531001.94999999995</v>
      </c>
      <c r="M169" s="44">
        <v>12740.1</v>
      </c>
      <c r="N169" s="60">
        <v>14307.5</v>
      </c>
      <c r="O169" s="246"/>
      <c r="P169" s="60">
        <v>704902.1</v>
      </c>
      <c r="Q169" s="60">
        <v>654560.80000000005</v>
      </c>
      <c r="R169" s="60">
        <v>743391.2</v>
      </c>
      <c r="S169" s="21">
        <v>236618.86000000002</v>
      </c>
    </row>
    <row r="170" spans="1:19" ht="12.75" hidden="1" thickBot="1">
      <c r="A170" s="61"/>
      <c r="B170" s="62"/>
      <c r="C170" s="45"/>
      <c r="D170" s="25" t="s">
        <v>1</v>
      </c>
      <c r="E170" s="25" t="s">
        <v>403</v>
      </c>
      <c r="F170" s="25" t="s">
        <v>404</v>
      </c>
      <c r="G170" s="25" t="s">
        <v>405</v>
      </c>
      <c r="H170" s="25" t="s">
        <v>2</v>
      </c>
      <c r="I170" s="25" t="s">
        <v>137</v>
      </c>
      <c r="J170" s="25" t="s">
        <v>138</v>
      </c>
      <c r="K170" s="25" t="s">
        <v>139</v>
      </c>
      <c r="L170" s="25" t="s">
        <v>1033</v>
      </c>
      <c r="M170" s="25" t="s">
        <v>1034</v>
      </c>
      <c r="N170" s="25" t="s">
        <v>1035</v>
      </c>
      <c r="O170" s="25" t="s">
        <v>1036</v>
      </c>
      <c r="P170" s="25" t="s">
        <v>1037</v>
      </c>
      <c r="Q170" s="25" t="s">
        <v>1038</v>
      </c>
      <c r="R170" s="25" t="s">
        <v>1039</v>
      </c>
      <c r="S170" s="25" t="s">
        <v>1219</v>
      </c>
    </row>
    <row r="171" spans="1:19" ht="12.75" hidden="1" thickBot="1">
      <c r="A171" s="25" t="s">
        <v>61</v>
      </c>
      <c r="B171" s="25" t="s">
        <v>0</v>
      </c>
      <c r="C171" s="25" t="s">
        <v>4</v>
      </c>
      <c r="D171" s="45"/>
      <c r="E171" s="45" t="s">
        <v>5</v>
      </c>
      <c r="F171" s="45" t="s">
        <v>5</v>
      </c>
      <c r="G171" s="45" t="s">
        <v>5</v>
      </c>
      <c r="H171" s="45" t="s">
        <v>5</v>
      </c>
      <c r="I171" s="45"/>
      <c r="J171" s="45"/>
      <c r="K171" s="45"/>
      <c r="L171" s="45"/>
      <c r="M171" s="45"/>
      <c r="N171" s="45"/>
      <c r="O171" s="46"/>
      <c r="P171" s="45"/>
      <c r="Q171" s="45"/>
      <c r="R171" s="45"/>
      <c r="S171" s="45" t="s">
        <v>6</v>
      </c>
    </row>
    <row r="172" spans="1:19" ht="12.75" hidden="1" thickBot="1">
      <c r="A172" s="25" t="s">
        <v>406</v>
      </c>
      <c r="B172" s="25" t="s">
        <v>1220</v>
      </c>
      <c r="C172" s="25" t="s">
        <v>407</v>
      </c>
      <c r="D172" s="26">
        <v>55</v>
      </c>
      <c r="E172" s="27"/>
      <c r="F172" s="27"/>
      <c r="G172" s="27"/>
      <c r="H172" s="26">
        <v>9362</v>
      </c>
      <c r="I172" s="27"/>
      <c r="J172" s="27"/>
      <c r="K172" s="27"/>
      <c r="L172" s="27"/>
      <c r="M172" s="27"/>
      <c r="N172" s="27"/>
      <c r="O172" s="27"/>
      <c r="P172" s="27"/>
      <c r="Q172" s="27"/>
      <c r="R172" s="27"/>
      <c r="S172" s="27"/>
    </row>
    <row r="173" spans="1:19" ht="12.75" hidden="1" thickBot="1">
      <c r="A173" s="25" t="s">
        <v>406</v>
      </c>
      <c r="B173" s="25" t="s">
        <v>1220</v>
      </c>
      <c r="C173" s="25" t="s">
        <v>409</v>
      </c>
      <c r="D173" s="29">
        <v>27922</v>
      </c>
      <c r="E173" s="30"/>
      <c r="F173" s="30"/>
      <c r="G173" s="30"/>
      <c r="H173" s="29">
        <v>34548076</v>
      </c>
      <c r="I173" s="30"/>
      <c r="J173" s="30"/>
      <c r="K173" s="30"/>
      <c r="L173" s="30"/>
      <c r="M173" s="30"/>
      <c r="N173" s="30"/>
      <c r="O173" s="56">
        <v>8265.5</v>
      </c>
      <c r="P173" s="30"/>
      <c r="Q173" s="56"/>
      <c r="R173" s="56">
        <v>8265.5</v>
      </c>
      <c r="S173" s="30"/>
    </row>
    <row r="174" spans="1:19" ht="12.75" hidden="1" thickBot="1">
      <c r="A174" s="25" t="s">
        <v>406</v>
      </c>
      <c r="B174" s="25" t="s">
        <v>1220</v>
      </c>
      <c r="C174" s="25" t="s">
        <v>410</v>
      </c>
      <c r="D174" s="26">
        <v>1</v>
      </c>
      <c r="E174" s="27"/>
      <c r="F174" s="27"/>
      <c r="G174" s="27"/>
      <c r="H174" s="26">
        <v>13802</v>
      </c>
      <c r="I174" s="27"/>
      <c r="J174" s="27"/>
      <c r="K174" s="27"/>
      <c r="L174" s="27"/>
      <c r="M174" s="27"/>
      <c r="N174" s="27"/>
      <c r="O174" s="27"/>
      <c r="P174" s="27"/>
      <c r="Q174" s="27"/>
      <c r="R174" s="27"/>
      <c r="S174" s="27"/>
    </row>
    <row r="175" spans="1:19" ht="12.75" hidden="1" thickBot="1">
      <c r="A175" s="25" t="s">
        <v>406</v>
      </c>
      <c r="B175" s="25" t="s">
        <v>1220</v>
      </c>
      <c r="C175" s="25" t="s">
        <v>411</v>
      </c>
      <c r="D175" s="29">
        <v>121</v>
      </c>
      <c r="E175" s="30"/>
      <c r="F175" s="30"/>
      <c r="G175" s="30"/>
      <c r="H175" s="29">
        <v>127719</v>
      </c>
      <c r="I175" s="30"/>
      <c r="J175" s="30"/>
      <c r="K175" s="30"/>
      <c r="L175" s="30"/>
      <c r="M175" s="30"/>
      <c r="N175" s="30"/>
      <c r="O175" s="56">
        <v>1.3</v>
      </c>
      <c r="P175" s="30"/>
      <c r="Q175" s="56"/>
      <c r="R175" s="56">
        <v>1.3</v>
      </c>
      <c r="S175" s="30"/>
    </row>
    <row r="176" spans="1:19" ht="12.75" hidden="1" thickBot="1">
      <c r="A176" s="25" t="s">
        <v>406</v>
      </c>
      <c r="B176" s="25" t="s">
        <v>1220</v>
      </c>
      <c r="C176" s="25" t="s">
        <v>413</v>
      </c>
      <c r="D176" s="26">
        <v>7</v>
      </c>
      <c r="E176" s="27"/>
      <c r="F176" s="27"/>
      <c r="G176" s="27"/>
      <c r="H176" s="26">
        <v>2634</v>
      </c>
      <c r="I176" s="27"/>
      <c r="J176" s="27"/>
      <c r="K176" s="27"/>
      <c r="L176" s="27"/>
      <c r="M176" s="27"/>
      <c r="N176" s="27"/>
      <c r="O176" s="27"/>
      <c r="P176" s="27"/>
      <c r="Q176" s="27"/>
      <c r="R176" s="27"/>
      <c r="S176" s="27"/>
    </row>
    <row r="177" spans="1:26" ht="12.75" hidden="1" thickBot="1">
      <c r="A177" s="25" t="s">
        <v>406</v>
      </c>
      <c r="B177" s="25" t="s">
        <v>1220</v>
      </c>
      <c r="C177" s="25" t="s">
        <v>414</v>
      </c>
      <c r="D177" s="29">
        <v>2585</v>
      </c>
      <c r="E177" s="30"/>
      <c r="F177" s="30"/>
      <c r="G177" s="30"/>
      <c r="H177" s="29">
        <v>154034270</v>
      </c>
      <c r="I177" s="56">
        <v>0</v>
      </c>
      <c r="J177" s="30"/>
      <c r="K177" s="30"/>
      <c r="L177" s="31">
        <v>401957.05</v>
      </c>
      <c r="M177" s="31">
        <v>918.9</v>
      </c>
      <c r="N177" s="30"/>
      <c r="O177" s="30"/>
      <c r="P177" s="30"/>
      <c r="Q177" s="56">
        <v>391313.9</v>
      </c>
      <c r="R177" s="56">
        <v>391313.9</v>
      </c>
      <c r="S177" s="31">
        <v>17494.73</v>
      </c>
    </row>
    <row r="178" spans="1:26" ht="12.75" hidden="1" thickBot="1">
      <c r="A178" s="25" t="s">
        <v>406</v>
      </c>
      <c r="B178" s="25" t="s">
        <v>1220</v>
      </c>
      <c r="C178" s="25" t="s">
        <v>415</v>
      </c>
      <c r="D178" s="26">
        <v>58</v>
      </c>
      <c r="E178" s="27"/>
      <c r="F178" s="27"/>
      <c r="G178" s="27"/>
      <c r="H178" s="26">
        <v>13891540</v>
      </c>
      <c r="I178" s="27"/>
      <c r="J178" s="27"/>
      <c r="K178" s="27"/>
      <c r="L178" s="28">
        <v>36886.699999999997</v>
      </c>
      <c r="M178" s="28">
        <v>423.8</v>
      </c>
      <c r="N178" s="27"/>
      <c r="O178" s="27"/>
      <c r="P178" s="27"/>
      <c r="Q178" s="55">
        <v>30195.7</v>
      </c>
      <c r="R178" s="55">
        <v>30195.7</v>
      </c>
      <c r="S178" s="28">
        <v>5912.05</v>
      </c>
    </row>
    <row r="179" spans="1:26" ht="12.75" hidden="1" thickBot="1">
      <c r="A179" s="25" t="s">
        <v>406</v>
      </c>
      <c r="B179" s="25" t="s">
        <v>1220</v>
      </c>
      <c r="C179" s="25" t="s">
        <v>416</v>
      </c>
      <c r="D179" s="29">
        <v>1</v>
      </c>
      <c r="E179" s="30"/>
      <c r="F179" s="30"/>
      <c r="G179" s="30"/>
      <c r="H179" s="29">
        <v>118320</v>
      </c>
      <c r="I179" s="30"/>
      <c r="J179" s="30"/>
      <c r="K179" s="30"/>
      <c r="L179" s="31">
        <v>401.1</v>
      </c>
      <c r="M179" s="31">
        <v>0</v>
      </c>
      <c r="N179" s="30"/>
      <c r="O179" s="30"/>
      <c r="P179" s="30"/>
      <c r="Q179" s="56">
        <v>401.1</v>
      </c>
      <c r="R179" s="56">
        <v>401.1</v>
      </c>
      <c r="S179" s="31">
        <v>0</v>
      </c>
    </row>
    <row r="180" spans="1:26" ht="12.75" hidden="1" thickBot="1">
      <c r="A180" s="25" t="s">
        <v>406</v>
      </c>
      <c r="B180" s="25" t="s">
        <v>1220</v>
      </c>
      <c r="C180" s="25" t="s">
        <v>417</v>
      </c>
      <c r="D180" s="26">
        <v>219</v>
      </c>
      <c r="E180" s="27"/>
      <c r="F180" s="27"/>
      <c r="G180" s="27"/>
      <c r="H180" s="26">
        <v>62607707</v>
      </c>
      <c r="I180" s="55">
        <v>137996.29999999999</v>
      </c>
      <c r="J180" s="55">
        <v>130843.15</v>
      </c>
      <c r="K180" s="55">
        <v>129075.25</v>
      </c>
      <c r="L180" s="27"/>
      <c r="M180" s="27"/>
      <c r="N180" s="55">
        <v>6475.8</v>
      </c>
      <c r="O180" s="55">
        <v>131704</v>
      </c>
      <c r="P180" s="55">
        <v>129882.9</v>
      </c>
      <c r="Q180" s="55">
        <v>128141.8</v>
      </c>
      <c r="R180" s="27"/>
      <c r="S180" s="28">
        <v>32027.69</v>
      </c>
    </row>
    <row r="181" spans="1:26" ht="12.75" hidden="1" thickBot="1">
      <c r="A181" s="25" t="s">
        <v>406</v>
      </c>
      <c r="B181" s="25" t="s">
        <v>1220</v>
      </c>
      <c r="C181" s="25" t="s">
        <v>418</v>
      </c>
      <c r="D181" s="29">
        <v>34</v>
      </c>
      <c r="E181" s="30"/>
      <c r="F181" s="30"/>
      <c r="G181" s="30"/>
      <c r="H181" s="29">
        <v>33569100</v>
      </c>
      <c r="I181" s="56">
        <v>75856.600000000006</v>
      </c>
      <c r="J181" s="56">
        <v>71368.2</v>
      </c>
      <c r="K181" s="56">
        <v>70897.5</v>
      </c>
      <c r="L181" s="30"/>
      <c r="M181" s="30"/>
      <c r="N181" s="30"/>
      <c r="O181" s="56">
        <v>71058.399999999994</v>
      </c>
      <c r="P181" s="56">
        <v>70191.399999999994</v>
      </c>
      <c r="Q181" s="56">
        <v>69742.7</v>
      </c>
      <c r="R181" s="30"/>
      <c r="S181" s="30"/>
    </row>
    <row r="182" spans="1:26" ht="12.75" hidden="1" thickBot="1">
      <c r="A182" s="25" t="s">
        <v>406</v>
      </c>
      <c r="B182" s="25" t="s">
        <v>1220</v>
      </c>
      <c r="C182" s="25" t="s">
        <v>420</v>
      </c>
      <c r="D182" s="26">
        <v>15514</v>
      </c>
      <c r="E182" s="27"/>
      <c r="F182" s="27"/>
      <c r="G182" s="27"/>
      <c r="H182" s="26">
        <v>84861320</v>
      </c>
      <c r="I182" s="27"/>
      <c r="J182" s="27"/>
      <c r="K182" s="27"/>
      <c r="L182" s="27"/>
      <c r="M182" s="27"/>
      <c r="N182" s="27"/>
      <c r="O182" s="55">
        <v>216403.9</v>
      </c>
      <c r="P182" s="27"/>
      <c r="Q182" s="55"/>
      <c r="R182" s="55">
        <v>216403.9</v>
      </c>
      <c r="S182" s="27"/>
    </row>
    <row r="183" spans="1:26" ht="12.75" hidden="1" thickBot="1">
      <c r="A183" s="25" t="s">
        <v>406</v>
      </c>
      <c r="B183" s="25" t="s">
        <v>1220</v>
      </c>
      <c r="C183" s="25" t="s">
        <v>421</v>
      </c>
      <c r="D183" s="29">
        <v>653</v>
      </c>
      <c r="E183" s="30"/>
      <c r="F183" s="30"/>
      <c r="G183" s="30"/>
      <c r="H183" s="29">
        <v>1576680</v>
      </c>
      <c r="I183" s="30"/>
      <c r="J183" s="30"/>
      <c r="K183" s="30"/>
      <c r="L183" s="30"/>
      <c r="M183" s="30"/>
      <c r="N183" s="30"/>
      <c r="O183" s="56">
        <v>2127.3000000000002</v>
      </c>
      <c r="P183" s="30"/>
      <c r="Q183" s="56"/>
      <c r="R183" s="56">
        <v>2127.3000000000002</v>
      </c>
      <c r="S183" s="30"/>
    </row>
    <row r="184" spans="1:26" ht="12.75" hidden="1" thickBot="1">
      <c r="A184" s="25" t="s">
        <v>406</v>
      </c>
      <c r="B184" s="25" t="s">
        <v>1220</v>
      </c>
      <c r="C184" s="25" t="s">
        <v>423</v>
      </c>
      <c r="D184" s="26">
        <v>8</v>
      </c>
      <c r="E184" s="27"/>
      <c r="F184" s="27"/>
      <c r="G184" s="27"/>
      <c r="H184" s="26">
        <v>155704</v>
      </c>
      <c r="I184" s="27"/>
      <c r="J184" s="27"/>
      <c r="K184" s="27"/>
      <c r="L184" s="27"/>
      <c r="M184" s="27"/>
      <c r="N184" s="27"/>
      <c r="O184" s="55">
        <v>535.5</v>
      </c>
      <c r="P184" s="27"/>
      <c r="Q184" s="55"/>
      <c r="R184" s="55">
        <v>535.5</v>
      </c>
      <c r="S184" s="27"/>
    </row>
    <row r="185" spans="1:26" ht="12.75" hidden="1" thickBot="1">
      <c r="A185" s="25" t="s">
        <v>406</v>
      </c>
      <c r="B185" s="25" t="s">
        <v>1220</v>
      </c>
      <c r="C185" s="25" t="s">
        <v>424</v>
      </c>
      <c r="D185" s="29">
        <v>2</v>
      </c>
      <c r="E185" s="30"/>
      <c r="F185" s="30"/>
      <c r="G185" s="30"/>
      <c r="H185" s="29">
        <v>5142000</v>
      </c>
      <c r="I185" s="30"/>
      <c r="J185" s="30"/>
      <c r="K185" s="30"/>
      <c r="L185" s="31">
        <v>9614.4</v>
      </c>
      <c r="M185" s="30"/>
      <c r="N185" s="30"/>
      <c r="O185" s="30"/>
      <c r="P185" s="30"/>
      <c r="Q185" s="56">
        <v>8976</v>
      </c>
      <c r="R185" s="56">
        <v>8976</v>
      </c>
      <c r="S185" s="30"/>
    </row>
    <row r="186" spans="1:26" ht="12.75" hidden="1" thickBot="1">
      <c r="A186" s="25" t="s">
        <v>406</v>
      </c>
      <c r="B186" s="25" t="s">
        <v>1220</v>
      </c>
      <c r="C186" s="25" t="s">
        <v>1204</v>
      </c>
      <c r="D186" s="26">
        <v>1</v>
      </c>
      <c r="E186" s="27"/>
      <c r="F186" s="27"/>
      <c r="G186" s="27"/>
      <c r="H186" s="27"/>
      <c r="I186" s="27"/>
      <c r="J186" s="27"/>
      <c r="K186" s="27"/>
      <c r="L186" s="27"/>
      <c r="M186" s="27"/>
      <c r="N186" s="27"/>
      <c r="O186" s="27"/>
      <c r="P186" s="27"/>
      <c r="Q186" s="27"/>
      <c r="R186" s="27"/>
      <c r="S186" s="27"/>
    </row>
    <row r="187" spans="1:26" ht="12.75" hidden="1" thickBot="1">
      <c r="A187" s="25" t="s">
        <v>406</v>
      </c>
      <c r="B187" s="25" t="s">
        <v>1220</v>
      </c>
      <c r="C187" s="25" t="s">
        <v>425</v>
      </c>
      <c r="D187" s="29">
        <v>1</v>
      </c>
      <c r="E187" s="30"/>
      <c r="F187" s="30"/>
      <c r="G187" s="30"/>
      <c r="H187" s="30"/>
      <c r="I187" s="30"/>
      <c r="J187" s="30"/>
      <c r="K187" s="30"/>
      <c r="L187" s="30"/>
      <c r="M187" s="30"/>
      <c r="N187" s="30"/>
      <c r="O187" s="30"/>
      <c r="P187" s="30"/>
      <c r="Q187" s="30"/>
      <c r="R187" s="30"/>
      <c r="S187" s="30"/>
    </row>
    <row r="188" spans="1:26" ht="12.75" hidden="1" thickBot="1">
      <c r="A188" s="25" t="s">
        <v>406</v>
      </c>
      <c r="B188" s="25" t="s">
        <v>1220</v>
      </c>
      <c r="C188" s="25" t="s">
        <v>426</v>
      </c>
      <c r="D188" s="26">
        <v>1</v>
      </c>
      <c r="E188" s="27"/>
      <c r="F188" s="27"/>
      <c r="G188" s="27"/>
      <c r="H188" s="26">
        <v>16069000</v>
      </c>
      <c r="I188" s="55">
        <v>31536</v>
      </c>
      <c r="J188" s="27"/>
      <c r="K188" s="27"/>
      <c r="L188" s="28">
        <v>31536</v>
      </c>
      <c r="M188" s="27"/>
      <c r="N188" s="27"/>
      <c r="O188" s="27"/>
      <c r="P188" s="55">
        <v>31536</v>
      </c>
      <c r="Q188" s="55"/>
      <c r="R188" s="55">
        <v>31536</v>
      </c>
      <c r="S188" s="28">
        <v>-25672.83</v>
      </c>
      <c r="U188" s="700">
        <v>0.96699999999999997</v>
      </c>
      <c r="V188">
        <v>-6.4000000000000001E-2</v>
      </c>
      <c r="W188">
        <v>401137.91999999998</v>
      </c>
      <c r="X188" t="s">
        <v>1323</v>
      </c>
      <c r="Y188">
        <f>V188*W188</f>
        <v>-25672.826880000001</v>
      </c>
      <c r="Z188" s="6">
        <v>41791</v>
      </c>
    </row>
    <row r="189" spans="1:26" ht="12.75" hidden="1" thickBot="1">
      <c r="A189" s="25" t="s">
        <v>406</v>
      </c>
      <c r="B189" s="25" t="s">
        <v>1220</v>
      </c>
      <c r="C189" s="25" t="s">
        <v>427</v>
      </c>
      <c r="D189" s="29">
        <v>12</v>
      </c>
      <c r="E189" s="30"/>
      <c r="F189" s="30"/>
      <c r="G189" s="30"/>
      <c r="H189" s="29">
        <v>92996529</v>
      </c>
      <c r="I189" s="56">
        <v>187043.8</v>
      </c>
      <c r="J189" s="56">
        <v>182490.4</v>
      </c>
      <c r="K189" s="56">
        <v>135750.9</v>
      </c>
      <c r="L189" s="30"/>
      <c r="M189" s="30"/>
      <c r="N189" s="30"/>
      <c r="O189" s="56">
        <v>185191.6</v>
      </c>
      <c r="P189" s="56">
        <v>181747.8</v>
      </c>
      <c r="Q189" s="56">
        <v>135718.9</v>
      </c>
      <c r="R189" s="30"/>
      <c r="S189" s="30"/>
    </row>
    <row r="190" spans="1:26" ht="12.75" hidden="1" thickBot="1">
      <c r="A190" s="25" t="s">
        <v>406</v>
      </c>
      <c r="B190" s="25" t="s">
        <v>1220</v>
      </c>
      <c r="C190" s="25" t="s">
        <v>428</v>
      </c>
      <c r="D190" s="26">
        <v>245</v>
      </c>
      <c r="E190" s="27"/>
      <c r="F190" s="27"/>
      <c r="G190" s="27"/>
      <c r="H190" s="26">
        <v>26069350</v>
      </c>
      <c r="I190" s="27"/>
      <c r="J190" s="27"/>
      <c r="K190" s="27"/>
      <c r="L190" s="28">
        <v>70772</v>
      </c>
      <c r="M190" s="28">
        <v>5251.2</v>
      </c>
      <c r="N190" s="27"/>
      <c r="O190" s="27"/>
      <c r="P190" s="27"/>
      <c r="Q190" s="55">
        <v>69941.7</v>
      </c>
      <c r="R190" s="55">
        <v>69941.7</v>
      </c>
      <c r="S190" s="28">
        <v>83216.44</v>
      </c>
    </row>
    <row r="191" spans="1:26" ht="12.75" hidden="1" thickBot="1">
      <c r="A191" s="25" t="s">
        <v>406</v>
      </c>
      <c r="B191" s="25" t="s">
        <v>1220</v>
      </c>
      <c r="C191" s="25" t="s">
        <v>429</v>
      </c>
      <c r="D191" s="29">
        <v>22</v>
      </c>
      <c r="E191" s="30"/>
      <c r="F191" s="30"/>
      <c r="G191" s="30"/>
      <c r="H191" s="29">
        <v>1077180</v>
      </c>
      <c r="I191" s="30"/>
      <c r="J191" s="30"/>
      <c r="K191" s="30"/>
      <c r="L191" s="31">
        <v>4634.7</v>
      </c>
      <c r="M191" s="31">
        <v>831.2</v>
      </c>
      <c r="N191" s="30"/>
      <c r="O191" s="30"/>
      <c r="P191" s="30"/>
      <c r="Q191" s="56">
        <v>4616.5</v>
      </c>
      <c r="R191" s="56">
        <v>4616.5</v>
      </c>
      <c r="S191" s="31">
        <v>11595.27</v>
      </c>
    </row>
    <row r="192" spans="1:26" ht="12.75" hidden="1" thickBot="1">
      <c r="A192" s="25" t="s">
        <v>406</v>
      </c>
      <c r="B192" s="25" t="s">
        <v>1220</v>
      </c>
      <c r="C192" s="25" t="s">
        <v>430</v>
      </c>
      <c r="D192" s="26">
        <v>76</v>
      </c>
      <c r="E192" s="27"/>
      <c r="F192" s="27"/>
      <c r="G192" s="27"/>
      <c r="H192" s="26">
        <v>19998380</v>
      </c>
      <c r="I192" s="55">
        <v>48481.324999999997</v>
      </c>
      <c r="J192" s="55">
        <v>45768.05</v>
      </c>
      <c r="K192" s="55">
        <v>44768.05</v>
      </c>
      <c r="L192" s="27"/>
      <c r="M192" s="27"/>
      <c r="N192" s="55">
        <v>8547.4</v>
      </c>
      <c r="O192" s="55">
        <v>46696.7</v>
      </c>
      <c r="P192" s="55">
        <v>45700.9</v>
      </c>
      <c r="Q192" s="55">
        <v>44695.7</v>
      </c>
      <c r="R192" s="27"/>
      <c r="S192" s="28">
        <v>41783.53</v>
      </c>
    </row>
    <row r="193" spans="1:19" ht="12.75" hidden="1" thickBot="1">
      <c r="A193" s="25" t="s">
        <v>406</v>
      </c>
      <c r="B193" s="25" t="s">
        <v>1220</v>
      </c>
      <c r="C193" s="25" t="s">
        <v>431</v>
      </c>
      <c r="D193" s="29">
        <v>64</v>
      </c>
      <c r="E193" s="30"/>
      <c r="F193" s="30"/>
      <c r="G193" s="30"/>
      <c r="H193" s="29">
        <v>133770600</v>
      </c>
      <c r="I193" s="56">
        <v>306396.79999999999</v>
      </c>
      <c r="J193" s="56">
        <v>296382.7</v>
      </c>
      <c r="K193" s="56">
        <v>291641.09999999998</v>
      </c>
      <c r="L193" s="30"/>
      <c r="M193" s="30"/>
      <c r="N193" s="30"/>
      <c r="O193" s="56">
        <v>305572.7</v>
      </c>
      <c r="P193" s="56">
        <v>296382.7</v>
      </c>
      <c r="Q193" s="56">
        <v>290901.7</v>
      </c>
      <c r="R193" s="30"/>
      <c r="S193" s="30"/>
    </row>
    <row r="194" spans="1:19" ht="12.75" hidden="1" thickBot="1">
      <c r="A194" s="25" t="s">
        <v>406</v>
      </c>
      <c r="B194" s="25" t="s">
        <v>1220</v>
      </c>
      <c r="C194" s="25" t="s">
        <v>433</v>
      </c>
      <c r="D194" s="26">
        <v>1</v>
      </c>
      <c r="E194" s="27"/>
      <c r="F194" s="27"/>
      <c r="G194" s="27"/>
      <c r="H194" s="26">
        <v>196</v>
      </c>
      <c r="I194" s="27"/>
      <c r="J194" s="27"/>
      <c r="K194" s="27"/>
      <c r="L194" s="27"/>
      <c r="M194" s="27"/>
      <c r="N194" s="27"/>
      <c r="O194" s="27"/>
      <c r="P194" s="27"/>
      <c r="Q194" s="27"/>
      <c r="R194" s="27"/>
      <c r="S194" s="27"/>
    </row>
    <row r="195" spans="1:19" ht="12.75" hidden="1" thickBot="1">
      <c r="A195" s="25" t="s">
        <v>406</v>
      </c>
      <c r="B195" s="25" t="s">
        <v>1220</v>
      </c>
      <c r="C195" s="25" t="s">
        <v>434</v>
      </c>
      <c r="D195" s="29">
        <v>160</v>
      </c>
      <c r="E195" s="30"/>
      <c r="F195" s="30"/>
      <c r="G195" s="30"/>
      <c r="H195" s="29">
        <v>148223</v>
      </c>
      <c r="I195" s="30"/>
      <c r="J195" s="30"/>
      <c r="K195" s="30"/>
      <c r="L195" s="30"/>
      <c r="M195" s="30"/>
      <c r="N195" s="30"/>
      <c r="O195" s="30"/>
      <c r="P195" s="30"/>
      <c r="Q195" s="30"/>
      <c r="R195" s="30"/>
      <c r="S195" s="30"/>
    </row>
    <row r="196" spans="1:19" ht="12.75" hidden="1" thickBot="1">
      <c r="A196" s="25" t="s">
        <v>406</v>
      </c>
      <c r="B196" s="25" t="s">
        <v>1220</v>
      </c>
      <c r="C196" s="25" t="s">
        <v>435</v>
      </c>
      <c r="D196" s="26">
        <v>13</v>
      </c>
      <c r="E196" s="27"/>
      <c r="F196" s="27"/>
      <c r="G196" s="27"/>
      <c r="H196" s="26">
        <v>131491</v>
      </c>
      <c r="I196" s="27"/>
      <c r="J196" s="27"/>
      <c r="K196" s="27"/>
      <c r="L196" s="27"/>
      <c r="M196" s="27"/>
      <c r="N196" s="27"/>
      <c r="O196" s="27"/>
      <c r="P196" s="27"/>
      <c r="Q196" s="27"/>
      <c r="R196" s="27"/>
      <c r="S196" s="27"/>
    </row>
    <row r="197" spans="1:19" ht="12.75" hidden="1" thickBot="1">
      <c r="A197" s="25" t="s">
        <v>406</v>
      </c>
      <c r="B197" s="25" t="s">
        <v>1220</v>
      </c>
      <c r="C197" s="25" t="s">
        <v>436</v>
      </c>
      <c r="D197" s="29">
        <v>896</v>
      </c>
      <c r="E197" s="30"/>
      <c r="F197" s="30"/>
      <c r="G197" s="30"/>
      <c r="H197" s="29">
        <v>178762</v>
      </c>
      <c r="I197" s="30"/>
      <c r="J197" s="30"/>
      <c r="K197" s="30"/>
      <c r="L197" s="30"/>
      <c r="M197" s="30"/>
      <c r="N197" s="30"/>
      <c r="O197" s="30"/>
      <c r="P197" s="30"/>
      <c r="Q197" s="30"/>
      <c r="R197" s="30"/>
      <c r="S197" s="30"/>
    </row>
    <row r="198" spans="1:19" ht="12.75" hidden="1" thickBot="1">
      <c r="A198" s="25" t="s">
        <v>406</v>
      </c>
      <c r="B198" s="25" t="s">
        <v>1220</v>
      </c>
      <c r="C198" s="25" t="s">
        <v>437</v>
      </c>
      <c r="D198" s="26">
        <v>8</v>
      </c>
      <c r="E198" s="27"/>
      <c r="F198" s="27"/>
      <c r="G198" s="27"/>
      <c r="H198" s="26">
        <v>68742</v>
      </c>
      <c r="I198" s="27"/>
      <c r="J198" s="27"/>
      <c r="K198" s="27"/>
      <c r="L198" s="27"/>
      <c r="M198" s="27"/>
      <c r="N198" s="27"/>
      <c r="O198" s="27"/>
      <c r="P198" s="27"/>
      <c r="Q198" s="27"/>
      <c r="R198" s="27"/>
      <c r="S198" s="27"/>
    </row>
    <row r="199" spans="1:19" ht="12.75" hidden="1" thickBot="1">
      <c r="A199" s="25" t="s">
        <v>406</v>
      </c>
      <c r="B199" s="25" t="s">
        <v>1220</v>
      </c>
      <c r="C199" s="25" t="s">
        <v>438</v>
      </c>
      <c r="D199" s="29">
        <v>3455</v>
      </c>
      <c r="E199" s="30"/>
      <c r="F199" s="30"/>
      <c r="G199" s="30"/>
      <c r="H199" s="29">
        <v>700359</v>
      </c>
      <c r="I199" s="30"/>
      <c r="J199" s="30"/>
      <c r="K199" s="30"/>
      <c r="L199" s="30"/>
      <c r="M199" s="30"/>
      <c r="N199" s="30"/>
      <c r="O199" s="30"/>
      <c r="P199" s="30"/>
      <c r="Q199" s="30"/>
      <c r="R199" s="30"/>
      <c r="S199" s="30"/>
    </row>
    <row r="200" spans="1:19" ht="12.75" hidden="1" thickBot="1">
      <c r="A200" s="25" t="s">
        <v>406</v>
      </c>
      <c r="B200" s="25" t="s">
        <v>1220</v>
      </c>
      <c r="C200" s="25" t="s">
        <v>439</v>
      </c>
      <c r="D200" s="26">
        <v>353694</v>
      </c>
      <c r="E200" s="27"/>
      <c r="F200" s="27"/>
      <c r="G200" s="27"/>
      <c r="H200" s="26">
        <v>376007676</v>
      </c>
      <c r="I200" s="27"/>
      <c r="J200" s="27"/>
      <c r="K200" s="27"/>
      <c r="L200" s="27"/>
      <c r="M200" s="27"/>
      <c r="N200" s="27"/>
      <c r="O200" s="27"/>
      <c r="P200" s="27"/>
      <c r="Q200" s="27"/>
      <c r="R200" s="27"/>
      <c r="S200" s="27"/>
    </row>
    <row r="201" spans="1:19" ht="12.75" hidden="1" thickBot="1">
      <c r="A201" s="25" t="s">
        <v>406</v>
      </c>
      <c r="B201" s="25" t="s">
        <v>1220</v>
      </c>
      <c r="C201" s="25" t="s">
        <v>440</v>
      </c>
      <c r="D201" s="29">
        <v>131</v>
      </c>
      <c r="E201" s="30"/>
      <c r="F201" s="30"/>
      <c r="G201" s="30"/>
      <c r="H201" s="29">
        <v>120280</v>
      </c>
      <c r="I201" s="30"/>
      <c r="J201" s="30"/>
      <c r="K201" s="30"/>
      <c r="L201" s="30"/>
      <c r="M201" s="30"/>
      <c r="N201" s="30"/>
      <c r="O201" s="27"/>
      <c r="P201" s="30"/>
      <c r="Q201" s="30"/>
      <c r="R201" s="30"/>
      <c r="S201" s="30"/>
    </row>
    <row r="202" spans="1:19" ht="12.75" hidden="1" thickBot="1">
      <c r="A202" s="25" t="s">
        <v>406</v>
      </c>
      <c r="B202" s="25" t="s">
        <v>1220</v>
      </c>
      <c r="C202" s="25" t="s">
        <v>441</v>
      </c>
      <c r="D202" s="26">
        <v>6</v>
      </c>
      <c r="E202" s="27"/>
      <c r="F202" s="27"/>
      <c r="G202" s="27"/>
      <c r="H202" s="26">
        <v>39808</v>
      </c>
      <c r="I202" s="27"/>
      <c r="J202" s="27"/>
      <c r="K202" s="27"/>
      <c r="L202" s="27"/>
      <c r="M202" s="27"/>
      <c r="N202" s="27"/>
      <c r="O202" s="30"/>
      <c r="P202" s="27"/>
      <c r="Q202" s="27"/>
      <c r="R202" s="27"/>
      <c r="S202" s="27"/>
    </row>
    <row r="203" spans="1:19" ht="12.75" hidden="1" thickBot="1">
      <c r="A203" s="25" t="s">
        <v>406</v>
      </c>
      <c r="B203" s="25" t="s">
        <v>1220</v>
      </c>
      <c r="C203" s="25" t="s">
        <v>755</v>
      </c>
      <c r="D203" s="29">
        <v>20</v>
      </c>
      <c r="E203" s="31">
        <v>16712</v>
      </c>
      <c r="F203" s="31">
        <v>6254</v>
      </c>
      <c r="G203" s="31">
        <v>5862</v>
      </c>
      <c r="H203" s="29">
        <v>28828</v>
      </c>
      <c r="I203" s="30"/>
      <c r="J203" s="30"/>
      <c r="K203" s="30"/>
      <c r="L203" s="30"/>
      <c r="M203" s="30"/>
      <c r="N203" s="30"/>
      <c r="O203" s="27"/>
      <c r="P203" s="30"/>
      <c r="Q203" s="30"/>
      <c r="R203" s="30"/>
      <c r="S203" s="30"/>
    </row>
    <row r="204" spans="1:19" ht="12.75" hidden="1" thickBot="1">
      <c r="A204" s="25" t="s">
        <v>406</v>
      </c>
      <c r="B204" s="25" t="s">
        <v>1220</v>
      </c>
      <c r="C204" s="25" t="s">
        <v>1208</v>
      </c>
      <c r="D204" s="26">
        <v>1</v>
      </c>
      <c r="E204" s="28">
        <v>164</v>
      </c>
      <c r="F204" s="28">
        <v>0</v>
      </c>
      <c r="G204" s="28">
        <v>0</v>
      </c>
      <c r="H204" s="26">
        <v>164</v>
      </c>
      <c r="I204" s="27"/>
      <c r="J204" s="27"/>
      <c r="K204" s="27"/>
      <c r="L204" s="27"/>
      <c r="M204" s="27"/>
      <c r="N204" s="27"/>
      <c r="O204" s="30"/>
      <c r="P204" s="27"/>
      <c r="Q204" s="27"/>
      <c r="R204" s="27"/>
      <c r="S204" s="27"/>
    </row>
    <row r="205" spans="1:19" ht="12.75" hidden="1" thickBot="1">
      <c r="A205" s="25" t="s">
        <v>406</v>
      </c>
      <c r="B205" s="25" t="s">
        <v>1220</v>
      </c>
      <c r="C205" s="42" t="s">
        <v>7</v>
      </c>
      <c r="D205" s="43">
        <v>405987</v>
      </c>
      <c r="E205" s="44">
        <v>16876</v>
      </c>
      <c r="F205" s="44">
        <v>6254</v>
      </c>
      <c r="G205" s="44">
        <v>5862</v>
      </c>
      <c r="H205" s="43">
        <v>1058063802</v>
      </c>
      <c r="I205" s="60">
        <v>787310.82499999995</v>
      </c>
      <c r="J205" s="60">
        <v>726852.5</v>
      </c>
      <c r="K205" s="60">
        <v>672132.8</v>
      </c>
      <c r="L205" s="44">
        <v>555801.94999999995</v>
      </c>
      <c r="M205" s="44">
        <v>7425.1</v>
      </c>
      <c r="N205" s="60">
        <v>15023.2</v>
      </c>
      <c r="O205" s="246"/>
      <c r="P205" s="60">
        <v>723905.7</v>
      </c>
      <c r="Q205" s="60">
        <v>669200.80000000005</v>
      </c>
      <c r="R205" s="60">
        <v>764314.4</v>
      </c>
      <c r="S205" s="44">
        <v>166356.88</v>
      </c>
    </row>
    <row r="206" spans="1:19" ht="23.25" hidden="1" thickBot="1">
      <c r="A206" s="61"/>
      <c r="B206" s="62"/>
      <c r="C206" s="45"/>
      <c r="D206" s="25" t="s">
        <v>1</v>
      </c>
      <c r="E206" s="25" t="s">
        <v>403</v>
      </c>
      <c r="F206" s="25" t="s">
        <v>404</v>
      </c>
      <c r="G206" s="25" t="s">
        <v>405</v>
      </c>
      <c r="H206" s="25" t="s">
        <v>2</v>
      </c>
      <c r="I206" s="25" t="s">
        <v>137</v>
      </c>
      <c r="J206" s="25" t="s">
        <v>138</v>
      </c>
      <c r="K206" s="25" t="s">
        <v>139</v>
      </c>
      <c r="L206" s="25" t="s">
        <v>1033</v>
      </c>
      <c r="M206" s="25" t="s">
        <v>1034</v>
      </c>
      <c r="N206" s="25" t="s">
        <v>1035</v>
      </c>
      <c r="O206" s="25" t="s">
        <v>1036</v>
      </c>
      <c r="P206" s="25" t="s">
        <v>1037</v>
      </c>
      <c r="Q206" s="25" t="s">
        <v>1038</v>
      </c>
      <c r="R206" s="25" t="s">
        <v>1039</v>
      </c>
      <c r="S206" s="16" t="s">
        <v>1219</v>
      </c>
    </row>
    <row r="207" spans="1:19" ht="12.75" hidden="1" thickBot="1">
      <c r="A207" s="25" t="s">
        <v>61</v>
      </c>
      <c r="B207" s="25" t="s">
        <v>0</v>
      </c>
      <c r="C207" s="25" t="s">
        <v>4</v>
      </c>
      <c r="D207" s="45"/>
      <c r="E207" s="45" t="s">
        <v>5</v>
      </c>
      <c r="F207" s="45" t="s">
        <v>5</v>
      </c>
      <c r="G207" s="45" t="s">
        <v>5</v>
      </c>
      <c r="H207" s="45" t="s">
        <v>5</v>
      </c>
      <c r="I207" s="45"/>
      <c r="J207" s="45"/>
      <c r="K207" s="45"/>
      <c r="L207" s="45"/>
      <c r="M207" s="45"/>
      <c r="N207" s="45"/>
      <c r="O207" s="46"/>
      <c r="P207" s="45"/>
      <c r="Q207" s="45"/>
      <c r="R207" s="45"/>
      <c r="S207" s="250" t="s">
        <v>6</v>
      </c>
    </row>
    <row r="208" spans="1:19" ht="12.75" hidden="1" thickBot="1">
      <c r="A208" s="16" t="s">
        <v>406</v>
      </c>
      <c r="B208" s="16" t="s">
        <v>1221</v>
      </c>
      <c r="C208" s="16" t="s">
        <v>407</v>
      </c>
      <c r="D208" s="77">
        <v>52</v>
      </c>
      <c r="E208" s="20"/>
      <c r="F208" s="20"/>
      <c r="G208" s="20"/>
      <c r="H208" s="77">
        <v>8384</v>
      </c>
      <c r="I208" s="20"/>
      <c r="J208" s="20"/>
      <c r="K208" s="20"/>
      <c r="L208" s="20"/>
      <c r="M208" s="20"/>
      <c r="N208" s="20"/>
      <c r="O208" s="20"/>
      <c r="P208" s="20"/>
      <c r="Q208" s="20"/>
      <c r="R208" s="20"/>
      <c r="S208" s="20"/>
    </row>
    <row r="209" spans="1:26" ht="12.75" hidden="1" thickBot="1">
      <c r="A209" s="16" t="s">
        <v>406</v>
      </c>
      <c r="B209" s="16" t="s">
        <v>1221</v>
      </c>
      <c r="C209" s="16" t="s">
        <v>409</v>
      </c>
      <c r="D209" s="76">
        <v>27924</v>
      </c>
      <c r="E209" s="19"/>
      <c r="F209" s="19"/>
      <c r="G209" s="19"/>
      <c r="H209" s="76">
        <v>37420763</v>
      </c>
      <c r="I209" s="19"/>
      <c r="J209" s="19"/>
      <c r="K209" s="19"/>
      <c r="L209" s="19"/>
      <c r="M209" s="19"/>
      <c r="N209" s="19"/>
      <c r="O209" s="144">
        <v>5578.4</v>
      </c>
      <c r="P209" s="19"/>
      <c r="Q209" s="144"/>
      <c r="R209" s="144">
        <v>5578.4</v>
      </c>
      <c r="S209" s="19"/>
    </row>
    <row r="210" spans="1:26" ht="12.75" hidden="1" thickBot="1">
      <c r="A210" s="16" t="s">
        <v>406</v>
      </c>
      <c r="B210" s="16" t="s">
        <v>1221</v>
      </c>
      <c r="C210" s="16" t="s">
        <v>410</v>
      </c>
      <c r="D210" s="77">
        <v>1</v>
      </c>
      <c r="E210" s="20"/>
      <c r="F210" s="20"/>
      <c r="G210" s="20"/>
      <c r="H210" s="77">
        <v>13802</v>
      </c>
      <c r="I210" s="20"/>
      <c r="J210" s="20"/>
      <c r="K210" s="20"/>
      <c r="L210" s="20"/>
      <c r="M210" s="20"/>
      <c r="N210" s="20"/>
      <c r="O210" s="20"/>
      <c r="P210" s="20"/>
      <c r="Q210" s="20"/>
      <c r="R210" s="20"/>
      <c r="S210" s="20"/>
    </row>
    <row r="211" spans="1:26" ht="12.75" hidden="1" thickBot="1">
      <c r="A211" s="16" t="s">
        <v>406</v>
      </c>
      <c r="B211" s="16" t="s">
        <v>1221</v>
      </c>
      <c r="C211" s="16" t="s">
        <v>411</v>
      </c>
      <c r="D211" s="76">
        <v>121</v>
      </c>
      <c r="E211" s="19"/>
      <c r="F211" s="19"/>
      <c r="G211" s="19"/>
      <c r="H211" s="76">
        <v>148268</v>
      </c>
      <c r="I211" s="19"/>
      <c r="J211" s="19"/>
      <c r="K211" s="19"/>
      <c r="L211" s="19"/>
      <c r="M211" s="19"/>
      <c r="N211" s="19"/>
      <c r="O211" s="144">
        <v>1.3</v>
      </c>
      <c r="P211" s="19"/>
      <c r="Q211" s="144"/>
      <c r="R211" s="144">
        <v>1.3</v>
      </c>
      <c r="S211" s="19"/>
    </row>
    <row r="212" spans="1:26" ht="12.75" hidden="1" thickBot="1">
      <c r="A212" s="16" t="s">
        <v>406</v>
      </c>
      <c r="B212" s="16" t="s">
        <v>1221</v>
      </c>
      <c r="C212" s="16" t="s">
        <v>413</v>
      </c>
      <c r="D212" s="77">
        <v>7</v>
      </c>
      <c r="E212" s="20"/>
      <c r="F212" s="20"/>
      <c r="G212" s="20"/>
      <c r="H212" s="77">
        <v>2853</v>
      </c>
      <c r="I212" s="20"/>
      <c r="J212" s="20"/>
      <c r="K212" s="20"/>
      <c r="L212" s="20"/>
      <c r="M212" s="20"/>
      <c r="N212" s="20"/>
      <c r="O212" s="20"/>
      <c r="P212" s="20"/>
      <c r="Q212" s="20"/>
      <c r="R212" s="20"/>
      <c r="S212" s="20"/>
    </row>
    <row r="213" spans="1:26" ht="12.75" hidden="1" thickBot="1">
      <c r="A213" s="16" t="s">
        <v>406</v>
      </c>
      <c r="B213" s="16" t="s">
        <v>1221</v>
      </c>
      <c r="C213" s="16" t="s">
        <v>414</v>
      </c>
      <c r="D213" s="76">
        <v>2591</v>
      </c>
      <c r="E213" s="19"/>
      <c r="F213" s="19"/>
      <c r="G213" s="19"/>
      <c r="H213" s="76">
        <v>163971588</v>
      </c>
      <c r="I213" s="19"/>
      <c r="J213" s="19"/>
      <c r="K213" s="18"/>
      <c r="L213" s="18">
        <v>404682.95</v>
      </c>
      <c r="M213" s="18">
        <v>1056.2</v>
      </c>
      <c r="N213" s="19"/>
      <c r="O213" s="19"/>
      <c r="P213" s="19"/>
      <c r="Q213" s="144">
        <v>394761.9</v>
      </c>
      <c r="R213" s="144">
        <v>394761.9</v>
      </c>
      <c r="S213" s="18">
        <v>14688.07</v>
      </c>
    </row>
    <row r="214" spans="1:26" ht="12.75" hidden="1" thickBot="1">
      <c r="A214" s="16" t="s">
        <v>406</v>
      </c>
      <c r="B214" s="16" t="s">
        <v>1221</v>
      </c>
      <c r="C214" s="16" t="s">
        <v>415</v>
      </c>
      <c r="D214" s="77">
        <v>56</v>
      </c>
      <c r="E214" s="20"/>
      <c r="F214" s="20"/>
      <c r="G214" s="20"/>
      <c r="H214" s="77">
        <v>14857240</v>
      </c>
      <c r="I214" s="20"/>
      <c r="J214" s="20"/>
      <c r="K214" s="17"/>
      <c r="L214" s="17">
        <v>38218.800000000003</v>
      </c>
      <c r="M214" s="17">
        <v>420.5</v>
      </c>
      <c r="N214" s="20"/>
      <c r="O214" s="20"/>
      <c r="P214" s="20"/>
      <c r="Q214" s="143">
        <v>32302.7</v>
      </c>
      <c r="R214" s="143">
        <v>32302.7</v>
      </c>
      <c r="S214" s="17">
        <v>5866.01</v>
      </c>
    </row>
    <row r="215" spans="1:26" ht="12.75" hidden="1" thickBot="1">
      <c r="A215" s="16" t="s">
        <v>406</v>
      </c>
      <c r="B215" s="16" t="s">
        <v>1221</v>
      </c>
      <c r="C215" s="16" t="s">
        <v>416</v>
      </c>
      <c r="D215" s="76">
        <v>1</v>
      </c>
      <c r="E215" s="19"/>
      <c r="F215" s="19"/>
      <c r="G215" s="19"/>
      <c r="H215" s="76">
        <v>118800</v>
      </c>
      <c r="I215" s="19"/>
      <c r="J215" s="19"/>
      <c r="K215" s="18">
        <v>434.2</v>
      </c>
      <c r="L215" s="18">
        <v>434.2</v>
      </c>
      <c r="M215" s="18">
        <v>0</v>
      </c>
      <c r="N215" s="19"/>
      <c r="O215" s="19"/>
      <c r="P215" s="19"/>
      <c r="Q215" s="144">
        <v>434.2</v>
      </c>
      <c r="R215" s="144">
        <v>434.2</v>
      </c>
      <c r="S215" s="18">
        <v>0</v>
      </c>
    </row>
    <row r="216" spans="1:26" ht="12.75" hidden="1" thickBot="1">
      <c r="A216" s="16" t="s">
        <v>406</v>
      </c>
      <c r="B216" s="16" t="s">
        <v>1221</v>
      </c>
      <c r="C216" s="16" t="s">
        <v>417</v>
      </c>
      <c r="D216" s="77">
        <v>227</v>
      </c>
      <c r="E216" s="20"/>
      <c r="F216" s="20"/>
      <c r="G216" s="20"/>
      <c r="H216" s="77">
        <v>66667713</v>
      </c>
      <c r="I216" s="143">
        <v>143866.17499999999</v>
      </c>
      <c r="J216" s="143">
        <v>136638.1</v>
      </c>
      <c r="K216" s="143">
        <v>135121.60000000001</v>
      </c>
      <c r="L216" s="20"/>
      <c r="M216" s="20"/>
      <c r="N216" s="143">
        <v>6785.5</v>
      </c>
      <c r="O216" s="143">
        <v>137072.5</v>
      </c>
      <c r="P216" s="143">
        <v>135895.4</v>
      </c>
      <c r="Q216" s="143">
        <v>134404.70000000001</v>
      </c>
      <c r="R216" s="20"/>
      <c r="S216" s="17">
        <v>33348.31</v>
      </c>
    </row>
    <row r="217" spans="1:26" ht="12.75" hidden="1" thickBot="1">
      <c r="A217" s="16" t="s">
        <v>406</v>
      </c>
      <c r="B217" s="16" t="s">
        <v>1221</v>
      </c>
      <c r="C217" s="16" t="s">
        <v>418</v>
      </c>
      <c r="D217" s="76">
        <v>36</v>
      </c>
      <c r="E217" s="19"/>
      <c r="F217" s="19"/>
      <c r="G217" s="19"/>
      <c r="H217" s="76">
        <v>36172200</v>
      </c>
      <c r="I217" s="144">
        <v>80507.8</v>
      </c>
      <c r="J217" s="144">
        <v>75495.399999999994</v>
      </c>
      <c r="K217" s="144">
        <v>74607.399999999994</v>
      </c>
      <c r="L217" s="19"/>
      <c r="M217" s="19"/>
      <c r="N217" s="19"/>
      <c r="O217" s="144">
        <v>78171.8</v>
      </c>
      <c r="P217" s="144">
        <v>75495.399999999994</v>
      </c>
      <c r="Q217" s="144">
        <v>74607.399999999994</v>
      </c>
      <c r="R217" s="19"/>
      <c r="S217" s="19"/>
    </row>
    <row r="218" spans="1:26" ht="12.75" hidden="1" thickBot="1">
      <c r="A218" s="16" t="s">
        <v>406</v>
      </c>
      <c r="B218" s="16" t="s">
        <v>1221</v>
      </c>
      <c r="C218" s="16" t="s">
        <v>420</v>
      </c>
      <c r="D218" s="77">
        <v>15603</v>
      </c>
      <c r="E218" s="20"/>
      <c r="F218" s="20"/>
      <c r="G218" s="20"/>
      <c r="H218" s="77">
        <v>95639962</v>
      </c>
      <c r="I218" s="20"/>
      <c r="J218" s="20"/>
      <c r="K218" s="20"/>
      <c r="L218" s="20"/>
      <c r="M218" s="20"/>
      <c r="N218" s="20"/>
      <c r="O218" s="143">
        <v>226029.9</v>
      </c>
      <c r="P218" s="20"/>
      <c r="Q218" s="143"/>
      <c r="R218" s="143">
        <v>226029.9</v>
      </c>
      <c r="S218" s="20"/>
    </row>
    <row r="219" spans="1:26" ht="12.75" hidden="1" thickBot="1">
      <c r="A219" s="16" t="s">
        <v>406</v>
      </c>
      <c r="B219" s="16" t="s">
        <v>1221</v>
      </c>
      <c r="C219" s="16" t="s">
        <v>421</v>
      </c>
      <c r="D219" s="76">
        <v>641</v>
      </c>
      <c r="E219" s="19"/>
      <c r="F219" s="19"/>
      <c r="G219" s="19"/>
      <c r="H219" s="76">
        <v>1875989</v>
      </c>
      <c r="I219" s="19"/>
      <c r="J219" s="19"/>
      <c r="K219" s="19"/>
      <c r="L219" s="19"/>
      <c r="M219" s="19"/>
      <c r="N219" s="19"/>
      <c r="O219" s="144">
        <v>4330.3</v>
      </c>
      <c r="P219" s="19"/>
      <c r="Q219" s="144"/>
      <c r="R219" s="144">
        <v>4330.3</v>
      </c>
      <c r="S219" s="19"/>
    </row>
    <row r="220" spans="1:26" ht="12.75" hidden="1" thickBot="1">
      <c r="A220" s="16" t="s">
        <v>406</v>
      </c>
      <c r="B220" s="16" t="s">
        <v>1221</v>
      </c>
      <c r="C220" s="16" t="s">
        <v>423</v>
      </c>
      <c r="D220" s="77">
        <v>8</v>
      </c>
      <c r="E220" s="20"/>
      <c r="F220" s="20"/>
      <c r="G220" s="20"/>
      <c r="H220" s="77">
        <v>182919</v>
      </c>
      <c r="I220" s="20"/>
      <c r="J220" s="20"/>
      <c r="K220" s="20"/>
      <c r="L220" s="20"/>
      <c r="M220" s="20"/>
      <c r="N220" s="20"/>
      <c r="O220" s="143">
        <v>601</v>
      </c>
      <c r="P220" s="20"/>
      <c r="Q220" s="143"/>
      <c r="R220" s="143">
        <v>601</v>
      </c>
      <c r="S220" s="20"/>
    </row>
    <row r="221" spans="1:26" ht="12.75" hidden="1" thickBot="1">
      <c r="A221" s="16" t="s">
        <v>406</v>
      </c>
      <c r="B221" s="16" t="s">
        <v>1221</v>
      </c>
      <c r="C221" s="16" t="s">
        <v>424</v>
      </c>
      <c r="D221" s="76">
        <v>2</v>
      </c>
      <c r="E221" s="19"/>
      <c r="F221" s="19"/>
      <c r="G221" s="19"/>
      <c r="H221" s="76">
        <v>5032800</v>
      </c>
      <c r="I221" s="19"/>
      <c r="J221" s="19"/>
      <c r="K221" s="18">
        <v>9614.4</v>
      </c>
      <c r="L221" s="18">
        <v>9614.4</v>
      </c>
      <c r="M221" s="19"/>
      <c r="N221" s="19"/>
      <c r="O221" s="19"/>
      <c r="P221" s="19"/>
      <c r="Q221" s="144">
        <v>9004.7999999999993</v>
      </c>
      <c r="R221" s="144">
        <v>9004.7999999999993</v>
      </c>
      <c r="S221" s="19"/>
    </row>
    <row r="222" spans="1:26" ht="12.75" hidden="1" thickBot="1">
      <c r="A222" s="16" t="s">
        <v>406</v>
      </c>
      <c r="B222" s="16" t="s">
        <v>1221</v>
      </c>
      <c r="C222" s="16" t="s">
        <v>1204</v>
      </c>
      <c r="D222" s="77">
        <v>1</v>
      </c>
      <c r="E222" s="20"/>
      <c r="F222" s="20"/>
      <c r="G222" s="20"/>
      <c r="H222" s="20"/>
      <c r="I222" s="20"/>
      <c r="J222" s="20"/>
      <c r="K222" s="20"/>
      <c r="L222" s="20"/>
      <c r="M222" s="20"/>
      <c r="N222" s="20"/>
      <c r="O222" s="20"/>
      <c r="P222" s="20"/>
      <c r="Q222" s="20"/>
      <c r="R222" s="20"/>
      <c r="S222" s="20"/>
    </row>
    <row r="223" spans="1:26" ht="12.75" hidden="1" thickBot="1">
      <c r="A223" s="16" t="s">
        <v>406</v>
      </c>
      <c r="B223" s="16" t="s">
        <v>1221</v>
      </c>
      <c r="C223" s="16" t="s">
        <v>426</v>
      </c>
      <c r="D223" s="76">
        <v>1</v>
      </c>
      <c r="E223" s="19"/>
      <c r="F223" s="19"/>
      <c r="G223" s="19"/>
      <c r="H223" s="76">
        <v>18328000</v>
      </c>
      <c r="I223" s="144">
        <v>34608</v>
      </c>
      <c r="J223" s="19"/>
      <c r="K223" s="18">
        <v>34608</v>
      </c>
      <c r="L223" s="18">
        <v>34608</v>
      </c>
      <c r="M223" s="19"/>
      <c r="N223" s="19"/>
      <c r="O223" s="19"/>
      <c r="P223" s="19"/>
      <c r="Q223" s="144">
        <v>34608</v>
      </c>
      <c r="R223" s="144">
        <v>34608</v>
      </c>
      <c r="S223" s="18">
        <v>-29148.240000000002</v>
      </c>
      <c r="U223" s="700">
        <v>0.94910000000000005</v>
      </c>
      <c r="V223">
        <v>-5.6000000000000001E-2</v>
      </c>
      <c r="W223">
        <v>520504.32000000001</v>
      </c>
      <c r="X223" t="s">
        <v>1323</v>
      </c>
      <c r="Y223">
        <f>V223*W223</f>
        <v>-29148.24192</v>
      </c>
      <c r="Z223" s="6">
        <v>41821</v>
      </c>
    </row>
    <row r="224" spans="1:26" ht="12.75" hidden="1" thickBot="1">
      <c r="A224" s="16" t="s">
        <v>406</v>
      </c>
      <c r="B224" s="16" t="s">
        <v>1221</v>
      </c>
      <c r="C224" s="16" t="s">
        <v>427</v>
      </c>
      <c r="D224" s="77">
        <v>11</v>
      </c>
      <c r="E224" s="20"/>
      <c r="F224" s="20"/>
      <c r="G224" s="20"/>
      <c r="H224" s="77">
        <v>47585401</v>
      </c>
      <c r="I224" s="143">
        <v>117386.4</v>
      </c>
      <c r="J224" s="143">
        <v>110874.4</v>
      </c>
      <c r="K224" s="143">
        <v>86270.5</v>
      </c>
      <c r="L224" s="20"/>
      <c r="M224" s="20"/>
      <c r="N224" s="20"/>
      <c r="O224" s="143">
        <v>115207</v>
      </c>
      <c r="P224" s="143">
        <v>110757.9</v>
      </c>
      <c r="Q224" s="143">
        <v>86270.5</v>
      </c>
      <c r="R224" s="20"/>
      <c r="S224" s="20"/>
    </row>
    <row r="225" spans="1:19" ht="12.75" hidden="1" thickBot="1">
      <c r="A225" s="16" t="s">
        <v>406</v>
      </c>
      <c r="B225" s="16" t="s">
        <v>1221</v>
      </c>
      <c r="C225" s="16" t="s">
        <v>428</v>
      </c>
      <c r="D225" s="76">
        <v>245</v>
      </c>
      <c r="E225" s="19"/>
      <c r="F225" s="19"/>
      <c r="G225" s="19"/>
      <c r="H225" s="76">
        <v>26366617</v>
      </c>
      <c r="I225" s="19"/>
      <c r="J225" s="19"/>
      <c r="K225" s="18">
        <v>69176.75</v>
      </c>
      <c r="L225" s="18">
        <v>69176.75</v>
      </c>
      <c r="M225" s="18">
        <v>4756.1000000000004</v>
      </c>
      <c r="N225" s="19"/>
      <c r="O225" s="19"/>
      <c r="P225" s="19"/>
      <c r="Q225" s="144">
        <v>68041.8</v>
      </c>
      <c r="R225" s="144">
        <v>68041.8</v>
      </c>
      <c r="S225" s="18">
        <v>78000.039999999994</v>
      </c>
    </row>
    <row r="226" spans="1:19" ht="12.75" hidden="1" thickBot="1">
      <c r="A226" s="16" t="s">
        <v>406</v>
      </c>
      <c r="B226" s="16" t="s">
        <v>1221</v>
      </c>
      <c r="C226" s="16" t="s">
        <v>429</v>
      </c>
      <c r="D226" s="77">
        <v>22</v>
      </c>
      <c r="E226" s="20"/>
      <c r="F226" s="20"/>
      <c r="G226" s="20"/>
      <c r="H226" s="77">
        <v>1253925</v>
      </c>
      <c r="I226" s="20"/>
      <c r="J226" s="20"/>
      <c r="K226" s="17">
        <v>4571.2</v>
      </c>
      <c r="L226" s="17">
        <v>4571.2</v>
      </c>
      <c r="M226" s="17">
        <v>872.9</v>
      </c>
      <c r="N226" s="20"/>
      <c r="O226" s="20"/>
      <c r="P226" s="20"/>
      <c r="Q226" s="143">
        <v>4548.3999999999996</v>
      </c>
      <c r="R226" s="143">
        <v>4548.3999999999996</v>
      </c>
      <c r="S226" s="17">
        <v>12176.99</v>
      </c>
    </row>
    <row r="227" spans="1:19" ht="12.75" hidden="1" thickBot="1">
      <c r="A227" s="16" t="s">
        <v>406</v>
      </c>
      <c r="B227" s="16" t="s">
        <v>1221</v>
      </c>
      <c r="C227" s="16" t="s">
        <v>430</v>
      </c>
      <c r="D227" s="76">
        <v>78</v>
      </c>
      <c r="E227" s="19"/>
      <c r="F227" s="19"/>
      <c r="G227" s="19"/>
      <c r="H227" s="76">
        <v>21643240</v>
      </c>
      <c r="I227" s="144">
        <v>52719.125</v>
      </c>
      <c r="J227" s="144">
        <v>50390.400000000001</v>
      </c>
      <c r="K227" s="144">
        <v>49126.2</v>
      </c>
      <c r="L227" s="19"/>
      <c r="M227" s="19"/>
      <c r="N227" s="144">
        <v>9770.4</v>
      </c>
      <c r="O227" s="144">
        <v>50665.5</v>
      </c>
      <c r="P227" s="144">
        <v>50169.599999999999</v>
      </c>
      <c r="Q227" s="144">
        <v>48957.8</v>
      </c>
      <c r="R227" s="19"/>
      <c r="S227" s="18">
        <v>47839.21</v>
      </c>
    </row>
    <row r="228" spans="1:19" ht="12.75" hidden="1" thickBot="1">
      <c r="A228" s="16" t="s">
        <v>406</v>
      </c>
      <c r="B228" s="16" t="s">
        <v>1221</v>
      </c>
      <c r="C228" s="16" t="s">
        <v>431</v>
      </c>
      <c r="D228" s="77">
        <v>65</v>
      </c>
      <c r="E228" s="20"/>
      <c r="F228" s="20"/>
      <c r="G228" s="20"/>
      <c r="H228" s="77">
        <v>140014200</v>
      </c>
      <c r="I228" s="143">
        <v>317189.5</v>
      </c>
      <c r="J228" s="143">
        <v>308615.2</v>
      </c>
      <c r="K228" s="143">
        <v>302105.40000000002</v>
      </c>
      <c r="L228" s="20"/>
      <c r="M228" s="20"/>
      <c r="N228" s="20"/>
      <c r="O228" s="143">
        <v>316597.90000000002</v>
      </c>
      <c r="P228" s="143">
        <v>308615.2</v>
      </c>
      <c r="Q228" s="143">
        <v>302082.5</v>
      </c>
      <c r="R228" s="20"/>
      <c r="S228" s="20"/>
    </row>
    <row r="229" spans="1:19" ht="12.75" hidden="1" thickBot="1">
      <c r="A229" s="16" t="s">
        <v>406</v>
      </c>
      <c r="B229" s="16" t="s">
        <v>1221</v>
      </c>
      <c r="C229" s="16" t="s">
        <v>433</v>
      </c>
      <c r="D229" s="76">
        <v>1</v>
      </c>
      <c r="E229" s="19"/>
      <c r="F229" s="19"/>
      <c r="G229" s="19"/>
      <c r="H229" s="76">
        <v>196</v>
      </c>
      <c r="I229" s="19"/>
      <c r="J229" s="19"/>
      <c r="K229" s="19"/>
      <c r="L229" s="19"/>
      <c r="M229" s="19"/>
      <c r="N229" s="19"/>
      <c r="O229" s="19"/>
      <c r="P229" s="19"/>
      <c r="Q229" s="19"/>
      <c r="R229" s="19"/>
      <c r="S229" s="19"/>
    </row>
    <row r="230" spans="1:19" ht="12.75" hidden="1" thickBot="1">
      <c r="A230" s="16" t="s">
        <v>406</v>
      </c>
      <c r="B230" s="16" t="s">
        <v>1221</v>
      </c>
      <c r="C230" s="16" t="s">
        <v>434</v>
      </c>
      <c r="D230" s="77">
        <v>157</v>
      </c>
      <c r="E230" s="20"/>
      <c r="F230" s="20"/>
      <c r="G230" s="20"/>
      <c r="H230" s="77">
        <v>142012</v>
      </c>
      <c r="I230" s="20"/>
      <c r="J230" s="20"/>
      <c r="K230" s="20"/>
      <c r="L230" s="20"/>
      <c r="M230" s="20"/>
      <c r="N230" s="20"/>
      <c r="O230" s="20"/>
      <c r="P230" s="20"/>
      <c r="Q230" s="20"/>
      <c r="R230" s="20"/>
      <c r="S230" s="20"/>
    </row>
    <row r="231" spans="1:19" ht="12.75" hidden="1" thickBot="1">
      <c r="A231" s="16" t="s">
        <v>406</v>
      </c>
      <c r="B231" s="16" t="s">
        <v>1221</v>
      </c>
      <c r="C231" s="16" t="s">
        <v>435</v>
      </c>
      <c r="D231" s="76">
        <v>13</v>
      </c>
      <c r="E231" s="19"/>
      <c r="F231" s="19"/>
      <c r="G231" s="19"/>
      <c r="H231" s="76">
        <v>75239</v>
      </c>
      <c r="I231" s="19"/>
      <c r="J231" s="19"/>
      <c r="K231" s="19"/>
      <c r="L231" s="19"/>
      <c r="M231" s="19"/>
      <c r="N231" s="19"/>
      <c r="O231" s="19"/>
      <c r="P231" s="19"/>
      <c r="Q231" s="19"/>
      <c r="R231" s="19"/>
      <c r="S231" s="19"/>
    </row>
    <row r="232" spans="1:19" ht="12.75" hidden="1" thickBot="1">
      <c r="A232" s="16" t="s">
        <v>406</v>
      </c>
      <c r="B232" s="16" t="s">
        <v>1221</v>
      </c>
      <c r="C232" s="16" t="s">
        <v>436</v>
      </c>
      <c r="D232" s="77">
        <v>897</v>
      </c>
      <c r="E232" s="20"/>
      <c r="F232" s="20"/>
      <c r="G232" s="20"/>
      <c r="H232" s="77">
        <v>178433</v>
      </c>
      <c r="I232" s="20"/>
      <c r="J232" s="20"/>
      <c r="K232" s="20"/>
      <c r="L232" s="20"/>
      <c r="M232" s="20"/>
      <c r="N232" s="20"/>
      <c r="O232" s="20"/>
      <c r="P232" s="20"/>
      <c r="Q232" s="20"/>
      <c r="R232" s="20"/>
      <c r="S232" s="20"/>
    </row>
    <row r="233" spans="1:19" ht="12.75" hidden="1" thickBot="1">
      <c r="A233" s="16" t="s">
        <v>406</v>
      </c>
      <c r="B233" s="16" t="s">
        <v>1221</v>
      </c>
      <c r="C233" s="16" t="s">
        <v>437</v>
      </c>
      <c r="D233" s="76">
        <v>8</v>
      </c>
      <c r="E233" s="19"/>
      <c r="F233" s="19"/>
      <c r="G233" s="19"/>
      <c r="H233" s="76">
        <v>68742</v>
      </c>
      <c r="I233" s="19"/>
      <c r="J233" s="19"/>
      <c r="K233" s="19"/>
      <c r="L233" s="19"/>
      <c r="M233" s="19"/>
      <c r="N233" s="19"/>
      <c r="O233" s="19"/>
      <c r="P233" s="19"/>
      <c r="Q233" s="19"/>
      <c r="R233" s="19"/>
      <c r="S233" s="19"/>
    </row>
    <row r="234" spans="1:19" ht="12.75" hidden="1" thickBot="1">
      <c r="A234" s="16" t="s">
        <v>406</v>
      </c>
      <c r="B234" s="16" t="s">
        <v>1221</v>
      </c>
      <c r="C234" s="16" t="s">
        <v>438</v>
      </c>
      <c r="D234" s="77">
        <v>3461</v>
      </c>
      <c r="E234" s="20"/>
      <c r="F234" s="20"/>
      <c r="G234" s="20"/>
      <c r="H234" s="77">
        <v>666963</v>
      </c>
      <c r="I234" s="20"/>
      <c r="J234" s="20"/>
      <c r="K234" s="20"/>
      <c r="L234" s="20"/>
      <c r="M234" s="20"/>
      <c r="N234" s="20"/>
      <c r="O234" s="20"/>
      <c r="P234" s="20"/>
      <c r="Q234" s="20"/>
      <c r="R234" s="20"/>
      <c r="S234" s="20"/>
    </row>
    <row r="235" spans="1:19" ht="12.75" hidden="1" thickBot="1">
      <c r="A235" s="16" t="s">
        <v>406</v>
      </c>
      <c r="B235" s="16" t="s">
        <v>1221</v>
      </c>
      <c r="C235" s="16" t="s">
        <v>439</v>
      </c>
      <c r="D235" s="76">
        <v>353823</v>
      </c>
      <c r="E235" s="19"/>
      <c r="F235" s="19"/>
      <c r="G235" s="19"/>
      <c r="H235" s="76">
        <v>465034657</v>
      </c>
      <c r="I235" s="19"/>
      <c r="J235" s="19"/>
      <c r="K235" s="19"/>
      <c r="L235" s="19"/>
      <c r="M235" s="19"/>
      <c r="N235" s="19"/>
      <c r="O235" s="19"/>
      <c r="P235" s="19"/>
      <c r="Q235" s="19"/>
      <c r="R235" s="19"/>
      <c r="S235" s="19"/>
    </row>
    <row r="236" spans="1:19" ht="12.75" hidden="1" thickBot="1">
      <c r="A236" s="16" t="s">
        <v>406</v>
      </c>
      <c r="B236" s="16" t="s">
        <v>1221</v>
      </c>
      <c r="C236" s="16" t="s">
        <v>440</v>
      </c>
      <c r="D236" s="77">
        <v>134</v>
      </c>
      <c r="E236" s="20"/>
      <c r="F236" s="20"/>
      <c r="G236" s="20"/>
      <c r="H236" s="77">
        <v>158528</v>
      </c>
      <c r="I236" s="20"/>
      <c r="J236" s="20"/>
      <c r="K236" s="20"/>
      <c r="L236" s="20"/>
      <c r="M236" s="20"/>
      <c r="N236" s="20"/>
      <c r="O236" s="20"/>
      <c r="P236" s="20"/>
      <c r="Q236" s="20"/>
      <c r="R236" s="20"/>
      <c r="S236" s="20"/>
    </row>
    <row r="237" spans="1:19" ht="12.75" hidden="1" thickBot="1">
      <c r="A237" s="16" t="s">
        <v>406</v>
      </c>
      <c r="B237" s="16" t="s">
        <v>1221</v>
      </c>
      <c r="C237" s="16" t="s">
        <v>441</v>
      </c>
      <c r="D237" s="76">
        <v>6</v>
      </c>
      <c r="E237" s="19"/>
      <c r="F237" s="19"/>
      <c r="G237" s="19"/>
      <c r="H237" s="76">
        <v>41344</v>
      </c>
      <c r="I237" s="19"/>
      <c r="J237" s="19"/>
      <c r="K237" s="19"/>
      <c r="L237" s="19"/>
      <c r="M237" s="19"/>
      <c r="N237" s="19"/>
      <c r="O237" s="19"/>
      <c r="P237" s="19"/>
      <c r="Q237" s="19"/>
      <c r="R237" s="19"/>
      <c r="S237" s="19"/>
    </row>
    <row r="238" spans="1:19" ht="12.75" hidden="1" thickBot="1">
      <c r="A238" s="16" t="s">
        <v>406</v>
      </c>
      <c r="B238" s="16" t="s">
        <v>1221</v>
      </c>
      <c r="C238" s="16" t="s">
        <v>755</v>
      </c>
      <c r="D238" s="77">
        <v>20</v>
      </c>
      <c r="E238" s="17">
        <v>22101</v>
      </c>
      <c r="F238" s="17">
        <v>7822</v>
      </c>
      <c r="G238" s="17">
        <v>8136</v>
      </c>
      <c r="H238" s="77">
        <v>38059</v>
      </c>
      <c r="I238" s="20"/>
      <c r="J238" s="20"/>
      <c r="K238" s="20"/>
      <c r="L238" s="20"/>
      <c r="M238" s="20"/>
      <c r="N238" s="20"/>
      <c r="O238" s="20"/>
      <c r="P238" s="20"/>
      <c r="Q238" s="20"/>
      <c r="R238" s="20"/>
      <c r="S238" s="20"/>
    </row>
    <row r="239" spans="1:19" ht="12.75" hidden="1" thickBot="1">
      <c r="A239" s="16" t="s">
        <v>406</v>
      </c>
      <c r="B239" s="16" t="s">
        <v>1221</v>
      </c>
      <c r="C239" s="16" t="s">
        <v>1208</v>
      </c>
      <c r="D239" s="76">
        <v>1</v>
      </c>
      <c r="E239" s="18">
        <v>238</v>
      </c>
      <c r="F239" s="18">
        <v>0</v>
      </c>
      <c r="G239" s="18">
        <v>0</v>
      </c>
      <c r="H239" s="76">
        <v>238</v>
      </c>
      <c r="I239" s="19"/>
      <c r="J239" s="19"/>
      <c r="K239" s="19"/>
      <c r="L239" s="19"/>
      <c r="M239" s="19"/>
      <c r="N239" s="19"/>
      <c r="O239" s="19"/>
      <c r="P239" s="19"/>
      <c r="Q239" s="19"/>
      <c r="R239" s="19"/>
      <c r="S239" s="19"/>
    </row>
    <row r="240" spans="1:19" ht="12.75" hidden="1" thickBot="1">
      <c r="A240" s="16" t="s">
        <v>406</v>
      </c>
      <c r="B240" s="16" t="s">
        <v>1221</v>
      </c>
      <c r="C240" s="78" t="s">
        <v>7</v>
      </c>
      <c r="D240" s="79">
        <v>406214</v>
      </c>
      <c r="E240" s="21">
        <v>22339</v>
      </c>
      <c r="F240" s="21">
        <v>7822</v>
      </c>
      <c r="G240" s="21">
        <v>8136</v>
      </c>
      <c r="H240" s="79">
        <v>1143709075</v>
      </c>
      <c r="I240" s="145">
        <v>746277</v>
      </c>
      <c r="J240" s="145">
        <v>682013.5</v>
      </c>
      <c r="K240" s="145">
        <v>647231.10000000009</v>
      </c>
      <c r="L240" s="21">
        <v>561306.30000000005</v>
      </c>
      <c r="M240" s="21">
        <v>7105.7</v>
      </c>
      <c r="N240" s="145">
        <v>16555.900000000001</v>
      </c>
      <c r="O240" s="251"/>
      <c r="P240" s="145">
        <v>680933.5</v>
      </c>
      <c r="Q240" s="145">
        <v>646322.89999999991</v>
      </c>
      <c r="R240" s="145">
        <v>780242.70000000019</v>
      </c>
      <c r="S240" s="21">
        <v>162770.38999999998</v>
      </c>
    </row>
    <row r="241" spans="1:19" ht="12.75" hidden="1" thickBot="1">
      <c r="A241" s="61"/>
      <c r="B241" s="62"/>
      <c r="C241" s="45"/>
      <c r="D241" s="25" t="s">
        <v>1</v>
      </c>
      <c r="E241" s="25" t="s">
        <v>403</v>
      </c>
      <c r="F241" s="25" t="s">
        <v>404</v>
      </c>
      <c r="G241" s="25" t="s">
        <v>405</v>
      </c>
      <c r="H241" s="25" t="s">
        <v>2</v>
      </c>
      <c r="I241" s="25" t="s">
        <v>137</v>
      </c>
      <c r="J241" s="25" t="s">
        <v>138</v>
      </c>
      <c r="K241" s="25" t="s">
        <v>139</v>
      </c>
      <c r="L241" s="25" t="s">
        <v>1033</v>
      </c>
      <c r="M241" s="25" t="s">
        <v>1034</v>
      </c>
      <c r="N241" s="25" t="s">
        <v>1035</v>
      </c>
      <c r="O241" s="25" t="s">
        <v>1036</v>
      </c>
      <c r="P241" s="25" t="s">
        <v>1037</v>
      </c>
      <c r="Q241" s="25" t="s">
        <v>1038</v>
      </c>
      <c r="R241" s="25" t="s">
        <v>1039</v>
      </c>
      <c r="S241" s="25" t="s">
        <v>1219</v>
      </c>
    </row>
    <row r="242" spans="1:19" ht="12.75" hidden="1" thickBot="1">
      <c r="A242" s="25" t="s">
        <v>61</v>
      </c>
      <c r="B242" s="25" t="s">
        <v>0</v>
      </c>
      <c r="C242" s="25" t="s">
        <v>4</v>
      </c>
      <c r="D242" s="45"/>
      <c r="E242" s="45" t="s">
        <v>5</v>
      </c>
      <c r="F242" s="45" t="s">
        <v>5</v>
      </c>
      <c r="G242" s="45" t="s">
        <v>5</v>
      </c>
      <c r="H242" s="45" t="s">
        <v>5</v>
      </c>
      <c r="I242" s="45"/>
      <c r="J242" s="45"/>
      <c r="K242" s="45"/>
      <c r="L242" s="45"/>
      <c r="M242" s="45"/>
      <c r="N242" s="45"/>
      <c r="O242" s="46"/>
      <c r="P242" s="45"/>
      <c r="Q242" s="45"/>
      <c r="R242" s="45"/>
      <c r="S242" s="45" t="s">
        <v>6</v>
      </c>
    </row>
    <row r="243" spans="1:19" ht="12.75" hidden="1" thickBot="1">
      <c r="A243" s="25" t="s">
        <v>406</v>
      </c>
      <c r="B243" s="25" t="s">
        <v>1222</v>
      </c>
      <c r="C243" s="25" t="s">
        <v>407</v>
      </c>
      <c r="D243" s="26">
        <v>53</v>
      </c>
      <c r="E243" s="27"/>
      <c r="F243" s="27"/>
      <c r="G243" s="27"/>
      <c r="H243" s="26">
        <v>8895</v>
      </c>
      <c r="I243" s="27"/>
      <c r="J243" s="27"/>
      <c r="K243" s="27"/>
      <c r="L243" s="27"/>
      <c r="M243" s="27"/>
      <c r="N243" s="27"/>
      <c r="O243" s="27"/>
      <c r="P243" s="27"/>
      <c r="Q243" s="27"/>
      <c r="R243" s="27"/>
      <c r="S243" s="27"/>
    </row>
    <row r="244" spans="1:19" ht="12.75" hidden="1" thickBot="1">
      <c r="A244" s="25" t="s">
        <v>406</v>
      </c>
      <c r="B244" s="25" t="s">
        <v>1222</v>
      </c>
      <c r="C244" s="25" t="s">
        <v>409</v>
      </c>
      <c r="D244" s="29">
        <v>27889</v>
      </c>
      <c r="E244" s="30"/>
      <c r="F244" s="30"/>
      <c r="G244" s="30"/>
      <c r="H244" s="29">
        <v>33537675</v>
      </c>
      <c r="I244" s="30"/>
      <c r="J244" s="30"/>
      <c r="K244" s="30"/>
      <c r="L244" s="30"/>
      <c r="M244" s="30"/>
      <c r="N244" s="30"/>
      <c r="O244" s="56">
        <v>5453.8</v>
      </c>
      <c r="P244" s="30"/>
      <c r="Q244" s="56"/>
      <c r="R244" s="56">
        <v>5453.8</v>
      </c>
      <c r="S244" s="30"/>
    </row>
    <row r="245" spans="1:19" ht="12.75" hidden="1" thickBot="1">
      <c r="A245" s="25" t="s">
        <v>406</v>
      </c>
      <c r="B245" s="25" t="s">
        <v>1222</v>
      </c>
      <c r="C245" s="25" t="s">
        <v>410</v>
      </c>
      <c r="D245" s="26">
        <v>1</v>
      </c>
      <c r="E245" s="27"/>
      <c r="F245" s="27"/>
      <c r="G245" s="27"/>
      <c r="H245" s="26">
        <v>13802</v>
      </c>
      <c r="I245" s="27"/>
      <c r="J245" s="27"/>
      <c r="K245" s="27"/>
      <c r="L245" s="27"/>
      <c r="M245" s="27"/>
      <c r="N245" s="27"/>
      <c r="O245" s="27"/>
      <c r="P245" s="27"/>
      <c r="Q245" s="27"/>
      <c r="R245" s="27"/>
      <c r="S245" s="27"/>
    </row>
    <row r="246" spans="1:19" ht="12.75" hidden="1" thickBot="1">
      <c r="A246" s="25" t="s">
        <v>406</v>
      </c>
      <c r="B246" s="25" t="s">
        <v>1222</v>
      </c>
      <c r="C246" s="25" t="s">
        <v>411</v>
      </c>
      <c r="D246" s="29">
        <v>126</v>
      </c>
      <c r="E246" s="30"/>
      <c r="F246" s="30"/>
      <c r="G246" s="30"/>
      <c r="H246" s="29">
        <v>138400</v>
      </c>
      <c r="I246" s="30"/>
      <c r="J246" s="30"/>
      <c r="K246" s="30"/>
      <c r="L246" s="30"/>
      <c r="M246" s="30"/>
      <c r="N246" s="30"/>
      <c r="O246" s="56">
        <v>1.3</v>
      </c>
      <c r="P246" s="30"/>
      <c r="Q246" s="56"/>
      <c r="R246" s="56">
        <v>1.3</v>
      </c>
      <c r="S246" s="30"/>
    </row>
    <row r="247" spans="1:19" ht="12.75" hidden="1" thickBot="1">
      <c r="A247" s="25" t="s">
        <v>406</v>
      </c>
      <c r="B247" s="25" t="s">
        <v>1222</v>
      </c>
      <c r="C247" s="25" t="s">
        <v>413</v>
      </c>
      <c r="D247" s="26">
        <v>9</v>
      </c>
      <c r="E247" s="27"/>
      <c r="F247" s="27"/>
      <c r="G247" s="27"/>
      <c r="H247" s="26">
        <v>3772</v>
      </c>
      <c r="I247" s="27"/>
      <c r="J247" s="27"/>
      <c r="K247" s="27"/>
      <c r="L247" s="27"/>
      <c r="M247" s="27"/>
      <c r="N247" s="27"/>
      <c r="O247" s="27"/>
      <c r="P247" s="27"/>
      <c r="Q247" s="27"/>
      <c r="R247" s="27"/>
      <c r="S247" s="27"/>
    </row>
    <row r="248" spans="1:19" ht="12.75" hidden="1" thickBot="1">
      <c r="A248" s="25" t="s">
        <v>406</v>
      </c>
      <c r="B248" s="25" t="s">
        <v>1222</v>
      </c>
      <c r="C248" s="25" t="s">
        <v>414</v>
      </c>
      <c r="D248" s="29">
        <v>2600</v>
      </c>
      <c r="E248" s="30"/>
      <c r="F248" s="30"/>
      <c r="G248" s="30"/>
      <c r="H248" s="29">
        <v>153563298</v>
      </c>
      <c r="I248" s="30"/>
      <c r="J248" s="30"/>
      <c r="K248" s="30"/>
      <c r="L248" s="31">
        <v>401552.95</v>
      </c>
      <c r="M248" s="31">
        <v>1018.9</v>
      </c>
      <c r="N248" s="30"/>
      <c r="O248" s="30"/>
      <c r="P248" s="30"/>
      <c r="Q248" s="56">
        <v>391569.6</v>
      </c>
      <c r="R248" s="56">
        <v>391569.6</v>
      </c>
      <c r="S248" s="31">
        <v>16709.96</v>
      </c>
    </row>
    <row r="249" spans="1:19" ht="12.75" hidden="1" thickBot="1">
      <c r="A249" s="25" t="s">
        <v>406</v>
      </c>
      <c r="B249" s="25" t="s">
        <v>1222</v>
      </c>
      <c r="C249" s="25" t="s">
        <v>415</v>
      </c>
      <c r="D249" s="26">
        <v>55</v>
      </c>
      <c r="E249" s="27"/>
      <c r="F249" s="27"/>
      <c r="G249" s="27"/>
      <c r="H249" s="26">
        <v>13075720</v>
      </c>
      <c r="I249" s="27"/>
      <c r="J249" s="27"/>
      <c r="K249" s="27"/>
      <c r="L249" s="28">
        <v>22429.200000000001</v>
      </c>
      <c r="M249" s="28">
        <v>-7399.2</v>
      </c>
      <c r="N249" s="27"/>
      <c r="O249" s="27"/>
      <c r="P249" s="27"/>
      <c r="Q249" s="55">
        <v>28077.3</v>
      </c>
      <c r="R249" s="55">
        <v>28077.3</v>
      </c>
      <c r="S249" s="28">
        <v>-104757.71</v>
      </c>
    </row>
    <row r="250" spans="1:19" ht="12.75" hidden="1" thickBot="1">
      <c r="A250" s="25" t="s">
        <v>406</v>
      </c>
      <c r="B250" s="25" t="s">
        <v>1222</v>
      </c>
      <c r="C250" s="25" t="s">
        <v>416</v>
      </c>
      <c r="D250" s="29">
        <v>1</v>
      </c>
      <c r="E250" s="30"/>
      <c r="F250" s="30"/>
      <c r="G250" s="30"/>
      <c r="H250" s="29">
        <v>108480</v>
      </c>
      <c r="I250" s="30"/>
      <c r="J250" s="30"/>
      <c r="K250" s="30"/>
      <c r="L250" s="31">
        <v>378.1</v>
      </c>
      <c r="M250" s="31">
        <v>0</v>
      </c>
      <c r="N250" s="30"/>
      <c r="O250" s="30"/>
      <c r="P250" s="30"/>
      <c r="Q250" s="56">
        <v>378.1</v>
      </c>
      <c r="R250" s="56">
        <v>378.1</v>
      </c>
      <c r="S250" s="31">
        <v>0</v>
      </c>
    </row>
    <row r="251" spans="1:19" ht="12.75" hidden="1" thickBot="1">
      <c r="A251" s="25" t="s">
        <v>406</v>
      </c>
      <c r="B251" s="25" t="s">
        <v>1222</v>
      </c>
      <c r="C251" s="25" t="s">
        <v>417</v>
      </c>
      <c r="D251" s="26">
        <v>223</v>
      </c>
      <c r="E251" s="27"/>
      <c r="F251" s="27"/>
      <c r="G251" s="27"/>
      <c r="H251" s="26">
        <v>62381577</v>
      </c>
      <c r="I251" s="55">
        <v>139906.65</v>
      </c>
      <c r="J251" s="55">
        <v>131759.5</v>
      </c>
      <c r="K251" s="55">
        <v>130216.1</v>
      </c>
      <c r="L251" s="27"/>
      <c r="M251" s="27"/>
      <c r="N251" s="55">
        <v>6380</v>
      </c>
      <c r="O251" s="55">
        <v>132578</v>
      </c>
      <c r="P251" s="55">
        <v>130962.9</v>
      </c>
      <c r="Q251" s="55">
        <v>129417.7</v>
      </c>
      <c r="R251" s="27"/>
      <c r="S251" s="28">
        <v>31496.94</v>
      </c>
    </row>
    <row r="252" spans="1:19" ht="12.75" hidden="1" thickBot="1">
      <c r="A252" s="25" t="s">
        <v>406</v>
      </c>
      <c r="B252" s="25" t="s">
        <v>1222</v>
      </c>
      <c r="C252" s="25" t="s">
        <v>418</v>
      </c>
      <c r="D252" s="29">
        <v>35</v>
      </c>
      <c r="E252" s="30"/>
      <c r="F252" s="30"/>
      <c r="G252" s="30"/>
      <c r="H252" s="29">
        <v>34571100</v>
      </c>
      <c r="I252" s="56">
        <v>77354.3</v>
      </c>
      <c r="J252" s="56">
        <v>73407.600000000006</v>
      </c>
      <c r="K252" s="56">
        <v>72672.3</v>
      </c>
      <c r="L252" s="30"/>
      <c r="M252" s="30"/>
      <c r="N252" s="30"/>
      <c r="O252" s="56">
        <v>75291.3</v>
      </c>
      <c r="P252" s="56">
        <v>73407.600000000006</v>
      </c>
      <c r="Q252" s="56">
        <v>72622.8</v>
      </c>
      <c r="R252" s="30"/>
      <c r="S252" s="30"/>
    </row>
    <row r="253" spans="1:19" ht="12.75" hidden="1" thickBot="1">
      <c r="A253" s="25" t="s">
        <v>406</v>
      </c>
      <c r="B253" s="25" t="s">
        <v>1222</v>
      </c>
      <c r="C253" s="25" t="s">
        <v>420</v>
      </c>
      <c r="D253" s="26">
        <v>15643</v>
      </c>
      <c r="E253" s="27"/>
      <c r="F253" s="27"/>
      <c r="G253" s="27"/>
      <c r="H253" s="26">
        <v>86382879</v>
      </c>
      <c r="I253" s="27"/>
      <c r="J253" s="27"/>
      <c r="K253" s="27"/>
      <c r="L253" s="27"/>
      <c r="M253" s="27"/>
      <c r="N253" s="27"/>
      <c r="O253" s="55">
        <v>287161.40000000002</v>
      </c>
      <c r="P253" s="27"/>
      <c r="Q253" s="55"/>
      <c r="R253" s="55">
        <v>287161.40000000002</v>
      </c>
      <c r="S253" s="27"/>
    </row>
    <row r="254" spans="1:19" ht="12.75" hidden="1" thickBot="1">
      <c r="A254" s="25" t="s">
        <v>406</v>
      </c>
      <c r="B254" s="25" t="s">
        <v>1222</v>
      </c>
      <c r="C254" s="25" t="s">
        <v>421</v>
      </c>
      <c r="D254" s="29">
        <v>650</v>
      </c>
      <c r="E254" s="30"/>
      <c r="F254" s="30"/>
      <c r="G254" s="30"/>
      <c r="H254" s="29">
        <v>1664064</v>
      </c>
      <c r="I254" s="30"/>
      <c r="J254" s="30"/>
      <c r="K254" s="30"/>
      <c r="L254" s="30"/>
      <c r="M254" s="30"/>
      <c r="N254" s="30"/>
      <c r="O254" s="56">
        <v>6546.2</v>
      </c>
      <c r="P254" s="30"/>
      <c r="Q254" s="56"/>
      <c r="R254" s="56">
        <v>6546.2</v>
      </c>
      <c r="S254" s="30"/>
    </row>
    <row r="255" spans="1:19" ht="12.75" hidden="1" thickBot="1">
      <c r="A255" s="25" t="s">
        <v>406</v>
      </c>
      <c r="B255" s="25" t="s">
        <v>1222</v>
      </c>
      <c r="C255" s="25" t="s">
        <v>423</v>
      </c>
      <c r="D255" s="26">
        <v>8</v>
      </c>
      <c r="E255" s="27"/>
      <c r="F255" s="27"/>
      <c r="G255" s="27"/>
      <c r="H255" s="26">
        <v>164921</v>
      </c>
      <c r="I255" s="27"/>
      <c r="J255" s="27"/>
      <c r="K255" s="27"/>
      <c r="L255" s="27"/>
      <c r="M255" s="27"/>
      <c r="N255" s="27"/>
      <c r="O255" s="55">
        <v>551.1</v>
      </c>
      <c r="P255" s="27"/>
      <c r="Q255" s="55"/>
      <c r="R255" s="55">
        <v>551.1</v>
      </c>
      <c r="S255" s="27"/>
    </row>
    <row r="256" spans="1:19" ht="12.75" hidden="1" thickBot="1">
      <c r="A256" s="25" t="s">
        <v>406</v>
      </c>
      <c r="B256" s="25" t="s">
        <v>1222</v>
      </c>
      <c r="C256" s="25" t="s">
        <v>424</v>
      </c>
      <c r="D256" s="29">
        <v>2</v>
      </c>
      <c r="E256" s="30"/>
      <c r="F256" s="30"/>
      <c r="G256" s="30"/>
      <c r="H256" s="29">
        <v>4840800</v>
      </c>
      <c r="I256" s="30"/>
      <c r="J256" s="30"/>
      <c r="K256" s="30"/>
      <c r="L256" s="31">
        <v>9614.4</v>
      </c>
      <c r="M256" s="30"/>
      <c r="N256" s="30"/>
      <c r="O256" s="30"/>
      <c r="P256" s="30"/>
      <c r="Q256" s="56">
        <v>9091.2000000000007</v>
      </c>
      <c r="R256" s="56">
        <v>9091.2000000000007</v>
      </c>
      <c r="S256" s="30"/>
    </row>
    <row r="257" spans="1:26" ht="12.75" hidden="1" thickBot="1">
      <c r="A257" s="25" t="s">
        <v>406</v>
      </c>
      <c r="B257" s="25" t="s">
        <v>1222</v>
      </c>
      <c r="C257" s="25" t="s">
        <v>1204</v>
      </c>
      <c r="D257" s="26">
        <v>2</v>
      </c>
      <c r="E257" s="27"/>
      <c r="F257" s="27"/>
      <c r="G257" s="27"/>
      <c r="H257" s="27"/>
      <c r="I257" s="27"/>
      <c r="J257" s="27"/>
      <c r="K257" s="27"/>
      <c r="L257" s="27"/>
      <c r="M257" s="27"/>
      <c r="N257" s="27"/>
      <c r="O257" s="27"/>
      <c r="P257" s="27"/>
      <c r="Q257" s="27"/>
      <c r="R257" s="27"/>
      <c r="S257" s="27"/>
    </row>
    <row r="258" spans="1:26" ht="12.75" hidden="1" thickBot="1">
      <c r="A258" s="25" t="s">
        <v>406</v>
      </c>
      <c r="B258" s="25" t="s">
        <v>1222</v>
      </c>
      <c r="C258" s="25" t="s">
        <v>426</v>
      </c>
      <c r="D258" s="29">
        <v>1</v>
      </c>
      <c r="E258" s="30"/>
      <c r="F258" s="30"/>
      <c r="G258" s="30"/>
      <c r="H258" s="29">
        <v>18504000</v>
      </c>
      <c r="I258" s="56">
        <v>35988</v>
      </c>
      <c r="J258" s="30"/>
      <c r="K258" s="30"/>
      <c r="L258" s="31">
        <v>35988</v>
      </c>
      <c r="M258" s="30"/>
      <c r="N258" s="30"/>
      <c r="O258" s="30"/>
      <c r="P258" s="30"/>
      <c r="Q258" s="56">
        <v>35988</v>
      </c>
      <c r="R258" s="56">
        <v>35988</v>
      </c>
      <c r="S258" s="31">
        <v>-32475.57</v>
      </c>
      <c r="U258" s="700">
        <v>0.95030000000000003</v>
      </c>
      <c r="V258">
        <v>-0.06</v>
      </c>
      <c r="W258" s="10">
        <v>541259.52000000002</v>
      </c>
      <c r="X258" t="s">
        <v>1323</v>
      </c>
      <c r="Y258">
        <f>V258*W258</f>
        <v>-32475.571199999998</v>
      </c>
      <c r="Z258" s="6">
        <v>41852</v>
      </c>
    </row>
    <row r="259" spans="1:26" ht="12.75" hidden="1" thickBot="1">
      <c r="A259" s="25" t="s">
        <v>406</v>
      </c>
      <c r="B259" s="25" t="s">
        <v>1222</v>
      </c>
      <c r="C259" s="25" t="s">
        <v>427</v>
      </c>
      <c r="D259" s="26">
        <v>12</v>
      </c>
      <c r="E259" s="27"/>
      <c r="F259" s="27"/>
      <c r="G259" s="27"/>
      <c r="H259" s="26">
        <v>73369631</v>
      </c>
      <c r="I259" s="55">
        <v>145136</v>
      </c>
      <c r="J259" s="55">
        <v>143501.4</v>
      </c>
      <c r="K259" s="55">
        <v>113362</v>
      </c>
      <c r="L259" s="27"/>
      <c r="M259" s="27"/>
      <c r="N259" s="27"/>
      <c r="O259" s="55">
        <v>143307.70000000001</v>
      </c>
      <c r="P259" s="55">
        <v>143384.9</v>
      </c>
      <c r="Q259" s="55">
        <v>113362</v>
      </c>
      <c r="R259" s="27"/>
      <c r="S259" s="27"/>
    </row>
    <row r="260" spans="1:26" ht="12.75" hidden="1" thickBot="1">
      <c r="A260" s="25" t="s">
        <v>406</v>
      </c>
      <c r="B260" s="25" t="s">
        <v>1222</v>
      </c>
      <c r="C260" s="25" t="s">
        <v>428</v>
      </c>
      <c r="D260" s="29">
        <v>241</v>
      </c>
      <c r="E260" s="30"/>
      <c r="F260" s="30"/>
      <c r="G260" s="30"/>
      <c r="H260" s="29">
        <v>25351052</v>
      </c>
      <c r="I260" s="30"/>
      <c r="J260" s="30"/>
      <c r="K260" s="30"/>
      <c r="L260" s="31">
        <v>67528.95</v>
      </c>
      <c r="M260" s="31">
        <v>4857.5</v>
      </c>
      <c r="N260" s="30"/>
      <c r="O260" s="30"/>
      <c r="P260" s="30"/>
      <c r="Q260" s="56">
        <v>66766.399999999994</v>
      </c>
      <c r="R260" s="56">
        <v>66766.399999999994</v>
      </c>
      <c r="S260" s="31">
        <v>79663</v>
      </c>
    </row>
    <row r="261" spans="1:26" ht="12.75" hidden="1" thickBot="1">
      <c r="A261" s="25" t="s">
        <v>406</v>
      </c>
      <c r="B261" s="25" t="s">
        <v>1222</v>
      </c>
      <c r="C261" s="25" t="s">
        <v>429</v>
      </c>
      <c r="D261" s="26">
        <v>22</v>
      </c>
      <c r="E261" s="27"/>
      <c r="F261" s="27"/>
      <c r="G261" s="27"/>
      <c r="H261" s="26">
        <v>1186140</v>
      </c>
      <c r="I261" s="27"/>
      <c r="J261" s="27"/>
      <c r="K261" s="27"/>
      <c r="L261" s="28">
        <v>4565.1499999999996</v>
      </c>
      <c r="M261" s="28">
        <v>839.6</v>
      </c>
      <c r="N261" s="27"/>
      <c r="O261" s="27"/>
      <c r="P261" s="27"/>
      <c r="Q261" s="55">
        <v>4526</v>
      </c>
      <c r="R261" s="55">
        <v>4526</v>
      </c>
      <c r="S261" s="28">
        <v>11712.46</v>
      </c>
    </row>
    <row r="262" spans="1:26" ht="12.75" hidden="1" thickBot="1">
      <c r="A262" s="25" t="s">
        <v>406</v>
      </c>
      <c r="B262" s="25" t="s">
        <v>1222</v>
      </c>
      <c r="C262" s="25" t="s">
        <v>430</v>
      </c>
      <c r="D262" s="29">
        <v>77</v>
      </c>
      <c r="E262" s="30"/>
      <c r="F262" s="30"/>
      <c r="G262" s="30"/>
      <c r="H262" s="29">
        <v>19862760</v>
      </c>
      <c r="I262" s="56">
        <v>49367.45</v>
      </c>
      <c r="J262" s="56">
        <v>46847</v>
      </c>
      <c r="K262" s="56">
        <v>45680.1</v>
      </c>
      <c r="L262" s="30"/>
      <c r="M262" s="30"/>
      <c r="N262" s="56">
        <v>9191.1</v>
      </c>
      <c r="O262" s="56">
        <v>47612.900000000009</v>
      </c>
      <c r="P262" s="56">
        <v>46727.7</v>
      </c>
      <c r="Q262" s="56">
        <v>45611.199999999997</v>
      </c>
      <c r="R262" s="30"/>
      <c r="S262" s="31">
        <v>44827.06</v>
      </c>
    </row>
    <row r="263" spans="1:26" ht="12.75" hidden="1" thickBot="1">
      <c r="A263" s="25" t="s">
        <v>406</v>
      </c>
      <c r="B263" s="25" t="s">
        <v>1222</v>
      </c>
      <c r="C263" s="25" t="s">
        <v>431</v>
      </c>
      <c r="D263" s="26">
        <v>63</v>
      </c>
      <c r="E263" s="27"/>
      <c r="F263" s="27"/>
      <c r="G263" s="27"/>
      <c r="H263" s="26">
        <v>131173200</v>
      </c>
      <c r="I263" s="55">
        <v>313222.3</v>
      </c>
      <c r="J263" s="55">
        <v>303768.59999999998</v>
      </c>
      <c r="K263" s="55">
        <v>297417</v>
      </c>
      <c r="L263" s="27"/>
      <c r="M263" s="27"/>
      <c r="N263" s="27"/>
      <c r="O263" s="55">
        <v>312454.7</v>
      </c>
      <c r="P263" s="55">
        <v>303768.59999999998</v>
      </c>
      <c r="Q263" s="55">
        <v>297297.2</v>
      </c>
      <c r="R263" s="27"/>
      <c r="S263" s="27"/>
    </row>
    <row r="264" spans="1:26" ht="12.75" hidden="1" thickBot="1">
      <c r="A264" s="25" t="s">
        <v>406</v>
      </c>
      <c r="B264" s="25" t="s">
        <v>1222</v>
      </c>
      <c r="C264" s="25" t="s">
        <v>433</v>
      </c>
      <c r="D264" s="29">
        <v>1</v>
      </c>
      <c r="E264" s="30"/>
      <c r="F264" s="30"/>
      <c r="G264" s="30"/>
      <c r="H264" s="29">
        <v>196</v>
      </c>
      <c r="I264" s="30"/>
      <c r="J264" s="30"/>
      <c r="K264" s="30"/>
      <c r="L264" s="30"/>
      <c r="M264" s="30"/>
      <c r="N264" s="30"/>
      <c r="O264" s="30"/>
      <c r="P264" s="30"/>
      <c r="Q264" s="30"/>
      <c r="R264" s="30"/>
      <c r="S264" s="30"/>
    </row>
    <row r="265" spans="1:26" ht="12.75" hidden="1" thickBot="1">
      <c r="A265" s="25" t="s">
        <v>406</v>
      </c>
      <c r="B265" s="25" t="s">
        <v>1222</v>
      </c>
      <c r="C265" s="25" t="s">
        <v>434</v>
      </c>
      <c r="D265" s="26">
        <v>156</v>
      </c>
      <c r="E265" s="27"/>
      <c r="F265" s="27"/>
      <c r="G265" s="27"/>
      <c r="H265" s="26">
        <v>148712</v>
      </c>
      <c r="I265" s="27"/>
      <c r="J265" s="27"/>
      <c r="K265" s="27"/>
      <c r="L265" s="27"/>
      <c r="M265" s="27"/>
      <c r="N265" s="27"/>
      <c r="O265" s="27"/>
      <c r="P265" s="27"/>
      <c r="Q265" s="27"/>
      <c r="R265" s="27"/>
      <c r="S265" s="27"/>
    </row>
    <row r="266" spans="1:26" ht="12.75" hidden="1" thickBot="1">
      <c r="A266" s="25" t="s">
        <v>406</v>
      </c>
      <c r="B266" s="25" t="s">
        <v>1222</v>
      </c>
      <c r="C266" s="25" t="s">
        <v>435</v>
      </c>
      <c r="D266" s="29">
        <v>13</v>
      </c>
      <c r="E266" s="30"/>
      <c r="F266" s="30"/>
      <c r="G266" s="30"/>
      <c r="H266" s="29">
        <v>74067</v>
      </c>
      <c r="I266" s="30"/>
      <c r="J266" s="30"/>
      <c r="K266" s="30"/>
      <c r="L266" s="30"/>
      <c r="M266" s="30"/>
      <c r="N266" s="30"/>
      <c r="O266" s="30"/>
      <c r="P266" s="30"/>
      <c r="Q266" s="30"/>
      <c r="R266" s="30"/>
      <c r="S266" s="30"/>
    </row>
    <row r="267" spans="1:26" ht="12.75" hidden="1" thickBot="1">
      <c r="A267" s="25" t="s">
        <v>406</v>
      </c>
      <c r="B267" s="25" t="s">
        <v>1222</v>
      </c>
      <c r="C267" s="25" t="s">
        <v>436</v>
      </c>
      <c r="D267" s="26">
        <v>897</v>
      </c>
      <c r="E267" s="27"/>
      <c r="F267" s="27"/>
      <c r="G267" s="27"/>
      <c r="H267" s="26">
        <v>174874</v>
      </c>
      <c r="I267" s="27"/>
      <c r="J267" s="27"/>
      <c r="K267" s="27"/>
      <c r="L267" s="27"/>
      <c r="M267" s="27"/>
      <c r="N267" s="27"/>
      <c r="O267" s="27"/>
      <c r="P267" s="27"/>
      <c r="Q267" s="27"/>
      <c r="R267" s="27"/>
      <c r="S267" s="27"/>
    </row>
    <row r="268" spans="1:26" ht="12.75" hidden="1" thickBot="1">
      <c r="A268" s="25" t="s">
        <v>406</v>
      </c>
      <c r="B268" s="25" t="s">
        <v>1222</v>
      </c>
      <c r="C268" s="25" t="s">
        <v>437</v>
      </c>
      <c r="D268" s="29">
        <v>8</v>
      </c>
      <c r="E268" s="30"/>
      <c r="F268" s="30"/>
      <c r="G268" s="30"/>
      <c r="H268" s="29">
        <v>68742</v>
      </c>
      <c r="I268" s="30"/>
      <c r="J268" s="30"/>
      <c r="K268" s="30"/>
      <c r="L268" s="30"/>
      <c r="M268" s="30"/>
      <c r="N268" s="30"/>
      <c r="O268" s="30"/>
      <c r="P268" s="30"/>
      <c r="Q268" s="30"/>
      <c r="R268" s="30"/>
      <c r="S268" s="30"/>
    </row>
    <row r="269" spans="1:26" ht="12.75" hidden="1" thickBot="1">
      <c r="A269" s="25" t="s">
        <v>406</v>
      </c>
      <c r="B269" s="25" t="s">
        <v>1222</v>
      </c>
      <c r="C269" s="25" t="s">
        <v>438</v>
      </c>
      <c r="D269" s="26">
        <v>3459</v>
      </c>
      <c r="E269" s="27"/>
      <c r="F269" s="27"/>
      <c r="G269" s="27"/>
      <c r="H269" s="26">
        <v>594367</v>
      </c>
      <c r="I269" s="27"/>
      <c r="J269" s="27"/>
      <c r="K269" s="27"/>
      <c r="L269" s="27"/>
      <c r="M269" s="27"/>
      <c r="N269" s="27"/>
      <c r="O269" s="27"/>
      <c r="P269" s="27"/>
      <c r="Q269" s="27"/>
      <c r="R269" s="27"/>
      <c r="S269" s="27"/>
    </row>
    <row r="270" spans="1:26" ht="12.75" hidden="1" thickBot="1">
      <c r="A270" s="25" t="s">
        <v>406</v>
      </c>
      <c r="B270" s="25" t="s">
        <v>1222</v>
      </c>
      <c r="C270" s="25" t="s">
        <v>439</v>
      </c>
      <c r="D270" s="29">
        <v>353520</v>
      </c>
      <c r="E270" s="30"/>
      <c r="F270" s="30"/>
      <c r="G270" s="30"/>
      <c r="H270" s="29">
        <v>398054017</v>
      </c>
      <c r="I270" s="30"/>
      <c r="J270" s="30"/>
      <c r="K270" s="30"/>
      <c r="L270" s="30"/>
      <c r="M270" s="30"/>
      <c r="N270" s="30"/>
      <c r="O270" s="30"/>
      <c r="P270" s="30"/>
      <c r="Q270" s="30"/>
      <c r="R270" s="30"/>
      <c r="S270" s="30"/>
    </row>
    <row r="271" spans="1:26" ht="12.75" hidden="1" thickBot="1">
      <c r="A271" s="25" t="s">
        <v>406</v>
      </c>
      <c r="B271" s="25" t="s">
        <v>1222</v>
      </c>
      <c r="C271" s="25" t="s">
        <v>440</v>
      </c>
      <c r="D271" s="26">
        <v>135</v>
      </c>
      <c r="E271" s="27"/>
      <c r="F271" s="27"/>
      <c r="G271" s="27"/>
      <c r="H271" s="26">
        <v>137981</v>
      </c>
      <c r="I271" s="27"/>
      <c r="J271" s="27"/>
      <c r="K271" s="27"/>
      <c r="L271" s="27"/>
      <c r="M271" s="27"/>
      <c r="N271" s="27"/>
      <c r="O271" s="27"/>
      <c r="P271" s="27"/>
      <c r="Q271" s="27"/>
      <c r="R271" s="27"/>
      <c r="S271" s="27"/>
    </row>
    <row r="272" spans="1:26" ht="12.75" hidden="1" thickBot="1">
      <c r="A272" s="25" t="s">
        <v>406</v>
      </c>
      <c r="B272" s="25" t="s">
        <v>1222</v>
      </c>
      <c r="C272" s="25" t="s">
        <v>441</v>
      </c>
      <c r="D272" s="29">
        <v>6</v>
      </c>
      <c r="E272" s="30"/>
      <c r="F272" s="30"/>
      <c r="G272" s="30"/>
      <c r="H272" s="29">
        <v>34986</v>
      </c>
      <c r="I272" s="30"/>
      <c r="J272" s="30"/>
      <c r="K272" s="30"/>
      <c r="L272" s="30"/>
      <c r="M272" s="30"/>
      <c r="N272" s="30"/>
      <c r="O272" s="30"/>
      <c r="P272" s="30"/>
      <c r="Q272" s="30"/>
      <c r="R272" s="30"/>
      <c r="S272" s="30"/>
    </row>
    <row r="273" spans="1:29" ht="12.75" hidden="1" thickBot="1">
      <c r="A273" s="25" t="s">
        <v>406</v>
      </c>
      <c r="B273" s="25" t="s">
        <v>1222</v>
      </c>
      <c r="C273" s="25" t="s">
        <v>755</v>
      </c>
      <c r="D273" s="26">
        <v>19</v>
      </c>
      <c r="E273" s="28">
        <v>17811</v>
      </c>
      <c r="F273" s="28">
        <v>6663</v>
      </c>
      <c r="G273" s="28">
        <v>6326</v>
      </c>
      <c r="H273" s="26">
        <v>30800</v>
      </c>
      <c r="I273" s="27"/>
      <c r="J273" s="27"/>
      <c r="K273" s="27"/>
      <c r="L273" s="27"/>
      <c r="M273" s="27"/>
      <c r="N273" s="27"/>
      <c r="O273" s="27"/>
      <c r="P273" s="27"/>
      <c r="Q273" s="27"/>
      <c r="R273" s="27"/>
      <c r="S273" s="27"/>
    </row>
    <row r="274" spans="1:29" ht="12.75" hidden="1" thickBot="1">
      <c r="A274" s="25" t="s">
        <v>406</v>
      </c>
      <c r="B274" s="25" t="s">
        <v>1222</v>
      </c>
      <c r="C274" s="25" t="s">
        <v>1208</v>
      </c>
      <c r="D274" s="29">
        <v>1</v>
      </c>
      <c r="E274" s="31">
        <v>159</v>
      </c>
      <c r="F274" s="31">
        <v>0</v>
      </c>
      <c r="G274" s="31">
        <v>0</v>
      </c>
      <c r="H274" s="29">
        <v>159</v>
      </c>
      <c r="I274" s="30"/>
      <c r="J274" s="30"/>
      <c r="K274" s="30"/>
      <c r="L274" s="30"/>
      <c r="M274" s="30"/>
      <c r="N274" s="30"/>
      <c r="O274" s="30"/>
      <c r="P274" s="30"/>
      <c r="Q274" s="30"/>
      <c r="R274" s="30"/>
      <c r="S274" s="30"/>
    </row>
    <row r="275" spans="1:29" ht="12.75" hidden="1" thickBot="1">
      <c r="A275" s="25" t="s">
        <v>406</v>
      </c>
      <c r="B275" s="25" t="s">
        <v>1222</v>
      </c>
      <c r="C275" s="42" t="s">
        <v>7</v>
      </c>
      <c r="D275" s="43">
        <v>405928</v>
      </c>
      <c r="E275" s="44">
        <v>17970</v>
      </c>
      <c r="F275" s="44">
        <v>6663</v>
      </c>
      <c r="G275" s="44">
        <v>6326</v>
      </c>
      <c r="H275" s="43">
        <v>1059221067</v>
      </c>
      <c r="I275" s="60">
        <v>760974.7</v>
      </c>
      <c r="J275" s="60">
        <v>699284.1</v>
      </c>
      <c r="K275" s="60">
        <v>659347.5</v>
      </c>
      <c r="L275" s="44">
        <v>542056.75</v>
      </c>
      <c r="M275" s="44">
        <v>-683.2</v>
      </c>
      <c r="N275" s="60">
        <v>15571.1</v>
      </c>
      <c r="O275" s="246"/>
      <c r="P275" s="60">
        <v>698251.7</v>
      </c>
      <c r="Q275" s="60">
        <v>658310.9</v>
      </c>
      <c r="R275" s="60">
        <v>836110.39999999991</v>
      </c>
      <c r="S275" s="44">
        <v>47176.139999999992</v>
      </c>
    </row>
    <row r="276" spans="1:29" ht="23.25" hidden="1" thickBot="1">
      <c r="A276" s="61"/>
      <c r="B276" s="62"/>
      <c r="C276" s="45"/>
      <c r="D276" s="25" t="s">
        <v>1</v>
      </c>
      <c r="E276" s="25" t="s">
        <v>403</v>
      </c>
      <c r="F276" s="25" t="s">
        <v>404</v>
      </c>
      <c r="G276" s="25" t="s">
        <v>405</v>
      </c>
      <c r="H276" s="25" t="s">
        <v>2</v>
      </c>
      <c r="I276" s="25" t="s">
        <v>137</v>
      </c>
      <c r="J276" s="25" t="s">
        <v>138</v>
      </c>
      <c r="K276" s="25" t="s">
        <v>139</v>
      </c>
      <c r="L276" s="25" t="s">
        <v>1033</v>
      </c>
      <c r="M276" s="25" t="s">
        <v>1034</v>
      </c>
      <c r="N276" s="25" t="s">
        <v>1035</v>
      </c>
      <c r="O276" s="25" t="s">
        <v>1036</v>
      </c>
      <c r="P276" s="25" t="s">
        <v>1037</v>
      </c>
      <c r="Q276" s="25" t="s">
        <v>1038</v>
      </c>
      <c r="R276" s="25" t="s">
        <v>1039</v>
      </c>
      <c r="S276" s="16" t="s">
        <v>1219</v>
      </c>
    </row>
    <row r="277" spans="1:29" ht="12.75" hidden="1" thickBot="1">
      <c r="A277" s="25" t="s">
        <v>61</v>
      </c>
      <c r="B277" s="25" t="s">
        <v>0</v>
      </c>
      <c r="C277" s="25" t="s">
        <v>4</v>
      </c>
      <c r="D277" s="45"/>
      <c r="E277" s="45" t="s">
        <v>5</v>
      </c>
      <c r="F277" s="45" t="s">
        <v>5</v>
      </c>
      <c r="G277" s="45" t="s">
        <v>5</v>
      </c>
      <c r="H277" s="45" t="s">
        <v>5</v>
      </c>
      <c r="I277" s="45"/>
      <c r="J277" s="45"/>
      <c r="K277" s="45"/>
      <c r="L277" s="45"/>
      <c r="M277" s="45"/>
      <c r="N277" s="45"/>
      <c r="O277" s="45"/>
      <c r="P277" s="45"/>
      <c r="Q277" s="45"/>
      <c r="R277" s="45"/>
      <c r="S277" s="250" t="s">
        <v>6</v>
      </c>
    </row>
    <row r="278" spans="1:29" ht="12.75" thickBot="1">
      <c r="A278" s="25" t="s">
        <v>406</v>
      </c>
      <c r="B278" s="57" t="s">
        <v>1269</v>
      </c>
      <c r="C278" s="25" t="s">
        <v>407</v>
      </c>
      <c r="D278" s="26"/>
      <c r="E278" s="27"/>
      <c r="F278" s="27"/>
      <c r="G278" s="27"/>
      <c r="H278" s="26"/>
      <c r="I278" s="27"/>
      <c r="J278" s="27"/>
      <c r="K278" s="27"/>
      <c r="L278" s="27"/>
      <c r="M278" s="27"/>
      <c r="N278" s="27"/>
      <c r="O278" s="27"/>
      <c r="P278" s="27"/>
      <c r="Q278" s="27"/>
      <c r="R278" s="27"/>
      <c r="S278" s="20"/>
    </row>
    <row r="279" spans="1:29" ht="12.75" thickBot="1">
      <c r="A279" s="25" t="s">
        <v>406</v>
      </c>
      <c r="B279" s="57" t="s">
        <v>1269</v>
      </c>
      <c r="C279" s="25" t="s">
        <v>409</v>
      </c>
      <c r="D279" s="565">
        <v>28048</v>
      </c>
      <c r="E279" s="566"/>
      <c r="F279" s="566"/>
      <c r="G279" s="566"/>
      <c r="H279" s="565">
        <v>37557724</v>
      </c>
      <c r="I279" s="566"/>
      <c r="J279" s="566"/>
      <c r="K279" s="566"/>
      <c r="L279" s="566"/>
      <c r="M279" s="566"/>
      <c r="N279" s="566"/>
      <c r="O279" s="570"/>
      <c r="P279" s="566"/>
      <c r="Q279" s="570"/>
      <c r="R279" s="570"/>
      <c r="S279" s="567"/>
    </row>
    <row r="280" spans="1:29" ht="12.75" thickBot="1">
      <c r="A280" s="25" t="s">
        <v>406</v>
      </c>
      <c r="B280" s="57" t="s">
        <v>1269</v>
      </c>
      <c r="C280" s="25" t="s">
        <v>410</v>
      </c>
      <c r="D280" s="26"/>
      <c r="E280" s="27"/>
      <c r="F280" s="27"/>
      <c r="G280" s="27"/>
      <c r="H280" s="26"/>
      <c r="I280" s="27"/>
      <c r="J280" s="27"/>
      <c r="K280" s="27"/>
      <c r="L280" s="27"/>
      <c r="M280" s="27"/>
      <c r="N280" s="27"/>
      <c r="O280" s="27"/>
      <c r="P280" s="27"/>
      <c r="Q280" s="27"/>
      <c r="R280" s="27"/>
      <c r="S280" s="20"/>
    </row>
    <row r="281" spans="1:29" ht="12.75" thickBot="1">
      <c r="A281" s="25" t="s">
        <v>406</v>
      </c>
      <c r="B281" s="57" t="s">
        <v>1269</v>
      </c>
      <c r="C281" s="25" t="s">
        <v>411</v>
      </c>
      <c r="D281" s="29"/>
      <c r="E281" s="30"/>
      <c r="F281" s="30"/>
      <c r="G281" s="30"/>
      <c r="H281" s="29"/>
      <c r="I281" s="30"/>
      <c r="J281" s="30"/>
      <c r="K281" s="30"/>
      <c r="L281" s="30"/>
      <c r="M281" s="30"/>
      <c r="N281" s="30"/>
      <c r="O281" s="56"/>
      <c r="P281" s="30"/>
      <c r="Q281" s="56"/>
      <c r="R281" s="56"/>
      <c r="S281" s="19"/>
    </row>
    <row r="282" spans="1:29" ht="12.75" thickBot="1">
      <c r="A282" s="25" t="s">
        <v>406</v>
      </c>
      <c r="B282" s="57" t="s">
        <v>1269</v>
      </c>
      <c r="C282" s="25" t="s">
        <v>413</v>
      </c>
      <c r="D282" s="26"/>
      <c r="E282" s="27"/>
      <c r="F282" s="27"/>
      <c r="G282" s="27"/>
      <c r="H282" s="26"/>
      <c r="I282" s="27"/>
      <c r="J282" s="27"/>
      <c r="K282" s="27"/>
      <c r="L282" s="27"/>
      <c r="M282" s="27"/>
      <c r="N282" s="27"/>
      <c r="O282" s="27"/>
      <c r="P282" s="27"/>
      <c r="Q282" s="27"/>
      <c r="R282" s="27"/>
      <c r="S282" s="20"/>
    </row>
    <row r="283" spans="1:29" ht="12.75" thickBot="1">
      <c r="A283" s="25" t="s">
        <v>406</v>
      </c>
      <c r="B283" s="57" t="s">
        <v>1269</v>
      </c>
      <c r="C283" s="25" t="s">
        <v>414</v>
      </c>
      <c r="D283" s="565">
        <v>2573</v>
      </c>
      <c r="E283" s="566"/>
      <c r="F283" s="566"/>
      <c r="G283" s="566"/>
      <c r="H283" s="565">
        <v>167813178</v>
      </c>
      <c r="I283" s="570"/>
      <c r="J283" s="566"/>
      <c r="K283" s="566"/>
      <c r="L283" s="572"/>
      <c r="M283" s="572"/>
      <c r="N283" s="566"/>
      <c r="O283" s="566"/>
      <c r="P283" s="566"/>
      <c r="Q283" s="570">
        <v>416583.62</v>
      </c>
      <c r="R283" s="570">
        <v>416583.62</v>
      </c>
      <c r="S283" s="573"/>
    </row>
    <row r="284" spans="1:29" ht="12.75" thickBot="1">
      <c r="A284" s="25" t="s">
        <v>406</v>
      </c>
      <c r="B284" s="57" t="s">
        <v>1269</v>
      </c>
      <c r="C284" s="25" t="s">
        <v>415</v>
      </c>
      <c r="D284" s="565">
        <v>52</v>
      </c>
      <c r="E284" s="566"/>
      <c r="F284" s="566"/>
      <c r="G284" s="566"/>
      <c r="H284" s="565">
        <v>15138627</v>
      </c>
      <c r="I284" s="566"/>
      <c r="J284" s="566"/>
      <c r="K284" s="566"/>
      <c r="L284" s="572"/>
      <c r="M284" s="572"/>
      <c r="N284" s="566"/>
      <c r="O284" s="566"/>
      <c r="P284" s="566"/>
      <c r="Q284" s="570">
        <v>36873.29</v>
      </c>
      <c r="R284" s="570">
        <v>36873.29</v>
      </c>
      <c r="S284" s="573"/>
    </row>
    <row r="285" spans="1:29" ht="12.75" thickBot="1">
      <c r="A285" s="25" t="s">
        <v>406</v>
      </c>
      <c r="B285" s="57" t="s">
        <v>1269</v>
      </c>
      <c r="C285" s="25" t="s">
        <v>416</v>
      </c>
      <c r="D285" s="29"/>
      <c r="E285" s="30"/>
      <c r="F285" s="30"/>
      <c r="G285" s="30"/>
      <c r="H285" s="29"/>
      <c r="I285" s="30"/>
      <c r="J285" s="30"/>
      <c r="K285" s="30"/>
      <c r="L285" s="31"/>
      <c r="M285" s="31"/>
      <c r="N285" s="30"/>
      <c r="O285" s="30"/>
      <c r="P285" s="30"/>
      <c r="Q285" s="56"/>
      <c r="R285" s="56"/>
      <c r="S285" s="18"/>
    </row>
    <row r="286" spans="1:29" ht="12.75" thickBot="1">
      <c r="A286" s="25" t="s">
        <v>406</v>
      </c>
      <c r="B286" s="57" t="s">
        <v>1269</v>
      </c>
      <c r="C286" s="25" t="s">
        <v>417</v>
      </c>
      <c r="D286" s="565">
        <v>206</v>
      </c>
      <c r="E286" s="566"/>
      <c r="F286" s="566"/>
      <c r="G286" s="566"/>
      <c r="H286" s="565">
        <v>70388905</v>
      </c>
      <c r="I286" s="570"/>
      <c r="J286" s="570"/>
      <c r="K286" s="570"/>
      <c r="L286" s="566"/>
      <c r="M286" s="566"/>
      <c r="N286" s="570"/>
      <c r="O286" s="570">
        <v>145324.37</v>
      </c>
      <c r="P286" s="570">
        <v>141245.47</v>
      </c>
      <c r="Q286" s="570">
        <v>139460.57999999999</v>
      </c>
      <c r="R286" s="566"/>
      <c r="S286" s="573"/>
    </row>
    <row r="287" spans="1:29" ht="12.75" thickBot="1">
      <c r="A287" s="25" t="s">
        <v>406</v>
      </c>
      <c r="B287" s="57" t="s">
        <v>1269</v>
      </c>
      <c r="C287" s="25" t="s">
        <v>418</v>
      </c>
      <c r="D287" s="565">
        <v>35</v>
      </c>
      <c r="E287" s="566"/>
      <c r="F287" s="566"/>
      <c r="G287" s="566"/>
      <c r="H287" s="565">
        <v>37554466</v>
      </c>
      <c r="I287" s="570"/>
      <c r="J287" s="570"/>
      <c r="K287" s="570"/>
      <c r="L287" s="566"/>
      <c r="M287" s="566"/>
      <c r="N287" s="566"/>
      <c r="O287" s="570">
        <v>83908.62</v>
      </c>
      <c r="P287" s="570">
        <v>81618.2</v>
      </c>
      <c r="Q287" s="570">
        <v>80941.509999999995</v>
      </c>
      <c r="R287" s="566"/>
      <c r="S287" s="567"/>
      <c r="T287" s="34"/>
      <c r="X287" s="34"/>
      <c r="Y287" s="34"/>
      <c r="Z287" s="34"/>
      <c r="AA287" s="34"/>
      <c r="AB287" s="34"/>
      <c r="AC287" s="34"/>
    </row>
    <row r="288" spans="1:29" ht="12.75" thickBot="1">
      <c r="A288" s="25" t="s">
        <v>406</v>
      </c>
      <c r="B288" s="57" t="s">
        <v>1269</v>
      </c>
      <c r="C288" s="25" t="s">
        <v>420</v>
      </c>
      <c r="D288" s="565">
        <v>16286</v>
      </c>
      <c r="E288" s="566"/>
      <c r="F288" s="566"/>
      <c r="G288" s="566"/>
      <c r="H288" s="565">
        <v>95834898</v>
      </c>
      <c r="I288" s="566"/>
      <c r="J288" s="566"/>
      <c r="K288" s="566"/>
      <c r="L288" s="566"/>
      <c r="M288" s="566"/>
      <c r="N288" s="566"/>
      <c r="O288" s="570">
        <v>226848.68</v>
      </c>
      <c r="P288" s="566"/>
      <c r="Q288" s="570"/>
      <c r="R288" s="570">
        <v>226848.68</v>
      </c>
      <c r="S288" s="567"/>
      <c r="T288" s="34"/>
      <c r="X288" s="34"/>
      <c r="Y288" s="34"/>
      <c r="Z288" s="34"/>
      <c r="AA288" s="34"/>
      <c r="AB288" s="34"/>
      <c r="AC288" s="34"/>
    </row>
    <row r="289" spans="1:51" ht="12.75" thickBot="1">
      <c r="A289" s="25" t="s">
        <v>406</v>
      </c>
      <c r="B289" s="57" t="s">
        <v>1269</v>
      </c>
      <c r="C289" s="25" t="s">
        <v>421</v>
      </c>
      <c r="D289" s="29"/>
      <c r="E289" s="30"/>
      <c r="F289" s="30"/>
      <c r="G289" s="30"/>
      <c r="H289" s="29"/>
      <c r="I289" s="30"/>
      <c r="J289" s="30"/>
      <c r="K289" s="30"/>
      <c r="L289" s="30"/>
      <c r="M289" s="30"/>
      <c r="N289" s="30"/>
      <c r="O289" s="56"/>
      <c r="P289" s="30"/>
      <c r="Q289" s="56"/>
      <c r="R289" s="56"/>
      <c r="S289" s="19"/>
      <c r="T289" s="34"/>
      <c r="X289" s="34"/>
      <c r="Y289" s="34"/>
      <c r="Z289" s="34"/>
      <c r="AA289" s="34"/>
      <c r="AB289" s="34"/>
      <c r="AC289" s="34"/>
    </row>
    <row r="290" spans="1:51" ht="12.75" thickBot="1">
      <c r="A290" s="25" t="s">
        <v>406</v>
      </c>
      <c r="B290" s="57" t="s">
        <v>1269</v>
      </c>
      <c r="C290" s="25" t="s">
        <v>423</v>
      </c>
      <c r="D290" s="26"/>
      <c r="E290" s="27"/>
      <c r="F290" s="27"/>
      <c r="G290" s="27"/>
      <c r="H290" s="26"/>
      <c r="I290" s="27"/>
      <c r="J290" s="27"/>
      <c r="K290" s="27"/>
      <c r="L290" s="27"/>
      <c r="M290" s="27"/>
      <c r="N290" s="27"/>
      <c r="O290" s="55"/>
      <c r="P290" s="27"/>
      <c r="Q290" s="55"/>
      <c r="R290" s="55"/>
      <c r="S290" s="20"/>
      <c r="T290" s="34"/>
      <c r="X290" s="34"/>
      <c r="Y290" s="34"/>
      <c r="Z290" s="34"/>
      <c r="AA290" s="34"/>
      <c r="AB290" s="34"/>
      <c r="AC290" s="34"/>
    </row>
    <row r="291" spans="1:51" ht="12.75" thickBot="1">
      <c r="A291" s="25" t="s">
        <v>406</v>
      </c>
      <c r="B291" s="57" t="s">
        <v>1269</v>
      </c>
      <c r="C291" s="25" t="s">
        <v>424</v>
      </c>
      <c r="D291" s="565">
        <v>2</v>
      </c>
      <c r="E291" s="566"/>
      <c r="F291" s="566"/>
      <c r="G291" s="566"/>
      <c r="H291" s="565">
        <v>5318100</v>
      </c>
      <c r="I291" s="566"/>
      <c r="J291" s="566"/>
      <c r="K291" s="566"/>
      <c r="L291" s="572"/>
      <c r="M291" s="566"/>
      <c r="N291" s="566"/>
      <c r="O291" s="566"/>
      <c r="P291" s="566"/>
      <c r="Q291" s="570">
        <v>9450</v>
      </c>
      <c r="R291" s="570">
        <v>9450</v>
      </c>
      <c r="S291" s="567"/>
      <c r="T291" s="34"/>
      <c r="X291" s="34"/>
      <c r="Y291" s="34"/>
      <c r="Z291" s="34"/>
      <c r="AA291" s="34"/>
      <c r="AB291" s="34"/>
      <c r="AC291" s="34"/>
    </row>
    <row r="292" spans="1:51" ht="12.75" thickBot="1">
      <c r="A292" s="25" t="s">
        <v>406</v>
      </c>
      <c r="B292" s="57" t="s">
        <v>1269</v>
      </c>
      <c r="C292" s="25" t="s">
        <v>1204</v>
      </c>
      <c r="D292" s="26"/>
      <c r="E292" s="27"/>
      <c r="F292" s="27"/>
      <c r="G292" s="27"/>
      <c r="H292" s="27"/>
      <c r="I292" s="27"/>
      <c r="J292" s="27"/>
      <c r="K292" s="27"/>
      <c r="L292" s="27"/>
      <c r="M292" s="27"/>
      <c r="N292" s="27"/>
      <c r="O292" s="27"/>
      <c r="P292" s="27"/>
      <c r="Q292" s="27"/>
      <c r="R292" s="27"/>
      <c r="S292" s="20"/>
      <c r="T292" s="34"/>
      <c r="X292" s="34"/>
      <c r="Y292" s="34"/>
      <c r="Z292" s="34"/>
      <c r="AA292" s="34"/>
      <c r="AB292" s="34"/>
      <c r="AC292" s="34"/>
    </row>
    <row r="293" spans="1:51" ht="12.75" thickBot="1">
      <c r="A293" s="25" t="s">
        <v>406</v>
      </c>
      <c r="B293" s="57" t="s">
        <v>1269</v>
      </c>
      <c r="C293" s="25" t="s">
        <v>425</v>
      </c>
      <c r="D293" s="29"/>
      <c r="E293" s="30"/>
      <c r="F293" s="30"/>
      <c r="G293" s="30"/>
      <c r="H293" s="30"/>
      <c r="I293" s="30"/>
      <c r="J293" s="30"/>
      <c r="K293" s="30"/>
      <c r="L293" s="30"/>
      <c r="M293" s="30"/>
      <c r="N293" s="30"/>
      <c r="O293" s="30"/>
      <c r="P293" s="30"/>
      <c r="Q293" s="30"/>
      <c r="R293" s="30"/>
      <c r="S293" s="19"/>
      <c r="T293" s="34"/>
      <c r="X293" s="34"/>
      <c r="Y293" s="34"/>
      <c r="Z293" s="34"/>
      <c r="AA293" s="34"/>
      <c r="AB293" s="34"/>
      <c r="AC293" s="34"/>
    </row>
    <row r="294" spans="1:51" ht="12.75" thickBot="1">
      <c r="A294" s="25" t="s">
        <v>406</v>
      </c>
      <c r="B294" s="57" t="s">
        <v>1269</v>
      </c>
      <c r="C294" s="25" t="s">
        <v>426</v>
      </c>
      <c r="D294" s="565">
        <v>1</v>
      </c>
      <c r="E294" s="566"/>
      <c r="F294" s="566"/>
      <c r="G294" s="566"/>
      <c r="H294" s="565">
        <v>11024000</v>
      </c>
      <c r="I294" s="570"/>
      <c r="J294" s="566"/>
      <c r="K294" s="566"/>
      <c r="L294" s="572"/>
      <c r="M294" s="566"/>
      <c r="N294" s="566"/>
      <c r="O294" s="566"/>
      <c r="P294" s="566"/>
      <c r="Q294" s="570">
        <v>20654</v>
      </c>
      <c r="R294" s="570">
        <v>20654</v>
      </c>
      <c r="S294" s="573"/>
      <c r="T294" s="59"/>
      <c r="U294" s="700">
        <v>0.94979999999999998</v>
      </c>
      <c r="V294">
        <v>-5.6000000000000001E-2</v>
      </c>
      <c r="W294">
        <v>455170.56</v>
      </c>
      <c r="X294" s="59" t="s">
        <v>1323</v>
      </c>
      <c r="Y294">
        <f>V294*W294</f>
        <v>-25489.551360000001</v>
      </c>
      <c r="Z294" s="701">
        <v>41883</v>
      </c>
      <c r="AA294" s="59"/>
      <c r="AB294" s="59"/>
      <c r="AC294" s="59"/>
      <c r="AD294" s="41"/>
      <c r="AE294" s="41"/>
      <c r="AF294" s="41"/>
      <c r="AG294" s="41"/>
      <c r="AH294" s="41"/>
      <c r="AI294" s="41"/>
      <c r="AJ294" s="41"/>
      <c r="AK294" s="41"/>
      <c r="AL294" s="41"/>
      <c r="AM294" s="41"/>
      <c r="AN294" s="41"/>
      <c r="AO294" s="41"/>
      <c r="AP294" s="41"/>
      <c r="AQ294" s="41"/>
      <c r="AR294" s="41"/>
      <c r="AS294" s="41"/>
      <c r="AT294" s="41"/>
      <c r="AU294" s="41"/>
      <c r="AV294" s="41"/>
      <c r="AW294" s="41"/>
      <c r="AX294" s="41"/>
      <c r="AY294" s="41"/>
    </row>
    <row r="295" spans="1:51" ht="12.75" thickBot="1">
      <c r="A295" s="25" t="s">
        <v>406</v>
      </c>
      <c r="B295" s="57" t="s">
        <v>1269</v>
      </c>
      <c r="C295" s="25" t="s">
        <v>427</v>
      </c>
      <c r="D295" s="565">
        <v>12</v>
      </c>
      <c r="E295" s="566"/>
      <c r="F295" s="566"/>
      <c r="G295" s="566"/>
      <c r="H295" s="565">
        <v>71926801</v>
      </c>
      <c r="I295" s="570"/>
      <c r="J295" s="570"/>
      <c r="K295" s="570"/>
      <c r="L295" s="566"/>
      <c r="M295" s="566"/>
      <c r="N295" s="566"/>
      <c r="O295" s="570">
        <v>156245.81</v>
      </c>
      <c r="P295" s="570">
        <v>152149.41</v>
      </c>
      <c r="Q295" s="570">
        <v>94951.62</v>
      </c>
      <c r="R295" s="566"/>
      <c r="S295" s="567"/>
      <c r="T295" s="59"/>
      <c r="X295" s="59"/>
      <c r="Y295" s="59"/>
      <c r="Z295" s="59"/>
      <c r="AA295" s="59"/>
      <c r="AB295" s="59"/>
      <c r="AC295" s="59"/>
      <c r="AD295" s="41"/>
      <c r="AE295" s="41"/>
      <c r="AF295" s="41"/>
      <c r="AG295" s="41"/>
      <c r="AH295" s="41"/>
      <c r="AI295" s="41"/>
      <c r="AJ295" s="41"/>
      <c r="AK295" s="41"/>
      <c r="AL295" s="41"/>
      <c r="AM295" s="41"/>
      <c r="AN295" s="41"/>
      <c r="AO295" s="41"/>
      <c r="AP295" s="41"/>
      <c r="AQ295" s="41"/>
      <c r="AR295" s="41"/>
      <c r="AS295" s="41"/>
      <c r="AT295" s="41"/>
      <c r="AU295" s="41"/>
      <c r="AV295" s="41"/>
      <c r="AW295" s="41"/>
      <c r="AX295" s="41"/>
      <c r="AY295" s="41"/>
    </row>
    <row r="296" spans="1:51" ht="12.75" thickBot="1">
      <c r="A296" s="25" t="s">
        <v>406</v>
      </c>
      <c r="B296" s="57" t="s">
        <v>1269</v>
      </c>
      <c r="C296" s="25" t="s">
        <v>428</v>
      </c>
      <c r="D296" s="565">
        <v>230</v>
      </c>
      <c r="E296" s="566"/>
      <c r="F296" s="566"/>
      <c r="G296" s="566"/>
      <c r="H296" s="565">
        <v>24224816</v>
      </c>
      <c r="I296" s="566"/>
      <c r="J296" s="566"/>
      <c r="K296" s="566"/>
      <c r="L296" s="572"/>
      <c r="M296" s="572"/>
      <c r="N296" s="566"/>
      <c r="O296" s="566"/>
      <c r="P296" s="566"/>
      <c r="Q296" s="570">
        <v>76493.56</v>
      </c>
      <c r="R296" s="570">
        <v>76493.56</v>
      </c>
      <c r="S296" s="573"/>
      <c r="T296" s="34"/>
      <c r="X296" s="34"/>
      <c r="Y296" s="34"/>
      <c r="Z296" s="34"/>
      <c r="AA296" s="34"/>
      <c r="AB296" s="34"/>
      <c r="AC296" s="34"/>
    </row>
    <row r="297" spans="1:51" s="41" customFormat="1" ht="12.75" thickBot="1">
      <c r="A297" s="25" t="s">
        <v>406</v>
      </c>
      <c r="B297" s="57" t="s">
        <v>1269</v>
      </c>
      <c r="C297" s="25" t="s">
        <v>429</v>
      </c>
      <c r="D297" s="565">
        <v>21</v>
      </c>
      <c r="E297" s="566"/>
      <c r="F297" s="566"/>
      <c r="G297" s="566"/>
      <c r="H297" s="565">
        <v>1135505</v>
      </c>
      <c r="I297" s="566"/>
      <c r="J297" s="566"/>
      <c r="K297" s="566"/>
      <c r="L297" s="572"/>
      <c r="M297" s="572"/>
      <c r="N297" s="566"/>
      <c r="O297" s="566"/>
      <c r="P297" s="566"/>
      <c r="Q297" s="570">
        <v>4117.66</v>
      </c>
      <c r="R297" s="570">
        <v>4117.66</v>
      </c>
      <c r="S297" s="573"/>
      <c r="T297" s="34"/>
      <c r="U297"/>
      <c r="V297"/>
      <c r="W297"/>
      <c r="X297" s="34"/>
      <c r="Y297" s="34"/>
      <c r="Z297" s="34"/>
      <c r="AA297" s="34"/>
      <c r="AB297" s="34"/>
      <c r="AC297" s="34"/>
      <c r="AD297"/>
      <c r="AE297"/>
      <c r="AF297"/>
      <c r="AG297"/>
      <c r="AH297"/>
      <c r="AI297"/>
      <c r="AJ297"/>
      <c r="AK297"/>
      <c r="AL297"/>
      <c r="AM297"/>
      <c r="AN297"/>
      <c r="AO297"/>
      <c r="AP297"/>
      <c r="AQ297"/>
      <c r="AR297"/>
      <c r="AS297"/>
      <c r="AT297"/>
      <c r="AU297"/>
      <c r="AV297"/>
      <c r="AW297"/>
      <c r="AX297"/>
      <c r="AY297"/>
    </row>
    <row r="298" spans="1:51" s="41" customFormat="1" ht="12.75" thickBot="1">
      <c r="A298" s="25" t="s">
        <v>406</v>
      </c>
      <c r="B298" s="57" t="s">
        <v>1269</v>
      </c>
      <c r="C298" s="25" t="s">
        <v>430</v>
      </c>
      <c r="D298" s="565">
        <v>83</v>
      </c>
      <c r="E298" s="566"/>
      <c r="F298" s="566"/>
      <c r="G298" s="566"/>
      <c r="H298" s="565">
        <v>21604051</v>
      </c>
      <c r="I298" s="570"/>
      <c r="J298" s="570"/>
      <c r="K298" s="570"/>
      <c r="L298" s="566"/>
      <c r="M298" s="566"/>
      <c r="N298" s="570"/>
      <c r="O298" s="570">
        <v>49950.95</v>
      </c>
      <c r="P298" s="570">
        <v>47252.07</v>
      </c>
      <c r="Q298" s="570">
        <v>45996.85</v>
      </c>
      <c r="R298" s="566"/>
      <c r="S298" s="573"/>
      <c r="T298" s="34"/>
      <c r="U298"/>
      <c r="V298"/>
      <c r="W298"/>
      <c r="X298" s="34"/>
      <c r="Y298" s="34"/>
      <c r="Z298" s="34"/>
      <c r="AA298" s="34"/>
      <c r="AB298" s="34"/>
      <c r="AC298" s="34"/>
      <c r="AD298"/>
      <c r="AE298"/>
      <c r="AF298"/>
      <c r="AG298"/>
      <c r="AH298"/>
      <c r="AI298"/>
      <c r="AJ298"/>
      <c r="AK298"/>
      <c r="AL298"/>
      <c r="AM298"/>
      <c r="AN298"/>
      <c r="AO298"/>
      <c r="AP298"/>
      <c r="AQ298"/>
      <c r="AR298"/>
      <c r="AS298"/>
      <c r="AT298"/>
      <c r="AU298"/>
      <c r="AV298"/>
      <c r="AW298"/>
      <c r="AX298"/>
      <c r="AY298"/>
    </row>
    <row r="299" spans="1:51" ht="12.75" thickBot="1">
      <c r="A299" s="25" t="s">
        <v>406</v>
      </c>
      <c r="B299" s="57" t="s">
        <v>1269</v>
      </c>
      <c r="C299" s="25" t="s">
        <v>431</v>
      </c>
      <c r="D299" s="565">
        <v>65</v>
      </c>
      <c r="E299" s="566"/>
      <c r="F299" s="566"/>
      <c r="G299" s="566"/>
      <c r="H299" s="565">
        <v>143186148</v>
      </c>
      <c r="I299" s="570"/>
      <c r="J299" s="570"/>
      <c r="K299" s="570"/>
      <c r="L299" s="572"/>
      <c r="M299" s="566"/>
      <c r="N299" s="566"/>
      <c r="O299" s="570">
        <v>351643.84</v>
      </c>
      <c r="P299" s="570">
        <v>319243.98</v>
      </c>
      <c r="Q299" s="570">
        <v>315003.2</v>
      </c>
      <c r="R299" s="570"/>
      <c r="S299" s="573"/>
      <c r="T299" s="34"/>
      <c r="X299" s="34"/>
      <c r="Y299" s="34"/>
      <c r="Z299" s="34"/>
      <c r="AA299" s="34"/>
      <c r="AB299" s="34"/>
      <c r="AC299" s="34"/>
    </row>
    <row r="300" spans="1:51" ht="12.75" thickBot="1">
      <c r="A300" s="25" t="s">
        <v>406</v>
      </c>
      <c r="B300" s="57" t="s">
        <v>1269</v>
      </c>
      <c r="C300" s="25" t="s">
        <v>433</v>
      </c>
      <c r="D300" s="565"/>
      <c r="E300" s="566"/>
      <c r="F300" s="566"/>
      <c r="G300" s="566"/>
      <c r="H300" s="565"/>
      <c r="I300" s="566"/>
      <c r="J300" s="566"/>
      <c r="K300" s="566"/>
      <c r="L300" s="566"/>
      <c r="M300" s="566"/>
      <c r="N300" s="566"/>
      <c r="O300" s="566"/>
      <c r="P300" s="566"/>
      <c r="Q300" s="566"/>
      <c r="R300" s="566"/>
      <c r="S300" s="567"/>
      <c r="T300" s="34"/>
      <c r="X300" s="34"/>
      <c r="Y300" s="34"/>
      <c r="Z300" s="34"/>
      <c r="AA300" s="34"/>
      <c r="AB300" s="34"/>
      <c r="AC300" s="34"/>
    </row>
    <row r="301" spans="1:51" ht="12.75" thickBot="1">
      <c r="A301" s="25" t="s">
        <v>406</v>
      </c>
      <c r="B301" s="57" t="s">
        <v>1269</v>
      </c>
      <c r="C301" s="25" t="s">
        <v>434</v>
      </c>
      <c r="D301" s="565">
        <v>156</v>
      </c>
      <c r="E301" s="566"/>
      <c r="F301" s="566"/>
      <c r="G301" s="566"/>
      <c r="H301" s="565">
        <v>272078</v>
      </c>
      <c r="I301" s="566"/>
      <c r="J301" s="566"/>
      <c r="K301" s="566"/>
      <c r="L301" s="566"/>
      <c r="M301" s="566"/>
      <c r="N301" s="566"/>
      <c r="O301" s="566"/>
      <c r="P301" s="566"/>
      <c r="Q301" s="566"/>
      <c r="R301" s="566"/>
      <c r="S301" s="567"/>
      <c r="T301" s="34"/>
      <c r="X301" s="34"/>
      <c r="Y301" s="34"/>
      <c r="Z301" s="34"/>
      <c r="AA301" s="34"/>
      <c r="AB301" s="34"/>
      <c r="AC301" s="34"/>
    </row>
    <row r="302" spans="1:51" ht="12.75" thickBot="1">
      <c r="A302" s="25" t="s">
        <v>406</v>
      </c>
      <c r="B302" s="57" t="s">
        <v>1269</v>
      </c>
      <c r="C302" s="25" t="s">
        <v>435</v>
      </c>
      <c r="D302" s="26"/>
      <c r="E302" s="27"/>
      <c r="F302" s="27"/>
      <c r="G302" s="27"/>
      <c r="H302" s="26"/>
      <c r="I302" s="27"/>
      <c r="J302" s="27"/>
      <c r="K302" s="27"/>
      <c r="L302" s="27"/>
      <c r="M302" s="27"/>
      <c r="N302" s="27"/>
      <c r="O302" s="27"/>
      <c r="P302" s="27"/>
      <c r="Q302" s="27"/>
      <c r="R302" s="27"/>
      <c r="S302" s="20"/>
      <c r="T302" s="34"/>
      <c r="X302" s="34"/>
      <c r="Y302" s="34"/>
      <c r="Z302" s="34"/>
      <c r="AA302" s="34"/>
      <c r="AB302" s="34"/>
      <c r="AC302" s="34"/>
    </row>
    <row r="303" spans="1:51" ht="12.75" thickBot="1">
      <c r="A303" s="25" t="s">
        <v>406</v>
      </c>
      <c r="B303" s="57" t="s">
        <v>1269</v>
      </c>
      <c r="C303" s="25" t="s">
        <v>436</v>
      </c>
      <c r="D303" s="565">
        <v>905</v>
      </c>
      <c r="E303" s="566"/>
      <c r="F303" s="566"/>
      <c r="G303" s="566"/>
      <c r="H303" s="565">
        <v>255370</v>
      </c>
      <c r="I303" s="566"/>
      <c r="J303" s="566"/>
      <c r="K303" s="566"/>
      <c r="L303" s="566"/>
      <c r="M303" s="566"/>
      <c r="N303" s="566"/>
      <c r="O303" s="566"/>
      <c r="P303" s="566"/>
      <c r="Q303" s="566"/>
      <c r="R303" s="566"/>
      <c r="S303" s="567"/>
      <c r="T303" s="34"/>
      <c r="X303" s="34"/>
      <c r="Y303" s="34"/>
      <c r="Z303" s="34"/>
      <c r="AA303" s="34"/>
      <c r="AB303" s="34"/>
      <c r="AC303" s="34"/>
    </row>
    <row r="304" spans="1:51" ht="12.75" thickBot="1">
      <c r="A304" s="25" t="s">
        <v>406</v>
      </c>
      <c r="B304" s="57" t="s">
        <v>1269</v>
      </c>
      <c r="C304" s="25" t="s">
        <v>437</v>
      </c>
      <c r="D304" s="26"/>
      <c r="E304" s="27"/>
      <c r="F304" s="27"/>
      <c r="G304" s="27"/>
      <c r="H304" s="26"/>
      <c r="I304" s="27"/>
      <c r="J304" s="27"/>
      <c r="K304" s="27"/>
      <c r="L304" s="27"/>
      <c r="M304" s="27"/>
      <c r="N304" s="27"/>
      <c r="O304" s="27"/>
      <c r="P304" s="27"/>
      <c r="Q304" s="27"/>
      <c r="R304" s="27"/>
      <c r="S304" s="20"/>
      <c r="T304" s="34"/>
      <c r="X304" s="34"/>
      <c r="Y304" s="34"/>
      <c r="Z304" s="34"/>
      <c r="AA304" s="34"/>
      <c r="AB304" s="34"/>
      <c r="AC304" s="34"/>
    </row>
    <row r="305" spans="1:29" ht="12.75" thickBot="1">
      <c r="A305" s="25" t="s">
        <v>406</v>
      </c>
      <c r="B305" s="57" t="s">
        <v>1269</v>
      </c>
      <c r="C305" s="25" t="s">
        <v>438</v>
      </c>
      <c r="D305" s="29"/>
      <c r="E305" s="30"/>
      <c r="F305" s="30"/>
      <c r="G305" s="30"/>
      <c r="H305" s="29"/>
      <c r="I305" s="30"/>
      <c r="J305" s="30"/>
      <c r="K305" s="30"/>
      <c r="L305" s="30"/>
      <c r="M305" s="30"/>
      <c r="N305" s="30"/>
      <c r="O305" s="30"/>
      <c r="P305" s="30"/>
      <c r="Q305" s="30"/>
      <c r="R305" s="30"/>
      <c r="S305" s="19"/>
      <c r="T305" s="34"/>
      <c r="X305" s="34"/>
      <c r="Y305" s="34"/>
      <c r="Z305" s="34"/>
      <c r="AA305" s="34"/>
      <c r="AB305" s="34"/>
      <c r="AC305" s="34"/>
    </row>
    <row r="306" spans="1:29" ht="12.75" thickBot="1">
      <c r="A306" s="25" t="s">
        <v>406</v>
      </c>
      <c r="B306" s="57" t="s">
        <v>1269</v>
      </c>
      <c r="C306" s="25" t="s">
        <v>439</v>
      </c>
      <c r="D306" s="565">
        <v>358331</v>
      </c>
      <c r="E306" s="566"/>
      <c r="F306" s="566"/>
      <c r="G306" s="566"/>
      <c r="H306" s="565">
        <v>443841351</v>
      </c>
      <c r="I306" s="566"/>
      <c r="J306" s="566"/>
      <c r="K306" s="566"/>
      <c r="L306" s="566"/>
      <c r="M306" s="566"/>
      <c r="N306" s="566"/>
      <c r="O306" s="566"/>
      <c r="P306" s="566"/>
      <c r="Q306" s="566"/>
      <c r="R306" s="566"/>
      <c r="S306" s="567"/>
      <c r="T306" s="34"/>
      <c r="X306" s="34"/>
      <c r="Y306" s="34"/>
      <c r="Z306" s="34"/>
      <c r="AA306" s="34"/>
      <c r="AB306" s="34"/>
      <c r="AC306" s="34"/>
    </row>
    <row r="307" spans="1:29" ht="12.75" thickBot="1">
      <c r="A307" s="25" t="s">
        <v>406</v>
      </c>
      <c r="B307" s="57" t="s">
        <v>1269</v>
      </c>
      <c r="C307" s="25" t="s">
        <v>440</v>
      </c>
      <c r="D307" s="29"/>
      <c r="E307" s="30"/>
      <c r="F307" s="30"/>
      <c r="G307" s="30"/>
      <c r="H307" s="29"/>
      <c r="I307" s="30"/>
      <c r="J307" s="30"/>
      <c r="K307" s="30"/>
      <c r="L307" s="30"/>
      <c r="M307" s="30"/>
      <c r="N307" s="30"/>
      <c r="O307" s="30"/>
      <c r="P307" s="30"/>
      <c r="Q307" s="30"/>
      <c r="R307" s="30"/>
      <c r="S307" s="19"/>
      <c r="T307" s="34"/>
      <c r="X307" s="34"/>
      <c r="Y307" s="34"/>
      <c r="Z307" s="34"/>
      <c r="AA307" s="34"/>
      <c r="AB307" s="34"/>
      <c r="AC307" s="34"/>
    </row>
    <row r="308" spans="1:29" ht="12.75" thickBot="1">
      <c r="A308" s="25" t="s">
        <v>406</v>
      </c>
      <c r="B308" s="57" t="s">
        <v>1269</v>
      </c>
      <c r="C308" s="25" t="s">
        <v>441</v>
      </c>
      <c r="D308" s="26"/>
      <c r="E308" s="27"/>
      <c r="F308" s="27"/>
      <c r="G308" s="27"/>
      <c r="H308" s="26"/>
      <c r="I308" s="27"/>
      <c r="J308" s="27"/>
      <c r="K308" s="27"/>
      <c r="L308" s="27"/>
      <c r="M308" s="27"/>
      <c r="N308" s="27"/>
      <c r="O308" s="27"/>
      <c r="P308" s="27"/>
      <c r="Q308" s="27"/>
      <c r="R308" s="27"/>
      <c r="S308" s="20"/>
      <c r="T308" s="34"/>
      <c r="X308" s="34"/>
      <c r="Y308" s="34"/>
      <c r="Z308" s="34"/>
      <c r="AA308" s="34"/>
      <c r="AB308" s="34"/>
      <c r="AC308" s="34"/>
    </row>
    <row r="309" spans="1:29" ht="12.75" thickBot="1">
      <c r="A309" s="25" t="s">
        <v>406</v>
      </c>
      <c r="B309" s="57" t="s">
        <v>1269</v>
      </c>
      <c r="C309" s="25" t="s">
        <v>755</v>
      </c>
      <c r="D309" s="29"/>
      <c r="E309" s="31"/>
      <c r="F309" s="31"/>
      <c r="G309" s="31"/>
      <c r="H309" s="29"/>
      <c r="I309" s="30"/>
      <c r="J309" s="30"/>
      <c r="K309" s="30"/>
      <c r="L309" s="30"/>
      <c r="M309" s="30"/>
      <c r="N309" s="30"/>
      <c r="O309" s="30"/>
      <c r="P309" s="30"/>
      <c r="Q309" s="30"/>
      <c r="R309" s="30"/>
      <c r="S309" s="19"/>
      <c r="T309" s="34"/>
      <c r="X309" s="34"/>
      <c r="Y309" s="34"/>
      <c r="Z309" s="34"/>
      <c r="AA309" s="34"/>
      <c r="AB309" s="34"/>
      <c r="AC309" s="34"/>
    </row>
    <row r="310" spans="1:29" ht="12.75" thickBot="1">
      <c r="A310" s="25" t="s">
        <v>406</v>
      </c>
      <c r="B310" s="57" t="s">
        <v>1269</v>
      </c>
      <c r="C310" s="42" t="s">
        <v>7</v>
      </c>
      <c r="D310" s="43"/>
      <c r="E310" s="44"/>
      <c r="F310" s="44"/>
      <c r="G310" s="44"/>
      <c r="H310" s="43"/>
      <c r="I310" s="60"/>
      <c r="J310" s="60"/>
      <c r="K310" s="60"/>
      <c r="L310" s="44"/>
      <c r="M310" s="44"/>
      <c r="N310" s="60"/>
      <c r="O310" s="60"/>
      <c r="P310" s="60"/>
      <c r="Q310" s="60"/>
      <c r="R310" s="60"/>
      <c r="S310" s="21"/>
      <c r="T310" s="34"/>
      <c r="X310" s="34"/>
      <c r="Y310" s="34"/>
      <c r="Z310" s="34"/>
      <c r="AA310" s="34"/>
      <c r="AB310" s="34"/>
      <c r="AC310" s="34"/>
    </row>
    <row r="311" spans="1:29" ht="23.25" hidden="1" thickBot="1">
      <c r="A311" s="61"/>
      <c r="B311" s="62"/>
      <c r="C311" s="45"/>
      <c r="D311" s="25" t="s">
        <v>1</v>
      </c>
      <c r="E311" s="25" t="s">
        <v>403</v>
      </c>
      <c r="F311" s="25" t="s">
        <v>404</v>
      </c>
      <c r="G311" s="25" t="s">
        <v>405</v>
      </c>
      <c r="H311" s="25" t="s">
        <v>2</v>
      </c>
      <c r="I311" s="25" t="s">
        <v>137</v>
      </c>
      <c r="J311" s="25" t="s">
        <v>138</v>
      </c>
      <c r="K311" s="25" t="s">
        <v>139</v>
      </c>
      <c r="L311" s="25" t="s">
        <v>1033</v>
      </c>
      <c r="M311" s="25" t="s">
        <v>1034</v>
      </c>
      <c r="N311" s="25" t="s">
        <v>1035</v>
      </c>
      <c r="O311" s="25" t="s">
        <v>1036</v>
      </c>
      <c r="P311" s="25" t="s">
        <v>1037</v>
      </c>
      <c r="Q311" s="25" t="s">
        <v>1038</v>
      </c>
      <c r="R311" s="25" t="s">
        <v>1039</v>
      </c>
      <c r="S311" s="16" t="s">
        <v>1219</v>
      </c>
      <c r="T311" s="34"/>
      <c r="X311" s="34"/>
      <c r="Y311" s="34"/>
      <c r="Z311" s="34"/>
      <c r="AA311" s="34"/>
      <c r="AB311" s="34"/>
      <c r="AC311" s="34"/>
    </row>
    <row r="312" spans="1:29" ht="12.75" hidden="1" thickBot="1">
      <c r="A312" s="25" t="s">
        <v>61</v>
      </c>
      <c r="B312" s="25" t="s">
        <v>0</v>
      </c>
      <c r="C312" s="25" t="s">
        <v>4</v>
      </c>
      <c r="D312" s="45"/>
      <c r="E312" s="45" t="s">
        <v>5</v>
      </c>
      <c r="F312" s="45" t="s">
        <v>5</v>
      </c>
      <c r="G312" s="45" t="s">
        <v>5</v>
      </c>
      <c r="H312" s="45" t="s">
        <v>5</v>
      </c>
      <c r="I312" s="45"/>
      <c r="J312" s="45"/>
      <c r="K312" s="45"/>
      <c r="L312" s="45"/>
      <c r="M312" s="45"/>
      <c r="N312" s="45"/>
      <c r="O312" s="46"/>
      <c r="P312" s="45"/>
      <c r="Q312" s="45"/>
      <c r="R312" s="45"/>
      <c r="S312" s="250" t="s">
        <v>6</v>
      </c>
      <c r="T312" s="34"/>
      <c r="X312" s="34"/>
      <c r="Y312" s="34"/>
      <c r="Z312" s="34"/>
      <c r="AA312" s="34"/>
      <c r="AB312" s="34"/>
      <c r="AC312" s="34"/>
    </row>
    <row r="313" spans="1:29" ht="12.75" thickBot="1">
      <c r="A313" s="25" t="s">
        <v>406</v>
      </c>
      <c r="B313" s="57" t="s">
        <v>1270</v>
      </c>
      <c r="C313" s="25" t="s">
        <v>407</v>
      </c>
      <c r="D313" s="26"/>
      <c r="E313" s="27"/>
      <c r="F313" s="27"/>
      <c r="G313" s="27"/>
      <c r="H313" s="26"/>
      <c r="I313" s="27"/>
      <c r="J313" s="27"/>
      <c r="K313" s="27"/>
      <c r="L313" s="27"/>
      <c r="M313" s="27"/>
      <c r="N313" s="27"/>
      <c r="O313" s="27"/>
      <c r="P313" s="27"/>
      <c r="Q313" s="27"/>
      <c r="R313" s="27"/>
      <c r="S313" s="20"/>
      <c r="T313" s="34"/>
      <c r="X313" s="34"/>
      <c r="Y313" s="34"/>
      <c r="Z313" s="34"/>
      <c r="AA313" s="34"/>
      <c r="AB313" s="34"/>
      <c r="AC313" s="34"/>
    </row>
    <row r="314" spans="1:29" ht="12.75" thickBot="1">
      <c r="A314" s="25" t="s">
        <v>406</v>
      </c>
      <c r="B314" s="57" t="s">
        <v>1270</v>
      </c>
      <c r="C314" s="25" t="s">
        <v>409</v>
      </c>
      <c r="D314" s="565">
        <v>28059</v>
      </c>
      <c r="E314" s="566"/>
      <c r="F314" s="566"/>
      <c r="G314" s="566"/>
      <c r="H314" s="565">
        <v>30560254</v>
      </c>
      <c r="I314" s="566"/>
      <c r="J314" s="566"/>
      <c r="K314" s="566"/>
      <c r="L314" s="566"/>
      <c r="M314" s="566"/>
      <c r="N314" s="566"/>
      <c r="O314" s="570"/>
      <c r="P314" s="566"/>
      <c r="Q314" s="570"/>
      <c r="R314" s="570"/>
      <c r="S314" s="567"/>
      <c r="T314" s="34"/>
      <c r="X314" s="34"/>
      <c r="Y314" s="34"/>
      <c r="Z314" s="34"/>
      <c r="AA314" s="34"/>
      <c r="AB314" s="34"/>
      <c r="AC314" s="34"/>
    </row>
    <row r="315" spans="1:29" ht="12.75" thickBot="1">
      <c r="A315" s="25" t="s">
        <v>406</v>
      </c>
      <c r="B315" s="57" t="s">
        <v>1270</v>
      </c>
      <c r="C315" s="25" t="s">
        <v>410</v>
      </c>
      <c r="D315" s="26"/>
      <c r="E315" s="27"/>
      <c r="F315" s="27"/>
      <c r="G315" s="27"/>
      <c r="H315" s="26"/>
      <c r="I315" s="27"/>
      <c r="J315" s="27"/>
      <c r="K315" s="27"/>
      <c r="L315" s="27"/>
      <c r="M315" s="27"/>
      <c r="N315" s="27"/>
      <c r="O315" s="27"/>
      <c r="P315" s="27"/>
      <c r="Q315" s="27"/>
      <c r="R315" s="27"/>
      <c r="S315" s="20"/>
    </row>
    <row r="316" spans="1:29" ht="12.75" thickBot="1">
      <c r="A316" s="25" t="s">
        <v>406</v>
      </c>
      <c r="B316" s="57" t="s">
        <v>1270</v>
      </c>
      <c r="C316" s="25" t="s">
        <v>411</v>
      </c>
      <c r="D316" s="29"/>
      <c r="E316" s="30"/>
      <c r="F316" s="30"/>
      <c r="G316" s="30"/>
      <c r="H316" s="29"/>
      <c r="I316" s="30"/>
      <c r="J316" s="30"/>
      <c r="K316" s="30"/>
      <c r="L316" s="30"/>
      <c r="M316" s="30"/>
      <c r="N316" s="30"/>
      <c r="O316" s="56"/>
      <c r="P316" s="30"/>
      <c r="Q316" s="56"/>
      <c r="R316" s="56"/>
      <c r="S316" s="19"/>
    </row>
    <row r="317" spans="1:29" ht="12.75" thickBot="1">
      <c r="A317" s="25" t="s">
        <v>406</v>
      </c>
      <c r="B317" s="57" t="s">
        <v>1270</v>
      </c>
      <c r="C317" s="25" t="s">
        <v>413</v>
      </c>
      <c r="D317" s="26"/>
      <c r="E317" s="27"/>
      <c r="F317" s="27"/>
      <c r="G317" s="27"/>
      <c r="H317" s="26"/>
      <c r="I317" s="27"/>
      <c r="J317" s="27"/>
      <c r="K317" s="27"/>
      <c r="L317" s="27"/>
      <c r="M317" s="27"/>
      <c r="N317" s="27"/>
      <c r="O317" s="27"/>
      <c r="P317" s="27"/>
      <c r="Q317" s="27"/>
      <c r="R317" s="27"/>
      <c r="S317" s="20"/>
    </row>
    <row r="318" spans="1:29" ht="12.75" thickBot="1">
      <c r="A318" s="25" t="s">
        <v>406</v>
      </c>
      <c r="B318" s="57" t="s">
        <v>1270</v>
      </c>
      <c r="C318" s="25" t="s">
        <v>414</v>
      </c>
      <c r="D318" s="565">
        <v>2573</v>
      </c>
      <c r="E318" s="566"/>
      <c r="F318" s="566"/>
      <c r="G318" s="566"/>
      <c r="H318" s="565">
        <v>142980406</v>
      </c>
      <c r="I318" s="570"/>
      <c r="J318" s="566"/>
      <c r="K318" s="566"/>
      <c r="L318" s="572"/>
      <c r="M318" s="572"/>
      <c r="N318" s="566"/>
      <c r="O318" s="566"/>
      <c r="P318" s="570">
        <v>355039.45</v>
      </c>
      <c r="Q318" s="570"/>
      <c r="R318" s="570">
        <v>355039.45</v>
      </c>
      <c r="S318" s="573"/>
    </row>
    <row r="319" spans="1:29" ht="12.75" thickBot="1">
      <c r="A319" s="25" t="s">
        <v>406</v>
      </c>
      <c r="B319" s="57" t="s">
        <v>1270</v>
      </c>
      <c r="C319" s="25" t="s">
        <v>415</v>
      </c>
      <c r="D319" s="565">
        <v>52</v>
      </c>
      <c r="E319" s="566"/>
      <c r="F319" s="566"/>
      <c r="G319" s="566"/>
      <c r="H319" s="565">
        <v>12570706</v>
      </c>
      <c r="I319" s="566"/>
      <c r="J319" s="566"/>
      <c r="K319" s="566"/>
      <c r="L319" s="572"/>
      <c r="M319" s="572"/>
      <c r="N319" s="566"/>
      <c r="O319" s="566"/>
      <c r="P319" s="570">
        <v>30506.65</v>
      </c>
      <c r="Q319" s="570"/>
      <c r="R319" s="570">
        <v>30506.65</v>
      </c>
      <c r="S319" s="573"/>
    </row>
    <row r="320" spans="1:29" ht="12.75" thickBot="1">
      <c r="A320" s="25" t="s">
        <v>406</v>
      </c>
      <c r="B320" s="57" t="s">
        <v>1270</v>
      </c>
      <c r="C320" s="25" t="s">
        <v>416</v>
      </c>
      <c r="D320" s="29"/>
      <c r="E320" s="30"/>
      <c r="F320" s="30"/>
      <c r="G320" s="30"/>
      <c r="H320" s="29"/>
      <c r="I320" s="30"/>
      <c r="J320" s="30"/>
      <c r="K320" s="30"/>
      <c r="L320" s="31"/>
      <c r="M320" s="31"/>
      <c r="N320" s="30"/>
      <c r="O320" s="30"/>
      <c r="P320" s="56"/>
      <c r="Q320" s="56"/>
      <c r="R320" s="56"/>
      <c r="S320" s="18"/>
    </row>
    <row r="321" spans="1:26" ht="12.75" thickBot="1">
      <c r="A321" s="25" t="s">
        <v>406</v>
      </c>
      <c r="B321" s="57" t="s">
        <v>1270</v>
      </c>
      <c r="C321" s="25" t="s">
        <v>417</v>
      </c>
      <c r="D321" s="565">
        <v>207</v>
      </c>
      <c r="E321" s="566"/>
      <c r="F321" s="566"/>
      <c r="G321" s="566"/>
      <c r="H321" s="565">
        <v>60450509</v>
      </c>
      <c r="I321" s="570"/>
      <c r="J321" s="570"/>
      <c r="K321" s="570"/>
      <c r="L321" s="566"/>
      <c r="M321" s="566"/>
      <c r="N321" s="570"/>
      <c r="O321" s="570">
        <v>132961.79999999999</v>
      </c>
      <c r="P321" s="570">
        <v>128592.73</v>
      </c>
      <c r="Q321" s="570">
        <v>126755.12</v>
      </c>
      <c r="R321" s="566"/>
      <c r="S321" s="573"/>
    </row>
    <row r="322" spans="1:26" ht="12.75" thickBot="1">
      <c r="A322" s="25" t="s">
        <v>406</v>
      </c>
      <c r="B322" s="57" t="s">
        <v>1270</v>
      </c>
      <c r="C322" s="25" t="s">
        <v>418</v>
      </c>
      <c r="D322" s="565">
        <v>35</v>
      </c>
      <c r="E322" s="566"/>
      <c r="F322" s="566"/>
      <c r="G322" s="566"/>
      <c r="H322" s="565">
        <v>31311359</v>
      </c>
      <c r="I322" s="570"/>
      <c r="J322" s="570"/>
      <c r="K322" s="570"/>
      <c r="L322" s="566"/>
      <c r="M322" s="566"/>
      <c r="N322" s="566"/>
      <c r="O322" s="570">
        <v>74978.64</v>
      </c>
      <c r="P322" s="570">
        <v>72101.52</v>
      </c>
      <c r="Q322" s="570">
        <v>71079.070000000007</v>
      </c>
      <c r="R322" s="566"/>
      <c r="S322" s="567"/>
    </row>
    <row r="323" spans="1:26" ht="12.75" thickBot="1">
      <c r="A323" s="25" t="s">
        <v>406</v>
      </c>
      <c r="B323" s="57" t="s">
        <v>1270</v>
      </c>
      <c r="C323" s="25" t="s">
        <v>420</v>
      </c>
      <c r="D323" s="565">
        <v>16292</v>
      </c>
      <c r="E323" s="566"/>
      <c r="F323" s="566"/>
      <c r="G323" s="566"/>
      <c r="H323" s="565">
        <v>77924991</v>
      </c>
      <c r="I323" s="566"/>
      <c r="J323" s="566"/>
      <c r="K323" s="566"/>
      <c r="L323" s="566"/>
      <c r="M323" s="566"/>
      <c r="N323" s="566"/>
      <c r="O323" s="570">
        <v>215413.13</v>
      </c>
      <c r="P323" s="570"/>
      <c r="Q323" s="570"/>
      <c r="R323" s="570">
        <v>215413.13</v>
      </c>
      <c r="S323" s="567"/>
    </row>
    <row r="324" spans="1:26" ht="12.75" thickBot="1">
      <c r="A324" s="25" t="s">
        <v>406</v>
      </c>
      <c r="B324" s="57" t="s">
        <v>1270</v>
      </c>
      <c r="C324" s="25" t="s">
        <v>421</v>
      </c>
      <c r="D324" s="29"/>
      <c r="E324" s="30"/>
      <c r="F324" s="30"/>
      <c r="G324" s="30"/>
      <c r="H324" s="29"/>
      <c r="I324" s="30"/>
      <c r="J324" s="30"/>
      <c r="K324" s="30"/>
      <c r="L324" s="30"/>
      <c r="M324" s="30"/>
      <c r="N324" s="30"/>
      <c r="O324" s="56"/>
      <c r="P324" s="56"/>
      <c r="Q324" s="56"/>
      <c r="R324" s="56"/>
      <c r="S324" s="19"/>
    </row>
    <row r="325" spans="1:26" ht="12.75" thickBot="1">
      <c r="A325" s="25" t="s">
        <v>406</v>
      </c>
      <c r="B325" s="57" t="s">
        <v>1270</v>
      </c>
      <c r="C325" s="25" t="s">
        <v>423</v>
      </c>
      <c r="D325" s="26"/>
      <c r="E325" s="27"/>
      <c r="F325" s="27"/>
      <c r="G325" s="27"/>
      <c r="H325" s="26"/>
      <c r="I325" s="27"/>
      <c r="J325" s="27"/>
      <c r="K325" s="27"/>
      <c r="L325" s="27"/>
      <c r="M325" s="27"/>
      <c r="N325" s="27"/>
      <c r="O325" s="55"/>
      <c r="P325" s="55"/>
      <c r="Q325" s="55"/>
      <c r="R325" s="55"/>
      <c r="S325" s="20"/>
    </row>
    <row r="326" spans="1:26" ht="12.75" thickBot="1">
      <c r="A326" s="25" t="s">
        <v>406</v>
      </c>
      <c r="B326" s="57" t="s">
        <v>1270</v>
      </c>
      <c r="C326" s="25" t="s">
        <v>424</v>
      </c>
      <c r="D326" s="565">
        <v>2</v>
      </c>
      <c r="E326" s="566"/>
      <c r="F326" s="566"/>
      <c r="G326" s="566"/>
      <c r="H326" s="565">
        <v>4450800</v>
      </c>
      <c r="I326" s="566"/>
      <c r="J326" s="566"/>
      <c r="K326" s="566"/>
      <c r="L326" s="572"/>
      <c r="M326" s="566"/>
      <c r="N326" s="566"/>
      <c r="O326" s="566"/>
      <c r="P326" s="570">
        <v>9450</v>
      </c>
      <c r="Q326" s="570"/>
      <c r="R326" s="570">
        <v>9450</v>
      </c>
      <c r="S326" s="567"/>
    </row>
    <row r="327" spans="1:26" ht="12.75" thickBot="1">
      <c r="A327" s="25" t="s">
        <v>406</v>
      </c>
      <c r="B327" s="57" t="s">
        <v>1270</v>
      </c>
      <c r="C327" s="25" t="s">
        <v>1204</v>
      </c>
      <c r="D327" s="26"/>
      <c r="E327" s="27"/>
      <c r="F327" s="27"/>
      <c r="G327" s="27"/>
      <c r="H327" s="27"/>
      <c r="I327" s="27"/>
      <c r="J327" s="27"/>
      <c r="K327" s="27"/>
      <c r="L327" s="27"/>
      <c r="M327" s="27"/>
      <c r="N327" s="27"/>
      <c r="O327" s="27"/>
      <c r="P327" s="27"/>
      <c r="Q327" s="27"/>
      <c r="R327" s="27"/>
      <c r="S327" s="20"/>
    </row>
    <row r="328" spans="1:26" ht="12.75" thickBot="1">
      <c r="A328" s="25" t="s">
        <v>406</v>
      </c>
      <c r="B328" s="57" t="s">
        <v>1270</v>
      </c>
      <c r="C328" s="25" t="s">
        <v>425</v>
      </c>
      <c r="D328" s="29"/>
      <c r="E328" s="30"/>
      <c r="F328" s="30"/>
      <c r="G328" s="30"/>
      <c r="H328" s="30"/>
      <c r="I328" s="30"/>
      <c r="J328" s="30"/>
      <c r="K328" s="30"/>
      <c r="L328" s="30"/>
      <c r="M328" s="30"/>
      <c r="N328" s="30"/>
      <c r="O328" s="30"/>
      <c r="P328" s="30"/>
      <c r="Q328" s="30"/>
      <c r="R328" s="30"/>
      <c r="S328" s="19"/>
    </row>
    <row r="329" spans="1:26" ht="12.75" thickBot="1">
      <c r="A329" s="25" t="s">
        <v>406</v>
      </c>
      <c r="B329" s="57" t="s">
        <v>1270</v>
      </c>
      <c r="C329" s="25" t="s">
        <v>426</v>
      </c>
      <c r="D329" s="565">
        <v>1</v>
      </c>
      <c r="E329" s="566"/>
      <c r="F329" s="566"/>
      <c r="G329" s="566"/>
      <c r="H329" s="565">
        <v>8804400</v>
      </c>
      <c r="I329" s="570"/>
      <c r="J329" s="566"/>
      <c r="K329" s="566"/>
      <c r="L329" s="572"/>
      <c r="M329" s="566"/>
      <c r="N329" s="566"/>
      <c r="O329" s="566"/>
      <c r="P329" s="570">
        <v>13032</v>
      </c>
      <c r="Q329" s="570"/>
      <c r="R329" s="570">
        <v>13032</v>
      </c>
      <c r="S329" s="573"/>
      <c r="U329" s="700">
        <v>0.9667</v>
      </c>
      <c r="V329">
        <v>-6.4000000000000001E-2</v>
      </c>
      <c r="W329">
        <v>462457.08</v>
      </c>
      <c r="X329" t="s">
        <v>1323</v>
      </c>
      <c r="Y329">
        <f>V329*W329</f>
        <v>-29597.253120000001</v>
      </c>
      <c r="Z329" s="6">
        <v>41548</v>
      </c>
    </row>
    <row r="330" spans="1:26" ht="12.75" thickBot="1">
      <c r="A330" s="25" t="s">
        <v>406</v>
      </c>
      <c r="B330" s="57" t="s">
        <v>1270</v>
      </c>
      <c r="C330" s="25" t="s">
        <v>427</v>
      </c>
      <c r="D330" s="565">
        <v>12</v>
      </c>
      <c r="E330" s="566"/>
      <c r="F330" s="566"/>
      <c r="G330" s="566"/>
      <c r="H330" s="565">
        <v>69246739</v>
      </c>
      <c r="I330" s="570"/>
      <c r="J330" s="570"/>
      <c r="K330" s="570"/>
      <c r="L330" s="566"/>
      <c r="M330" s="566"/>
      <c r="N330" s="566"/>
      <c r="O330" s="570">
        <v>159628.04999999999</v>
      </c>
      <c r="P330" s="570">
        <v>153595.60999999999</v>
      </c>
      <c r="Q330" s="570">
        <v>91413.63</v>
      </c>
      <c r="R330" s="566"/>
      <c r="S330" s="567"/>
    </row>
    <row r="331" spans="1:26" ht="12.75" thickBot="1">
      <c r="A331" s="25" t="s">
        <v>406</v>
      </c>
      <c r="B331" s="57" t="s">
        <v>1270</v>
      </c>
      <c r="C331" s="25" t="s">
        <v>428</v>
      </c>
      <c r="D331" s="565">
        <v>229</v>
      </c>
      <c r="E331" s="566"/>
      <c r="F331" s="566"/>
      <c r="G331" s="566"/>
      <c r="H331" s="565">
        <v>21421688</v>
      </c>
      <c r="I331" s="570"/>
      <c r="J331" s="566"/>
      <c r="K331" s="566"/>
      <c r="L331" s="572"/>
      <c r="M331" s="572"/>
      <c r="N331" s="566"/>
      <c r="O331" s="566"/>
      <c r="P331" s="570">
        <v>67270.850000000006</v>
      </c>
      <c r="Q331" s="570"/>
      <c r="R331" s="570">
        <v>67270.850000000006</v>
      </c>
      <c r="S331" s="573"/>
    </row>
    <row r="332" spans="1:26" ht="12.75" thickBot="1">
      <c r="A332" s="25" t="s">
        <v>406</v>
      </c>
      <c r="B332" s="57" t="s">
        <v>1270</v>
      </c>
      <c r="C332" s="25" t="s">
        <v>429</v>
      </c>
      <c r="D332" s="565">
        <v>21</v>
      </c>
      <c r="E332" s="566"/>
      <c r="F332" s="566"/>
      <c r="G332" s="566"/>
      <c r="H332" s="565">
        <v>1036606</v>
      </c>
      <c r="I332" s="566"/>
      <c r="J332" s="566"/>
      <c r="K332" s="566"/>
      <c r="L332" s="572"/>
      <c r="M332" s="572"/>
      <c r="N332" s="566"/>
      <c r="O332" s="566"/>
      <c r="P332" s="570">
        <v>3759.02</v>
      </c>
      <c r="Q332" s="570"/>
      <c r="R332" s="570">
        <v>3759.02</v>
      </c>
      <c r="S332" s="573"/>
    </row>
    <row r="333" spans="1:26" ht="12.75" thickBot="1">
      <c r="A333" s="25" t="s">
        <v>406</v>
      </c>
      <c r="B333" s="57" t="s">
        <v>1270</v>
      </c>
      <c r="C333" s="25" t="s">
        <v>430</v>
      </c>
      <c r="D333" s="565">
        <v>84</v>
      </c>
      <c r="E333" s="566"/>
      <c r="F333" s="566"/>
      <c r="G333" s="566"/>
      <c r="H333" s="565">
        <v>19113805</v>
      </c>
      <c r="I333" s="570"/>
      <c r="J333" s="570"/>
      <c r="K333" s="570"/>
      <c r="L333" s="566"/>
      <c r="M333" s="566"/>
      <c r="N333" s="570"/>
      <c r="O333" s="570">
        <v>47639.19</v>
      </c>
      <c r="P333" s="570">
        <v>43831.32</v>
      </c>
      <c r="Q333" s="570">
        <v>42883.64</v>
      </c>
      <c r="R333" s="566"/>
      <c r="S333" s="573"/>
    </row>
    <row r="334" spans="1:26" ht="12.75" thickBot="1">
      <c r="A334" s="25" t="s">
        <v>406</v>
      </c>
      <c r="B334" s="57" t="s">
        <v>1270</v>
      </c>
      <c r="C334" s="25" t="s">
        <v>431</v>
      </c>
      <c r="D334" s="565">
        <v>65</v>
      </c>
      <c r="E334" s="566"/>
      <c r="F334" s="566"/>
      <c r="G334" s="566"/>
      <c r="H334" s="565">
        <v>130715093</v>
      </c>
      <c r="I334" s="570"/>
      <c r="J334" s="570"/>
      <c r="K334" s="570"/>
      <c r="L334" s="566"/>
      <c r="M334" s="566"/>
      <c r="N334" s="566"/>
      <c r="O334" s="570">
        <v>321016.78000000003</v>
      </c>
      <c r="P334" s="570">
        <v>291438.84999999998</v>
      </c>
      <c r="Q334" s="570">
        <v>287567.43</v>
      </c>
      <c r="R334" s="566"/>
      <c r="S334" s="567"/>
    </row>
    <row r="335" spans="1:26" ht="12.75" thickBot="1">
      <c r="A335" s="25" t="s">
        <v>406</v>
      </c>
      <c r="B335" s="57" t="s">
        <v>1270</v>
      </c>
      <c r="C335" s="25" t="s">
        <v>433</v>
      </c>
      <c r="D335" s="565"/>
      <c r="E335" s="566"/>
      <c r="F335" s="566"/>
      <c r="G335" s="566"/>
      <c r="H335" s="565"/>
      <c r="I335" s="566"/>
      <c r="J335" s="566"/>
      <c r="K335" s="566"/>
      <c r="L335" s="566"/>
      <c r="M335" s="566"/>
      <c r="N335" s="566"/>
      <c r="O335" s="566"/>
      <c r="P335" s="566"/>
      <c r="Q335" s="566"/>
      <c r="R335" s="566"/>
      <c r="S335" s="567"/>
    </row>
    <row r="336" spans="1:26" ht="12.75" thickBot="1">
      <c r="A336" s="25" t="s">
        <v>406</v>
      </c>
      <c r="B336" s="57" t="s">
        <v>1270</v>
      </c>
      <c r="C336" s="25" t="s">
        <v>434</v>
      </c>
      <c r="D336" s="565">
        <v>156</v>
      </c>
      <c r="E336" s="566"/>
      <c r="F336" s="566"/>
      <c r="G336" s="566"/>
      <c r="H336" s="565">
        <v>280619</v>
      </c>
      <c r="I336" s="566"/>
      <c r="J336" s="566"/>
      <c r="K336" s="566"/>
      <c r="L336" s="566"/>
      <c r="M336" s="566"/>
      <c r="N336" s="566"/>
      <c r="O336" s="566"/>
      <c r="P336" s="566"/>
      <c r="Q336" s="566"/>
      <c r="R336" s="566"/>
      <c r="S336" s="567"/>
    </row>
    <row r="337" spans="1:19" ht="12.75" thickBot="1">
      <c r="A337" s="25" t="s">
        <v>406</v>
      </c>
      <c r="B337" s="57" t="s">
        <v>1270</v>
      </c>
      <c r="C337" s="25" t="s">
        <v>435</v>
      </c>
      <c r="D337" s="26"/>
      <c r="E337" s="27"/>
      <c r="F337" s="27"/>
      <c r="G337" s="27"/>
      <c r="H337" s="26"/>
      <c r="I337" s="27"/>
      <c r="J337" s="27"/>
      <c r="K337" s="27"/>
      <c r="L337" s="27"/>
      <c r="M337" s="27"/>
      <c r="N337" s="27"/>
      <c r="O337" s="27"/>
      <c r="P337" s="27"/>
      <c r="Q337" s="27"/>
      <c r="R337" s="27"/>
      <c r="S337" s="20"/>
    </row>
    <row r="338" spans="1:19" ht="12.75" thickBot="1">
      <c r="A338" s="25" t="s">
        <v>406</v>
      </c>
      <c r="B338" s="57" t="s">
        <v>1270</v>
      </c>
      <c r="C338" s="25" t="s">
        <v>436</v>
      </c>
      <c r="D338" s="565">
        <v>905</v>
      </c>
      <c r="E338" s="566"/>
      <c r="F338" s="566"/>
      <c r="G338" s="566"/>
      <c r="H338" s="565">
        <v>257054</v>
      </c>
      <c r="I338" s="566"/>
      <c r="J338" s="566"/>
      <c r="K338" s="566"/>
      <c r="L338" s="566"/>
      <c r="M338" s="566"/>
      <c r="N338" s="566"/>
      <c r="O338" s="566"/>
      <c r="P338" s="566"/>
      <c r="Q338" s="566"/>
      <c r="R338" s="566"/>
      <c r="S338" s="567"/>
    </row>
    <row r="339" spans="1:19" ht="12.75" thickBot="1">
      <c r="A339" s="25" t="s">
        <v>406</v>
      </c>
      <c r="B339" s="57" t="s">
        <v>1270</v>
      </c>
      <c r="C339" s="25" t="s">
        <v>437</v>
      </c>
      <c r="D339" s="26"/>
      <c r="E339" s="27"/>
      <c r="F339" s="27"/>
      <c r="G339" s="27"/>
      <c r="H339" s="26"/>
      <c r="I339" s="27"/>
      <c r="J339" s="27"/>
      <c r="K339" s="27"/>
      <c r="L339" s="27"/>
      <c r="M339" s="27"/>
      <c r="N339" s="27"/>
      <c r="O339" s="27"/>
      <c r="P339" s="27"/>
      <c r="Q339" s="27"/>
      <c r="R339" s="27"/>
      <c r="S339" s="20"/>
    </row>
    <row r="340" spans="1:19" ht="12.75" thickBot="1">
      <c r="A340" s="25" t="s">
        <v>406</v>
      </c>
      <c r="B340" s="57" t="s">
        <v>1270</v>
      </c>
      <c r="C340" s="25" t="s">
        <v>438</v>
      </c>
      <c r="D340" s="29"/>
      <c r="E340" s="30"/>
      <c r="F340" s="30"/>
      <c r="G340" s="30"/>
      <c r="H340" s="29"/>
      <c r="I340" s="30"/>
      <c r="J340" s="30"/>
      <c r="K340" s="30"/>
      <c r="L340" s="30"/>
      <c r="M340" s="30"/>
      <c r="N340" s="30"/>
      <c r="O340" s="30"/>
      <c r="P340" s="30"/>
      <c r="Q340" s="30"/>
      <c r="R340" s="30"/>
      <c r="S340" s="19"/>
    </row>
    <row r="341" spans="1:19" ht="12.75" thickBot="1">
      <c r="A341" s="25" t="s">
        <v>406</v>
      </c>
      <c r="B341" s="57" t="s">
        <v>1270</v>
      </c>
      <c r="C341" s="25" t="s">
        <v>439</v>
      </c>
      <c r="D341" s="565">
        <v>358537</v>
      </c>
      <c r="E341" s="566"/>
      <c r="F341" s="566"/>
      <c r="G341" s="566"/>
      <c r="H341" s="565">
        <v>278535029</v>
      </c>
      <c r="I341" s="566"/>
      <c r="J341" s="566"/>
      <c r="K341" s="566"/>
      <c r="L341" s="566"/>
      <c r="M341" s="566"/>
      <c r="N341" s="566"/>
      <c r="O341" s="566"/>
      <c r="P341" s="566"/>
      <c r="Q341" s="566"/>
      <c r="R341" s="566"/>
      <c r="S341" s="567"/>
    </row>
    <row r="342" spans="1:19" ht="12.75" thickBot="1">
      <c r="A342" s="25" t="s">
        <v>406</v>
      </c>
      <c r="B342" s="57" t="s">
        <v>1270</v>
      </c>
      <c r="C342" s="25" t="s">
        <v>440</v>
      </c>
      <c r="D342" s="29"/>
      <c r="E342" s="30"/>
      <c r="F342" s="30"/>
      <c r="G342" s="30"/>
      <c r="H342" s="29"/>
      <c r="I342" s="30"/>
      <c r="J342" s="30"/>
      <c r="K342" s="30"/>
      <c r="L342" s="30"/>
      <c r="M342" s="30"/>
      <c r="N342" s="30"/>
      <c r="O342" s="30"/>
      <c r="P342" s="30"/>
      <c r="Q342" s="30"/>
      <c r="R342" s="30"/>
      <c r="S342" s="19"/>
    </row>
    <row r="343" spans="1:19" ht="12.75" thickBot="1">
      <c r="A343" s="25" t="s">
        <v>406</v>
      </c>
      <c r="B343" s="57" t="s">
        <v>1270</v>
      </c>
      <c r="C343" s="25" t="s">
        <v>441</v>
      </c>
      <c r="D343" s="26"/>
      <c r="E343" s="27"/>
      <c r="F343" s="27"/>
      <c r="G343" s="27"/>
      <c r="H343" s="26"/>
      <c r="I343" s="27"/>
      <c r="J343" s="27"/>
      <c r="K343" s="27"/>
      <c r="L343" s="27"/>
      <c r="M343" s="27"/>
      <c r="N343" s="27"/>
      <c r="O343" s="27"/>
      <c r="P343" s="27"/>
      <c r="Q343" s="27"/>
      <c r="R343" s="27"/>
      <c r="S343" s="20"/>
    </row>
    <row r="344" spans="1:19" ht="12.75" thickBot="1">
      <c r="A344" s="25" t="s">
        <v>406</v>
      </c>
      <c r="B344" s="57" t="s">
        <v>1270</v>
      </c>
      <c r="C344" s="25" t="s">
        <v>755</v>
      </c>
      <c r="D344" s="29"/>
      <c r="E344" s="31"/>
      <c r="F344" s="31"/>
      <c r="G344" s="31"/>
      <c r="H344" s="29"/>
      <c r="I344" s="30"/>
      <c r="J344" s="30"/>
      <c r="K344" s="30"/>
      <c r="L344" s="30"/>
      <c r="M344" s="30"/>
      <c r="N344" s="30"/>
      <c r="O344" s="30"/>
      <c r="P344" s="30"/>
      <c r="Q344" s="30"/>
      <c r="R344" s="30"/>
      <c r="S344" s="19"/>
    </row>
    <row r="345" spans="1:19" ht="12.75" thickBot="1">
      <c r="A345" s="25" t="s">
        <v>406</v>
      </c>
      <c r="B345" s="57" t="s">
        <v>1270</v>
      </c>
      <c r="C345" s="25" t="s">
        <v>1208</v>
      </c>
      <c r="D345" s="26"/>
      <c r="E345" s="28"/>
      <c r="F345" s="28"/>
      <c r="G345" s="28"/>
      <c r="H345" s="26"/>
      <c r="I345" s="27"/>
      <c r="J345" s="27"/>
      <c r="K345" s="27"/>
      <c r="L345" s="27"/>
      <c r="M345" s="27"/>
      <c r="N345" s="27"/>
      <c r="O345" s="27"/>
      <c r="P345" s="27"/>
      <c r="Q345" s="27"/>
      <c r="R345" s="27"/>
      <c r="S345" s="20"/>
    </row>
    <row r="346" spans="1:19" ht="12.75" thickBot="1">
      <c r="A346" s="25" t="s">
        <v>406</v>
      </c>
      <c r="B346" s="57" t="s">
        <v>1270</v>
      </c>
      <c r="C346" s="42" t="s">
        <v>7</v>
      </c>
      <c r="D346" s="43"/>
      <c r="E346" s="44"/>
      <c r="F346" s="44"/>
      <c r="G346" s="44"/>
      <c r="H346" s="43"/>
      <c r="I346" s="60"/>
      <c r="J346" s="60"/>
      <c r="K346" s="60"/>
      <c r="L346" s="44"/>
      <c r="M346" s="44"/>
      <c r="N346" s="60"/>
      <c r="O346" s="246"/>
      <c r="P346" s="60"/>
      <c r="Q346" s="60"/>
      <c r="R346" s="60"/>
      <c r="S346" s="21"/>
    </row>
    <row r="347" spans="1:19" s="41" customFormat="1" ht="23.25" hidden="1" thickBot="1">
      <c r="A347" s="61"/>
      <c r="B347" s="62"/>
      <c r="C347" s="45"/>
      <c r="D347" s="25" t="s">
        <v>1</v>
      </c>
      <c r="E347" s="25" t="s">
        <v>403</v>
      </c>
      <c r="F347" s="25" t="s">
        <v>404</v>
      </c>
      <c r="G347" s="25" t="s">
        <v>405</v>
      </c>
      <c r="H347" s="25" t="s">
        <v>2</v>
      </c>
      <c r="I347" s="25" t="s">
        <v>137</v>
      </c>
      <c r="J347" s="25" t="s">
        <v>138</v>
      </c>
      <c r="K347" s="25" t="s">
        <v>139</v>
      </c>
      <c r="L347" s="25" t="s">
        <v>1033</v>
      </c>
      <c r="M347" s="25" t="s">
        <v>1034</v>
      </c>
      <c r="N347" s="25" t="s">
        <v>1035</v>
      </c>
      <c r="O347" s="25" t="s">
        <v>1036</v>
      </c>
      <c r="P347" s="25" t="s">
        <v>1037</v>
      </c>
      <c r="Q347" s="25" t="s">
        <v>1038</v>
      </c>
      <c r="R347" s="25" t="s">
        <v>1039</v>
      </c>
      <c r="S347" s="16" t="s">
        <v>1219</v>
      </c>
    </row>
    <row r="348" spans="1:19" s="41" customFormat="1" ht="12.75" hidden="1" thickBot="1">
      <c r="A348" s="25" t="s">
        <v>61</v>
      </c>
      <c r="B348" s="25" t="s">
        <v>0</v>
      </c>
      <c r="C348" s="25" t="s">
        <v>4</v>
      </c>
      <c r="D348" s="45"/>
      <c r="E348" s="45" t="s">
        <v>5</v>
      </c>
      <c r="F348" s="45" t="s">
        <v>5</v>
      </c>
      <c r="G348" s="45" t="s">
        <v>5</v>
      </c>
      <c r="H348" s="45" t="s">
        <v>5</v>
      </c>
      <c r="I348" s="45"/>
      <c r="J348" s="45"/>
      <c r="K348" s="45"/>
      <c r="L348" s="45"/>
      <c r="M348" s="45"/>
      <c r="N348" s="45"/>
      <c r="O348" s="46"/>
      <c r="P348" s="45"/>
      <c r="Q348" s="45"/>
      <c r="R348" s="45"/>
      <c r="S348" s="250" t="s">
        <v>6</v>
      </c>
    </row>
    <row r="349" spans="1:19" ht="12.75" thickBot="1">
      <c r="A349" s="16" t="s">
        <v>406</v>
      </c>
      <c r="B349" s="569" t="s">
        <v>1271</v>
      </c>
      <c r="C349" s="16" t="s">
        <v>407</v>
      </c>
      <c r="D349" s="77"/>
      <c r="E349" s="20"/>
      <c r="F349" s="20"/>
      <c r="G349" s="20"/>
      <c r="H349" s="77"/>
      <c r="I349" s="20"/>
      <c r="J349" s="20"/>
      <c r="K349" s="20"/>
      <c r="L349" s="20"/>
      <c r="M349" s="20"/>
      <c r="N349" s="20"/>
      <c r="O349" s="20"/>
      <c r="P349" s="20"/>
      <c r="Q349" s="20"/>
      <c r="R349" s="20"/>
      <c r="S349" s="20"/>
    </row>
    <row r="350" spans="1:19" ht="12.75" thickBot="1">
      <c r="A350" s="16" t="s">
        <v>406</v>
      </c>
      <c r="B350" s="569" t="s">
        <v>1271</v>
      </c>
      <c r="C350" s="16" t="s">
        <v>409</v>
      </c>
      <c r="D350" s="568">
        <v>28070</v>
      </c>
      <c r="E350" s="567"/>
      <c r="F350" s="567"/>
      <c r="G350" s="567"/>
      <c r="H350" s="568">
        <v>28603574</v>
      </c>
      <c r="I350" s="567"/>
      <c r="J350" s="567"/>
      <c r="K350" s="567"/>
      <c r="L350" s="567"/>
      <c r="M350" s="567"/>
      <c r="N350" s="567"/>
      <c r="O350" s="571"/>
      <c r="P350" s="571"/>
      <c r="Q350" s="571"/>
      <c r="R350" s="571"/>
      <c r="S350" s="567"/>
    </row>
    <row r="351" spans="1:19" ht="12.75" thickBot="1">
      <c r="A351" s="16" t="s">
        <v>406</v>
      </c>
      <c r="B351" s="569" t="s">
        <v>1271</v>
      </c>
      <c r="C351" s="16" t="s">
        <v>410</v>
      </c>
      <c r="D351" s="77"/>
      <c r="E351" s="20"/>
      <c r="F351" s="20"/>
      <c r="G351" s="20"/>
      <c r="H351" s="77"/>
      <c r="I351" s="20"/>
      <c r="J351" s="20"/>
      <c r="K351" s="20"/>
      <c r="L351" s="20"/>
      <c r="M351" s="20"/>
      <c r="N351" s="20"/>
      <c r="O351" s="20"/>
      <c r="P351" s="20"/>
      <c r="Q351" s="20"/>
      <c r="R351" s="20"/>
      <c r="S351" s="20"/>
    </row>
    <row r="352" spans="1:19" ht="12.75" thickBot="1">
      <c r="A352" s="16" t="s">
        <v>406</v>
      </c>
      <c r="B352" s="569" t="s">
        <v>1271</v>
      </c>
      <c r="C352" s="16" t="s">
        <v>411</v>
      </c>
      <c r="D352" s="76"/>
      <c r="E352" s="19"/>
      <c r="F352" s="19"/>
      <c r="G352" s="19"/>
      <c r="H352" s="76"/>
      <c r="I352" s="19"/>
      <c r="J352" s="19"/>
      <c r="K352" s="19"/>
      <c r="L352" s="19"/>
      <c r="M352" s="19"/>
      <c r="N352" s="19"/>
      <c r="O352" s="144"/>
      <c r="P352" s="144"/>
      <c r="Q352" s="144"/>
      <c r="R352" s="144"/>
      <c r="S352" s="19"/>
    </row>
    <row r="353" spans="1:26" ht="12.75" thickBot="1">
      <c r="A353" s="16" t="s">
        <v>406</v>
      </c>
      <c r="B353" s="569" t="s">
        <v>1271</v>
      </c>
      <c r="C353" s="16" t="s">
        <v>413</v>
      </c>
      <c r="D353" s="77"/>
      <c r="E353" s="20"/>
      <c r="F353" s="20"/>
      <c r="G353" s="20"/>
      <c r="H353" s="77"/>
      <c r="I353" s="20"/>
      <c r="J353" s="20"/>
      <c r="K353" s="20"/>
      <c r="L353" s="20"/>
      <c r="M353" s="20"/>
      <c r="N353" s="20"/>
      <c r="O353" s="20"/>
      <c r="P353" s="20"/>
      <c r="Q353" s="20"/>
      <c r="R353" s="20"/>
      <c r="S353" s="20"/>
    </row>
    <row r="354" spans="1:26" ht="12.75" thickBot="1">
      <c r="A354" s="16" t="s">
        <v>406</v>
      </c>
      <c r="B354" s="569" t="s">
        <v>1271</v>
      </c>
      <c r="C354" s="16" t="s">
        <v>414</v>
      </c>
      <c r="D354" s="568">
        <v>2573</v>
      </c>
      <c r="E354" s="567"/>
      <c r="F354" s="567"/>
      <c r="G354" s="567"/>
      <c r="H354" s="568">
        <v>128845885</v>
      </c>
      <c r="I354" s="567"/>
      <c r="J354" s="567"/>
      <c r="K354" s="567"/>
      <c r="L354" s="573"/>
      <c r="M354" s="573"/>
      <c r="N354" s="567"/>
      <c r="O354" s="567"/>
      <c r="P354" s="571">
        <v>319974.63</v>
      </c>
      <c r="Q354" s="571"/>
      <c r="R354" s="571">
        <v>319974.63</v>
      </c>
      <c r="S354" s="573"/>
    </row>
    <row r="355" spans="1:26" ht="12.75" thickBot="1">
      <c r="A355" s="16" t="s">
        <v>406</v>
      </c>
      <c r="B355" s="569" t="s">
        <v>1271</v>
      </c>
      <c r="C355" s="16" t="s">
        <v>415</v>
      </c>
      <c r="D355" s="568">
        <v>52</v>
      </c>
      <c r="E355" s="567"/>
      <c r="F355" s="567"/>
      <c r="G355" s="567"/>
      <c r="H355" s="568">
        <v>11215351</v>
      </c>
      <c r="I355" s="567"/>
      <c r="J355" s="567"/>
      <c r="K355" s="567"/>
      <c r="L355" s="573"/>
      <c r="M355" s="573"/>
      <c r="N355" s="567"/>
      <c r="O355" s="567"/>
      <c r="P355" s="571">
        <v>27177.05</v>
      </c>
      <c r="Q355" s="571"/>
      <c r="R355" s="571">
        <v>27177.05</v>
      </c>
      <c r="S355" s="573"/>
    </row>
    <row r="356" spans="1:26" ht="12.75" thickBot="1">
      <c r="A356" s="16" t="s">
        <v>406</v>
      </c>
      <c r="B356" s="569" t="s">
        <v>1271</v>
      </c>
      <c r="C356" s="16" t="s">
        <v>416</v>
      </c>
      <c r="D356" s="76"/>
      <c r="E356" s="19"/>
      <c r="F356" s="19"/>
      <c r="G356" s="19"/>
      <c r="H356" s="76"/>
      <c r="I356" s="19"/>
      <c r="J356" s="19"/>
      <c r="K356" s="19"/>
      <c r="L356" s="18"/>
      <c r="M356" s="18"/>
      <c r="N356" s="19"/>
      <c r="O356" s="19"/>
      <c r="P356" s="144"/>
      <c r="Q356" s="144"/>
      <c r="R356" s="144"/>
      <c r="S356" s="18"/>
    </row>
    <row r="357" spans="1:26" ht="12.75" thickBot="1">
      <c r="A357" s="16" t="s">
        <v>406</v>
      </c>
      <c r="B357" s="569" t="s">
        <v>1271</v>
      </c>
      <c r="C357" s="16" t="s">
        <v>417</v>
      </c>
      <c r="D357" s="568">
        <v>208</v>
      </c>
      <c r="E357" s="567"/>
      <c r="F357" s="567"/>
      <c r="G357" s="567"/>
      <c r="H357" s="568">
        <v>54908223</v>
      </c>
      <c r="I357" s="571"/>
      <c r="J357" s="571"/>
      <c r="K357" s="571"/>
      <c r="L357" s="567"/>
      <c r="M357" s="567"/>
      <c r="N357" s="571"/>
      <c r="O357" s="571">
        <v>126641.58</v>
      </c>
      <c r="P357" s="571">
        <v>119511.25</v>
      </c>
      <c r="Q357" s="571">
        <v>115331.89</v>
      </c>
      <c r="R357" s="567"/>
      <c r="S357" s="573"/>
    </row>
    <row r="358" spans="1:26" ht="12.75" thickBot="1">
      <c r="A358" s="16" t="s">
        <v>406</v>
      </c>
      <c r="B358" s="569" t="s">
        <v>1271</v>
      </c>
      <c r="C358" s="16" t="s">
        <v>418</v>
      </c>
      <c r="D358" s="568">
        <v>35</v>
      </c>
      <c r="E358" s="567"/>
      <c r="F358" s="567"/>
      <c r="G358" s="567"/>
      <c r="H358" s="568">
        <v>28058758</v>
      </c>
      <c r="I358" s="571"/>
      <c r="J358" s="571"/>
      <c r="K358" s="571"/>
      <c r="L358" s="567"/>
      <c r="M358" s="567"/>
      <c r="N358" s="567"/>
      <c r="O358" s="571">
        <v>70658.820000000007</v>
      </c>
      <c r="P358" s="571">
        <v>65548.070000000007</v>
      </c>
      <c r="Q358" s="571">
        <v>63778.93</v>
      </c>
      <c r="R358" s="567"/>
      <c r="S358" s="567"/>
    </row>
    <row r="359" spans="1:26" ht="12.75" thickBot="1">
      <c r="A359" s="16" t="s">
        <v>406</v>
      </c>
      <c r="B359" s="569" t="s">
        <v>1271</v>
      </c>
      <c r="C359" s="16" t="s">
        <v>420</v>
      </c>
      <c r="D359" s="568">
        <v>16298</v>
      </c>
      <c r="E359" s="567"/>
      <c r="F359" s="567"/>
      <c r="G359" s="567"/>
      <c r="H359" s="568">
        <v>72923500</v>
      </c>
      <c r="I359" s="567"/>
      <c r="J359" s="567"/>
      <c r="K359" s="567"/>
      <c r="L359" s="567"/>
      <c r="M359" s="567"/>
      <c r="N359" s="567"/>
      <c r="O359" s="571">
        <v>211099.45</v>
      </c>
      <c r="P359" s="571"/>
      <c r="Q359" s="571"/>
      <c r="R359" s="571">
        <v>211099.45</v>
      </c>
      <c r="S359" s="567"/>
    </row>
    <row r="360" spans="1:26" ht="12.75" thickBot="1">
      <c r="A360" s="16" t="s">
        <v>406</v>
      </c>
      <c r="B360" s="569" t="s">
        <v>1271</v>
      </c>
      <c r="C360" s="16" t="s">
        <v>421</v>
      </c>
      <c r="D360" s="76"/>
      <c r="E360" s="19"/>
      <c r="F360" s="19"/>
      <c r="G360" s="19"/>
      <c r="H360" s="76"/>
      <c r="I360" s="19"/>
      <c r="J360" s="19"/>
      <c r="K360" s="19"/>
      <c r="L360" s="19"/>
      <c r="M360" s="19"/>
      <c r="N360" s="19"/>
      <c r="O360" s="144"/>
      <c r="P360" s="144"/>
      <c r="Q360" s="144"/>
      <c r="R360" s="144"/>
      <c r="S360" s="19"/>
    </row>
    <row r="361" spans="1:26" ht="12.75" thickBot="1">
      <c r="A361" s="16" t="s">
        <v>406</v>
      </c>
      <c r="B361" s="569" t="s">
        <v>1271</v>
      </c>
      <c r="C361" s="16" t="s">
        <v>423</v>
      </c>
      <c r="D361" s="77"/>
      <c r="E361" s="20"/>
      <c r="F361" s="20"/>
      <c r="G361" s="20"/>
      <c r="H361" s="77"/>
      <c r="I361" s="20"/>
      <c r="J361" s="20"/>
      <c r="K361" s="20"/>
      <c r="L361" s="20"/>
      <c r="M361" s="20"/>
      <c r="N361" s="20"/>
      <c r="O361" s="143"/>
      <c r="P361" s="143"/>
      <c r="Q361" s="143"/>
      <c r="R361" s="143"/>
      <c r="S361" s="20"/>
    </row>
    <row r="362" spans="1:26" ht="12.75" thickBot="1">
      <c r="A362" s="16" t="s">
        <v>406</v>
      </c>
      <c r="B362" s="569" t="s">
        <v>1271</v>
      </c>
      <c r="C362" s="16" t="s">
        <v>424</v>
      </c>
      <c r="D362" s="568">
        <v>2</v>
      </c>
      <c r="E362" s="567"/>
      <c r="F362" s="567"/>
      <c r="G362" s="567"/>
      <c r="H362" s="568">
        <v>4366800</v>
      </c>
      <c r="I362" s="567"/>
      <c r="J362" s="567"/>
      <c r="K362" s="567"/>
      <c r="L362" s="573"/>
      <c r="M362" s="567"/>
      <c r="N362" s="567"/>
      <c r="O362" s="567"/>
      <c r="P362" s="571">
        <v>9450</v>
      </c>
      <c r="Q362" s="571"/>
      <c r="R362" s="571">
        <v>9450</v>
      </c>
      <c r="S362" s="567"/>
    </row>
    <row r="363" spans="1:26" ht="12.75" thickBot="1">
      <c r="A363" s="16" t="s">
        <v>406</v>
      </c>
      <c r="B363" s="569" t="s">
        <v>1271</v>
      </c>
      <c r="C363" s="16" t="s">
        <v>1204</v>
      </c>
      <c r="D363" s="77"/>
      <c r="E363" s="20"/>
      <c r="F363" s="20"/>
      <c r="G363" s="20"/>
      <c r="H363" s="20"/>
      <c r="I363" s="20"/>
      <c r="J363" s="20"/>
      <c r="K363" s="20"/>
      <c r="L363" s="20"/>
      <c r="M363" s="20"/>
      <c r="N363" s="20"/>
      <c r="O363" s="20"/>
      <c r="P363" s="20"/>
      <c r="Q363" s="20"/>
      <c r="R363" s="20"/>
      <c r="S363" s="20"/>
    </row>
    <row r="364" spans="1:26" ht="12.75" thickBot="1">
      <c r="A364" s="16" t="s">
        <v>406</v>
      </c>
      <c r="B364" s="569" t="s">
        <v>1271</v>
      </c>
      <c r="C364" s="16" t="s">
        <v>425</v>
      </c>
      <c r="D364" s="76"/>
      <c r="E364" s="19"/>
      <c r="F364" s="19"/>
      <c r="G364" s="19"/>
      <c r="H364" s="19"/>
      <c r="I364" s="19"/>
      <c r="J364" s="19"/>
      <c r="K364" s="19"/>
      <c r="L364" s="19"/>
      <c r="M364" s="19"/>
      <c r="N364" s="19"/>
      <c r="O364" s="19"/>
      <c r="P364" s="19"/>
      <c r="Q364" s="19"/>
      <c r="R364" s="19"/>
      <c r="S364" s="19"/>
    </row>
    <row r="365" spans="1:26" ht="12.75" thickBot="1">
      <c r="A365" s="16" t="s">
        <v>406</v>
      </c>
      <c r="B365" s="569" t="s">
        <v>1271</v>
      </c>
      <c r="C365" s="16" t="s">
        <v>426</v>
      </c>
      <c r="D365" s="568">
        <v>1</v>
      </c>
      <c r="E365" s="567"/>
      <c r="F365" s="567"/>
      <c r="G365" s="567"/>
      <c r="H365" s="568">
        <v>8264000</v>
      </c>
      <c r="I365" s="571"/>
      <c r="J365" s="567"/>
      <c r="K365" s="567"/>
      <c r="L365" s="573"/>
      <c r="M365" s="567"/>
      <c r="N365" s="567"/>
      <c r="O365" s="567"/>
      <c r="P365" s="571">
        <v>11920</v>
      </c>
      <c r="Q365" s="571"/>
      <c r="R365" s="571">
        <v>11920</v>
      </c>
      <c r="S365" s="573"/>
      <c r="U365" s="700">
        <v>0.98119999999999996</v>
      </c>
      <c r="V365">
        <v>-7.1999999999999995E-2</v>
      </c>
      <c r="W365">
        <v>356569.2</v>
      </c>
      <c r="X365" t="s">
        <v>1323</v>
      </c>
      <c r="Y365">
        <f>V365*W365</f>
        <v>-25672.982399999997</v>
      </c>
      <c r="Z365" s="6">
        <v>41579</v>
      </c>
    </row>
    <row r="366" spans="1:26" ht="12.75" thickBot="1">
      <c r="A366" s="16" t="s">
        <v>406</v>
      </c>
      <c r="B366" s="569" t="s">
        <v>1271</v>
      </c>
      <c r="C366" s="16" t="s">
        <v>427</v>
      </c>
      <c r="D366" s="568">
        <v>12</v>
      </c>
      <c r="E366" s="567"/>
      <c r="F366" s="567"/>
      <c r="G366" s="567"/>
      <c r="H366" s="568">
        <v>68955967</v>
      </c>
      <c r="I366" s="571"/>
      <c r="J366" s="571"/>
      <c r="K366" s="571"/>
      <c r="L366" s="567"/>
      <c r="M366" s="567"/>
      <c r="N366" s="567"/>
      <c r="O366" s="571">
        <v>145048.32000000001</v>
      </c>
      <c r="P366" s="571">
        <v>140764.74</v>
      </c>
      <c r="Q366" s="571">
        <v>91029.78</v>
      </c>
      <c r="R366" s="567"/>
      <c r="S366" s="567"/>
    </row>
    <row r="367" spans="1:26" ht="12.75" thickBot="1">
      <c r="A367" s="16" t="s">
        <v>406</v>
      </c>
      <c r="B367" s="569" t="s">
        <v>1271</v>
      </c>
      <c r="C367" s="16" t="s">
        <v>428</v>
      </c>
      <c r="D367" s="568">
        <v>227</v>
      </c>
      <c r="E367" s="567"/>
      <c r="F367" s="567"/>
      <c r="G367" s="567"/>
      <c r="H367" s="568">
        <v>20224931</v>
      </c>
      <c r="I367" s="567"/>
      <c r="J367" s="567"/>
      <c r="K367" s="567"/>
      <c r="L367" s="573"/>
      <c r="M367" s="573"/>
      <c r="N367" s="567"/>
      <c r="O367" s="567"/>
      <c r="P367" s="571">
        <v>63375.32</v>
      </c>
      <c r="Q367" s="571"/>
      <c r="R367" s="571">
        <v>63375.32</v>
      </c>
      <c r="S367" s="573"/>
    </row>
    <row r="368" spans="1:26" ht="12.75" thickBot="1">
      <c r="A368" s="16" t="s">
        <v>406</v>
      </c>
      <c r="B368" s="569" t="s">
        <v>1271</v>
      </c>
      <c r="C368" s="16" t="s">
        <v>429</v>
      </c>
      <c r="D368" s="568">
        <v>21</v>
      </c>
      <c r="E368" s="567"/>
      <c r="F368" s="567"/>
      <c r="G368" s="567"/>
      <c r="H368" s="568">
        <v>1005709</v>
      </c>
      <c r="I368" s="567"/>
      <c r="J368" s="567"/>
      <c r="K368" s="567"/>
      <c r="L368" s="573"/>
      <c r="M368" s="573"/>
      <c r="N368" s="567"/>
      <c r="O368" s="567"/>
      <c r="P368" s="571">
        <v>3646.98</v>
      </c>
      <c r="Q368" s="571"/>
      <c r="R368" s="571">
        <v>3646.98</v>
      </c>
      <c r="S368" s="573"/>
    </row>
    <row r="369" spans="1:19" ht="12.75" thickBot="1">
      <c r="A369" s="16" t="s">
        <v>406</v>
      </c>
      <c r="B369" s="569" t="s">
        <v>1271</v>
      </c>
      <c r="C369" s="16" t="s">
        <v>430</v>
      </c>
      <c r="D369" s="568">
        <v>85</v>
      </c>
      <c r="E369" s="567"/>
      <c r="F369" s="567"/>
      <c r="G369" s="567"/>
      <c r="H369" s="568">
        <v>18761930</v>
      </c>
      <c r="I369" s="571"/>
      <c r="J369" s="571"/>
      <c r="K369" s="571"/>
      <c r="L369" s="567"/>
      <c r="M369" s="567"/>
      <c r="N369" s="571"/>
      <c r="O369" s="571">
        <v>48665.98</v>
      </c>
      <c r="P369" s="571">
        <v>45660.480000000003</v>
      </c>
      <c r="Q369" s="571">
        <v>44826.91</v>
      </c>
      <c r="R369" s="567"/>
      <c r="S369" s="573"/>
    </row>
    <row r="370" spans="1:19" ht="12.75" thickBot="1">
      <c r="A370" s="16" t="s">
        <v>406</v>
      </c>
      <c r="B370" s="569" t="s">
        <v>1271</v>
      </c>
      <c r="C370" s="16" t="s">
        <v>431</v>
      </c>
      <c r="D370" s="568">
        <v>66</v>
      </c>
      <c r="E370" s="567"/>
      <c r="F370" s="567"/>
      <c r="G370" s="567"/>
      <c r="H370" s="568">
        <v>126819004</v>
      </c>
      <c r="I370" s="571"/>
      <c r="J370" s="571"/>
      <c r="K370" s="571"/>
      <c r="L370" s="567"/>
      <c r="M370" s="567"/>
      <c r="N370" s="567"/>
      <c r="O370" s="571">
        <v>311448.57</v>
      </c>
      <c r="P370" s="571">
        <v>282752.24</v>
      </c>
      <c r="Q370" s="571">
        <v>278996.21000000002</v>
      </c>
      <c r="R370" s="567"/>
      <c r="S370" s="567"/>
    </row>
    <row r="371" spans="1:19" ht="12.75" thickBot="1">
      <c r="A371" s="16" t="s">
        <v>406</v>
      </c>
      <c r="B371" s="569" t="s">
        <v>1271</v>
      </c>
      <c r="C371" s="16" t="s">
        <v>433</v>
      </c>
      <c r="D371" s="568"/>
      <c r="E371" s="567"/>
      <c r="F371" s="567"/>
      <c r="G371" s="567"/>
      <c r="H371" s="568"/>
      <c r="I371" s="567"/>
      <c r="J371" s="567"/>
      <c r="K371" s="567"/>
      <c r="L371" s="567"/>
      <c r="M371" s="567"/>
      <c r="N371" s="567"/>
      <c r="O371" s="567"/>
      <c r="P371" s="567"/>
      <c r="Q371" s="567"/>
      <c r="R371" s="567"/>
      <c r="S371" s="567"/>
    </row>
    <row r="372" spans="1:19" ht="12.75" thickBot="1">
      <c r="A372" s="16" t="s">
        <v>406</v>
      </c>
      <c r="B372" s="569" t="s">
        <v>1271</v>
      </c>
      <c r="C372" s="16" t="s">
        <v>434</v>
      </c>
      <c r="D372" s="565">
        <v>156</v>
      </c>
      <c r="E372" s="566"/>
      <c r="F372" s="566"/>
      <c r="G372" s="566"/>
      <c r="H372" s="565">
        <v>309305</v>
      </c>
      <c r="I372" s="566"/>
      <c r="J372" s="566"/>
      <c r="K372" s="566"/>
      <c r="L372" s="566"/>
      <c r="M372" s="566"/>
      <c r="N372" s="566"/>
      <c r="O372" s="566"/>
      <c r="P372" s="566"/>
      <c r="Q372" s="566"/>
      <c r="R372" s="566"/>
      <c r="S372" s="567"/>
    </row>
    <row r="373" spans="1:19" ht="12.75" thickBot="1">
      <c r="A373" s="16" t="s">
        <v>406</v>
      </c>
      <c r="B373" s="569" t="s">
        <v>1271</v>
      </c>
      <c r="C373" s="16" t="s">
        <v>435</v>
      </c>
      <c r="D373" s="77"/>
      <c r="E373" s="20"/>
      <c r="F373" s="20"/>
      <c r="G373" s="20"/>
      <c r="H373" s="77"/>
      <c r="I373" s="20"/>
      <c r="J373" s="20"/>
      <c r="K373" s="20"/>
      <c r="L373" s="20"/>
      <c r="M373" s="20"/>
      <c r="N373" s="20"/>
      <c r="O373" s="20"/>
      <c r="P373" s="20"/>
      <c r="Q373" s="20"/>
      <c r="R373" s="20"/>
      <c r="S373" s="20"/>
    </row>
    <row r="374" spans="1:19" ht="12.75" thickBot="1">
      <c r="A374" s="16" t="s">
        <v>406</v>
      </c>
      <c r="B374" s="569" t="s">
        <v>1271</v>
      </c>
      <c r="C374" s="16" t="s">
        <v>436</v>
      </c>
      <c r="D374" s="568">
        <v>905</v>
      </c>
      <c r="E374" s="567"/>
      <c r="F374" s="567"/>
      <c r="G374" s="567"/>
      <c r="H374" s="568">
        <v>265656</v>
      </c>
      <c r="I374" s="567"/>
      <c r="J374" s="567"/>
      <c r="K374" s="567"/>
      <c r="L374" s="567"/>
      <c r="M374" s="567"/>
      <c r="N374" s="567"/>
      <c r="O374" s="567"/>
      <c r="P374" s="567"/>
      <c r="Q374" s="567"/>
      <c r="R374" s="567"/>
      <c r="S374" s="567"/>
    </row>
    <row r="375" spans="1:19" ht="12.75" thickBot="1">
      <c r="A375" s="16" t="s">
        <v>406</v>
      </c>
      <c r="B375" s="569" t="s">
        <v>1271</v>
      </c>
      <c r="C375" s="16" t="s">
        <v>437</v>
      </c>
      <c r="D375" s="77"/>
      <c r="E375" s="20"/>
      <c r="F375" s="20"/>
      <c r="G375" s="20"/>
      <c r="H375" s="77"/>
      <c r="I375" s="20"/>
      <c r="J375" s="20"/>
      <c r="K375" s="20"/>
      <c r="L375" s="20"/>
      <c r="M375" s="20"/>
      <c r="N375" s="20"/>
      <c r="O375" s="20"/>
      <c r="P375" s="20"/>
      <c r="Q375" s="20"/>
      <c r="R375" s="20"/>
      <c r="S375" s="20"/>
    </row>
    <row r="376" spans="1:19" ht="12.75" thickBot="1">
      <c r="A376" s="16" t="s">
        <v>406</v>
      </c>
      <c r="B376" s="569" t="s">
        <v>1271</v>
      </c>
      <c r="C376" s="16" t="s">
        <v>438</v>
      </c>
      <c r="D376" s="76"/>
      <c r="E376" s="19"/>
      <c r="F376" s="19"/>
      <c r="G376" s="19"/>
      <c r="H376" s="76"/>
      <c r="I376" s="19"/>
      <c r="J376" s="19"/>
      <c r="K376" s="19"/>
      <c r="L376" s="19"/>
      <c r="M376" s="19"/>
      <c r="N376" s="19"/>
      <c r="O376" s="19"/>
      <c r="P376" s="19"/>
      <c r="Q376" s="19"/>
      <c r="R376" s="19"/>
      <c r="S376" s="19"/>
    </row>
    <row r="377" spans="1:19" ht="12.75" thickBot="1">
      <c r="A377" s="16" t="s">
        <v>406</v>
      </c>
      <c r="B377" s="569" t="s">
        <v>1271</v>
      </c>
      <c r="C377" s="16" t="s">
        <v>439</v>
      </c>
      <c r="D377" s="568">
        <v>358743</v>
      </c>
      <c r="E377" s="567"/>
      <c r="F377" s="567"/>
      <c r="G377" s="567"/>
      <c r="H377" s="568">
        <v>250737996</v>
      </c>
      <c r="I377" s="567"/>
      <c r="J377" s="567"/>
      <c r="K377" s="567"/>
      <c r="L377" s="567"/>
      <c r="M377" s="567"/>
      <c r="N377" s="567"/>
      <c r="O377" s="567"/>
      <c r="P377" s="567"/>
      <c r="Q377" s="567"/>
      <c r="R377" s="567"/>
      <c r="S377" s="567"/>
    </row>
    <row r="378" spans="1:19" ht="12.75" thickBot="1">
      <c r="A378" s="16" t="s">
        <v>406</v>
      </c>
      <c r="B378" s="569" t="s">
        <v>1271</v>
      </c>
      <c r="C378" s="16" t="s">
        <v>440</v>
      </c>
      <c r="D378" s="76"/>
      <c r="E378" s="19"/>
      <c r="F378" s="19"/>
      <c r="G378" s="19"/>
      <c r="H378" s="76"/>
      <c r="I378" s="19"/>
      <c r="J378" s="19"/>
      <c r="K378" s="19"/>
      <c r="L378" s="19"/>
      <c r="M378" s="19"/>
      <c r="N378" s="19"/>
      <c r="O378" s="19"/>
      <c r="P378" s="19"/>
      <c r="Q378" s="19"/>
      <c r="R378" s="19"/>
      <c r="S378" s="19"/>
    </row>
    <row r="379" spans="1:19" ht="12.75" thickBot="1">
      <c r="A379" s="16" t="s">
        <v>406</v>
      </c>
      <c r="B379" s="569" t="s">
        <v>1271</v>
      </c>
      <c r="C379" s="16" t="s">
        <v>441</v>
      </c>
      <c r="D379" s="77"/>
      <c r="E379" s="20"/>
      <c r="F379" s="20"/>
      <c r="G379" s="20"/>
      <c r="H379" s="77"/>
      <c r="I379" s="20"/>
      <c r="J379" s="20"/>
      <c r="K379" s="20"/>
      <c r="L379" s="20"/>
      <c r="M379" s="20"/>
      <c r="N379" s="20"/>
      <c r="O379" s="20"/>
      <c r="P379" s="20"/>
      <c r="Q379" s="20"/>
      <c r="R379" s="20"/>
      <c r="S379" s="20"/>
    </row>
    <row r="380" spans="1:19" ht="12.75" thickBot="1">
      <c r="A380" s="16" t="s">
        <v>406</v>
      </c>
      <c r="B380" s="569" t="s">
        <v>1271</v>
      </c>
      <c r="C380" s="16" t="s">
        <v>755</v>
      </c>
      <c r="D380" s="76"/>
      <c r="E380" s="18"/>
      <c r="F380" s="18"/>
      <c r="G380" s="18"/>
      <c r="H380" s="76"/>
      <c r="I380" s="19"/>
      <c r="J380" s="19"/>
      <c r="K380" s="19"/>
      <c r="L380" s="19"/>
      <c r="M380" s="19"/>
      <c r="N380" s="19"/>
      <c r="O380" s="19"/>
      <c r="P380" s="19"/>
      <c r="Q380" s="19"/>
      <c r="R380" s="19"/>
      <c r="S380" s="19"/>
    </row>
    <row r="381" spans="1:19" ht="12.75" thickBot="1">
      <c r="A381" s="16" t="s">
        <v>406</v>
      </c>
      <c r="B381" s="569" t="s">
        <v>1271</v>
      </c>
      <c r="C381" s="16" t="s">
        <v>1208</v>
      </c>
      <c r="D381" s="77"/>
      <c r="E381" s="17"/>
      <c r="F381" s="17"/>
      <c r="G381" s="17"/>
      <c r="H381" s="77"/>
      <c r="I381" s="20"/>
      <c r="J381" s="20"/>
      <c r="K381" s="20"/>
      <c r="L381" s="20"/>
      <c r="M381" s="20"/>
      <c r="N381" s="20"/>
      <c r="O381" s="20"/>
      <c r="P381" s="20"/>
      <c r="Q381" s="20"/>
      <c r="R381" s="20"/>
      <c r="S381" s="20"/>
    </row>
    <row r="382" spans="1:19" ht="12.75" thickBot="1">
      <c r="A382" s="16" t="s">
        <v>406</v>
      </c>
      <c r="B382" s="569" t="s">
        <v>1271</v>
      </c>
      <c r="C382" s="78" t="s">
        <v>7</v>
      </c>
      <c r="D382" s="79"/>
      <c r="E382" s="21"/>
      <c r="F382" s="21"/>
      <c r="G382" s="21"/>
      <c r="H382" s="79"/>
      <c r="I382" s="145"/>
      <c r="J382" s="145"/>
      <c r="K382" s="145"/>
      <c r="L382" s="21"/>
      <c r="M382" s="21"/>
      <c r="N382" s="145"/>
      <c r="O382" s="251"/>
      <c r="P382" s="145"/>
      <c r="Q382" s="145"/>
      <c r="R382" s="145"/>
      <c r="S382" s="21"/>
    </row>
    <row r="383" spans="1:19" ht="23.25" hidden="1" thickBot="1">
      <c r="A383" s="61"/>
      <c r="B383" s="62"/>
      <c r="C383" s="45"/>
      <c r="D383" s="25" t="s">
        <v>1</v>
      </c>
      <c r="E383" s="25" t="s">
        <v>403</v>
      </c>
      <c r="F383" s="25" t="s">
        <v>404</v>
      </c>
      <c r="G383" s="25" t="s">
        <v>405</v>
      </c>
      <c r="H383" s="25" t="s">
        <v>2</v>
      </c>
      <c r="I383" s="25" t="s">
        <v>137</v>
      </c>
      <c r="J383" s="25" t="s">
        <v>138</v>
      </c>
      <c r="K383" s="25" t="s">
        <v>139</v>
      </c>
      <c r="L383" s="25" t="s">
        <v>1033</v>
      </c>
      <c r="M383" s="25" t="s">
        <v>1034</v>
      </c>
      <c r="N383" s="25" t="s">
        <v>1035</v>
      </c>
      <c r="O383" s="25" t="s">
        <v>1036</v>
      </c>
      <c r="P383" s="25" t="s">
        <v>1037</v>
      </c>
      <c r="Q383" s="25" t="s">
        <v>1038</v>
      </c>
      <c r="R383" s="25" t="s">
        <v>1039</v>
      </c>
      <c r="S383" s="16" t="s">
        <v>1219</v>
      </c>
    </row>
    <row r="384" spans="1:19" ht="12.75" hidden="1" thickBot="1">
      <c r="A384" s="25" t="s">
        <v>61</v>
      </c>
      <c r="B384" s="25" t="s">
        <v>0</v>
      </c>
      <c r="C384" s="25" t="s">
        <v>4</v>
      </c>
      <c r="D384" s="45"/>
      <c r="E384" s="45" t="s">
        <v>5</v>
      </c>
      <c r="F384" s="45" t="s">
        <v>5</v>
      </c>
      <c r="G384" s="45" t="s">
        <v>5</v>
      </c>
      <c r="H384" s="45" t="s">
        <v>5</v>
      </c>
      <c r="I384" s="45"/>
      <c r="J384" s="45"/>
      <c r="K384" s="45"/>
      <c r="L384" s="45"/>
      <c r="M384" s="45"/>
      <c r="N384" s="45"/>
      <c r="O384" s="46"/>
      <c r="P384" s="45"/>
      <c r="Q384" s="45"/>
      <c r="R384" s="45"/>
      <c r="S384" s="250" t="s">
        <v>6</v>
      </c>
    </row>
    <row r="385" spans="1:19" ht="12.75" thickBot="1">
      <c r="A385" s="25" t="s">
        <v>406</v>
      </c>
      <c r="B385" s="57" t="s">
        <v>1272</v>
      </c>
      <c r="C385" s="25" t="s">
        <v>407</v>
      </c>
      <c r="D385" s="26"/>
      <c r="E385" s="27"/>
      <c r="F385" s="27"/>
      <c r="G385" s="27"/>
      <c r="H385" s="26"/>
      <c r="I385" s="27"/>
      <c r="J385" s="27"/>
      <c r="K385" s="27"/>
      <c r="L385" s="27"/>
      <c r="M385" s="27"/>
      <c r="N385" s="27"/>
      <c r="O385" s="27"/>
      <c r="P385" s="27"/>
      <c r="Q385" s="27"/>
      <c r="R385" s="27"/>
      <c r="S385" s="20"/>
    </row>
    <row r="386" spans="1:19" ht="12.75" thickBot="1">
      <c r="A386" s="25" t="s">
        <v>406</v>
      </c>
      <c r="B386" s="57" t="s">
        <v>1272</v>
      </c>
      <c r="C386" s="25" t="s">
        <v>409</v>
      </c>
      <c r="D386" s="565">
        <v>28080</v>
      </c>
      <c r="E386" s="566"/>
      <c r="F386" s="566"/>
      <c r="G386" s="566"/>
      <c r="H386" s="565">
        <v>30580171</v>
      </c>
      <c r="I386" s="566"/>
      <c r="J386" s="566"/>
      <c r="K386" s="566"/>
      <c r="L386" s="566"/>
      <c r="M386" s="566"/>
      <c r="N386" s="566"/>
      <c r="O386" s="566"/>
      <c r="P386" s="570"/>
      <c r="Q386" s="570"/>
      <c r="R386" s="570"/>
      <c r="S386" s="567"/>
    </row>
    <row r="387" spans="1:19" ht="12.75" thickBot="1">
      <c r="A387" s="25" t="s">
        <v>406</v>
      </c>
      <c r="B387" s="57" t="s">
        <v>1272</v>
      </c>
      <c r="C387" s="25" t="s">
        <v>410</v>
      </c>
      <c r="D387" s="26"/>
      <c r="E387" s="27"/>
      <c r="F387" s="27"/>
      <c r="G387" s="27"/>
      <c r="H387" s="26"/>
      <c r="I387" s="27"/>
      <c r="J387" s="27"/>
      <c r="K387" s="27"/>
      <c r="L387" s="27"/>
      <c r="M387" s="27"/>
      <c r="N387" s="27"/>
      <c r="O387" s="27"/>
      <c r="P387" s="27"/>
      <c r="Q387" s="27"/>
      <c r="R387" s="27"/>
      <c r="S387" s="20"/>
    </row>
    <row r="388" spans="1:19" ht="12.75" thickBot="1">
      <c r="A388" s="25" t="s">
        <v>406</v>
      </c>
      <c r="B388" s="57" t="s">
        <v>1272</v>
      </c>
      <c r="C388" s="25" t="s">
        <v>411</v>
      </c>
      <c r="D388" s="29"/>
      <c r="E388" s="30"/>
      <c r="F388" s="30"/>
      <c r="G388" s="30"/>
      <c r="H388" s="29"/>
      <c r="I388" s="30"/>
      <c r="J388" s="30"/>
      <c r="K388" s="30"/>
      <c r="L388" s="30"/>
      <c r="M388" s="30"/>
      <c r="N388" s="30"/>
      <c r="O388" s="30"/>
      <c r="P388" s="56"/>
      <c r="Q388" s="56"/>
      <c r="R388" s="56"/>
      <c r="S388" s="19"/>
    </row>
    <row r="389" spans="1:19" ht="12.75" thickBot="1">
      <c r="A389" s="25" t="s">
        <v>406</v>
      </c>
      <c r="B389" s="57" t="s">
        <v>1272</v>
      </c>
      <c r="C389" s="25" t="s">
        <v>413</v>
      </c>
      <c r="D389" s="26"/>
      <c r="E389" s="27"/>
      <c r="F389" s="27"/>
      <c r="G389" s="27"/>
      <c r="H389" s="26"/>
      <c r="I389" s="27"/>
      <c r="J389" s="27"/>
      <c r="K389" s="27"/>
      <c r="L389" s="27"/>
      <c r="M389" s="27"/>
      <c r="N389" s="27"/>
      <c r="O389" s="27"/>
      <c r="P389" s="27"/>
      <c r="Q389" s="27"/>
      <c r="R389" s="27"/>
      <c r="S389" s="20"/>
    </row>
    <row r="390" spans="1:19" ht="12.75" thickBot="1">
      <c r="A390" s="25" t="s">
        <v>406</v>
      </c>
      <c r="B390" s="57" t="s">
        <v>1272</v>
      </c>
      <c r="C390" s="25" t="s">
        <v>414</v>
      </c>
      <c r="D390" s="565">
        <v>2573</v>
      </c>
      <c r="E390" s="566"/>
      <c r="F390" s="566"/>
      <c r="G390" s="566"/>
      <c r="H390" s="565">
        <v>135710403</v>
      </c>
      <c r="I390" s="566"/>
      <c r="J390" s="566"/>
      <c r="K390" s="566"/>
      <c r="L390" s="572"/>
      <c r="M390" s="572"/>
      <c r="N390" s="566"/>
      <c r="O390" s="566"/>
      <c r="P390" s="570">
        <v>337006.22</v>
      </c>
      <c r="Q390" s="570"/>
      <c r="R390" s="570">
        <v>337006.22</v>
      </c>
      <c r="S390" s="573"/>
    </row>
    <row r="391" spans="1:19" ht="12.75" thickBot="1">
      <c r="A391" s="25" t="s">
        <v>406</v>
      </c>
      <c r="B391" s="57" t="s">
        <v>1272</v>
      </c>
      <c r="C391" s="25" t="s">
        <v>415</v>
      </c>
      <c r="D391" s="565">
        <v>52</v>
      </c>
      <c r="E391" s="566"/>
      <c r="F391" s="566"/>
      <c r="G391" s="566"/>
      <c r="H391" s="565">
        <v>11939933</v>
      </c>
      <c r="I391" s="566"/>
      <c r="J391" s="566"/>
      <c r="K391" s="566"/>
      <c r="L391" s="572"/>
      <c r="M391" s="572"/>
      <c r="N391" s="566"/>
      <c r="O391" s="566"/>
      <c r="P391" s="570">
        <v>28951.52</v>
      </c>
      <c r="Q391" s="570"/>
      <c r="R391" s="570">
        <v>28951.52</v>
      </c>
      <c r="S391" s="573"/>
    </row>
    <row r="392" spans="1:19" ht="12.75" thickBot="1">
      <c r="A392" s="25" t="s">
        <v>406</v>
      </c>
      <c r="B392" s="57" t="s">
        <v>1272</v>
      </c>
      <c r="C392" s="25" t="s">
        <v>416</v>
      </c>
      <c r="D392" s="29"/>
      <c r="E392" s="30"/>
      <c r="F392" s="30"/>
      <c r="G392" s="30"/>
      <c r="H392" s="29"/>
      <c r="I392" s="30"/>
      <c r="J392" s="30"/>
      <c r="K392" s="30"/>
      <c r="L392" s="31"/>
      <c r="M392" s="31"/>
      <c r="N392" s="30"/>
      <c r="O392" s="30"/>
      <c r="P392" s="56"/>
      <c r="Q392" s="56"/>
      <c r="R392" s="56"/>
      <c r="S392" s="18"/>
    </row>
    <row r="393" spans="1:19" ht="12.75" thickBot="1">
      <c r="A393" s="25" t="s">
        <v>406</v>
      </c>
      <c r="B393" s="57" t="s">
        <v>1272</v>
      </c>
      <c r="C393" s="25" t="s">
        <v>417</v>
      </c>
      <c r="D393" s="565">
        <v>209</v>
      </c>
      <c r="E393" s="566"/>
      <c r="F393" s="566"/>
      <c r="G393" s="566"/>
      <c r="H393" s="565">
        <v>58285927</v>
      </c>
      <c r="I393" s="570"/>
      <c r="J393" s="570"/>
      <c r="K393" s="570"/>
      <c r="L393" s="566"/>
      <c r="M393" s="566"/>
      <c r="N393" s="570"/>
      <c r="O393" s="570">
        <v>128678.75</v>
      </c>
      <c r="P393" s="570">
        <v>119925.91</v>
      </c>
      <c r="Q393" s="570">
        <v>117088.21</v>
      </c>
      <c r="R393" s="566"/>
      <c r="S393" s="573"/>
    </row>
    <row r="394" spans="1:19" ht="12.75" thickBot="1">
      <c r="A394" s="25" t="s">
        <v>406</v>
      </c>
      <c r="B394" s="57" t="s">
        <v>1272</v>
      </c>
      <c r="C394" s="25" t="s">
        <v>418</v>
      </c>
      <c r="D394" s="565">
        <v>35</v>
      </c>
      <c r="E394" s="566"/>
      <c r="F394" s="566"/>
      <c r="G394" s="566"/>
      <c r="H394" s="565">
        <v>29789935</v>
      </c>
      <c r="I394" s="570"/>
      <c r="J394" s="570"/>
      <c r="K394" s="570"/>
      <c r="L394" s="566"/>
      <c r="M394" s="566"/>
      <c r="N394" s="566"/>
      <c r="O394" s="570">
        <v>72968</v>
      </c>
      <c r="P394" s="570">
        <v>66562.37</v>
      </c>
      <c r="Q394" s="570">
        <v>63373.91</v>
      </c>
      <c r="R394" s="566"/>
      <c r="S394" s="567"/>
    </row>
    <row r="395" spans="1:19" ht="12.75" thickBot="1">
      <c r="A395" s="25" t="s">
        <v>406</v>
      </c>
      <c r="B395" s="57" t="s">
        <v>1272</v>
      </c>
      <c r="C395" s="25" t="s">
        <v>420</v>
      </c>
      <c r="D395" s="565">
        <v>16305</v>
      </c>
      <c r="E395" s="566"/>
      <c r="F395" s="566"/>
      <c r="G395" s="566"/>
      <c r="H395" s="565">
        <v>77992712</v>
      </c>
      <c r="I395" s="566"/>
      <c r="J395" s="566"/>
      <c r="K395" s="566"/>
      <c r="L395" s="566"/>
      <c r="M395" s="566"/>
      <c r="N395" s="566"/>
      <c r="O395" s="570">
        <v>192024.42</v>
      </c>
      <c r="P395" s="570"/>
      <c r="Q395" s="570"/>
      <c r="R395" s="570">
        <v>192024.42</v>
      </c>
      <c r="S395" s="567"/>
    </row>
    <row r="396" spans="1:19" ht="12.75" thickBot="1">
      <c r="A396" s="25" t="s">
        <v>406</v>
      </c>
      <c r="B396" s="57" t="s">
        <v>1272</v>
      </c>
      <c r="C396" s="25" t="s">
        <v>421</v>
      </c>
      <c r="D396" s="29"/>
      <c r="E396" s="30"/>
      <c r="F396" s="30"/>
      <c r="G396" s="30"/>
      <c r="H396" s="29"/>
      <c r="I396" s="30"/>
      <c r="J396" s="30"/>
      <c r="K396" s="30"/>
      <c r="L396" s="30"/>
      <c r="M396" s="30"/>
      <c r="N396" s="30"/>
      <c r="O396" s="30"/>
      <c r="P396" s="56"/>
      <c r="Q396" s="56"/>
      <c r="R396" s="56"/>
      <c r="S396" s="19"/>
    </row>
    <row r="397" spans="1:19" ht="12.75" thickBot="1">
      <c r="A397" s="25" t="s">
        <v>406</v>
      </c>
      <c r="B397" s="57" t="s">
        <v>1272</v>
      </c>
      <c r="C397" s="25" t="s">
        <v>423</v>
      </c>
      <c r="D397" s="26"/>
      <c r="E397" s="27"/>
      <c r="F397" s="27"/>
      <c r="G397" s="27"/>
      <c r="H397" s="26"/>
      <c r="I397" s="27"/>
      <c r="J397" s="27"/>
      <c r="K397" s="27"/>
      <c r="L397" s="27"/>
      <c r="M397" s="27"/>
      <c r="N397" s="27"/>
      <c r="O397" s="27"/>
      <c r="P397" s="55"/>
      <c r="Q397" s="55"/>
      <c r="R397" s="55"/>
      <c r="S397" s="20"/>
    </row>
    <row r="398" spans="1:19" ht="12.75" thickBot="1">
      <c r="A398" s="25" t="s">
        <v>406</v>
      </c>
      <c r="B398" s="57" t="s">
        <v>1272</v>
      </c>
      <c r="C398" s="25" t="s">
        <v>424</v>
      </c>
      <c r="D398" s="565">
        <v>2</v>
      </c>
      <c r="E398" s="566"/>
      <c r="F398" s="566"/>
      <c r="G398" s="566"/>
      <c r="H398" s="565">
        <v>4790100</v>
      </c>
      <c r="I398" s="566"/>
      <c r="J398" s="566"/>
      <c r="K398" s="566"/>
      <c r="L398" s="572"/>
      <c r="M398" s="566"/>
      <c r="N398" s="566"/>
      <c r="O398" s="566"/>
      <c r="P398" s="570">
        <v>9478.7999999999993</v>
      </c>
      <c r="Q398" s="570"/>
      <c r="R398" s="570">
        <v>9478.7999999999993</v>
      </c>
      <c r="S398" s="567"/>
    </row>
    <row r="399" spans="1:19" ht="12.75" thickBot="1">
      <c r="A399" s="25" t="s">
        <v>406</v>
      </c>
      <c r="B399" s="57" t="s">
        <v>1272</v>
      </c>
      <c r="C399" s="25" t="s">
        <v>1204</v>
      </c>
      <c r="D399" s="26"/>
      <c r="E399" s="27"/>
      <c r="F399" s="27"/>
      <c r="G399" s="27"/>
      <c r="H399" s="27"/>
      <c r="I399" s="27"/>
      <c r="J399" s="27"/>
      <c r="K399" s="27"/>
      <c r="L399" s="27"/>
      <c r="M399" s="27"/>
      <c r="N399" s="27"/>
      <c r="O399" s="27"/>
      <c r="P399" s="27"/>
      <c r="Q399" s="27"/>
      <c r="R399" s="27"/>
      <c r="S399" s="20"/>
    </row>
    <row r="400" spans="1:19" ht="12.75" thickBot="1">
      <c r="A400" s="25" t="s">
        <v>406</v>
      </c>
      <c r="B400" s="57" t="s">
        <v>1272</v>
      </c>
      <c r="C400" s="25" t="s">
        <v>425</v>
      </c>
      <c r="D400" s="29"/>
      <c r="E400" s="30"/>
      <c r="F400" s="30"/>
      <c r="G400" s="30"/>
      <c r="H400" s="30"/>
      <c r="I400" s="30"/>
      <c r="J400" s="30"/>
      <c r="K400" s="30"/>
      <c r="L400" s="30"/>
      <c r="M400" s="30"/>
      <c r="N400" s="30"/>
      <c r="O400" s="30"/>
      <c r="P400" s="30"/>
      <c r="Q400" s="30"/>
      <c r="R400" s="30"/>
      <c r="S400" s="19"/>
    </row>
    <row r="401" spans="1:26" ht="12.75" thickBot="1">
      <c r="A401" s="25" t="s">
        <v>406</v>
      </c>
      <c r="B401" s="57" t="s">
        <v>1272</v>
      </c>
      <c r="C401" s="25" t="s">
        <v>426</v>
      </c>
      <c r="D401" s="565">
        <v>1</v>
      </c>
      <c r="E401" s="566"/>
      <c r="F401" s="566"/>
      <c r="G401" s="566"/>
      <c r="H401" s="565">
        <v>9529000</v>
      </c>
      <c r="I401" s="570"/>
      <c r="J401" s="566"/>
      <c r="K401" s="566"/>
      <c r="L401" s="572"/>
      <c r="M401" s="566"/>
      <c r="N401" s="566"/>
      <c r="O401" s="566"/>
      <c r="P401" s="570">
        <v>12334</v>
      </c>
      <c r="Q401" s="570"/>
      <c r="R401" s="570">
        <v>12334</v>
      </c>
      <c r="S401" s="573"/>
      <c r="U401" s="700">
        <v>0.98719999999999997</v>
      </c>
      <c r="V401">
        <v>-7.1999999999999995E-2</v>
      </c>
      <c r="W401">
        <v>358199.4</v>
      </c>
      <c r="X401" s="59" t="s">
        <v>1323</v>
      </c>
      <c r="Y401">
        <f>V401*W401</f>
        <v>-25790.356800000001</v>
      </c>
      <c r="Z401" s="6">
        <v>41609</v>
      </c>
    </row>
    <row r="402" spans="1:26" ht="12.75" thickBot="1">
      <c r="A402" s="25" t="s">
        <v>406</v>
      </c>
      <c r="B402" s="57" t="s">
        <v>1272</v>
      </c>
      <c r="C402" s="25" t="s">
        <v>427</v>
      </c>
      <c r="D402" s="565">
        <v>12</v>
      </c>
      <c r="E402" s="566"/>
      <c r="F402" s="566"/>
      <c r="G402" s="566"/>
      <c r="H402" s="565">
        <v>73594949</v>
      </c>
      <c r="I402" s="570"/>
      <c r="J402" s="570"/>
      <c r="K402" s="570"/>
      <c r="L402" s="566"/>
      <c r="M402" s="566"/>
      <c r="N402" s="566"/>
      <c r="O402" s="570">
        <v>151008.25</v>
      </c>
      <c r="P402" s="570">
        <v>143512.98000000001</v>
      </c>
      <c r="Q402" s="570">
        <v>97153.77</v>
      </c>
      <c r="R402" s="566"/>
      <c r="S402" s="567"/>
    </row>
    <row r="403" spans="1:26" ht="12.75" thickBot="1">
      <c r="A403" s="25" t="s">
        <v>406</v>
      </c>
      <c r="B403" s="57" t="s">
        <v>1272</v>
      </c>
      <c r="C403" s="25" t="s">
        <v>428</v>
      </c>
      <c r="D403" s="565">
        <v>226</v>
      </c>
      <c r="E403" s="566"/>
      <c r="F403" s="566"/>
      <c r="G403" s="566"/>
      <c r="H403" s="565">
        <v>20088679</v>
      </c>
      <c r="I403" s="566"/>
      <c r="J403" s="566"/>
      <c r="K403" s="566"/>
      <c r="L403" s="572"/>
      <c r="M403" s="572"/>
      <c r="N403" s="566"/>
      <c r="O403" s="566"/>
      <c r="P403" s="570">
        <v>63055.78</v>
      </c>
      <c r="Q403" s="570"/>
      <c r="R403" s="570">
        <v>63055.78</v>
      </c>
      <c r="S403" s="573"/>
    </row>
    <row r="404" spans="1:26" ht="12.75" thickBot="1">
      <c r="A404" s="25" t="s">
        <v>406</v>
      </c>
      <c r="B404" s="57" t="s">
        <v>1272</v>
      </c>
      <c r="C404" s="25" t="s">
        <v>429</v>
      </c>
      <c r="D404" s="565">
        <v>21</v>
      </c>
      <c r="E404" s="566"/>
      <c r="F404" s="566"/>
      <c r="G404" s="566"/>
      <c r="H404" s="565">
        <v>1040565</v>
      </c>
      <c r="I404" s="566"/>
      <c r="J404" s="566"/>
      <c r="K404" s="566"/>
      <c r="L404" s="572"/>
      <c r="M404" s="572"/>
      <c r="N404" s="566"/>
      <c r="O404" s="566"/>
      <c r="P404" s="570">
        <v>3773.38</v>
      </c>
      <c r="Q404" s="570"/>
      <c r="R404" s="570">
        <v>3773.38</v>
      </c>
      <c r="S404" s="573"/>
    </row>
    <row r="405" spans="1:26" ht="12.75" thickBot="1">
      <c r="A405" s="25" t="s">
        <v>406</v>
      </c>
      <c r="B405" s="57" t="s">
        <v>1272</v>
      </c>
      <c r="C405" s="25" t="s">
        <v>430</v>
      </c>
      <c r="D405" s="565">
        <v>86</v>
      </c>
      <c r="E405" s="566"/>
      <c r="F405" s="566"/>
      <c r="G405" s="566"/>
      <c r="H405" s="565">
        <v>18711493</v>
      </c>
      <c r="I405" s="570"/>
      <c r="J405" s="570"/>
      <c r="K405" s="570"/>
      <c r="L405" s="566"/>
      <c r="M405" s="566"/>
      <c r="N405" s="570"/>
      <c r="O405" s="570">
        <v>47262.71</v>
      </c>
      <c r="P405" s="570">
        <v>43849.279999999999</v>
      </c>
      <c r="Q405" s="570">
        <v>42600.959999999999</v>
      </c>
      <c r="R405" s="566"/>
      <c r="S405" s="573"/>
    </row>
    <row r="406" spans="1:26" ht="12.75" thickBot="1">
      <c r="A406" s="25" t="s">
        <v>406</v>
      </c>
      <c r="B406" s="57" t="s">
        <v>1272</v>
      </c>
      <c r="C406" s="25" t="s">
        <v>431</v>
      </c>
      <c r="D406" s="565">
        <v>66</v>
      </c>
      <c r="E406" s="566"/>
      <c r="F406" s="566"/>
      <c r="G406" s="566"/>
      <c r="H406" s="565">
        <v>131214326</v>
      </c>
      <c r="I406" s="570"/>
      <c r="J406" s="570"/>
      <c r="K406" s="570"/>
      <c r="L406" s="566"/>
      <c r="M406" s="566"/>
      <c r="N406" s="566"/>
      <c r="O406" s="570">
        <v>322242.82</v>
      </c>
      <c r="P406" s="570">
        <v>292551.93</v>
      </c>
      <c r="Q406" s="570">
        <v>288665.71999999997</v>
      </c>
      <c r="R406" s="566"/>
      <c r="S406" s="567"/>
    </row>
    <row r="407" spans="1:26" ht="12.75" thickBot="1">
      <c r="A407" s="25" t="s">
        <v>406</v>
      </c>
      <c r="B407" s="57" t="s">
        <v>1272</v>
      </c>
      <c r="C407" s="25" t="s">
        <v>433</v>
      </c>
      <c r="D407" s="565"/>
      <c r="E407" s="566"/>
      <c r="F407" s="566"/>
      <c r="G407" s="566"/>
      <c r="H407" s="565"/>
      <c r="I407" s="566"/>
      <c r="J407" s="566"/>
      <c r="K407" s="566"/>
      <c r="L407" s="566"/>
      <c r="M407" s="566"/>
      <c r="N407" s="566"/>
      <c r="O407" s="566"/>
      <c r="P407" s="566"/>
      <c r="Q407" s="566"/>
      <c r="R407" s="566"/>
      <c r="S407" s="567"/>
    </row>
    <row r="408" spans="1:26" ht="12.75" thickBot="1">
      <c r="A408" s="25" t="s">
        <v>406</v>
      </c>
      <c r="B408" s="57" t="s">
        <v>1272</v>
      </c>
      <c r="C408" s="25" t="s">
        <v>434</v>
      </c>
      <c r="D408" s="565">
        <v>156</v>
      </c>
      <c r="E408" s="566"/>
      <c r="F408" s="566"/>
      <c r="G408" s="566"/>
      <c r="H408" s="565">
        <v>355638</v>
      </c>
      <c r="I408" s="566"/>
      <c r="J408" s="566"/>
      <c r="K408" s="566"/>
      <c r="L408" s="566"/>
      <c r="M408" s="566"/>
      <c r="N408" s="566"/>
      <c r="O408" s="566"/>
      <c r="P408" s="566"/>
      <c r="Q408" s="566"/>
      <c r="R408" s="566"/>
      <c r="S408" s="567"/>
    </row>
    <row r="409" spans="1:26" ht="12.75" thickBot="1">
      <c r="A409" s="25" t="s">
        <v>406</v>
      </c>
      <c r="B409" s="57" t="s">
        <v>1272</v>
      </c>
      <c r="C409" s="25" t="s">
        <v>435</v>
      </c>
      <c r="D409" s="26"/>
      <c r="E409" s="27"/>
      <c r="F409" s="27"/>
      <c r="G409" s="27"/>
      <c r="H409" s="26"/>
      <c r="I409" s="27"/>
      <c r="J409" s="27"/>
      <c r="K409" s="27"/>
      <c r="L409" s="27"/>
      <c r="M409" s="27"/>
      <c r="N409" s="27"/>
      <c r="O409" s="27"/>
      <c r="P409" s="27"/>
      <c r="Q409" s="27"/>
      <c r="R409" s="27"/>
      <c r="S409" s="20"/>
    </row>
    <row r="410" spans="1:26" ht="12.75" thickBot="1">
      <c r="A410" s="25" t="s">
        <v>406</v>
      </c>
      <c r="B410" s="57" t="s">
        <v>1272</v>
      </c>
      <c r="C410" s="25" t="s">
        <v>436</v>
      </c>
      <c r="D410" s="565">
        <v>905</v>
      </c>
      <c r="E410" s="566"/>
      <c r="F410" s="566"/>
      <c r="G410" s="566"/>
      <c r="H410" s="565">
        <v>293077</v>
      </c>
      <c r="I410" s="566"/>
      <c r="J410" s="566"/>
      <c r="K410" s="566"/>
      <c r="L410" s="566"/>
      <c r="M410" s="566"/>
      <c r="N410" s="566"/>
      <c r="O410" s="566"/>
      <c r="P410" s="566"/>
      <c r="Q410" s="566"/>
      <c r="R410" s="566"/>
      <c r="S410" s="567"/>
    </row>
    <row r="411" spans="1:26" ht="12.75" thickBot="1">
      <c r="A411" s="25" t="s">
        <v>406</v>
      </c>
      <c r="B411" s="57" t="s">
        <v>1272</v>
      </c>
      <c r="C411" s="25" t="s">
        <v>437</v>
      </c>
      <c r="D411" s="26"/>
      <c r="E411" s="27"/>
      <c r="F411" s="27"/>
      <c r="G411" s="27"/>
      <c r="H411" s="26"/>
      <c r="I411" s="27"/>
      <c r="J411" s="27"/>
      <c r="K411" s="27"/>
      <c r="L411" s="27"/>
      <c r="M411" s="27"/>
      <c r="N411" s="27"/>
      <c r="O411" s="27"/>
      <c r="P411" s="27"/>
      <c r="Q411" s="27"/>
      <c r="R411" s="27"/>
      <c r="S411" s="20"/>
    </row>
    <row r="412" spans="1:26" ht="12.75" thickBot="1">
      <c r="A412" s="25" t="s">
        <v>406</v>
      </c>
      <c r="B412" s="57" t="s">
        <v>1272</v>
      </c>
      <c r="C412" s="25" t="s">
        <v>438</v>
      </c>
      <c r="D412" s="29"/>
      <c r="E412" s="30"/>
      <c r="F412" s="30"/>
      <c r="G412" s="30"/>
      <c r="H412" s="29"/>
      <c r="I412" s="30"/>
      <c r="J412" s="30"/>
      <c r="K412" s="30"/>
      <c r="L412" s="30"/>
      <c r="M412" s="30"/>
      <c r="N412" s="30"/>
      <c r="O412" s="30"/>
      <c r="P412" s="30"/>
      <c r="Q412" s="30"/>
      <c r="R412" s="30"/>
      <c r="S412" s="19"/>
    </row>
    <row r="413" spans="1:26" ht="12.75" thickBot="1">
      <c r="A413" s="25" t="s">
        <v>406</v>
      </c>
      <c r="B413" s="57" t="s">
        <v>1272</v>
      </c>
      <c r="C413" s="25" t="s">
        <v>439</v>
      </c>
      <c r="D413" s="565">
        <v>358950</v>
      </c>
      <c r="E413" s="566"/>
      <c r="F413" s="566"/>
      <c r="G413" s="566"/>
      <c r="H413" s="565">
        <v>332979468</v>
      </c>
      <c r="I413" s="566"/>
      <c r="J413" s="566"/>
      <c r="K413" s="566"/>
      <c r="L413" s="566"/>
      <c r="M413" s="566"/>
      <c r="N413" s="566"/>
      <c r="O413" s="566"/>
      <c r="P413" s="566"/>
      <c r="Q413" s="566"/>
      <c r="R413" s="566"/>
      <c r="S413" s="567"/>
    </row>
    <row r="414" spans="1:26" ht="12.75" thickBot="1">
      <c r="A414" s="25" t="s">
        <v>406</v>
      </c>
      <c r="B414" s="57" t="s">
        <v>1272</v>
      </c>
      <c r="C414" s="25" t="s">
        <v>440</v>
      </c>
      <c r="D414" s="29"/>
      <c r="E414" s="30"/>
      <c r="F414" s="30"/>
      <c r="G414" s="30"/>
      <c r="H414" s="29"/>
      <c r="I414" s="30"/>
      <c r="J414" s="30"/>
      <c r="K414" s="30"/>
      <c r="L414" s="30"/>
      <c r="M414" s="30"/>
      <c r="N414" s="30"/>
      <c r="O414" s="30"/>
      <c r="P414" s="30"/>
      <c r="Q414" s="30"/>
      <c r="R414" s="30"/>
      <c r="S414" s="19"/>
    </row>
    <row r="415" spans="1:26" ht="12.75" thickBot="1">
      <c r="A415" s="25" t="s">
        <v>406</v>
      </c>
      <c r="B415" s="57" t="s">
        <v>1272</v>
      </c>
      <c r="C415" s="25" t="s">
        <v>441</v>
      </c>
      <c r="D415" s="26"/>
      <c r="E415" s="27"/>
      <c r="F415" s="27"/>
      <c r="G415" s="27"/>
      <c r="H415" s="26"/>
      <c r="I415" s="27"/>
      <c r="J415" s="27"/>
      <c r="K415" s="27"/>
      <c r="L415" s="27"/>
      <c r="M415" s="27"/>
      <c r="N415" s="27"/>
      <c r="O415" s="27"/>
      <c r="P415" s="27"/>
      <c r="Q415" s="27"/>
      <c r="R415" s="27"/>
      <c r="S415" s="20"/>
    </row>
    <row r="416" spans="1:26" ht="12.75" thickBot="1">
      <c r="A416" s="25" t="s">
        <v>406</v>
      </c>
      <c r="B416" s="57" t="s">
        <v>1272</v>
      </c>
      <c r="C416" s="25" t="s">
        <v>755</v>
      </c>
      <c r="D416" s="29"/>
      <c r="E416" s="31"/>
      <c r="F416" s="31"/>
      <c r="G416" s="31"/>
      <c r="H416" s="29"/>
      <c r="I416" s="30"/>
      <c r="J416" s="30"/>
      <c r="K416" s="30"/>
      <c r="L416" s="30"/>
      <c r="M416" s="30"/>
      <c r="N416" s="30"/>
      <c r="O416" s="30"/>
      <c r="P416" s="30"/>
      <c r="Q416" s="30"/>
      <c r="R416" s="30"/>
      <c r="S416" s="19"/>
    </row>
    <row r="417" spans="1:26" ht="12.75" thickBot="1">
      <c r="A417" s="25" t="s">
        <v>406</v>
      </c>
      <c r="B417" s="57" t="s">
        <v>1272</v>
      </c>
      <c r="C417" s="42" t="s">
        <v>7</v>
      </c>
      <c r="D417" s="43"/>
      <c r="E417" s="44"/>
      <c r="F417" s="44"/>
      <c r="G417" s="44"/>
      <c r="H417" s="43"/>
      <c r="I417" s="60"/>
      <c r="J417" s="60"/>
      <c r="K417" s="60"/>
      <c r="L417" s="44"/>
      <c r="M417" s="44"/>
      <c r="N417" s="60"/>
      <c r="O417" s="246"/>
      <c r="P417" s="60"/>
      <c r="Q417" s="60"/>
      <c r="R417" s="60"/>
      <c r="S417" s="21"/>
    </row>
    <row r="418" spans="1:26">
      <c r="U418" s="700">
        <v>0.9869</v>
      </c>
      <c r="V418">
        <v>-7.1999999999999995E-2</v>
      </c>
      <c r="W418">
        <v>406512.6</v>
      </c>
      <c r="X418" s="59" t="s">
        <v>1323</v>
      </c>
      <c r="Y418">
        <f>V418*W418</f>
        <v>-29268.907199999998</v>
      </c>
      <c r="Z418" s="701">
        <v>41640</v>
      </c>
    </row>
    <row r="420" spans="1:26">
      <c r="W420" s="10">
        <f>SUM(W19:W418)</f>
        <v>5174745</v>
      </c>
      <c r="Y420" s="10">
        <f>SUM(Y19:Y418)</f>
        <v>-343566.96768</v>
      </c>
      <c r="Z420" s="702">
        <f>Y420/W420</f>
        <v>-6.6393023748996333E-2</v>
      </c>
    </row>
  </sheetData>
  <autoFilter ref="A1:O417">
    <filterColumn colId="1">
      <filters>
        <filter val="DEC 2014"/>
        <filter val="FEB 2015"/>
        <filter val="JAN 2015"/>
        <filter val="NOV 2014"/>
        <filter val="OCT 2014"/>
        <filter val="SEP 2014"/>
      </filters>
    </filterColumn>
  </autoFilter>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M526"/>
  <sheetViews>
    <sheetView topLeftCell="A232" workbookViewId="0">
      <selection activeCell="L257" sqref="L257"/>
    </sheetView>
  </sheetViews>
  <sheetFormatPr defaultColWidth="9.33203125" defaultRowHeight="12"/>
  <cols>
    <col min="1" max="2" width="11.83203125" style="155" customWidth="1"/>
    <col min="3" max="3" width="13.5" style="155" customWidth="1"/>
    <col min="4" max="4" width="15.33203125" style="155" bestFit="1" customWidth="1"/>
    <col min="5" max="5" width="12.6640625" style="155" bestFit="1" customWidth="1"/>
    <col min="6" max="6" width="11.6640625" style="155" bestFit="1" customWidth="1"/>
    <col min="7" max="7" width="15.83203125" style="155" bestFit="1" customWidth="1"/>
    <col min="8" max="8" width="9.33203125" style="155"/>
    <col min="9" max="9" width="12.83203125" style="155" bestFit="1" customWidth="1"/>
    <col min="10" max="10" width="10.5" style="155" bestFit="1" customWidth="1"/>
    <col min="11" max="11" width="13" style="155" bestFit="1" customWidth="1"/>
    <col min="12" max="12" width="11.5" style="155" bestFit="1" customWidth="1"/>
    <col min="13" max="17" width="9.33203125" style="155"/>
    <col min="18" max="19" width="11.33203125" style="155" bestFit="1" customWidth="1"/>
    <col min="20" max="16384" width="9.33203125" style="155"/>
  </cols>
  <sheetData>
    <row r="1" spans="1:13" ht="12.75" thickBot="1">
      <c r="A1" s="147" t="s">
        <v>0</v>
      </c>
      <c r="B1" s="147"/>
      <c r="C1" s="147" t="s">
        <v>147</v>
      </c>
      <c r="D1" s="147" t="s">
        <v>148</v>
      </c>
      <c r="E1" s="147" t="s">
        <v>149</v>
      </c>
      <c r="F1" s="147" t="s">
        <v>150</v>
      </c>
      <c r="G1" s="147"/>
      <c r="H1" s="153" t="s">
        <v>151</v>
      </c>
      <c r="I1" s="154"/>
    </row>
    <row r="2" spans="1:13" ht="13.5" thickBot="1">
      <c r="A2" s="147"/>
      <c r="B2" s="147"/>
      <c r="C2" s="248"/>
      <c r="D2" s="152"/>
      <c r="E2" s="163"/>
      <c r="F2" s="152"/>
      <c r="G2" s="163"/>
      <c r="H2" s="187" t="s">
        <v>1024</v>
      </c>
      <c r="I2" s="186" t="s">
        <v>1023</v>
      </c>
      <c r="J2" s="186" t="s">
        <v>1012</v>
      </c>
      <c r="K2" s="186" t="s">
        <v>1017</v>
      </c>
    </row>
    <row r="3" spans="1:13" ht="12.75" thickBot="1">
      <c r="A3" s="146" t="s">
        <v>1273</v>
      </c>
      <c r="B3" s="146" t="s">
        <v>498</v>
      </c>
      <c r="C3" s="147" t="s">
        <v>152</v>
      </c>
      <c r="D3" s="149"/>
      <c r="E3" s="149"/>
      <c r="F3" s="148">
        <v>1675</v>
      </c>
      <c r="G3" s="156"/>
      <c r="H3" s="157">
        <f>SUMIF(PoleRates!$E$4:$E$131,"20140101"&amp;C3,PoleRates!$F$4:$F$131)</f>
        <v>2.06</v>
      </c>
      <c r="I3" s="158"/>
      <c r="J3" s="159">
        <v>1675</v>
      </c>
      <c r="K3" s="158">
        <f>H3*J3</f>
        <v>3450.5</v>
      </c>
      <c r="M3" s="155" t="s">
        <v>1286</v>
      </c>
    </row>
    <row r="4" spans="1:13" ht="12.75" thickBot="1">
      <c r="A4" s="146" t="s">
        <v>1273</v>
      </c>
      <c r="B4" s="146" t="s">
        <v>1117</v>
      </c>
      <c r="C4" s="147" t="s">
        <v>152</v>
      </c>
      <c r="D4" s="151"/>
      <c r="E4" s="151"/>
      <c r="F4" s="150">
        <v>5267</v>
      </c>
      <c r="G4" s="160"/>
      <c r="H4" s="157">
        <f>SUMIF(PoleRates!$E$4:$E$131,"20140101"&amp;C4,PoleRates!$F$4:$F$131)</f>
        <v>2.06</v>
      </c>
      <c r="I4" s="158"/>
      <c r="J4" s="159">
        <v>5267</v>
      </c>
      <c r="K4" s="158">
        <f t="shared" ref="K4:K51" si="0">H4*J4</f>
        <v>10850.02</v>
      </c>
    </row>
    <row r="5" spans="1:13" ht="12.75" thickBot="1">
      <c r="A5" s="146" t="s">
        <v>1273</v>
      </c>
      <c r="B5" s="146" t="s">
        <v>498</v>
      </c>
      <c r="C5" s="147" t="s">
        <v>153</v>
      </c>
      <c r="D5" s="149"/>
      <c r="E5" s="149"/>
      <c r="F5" s="148">
        <v>157</v>
      </c>
      <c r="G5" s="156"/>
      <c r="H5" s="157">
        <f>SUMIF(PoleRates!$E$4:$E$131,"20140101"&amp;C5,PoleRates!$F$4:$F$131)</f>
        <v>10.81</v>
      </c>
      <c r="I5" s="158"/>
      <c r="J5" s="159">
        <v>157</v>
      </c>
      <c r="K5" s="158">
        <f t="shared" si="0"/>
        <v>1697.17</v>
      </c>
    </row>
    <row r="6" spans="1:13" ht="12.75" thickBot="1">
      <c r="A6" s="146" t="s">
        <v>1273</v>
      </c>
      <c r="B6" s="146" t="s">
        <v>1117</v>
      </c>
      <c r="C6" s="147" t="s">
        <v>153</v>
      </c>
      <c r="D6" s="150"/>
      <c r="E6" s="160"/>
      <c r="F6" s="151" t="s">
        <v>1287</v>
      </c>
      <c r="G6" s="151"/>
      <c r="H6" s="157">
        <f>SUMIF(PoleRates!$E$4:$E$131,"20140101"&amp;C6,PoleRates!$F$4:$F$131)</f>
        <v>10.81</v>
      </c>
      <c r="I6" s="158"/>
      <c r="J6" s="159">
        <v>0</v>
      </c>
      <c r="K6" s="158">
        <f t="shared" si="0"/>
        <v>0</v>
      </c>
    </row>
    <row r="7" spans="1:13" ht="12.75" thickBot="1">
      <c r="A7" s="146" t="s">
        <v>1273</v>
      </c>
      <c r="B7" s="146" t="s">
        <v>498</v>
      </c>
      <c r="C7" s="147" t="s">
        <v>154</v>
      </c>
      <c r="D7" s="148"/>
      <c r="E7" s="156"/>
      <c r="F7" s="149" t="s">
        <v>836</v>
      </c>
      <c r="G7" s="149"/>
      <c r="H7" s="157">
        <f>SUMIF(PoleRates!$E$4:$E$131,"20140101"&amp;C7,PoleRates!$F$4:$F$131)</f>
        <v>12.9</v>
      </c>
      <c r="I7" s="158"/>
      <c r="J7" s="159">
        <v>277</v>
      </c>
      <c r="K7" s="158">
        <f t="shared" si="0"/>
        <v>3573.3</v>
      </c>
    </row>
    <row r="8" spans="1:13" ht="12.75" thickBot="1">
      <c r="A8" s="146" t="s">
        <v>1273</v>
      </c>
      <c r="B8" s="146" t="s">
        <v>1117</v>
      </c>
      <c r="C8" s="147" t="s">
        <v>154</v>
      </c>
      <c r="D8" s="150"/>
      <c r="E8" s="160"/>
      <c r="F8" s="151" t="s">
        <v>1284</v>
      </c>
      <c r="G8" s="151"/>
      <c r="H8" s="157">
        <f>SUMIF(PoleRates!$E$4:$E$131,"20140101"&amp;C8,PoleRates!$F$4:$F$131)</f>
        <v>12.9</v>
      </c>
      <c r="I8" s="158"/>
      <c r="J8" s="159">
        <v>3</v>
      </c>
      <c r="K8" s="158">
        <f t="shared" si="0"/>
        <v>38.700000000000003</v>
      </c>
    </row>
    <row r="9" spans="1:13" ht="12.75" thickBot="1">
      <c r="A9" s="146" t="s">
        <v>1273</v>
      </c>
      <c r="B9" s="146" t="s">
        <v>498</v>
      </c>
      <c r="C9" s="146" t="s">
        <v>155</v>
      </c>
      <c r="D9" s="148">
        <v>32</v>
      </c>
      <c r="E9" s="156"/>
      <c r="F9" s="149"/>
      <c r="G9" s="149"/>
      <c r="H9" s="157">
        <f>SUMIF(PoleRates!$E$4:$E$131,"20140101"&amp;C9,PoleRates!$F$4:$F$131)</f>
        <v>3.47</v>
      </c>
      <c r="I9" s="158"/>
      <c r="J9" s="159">
        <v>32</v>
      </c>
      <c r="K9" s="158">
        <f t="shared" si="0"/>
        <v>111.04</v>
      </c>
    </row>
    <row r="10" spans="1:13" ht="12.75" thickBot="1">
      <c r="A10" s="146" t="s">
        <v>1273</v>
      </c>
      <c r="B10" s="146" t="s">
        <v>1117</v>
      </c>
      <c r="C10" s="146" t="s">
        <v>155</v>
      </c>
      <c r="D10" s="150">
        <v>10</v>
      </c>
      <c r="E10" s="160"/>
      <c r="F10" s="151"/>
      <c r="G10" s="151"/>
      <c r="H10" s="157">
        <f>SUMIF(PoleRates!$E$4:$E$131,"20140101"&amp;C10,PoleRates!$F$4:$F$131)</f>
        <v>3.47</v>
      </c>
      <c r="I10" s="158"/>
      <c r="J10" s="159">
        <v>10</v>
      </c>
      <c r="K10" s="158">
        <f t="shared" si="0"/>
        <v>34.700000000000003</v>
      </c>
    </row>
    <row r="11" spans="1:13" ht="12.75" thickBot="1">
      <c r="A11" s="146" t="s">
        <v>1273</v>
      </c>
      <c r="B11" s="146" t="s">
        <v>498</v>
      </c>
      <c r="C11" s="147" t="s">
        <v>156</v>
      </c>
      <c r="D11" s="148">
        <v>175</v>
      </c>
      <c r="E11" s="156"/>
      <c r="F11" s="149"/>
      <c r="G11" s="149"/>
      <c r="H11" s="157">
        <f>SUMIF(PoleRates!$E$4:$E$131,"20140101"&amp;C11,PoleRates!$F$4:$F$131)</f>
        <v>3.73</v>
      </c>
      <c r="I11" s="158"/>
      <c r="J11" s="159">
        <v>175</v>
      </c>
      <c r="K11" s="158">
        <f t="shared" si="0"/>
        <v>652.75</v>
      </c>
    </row>
    <row r="12" spans="1:13" ht="12.75" thickBot="1">
      <c r="A12" s="146" t="s">
        <v>1273</v>
      </c>
      <c r="B12" s="146" t="s">
        <v>1117</v>
      </c>
      <c r="C12" s="147" t="s">
        <v>156</v>
      </c>
      <c r="D12" s="150">
        <v>3</v>
      </c>
      <c r="E12" s="160"/>
      <c r="F12" s="151"/>
      <c r="G12" s="151"/>
      <c r="H12" s="157">
        <f>SUMIF(PoleRates!$E$4:$E$131,"20140101"&amp;C12,PoleRates!$F$4:$F$131)</f>
        <v>3.73</v>
      </c>
      <c r="I12" s="158"/>
      <c r="J12" s="159">
        <v>3</v>
      </c>
      <c r="K12" s="158">
        <f t="shared" si="0"/>
        <v>11.19</v>
      </c>
    </row>
    <row r="13" spans="1:13" ht="12.75" thickBot="1">
      <c r="A13" s="146" t="s">
        <v>1273</v>
      </c>
      <c r="B13" s="146" t="s">
        <v>498</v>
      </c>
      <c r="C13" s="146" t="s">
        <v>160</v>
      </c>
      <c r="D13" s="149">
        <v>179</v>
      </c>
      <c r="E13" s="149"/>
      <c r="F13" s="148"/>
      <c r="G13" s="156"/>
      <c r="H13" s="157">
        <f>SUMIF(PoleRates!$E$4:$E$131,"20140101"&amp;C13,PoleRates!$F$4:$F$131)</f>
        <v>3.56</v>
      </c>
      <c r="I13" s="158"/>
      <c r="J13" s="159">
        <v>179</v>
      </c>
      <c r="K13" s="158">
        <f t="shared" si="0"/>
        <v>637.24</v>
      </c>
    </row>
    <row r="14" spans="1:13" ht="12.75" thickBot="1">
      <c r="A14" s="146" t="s">
        <v>1273</v>
      </c>
      <c r="B14" s="146" t="s">
        <v>1117</v>
      </c>
      <c r="C14" s="146" t="s">
        <v>160</v>
      </c>
      <c r="D14" s="149">
        <v>56</v>
      </c>
      <c r="E14" s="149"/>
      <c r="F14" s="148"/>
      <c r="G14" s="156"/>
      <c r="H14" s="157">
        <f>SUMIF(PoleRates!$E$4:$E$131,"20140101"&amp;C14,PoleRates!$F$4:$F$131)</f>
        <v>3.56</v>
      </c>
      <c r="I14" s="158"/>
      <c r="J14" s="159">
        <v>56</v>
      </c>
      <c r="K14" s="158">
        <f t="shared" si="0"/>
        <v>199.36</v>
      </c>
    </row>
    <row r="15" spans="1:13" ht="12.75" thickBot="1">
      <c r="A15" s="146" t="s">
        <v>1273</v>
      </c>
      <c r="B15" s="146" t="s">
        <v>498</v>
      </c>
      <c r="C15" s="146" t="s">
        <v>160</v>
      </c>
      <c r="D15" s="151">
        <v>53</v>
      </c>
      <c r="E15" s="151"/>
      <c r="F15" s="150"/>
      <c r="G15" s="160"/>
      <c r="H15" s="157">
        <f>SUMIF(PoleRates!$E$4:$E$131,"20140101"&amp;C15,PoleRates!$F$4:$F$131)</f>
        <v>3.56</v>
      </c>
      <c r="I15" s="158"/>
      <c r="J15" s="159">
        <v>53</v>
      </c>
      <c r="K15" s="158">
        <f t="shared" si="0"/>
        <v>188.68</v>
      </c>
    </row>
    <row r="16" spans="1:13" ht="12.75" thickBot="1">
      <c r="A16" s="146" t="s">
        <v>1273</v>
      </c>
      <c r="B16" s="146" t="s">
        <v>1117</v>
      </c>
      <c r="C16" s="146" t="s">
        <v>160</v>
      </c>
      <c r="D16" s="149">
        <v>112</v>
      </c>
      <c r="E16" s="149"/>
      <c r="F16" s="148"/>
      <c r="G16" s="156"/>
      <c r="H16" s="157">
        <f>SUMIF(PoleRates!$E$4:$E$131,"20140101"&amp;C16,PoleRates!$F$4:$F$131)</f>
        <v>3.56</v>
      </c>
      <c r="I16" s="158"/>
      <c r="J16" s="159">
        <v>112</v>
      </c>
      <c r="K16" s="158">
        <f t="shared" si="0"/>
        <v>398.72</v>
      </c>
    </row>
    <row r="17" spans="1:13" ht="12.75" thickBot="1">
      <c r="A17" s="146" t="s">
        <v>1273</v>
      </c>
      <c r="B17" s="146" t="s">
        <v>498</v>
      </c>
      <c r="C17" s="146" t="s">
        <v>155</v>
      </c>
      <c r="D17" s="150">
        <v>45</v>
      </c>
      <c r="E17" s="160"/>
      <c r="F17" s="151"/>
      <c r="G17" s="151"/>
      <c r="H17" s="157">
        <f>SUMIF(PoleRates!$E$4:$E$131,"20140101"&amp;C17,PoleRates!$F$4:$F$131)</f>
        <v>3.47</v>
      </c>
      <c r="I17" s="158"/>
      <c r="J17" s="159">
        <v>45</v>
      </c>
      <c r="K17" s="158">
        <f t="shared" si="0"/>
        <v>156.15</v>
      </c>
    </row>
    <row r="18" spans="1:13" ht="12.75" thickBot="1">
      <c r="A18" s="146" t="s">
        <v>1273</v>
      </c>
      <c r="B18" s="146" t="s">
        <v>1117</v>
      </c>
      <c r="C18" s="146" t="s">
        <v>155</v>
      </c>
      <c r="D18" s="148">
        <v>3</v>
      </c>
      <c r="E18" s="156"/>
      <c r="F18" s="149"/>
      <c r="G18" s="149"/>
      <c r="H18" s="157">
        <f>SUMIF(PoleRates!$E$4:$E$131,"20140101"&amp;C18,PoleRates!$F$4:$F$131)</f>
        <v>3.47</v>
      </c>
      <c r="I18" s="158"/>
      <c r="J18" s="159">
        <v>3</v>
      </c>
      <c r="K18" s="158">
        <f t="shared" si="0"/>
        <v>10.41</v>
      </c>
    </row>
    <row r="19" spans="1:13" ht="12.75" thickBot="1">
      <c r="A19" s="146" t="s">
        <v>1273</v>
      </c>
      <c r="B19" s="146" t="s">
        <v>498</v>
      </c>
      <c r="C19" s="146" t="s">
        <v>156</v>
      </c>
      <c r="D19" s="150">
        <v>20</v>
      </c>
      <c r="E19" s="160"/>
      <c r="F19" s="151"/>
      <c r="G19" s="151"/>
      <c r="H19" s="157">
        <f>SUMIF(PoleRates!$E$4:$E$131,"20140101"&amp;C19,PoleRates!$F$4:$F$131)</f>
        <v>3.73</v>
      </c>
      <c r="I19" s="158"/>
      <c r="J19" s="159">
        <v>20</v>
      </c>
      <c r="K19" s="158">
        <f t="shared" si="0"/>
        <v>74.599999999999994</v>
      </c>
    </row>
    <row r="20" spans="1:13" ht="12.75" thickBot="1">
      <c r="A20" s="146" t="s">
        <v>1273</v>
      </c>
      <c r="B20" s="146" t="s">
        <v>1117</v>
      </c>
      <c r="C20" s="146" t="s">
        <v>156</v>
      </c>
      <c r="D20" s="148">
        <v>66</v>
      </c>
      <c r="E20" s="156"/>
      <c r="F20" s="149"/>
      <c r="G20" s="149"/>
      <c r="H20" s="157">
        <f>SUMIF(PoleRates!$E$4:$E$131,"20140101"&amp;C20,PoleRates!$F$4:$F$131)</f>
        <v>3.73</v>
      </c>
      <c r="I20" s="158"/>
      <c r="J20" s="159">
        <v>66</v>
      </c>
      <c r="K20" s="158">
        <f t="shared" si="0"/>
        <v>246.18</v>
      </c>
    </row>
    <row r="21" spans="1:13" ht="12.75" thickBot="1">
      <c r="A21" s="146" t="s">
        <v>1273</v>
      </c>
      <c r="B21" s="146" t="s">
        <v>498</v>
      </c>
      <c r="C21" s="147" t="s">
        <v>160</v>
      </c>
      <c r="D21" s="150">
        <v>1</v>
      </c>
      <c r="E21" s="160"/>
      <c r="F21" s="151"/>
      <c r="G21" s="151"/>
      <c r="H21" s="157">
        <f>SUMIF(PoleRates!$E$4:$E$131,"20140101"&amp;C21,PoleRates!$F$4:$F$131)</f>
        <v>3.56</v>
      </c>
      <c r="I21" s="158"/>
      <c r="J21" s="159">
        <v>1</v>
      </c>
      <c r="K21" s="158">
        <f t="shared" si="0"/>
        <v>3.56</v>
      </c>
    </row>
    <row r="22" spans="1:13" ht="12.75" thickBot="1">
      <c r="A22" s="146" t="s">
        <v>1273</v>
      </c>
      <c r="B22" s="146" t="s">
        <v>1117</v>
      </c>
      <c r="C22" s="147" t="s">
        <v>160</v>
      </c>
      <c r="D22" s="148">
        <v>79</v>
      </c>
      <c r="E22" s="156"/>
      <c r="F22" s="149"/>
      <c r="G22" s="149"/>
      <c r="H22" s="157">
        <f>SUMIF(PoleRates!$E$4:$E$131,"20140101"&amp;C22,PoleRates!$F$4:$F$131)</f>
        <v>3.56</v>
      </c>
      <c r="I22" s="158"/>
      <c r="J22" s="159">
        <v>79</v>
      </c>
      <c r="K22" s="158">
        <f t="shared" si="0"/>
        <v>281.24</v>
      </c>
    </row>
    <row r="23" spans="1:13" ht="12.75" thickBot="1">
      <c r="A23" s="146" t="s">
        <v>1273</v>
      </c>
      <c r="B23" s="146" t="s">
        <v>498</v>
      </c>
      <c r="C23" s="146" t="s">
        <v>160</v>
      </c>
      <c r="D23" s="150">
        <v>6</v>
      </c>
      <c r="E23" s="160"/>
      <c r="F23" s="151"/>
      <c r="G23" s="151"/>
      <c r="H23" s="157">
        <f>SUMIF(PoleRates!$E$4:$E$131,"20140101"&amp;C23,PoleRates!$F$4:$F$131)</f>
        <v>3.56</v>
      </c>
      <c r="I23" s="158"/>
      <c r="J23" s="159">
        <v>6</v>
      </c>
      <c r="K23" s="158">
        <f t="shared" si="0"/>
        <v>21.36</v>
      </c>
    </row>
    <row r="24" spans="1:13" ht="12.75" thickBot="1">
      <c r="A24" s="146" t="s">
        <v>1273</v>
      </c>
      <c r="B24" s="146" t="s">
        <v>1117</v>
      </c>
      <c r="C24" s="146" t="s">
        <v>160</v>
      </c>
      <c r="D24" s="148">
        <v>60</v>
      </c>
      <c r="E24" s="156"/>
      <c r="F24" s="149"/>
      <c r="G24" s="149"/>
      <c r="H24" s="157">
        <f>SUMIF(PoleRates!$E$4:$E$131,"20140101"&amp;C24,PoleRates!$F$4:$F$131)</f>
        <v>3.56</v>
      </c>
      <c r="I24" s="158"/>
      <c r="J24" s="159">
        <v>60</v>
      </c>
      <c r="K24" s="158">
        <f t="shared" si="0"/>
        <v>213.6</v>
      </c>
    </row>
    <row r="25" spans="1:13" ht="12.75" thickBot="1">
      <c r="A25" s="146" t="s">
        <v>1273</v>
      </c>
      <c r="B25" s="146" t="s">
        <v>498</v>
      </c>
      <c r="C25" s="147" t="s">
        <v>162</v>
      </c>
      <c r="D25" s="150"/>
      <c r="E25" s="160"/>
      <c r="F25" s="151" t="s">
        <v>1288</v>
      </c>
      <c r="G25" s="151"/>
      <c r="H25" s="157">
        <f>SUMIF(PoleRates!$E$4:$E$131,"20140101"&amp;C25,PoleRates!$F$4:$F$131)</f>
        <v>11.31</v>
      </c>
      <c r="I25" s="158"/>
      <c r="J25" s="159">
        <v>37</v>
      </c>
      <c r="K25" s="158">
        <f t="shared" si="0"/>
        <v>418.47</v>
      </c>
    </row>
    <row r="26" spans="1:13" ht="12.75" thickBot="1">
      <c r="A26" s="146" t="s">
        <v>1273</v>
      </c>
      <c r="B26" s="146" t="s">
        <v>1117</v>
      </c>
      <c r="C26" s="147" t="s">
        <v>162</v>
      </c>
      <c r="D26" s="149"/>
      <c r="E26" s="149"/>
      <c r="F26" s="148">
        <v>425</v>
      </c>
      <c r="G26" s="156"/>
      <c r="H26" s="157">
        <f>SUMIF(PoleRates!$E$4:$E$131,"20140101"&amp;C26,PoleRates!$F$4:$F$131)</f>
        <v>11.31</v>
      </c>
      <c r="I26" s="158"/>
      <c r="J26" s="159">
        <v>425</v>
      </c>
      <c r="K26" s="158">
        <f t="shared" si="0"/>
        <v>4806.75</v>
      </c>
    </row>
    <row r="27" spans="1:13" ht="12.75" thickBot="1">
      <c r="A27" s="146" t="s">
        <v>1273</v>
      </c>
      <c r="B27" s="146"/>
      <c r="C27" s="162" t="s">
        <v>7</v>
      </c>
      <c r="D27" s="248"/>
      <c r="E27" s="152"/>
      <c r="F27" s="163"/>
      <c r="G27" s="152"/>
      <c r="H27" s="255"/>
      <c r="I27" s="256">
        <f>SUM(I3:I26)</f>
        <v>0</v>
      </c>
      <c r="J27" s="257">
        <f t="shared" ref="J27:K27" si="1">SUM(J3:J26)</f>
        <v>8741</v>
      </c>
      <c r="K27" s="256">
        <f t="shared" si="1"/>
        <v>28075.69000000001</v>
      </c>
    </row>
    <row r="28" spans="1:13" ht="12.75" thickBot="1">
      <c r="A28" s="146" t="s">
        <v>1274</v>
      </c>
      <c r="B28" s="146" t="s">
        <v>498</v>
      </c>
      <c r="C28" s="147" t="s">
        <v>152</v>
      </c>
      <c r="D28" s="149"/>
      <c r="E28" s="149"/>
      <c r="F28" s="148">
        <v>1660</v>
      </c>
      <c r="G28" s="156"/>
      <c r="H28" s="157">
        <f>SUMIF(PoleRates!$E$4:$E$131,"20140101"&amp;C28,PoleRates!$F$4:$F$131)</f>
        <v>2.06</v>
      </c>
      <c r="I28" s="158"/>
      <c r="J28" s="159">
        <v>1660</v>
      </c>
      <c r="K28" s="158">
        <f t="shared" si="0"/>
        <v>3419.6</v>
      </c>
      <c r="L28" s="258"/>
      <c r="M28" s="155" t="s">
        <v>1283</v>
      </c>
    </row>
    <row r="29" spans="1:13" ht="12.75" thickBot="1">
      <c r="A29" s="146" t="s">
        <v>1274</v>
      </c>
      <c r="B29" s="146" t="s">
        <v>1117</v>
      </c>
      <c r="C29" s="147" t="s">
        <v>152</v>
      </c>
      <c r="D29" s="151"/>
      <c r="E29" s="151"/>
      <c r="F29" s="150">
        <v>5182</v>
      </c>
      <c r="G29" s="160"/>
      <c r="H29" s="157">
        <f>SUMIF(PoleRates!$E$4:$E$131,"20140101"&amp;C29,PoleRates!$F$4:$F$131)</f>
        <v>2.06</v>
      </c>
      <c r="I29" s="158"/>
      <c r="J29" s="159">
        <v>5183</v>
      </c>
      <c r="K29" s="158">
        <f t="shared" si="0"/>
        <v>10676.98</v>
      </c>
      <c r="L29" s="258"/>
    </row>
    <row r="30" spans="1:13" ht="12.75" thickBot="1">
      <c r="A30" s="146" t="s">
        <v>1274</v>
      </c>
      <c r="B30" s="146" t="s">
        <v>498</v>
      </c>
      <c r="C30" s="147" t="s">
        <v>153</v>
      </c>
      <c r="D30" s="149"/>
      <c r="E30" s="149"/>
      <c r="F30" s="148">
        <v>157</v>
      </c>
      <c r="G30" s="156"/>
      <c r="H30" s="157">
        <f>SUMIF(PoleRates!$E$4:$E$131,"20140101"&amp;C30,PoleRates!$F$4:$F$131)</f>
        <v>10.81</v>
      </c>
      <c r="I30" s="158"/>
      <c r="J30" s="159">
        <v>157</v>
      </c>
      <c r="K30" s="158">
        <f t="shared" si="0"/>
        <v>1697.17</v>
      </c>
      <c r="L30" s="258"/>
    </row>
    <row r="31" spans="1:13" ht="12.75" thickBot="1">
      <c r="A31" s="146" t="s">
        <v>1274</v>
      </c>
      <c r="B31" s="146" t="s">
        <v>1117</v>
      </c>
      <c r="C31" s="147" t="s">
        <v>153</v>
      </c>
      <c r="D31" s="150"/>
      <c r="E31" s="160"/>
      <c r="F31" s="151">
        <v>0</v>
      </c>
      <c r="G31" s="151"/>
      <c r="H31" s="157">
        <f>SUMIF(PoleRates!$E$4:$E$131,"20140101"&amp;C31,PoleRates!$F$4:$F$131)</f>
        <v>10.81</v>
      </c>
      <c r="I31" s="158"/>
      <c r="J31" s="159">
        <v>0</v>
      </c>
      <c r="K31" s="158">
        <f t="shared" si="0"/>
        <v>0</v>
      </c>
      <c r="L31" s="258"/>
    </row>
    <row r="32" spans="1:13" ht="12.75" thickBot="1">
      <c r="A32" s="146" t="s">
        <v>1274</v>
      </c>
      <c r="B32" s="146" t="s">
        <v>498</v>
      </c>
      <c r="C32" s="147" t="s">
        <v>154</v>
      </c>
      <c r="D32" s="148"/>
      <c r="E32" s="156"/>
      <c r="F32" s="149" t="s">
        <v>836</v>
      </c>
      <c r="G32" s="149"/>
      <c r="H32" s="157">
        <f>SUMIF(PoleRates!$E$4:$E$131,"20140101"&amp;C32,PoleRates!$F$4:$F$131)</f>
        <v>12.9</v>
      </c>
      <c r="I32" s="158"/>
      <c r="J32" s="159">
        <v>277</v>
      </c>
      <c r="K32" s="158">
        <f t="shared" si="0"/>
        <v>3573.3</v>
      </c>
      <c r="L32" s="258"/>
    </row>
    <row r="33" spans="1:12" ht="12.75" thickBot="1">
      <c r="A33" s="146" t="s">
        <v>1274</v>
      </c>
      <c r="B33" s="146" t="s">
        <v>1117</v>
      </c>
      <c r="C33" s="147" t="s">
        <v>154</v>
      </c>
      <c r="D33" s="150"/>
      <c r="E33" s="160"/>
      <c r="F33" s="151" t="s">
        <v>1284</v>
      </c>
      <c r="G33" s="151"/>
      <c r="H33" s="157">
        <f>SUMIF(PoleRates!$E$4:$E$131,"20140101"&amp;C33,PoleRates!$F$4:$F$131)</f>
        <v>12.9</v>
      </c>
      <c r="I33" s="158"/>
      <c r="J33" s="159">
        <v>3</v>
      </c>
      <c r="K33" s="158">
        <f t="shared" si="0"/>
        <v>38.700000000000003</v>
      </c>
      <c r="L33" s="258"/>
    </row>
    <row r="34" spans="1:12" ht="12.75" thickBot="1">
      <c r="A34" s="146" t="s">
        <v>1274</v>
      </c>
      <c r="B34" s="146" t="s">
        <v>498</v>
      </c>
      <c r="C34" s="146" t="s">
        <v>155</v>
      </c>
      <c r="D34" s="148">
        <v>32</v>
      </c>
      <c r="E34" s="156"/>
      <c r="F34" s="149"/>
      <c r="G34" s="149"/>
      <c r="H34" s="157">
        <f>SUMIF(PoleRates!$E$4:$E$131,"20140101"&amp;C34,PoleRates!$F$4:$F$131)</f>
        <v>3.47</v>
      </c>
      <c r="I34" s="158"/>
      <c r="J34" s="159">
        <v>32</v>
      </c>
      <c r="K34" s="158">
        <f t="shared" si="0"/>
        <v>111.04</v>
      </c>
      <c r="L34" s="258"/>
    </row>
    <row r="35" spans="1:12" ht="12.75" thickBot="1">
      <c r="A35" s="146" t="s">
        <v>1274</v>
      </c>
      <c r="B35" s="146" t="s">
        <v>1117</v>
      </c>
      <c r="C35" s="146" t="s">
        <v>155</v>
      </c>
      <c r="D35" s="150">
        <v>10</v>
      </c>
      <c r="E35" s="160"/>
      <c r="F35" s="151"/>
      <c r="G35" s="151"/>
      <c r="H35" s="157">
        <f>SUMIF(PoleRates!$E$4:$E$131,"20140101"&amp;C35,PoleRates!$F$4:$F$131)</f>
        <v>3.47</v>
      </c>
      <c r="I35" s="158"/>
      <c r="J35" s="159">
        <v>10</v>
      </c>
      <c r="K35" s="158">
        <f t="shared" si="0"/>
        <v>34.700000000000003</v>
      </c>
      <c r="L35" s="258"/>
    </row>
    <row r="36" spans="1:12" ht="12.75" thickBot="1">
      <c r="A36" s="146" t="s">
        <v>1274</v>
      </c>
      <c r="B36" s="146" t="s">
        <v>498</v>
      </c>
      <c r="C36" s="147" t="s">
        <v>156</v>
      </c>
      <c r="D36" s="148">
        <v>175</v>
      </c>
      <c r="E36" s="156"/>
      <c r="F36" s="149"/>
      <c r="G36" s="149"/>
      <c r="H36" s="157">
        <f>SUMIF(PoleRates!$E$4:$E$131,"20140101"&amp;C36,PoleRates!$F$4:$F$131)</f>
        <v>3.73</v>
      </c>
      <c r="I36" s="158"/>
      <c r="J36" s="159">
        <v>175</v>
      </c>
      <c r="K36" s="158">
        <f t="shared" si="0"/>
        <v>652.75</v>
      </c>
      <c r="L36" s="258"/>
    </row>
    <row r="37" spans="1:12" ht="12.75" thickBot="1">
      <c r="A37" s="146" t="s">
        <v>1274</v>
      </c>
      <c r="B37" s="146" t="s">
        <v>1117</v>
      </c>
      <c r="C37" s="147" t="s">
        <v>156</v>
      </c>
      <c r="D37" s="150">
        <v>3</v>
      </c>
      <c r="E37" s="160"/>
      <c r="F37" s="151"/>
      <c r="G37" s="151"/>
      <c r="H37" s="157">
        <f>SUMIF(PoleRates!$E$4:$E$131,"20140101"&amp;C37,PoleRates!$F$4:$F$131)</f>
        <v>3.73</v>
      </c>
      <c r="I37" s="158"/>
      <c r="J37" s="159">
        <v>3</v>
      </c>
      <c r="K37" s="158">
        <f t="shared" si="0"/>
        <v>11.19</v>
      </c>
      <c r="L37" s="258"/>
    </row>
    <row r="38" spans="1:12" ht="12.75" thickBot="1">
      <c r="A38" s="146" t="s">
        <v>1274</v>
      </c>
      <c r="B38" s="146" t="s">
        <v>498</v>
      </c>
      <c r="C38" s="146" t="s">
        <v>160</v>
      </c>
      <c r="D38" s="149">
        <v>179</v>
      </c>
      <c r="E38" s="149"/>
      <c r="F38" s="148"/>
      <c r="G38" s="156"/>
      <c r="H38" s="157">
        <f>SUMIF(PoleRates!$E$4:$E$131,"20140101"&amp;C38,PoleRates!$F$4:$F$131)</f>
        <v>3.56</v>
      </c>
      <c r="I38" s="158"/>
      <c r="J38" s="159">
        <v>179</v>
      </c>
      <c r="K38" s="158">
        <f t="shared" si="0"/>
        <v>637.24</v>
      </c>
      <c r="L38" s="258"/>
    </row>
    <row r="39" spans="1:12" ht="12.75" thickBot="1">
      <c r="A39" s="146" t="s">
        <v>1274</v>
      </c>
      <c r="B39" s="146" t="s">
        <v>1117</v>
      </c>
      <c r="C39" s="146" t="s">
        <v>160</v>
      </c>
      <c r="D39" s="149">
        <v>56</v>
      </c>
      <c r="E39" s="149"/>
      <c r="F39" s="148"/>
      <c r="G39" s="156"/>
      <c r="H39" s="157">
        <f>SUMIF(PoleRates!$E$4:$E$131,"20140101"&amp;C39,PoleRates!$F$4:$F$131)</f>
        <v>3.56</v>
      </c>
      <c r="I39" s="158"/>
      <c r="J39" s="159">
        <v>56</v>
      </c>
      <c r="K39" s="158">
        <f t="shared" si="0"/>
        <v>199.36</v>
      </c>
      <c r="L39" s="258"/>
    </row>
    <row r="40" spans="1:12" ht="12.75" thickBot="1">
      <c r="A40" s="146" t="s">
        <v>1274</v>
      </c>
      <c r="B40" s="146" t="s">
        <v>498</v>
      </c>
      <c r="C40" s="146" t="s">
        <v>160</v>
      </c>
      <c r="D40" s="151">
        <v>53</v>
      </c>
      <c r="E40" s="151"/>
      <c r="F40" s="150"/>
      <c r="G40" s="160"/>
      <c r="H40" s="157">
        <f>SUMIF(PoleRates!$E$4:$E$131,"20140101"&amp;C40,PoleRates!$F$4:$F$131)</f>
        <v>3.56</v>
      </c>
      <c r="I40" s="158"/>
      <c r="J40" s="159">
        <v>53</v>
      </c>
      <c r="K40" s="158">
        <f t="shared" si="0"/>
        <v>188.68</v>
      </c>
      <c r="L40" s="258"/>
    </row>
    <row r="41" spans="1:12" ht="12.75" thickBot="1">
      <c r="A41" s="146" t="s">
        <v>1274</v>
      </c>
      <c r="B41" s="146" t="s">
        <v>1117</v>
      </c>
      <c r="C41" s="146" t="s">
        <v>160</v>
      </c>
      <c r="D41" s="149">
        <v>112</v>
      </c>
      <c r="E41" s="149"/>
      <c r="F41" s="148"/>
      <c r="G41" s="156"/>
      <c r="H41" s="157">
        <f>SUMIF(PoleRates!$E$4:$E$131,"20140101"&amp;C41,PoleRates!$F$4:$F$131)</f>
        <v>3.56</v>
      </c>
      <c r="I41" s="158"/>
      <c r="J41" s="159">
        <v>111</v>
      </c>
      <c r="K41" s="158">
        <f t="shared" si="0"/>
        <v>395.16</v>
      </c>
      <c r="L41" s="258"/>
    </row>
    <row r="42" spans="1:12" ht="12.75" thickBot="1">
      <c r="A42" s="146" t="s">
        <v>1274</v>
      </c>
      <c r="B42" s="146" t="s">
        <v>498</v>
      </c>
      <c r="C42" s="146" t="s">
        <v>155</v>
      </c>
      <c r="D42" s="150">
        <v>45</v>
      </c>
      <c r="E42" s="160"/>
      <c r="F42" s="151"/>
      <c r="G42" s="151"/>
      <c r="H42" s="157">
        <f>SUMIF(PoleRates!$E$4:$E$131,"20140101"&amp;C42,PoleRates!$F$4:$F$131)</f>
        <v>3.47</v>
      </c>
      <c r="I42" s="158"/>
      <c r="J42" s="159">
        <v>45</v>
      </c>
      <c r="K42" s="158">
        <f t="shared" si="0"/>
        <v>156.15</v>
      </c>
      <c r="L42" s="258"/>
    </row>
    <row r="43" spans="1:12" ht="12.75" thickBot="1">
      <c r="A43" s="146" t="s">
        <v>1274</v>
      </c>
      <c r="B43" s="146" t="s">
        <v>1117</v>
      </c>
      <c r="C43" s="146" t="s">
        <v>155</v>
      </c>
      <c r="D43" s="148">
        <v>3</v>
      </c>
      <c r="E43" s="156"/>
      <c r="F43" s="149"/>
      <c r="G43" s="149"/>
      <c r="H43" s="157">
        <f>SUMIF(PoleRates!$E$4:$E$131,"20140101"&amp;C43,PoleRates!$F$4:$F$131)</f>
        <v>3.47</v>
      </c>
      <c r="I43" s="158"/>
      <c r="J43" s="159">
        <v>3</v>
      </c>
      <c r="K43" s="158">
        <f t="shared" si="0"/>
        <v>10.41</v>
      </c>
      <c r="L43" s="258"/>
    </row>
    <row r="44" spans="1:12" ht="12.75" thickBot="1">
      <c r="A44" s="146" t="s">
        <v>1274</v>
      </c>
      <c r="B44" s="146" t="s">
        <v>498</v>
      </c>
      <c r="C44" s="146" t="s">
        <v>156</v>
      </c>
      <c r="D44" s="150">
        <v>20</v>
      </c>
      <c r="E44" s="160"/>
      <c r="F44" s="151"/>
      <c r="G44" s="151"/>
      <c r="H44" s="157">
        <f>SUMIF(PoleRates!$E$4:$E$131,"20140101"&amp;C44,PoleRates!$F$4:$F$131)</f>
        <v>3.73</v>
      </c>
      <c r="I44" s="158"/>
      <c r="J44" s="159">
        <v>20</v>
      </c>
      <c r="K44" s="158">
        <f t="shared" si="0"/>
        <v>74.599999999999994</v>
      </c>
      <c r="L44" s="258"/>
    </row>
    <row r="45" spans="1:12" ht="12.75" thickBot="1">
      <c r="A45" s="146" t="s">
        <v>1274</v>
      </c>
      <c r="B45" s="146" t="s">
        <v>1117</v>
      </c>
      <c r="C45" s="146" t="s">
        <v>156</v>
      </c>
      <c r="D45" s="148">
        <v>70</v>
      </c>
      <c r="E45" s="156"/>
      <c r="F45" s="149"/>
      <c r="G45" s="149"/>
      <c r="H45" s="157">
        <f>SUMIF(PoleRates!$E$4:$E$131,"20140101"&amp;C45,PoleRates!$F$4:$F$131)</f>
        <v>3.73</v>
      </c>
      <c r="I45" s="158"/>
      <c r="J45" s="159">
        <v>70</v>
      </c>
      <c r="K45" s="158">
        <f t="shared" si="0"/>
        <v>261.10000000000002</v>
      </c>
      <c r="L45" s="258"/>
    </row>
    <row r="46" spans="1:12" ht="12.75" thickBot="1">
      <c r="A46" s="146" t="s">
        <v>1274</v>
      </c>
      <c r="B46" s="146" t="s">
        <v>498</v>
      </c>
      <c r="C46" s="147" t="s">
        <v>160</v>
      </c>
      <c r="D46" s="150">
        <v>1</v>
      </c>
      <c r="E46" s="160"/>
      <c r="F46" s="151"/>
      <c r="G46" s="151"/>
      <c r="H46" s="157">
        <f>SUMIF(PoleRates!$E$4:$E$131,"20140101"&amp;C46,PoleRates!$F$4:$F$131)</f>
        <v>3.56</v>
      </c>
      <c r="I46" s="158"/>
      <c r="J46" s="159">
        <v>1</v>
      </c>
      <c r="K46" s="158">
        <f t="shared" si="0"/>
        <v>3.56</v>
      </c>
      <c r="L46" s="258"/>
    </row>
    <row r="47" spans="1:12" ht="12.75" thickBot="1">
      <c r="A47" s="146" t="s">
        <v>1274</v>
      </c>
      <c r="B47" s="146" t="s">
        <v>1117</v>
      </c>
      <c r="C47" s="147" t="s">
        <v>160</v>
      </c>
      <c r="D47" s="148">
        <v>79</v>
      </c>
      <c r="E47" s="156"/>
      <c r="F47" s="149"/>
      <c r="G47" s="149"/>
      <c r="H47" s="157">
        <f>SUMIF(PoleRates!$E$4:$E$131,"20140101"&amp;C47,PoleRates!$F$4:$F$131)</f>
        <v>3.56</v>
      </c>
      <c r="I47" s="158"/>
      <c r="J47" s="159">
        <v>79</v>
      </c>
      <c r="K47" s="158">
        <f t="shared" si="0"/>
        <v>281.24</v>
      </c>
      <c r="L47" s="258"/>
    </row>
    <row r="48" spans="1:12" ht="12.75" thickBot="1">
      <c r="A48" s="146" t="s">
        <v>1274</v>
      </c>
      <c r="B48" s="146" t="s">
        <v>498</v>
      </c>
      <c r="C48" s="146" t="s">
        <v>160</v>
      </c>
      <c r="D48" s="150">
        <v>6</v>
      </c>
      <c r="E48" s="160"/>
      <c r="F48" s="151"/>
      <c r="G48" s="151"/>
      <c r="H48" s="157">
        <f>SUMIF(PoleRates!$E$4:$E$131,"20140101"&amp;C48,PoleRates!$F$4:$F$131)</f>
        <v>3.56</v>
      </c>
      <c r="I48" s="158"/>
      <c r="J48" s="159">
        <v>6</v>
      </c>
      <c r="K48" s="158">
        <f t="shared" si="0"/>
        <v>21.36</v>
      </c>
      <c r="L48" s="258"/>
    </row>
    <row r="49" spans="1:12" ht="12.75" thickBot="1">
      <c r="A49" s="146" t="s">
        <v>1274</v>
      </c>
      <c r="B49" s="146" t="s">
        <v>1117</v>
      </c>
      <c r="C49" s="146" t="s">
        <v>160</v>
      </c>
      <c r="D49" s="148">
        <v>64</v>
      </c>
      <c r="E49" s="156"/>
      <c r="F49" s="149"/>
      <c r="G49" s="149"/>
      <c r="H49" s="157">
        <f>SUMIF(PoleRates!$E$4:$E$131,"20140101"&amp;C49,PoleRates!$F$4:$F$131)</f>
        <v>3.56</v>
      </c>
      <c r="I49" s="158"/>
      <c r="J49" s="159">
        <v>64</v>
      </c>
      <c r="K49" s="158">
        <f t="shared" si="0"/>
        <v>227.84</v>
      </c>
      <c r="L49" s="258"/>
    </row>
    <row r="50" spans="1:12" ht="12.75" thickBot="1">
      <c r="A50" s="146" t="s">
        <v>1274</v>
      </c>
      <c r="B50" s="146" t="s">
        <v>498</v>
      </c>
      <c r="C50" s="147" t="s">
        <v>162</v>
      </c>
      <c r="D50" s="150"/>
      <c r="E50" s="160"/>
      <c r="F50" s="151" t="s">
        <v>1285</v>
      </c>
      <c r="G50" s="151"/>
      <c r="H50" s="157">
        <f>SUMIF(PoleRates!$E$4:$E$131,"20140101"&amp;C50,PoleRates!$F$4:$F$131)</f>
        <v>11.31</v>
      </c>
      <c r="I50" s="158"/>
      <c r="J50" s="159">
        <v>36</v>
      </c>
      <c r="K50" s="158">
        <f t="shared" si="0"/>
        <v>407.16</v>
      </c>
      <c r="L50" s="258"/>
    </row>
    <row r="51" spans="1:12" ht="12.75" thickBot="1">
      <c r="A51" s="146" t="s">
        <v>1274</v>
      </c>
      <c r="B51" s="146" t="s">
        <v>1117</v>
      </c>
      <c r="C51" s="147" t="s">
        <v>162</v>
      </c>
      <c r="D51" s="149"/>
      <c r="E51" s="149"/>
      <c r="F51" s="148">
        <v>423</v>
      </c>
      <c r="G51" s="156"/>
      <c r="H51" s="157">
        <f>SUMIF(PoleRates!$E$4:$E$131,"20140101"&amp;C51,PoleRates!$F$4:$F$131)</f>
        <v>11.31</v>
      </c>
      <c r="I51" s="158"/>
      <c r="J51" s="159">
        <v>423</v>
      </c>
      <c r="K51" s="158">
        <f t="shared" si="0"/>
        <v>4784.13</v>
      </c>
      <c r="L51" s="258"/>
    </row>
    <row r="52" spans="1:12" ht="12.75" thickBot="1">
      <c r="A52" s="146" t="s">
        <v>1274</v>
      </c>
      <c r="B52" s="146"/>
      <c r="C52" s="162" t="s">
        <v>7</v>
      </c>
      <c r="D52" s="248" t="s">
        <v>1205</v>
      </c>
      <c r="E52" s="152"/>
      <c r="F52" s="163"/>
      <c r="G52" s="152"/>
      <c r="H52" s="164"/>
      <c r="I52" s="256">
        <f>SUM(I28:I51)</f>
        <v>0</v>
      </c>
      <c r="J52" s="257">
        <f t="shared" ref="J52" si="2">SUM(J28:J51)</f>
        <v>8646</v>
      </c>
      <c r="K52" s="256">
        <f t="shared" ref="K52" si="3">SUM(K28:K51)</f>
        <v>27863.420000000006</v>
      </c>
    </row>
    <row r="53" spans="1:12" ht="12.75" thickBot="1">
      <c r="A53" s="146" t="s">
        <v>1212</v>
      </c>
      <c r="B53" s="146" t="s">
        <v>498</v>
      </c>
      <c r="C53" s="147" t="s">
        <v>152</v>
      </c>
      <c r="D53" s="149"/>
      <c r="E53" s="149"/>
      <c r="F53" s="148">
        <f>J53</f>
        <v>1654</v>
      </c>
      <c r="G53" s="156"/>
      <c r="H53" s="157">
        <f>SUMIF(PoleRates!$E$4:$E$131,"20140101"&amp;C53,PoleRates!$F$4:$F$131)</f>
        <v>2.06</v>
      </c>
      <c r="I53" s="158">
        <v>3407.97</v>
      </c>
      <c r="J53" s="159">
        <v>1654</v>
      </c>
      <c r="K53" s="155">
        <v>3407.9699999999993</v>
      </c>
    </row>
    <row r="54" spans="1:12" ht="12.75" thickBot="1">
      <c r="A54" s="146" t="s">
        <v>1212</v>
      </c>
      <c r="B54" s="146" t="s">
        <v>1117</v>
      </c>
      <c r="C54" s="147" t="s">
        <v>152</v>
      </c>
      <c r="D54" s="151"/>
      <c r="E54" s="151"/>
      <c r="F54" s="150">
        <f t="shared" ref="F54:F58" si="4">J54</f>
        <v>5204</v>
      </c>
      <c r="G54" s="160"/>
      <c r="H54" s="157">
        <f>SUMIF(PoleRates!$E$4:$E$131,"20140101"&amp;C54,PoleRates!$F$4:$F$131)</f>
        <v>2.06</v>
      </c>
      <c r="I54" s="158">
        <v>10719.600000000002</v>
      </c>
      <c r="J54" s="159">
        <v>5204</v>
      </c>
      <c r="K54" s="155">
        <v>10719.600000000002</v>
      </c>
    </row>
    <row r="55" spans="1:12" ht="12.75" thickBot="1">
      <c r="A55" s="146" t="s">
        <v>1212</v>
      </c>
      <c r="B55" s="146" t="s">
        <v>498</v>
      </c>
      <c r="C55" s="147" t="s">
        <v>153</v>
      </c>
      <c r="D55" s="149"/>
      <c r="E55" s="149"/>
      <c r="F55" s="148">
        <f t="shared" si="4"/>
        <v>157</v>
      </c>
      <c r="G55" s="156"/>
      <c r="H55" s="157">
        <f>SUMIF(PoleRates!$E$4:$E$131,"20140101"&amp;C55,PoleRates!$F$4:$F$131)</f>
        <v>10.81</v>
      </c>
      <c r="I55" s="158">
        <v>1697.1699999999998</v>
      </c>
      <c r="J55" s="159">
        <v>157</v>
      </c>
      <c r="K55" s="155">
        <v>1697.1699999999998</v>
      </c>
    </row>
    <row r="56" spans="1:12" ht="12.75" thickBot="1">
      <c r="A56" s="146" t="s">
        <v>1212</v>
      </c>
      <c r="B56" s="146" t="s">
        <v>1117</v>
      </c>
      <c r="C56" s="147" t="s">
        <v>153</v>
      </c>
      <c r="D56" s="150"/>
      <c r="E56" s="160"/>
      <c r="F56" s="151">
        <f t="shared" si="4"/>
        <v>0</v>
      </c>
      <c r="G56" s="151"/>
      <c r="H56" s="157">
        <f>SUMIF(PoleRates!$E$4:$E$131,"20140101"&amp;C56,PoleRates!$F$4:$F$131)</f>
        <v>10.81</v>
      </c>
      <c r="I56" s="158">
        <v>0</v>
      </c>
      <c r="J56" s="159">
        <v>0</v>
      </c>
      <c r="K56" s="155">
        <v>0</v>
      </c>
    </row>
    <row r="57" spans="1:12" ht="12.75" thickBot="1">
      <c r="A57" s="146" t="s">
        <v>1212</v>
      </c>
      <c r="B57" s="146" t="s">
        <v>498</v>
      </c>
      <c r="C57" s="147" t="s">
        <v>154</v>
      </c>
      <c r="D57" s="148"/>
      <c r="E57" s="156"/>
      <c r="F57" s="149">
        <f t="shared" si="4"/>
        <v>277</v>
      </c>
      <c r="G57" s="149"/>
      <c r="H57" s="157">
        <f>SUMIF(PoleRates!$E$4:$E$131,"20140101"&amp;C57,PoleRates!$F$4:$F$131)</f>
        <v>12.9</v>
      </c>
      <c r="I57" s="158">
        <v>3573.3</v>
      </c>
      <c r="J57" s="159">
        <v>277</v>
      </c>
      <c r="K57" s="155">
        <v>3573.3</v>
      </c>
    </row>
    <row r="58" spans="1:12" ht="12.75" thickBot="1">
      <c r="A58" s="146" t="s">
        <v>1212</v>
      </c>
      <c r="B58" s="146" t="s">
        <v>1117</v>
      </c>
      <c r="C58" s="147" t="s">
        <v>154</v>
      </c>
      <c r="D58" s="150"/>
      <c r="E58" s="160"/>
      <c r="F58" s="151">
        <f t="shared" si="4"/>
        <v>3</v>
      </c>
      <c r="G58" s="151"/>
      <c r="H58" s="157">
        <f>SUMIF(PoleRates!$E$4:$E$131,"20140101"&amp;C58,PoleRates!$F$4:$F$131)</f>
        <v>12.9</v>
      </c>
      <c r="I58" s="158">
        <v>38.700000000000003</v>
      </c>
      <c r="J58" s="159">
        <v>3</v>
      </c>
      <c r="K58" s="155">
        <v>38.700000000000003</v>
      </c>
    </row>
    <row r="59" spans="1:12" ht="12.75" thickBot="1">
      <c r="A59" s="146" t="s">
        <v>1212</v>
      </c>
      <c r="B59" s="146" t="s">
        <v>498</v>
      </c>
      <c r="C59" s="146" t="s">
        <v>155</v>
      </c>
      <c r="D59" s="148">
        <f>J59</f>
        <v>32</v>
      </c>
      <c r="E59" s="156"/>
      <c r="F59" s="149"/>
      <c r="G59" s="149"/>
      <c r="H59" s="157">
        <f>SUMIF(PoleRates!$E$4:$E$131,"20140101"&amp;C59,PoleRates!$F$4:$F$131)</f>
        <v>3.47</v>
      </c>
      <c r="I59" s="158">
        <v>111.03999999999999</v>
      </c>
      <c r="J59" s="159">
        <v>32</v>
      </c>
      <c r="K59" s="155">
        <v>111.03999999999999</v>
      </c>
    </row>
    <row r="60" spans="1:12" ht="12.75" thickBot="1">
      <c r="A60" s="146" t="s">
        <v>1212</v>
      </c>
      <c r="B60" s="146" t="s">
        <v>1117</v>
      </c>
      <c r="C60" s="146" t="s">
        <v>155</v>
      </c>
      <c r="D60" s="150">
        <f t="shared" ref="D60:D74" si="5">J60</f>
        <v>10</v>
      </c>
      <c r="E60" s="160"/>
      <c r="F60" s="151"/>
      <c r="G60" s="151"/>
      <c r="H60" s="157">
        <f>SUMIF(PoleRates!$E$4:$E$131,"20140101"&amp;C60,PoleRates!$F$4:$F$131)</f>
        <v>3.47</v>
      </c>
      <c r="I60" s="158">
        <v>34.700000000000003</v>
      </c>
      <c r="J60" s="159">
        <v>10</v>
      </c>
      <c r="K60" s="155">
        <v>34.700000000000003</v>
      </c>
    </row>
    <row r="61" spans="1:12" ht="12.75" thickBot="1">
      <c r="A61" s="146" t="s">
        <v>1212</v>
      </c>
      <c r="B61" s="146" t="s">
        <v>498</v>
      </c>
      <c r="C61" s="147" t="s">
        <v>156</v>
      </c>
      <c r="D61" s="148">
        <f t="shared" si="5"/>
        <v>175</v>
      </c>
      <c r="E61" s="156"/>
      <c r="F61" s="149"/>
      <c r="G61" s="149"/>
      <c r="H61" s="157">
        <f>SUMIF(PoleRates!$E$4:$E$131,"20140101"&amp;C61,PoleRates!$F$4:$F$131)</f>
        <v>3.73</v>
      </c>
      <c r="I61" s="158">
        <v>652.75</v>
      </c>
      <c r="J61" s="159">
        <v>175</v>
      </c>
      <c r="K61" s="155">
        <v>652.75</v>
      </c>
    </row>
    <row r="62" spans="1:12" ht="12.75" thickBot="1">
      <c r="A62" s="146" t="s">
        <v>1212</v>
      </c>
      <c r="B62" s="146" t="s">
        <v>1117</v>
      </c>
      <c r="C62" s="147" t="s">
        <v>156</v>
      </c>
      <c r="D62" s="150">
        <f t="shared" si="5"/>
        <v>3</v>
      </c>
      <c r="E62" s="160"/>
      <c r="F62" s="151"/>
      <c r="G62" s="151"/>
      <c r="H62" s="157">
        <f>SUMIF(PoleRates!$E$4:$E$131,"20140101"&amp;C62,PoleRates!$F$4:$F$131)</f>
        <v>3.73</v>
      </c>
      <c r="I62" s="158">
        <v>11.19</v>
      </c>
      <c r="J62" s="159">
        <v>3</v>
      </c>
      <c r="K62" s="155">
        <v>11.19</v>
      </c>
    </row>
    <row r="63" spans="1:12" ht="12.75" thickBot="1">
      <c r="A63" s="146" t="s">
        <v>1212</v>
      </c>
      <c r="B63" s="146" t="s">
        <v>498</v>
      </c>
      <c r="C63" s="146" t="s">
        <v>160</v>
      </c>
      <c r="D63" s="149">
        <f t="shared" si="5"/>
        <v>179</v>
      </c>
      <c r="E63" s="149"/>
      <c r="F63" s="148"/>
      <c r="G63" s="156"/>
      <c r="H63" s="157">
        <f>SUMIF(PoleRates!$E$4:$E$131,"20140101"&amp;C63,PoleRates!$F$4:$F$131)</f>
        <v>3.56</v>
      </c>
      <c r="I63" s="158">
        <v>637.24</v>
      </c>
      <c r="J63" s="159">
        <v>179</v>
      </c>
      <c r="K63" s="155">
        <v>637.24</v>
      </c>
    </row>
    <row r="64" spans="1:12" ht="12.75" thickBot="1">
      <c r="A64" s="146" t="s">
        <v>1212</v>
      </c>
      <c r="B64" s="146" t="s">
        <v>1117</v>
      </c>
      <c r="C64" s="146" t="s">
        <v>160</v>
      </c>
      <c r="D64" s="149">
        <f t="shared" si="5"/>
        <v>56</v>
      </c>
      <c r="E64" s="149"/>
      <c r="F64" s="148"/>
      <c r="G64" s="156"/>
      <c r="H64" s="157">
        <f>SUMIF(PoleRates!$E$4:$E$131,"20140101"&amp;C64,PoleRates!$F$4:$F$131)</f>
        <v>3.56</v>
      </c>
      <c r="I64" s="158">
        <v>199.36</v>
      </c>
      <c r="J64" s="159">
        <v>56</v>
      </c>
      <c r="K64" s="155">
        <v>199.36</v>
      </c>
    </row>
    <row r="65" spans="1:11" ht="12.75" thickBot="1">
      <c r="A65" s="146" t="s">
        <v>1212</v>
      </c>
      <c r="B65" s="146" t="s">
        <v>498</v>
      </c>
      <c r="C65" s="146" t="s">
        <v>160</v>
      </c>
      <c r="D65" s="151">
        <f t="shared" si="5"/>
        <v>53</v>
      </c>
      <c r="E65" s="151"/>
      <c r="F65" s="150"/>
      <c r="G65" s="160"/>
      <c r="H65" s="157">
        <f>SUMIF(PoleRates!$E$4:$E$131,"20140101"&amp;C65,PoleRates!$F$4:$F$131)</f>
        <v>3.56</v>
      </c>
      <c r="I65" s="158">
        <v>199.35999999999999</v>
      </c>
      <c r="J65" s="159">
        <v>53</v>
      </c>
      <c r="K65" s="155">
        <v>199.35999999999999</v>
      </c>
    </row>
    <row r="66" spans="1:11" ht="12.75" thickBot="1">
      <c r="A66" s="146" t="s">
        <v>1212</v>
      </c>
      <c r="B66" s="146" t="s">
        <v>1117</v>
      </c>
      <c r="C66" s="146" t="s">
        <v>160</v>
      </c>
      <c r="D66" s="149">
        <f t="shared" si="5"/>
        <v>112</v>
      </c>
      <c r="E66" s="149"/>
      <c r="F66" s="148"/>
      <c r="G66" s="156"/>
      <c r="H66" s="157">
        <f>SUMIF(PoleRates!$E$4:$E$131,"20140101"&amp;C66,PoleRates!$F$4:$F$131)</f>
        <v>3.56</v>
      </c>
      <c r="I66" s="158">
        <v>416.52</v>
      </c>
      <c r="J66" s="159">
        <v>112</v>
      </c>
      <c r="K66" s="155">
        <v>416.52</v>
      </c>
    </row>
    <row r="67" spans="1:11" ht="12.75" thickBot="1">
      <c r="A67" s="146" t="s">
        <v>1212</v>
      </c>
      <c r="B67" s="146" t="s">
        <v>498</v>
      </c>
      <c r="C67" s="146" t="s">
        <v>155</v>
      </c>
      <c r="D67" s="150">
        <f t="shared" si="5"/>
        <v>45</v>
      </c>
      <c r="E67" s="160"/>
      <c r="F67" s="151"/>
      <c r="G67" s="151"/>
      <c r="H67" s="157">
        <f>SUMIF(PoleRates!$E$4:$E$131,"20140101"&amp;C67,PoleRates!$F$4:$F$131)</f>
        <v>3.47</v>
      </c>
      <c r="I67" s="158">
        <v>156.15</v>
      </c>
      <c r="J67" s="159">
        <v>45</v>
      </c>
      <c r="K67" s="155">
        <v>156.15</v>
      </c>
    </row>
    <row r="68" spans="1:11" ht="12.75" thickBot="1">
      <c r="A68" s="146" t="s">
        <v>1212</v>
      </c>
      <c r="B68" s="146" t="s">
        <v>1117</v>
      </c>
      <c r="C68" s="146" t="s">
        <v>155</v>
      </c>
      <c r="D68" s="148">
        <f t="shared" si="5"/>
        <v>3</v>
      </c>
      <c r="E68" s="156"/>
      <c r="F68" s="149"/>
      <c r="G68" s="149"/>
      <c r="H68" s="157">
        <f>SUMIF(PoleRates!$E$4:$E$131,"20140101"&amp;C68,PoleRates!$F$4:$F$131)</f>
        <v>3.47</v>
      </c>
      <c r="I68" s="158">
        <v>10.41</v>
      </c>
      <c r="J68" s="159">
        <v>3</v>
      </c>
      <c r="K68" s="155">
        <v>10.41</v>
      </c>
    </row>
    <row r="69" spans="1:11" ht="12.75" thickBot="1">
      <c r="A69" s="146" t="s">
        <v>1212</v>
      </c>
      <c r="B69" s="146" t="s">
        <v>498</v>
      </c>
      <c r="C69" s="146" t="s">
        <v>156</v>
      </c>
      <c r="D69" s="150">
        <f t="shared" si="5"/>
        <v>20</v>
      </c>
      <c r="E69" s="160"/>
      <c r="F69" s="151"/>
      <c r="G69" s="151"/>
      <c r="H69" s="157">
        <f>SUMIF(PoleRates!$E$4:$E$131,"20140101"&amp;C69,PoleRates!$F$4:$F$131)</f>
        <v>3.73</v>
      </c>
      <c r="I69" s="158">
        <v>70.87</v>
      </c>
      <c r="J69" s="159">
        <v>20</v>
      </c>
      <c r="K69" s="155">
        <v>70.87</v>
      </c>
    </row>
    <row r="70" spans="1:11" ht="12.75" thickBot="1">
      <c r="A70" s="146" t="s">
        <v>1212</v>
      </c>
      <c r="B70" s="146" t="s">
        <v>1117</v>
      </c>
      <c r="C70" s="146" t="s">
        <v>156</v>
      </c>
      <c r="D70" s="148">
        <f t="shared" si="5"/>
        <v>70</v>
      </c>
      <c r="E70" s="156"/>
      <c r="F70" s="149"/>
      <c r="G70" s="149"/>
      <c r="H70" s="157">
        <f>SUMIF(PoleRates!$E$4:$E$131,"20140101"&amp;C70,PoleRates!$F$4:$F$131)</f>
        <v>3.73</v>
      </c>
      <c r="I70" s="158">
        <v>249.90999999999997</v>
      </c>
      <c r="J70" s="159">
        <v>70</v>
      </c>
      <c r="K70" s="155">
        <v>249.90999999999997</v>
      </c>
    </row>
    <row r="71" spans="1:11" ht="12.75" thickBot="1">
      <c r="A71" s="146" t="s">
        <v>1212</v>
      </c>
      <c r="B71" s="146" t="s">
        <v>498</v>
      </c>
      <c r="C71" s="147" t="s">
        <v>160</v>
      </c>
      <c r="D71" s="150">
        <f t="shared" si="5"/>
        <v>1</v>
      </c>
      <c r="E71" s="160"/>
      <c r="F71" s="151"/>
      <c r="G71" s="151"/>
      <c r="H71" s="157">
        <f>SUMIF(PoleRates!$E$4:$E$131,"20140101"&amp;C71,PoleRates!$F$4:$F$131)</f>
        <v>3.56</v>
      </c>
      <c r="I71" s="158">
        <v>3.56</v>
      </c>
      <c r="J71" s="159">
        <v>1</v>
      </c>
      <c r="K71" s="155">
        <v>3.56</v>
      </c>
    </row>
    <row r="72" spans="1:11" ht="12.75" thickBot="1">
      <c r="A72" s="146" t="s">
        <v>1212</v>
      </c>
      <c r="B72" s="146" t="s">
        <v>1117</v>
      </c>
      <c r="C72" s="147" t="s">
        <v>160</v>
      </c>
      <c r="D72" s="148">
        <f t="shared" si="5"/>
        <v>79</v>
      </c>
      <c r="E72" s="156"/>
      <c r="F72" s="149"/>
      <c r="G72" s="149"/>
      <c r="H72" s="157">
        <f>SUMIF(PoleRates!$E$4:$E$131,"20140101"&amp;C72,PoleRates!$F$4:$F$131)</f>
        <v>3.56</v>
      </c>
      <c r="I72" s="158">
        <v>281.24</v>
      </c>
      <c r="J72" s="159">
        <v>79</v>
      </c>
      <c r="K72" s="155">
        <v>281.24</v>
      </c>
    </row>
    <row r="73" spans="1:11" ht="12.75" thickBot="1">
      <c r="A73" s="146" t="s">
        <v>1212</v>
      </c>
      <c r="B73" s="146" t="s">
        <v>498</v>
      </c>
      <c r="C73" s="146" t="s">
        <v>160</v>
      </c>
      <c r="D73" s="150">
        <f t="shared" si="5"/>
        <v>6</v>
      </c>
      <c r="E73" s="160"/>
      <c r="F73" s="151"/>
      <c r="G73" s="151"/>
      <c r="H73" s="157">
        <f>SUMIF(PoleRates!$E$4:$E$131,"20140101"&amp;C73,PoleRates!$F$4:$F$131)</f>
        <v>3.56</v>
      </c>
      <c r="I73" s="158">
        <v>21.36</v>
      </c>
      <c r="J73" s="159">
        <v>6</v>
      </c>
      <c r="K73" s="155">
        <v>21.36</v>
      </c>
    </row>
    <row r="74" spans="1:11" ht="12.75" thickBot="1">
      <c r="A74" s="146" t="s">
        <v>1212</v>
      </c>
      <c r="B74" s="146" t="s">
        <v>1117</v>
      </c>
      <c r="C74" s="146" t="s">
        <v>160</v>
      </c>
      <c r="D74" s="148">
        <f t="shared" si="5"/>
        <v>60</v>
      </c>
      <c r="E74" s="156"/>
      <c r="F74" s="149"/>
      <c r="G74" s="149"/>
      <c r="H74" s="157">
        <f>SUMIF(PoleRates!$E$4:$E$131,"20140101"&amp;C74,PoleRates!$F$4:$F$131)</f>
        <v>3.56</v>
      </c>
      <c r="I74" s="158">
        <v>213.6</v>
      </c>
      <c r="J74" s="159">
        <v>60</v>
      </c>
      <c r="K74" s="155">
        <v>213.6</v>
      </c>
    </row>
    <row r="75" spans="1:11" ht="12.75" thickBot="1">
      <c r="A75" s="146" t="s">
        <v>1212</v>
      </c>
      <c r="B75" s="146" t="s">
        <v>498</v>
      </c>
      <c r="C75" s="147" t="s">
        <v>162</v>
      </c>
      <c r="D75" s="150"/>
      <c r="E75" s="160"/>
      <c r="F75" s="151">
        <f t="shared" ref="F75:F76" si="6">J75</f>
        <v>36</v>
      </c>
      <c r="G75" s="151"/>
      <c r="H75" s="157">
        <f>SUMIF(PoleRates!$E$4:$E$131,"20140101"&amp;C75,PoleRates!$F$4:$F$131)</f>
        <v>11.31</v>
      </c>
      <c r="I75" s="158">
        <v>407.16</v>
      </c>
      <c r="J75" s="159">
        <v>36</v>
      </c>
      <c r="K75" s="155">
        <v>407.16</v>
      </c>
    </row>
    <row r="76" spans="1:11" ht="12.75" thickBot="1">
      <c r="A76" s="146" t="s">
        <v>1212</v>
      </c>
      <c r="B76" s="146" t="s">
        <v>1117</v>
      </c>
      <c r="C76" s="147" t="s">
        <v>162</v>
      </c>
      <c r="D76" s="149"/>
      <c r="E76" s="149"/>
      <c r="F76" s="148">
        <f t="shared" si="6"/>
        <v>420</v>
      </c>
      <c r="G76" s="156"/>
      <c r="H76" s="157">
        <f>SUMIF(PoleRates!$E$4:$E$131,"20140101"&amp;C76,PoleRates!$F$4:$F$131)</f>
        <v>11.31</v>
      </c>
      <c r="I76" s="158">
        <v>4751.33</v>
      </c>
      <c r="J76" s="159">
        <v>420</v>
      </c>
      <c r="K76" s="155">
        <v>4751.33</v>
      </c>
    </row>
    <row r="77" spans="1:11" ht="12.75" thickBot="1">
      <c r="A77" s="146" t="s">
        <v>1212</v>
      </c>
      <c r="B77" s="146"/>
      <c r="C77" s="162" t="s">
        <v>7</v>
      </c>
      <c r="D77" s="152"/>
      <c r="E77" s="163"/>
      <c r="F77" s="152"/>
      <c r="G77" s="163"/>
      <c r="H77" s="164"/>
      <c r="I77" s="158">
        <v>27864.490000000005</v>
      </c>
      <c r="J77" s="155">
        <v>8655</v>
      </c>
      <c r="K77" s="155">
        <v>27864.490000000005</v>
      </c>
    </row>
    <row r="78" spans="1:11" ht="13.5" thickBot="1">
      <c r="A78" s="146"/>
      <c r="B78" s="146"/>
      <c r="C78" s="248" t="s">
        <v>1205</v>
      </c>
      <c r="D78" s="152"/>
      <c r="E78" s="163"/>
      <c r="F78" s="152"/>
      <c r="G78" s="163"/>
      <c r="H78" s="187" t="s">
        <v>1024</v>
      </c>
      <c r="I78" s="186" t="s">
        <v>1023</v>
      </c>
      <c r="J78" s="186" t="s">
        <v>1012</v>
      </c>
      <c r="K78" s="186" t="s">
        <v>1017</v>
      </c>
    </row>
    <row r="79" spans="1:11" ht="12.75" thickBot="1">
      <c r="A79" s="146" t="s">
        <v>1213</v>
      </c>
      <c r="B79" s="146" t="s">
        <v>498</v>
      </c>
      <c r="C79" s="147" t="s">
        <v>152</v>
      </c>
      <c r="D79" s="149"/>
      <c r="E79" s="149"/>
      <c r="F79" s="148">
        <f>J79</f>
        <v>1622</v>
      </c>
      <c r="G79" s="156"/>
      <c r="H79" s="157">
        <f>SUMIF(PoleRates!$E$4:$E$131,"20140101"&amp;C79,PoleRates!$F$4:$F$131)</f>
        <v>2.06</v>
      </c>
      <c r="I79" s="158">
        <v>3340.6299999999997</v>
      </c>
      <c r="J79" s="159">
        <v>1622</v>
      </c>
      <c r="K79" s="188">
        <v>3340.6299999999997</v>
      </c>
    </row>
    <row r="80" spans="1:11" ht="12.75" thickBot="1">
      <c r="A80" s="146" t="s">
        <v>1213</v>
      </c>
      <c r="B80" s="146" t="s">
        <v>1117</v>
      </c>
      <c r="C80" s="147" t="s">
        <v>152</v>
      </c>
      <c r="D80" s="151"/>
      <c r="E80" s="151"/>
      <c r="F80" s="150">
        <f t="shared" ref="F80:F84" si="7">J80</f>
        <v>5141</v>
      </c>
      <c r="G80" s="160"/>
      <c r="H80" s="157">
        <f>SUMIF(PoleRates!$E$4:$E$131,"20140101"&amp;C80,PoleRates!$F$4:$F$131)</f>
        <v>2.06</v>
      </c>
      <c r="I80" s="158">
        <v>10591.180000000002</v>
      </c>
      <c r="J80" s="159">
        <v>5141</v>
      </c>
      <c r="K80" s="188">
        <v>10591.180000000002</v>
      </c>
    </row>
    <row r="81" spans="1:11" ht="12.75" thickBot="1">
      <c r="A81" s="146" t="s">
        <v>1213</v>
      </c>
      <c r="B81" s="146" t="s">
        <v>498</v>
      </c>
      <c r="C81" s="147" t="s">
        <v>153</v>
      </c>
      <c r="D81" s="149"/>
      <c r="E81" s="149"/>
      <c r="F81" s="148">
        <f t="shared" si="7"/>
        <v>157</v>
      </c>
      <c r="G81" s="156"/>
      <c r="H81" s="157">
        <f>SUMIF(PoleRates!$E$4:$E$131,"20140101"&amp;C81,PoleRates!$F$4:$F$131)</f>
        <v>10.81</v>
      </c>
      <c r="I81" s="158">
        <v>1697.1699999999998</v>
      </c>
      <c r="J81" s="159">
        <v>157</v>
      </c>
      <c r="K81" s="188">
        <v>1697.1699999999998</v>
      </c>
    </row>
    <row r="82" spans="1:11" ht="12.75" thickBot="1">
      <c r="A82" s="146" t="s">
        <v>1213</v>
      </c>
      <c r="B82" s="146" t="s">
        <v>1117</v>
      </c>
      <c r="C82" s="147" t="s">
        <v>153</v>
      </c>
      <c r="D82" s="150"/>
      <c r="E82" s="160"/>
      <c r="F82" s="151">
        <f t="shared" si="7"/>
        <v>0</v>
      </c>
      <c r="G82" s="151"/>
      <c r="H82" s="157">
        <f>SUMIF(PoleRates!$E$4:$E$131,"20140101"&amp;C82,PoleRates!$F$4:$F$131)</f>
        <v>10.81</v>
      </c>
      <c r="I82" s="158">
        <v>0</v>
      </c>
      <c r="J82" s="159">
        <v>0</v>
      </c>
      <c r="K82" s="188">
        <v>0</v>
      </c>
    </row>
    <row r="83" spans="1:11" ht="12.75" thickBot="1">
      <c r="A83" s="146" t="s">
        <v>1213</v>
      </c>
      <c r="B83" s="146" t="s">
        <v>498</v>
      </c>
      <c r="C83" s="147" t="s">
        <v>154</v>
      </c>
      <c r="D83" s="148"/>
      <c r="E83" s="156"/>
      <c r="F83" s="149">
        <f t="shared" si="7"/>
        <v>277</v>
      </c>
      <c r="G83" s="149"/>
      <c r="H83" s="157">
        <f>SUMIF(PoleRates!$E$4:$E$131,"20140101"&amp;C83,PoleRates!$F$4:$F$131)</f>
        <v>12.9</v>
      </c>
      <c r="I83" s="158">
        <v>3573.3</v>
      </c>
      <c r="J83" s="159">
        <v>277</v>
      </c>
      <c r="K83" s="188">
        <v>3573.3</v>
      </c>
    </row>
    <row r="84" spans="1:11" ht="12.75" thickBot="1">
      <c r="A84" s="146" t="s">
        <v>1213</v>
      </c>
      <c r="B84" s="146" t="s">
        <v>1117</v>
      </c>
      <c r="C84" s="147" t="s">
        <v>154</v>
      </c>
      <c r="D84" s="150"/>
      <c r="E84" s="160"/>
      <c r="F84" s="151">
        <f t="shared" si="7"/>
        <v>3</v>
      </c>
      <c r="G84" s="151"/>
      <c r="H84" s="157">
        <f>SUMIF(PoleRates!$E$4:$E$131,"20140101"&amp;C84,PoleRates!$F$4:$F$131)</f>
        <v>12.9</v>
      </c>
      <c r="I84" s="158">
        <v>38.700000000000003</v>
      </c>
      <c r="J84" s="159">
        <v>3</v>
      </c>
      <c r="K84" s="188">
        <v>38.700000000000003</v>
      </c>
    </row>
    <row r="85" spans="1:11" ht="12.75" thickBot="1">
      <c r="A85" s="146" t="s">
        <v>1213</v>
      </c>
      <c r="B85" s="146" t="s">
        <v>498</v>
      </c>
      <c r="C85" s="146" t="s">
        <v>155</v>
      </c>
      <c r="D85" s="148">
        <f>J85</f>
        <v>32</v>
      </c>
      <c r="E85" s="156"/>
      <c r="F85" s="149"/>
      <c r="G85" s="149"/>
      <c r="H85" s="157">
        <f>SUMIF(PoleRates!$E$4:$E$131,"20140101"&amp;C85,PoleRates!$F$4:$F$131)</f>
        <v>3.47</v>
      </c>
      <c r="I85" s="158">
        <v>111.03999999999999</v>
      </c>
      <c r="J85" s="159">
        <v>32</v>
      </c>
      <c r="K85" s="188">
        <v>111.03999999999999</v>
      </c>
    </row>
    <row r="86" spans="1:11" ht="12.75" thickBot="1">
      <c r="A86" s="146" t="s">
        <v>1213</v>
      </c>
      <c r="B86" s="146" t="s">
        <v>1117</v>
      </c>
      <c r="C86" s="146" t="s">
        <v>155</v>
      </c>
      <c r="D86" s="150">
        <f t="shared" ref="D86:D100" si="8">J86</f>
        <v>10</v>
      </c>
      <c r="E86" s="160"/>
      <c r="F86" s="151"/>
      <c r="G86" s="151"/>
      <c r="H86" s="157">
        <f>SUMIF(PoleRates!$E$4:$E$131,"20140101"&amp;C86,PoleRates!$F$4:$F$131)</f>
        <v>3.47</v>
      </c>
      <c r="I86" s="158">
        <v>34.700000000000003</v>
      </c>
      <c r="J86" s="159">
        <v>10</v>
      </c>
      <c r="K86" s="188">
        <v>34.700000000000003</v>
      </c>
    </row>
    <row r="87" spans="1:11" ht="12.75" thickBot="1">
      <c r="A87" s="146" t="s">
        <v>1213</v>
      </c>
      <c r="B87" s="146" t="s">
        <v>498</v>
      </c>
      <c r="C87" s="147" t="s">
        <v>156</v>
      </c>
      <c r="D87" s="148">
        <f t="shared" si="8"/>
        <v>175</v>
      </c>
      <c r="E87" s="156"/>
      <c r="F87" s="149"/>
      <c r="G87" s="149"/>
      <c r="H87" s="157">
        <f>SUMIF(PoleRates!$E$4:$E$131,"20140101"&amp;C87,PoleRates!$F$4:$F$131)</f>
        <v>3.73</v>
      </c>
      <c r="I87" s="158">
        <v>652.75</v>
      </c>
      <c r="J87" s="159">
        <v>175</v>
      </c>
      <c r="K87" s="188">
        <v>652.75</v>
      </c>
    </row>
    <row r="88" spans="1:11" ht="12.75" thickBot="1">
      <c r="A88" s="146" t="s">
        <v>1213</v>
      </c>
      <c r="B88" s="146" t="s">
        <v>1117</v>
      </c>
      <c r="C88" s="147" t="s">
        <v>156</v>
      </c>
      <c r="D88" s="150">
        <f t="shared" si="8"/>
        <v>3</v>
      </c>
      <c r="E88" s="160"/>
      <c r="F88" s="151"/>
      <c r="G88" s="151"/>
      <c r="H88" s="157">
        <f>SUMIF(PoleRates!$E$4:$E$131,"20140101"&amp;C88,PoleRates!$F$4:$F$131)</f>
        <v>3.73</v>
      </c>
      <c r="I88" s="158">
        <v>11.19</v>
      </c>
      <c r="J88" s="159">
        <v>3</v>
      </c>
      <c r="K88" s="188">
        <v>11.19</v>
      </c>
    </row>
    <row r="89" spans="1:11" ht="12.75" thickBot="1">
      <c r="A89" s="146" t="s">
        <v>1213</v>
      </c>
      <c r="B89" s="146" t="s">
        <v>498</v>
      </c>
      <c r="C89" s="146" t="s">
        <v>160</v>
      </c>
      <c r="D89" s="149">
        <f t="shared" si="8"/>
        <v>179</v>
      </c>
      <c r="E89" s="149"/>
      <c r="F89" s="148"/>
      <c r="G89" s="156"/>
      <c r="H89" s="157">
        <f>SUMIF(PoleRates!$E$4:$E$131,"20140101"&amp;C89,PoleRates!$F$4:$F$131)</f>
        <v>3.56</v>
      </c>
      <c r="I89" s="158">
        <v>637.24</v>
      </c>
      <c r="J89" s="159">
        <v>179</v>
      </c>
      <c r="K89" s="188">
        <v>637.24</v>
      </c>
    </row>
    <row r="90" spans="1:11" ht="12.75" thickBot="1">
      <c r="A90" s="146" t="s">
        <v>1213</v>
      </c>
      <c r="B90" s="146" t="s">
        <v>1117</v>
      </c>
      <c r="C90" s="146" t="s">
        <v>160</v>
      </c>
      <c r="D90" s="149">
        <f t="shared" si="8"/>
        <v>66</v>
      </c>
      <c r="E90" s="149"/>
      <c r="F90" s="148"/>
      <c r="G90" s="156"/>
      <c r="H90" s="157">
        <f>SUMIF(PoleRates!$E$4:$E$131,"20140101"&amp;C90,PoleRates!$F$4:$F$131)</f>
        <v>3.56</v>
      </c>
      <c r="I90" s="158">
        <v>233.54</v>
      </c>
      <c r="J90" s="159">
        <v>66</v>
      </c>
      <c r="K90" s="188">
        <v>233.54</v>
      </c>
    </row>
    <row r="91" spans="1:11" ht="12.75" thickBot="1">
      <c r="A91" s="146" t="s">
        <v>1213</v>
      </c>
      <c r="B91" s="146" t="s">
        <v>498</v>
      </c>
      <c r="C91" s="146" t="s">
        <v>160</v>
      </c>
      <c r="D91" s="151">
        <f t="shared" si="8"/>
        <v>53</v>
      </c>
      <c r="E91" s="151"/>
      <c r="F91" s="150"/>
      <c r="G91" s="160"/>
      <c r="H91" s="157">
        <f>SUMIF(PoleRates!$E$4:$E$131,"20140101"&amp;C91,PoleRates!$F$4:$F$131)</f>
        <v>3.56</v>
      </c>
      <c r="I91" s="158">
        <v>199.35999999999999</v>
      </c>
      <c r="J91" s="159">
        <v>53</v>
      </c>
      <c r="K91" s="188">
        <v>199.35999999999999</v>
      </c>
    </row>
    <row r="92" spans="1:11" ht="12.75" thickBot="1">
      <c r="A92" s="146" t="s">
        <v>1213</v>
      </c>
      <c r="B92" s="146" t="s">
        <v>1117</v>
      </c>
      <c r="C92" s="146" t="s">
        <v>160</v>
      </c>
      <c r="D92" s="149">
        <f t="shared" si="8"/>
        <v>112</v>
      </c>
      <c r="E92" s="149"/>
      <c r="F92" s="148"/>
      <c r="G92" s="156"/>
      <c r="H92" s="157">
        <f>SUMIF(PoleRates!$E$4:$E$131,"20140101"&amp;C92,PoleRates!$F$4:$F$131)</f>
        <v>3.56</v>
      </c>
      <c r="I92" s="158">
        <v>416.52</v>
      </c>
      <c r="J92" s="159">
        <v>112</v>
      </c>
      <c r="K92" s="188">
        <v>416.52</v>
      </c>
    </row>
    <row r="93" spans="1:11" ht="12.75" thickBot="1">
      <c r="A93" s="146" t="s">
        <v>1213</v>
      </c>
      <c r="B93" s="146" t="s">
        <v>498</v>
      </c>
      <c r="C93" s="146" t="s">
        <v>155</v>
      </c>
      <c r="D93" s="150">
        <f t="shared" si="8"/>
        <v>45</v>
      </c>
      <c r="E93" s="160"/>
      <c r="F93" s="151"/>
      <c r="G93" s="151"/>
      <c r="H93" s="157">
        <f>SUMIF(PoleRates!$E$4:$E$131,"20140101"&amp;C93,PoleRates!$F$4:$F$131)</f>
        <v>3.47</v>
      </c>
      <c r="I93" s="158">
        <v>156.15</v>
      </c>
      <c r="J93" s="159">
        <v>45</v>
      </c>
      <c r="K93" s="188">
        <v>156.15</v>
      </c>
    </row>
    <row r="94" spans="1:11" ht="12.75" thickBot="1">
      <c r="A94" s="146" t="s">
        <v>1213</v>
      </c>
      <c r="B94" s="146" t="s">
        <v>1117</v>
      </c>
      <c r="C94" s="146" t="s">
        <v>155</v>
      </c>
      <c r="D94" s="148">
        <f t="shared" si="8"/>
        <v>3</v>
      </c>
      <c r="E94" s="156"/>
      <c r="F94" s="149"/>
      <c r="G94" s="149"/>
      <c r="H94" s="157">
        <f>SUMIF(PoleRates!$E$4:$E$131,"20140101"&amp;C94,PoleRates!$F$4:$F$131)</f>
        <v>3.47</v>
      </c>
      <c r="I94" s="158">
        <v>10.41</v>
      </c>
      <c r="J94" s="159">
        <v>3</v>
      </c>
      <c r="K94" s="188">
        <v>10.41</v>
      </c>
    </row>
    <row r="95" spans="1:11" ht="12.75" thickBot="1">
      <c r="A95" s="146" t="s">
        <v>1213</v>
      </c>
      <c r="B95" s="146" t="s">
        <v>498</v>
      </c>
      <c r="C95" s="147" t="s">
        <v>156</v>
      </c>
      <c r="D95" s="150">
        <f t="shared" si="8"/>
        <v>20</v>
      </c>
      <c r="E95" s="160"/>
      <c r="F95" s="151"/>
      <c r="G95" s="151"/>
      <c r="H95" s="157">
        <f>SUMIF(PoleRates!$E$4:$E$131,"20140101"&amp;C95,PoleRates!$F$4:$F$131)</f>
        <v>3.73</v>
      </c>
      <c r="I95" s="158">
        <v>70.87</v>
      </c>
      <c r="J95" s="159">
        <v>20</v>
      </c>
      <c r="K95" s="188">
        <v>70.87</v>
      </c>
    </row>
    <row r="96" spans="1:11" ht="12.75" thickBot="1">
      <c r="A96" s="146" t="s">
        <v>1213</v>
      </c>
      <c r="B96" s="146" t="s">
        <v>1117</v>
      </c>
      <c r="C96" s="147" t="s">
        <v>156</v>
      </c>
      <c r="D96" s="148">
        <f t="shared" si="8"/>
        <v>70</v>
      </c>
      <c r="E96" s="156"/>
      <c r="F96" s="149"/>
      <c r="G96" s="149"/>
      <c r="H96" s="157">
        <f>SUMIF(PoleRates!$E$4:$E$131,"20140101"&amp;C96,PoleRates!$F$4:$F$131)</f>
        <v>3.73</v>
      </c>
      <c r="I96" s="158">
        <v>249.90999999999997</v>
      </c>
      <c r="J96" s="159">
        <v>70</v>
      </c>
      <c r="K96" s="188">
        <v>249.90999999999997</v>
      </c>
    </row>
    <row r="97" spans="1:11" ht="12.75" thickBot="1">
      <c r="A97" s="146" t="s">
        <v>1213</v>
      </c>
      <c r="B97" s="146" t="s">
        <v>498</v>
      </c>
      <c r="C97" s="147" t="s">
        <v>160</v>
      </c>
      <c r="D97" s="150">
        <f t="shared" si="8"/>
        <v>1</v>
      </c>
      <c r="E97" s="160"/>
      <c r="F97" s="151"/>
      <c r="G97" s="151"/>
      <c r="H97" s="157">
        <f>SUMIF(PoleRates!$E$4:$E$131,"20140101"&amp;C97,PoleRates!$F$4:$F$131)</f>
        <v>3.56</v>
      </c>
      <c r="I97" s="158">
        <v>3.56</v>
      </c>
      <c r="J97" s="159">
        <v>1</v>
      </c>
      <c r="K97" s="188">
        <v>3.56</v>
      </c>
    </row>
    <row r="98" spans="1:11" ht="12.75" thickBot="1">
      <c r="A98" s="146" t="s">
        <v>1213</v>
      </c>
      <c r="B98" s="146" t="s">
        <v>1117</v>
      </c>
      <c r="C98" s="147" t="s">
        <v>160</v>
      </c>
      <c r="D98" s="148">
        <f t="shared" si="8"/>
        <v>79</v>
      </c>
      <c r="E98" s="156"/>
      <c r="F98" s="149"/>
      <c r="G98" s="149"/>
      <c r="H98" s="157">
        <f>SUMIF(PoleRates!$E$4:$E$131,"20140101"&amp;C98,PoleRates!$F$4:$F$131)</f>
        <v>3.56</v>
      </c>
      <c r="I98" s="158">
        <v>281.24</v>
      </c>
      <c r="J98" s="159">
        <v>79</v>
      </c>
      <c r="K98" s="188">
        <v>281.24</v>
      </c>
    </row>
    <row r="99" spans="1:11" ht="12.75" thickBot="1">
      <c r="A99" s="146" t="s">
        <v>1213</v>
      </c>
      <c r="B99" s="146" t="s">
        <v>498</v>
      </c>
      <c r="C99" s="146" t="s">
        <v>160</v>
      </c>
      <c r="D99" s="150">
        <f t="shared" si="8"/>
        <v>6</v>
      </c>
      <c r="E99" s="160"/>
      <c r="F99" s="151"/>
      <c r="G99" s="151"/>
      <c r="H99" s="157">
        <f>SUMIF(PoleRates!$E$4:$E$131,"20140101"&amp;C99,PoleRates!$F$4:$F$131)</f>
        <v>3.56</v>
      </c>
      <c r="I99" s="158">
        <v>21.36</v>
      </c>
      <c r="J99" s="159">
        <v>6</v>
      </c>
      <c r="K99" s="188">
        <v>21.36</v>
      </c>
    </row>
    <row r="100" spans="1:11" ht="12.75" thickBot="1">
      <c r="A100" s="146" t="s">
        <v>1213</v>
      </c>
      <c r="B100" s="146" t="s">
        <v>1117</v>
      </c>
      <c r="C100" s="146" t="s">
        <v>160</v>
      </c>
      <c r="D100" s="148">
        <f t="shared" si="8"/>
        <v>60</v>
      </c>
      <c r="E100" s="156"/>
      <c r="F100" s="149"/>
      <c r="G100" s="149"/>
      <c r="H100" s="157">
        <f>SUMIF(PoleRates!$E$4:$E$131,"20140101"&amp;C100,PoleRates!$F$4:$F$131)</f>
        <v>3.56</v>
      </c>
      <c r="I100" s="158">
        <v>213.6</v>
      </c>
      <c r="J100" s="159">
        <v>60</v>
      </c>
      <c r="K100" s="188">
        <v>213.6</v>
      </c>
    </row>
    <row r="101" spans="1:11" ht="12.75" thickBot="1">
      <c r="A101" s="146" t="s">
        <v>1213</v>
      </c>
      <c r="B101" s="146" t="s">
        <v>498</v>
      </c>
      <c r="C101" s="147" t="s">
        <v>162</v>
      </c>
      <c r="D101" s="150"/>
      <c r="E101" s="160"/>
      <c r="F101" s="151">
        <f t="shared" ref="F101:F102" si="9">J101</f>
        <v>35</v>
      </c>
      <c r="G101" s="151"/>
      <c r="H101" s="157">
        <f>SUMIF(PoleRates!$E$4:$E$131,"20140101"&amp;C101,PoleRates!$F$4:$F$131)</f>
        <v>11.31</v>
      </c>
      <c r="I101" s="158">
        <v>395.85</v>
      </c>
      <c r="J101" s="159">
        <v>35</v>
      </c>
      <c r="K101" s="188">
        <v>395.85</v>
      </c>
    </row>
    <row r="102" spans="1:11" ht="12.75" thickBot="1">
      <c r="A102" s="146" t="s">
        <v>1213</v>
      </c>
      <c r="B102" s="146" t="s">
        <v>1117</v>
      </c>
      <c r="C102" s="147" t="s">
        <v>162</v>
      </c>
      <c r="D102" s="149"/>
      <c r="E102" s="149"/>
      <c r="F102" s="148">
        <f t="shared" si="9"/>
        <v>418</v>
      </c>
      <c r="G102" s="156"/>
      <c r="H102" s="157">
        <f>SUMIF(PoleRates!$E$4:$E$131,"20140101"&amp;C102,PoleRates!$F$4:$F$131)</f>
        <v>11.31</v>
      </c>
      <c r="I102" s="158">
        <v>4731.3500000000004</v>
      </c>
      <c r="J102" s="159">
        <v>418</v>
      </c>
      <c r="K102" s="188">
        <v>4731.3499999999995</v>
      </c>
    </row>
    <row r="103" spans="1:11" ht="12.75" thickBot="1">
      <c r="A103" s="146" t="s">
        <v>1213</v>
      </c>
      <c r="B103" s="146"/>
      <c r="C103" s="162" t="s">
        <v>7</v>
      </c>
      <c r="D103" s="152"/>
      <c r="E103" s="163"/>
      <c r="F103" s="152"/>
      <c r="G103" s="163"/>
      <c r="H103" s="164"/>
      <c r="I103" s="158">
        <v>27671.62000000001</v>
      </c>
      <c r="J103" s="155">
        <v>8567</v>
      </c>
      <c r="K103" s="155">
        <v>27671.620000000006</v>
      </c>
    </row>
    <row r="104" spans="1:11" ht="13.5" thickBot="1">
      <c r="A104" s="147" t="s">
        <v>0</v>
      </c>
      <c r="B104" s="147"/>
      <c r="C104" s="248" t="s">
        <v>1205</v>
      </c>
      <c r="D104" s="152"/>
      <c r="E104" s="163"/>
      <c r="F104" s="152"/>
      <c r="G104" s="163"/>
      <c r="H104" s="187" t="s">
        <v>1024</v>
      </c>
      <c r="I104" s="186" t="s">
        <v>1023</v>
      </c>
      <c r="J104" s="186" t="s">
        <v>1012</v>
      </c>
      <c r="K104" s="186" t="s">
        <v>1017</v>
      </c>
    </row>
    <row r="105" spans="1:11" ht="12.75" thickBot="1">
      <c r="A105" s="146" t="s">
        <v>1214</v>
      </c>
      <c r="B105" s="146" t="s">
        <v>498</v>
      </c>
      <c r="C105" s="147" t="s">
        <v>152</v>
      </c>
      <c r="D105" s="149"/>
      <c r="E105" s="149"/>
      <c r="F105" s="148">
        <f>J105</f>
        <v>1655</v>
      </c>
      <c r="G105" s="156"/>
      <c r="H105" s="157">
        <f>SUMIF(PoleRates!$E$4:$E$131,"20140101"&amp;C105,PoleRates!$F$4:$F$131)</f>
        <v>2.06</v>
      </c>
      <c r="I105" s="158">
        <v>3410.19</v>
      </c>
      <c r="J105" s="159">
        <v>1655</v>
      </c>
      <c r="K105" s="155">
        <v>3410.19</v>
      </c>
    </row>
    <row r="106" spans="1:11" ht="12.75" thickBot="1">
      <c r="A106" s="146" t="s">
        <v>1214</v>
      </c>
      <c r="B106" s="146" t="s">
        <v>1117</v>
      </c>
      <c r="C106" s="147" t="s">
        <v>152</v>
      </c>
      <c r="D106" s="151"/>
      <c r="E106" s="151"/>
      <c r="F106" s="150">
        <f t="shared" ref="F106:F110" si="10">J106</f>
        <v>5230</v>
      </c>
      <c r="G106" s="160"/>
      <c r="H106" s="157">
        <f>SUMIF(PoleRates!$E$4:$E$131,"20140101"&amp;C106,PoleRates!$F$4:$F$131)</f>
        <v>2.06</v>
      </c>
      <c r="I106" s="158">
        <v>10773.12</v>
      </c>
      <c r="J106" s="159">
        <v>5230</v>
      </c>
      <c r="K106" s="155">
        <v>10773.12</v>
      </c>
    </row>
    <row r="107" spans="1:11" ht="12.75" thickBot="1">
      <c r="A107" s="146" t="s">
        <v>1214</v>
      </c>
      <c r="B107" s="146" t="s">
        <v>498</v>
      </c>
      <c r="C107" s="147" t="s">
        <v>153</v>
      </c>
      <c r="D107" s="149"/>
      <c r="E107" s="149"/>
      <c r="F107" s="148">
        <f t="shared" si="10"/>
        <v>157</v>
      </c>
      <c r="G107" s="156"/>
      <c r="H107" s="157">
        <f>SUMIF(PoleRates!$E$4:$E$131,"20140101"&amp;C107,PoleRates!$F$4:$F$131)</f>
        <v>10.81</v>
      </c>
      <c r="I107" s="158">
        <v>1697.1699999999998</v>
      </c>
      <c r="J107" s="159">
        <v>157</v>
      </c>
      <c r="K107" s="155">
        <v>1697.1699999999998</v>
      </c>
    </row>
    <row r="108" spans="1:11" ht="12.75" thickBot="1">
      <c r="A108" s="146" t="s">
        <v>1214</v>
      </c>
      <c r="B108" s="146" t="s">
        <v>1117</v>
      </c>
      <c r="C108" s="147" t="s">
        <v>153</v>
      </c>
      <c r="D108" s="150"/>
      <c r="E108" s="160"/>
      <c r="F108" s="151">
        <f t="shared" si="10"/>
        <v>0</v>
      </c>
      <c r="G108" s="151"/>
      <c r="H108" s="157">
        <f>SUMIF(PoleRates!$E$4:$E$131,"20140101"&amp;C108,PoleRates!$F$4:$F$131)</f>
        <v>10.81</v>
      </c>
      <c r="I108" s="158">
        <v>0</v>
      </c>
      <c r="J108" s="159">
        <v>0</v>
      </c>
      <c r="K108" s="155">
        <v>0</v>
      </c>
    </row>
    <row r="109" spans="1:11" ht="12.75" thickBot="1">
      <c r="A109" s="146" t="s">
        <v>1214</v>
      </c>
      <c r="B109" s="146" t="s">
        <v>498</v>
      </c>
      <c r="C109" s="147" t="s">
        <v>154</v>
      </c>
      <c r="D109" s="148"/>
      <c r="E109" s="156"/>
      <c r="F109" s="149">
        <f t="shared" si="10"/>
        <v>277</v>
      </c>
      <c r="G109" s="149"/>
      <c r="H109" s="157">
        <f>SUMIF(PoleRates!$E$4:$E$131,"20140101"&amp;C109,PoleRates!$F$4:$F$131)</f>
        <v>12.9</v>
      </c>
      <c r="I109" s="158">
        <v>3573.3</v>
      </c>
      <c r="J109" s="159">
        <v>277</v>
      </c>
      <c r="K109" s="155">
        <v>3573.3</v>
      </c>
    </row>
    <row r="110" spans="1:11" ht="12.75" thickBot="1">
      <c r="A110" s="146" t="s">
        <v>1214</v>
      </c>
      <c r="B110" s="146" t="s">
        <v>1117</v>
      </c>
      <c r="C110" s="147" t="s">
        <v>154</v>
      </c>
      <c r="D110" s="150"/>
      <c r="E110" s="160"/>
      <c r="F110" s="151">
        <f t="shared" si="10"/>
        <v>3</v>
      </c>
      <c r="G110" s="151"/>
      <c r="H110" s="157">
        <f>SUMIF(PoleRates!$E$4:$E$131,"20140101"&amp;C110,PoleRates!$F$4:$F$131)</f>
        <v>12.9</v>
      </c>
      <c r="I110" s="158">
        <v>38.700000000000003</v>
      </c>
      <c r="J110" s="159">
        <v>3</v>
      </c>
      <c r="K110" s="155">
        <v>38.700000000000003</v>
      </c>
    </row>
    <row r="111" spans="1:11" ht="12.75" thickBot="1">
      <c r="A111" s="146" t="s">
        <v>1214</v>
      </c>
      <c r="B111" s="146" t="s">
        <v>498</v>
      </c>
      <c r="C111" s="146" t="s">
        <v>155</v>
      </c>
      <c r="D111" s="148">
        <f>J111</f>
        <v>32</v>
      </c>
      <c r="E111" s="156"/>
      <c r="F111" s="149"/>
      <c r="G111" s="149"/>
      <c r="H111" s="157">
        <f>SUMIF(PoleRates!$E$4:$E$131,"20140101"&amp;C111,PoleRates!$F$4:$F$131)</f>
        <v>3.47</v>
      </c>
      <c r="I111" s="158">
        <v>111.03999999999999</v>
      </c>
      <c r="J111" s="159">
        <v>32</v>
      </c>
      <c r="K111" s="155">
        <v>111.03999999999999</v>
      </c>
    </row>
    <row r="112" spans="1:11" ht="12.75" thickBot="1">
      <c r="A112" s="146" t="s">
        <v>1214</v>
      </c>
      <c r="B112" s="146" t="s">
        <v>1117</v>
      </c>
      <c r="C112" s="146" t="s">
        <v>155</v>
      </c>
      <c r="D112" s="150">
        <f t="shared" ref="D112:D126" si="11">J112</f>
        <v>10</v>
      </c>
      <c r="E112" s="160"/>
      <c r="F112" s="151"/>
      <c r="G112" s="151"/>
      <c r="H112" s="157">
        <f>SUMIF(PoleRates!$E$4:$E$131,"20140101"&amp;C112,PoleRates!$F$4:$F$131)</f>
        <v>3.47</v>
      </c>
      <c r="I112" s="158">
        <v>34.700000000000003</v>
      </c>
      <c r="J112" s="159">
        <v>10</v>
      </c>
      <c r="K112" s="155">
        <v>34.700000000000003</v>
      </c>
    </row>
    <row r="113" spans="1:11" ht="12.75" thickBot="1">
      <c r="A113" s="146" t="s">
        <v>1214</v>
      </c>
      <c r="B113" s="146" t="s">
        <v>498</v>
      </c>
      <c r="C113" s="147" t="s">
        <v>156</v>
      </c>
      <c r="D113" s="148">
        <f t="shared" si="11"/>
        <v>175</v>
      </c>
      <c r="E113" s="156"/>
      <c r="F113" s="149"/>
      <c r="G113" s="149"/>
      <c r="H113" s="157">
        <f>SUMIF(PoleRates!$E$4:$E$131,"20140101"&amp;C113,PoleRates!$F$4:$F$131)</f>
        <v>3.73</v>
      </c>
      <c r="I113" s="158">
        <v>652.75</v>
      </c>
      <c r="J113" s="159">
        <v>175</v>
      </c>
      <c r="K113" s="155">
        <v>652.75</v>
      </c>
    </row>
    <row r="114" spans="1:11" ht="12.75" thickBot="1">
      <c r="A114" s="146" t="s">
        <v>1214</v>
      </c>
      <c r="B114" s="146" t="s">
        <v>1117</v>
      </c>
      <c r="C114" s="147" t="s">
        <v>156</v>
      </c>
      <c r="D114" s="150">
        <f t="shared" si="11"/>
        <v>3</v>
      </c>
      <c r="E114" s="160"/>
      <c r="F114" s="151"/>
      <c r="G114" s="151"/>
      <c r="H114" s="157">
        <f>SUMIF(PoleRates!$E$4:$E$131,"20140101"&amp;C114,PoleRates!$F$4:$F$131)</f>
        <v>3.73</v>
      </c>
      <c r="I114" s="158">
        <v>11.19</v>
      </c>
      <c r="J114" s="159">
        <v>3</v>
      </c>
      <c r="K114" s="155">
        <v>11.19</v>
      </c>
    </row>
    <row r="115" spans="1:11" ht="12.75" thickBot="1">
      <c r="A115" s="146" t="s">
        <v>1214</v>
      </c>
      <c r="B115" s="146" t="s">
        <v>498</v>
      </c>
      <c r="C115" s="146" t="s">
        <v>160</v>
      </c>
      <c r="D115" s="149">
        <f t="shared" si="11"/>
        <v>179</v>
      </c>
      <c r="E115" s="149"/>
      <c r="F115" s="148"/>
      <c r="G115" s="156"/>
      <c r="H115" s="157">
        <f>SUMIF(PoleRates!$E$4:$E$131,"20140101"&amp;C115,PoleRates!$F$4:$F$131)</f>
        <v>3.56</v>
      </c>
      <c r="I115" s="158">
        <v>637.24</v>
      </c>
      <c r="J115" s="159">
        <v>179</v>
      </c>
      <c r="K115" s="155">
        <v>637.24</v>
      </c>
    </row>
    <row r="116" spans="1:11" ht="12.75" thickBot="1">
      <c r="A116" s="146" t="s">
        <v>1214</v>
      </c>
      <c r="B116" s="146" t="s">
        <v>1117</v>
      </c>
      <c r="C116" s="146" t="s">
        <v>160</v>
      </c>
      <c r="D116" s="149">
        <f t="shared" si="11"/>
        <v>56</v>
      </c>
      <c r="E116" s="149"/>
      <c r="F116" s="148"/>
      <c r="G116" s="156"/>
      <c r="H116" s="157">
        <f>SUMIF(PoleRates!$E$4:$E$131,"20140101"&amp;C116,PoleRates!$F$4:$F$131)</f>
        <v>3.56</v>
      </c>
      <c r="I116" s="158">
        <v>199.36</v>
      </c>
      <c r="J116" s="159">
        <v>56</v>
      </c>
      <c r="K116" s="155">
        <v>199.36</v>
      </c>
    </row>
    <row r="117" spans="1:11" ht="12.75" thickBot="1">
      <c r="A117" s="146" t="s">
        <v>1214</v>
      </c>
      <c r="B117" s="146" t="s">
        <v>498</v>
      </c>
      <c r="C117" s="146" t="s">
        <v>160</v>
      </c>
      <c r="D117" s="151">
        <f t="shared" si="11"/>
        <v>53</v>
      </c>
      <c r="E117" s="151"/>
      <c r="F117" s="150"/>
      <c r="G117" s="160"/>
      <c r="H117" s="157">
        <f>SUMIF(PoleRates!$E$4:$E$131,"20140101"&amp;C117,PoleRates!$F$4:$F$131)</f>
        <v>3.56</v>
      </c>
      <c r="I117" s="158">
        <v>199.35999999999999</v>
      </c>
      <c r="J117" s="159">
        <v>53</v>
      </c>
      <c r="K117" s="155">
        <v>199.35999999999999</v>
      </c>
    </row>
    <row r="118" spans="1:11" ht="12.75" thickBot="1">
      <c r="A118" s="146" t="s">
        <v>1214</v>
      </c>
      <c r="B118" s="146" t="s">
        <v>1117</v>
      </c>
      <c r="C118" s="146" t="s">
        <v>160</v>
      </c>
      <c r="D118" s="149">
        <f t="shared" si="11"/>
        <v>112</v>
      </c>
      <c r="E118" s="149"/>
      <c r="F118" s="148"/>
      <c r="G118" s="156"/>
      <c r="H118" s="157">
        <f>SUMIF(PoleRates!$E$4:$E$131,"20140101"&amp;C118,PoleRates!$F$4:$F$131)</f>
        <v>3.56</v>
      </c>
      <c r="I118" s="158">
        <v>416.52</v>
      </c>
      <c r="J118" s="159">
        <v>112</v>
      </c>
      <c r="K118" s="155">
        <v>416.52</v>
      </c>
    </row>
    <row r="119" spans="1:11" ht="12.75" thickBot="1">
      <c r="A119" s="146" t="s">
        <v>1214</v>
      </c>
      <c r="B119" s="146" t="s">
        <v>498</v>
      </c>
      <c r="C119" s="146" t="s">
        <v>155</v>
      </c>
      <c r="D119" s="150">
        <f t="shared" si="11"/>
        <v>45</v>
      </c>
      <c r="E119" s="160"/>
      <c r="F119" s="151"/>
      <c r="G119" s="151"/>
      <c r="H119" s="157">
        <f>SUMIF(PoleRates!$E$4:$E$131,"20140101"&amp;C119,PoleRates!$F$4:$F$131)</f>
        <v>3.47</v>
      </c>
      <c r="I119" s="158">
        <v>156.15</v>
      </c>
      <c r="J119" s="159">
        <v>45</v>
      </c>
      <c r="K119" s="155">
        <v>156.15</v>
      </c>
    </row>
    <row r="120" spans="1:11" ht="12.75" thickBot="1">
      <c r="A120" s="146" t="s">
        <v>1214</v>
      </c>
      <c r="B120" s="146" t="s">
        <v>1117</v>
      </c>
      <c r="C120" s="146" t="s">
        <v>155</v>
      </c>
      <c r="D120" s="148">
        <f t="shared" si="11"/>
        <v>3</v>
      </c>
      <c r="E120" s="156"/>
      <c r="F120" s="149"/>
      <c r="G120" s="149"/>
      <c r="H120" s="157">
        <f>SUMIF(PoleRates!$E$4:$E$131,"20140101"&amp;C120,PoleRates!$F$4:$F$131)</f>
        <v>3.47</v>
      </c>
      <c r="I120" s="158">
        <v>10.41</v>
      </c>
      <c r="J120" s="159">
        <v>3</v>
      </c>
      <c r="K120" s="155">
        <v>10.41</v>
      </c>
    </row>
    <row r="121" spans="1:11" ht="12.75" thickBot="1">
      <c r="A121" s="146" t="s">
        <v>1214</v>
      </c>
      <c r="B121" s="146" t="s">
        <v>498</v>
      </c>
      <c r="C121" s="147" t="s">
        <v>156</v>
      </c>
      <c r="D121" s="150">
        <f t="shared" si="11"/>
        <v>20</v>
      </c>
      <c r="E121" s="160"/>
      <c r="F121" s="151"/>
      <c r="G121" s="151"/>
      <c r="H121" s="157">
        <f>SUMIF(PoleRates!$E$4:$E$131,"20140101"&amp;C121,PoleRates!$F$4:$F$131)</f>
        <v>3.73</v>
      </c>
      <c r="I121" s="158">
        <v>70.87</v>
      </c>
      <c r="J121" s="159">
        <v>20</v>
      </c>
      <c r="K121" s="155">
        <v>70.87</v>
      </c>
    </row>
    <row r="122" spans="1:11" ht="12.75" thickBot="1">
      <c r="A122" s="146" t="s">
        <v>1214</v>
      </c>
      <c r="B122" s="146" t="s">
        <v>1117</v>
      </c>
      <c r="C122" s="147" t="s">
        <v>156</v>
      </c>
      <c r="D122" s="148">
        <f t="shared" si="11"/>
        <v>68</v>
      </c>
      <c r="E122" s="156"/>
      <c r="F122" s="149"/>
      <c r="G122" s="149"/>
      <c r="H122" s="157">
        <f>SUMIF(PoleRates!$E$4:$E$131,"20140101"&amp;C122,PoleRates!$F$4:$F$131)</f>
        <v>3.73</v>
      </c>
      <c r="I122" s="158">
        <v>242.44999999999996</v>
      </c>
      <c r="J122" s="159">
        <v>68</v>
      </c>
      <c r="K122" s="155">
        <v>242.44999999999996</v>
      </c>
    </row>
    <row r="123" spans="1:11" ht="12.75" thickBot="1">
      <c r="A123" s="146" t="s">
        <v>1214</v>
      </c>
      <c r="B123" s="146" t="s">
        <v>498</v>
      </c>
      <c r="C123" s="147" t="s">
        <v>160</v>
      </c>
      <c r="D123" s="150">
        <f t="shared" si="11"/>
        <v>1</v>
      </c>
      <c r="E123" s="160"/>
      <c r="F123" s="151"/>
      <c r="G123" s="151"/>
      <c r="H123" s="157">
        <f>SUMIF(PoleRates!$E$4:$E$131,"20140101"&amp;C123,PoleRates!$F$4:$F$131)</f>
        <v>3.56</v>
      </c>
      <c r="I123" s="158">
        <v>3.56</v>
      </c>
      <c r="J123" s="159">
        <v>1</v>
      </c>
      <c r="K123" s="155">
        <v>3.56</v>
      </c>
    </row>
    <row r="124" spans="1:11" ht="12.75" thickBot="1">
      <c r="A124" s="146" t="s">
        <v>1214</v>
      </c>
      <c r="B124" s="146" t="s">
        <v>1117</v>
      </c>
      <c r="C124" s="147" t="s">
        <v>160</v>
      </c>
      <c r="D124" s="148">
        <f t="shared" si="11"/>
        <v>79</v>
      </c>
      <c r="E124" s="156"/>
      <c r="F124" s="149"/>
      <c r="G124" s="149"/>
      <c r="H124" s="157">
        <f>SUMIF(PoleRates!$E$4:$E$131,"20140101"&amp;C124,PoleRates!$F$4:$F$131)</f>
        <v>3.56</v>
      </c>
      <c r="I124" s="158">
        <v>281.24</v>
      </c>
      <c r="J124" s="159">
        <v>79</v>
      </c>
      <c r="K124" s="155">
        <v>281.24</v>
      </c>
    </row>
    <row r="125" spans="1:11" ht="12.75" thickBot="1">
      <c r="A125" s="146" t="s">
        <v>1214</v>
      </c>
      <c r="B125" s="146" t="s">
        <v>498</v>
      </c>
      <c r="C125" s="146" t="s">
        <v>160</v>
      </c>
      <c r="D125" s="150">
        <f t="shared" si="11"/>
        <v>6</v>
      </c>
      <c r="E125" s="160"/>
      <c r="F125" s="151"/>
      <c r="G125" s="151"/>
      <c r="H125" s="157">
        <f>SUMIF(PoleRates!$E$4:$E$131,"20140101"&amp;C125,PoleRates!$F$4:$F$131)</f>
        <v>3.56</v>
      </c>
      <c r="I125" s="158">
        <v>21.36</v>
      </c>
      <c r="J125" s="159">
        <v>6</v>
      </c>
      <c r="K125" s="155">
        <v>21.36</v>
      </c>
    </row>
    <row r="126" spans="1:11" ht="12.75" thickBot="1">
      <c r="A126" s="146" t="s">
        <v>1214</v>
      </c>
      <c r="B126" s="146" t="s">
        <v>1117</v>
      </c>
      <c r="C126" s="146" t="s">
        <v>160</v>
      </c>
      <c r="D126" s="148">
        <f t="shared" si="11"/>
        <v>60</v>
      </c>
      <c r="E126" s="156"/>
      <c r="F126" s="149"/>
      <c r="G126" s="149"/>
      <c r="H126" s="157">
        <f>SUMIF(PoleRates!$E$4:$E$131,"20140101"&amp;C126,PoleRates!$F$4:$F$131)</f>
        <v>3.56</v>
      </c>
      <c r="I126" s="158">
        <v>213.6</v>
      </c>
      <c r="J126" s="159">
        <v>60</v>
      </c>
      <c r="K126" s="155">
        <v>213.6</v>
      </c>
    </row>
    <row r="127" spans="1:11" ht="12.75" thickBot="1">
      <c r="A127" s="146" t="s">
        <v>1214</v>
      </c>
      <c r="B127" s="146" t="s">
        <v>498</v>
      </c>
      <c r="C127" s="147" t="s">
        <v>162</v>
      </c>
      <c r="D127" s="150"/>
      <c r="E127" s="160"/>
      <c r="F127" s="151">
        <f t="shared" ref="F127:F128" si="12">J127</f>
        <v>37</v>
      </c>
      <c r="G127" s="151"/>
      <c r="H127" s="157">
        <f>SUMIF(PoleRates!$E$4:$E$131,"20140101"&amp;C127,PoleRates!$F$4:$F$131)</f>
        <v>11.31</v>
      </c>
      <c r="I127" s="158">
        <v>418.47</v>
      </c>
      <c r="J127" s="159">
        <v>37</v>
      </c>
      <c r="K127" s="155">
        <v>418.47</v>
      </c>
    </row>
    <row r="128" spans="1:11" ht="12.75" thickBot="1">
      <c r="A128" s="146" t="s">
        <v>1214</v>
      </c>
      <c r="B128" s="146" t="s">
        <v>1117</v>
      </c>
      <c r="C128" s="147" t="s">
        <v>162</v>
      </c>
      <c r="D128" s="149"/>
      <c r="E128" s="149"/>
      <c r="F128" s="148">
        <f t="shared" si="12"/>
        <v>421</v>
      </c>
      <c r="G128" s="156"/>
      <c r="H128" s="157">
        <f>SUMIF(PoleRates!$E$4:$E$131,"20140101"&amp;C128,PoleRates!$F$4:$F$131)</f>
        <v>11.31</v>
      </c>
      <c r="I128" s="158">
        <v>4760.38</v>
      </c>
      <c r="J128" s="159">
        <v>421</v>
      </c>
      <c r="K128" s="155">
        <v>4760.38</v>
      </c>
    </row>
    <row r="129" spans="1:11" ht="12.75" thickBot="1">
      <c r="A129" s="146" t="s">
        <v>1214</v>
      </c>
      <c r="B129" s="146"/>
      <c r="C129" s="162" t="s">
        <v>7</v>
      </c>
      <c r="D129" s="152"/>
      <c r="E129" s="163"/>
      <c r="F129" s="152"/>
      <c r="G129" s="163"/>
      <c r="H129" s="164"/>
      <c r="I129" s="158"/>
    </row>
    <row r="130" spans="1:11" ht="12.75" thickBot="1">
      <c r="A130" s="147" t="s">
        <v>0</v>
      </c>
      <c r="B130" s="147"/>
      <c r="C130" s="147" t="s">
        <v>147</v>
      </c>
      <c r="D130" s="147" t="s">
        <v>148</v>
      </c>
      <c r="E130" s="147" t="s">
        <v>149</v>
      </c>
      <c r="F130" s="147" t="s">
        <v>150</v>
      </c>
      <c r="G130" s="147"/>
      <c r="H130" s="153"/>
      <c r="I130" s="158"/>
    </row>
    <row r="131" spans="1:11" ht="12.75" thickBot="1">
      <c r="A131" s="146" t="s">
        <v>1218</v>
      </c>
      <c r="B131" s="146" t="s">
        <v>498</v>
      </c>
      <c r="C131" s="147" t="s">
        <v>152</v>
      </c>
      <c r="D131" s="149"/>
      <c r="E131" s="149"/>
      <c r="F131" s="148">
        <f>J131</f>
        <v>1627</v>
      </c>
      <c r="G131" s="156"/>
      <c r="H131" s="157">
        <f>SUMIF(PoleRates!$E$4:$E$131,"20140101"&amp;C131,PoleRates!$F$4:$F$131)</f>
        <v>2.06</v>
      </c>
      <c r="I131" s="158">
        <v>3352.2499999999995</v>
      </c>
      <c r="J131" s="159">
        <v>1627</v>
      </c>
      <c r="K131" s="155">
        <v>3352.25</v>
      </c>
    </row>
    <row r="132" spans="1:11" ht="12.75" thickBot="1">
      <c r="A132" s="146" t="s">
        <v>1218</v>
      </c>
      <c r="B132" s="146" t="s">
        <v>1117</v>
      </c>
      <c r="C132" s="147" t="s">
        <v>152</v>
      </c>
      <c r="D132" s="151"/>
      <c r="E132" s="151"/>
      <c r="F132" s="150">
        <f t="shared" ref="F132:F136" si="13">J132</f>
        <v>5212</v>
      </c>
      <c r="G132" s="160"/>
      <c r="H132" s="157">
        <f>SUMIF(PoleRates!$E$4:$E$131,"20140101"&amp;C132,PoleRates!$F$4:$F$131)</f>
        <v>2.06</v>
      </c>
      <c r="I132" s="158">
        <v>10736.17</v>
      </c>
      <c r="J132" s="159">
        <v>5212</v>
      </c>
      <c r="K132" s="155">
        <v>10736.170000000002</v>
      </c>
    </row>
    <row r="133" spans="1:11" ht="12.75" thickBot="1">
      <c r="A133" s="146" t="s">
        <v>1218</v>
      </c>
      <c r="B133" s="146" t="s">
        <v>498</v>
      </c>
      <c r="C133" s="147" t="s">
        <v>153</v>
      </c>
      <c r="D133" s="149"/>
      <c r="E133" s="149"/>
      <c r="F133" s="148">
        <f t="shared" si="13"/>
        <v>155</v>
      </c>
      <c r="G133" s="156"/>
      <c r="H133" s="157">
        <f>SUMIF(PoleRates!$E$4:$E$131,"20140101"&amp;C133,PoleRates!$F$4:$F$131)</f>
        <v>10.81</v>
      </c>
      <c r="I133" s="158">
        <v>1675.55</v>
      </c>
      <c r="J133" s="159">
        <v>155</v>
      </c>
      <c r="K133" s="155">
        <v>1675.55</v>
      </c>
    </row>
    <row r="134" spans="1:11" ht="12.75" thickBot="1">
      <c r="A134" s="146" t="s">
        <v>1218</v>
      </c>
      <c r="B134" s="146" t="s">
        <v>1117</v>
      </c>
      <c r="C134" s="147" t="s">
        <v>153</v>
      </c>
      <c r="D134" s="150"/>
      <c r="E134" s="160"/>
      <c r="F134" s="151">
        <f t="shared" si="13"/>
        <v>0</v>
      </c>
      <c r="G134" s="151"/>
      <c r="H134" s="157">
        <f>SUMIF(PoleRates!$E$4:$E$131,"20140101"&amp;C134,PoleRates!$F$4:$F$131)</f>
        <v>10.81</v>
      </c>
      <c r="I134" s="158">
        <v>0</v>
      </c>
      <c r="J134" s="159">
        <v>0</v>
      </c>
      <c r="K134" s="155">
        <v>0</v>
      </c>
    </row>
    <row r="135" spans="1:11" ht="12.75" thickBot="1">
      <c r="A135" s="146" t="s">
        <v>1218</v>
      </c>
      <c r="B135" s="146" t="s">
        <v>498</v>
      </c>
      <c r="C135" s="147" t="s">
        <v>154</v>
      </c>
      <c r="D135" s="148"/>
      <c r="E135" s="156"/>
      <c r="F135" s="149">
        <f t="shared" si="13"/>
        <v>277</v>
      </c>
      <c r="G135" s="149"/>
      <c r="H135" s="157">
        <f>SUMIF(PoleRates!$E$4:$E$131,"20140101"&amp;C135,PoleRates!$F$4:$F$131)</f>
        <v>12.9</v>
      </c>
      <c r="I135" s="158">
        <v>3573.3</v>
      </c>
      <c r="J135" s="159">
        <v>277</v>
      </c>
      <c r="K135" s="155">
        <v>3573.3</v>
      </c>
    </row>
    <row r="136" spans="1:11" ht="12.75" thickBot="1">
      <c r="A136" s="146" t="s">
        <v>1218</v>
      </c>
      <c r="B136" s="146" t="s">
        <v>1117</v>
      </c>
      <c r="C136" s="147" t="s">
        <v>154</v>
      </c>
      <c r="D136" s="150"/>
      <c r="E136" s="160"/>
      <c r="F136" s="151">
        <f t="shared" si="13"/>
        <v>3</v>
      </c>
      <c r="G136" s="151"/>
      <c r="H136" s="157">
        <f>SUMIF(PoleRates!$E$4:$E$131,"20140101"&amp;C136,PoleRates!$F$4:$F$131)</f>
        <v>12.9</v>
      </c>
      <c r="I136" s="158">
        <v>38.700000000000003</v>
      </c>
      <c r="J136" s="159">
        <v>3</v>
      </c>
      <c r="K136" s="155">
        <v>38.700000000000003</v>
      </c>
    </row>
    <row r="137" spans="1:11" ht="12.75" thickBot="1">
      <c r="A137" s="146" t="s">
        <v>1218</v>
      </c>
      <c r="B137" s="146" t="s">
        <v>498</v>
      </c>
      <c r="C137" s="146" t="s">
        <v>155</v>
      </c>
      <c r="D137" s="148">
        <f>J137</f>
        <v>30</v>
      </c>
      <c r="E137" s="156"/>
      <c r="F137" s="149"/>
      <c r="G137" s="149"/>
      <c r="H137" s="157">
        <f>SUMIF(PoleRates!$E$4:$E$131,"20140101"&amp;C137,PoleRates!$F$4:$F$131)</f>
        <v>3.47</v>
      </c>
      <c r="I137" s="158">
        <v>104.1</v>
      </c>
      <c r="J137" s="159">
        <v>30</v>
      </c>
      <c r="K137" s="155">
        <v>104.1</v>
      </c>
    </row>
    <row r="138" spans="1:11" ht="12.75" thickBot="1">
      <c r="A138" s="146" t="s">
        <v>1218</v>
      </c>
      <c r="B138" s="146" t="s">
        <v>1117</v>
      </c>
      <c r="C138" s="146" t="s">
        <v>155</v>
      </c>
      <c r="D138" s="150">
        <f t="shared" ref="D138:D152" si="14">J138</f>
        <v>10</v>
      </c>
      <c r="E138" s="160"/>
      <c r="F138" s="151"/>
      <c r="G138" s="151"/>
      <c r="H138" s="157">
        <f>SUMIF(PoleRates!$E$4:$E$131,"20140101"&amp;C138,PoleRates!$F$4:$F$131)</f>
        <v>3.47</v>
      </c>
      <c r="I138" s="158">
        <v>34.700000000000003</v>
      </c>
      <c r="J138" s="159">
        <v>10</v>
      </c>
      <c r="K138" s="155">
        <v>34.700000000000003</v>
      </c>
    </row>
    <row r="139" spans="1:11" ht="12.75" thickBot="1">
      <c r="A139" s="146" t="s">
        <v>1218</v>
      </c>
      <c r="B139" s="146" t="s">
        <v>498</v>
      </c>
      <c r="C139" s="147" t="s">
        <v>156</v>
      </c>
      <c r="D139" s="148">
        <f t="shared" si="14"/>
        <v>175</v>
      </c>
      <c r="E139" s="156"/>
      <c r="F139" s="149"/>
      <c r="G139" s="149"/>
      <c r="H139" s="157">
        <f>SUMIF(PoleRates!$E$4:$E$131,"20140101"&amp;C139,PoleRates!$F$4:$F$131)</f>
        <v>3.73</v>
      </c>
      <c r="I139" s="158">
        <v>652.75</v>
      </c>
      <c r="J139" s="159">
        <v>175</v>
      </c>
      <c r="K139" s="155">
        <v>652.75</v>
      </c>
    </row>
    <row r="140" spans="1:11" ht="12.75" thickBot="1">
      <c r="A140" s="146" t="s">
        <v>1218</v>
      </c>
      <c r="B140" s="146" t="s">
        <v>1117</v>
      </c>
      <c r="C140" s="147" t="s">
        <v>156</v>
      </c>
      <c r="D140" s="150">
        <f t="shared" si="14"/>
        <v>3</v>
      </c>
      <c r="E140" s="160"/>
      <c r="F140" s="151"/>
      <c r="G140" s="151"/>
      <c r="H140" s="157">
        <f>SUMIF(PoleRates!$E$4:$E$131,"20140101"&amp;C140,PoleRates!$F$4:$F$131)</f>
        <v>3.73</v>
      </c>
      <c r="I140" s="158">
        <v>11.19</v>
      </c>
      <c r="J140" s="159">
        <v>3</v>
      </c>
      <c r="K140" s="155">
        <v>11.19</v>
      </c>
    </row>
    <row r="141" spans="1:11" ht="12.75" thickBot="1">
      <c r="A141" s="146" t="s">
        <v>1218</v>
      </c>
      <c r="B141" s="146" t="s">
        <v>498</v>
      </c>
      <c r="C141" s="146" t="s">
        <v>160</v>
      </c>
      <c r="D141" s="149">
        <f t="shared" si="14"/>
        <v>179</v>
      </c>
      <c r="E141" s="149"/>
      <c r="F141" s="148"/>
      <c r="G141" s="156"/>
      <c r="H141" s="157">
        <f>SUMIF(PoleRates!$E$4:$E$131,"20140101"&amp;C141,PoleRates!$F$4:$F$131)</f>
        <v>3.56</v>
      </c>
      <c r="I141" s="158">
        <v>637.24</v>
      </c>
      <c r="J141" s="159">
        <v>179</v>
      </c>
      <c r="K141" s="155">
        <v>637.24</v>
      </c>
    </row>
    <row r="142" spans="1:11" ht="12.75" thickBot="1">
      <c r="A142" s="146" t="s">
        <v>1218</v>
      </c>
      <c r="B142" s="146" t="s">
        <v>1117</v>
      </c>
      <c r="C142" s="146" t="s">
        <v>160</v>
      </c>
      <c r="D142" s="149">
        <f t="shared" si="14"/>
        <v>56</v>
      </c>
      <c r="E142" s="149"/>
      <c r="F142" s="148"/>
      <c r="G142" s="156"/>
      <c r="H142" s="157">
        <f>SUMIF(PoleRates!$E$4:$E$131,"20140101"&amp;C142,PoleRates!$F$4:$F$131)</f>
        <v>3.56</v>
      </c>
      <c r="I142" s="158">
        <v>199.36</v>
      </c>
      <c r="J142" s="159">
        <v>56</v>
      </c>
      <c r="K142" s="155">
        <v>199.36</v>
      </c>
    </row>
    <row r="143" spans="1:11" ht="12.75" thickBot="1">
      <c r="A143" s="146" t="s">
        <v>1218</v>
      </c>
      <c r="B143" s="146" t="s">
        <v>498</v>
      </c>
      <c r="C143" s="146" t="s">
        <v>160</v>
      </c>
      <c r="D143" s="151">
        <f t="shared" si="14"/>
        <v>53</v>
      </c>
      <c r="E143" s="151"/>
      <c r="F143" s="150"/>
      <c r="G143" s="160"/>
      <c r="H143" s="157">
        <f>SUMIF(PoleRates!$E$4:$E$131,"20140101"&amp;C143,PoleRates!$F$4:$F$131)</f>
        <v>3.56</v>
      </c>
      <c r="I143" s="158">
        <v>199.35999999999999</v>
      </c>
      <c r="J143" s="159">
        <v>53</v>
      </c>
      <c r="K143" s="155">
        <v>199.35999999999999</v>
      </c>
    </row>
    <row r="144" spans="1:11" ht="12.75" thickBot="1">
      <c r="A144" s="146" t="s">
        <v>1218</v>
      </c>
      <c r="B144" s="146" t="s">
        <v>1117</v>
      </c>
      <c r="C144" s="146" t="s">
        <v>160</v>
      </c>
      <c r="D144" s="149">
        <f t="shared" si="14"/>
        <v>112</v>
      </c>
      <c r="E144" s="149"/>
      <c r="F144" s="148"/>
      <c r="G144" s="156"/>
      <c r="H144" s="157">
        <f>SUMIF(PoleRates!$E$4:$E$131,"20140101"&amp;C144,PoleRates!$F$4:$F$131)</f>
        <v>3.56</v>
      </c>
      <c r="I144" s="158">
        <v>416.52</v>
      </c>
      <c r="J144" s="159">
        <v>112</v>
      </c>
      <c r="K144" s="155">
        <v>416.52</v>
      </c>
    </row>
    <row r="145" spans="1:12" ht="12.75" thickBot="1">
      <c r="A145" s="146" t="s">
        <v>1218</v>
      </c>
      <c r="B145" s="146" t="s">
        <v>498</v>
      </c>
      <c r="C145" s="146" t="s">
        <v>155</v>
      </c>
      <c r="D145" s="150">
        <f t="shared" si="14"/>
        <v>45</v>
      </c>
      <c r="E145" s="160"/>
      <c r="F145" s="151"/>
      <c r="G145" s="151"/>
      <c r="H145" s="157">
        <f>SUMIF(PoleRates!$E$4:$E$131,"20140101"&amp;C145,PoleRates!$F$4:$F$131)</f>
        <v>3.47</v>
      </c>
      <c r="I145" s="158">
        <v>156.15</v>
      </c>
      <c r="J145" s="159">
        <v>45</v>
      </c>
      <c r="K145" s="155">
        <v>156.15</v>
      </c>
    </row>
    <row r="146" spans="1:12" ht="12.75" thickBot="1">
      <c r="A146" s="146" t="s">
        <v>1218</v>
      </c>
      <c r="B146" s="146" t="s">
        <v>1117</v>
      </c>
      <c r="C146" s="146" t="s">
        <v>155</v>
      </c>
      <c r="D146" s="148">
        <f t="shared" si="14"/>
        <v>3</v>
      </c>
      <c r="E146" s="156"/>
      <c r="F146" s="149"/>
      <c r="G146" s="149"/>
      <c r="H146" s="157">
        <f>SUMIF(PoleRates!$E$4:$E$131,"20140101"&amp;C146,PoleRates!$F$4:$F$131)</f>
        <v>3.47</v>
      </c>
      <c r="I146" s="158">
        <v>10.41</v>
      </c>
      <c r="J146" s="159">
        <v>3</v>
      </c>
      <c r="K146" s="155">
        <v>10.41</v>
      </c>
    </row>
    <row r="147" spans="1:12" ht="12.75" thickBot="1">
      <c r="A147" s="146" t="s">
        <v>1218</v>
      </c>
      <c r="B147" s="146" t="s">
        <v>498</v>
      </c>
      <c r="C147" s="147" t="s">
        <v>156</v>
      </c>
      <c r="D147" s="150">
        <f t="shared" si="14"/>
        <v>20</v>
      </c>
      <c r="E147" s="160"/>
      <c r="F147" s="151"/>
      <c r="G147" s="151"/>
      <c r="H147" s="157">
        <f>SUMIF(PoleRates!$E$4:$E$131,"20140101"&amp;C147,PoleRates!$F$4:$F$131)</f>
        <v>3.73</v>
      </c>
      <c r="I147" s="158">
        <v>70.87</v>
      </c>
      <c r="J147" s="159">
        <v>20</v>
      </c>
      <c r="K147" s="155">
        <v>70.87</v>
      </c>
    </row>
    <row r="148" spans="1:12" ht="12.75" thickBot="1">
      <c r="A148" s="146" t="s">
        <v>1218</v>
      </c>
      <c r="B148" s="146" t="s">
        <v>1117</v>
      </c>
      <c r="C148" s="147" t="s">
        <v>156</v>
      </c>
      <c r="D148" s="148">
        <f t="shared" si="14"/>
        <v>72</v>
      </c>
      <c r="E148" s="156"/>
      <c r="F148" s="149"/>
      <c r="G148" s="149"/>
      <c r="H148" s="157">
        <f>SUMIF(PoleRates!$E$4:$E$131,"20140101"&amp;C148,PoleRates!$F$4:$F$131)</f>
        <v>3.73</v>
      </c>
      <c r="I148" s="158">
        <v>257.37</v>
      </c>
      <c r="J148" s="159">
        <v>72</v>
      </c>
      <c r="K148" s="155">
        <v>257.37</v>
      </c>
    </row>
    <row r="149" spans="1:12" ht="12.75" thickBot="1">
      <c r="A149" s="146" t="s">
        <v>1218</v>
      </c>
      <c r="B149" s="146" t="s">
        <v>498</v>
      </c>
      <c r="C149" s="147" t="s">
        <v>160</v>
      </c>
      <c r="D149" s="150">
        <f t="shared" si="14"/>
        <v>1</v>
      </c>
      <c r="E149" s="160"/>
      <c r="F149" s="151"/>
      <c r="G149" s="151"/>
      <c r="H149" s="157">
        <f>SUMIF(PoleRates!$E$4:$E$131,"20140101"&amp;C149,PoleRates!$F$4:$F$131)</f>
        <v>3.56</v>
      </c>
      <c r="I149" s="158">
        <v>3.56</v>
      </c>
      <c r="J149" s="159">
        <v>1</v>
      </c>
      <c r="K149" s="155">
        <v>3.56</v>
      </c>
    </row>
    <row r="150" spans="1:12" ht="12.75" thickBot="1">
      <c r="A150" s="146" t="s">
        <v>1218</v>
      </c>
      <c r="B150" s="146" t="s">
        <v>1117</v>
      </c>
      <c r="C150" s="147" t="s">
        <v>160</v>
      </c>
      <c r="D150" s="148">
        <f t="shared" si="14"/>
        <v>79</v>
      </c>
      <c r="E150" s="156"/>
      <c r="F150" s="149"/>
      <c r="G150" s="149"/>
      <c r="H150" s="157">
        <f>SUMIF(PoleRates!$E$4:$E$131,"20140101"&amp;C150,PoleRates!$F$4:$F$131)</f>
        <v>3.56</v>
      </c>
      <c r="I150" s="158">
        <v>281.24</v>
      </c>
      <c r="J150" s="159">
        <v>79</v>
      </c>
      <c r="K150" s="155">
        <v>281.24</v>
      </c>
    </row>
    <row r="151" spans="1:12" ht="12.75" thickBot="1">
      <c r="A151" s="146" t="s">
        <v>1218</v>
      </c>
      <c r="B151" s="146" t="s">
        <v>498</v>
      </c>
      <c r="C151" s="146" t="s">
        <v>160</v>
      </c>
      <c r="D151" s="150">
        <f t="shared" si="14"/>
        <v>6</v>
      </c>
      <c r="E151" s="160"/>
      <c r="F151" s="151"/>
      <c r="G151" s="151"/>
      <c r="H151" s="157">
        <f>SUMIF(PoleRates!$E$4:$E$131,"20140101"&amp;C151,PoleRates!$F$4:$F$131)</f>
        <v>3.56</v>
      </c>
      <c r="I151" s="158">
        <v>21.36</v>
      </c>
      <c r="J151" s="159">
        <v>6</v>
      </c>
      <c r="K151" s="155">
        <v>21.36</v>
      </c>
    </row>
    <row r="152" spans="1:12" ht="12.75" thickBot="1">
      <c r="A152" s="146" t="s">
        <v>1218</v>
      </c>
      <c r="B152" s="146" t="s">
        <v>1117</v>
      </c>
      <c r="C152" s="146" t="s">
        <v>160</v>
      </c>
      <c r="D152" s="148">
        <f t="shared" si="14"/>
        <v>60</v>
      </c>
      <c r="E152" s="156"/>
      <c r="F152" s="149"/>
      <c r="G152" s="149"/>
      <c r="H152" s="157">
        <f>SUMIF(PoleRates!$E$4:$E$131,"20140101"&amp;C152,PoleRates!$F$4:$F$131)</f>
        <v>3.56</v>
      </c>
      <c r="I152" s="158">
        <v>213.6</v>
      </c>
      <c r="J152" s="159">
        <v>60</v>
      </c>
      <c r="K152" s="155">
        <v>213.6</v>
      </c>
    </row>
    <row r="153" spans="1:12" ht="12.75" thickBot="1">
      <c r="A153" s="146" t="s">
        <v>1218</v>
      </c>
      <c r="B153" s="146" t="s">
        <v>498</v>
      </c>
      <c r="C153" s="147" t="s">
        <v>162</v>
      </c>
      <c r="D153" s="150"/>
      <c r="E153" s="160"/>
      <c r="F153" s="151">
        <f t="shared" ref="F153:F154" si="15">J153</f>
        <v>36</v>
      </c>
      <c r="G153" s="151"/>
      <c r="H153" s="157">
        <f>SUMIF(PoleRates!$E$4:$E$131,"20140101"&amp;C153,PoleRates!$F$4:$F$131)</f>
        <v>11.31</v>
      </c>
      <c r="I153" s="158">
        <v>407.16</v>
      </c>
      <c r="J153" s="159">
        <v>36</v>
      </c>
      <c r="K153" s="155">
        <v>407.16</v>
      </c>
    </row>
    <row r="154" spans="1:12" ht="12.75" thickBot="1">
      <c r="A154" s="146" t="s">
        <v>1218</v>
      </c>
      <c r="B154" s="146" t="s">
        <v>1117</v>
      </c>
      <c r="C154" s="147" t="s">
        <v>162</v>
      </c>
      <c r="D154" s="149"/>
      <c r="E154" s="149"/>
      <c r="F154" s="148">
        <f t="shared" si="15"/>
        <v>416</v>
      </c>
      <c r="G154" s="156"/>
      <c r="H154" s="157">
        <f>SUMIF(PoleRates!$E$4:$E$131,"20140101"&amp;C154,PoleRates!$F$4:$F$131)</f>
        <v>11.31</v>
      </c>
      <c r="I154" s="158">
        <v>4704.96</v>
      </c>
      <c r="J154" s="159">
        <v>416</v>
      </c>
      <c r="K154" s="155">
        <v>4704.96</v>
      </c>
    </row>
    <row r="155" spans="1:12" ht="12.75" thickBot="1">
      <c r="A155" s="146" t="s">
        <v>1218</v>
      </c>
      <c r="B155" s="165"/>
      <c r="C155" s="166" t="s">
        <v>7</v>
      </c>
      <c r="D155" s="167"/>
      <c r="E155" s="167"/>
      <c r="F155" s="167"/>
      <c r="G155" s="167"/>
      <c r="H155" s="168"/>
      <c r="I155" s="158"/>
    </row>
    <row r="156" spans="1:12" ht="23.25" thickBot="1">
      <c r="A156" s="169" t="s">
        <v>0</v>
      </c>
      <c r="B156" s="169"/>
      <c r="C156" s="169" t="s">
        <v>147</v>
      </c>
      <c r="D156" s="169" t="s">
        <v>148</v>
      </c>
      <c r="E156" s="169" t="s">
        <v>149</v>
      </c>
      <c r="F156" s="169" t="s">
        <v>150</v>
      </c>
      <c r="G156" s="169" t="s">
        <v>837</v>
      </c>
      <c r="H156" s="157"/>
      <c r="I156" s="170"/>
      <c r="J156" s="159"/>
    </row>
    <row r="157" spans="1:12" ht="12.75" customHeight="1" thickBot="1">
      <c r="A157" s="161" t="s">
        <v>1221</v>
      </c>
      <c r="B157" s="146" t="s">
        <v>498</v>
      </c>
      <c r="C157" s="147" t="s">
        <v>152</v>
      </c>
      <c r="D157" s="149"/>
      <c r="E157" s="149"/>
      <c r="F157" s="148">
        <f>J157</f>
        <v>1627</v>
      </c>
      <c r="G157" s="156"/>
      <c r="H157" s="157">
        <f>SUMIF(PoleRates!$E$4:$E$131,"20140101"&amp;C157,PoleRates!$F$4:$F$131)</f>
        <v>2.06</v>
      </c>
      <c r="I157" s="259">
        <v>3351.35</v>
      </c>
      <c r="J157" s="189">
        <v>1627</v>
      </c>
      <c r="K157" s="258">
        <v>3351.35</v>
      </c>
      <c r="L157" s="258"/>
    </row>
    <row r="158" spans="1:12" ht="12.75" thickBot="1">
      <c r="A158" s="161" t="s">
        <v>1221</v>
      </c>
      <c r="B158" s="146" t="s">
        <v>1117</v>
      </c>
      <c r="C158" s="147" t="s">
        <v>152</v>
      </c>
      <c r="D158" s="151"/>
      <c r="E158" s="151"/>
      <c r="F158" s="150">
        <f t="shared" ref="F158:F162" si="16">J158</f>
        <v>5224</v>
      </c>
      <c r="G158" s="160"/>
      <c r="H158" s="157">
        <f>SUMIF(PoleRates!$E$4:$E$131,"20140101"&amp;C158,PoleRates!$F$4:$F$131)</f>
        <v>2.06</v>
      </c>
      <c r="I158" s="259">
        <v>10761.520000000002</v>
      </c>
      <c r="J158" s="189">
        <v>5224</v>
      </c>
      <c r="K158" s="258">
        <v>10761.520000000002</v>
      </c>
      <c r="L158" s="258"/>
    </row>
    <row r="159" spans="1:12" ht="12.75" thickBot="1">
      <c r="A159" s="161" t="s">
        <v>1221</v>
      </c>
      <c r="B159" s="146" t="s">
        <v>498</v>
      </c>
      <c r="C159" s="147" t="s">
        <v>153</v>
      </c>
      <c r="D159" s="149"/>
      <c r="E159" s="149"/>
      <c r="F159" s="148">
        <f t="shared" si="16"/>
        <v>155</v>
      </c>
      <c r="G159" s="156"/>
      <c r="H159" s="157">
        <f>SUMIF(PoleRates!$E$4:$E$131,"20140101"&amp;C159,PoleRates!$F$4:$F$131)</f>
        <v>10.81</v>
      </c>
      <c r="I159" s="259">
        <v>1675.55</v>
      </c>
      <c r="J159" s="189">
        <v>155</v>
      </c>
      <c r="K159" s="258">
        <v>1675.55</v>
      </c>
      <c r="L159" s="258"/>
    </row>
    <row r="160" spans="1:12" ht="12.75" thickBot="1">
      <c r="A160" s="161" t="s">
        <v>1221</v>
      </c>
      <c r="B160" s="146" t="s">
        <v>1117</v>
      </c>
      <c r="C160" s="147" t="s">
        <v>153</v>
      </c>
      <c r="D160" s="150"/>
      <c r="E160" s="160"/>
      <c r="F160" s="151">
        <f t="shared" si="16"/>
        <v>0</v>
      </c>
      <c r="G160" s="151"/>
      <c r="H160" s="157">
        <f>SUMIF(PoleRates!$E$4:$E$131,"20140101"&amp;C160,PoleRates!$F$4:$F$131)</f>
        <v>10.81</v>
      </c>
      <c r="I160" s="259">
        <v>0</v>
      </c>
      <c r="J160" s="189">
        <v>0</v>
      </c>
      <c r="K160" s="258">
        <v>0</v>
      </c>
      <c r="L160" s="258"/>
    </row>
    <row r="161" spans="1:12" ht="12.75" thickBot="1">
      <c r="A161" s="161" t="s">
        <v>1221</v>
      </c>
      <c r="B161" s="146" t="s">
        <v>498</v>
      </c>
      <c r="C161" s="147" t="s">
        <v>154</v>
      </c>
      <c r="D161" s="148"/>
      <c r="E161" s="156"/>
      <c r="F161" s="149">
        <f t="shared" si="16"/>
        <v>277</v>
      </c>
      <c r="G161" s="149"/>
      <c r="H161" s="157">
        <f>SUMIF(PoleRates!$E$4:$E$131,"20140101"&amp;C161,PoleRates!$F$4:$F$131)</f>
        <v>12.9</v>
      </c>
      <c r="I161" s="259">
        <v>3573.3</v>
      </c>
      <c r="J161" s="189">
        <v>277</v>
      </c>
      <c r="K161" s="258">
        <v>3573.3</v>
      </c>
      <c r="L161" s="258"/>
    </row>
    <row r="162" spans="1:12" ht="12.75" thickBot="1">
      <c r="A162" s="161" t="s">
        <v>1221</v>
      </c>
      <c r="B162" s="146" t="s">
        <v>1117</v>
      </c>
      <c r="C162" s="147" t="s">
        <v>154</v>
      </c>
      <c r="D162" s="150"/>
      <c r="E162" s="160"/>
      <c r="F162" s="151">
        <f t="shared" si="16"/>
        <v>3</v>
      </c>
      <c r="G162" s="151"/>
      <c r="H162" s="157">
        <f>SUMIF(PoleRates!$E$4:$E$131,"20140101"&amp;C162,PoleRates!$F$4:$F$131)</f>
        <v>12.9</v>
      </c>
      <c r="I162" s="259">
        <v>38.700000000000003</v>
      </c>
      <c r="J162" s="189">
        <v>3</v>
      </c>
      <c r="K162" s="258">
        <v>38.700000000000003</v>
      </c>
      <c r="L162" s="258"/>
    </row>
    <row r="163" spans="1:12" ht="12.75" thickBot="1">
      <c r="A163" s="161" t="s">
        <v>1221</v>
      </c>
      <c r="B163" s="146" t="s">
        <v>498</v>
      </c>
      <c r="C163" s="146" t="s">
        <v>155</v>
      </c>
      <c r="D163" s="148">
        <f>J163</f>
        <v>30</v>
      </c>
      <c r="E163" s="156"/>
      <c r="F163" s="149"/>
      <c r="G163" s="149"/>
      <c r="H163" s="157">
        <f>SUMIF(PoleRates!$E$4:$E$131,"20140101"&amp;C163,PoleRates!$F$4:$F$131)</f>
        <v>3.47</v>
      </c>
      <c r="I163" s="259">
        <v>104.1</v>
      </c>
      <c r="J163" s="189">
        <v>30</v>
      </c>
      <c r="K163" s="258">
        <v>104.1</v>
      </c>
      <c r="L163" s="258"/>
    </row>
    <row r="164" spans="1:12" ht="12.75" thickBot="1">
      <c r="A164" s="161" t="s">
        <v>1221</v>
      </c>
      <c r="B164" s="146" t="s">
        <v>1117</v>
      </c>
      <c r="C164" s="146" t="s">
        <v>155</v>
      </c>
      <c r="D164" s="150">
        <f t="shared" ref="D164:D178" si="17">J164</f>
        <v>10</v>
      </c>
      <c r="E164" s="160"/>
      <c r="F164" s="151"/>
      <c r="G164" s="151"/>
      <c r="H164" s="157">
        <f>SUMIF(PoleRates!$E$4:$E$131,"20140101"&amp;C164,PoleRates!$F$4:$F$131)</f>
        <v>3.47</v>
      </c>
      <c r="I164" s="259">
        <v>34.700000000000003</v>
      </c>
      <c r="J164" s="189">
        <v>10</v>
      </c>
      <c r="K164" s="258">
        <v>34.700000000000003</v>
      </c>
      <c r="L164" s="258"/>
    </row>
    <row r="165" spans="1:12" ht="12.75" thickBot="1">
      <c r="A165" s="161" t="s">
        <v>1221</v>
      </c>
      <c r="B165" s="146" t="s">
        <v>498</v>
      </c>
      <c r="C165" s="147" t="s">
        <v>156</v>
      </c>
      <c r="D165" s="148">
        <f t="shared" si="17"/>
        <v>175</v>
      </c>
      <c r="E165" s="156"/>
      <c r="F165" s="149"/>
      <c r="G165" s="149"/>
      <c r="H165" s="157">
        <f>SUMIF(PoleRates!$E$4:$E$131,"20140101"&amp;C165,PoleRates!$F$4:$F$131)</f>
        <v>3.73</v>
      </c>
      <c r="I165" s="259">
        <v>652.75</v>
      </c>
      <c r="J165" s="189">
        <v>175</v>
      </c>
      <c r="K165" s="258">
        <v>652.75</v>
      </c>
      <c r="L165" s="258"/>
    </row>
    <row r="166" spans="1:12" ht="12.75" thickBot="1">
      <c r="A166" s="161" t="s">
        <v>1221</v>
      </c>
      <c r="B166" s="146" t="s">
        <v>1117</v>
      </c>
      <c r="C166" s="147" t="s">
        <v>156</v>
      </c>
      <c r="D166" s="150">
        <f t="shared" si="17"/>
        <v>3</v>
      </c>
      <c r="E166" s="160"/>
      <c r="F166" s="151"/>
      <c r="G166" s="151"/>
      <c r="H166" s="157">
        <f>SUMIF(PoleRates!$E$4:$E$131,"20140101"&amp;C166,PoleRates!$F$4:$F$131)</f>
        <v>3.73</v>
      </c>
      <c r="I166" s="259">
        <v>11.19</v>
      </c>
      <c r="J166" s="189">
        <v>3</v>
      </c>
      <c r="K166" s="258">
        <v>11.19</v>
      </c>
      <c r="L166" s="258"/>
    </row>
    <row r="167" spans="1:12" ht="12.75" thickBot="1">
      <c r="A167" s="161" t="s">
        <v>1221</v>
      </c>
      <c r="B167" s="146" t="s">
        <v>498</v>
      </c>
      <c r="C167" s="146" t="s">
        <v>160</v>
      </c>
      <c r="D167" s="149">
        <f t="shared" si="17"/>
        <v>179</v>
      </c>
      <c r="E167" s="149"/>
      <c r="F167" s="148"/>
      <c r="G167" s="156"/>
      <c r="H167" s="157">
        <f>SUMIF(PoleRates!$E$4:$E$131,"20140101"&amp;C167,PoleRates!$F$4:$F$131)</f>
        <v>3.56</v>
      </c>
      <c r="I167" s="259">
        <v>637.24</v>
      </c>
      <c r="J167" s="189">
        <v>179</v>
      </c>
      <c r="K167" s="258">
        <v>637.24</v>
      </c>
      <c r="L167" s="258"/>
    </row>
    <row r="168" spans="1:12" ht="12.75" thickBot="1">
      <c r="A168" s="161" t="s">
        <v>1221</v>
      </c>
      <c r="B168" s="146" t="s">
        <v>1117</v>
      </c>
      <c r="C168" s="146" t="s">
        <v>160</v>
      </c>
      <c r="D168" s="149">
        <f t="shared" si="17"/>
        <v>56</v>
      </c>
      <c r="E168" s="149"/>
      <c r="F168" s="148"/>
      <c r="G168" s="156"/>
      <c r="H168" s="157">
        <f>SUMIF(PoleRates!$E$4:$E$131,"20140101"&amp;C168,PoleRates!$F$4:$F$131)</f>
        <v>3.56</v>
      </c>
      <c r="I168" s="259">
        <v>200.07000000000002</v>
      </c>
      <c r="J168" s="189">
        <v>56</v>
      </c>
      <c r="K168" s="258">
        <v>200.07000000000002</v>
      </c>
      <c r="L168" s="258"/>
    </row>
    <row r="169" spans="1:12" ht="12.75" thickBot="1">
      <c r="A169" s="161" t="s">
        <v>1221</v>
      </c>
      <c r="B169" s="146" t="s">
        <v>498</v>
      </c>
      <c r="C169" s="146" t="s">
        <v>160</v>
      </c>
      <c r="D169" s="151">
        <f t="shared" si="17"/>
        <v>53</v>
      </c>
      <c r="E169" s="151"/>
      <c r="F169" s="150"/>
      <c r="G169" s="160"/>
      <c r="H169" s="157">
        <f>SUMIF(PoleRates!$E$4:$E$131,"20140101"&amp;C169,PoleRates!$F$4:$F$131)</f>
        <v>3.56</v>
      </c>
      <c r="I169" s="259">
        <v>199.35999999999999</v>
      </c>
      <c r="J169" s="189">
        <v>53</v>
      </c>
      <c r="K169" s="258">
        <v>199.35999999999999</v>
      </c>
      <c r="L169" s="258"/>
    </row>
    <row r="170" spans="1:12" ht="12.75" customHeight="1" thickBot="1">
      <c r="A170" s="161" t="s">
        <v>1221</v>
      </c>
      <c r="B170" s="146" t="s">
        <v>1117</v>
      </c>
      <c r="C170" s="146" t="s">
        <v>160</v>
      </c>
      <c r="D170" s="149">
        <f t="shared" si="17"/>
        <v>112</v>
      </c>
      <c r="E170" s="149"/>
      <c r="F170" s="148"/>
      <c r="G170" s="156"/>
      <c r="H170" s="157">
        <f>SUMIF(PoleRates!$E$4:$E$131,"20140101"&amp;C170,PoleRates!$F$4:$F$131)</f>
        <v>3.56</v>
      </c>
      <c r="I170" s="259">
        <v>416.52</v>
      </c>
      <c r="J170" s="189">
        <v>112</v>
      </c>
      <c r="K170" s="258">
        <v>416.52</v>
      </c>
      <c r="L170" s="258"/>
    </row>
    <row r="171" spans="1:12" ht="12.75" thickBot="1">
      <c r="A171" s="161" t="s">
        <v>1221</v>
      </c>
      <c r="B171" s="146" t="s">
        <v>498</v>
      </c>
      <c r="C171" s="146" t="s">
        <v>155</v>
      </c>
      <c r="D171" s="150">
        <f t="shared" si="17"/>
        <v>45</v>
      </c>
      <c r="E171" s="160"/>
      <c r="F171" s="151"/>
      <c r="G171" s="151"/>
      <c r="H171" s="157">
        <f>SUMIF(PoleRates!$E$4:$E$131,"20140101"&amp;C171,PoleRates!$F$4:$F$131)</f>
        <v>3.47</v>
      </c>
      <c r="I171" s="259">
        <v>156.15</v>
      </c>
      <c r="J171" s="189">
        <v>45</v>
      </c>
      <c r="K171" s="258">
        <v>156.15</v>
      </c>
      <c r="L171" s="258"/>
    </row>
    <row r="172" spans="1:12" ht="12.75" thickBot="1">
      <c r="A172" s="161" t="s">
        <v>1221</v>
      </c>
      <c r="B172" s="146" t="s">
        <v>1117</v>
      </c>
      <c r="C172" s="146" t="s">
        <v>155</v>
      </c>
      <c r="D172" s="148">
        <f t="shared" si="17"/>
        <v>3</v>
      </c>
      <c r="E172" s="156"/>
      <c r="F172" s="149"/>
      <c r="G172" s="149"/>
      <c r="H172" s="157">
        <f>SUMIF(PoleRates!$E$4:$E$131,"20140101"&amp;C172,PoleRates!$F$4:$F$131)</f>
        <v>3.47</v>
      </c>
      <c r="I172" s="259">
        <v>10.41</v>
      </c>
      <c r="J172" s="189">
        <v>3</v>
      </c>
      <c r="K172" s="258">
        <v>10.41</v>
      </c>
      <c r="L172" s="258"/>
    </row>
    <row r="173" spans="1:12" ht="12.75" thickBot="1">
      <c r="A173" s="161" t="s">
        <v>1221</v>
      </c>
      <c r="B173" s="146" t="s">
        <v>498</v>
      </c>
      <c r="C173" s="147" t="s">
        <v>156</v>
      </c>
      <c r="D173" s="150">
        <f t="shared" si="17"/>
        <v>20</v>
      </c>
      <c r="E173" s="160"/>
      <c r="F173" s="151"/>
      <c r="G173" s="151"/>
      <c r="H173" s="157">
        <f>SUMIF(PoleRates!$E$4:$E$131,"20140101"&amp;C173,PoleRates!$F$4:$F$131)</f>
        <v>3.73</v>
      </c>
      <c r="I173" s="259">
        <v>70.87</v>
      </c>
      <c r="J173" s="189">
        <v>20</v>
      </c>
      <c r="K173" s="258">
        <v>70.87</v>
      </c>
      <c r="L173" s="258"/>
    </row>
    <row r="174" spans="1:12" ht="12.75" thickBot="1">
      <c r="A174" s="161" t="s">
        <v>1221</v>
      </c>
      <c r="B174" s="146" t="s">
        <v>1117</v>
      </c>
      <c r="C174" s="147" t="s">
        <v>156</v>
      </c>
      <c r="D174" s="148">
        <f t="shared" si="17"/>
        <v>70</v>
      </c>
      <c r="E174" s="156"/>
      <c r="F174" s="149"/>
      <c r="G174" s="149"/>
      <c r="H174" s="157">
        <f>SUMIF(PoleRates!$E$4:$E$131,"20140101"&amp;C174,PoleRates!$F$4:$F$131)</f>
        <v>3.73</v>
      </c>
      <c r="I174" s="259">
        <v>249.90999999999997</v>
      </c>
      <c r="J174" s="189">
        <v>70</v>
      </c>
      <c r="K174" s="258">
        <v>249.90999999999997</v>
      </c>
      <c r="L174" s="258"/>
    </row>
    <row r="175" spans="1:12" ht="12.75" thickBot="1">
      <c r="A175" s="161" t="s">
        <v>1221</v>
      </c>
      <c r="B175" s="146" t="s">
        <v>498</v>
      </c>
      <c r="C175" s="147" t="s">
        <v>160</v>
      </c>
      <c r="D175" s="150">
        <f t="shared" si="17"/>
        <v>1</v>
      </c>
      <c r="E175" s="160"/>
      <c r="F175" s="151"/>
      <c r="G175" s="151"/>
      <c r="H175" s="157">
        <f>SUMIF(PoleRates!$E$4:$E$131,"20140101"&amp;C175,PoleRates!$F$4:$F$131)</f>
        <v>3.56</v>
      </c>
      <c r="I175" s="259">
        <v>3.56</v>
      </c>
      <c r="J175" s="189">
        <v>1</v>
      </c>
      <c r="K175" s="258">
        <v>3.56</v>
      </c>
      <c r="L175" s="258"/>
    </row>
    <row r="176" spans="1:12" ht="12.75" thickBot="1">
      <c r="A176" s="161" t="s">
        <v>1221</v>
      </c>
      <c r="B176" s="146" t="s">
        <v>1117</v>
      </c>
      <c r="C176" s="147" t="s">
        <v>160</v>
      </c>
      <c r="D176" s="148">
        <f t="shared" si="17"/>
        <v>83</v>
      </c>
      <c r="E176" s="156"/>
      <c r="F176" s="149"/>
      <c r="G176" s="149"/>
      <c r="H176" s="157">
        <f>SUMIF(PoleRates!$E$4:$E$131,"20140101"&amp;C176,PoleRates!$F$4:$F$131)</f>
        <v>3.56</v>
      </c>
      <c r="I176" s="259">
        <v>294.52999999999997</v>
      </c>
      <c r="J176" s="189">
        <v>83</v>
      </c>
      <c r="K176" s="258">
        <v>294.52999999999997</v>
      </c>
      <c r="L176" s="258"/>
    </row>
    <row r="177" spans="1:12" ht="12.75" thickBot="1">
      <c r="A177" s="161" t="s">
        <v>1221</v>
      </c>
      <c r="B177" s="146" t="s">
        <v>498</v>
      </c>
      <c r="C177" s="146" t="s">
        <v>160</v>
      </c>
      <c r="D177" s="150">
        <f t="shared" si="17"/>
        <v>6</v>
      </c>
      <c r="E177" s="160"/>
      <c r="F177" s="151"/>
      <c r="G177" s="151"/>
      <c r="H177" s="157">
        <f>SUMIF(PoleRates!$E$4:$E$131,"20140101"&amp;C177,PoleRates!$F$4:$F$131)</f>
        <v>3.56</v>
      </c>
      <c r="I177" s="259">
        <v>21.36</v>
      </c>
      <c r="J177" s="189">
        <v>6</v>
      </c>
      <c r="K177" s="258">
        <v>21.36</v>
      </c>
      <c r="L177" s="258"/>
    </row>
    <row r="178" spans="1:12" ht="12.75" thickBot="1">
      <c r="A178" s="161" t="s">
        <v>1221</v>
      </c>
      <c r="B178" s="146" t="s">
        <v>1117</v>
      </c>
      <c r="C178" s="146" t="s">
        <v>160</v>
      </c>
      <c r="D178" s="148">
        <f t="shared" si="17"/>
        <v>60</v>
      </c>
      <c r="E178" s="156"/>
      <c r="F178" s="149"/>
      <c r="G178" s="149"/>
      <c r="H178" s="157">
        <f>SUMIF(PoleRates!$E$4:$E$131,"20140101"&amp;C178,PoleRates!$F$4:$F$131)</f>
        <v>3.56</v>
      </c>
      <c r="I178" s="259">
        <v>213.6</v>
      </c>
      <c r="J178" s="189">
        <v>60</v>
      </c>
      <c r="K178" s="258">
        <v>213.6</v>
      </c>
      <c r="L178" s="258"/>
    </row>
    <row r="179" spans="1:12" ht="12.75" thickBot="1">
      <c r="A179" s="161" t="s">
        <v>1221</v>
      </c>
      <c r="B179" s="146" t="s">
        <v>498</v>
      </c>
      <c r="C179" s="147" t="s">
        <v>162</v>
      </c>
      <c r="D179" s="150"/>
      <c r="E179" s="160"/>
      <c r="F179" s="151">
        <f t="shared" ref="F179:F180" si="18">J179</f>
        <v>37</v>
      </c>
      <c r="G179" s="151"/>
      <c r="H179" s="157">
        <f>SUMIF(PoleRates!$E$4:$E$131,"20140101"&amp;C179,PoleRates!$F$4:$F$131)</f>
        <v>11.31</v>
      </c>
      <c r="I179" s="259">
        <v>418.47</v>
      </c>
      <c r="J179" s="189">
        <v>37</v>
      </c>
      <c r="K179" s="258">
        <v>418.47</v>
      </c>
      <c r="L179" s="258"/>
    </row>
    <row r="180" spans="1:12" ht="12.75" thickBot="1">
      <c r="A180" s="161" t="s">
        <v>1221</v>
      </c>
      <c r="B180" s="146" t="s">
        <v>1117</v>
      </c>
      <c r="C180" s="147" t="s">
        <v>162</v>
      </c>
      <c r="D180" s="149"/>
      <c r="E180" s="149"/>
      <c r="F180" s="148">
        <f t="shared" si="18"/>
        <v>420</v>
      </c>
      <c r="G180" s="156"/>
      <c r="H180" s="157">
        <f>SUMIF(PoleRates!$E$4:$E$131,"20140101"&amp;C180,PoleRates!$F$4:$F$131)</f>
        <v>11.31</v>
      </c>
      <c r="I180" s="259">
        <v>4750.2</v>
      </c>
      <c r="J180" s="189">
        <v>420</v>
      </c>
      <c r="K180" s="258">
        <v>4750.2000000000007</v>
      </c>
      <c r="L180" s="258"/>
    </row>
    <row r="181" spans="1:12" ht="12.75" thickBot="1">
      <c r="A181" s="161" t="s">
        <v>1221</v>
      </c>
      <c r="B181" s="161"/>
      <c r="C181" s="171" t="s">
        <v>7</v>
      </c>
      <c r="D181" s="172"/>
      <c r="E181" s="173"/>
      <c r="F181" s="172"/>
      <c r="G181" s="173"/>
      <c r="H181" s="168"/>
      <c r="I181" s="158"/>
    </row>
    <row r="182" spans="1:12" ht="12.75" thickBot="1">
      <c r="A182" s="147" t="s">
        <v>0</v>
      </c>
      <c r="B182" s="147"/>
      <c r="C182" s="147" t="s">
        <v>147</v>
      </c>
      <c r="D182" s="147" t="s">
        <v>148</v>
      </c>
      <c r="E182" s="147" t="s">
        <v>149</v>
      </c>
      <c r="F182" s="147" t="s">
        <v>150</v>
      </c>
      <c r="G182" s="147" t="s">
        <v>837</v>
      </c>
      <c r="H182" s="157"/>
      <c r="I182" s="170"/>
      <c r="J182" s="159"/>
    </row>
    <row r="183" spans="1:12" ht="12.75" thickBot="1">
      <c r="A183" s="146" t="s">
        <v>1222</v>
      </c>
      <c r="B183" s="146" t="s">
        <v>498</v>
      </c>
      <c r="C183" s="147" t="s">
        <v>152</v>
      </c>
      <c r="D183" s="149"/>
      <c r="E183" s="149"/>
      <c r="F183" s="148">
        <f>J183</f>
        <v>1635</v>
      </c>
      <c r="G183" s="156"/>
      <c r="H183" s="157">
        <f>SUMIF(PoleRates!$E$4:$E$131,"20140101"&amp;C183,PoleRates!$F$4:$F$131)</f>
        <v>2.06</v>
      </c>
      <c r="I183" s="259">
        <v>3367.2099999999996</v>
      </c>
      <c r="J183" s="189">
        <v>1635</v>
      </c>
      <c r="K183" s="258">
        <v>3370.0299999999997</v>
      </c>
      <c r="L183" s="258"/>
    </row>
    <row r="184" spans="1:12" ht="12.75" thickBot="1">
      <c r="A184" s="146" t="s">
        <v>1222</v>
      </c>
      <c r="B184" s="146" t="s">
        <v>1117</v>
      </c>
      <c r="C184" s="147" t="s">
        <v>152</v>
      </c>
      <c r="D184" s="151"/>
      <c r="E184" s="151"/>
      <c r="F184" s="150">
        <f t="shared" ref="F184:F188" si="19">J184</f>
        <v>5150</v>
      </c>
      <c r="G184" s="160"/>
      <c r="H184" s="157">
        <f>SUMIF(PoleRates!$E$4:$E$131,"20140101"&amp;C184,PoleRates!$F$4:$F$131)</f>
        <v>2.06</v>
      </c>
      <c r="I184" s="259">
        <v>10607.98</v>
      </c>
      <c r="J184" s="189">
        <v>5150</v>
      </c>
      <c r="K184" s="258">
        <v>10610.800000000001</v>
      </c>
      <c r="L184" s="258"/>
    </row>
    <row r="185" spans="1:12" ht="12.75" thickBot="1">
      <c r="A185" s="146" t="s">
        <v>1222</v>
      </c>
      <c r="B185" s="146" t="s">
        <v>498</v>
      </c>
      <c r="C185" s="147" t="s">
        <v>153</v>
      </c>
      <c r="D185" s="149"/>
      <c r="E185" s="149"/>
      <c r="F185" s="148">
        <f t="shared" si="19"/>
        <v>155</v>
      </c>
      <c r="G185" s="156"/>
      <c r="H185" s="157">
        <f>SUMIF(PoleRates!$E$4:$E$131,"20140101"&amp;C185,PoleRates!$F$4:$F$131)</f>
        <v>10.81</v>
      </c>
      <c r="I185" s="259">
        <v>1675.55</v>
      </c>
      <c r="J185" s="189">
        <v>155</v>
      </c>
      <c r="K185" s="258">
        <v>1675.55</v>
      </c>
      <c r="L185" s="258"/>
    </row>
    <row r="186" spans="1:12" ht="12.75" thickBot="1">
      <c r="A186" s="146" t="s">
        <v>1222</v>
      </c>
      <c r="B186" s="146" t="s">
        <v>1117</v>
      </c>
      <c r="C186" s="147" t="s">
        <v>153</v>
      </c>
      <c r="D186" s="150"/>
      <c r="E186" s="160"/>
      <c r="F186" s="151">
        <f t="shared" si="19"/>
        <v>0</v>
      </c>
      <c r="G186" s="151"/>
      <c r="H186" s="157">
        <f>SUMIF(PoleRates!$E$4:$E$131,"20140101"&amp;C186,PoleRates!$F$4:$F$131)</f>
        <v>10.81</v>
      </c>
      <c r="I186" s="259">
        <v>0</v>
      </c>
      <c r="J186" s="189">
        <v>0</v>
      </c>
      <c r="K186" s="258">
        <v>0</v>
      </c>
      <c r="L186" s="258"/>
    </row>
    <row r="187" spans="1:12" ht="12.75" thickBot="1">
      <c r="A187" s="146" t="s">
        <v>1222</v>
      </c>
      <c r="B187" s="146" t="s">
        <v>498</v>
      </c>
      <c r="C187" s="147" t="s">
        <v>154</v>
      </c>
      <c r="D187" s="148"/>
      <c r="E187" s="156"/>
      <c r="F187" s="149">
        <f t="shared" si="19"/>
        <v>277</v>
      </c>
      <c r="G187" s="149"/>
      <c r="H187" s="157">
        <f>SUMIF(PoleRates!$E$4:$E$131,"20140101"&amp;C187,PoleRates!$F$4:$F$131)</f>
        <v>12.9</v>
      </c>
      <c r="I187" s="259">
        <v>3573.3</v>
      </c>
      <c r="J187" s="189">
        <v>277</v>
      </c>
      <c r="K187" s="258">
        <v>3573.3</v>
      </c>
      <c r="L187" s="258"/>
    </row>
    <row r="188" spans="1:12" ht="12.75" thickBot="1">
      <c r="A188" s="146" t="s">
        <v>1222</v>
      </c>
      <c r="B188" s="146" t="s">
        <v>1117</v>
      </c>
      <c r="C188" s="147" t="s">
        <v>154</v>
      </c>
      <c r="D188" s="150"/>
      <c r="E188" s="160"/>
      <c r="F188" s="151">
        <f t="shared" si="19"/>
        <v>3</v>
      </c>
      <c r="G188" s="151"/>
      <c r="H188" s="157">
        <f>SUMIF(PoleRates!$E$4:$E$131,"20140101"&amp;C188,PoleRates!$F$4:$F$131)</f>
        <v>12.9</v>
      </c>
      <c r="I188" s="259">
        <v>38.700000000000003</v>
      </c>
      <c r="J188" s="189">
        <v>3</v>
      </c>
      <c r="K188" s="258">
        <v>38.700000000000003</v>
      </c>
      <c r="L188" s="258"/>
    </row>
    <row r="189" spans="1:12" ht="12.75" thickBot="1">
      <c r="A189" s="146" t="s">
        <v>1222</v>
      </c>
      <c r="B189" s="146" t="s">
        <v>498</v>
      </c>
      <c r="C189" s="146" t="s">
        <v>155</v>
      </c>
      <c r="D189" s="148">
        <f>J189</f>
        <v>30</v>
      </c>
      <c r="E189" s="156"/>
      <c r="F189" s="149"/>
      <c r="G189" s="149"/>
      <c r="H189" s="157">
        <f>SUMIF(PoleRates!$E$4:$E$131,"20140101"&amp;C189,PoleRates!$F$4:$F$131)</f>
        <v>3.47</v>
      </c>
      <c r="I189" s="259">
        <v>104.1</v>
      </c>
      <c r="J189" s="189">
        <v>30</v>
      </c>
      <c r="K189" s="258">
        <v>104.1</v>
      </c>
      <c r="L189" s="258"/>
    </row>
    <row r="190" spans="1:12" ht="12.75" thickBot="1">
      <c r="A190" s="146" t="s">
        <v>1222</v>
      </c>
      <c r="B190" s="146" t="s">
        <v>1117</v>
      </c>
      <c r="C190" s="146" t="s">
        <v>155</v>
      </c>
      <c r="D190" s="150">
        <f t="shared" ref="D190:D204" si="20">J190</f>
        <v>10</v>
      </c>
      <c r="E190" s="160"/>
      <c r="F190" s="151"/>
      <c r="G190" s="151"/>
      <c r="H190" s="157">
        <f>SUMIF(PoleRates!$E$4:$E$131,"20140101"&amp;C190,PoleRates!$F$4:$F$131)</f>
        <v>3.47</v>
      </c>
      <c r="I190" s="259">
        <v>34.700000000000003</v>
      </c>
      <c r="J190" s="189">
        <v>10</v>
      </c>
      <c r="K190" s="258">
        <v>34.700000000000003</v>
      </c>
      <c r="L190" s="258"/>
    </row>
    <row r="191" spans="1:12" ht="12.75" thickBot="1">
      <c r="A191" s="146" t="s">
        <v>1222</v>
      </c>
      <c r="B191" s="146" t="s">
        <v>498</v>
      </c>
      <c r="C191" s="147" t="s">
        <v>156</v>
      </c>
      <c r="D191" s="148">
        <f t="shared" si="20"/>
        <v>175</v>
      </c>
      <c r="E191" s="156"/>
      <c r="F191" s="149"/>
      <c r="G191" s="149"/>
      <c r="H191" s="157">
        <f>SUMIF(PoleRates!$E$4:$E$131,"20140101"&amp;C191,PoleRates!$F$4:$F$131)</f>
        <v>3.73</v>
      </c>
      <c r="I191" s="259">
        <v>652.75</v>
      </c>
      <c r="J191" s="189">
        <v>175</v>
      </c>
      <c r="K191" s="258">
        <v>652.75</v>
      </c>
      <c r="L191" s="258"/>
    </row>
    <row r="192" spans="1:12" ht="12.75" thickBot="1">
      <c r="A192" s="146" t="s">
        <v>1222</v>
      </c>
      <c r="B192" s="146" t="s">
        <v>1117</v>
      </c>
      <c r="C192" s="147" t="s">
        <v>156</v>
      </c>
      <c r="D192" s="150">
        <f t="shared" si="20"/>
        <v>3</v>
      </c>
      <c r="E192" s="160"/>
      <c r="F192" s="151"/>
      <c r="G192" s="151"/>
      <c r="H192" s="157">
        <f>SUMIF(PoleRates!$E$4:$E$131,"20140101"&amp;C192,PoleRates!$F$4:$F$131)</f>
        <v>3.73</v>
      </c>
      <c r="I192" s="259">
        <v>11.19</v>
      </c>
      <c r="J192" s="189">
        <v>3</v>
      </c>
      <c r="K192" s="258">
        <v>11.19</v>
      </c>
      <c r="L192" s="258"/>
    </row>
    <row r="193" spans="1:13" ht="12.75" thickBot="1">
      <c r="A193" s="146" t="s">
        <v>1222</v>
      </c>
      <c r="B193" s="146" t="s">
        <v>498</v>
      </c>
      <c r="C193" s="146" t="s">
        <v>160</v>
      </c>
      <c r="D193" s="149">
        <f t="shared" si="20"/>
        <v>179</v>
      </c>
      <c r="E193" s="149"/>
      <c r="F193" s="148"/>
      <c r="G193" s="156"/>
      <c r="H193" s="157">
        <f>SUMIF(PoleRates!$E$4:$E$131,"20140101"&amp;C193,PoleRates!$F$4:$F$131)</f>
        <v>3.56</v>
      </c>
      <c r="I193" s="259">
        <v>637.24</v>
      </c>
      <c r="J193" s="189">
        <v>179</v>
      </c>
      <c r="K193" s="258">
        <v>637.24</v>
      </c>
      <c r="L193" s="258"/>
    </row>
    <row r="194" spans="1:13" ht="12.75" thickBot="1">
      <c r="A194" s="146" t="s">
        <v>1222</v>
      </c>
      <c r="B194" s="146" t="s">
        <v>1117</v>
      </c>
      <c r="C194" s="146" t="s">
        <v>160</v>
      </c>
      <c r="D194" s="149">
        <f t="shared" si="20"/>
        <v>56</v>
      </c>
      <c r="E194" s="149"/>
      <c r="F194" s="148"/>
      <c r="G194" s="156"/>
      <c r="H194" s="157">
        <f>SUMIF(PoleRates!$E$4:$E$131,"20140101"&amp;C194,PoleRates!$F$4:$F$131)</f>
        <v>3.56</v>
      </c>
      <c r="I194" s="259">
        <v>199.36</v>
      </c>
      <c r="J194" s="189">
        <v>56</v>
      </c>
      <c r="K194" s="258">
        <v>199.36</v>
      </c>
      <c r="L194" s="258"/>
    </row>
    <row r="195" spans="1:13" ht="12.75" thickBot="1">
      <c r="A195" s="146" t="s">
        <v>1222</v>
      </c>
      <c r="B195" s="146" t="s">
        <v>498</v>
      </c>
      <c r="C195" s="146" t="s">
        <v>160</v>
      </c>
      <c r="D195" s="151">
        <f t="shared" si="20"/>
        <v>53</v>
      </c>
      <c r="E195" s="151"/>
      <c r="F195" s="150"/>
      <c r="G195" s="160"/>
      <c r="H195" s="157">
        <f>SUMIF(PoleRates!$E$4:$E$131,"20140101"&amp;C195,PoleRates!$F$4:$F$131)</f>
        <v>3.56</v>
      </c>
      <c r="I195" s="259">
        <v>199.35999999999999</v>
      </c>
      <c r="J195" s="189">
        <v>53</v>
      </c>
      <c r="K195" s="258">
        <v>199.35999999999999</v>
      </c>
      <c r="L195" s="258"/>
    </row>
    <row r="196" spans="1:13" ht="12.75" thickBot="1">
      <c r="A196" s="146" t="s">
        <v>1222</v>
      </c>
      <c r="B196" s="146" t="s">
        <v>1117</v>
      </c>
      <c r="C196" s="146" t="s">
        <v>160</v>
      </c>
      <c r="D196" s="149">
        <f t="shared" si="20"/>
        <v>112</v>
      </c>
      <c r="E196" s="149"/>
      <c r="F196" s="148"/>
      <c r="G196" s="156"/>
      <c r="H196" s="157">
        <f>SUMIF(PoleRates!$E$4:$E$131,"20140101"&amp;C196,PoleRates!$F$4:$F$131)</f>
        <v>3.56</v>
      </c>
      <c r="I196" s="259">
        <v>416.52</v>
      </c>
      <c r="J196" s="189">
        <v>112</v>
      </c>
      <c r="K196" s="258">
        <v>416.52</v>
      </c>
      <c r="L196" s="258"/>
    </row>
    <row r="197" spans="1:13" ht="12.75" thickBot="1">
      <c r="A197" s="146" t="s">
        <v>1222</v>
      </c>
      <c r="B197" s="146" t="s">
        <v>498</v>
      </c>
      <c r="C197" s="146" t="s">
        <v>155</v>
      </c>
      <c r="D197" s="150">
        <f t="shared" si="20"/>
        <v>45</v>
      </c>
      <c r="E197" s="160"/>
      <c r="F197" s="151"/>
      <c r="G197" s="151"/>
      <c r="H197" s="157">
        <f>SUMIF(PoleRates!$E$4:$E$131,"20140101"&amp;C197,PoleRates!$F$4:$F$131)</f>
        <v>3.47</v>
      </c>
      <c r="I197" s="259">
        <v>156.15</v>
      </c>
      <c r="J197" s="189">
        <v>45</v>
      </c>
      <c r="K197" s="258">
        <v>156.15</v>
      </c>
      <c r="L197" s="258"/>
    </row>
    <row r="198" spans="1:13" ht="12.75" thickBot="1">
      <c r="A198" s="146" t="s">
        <v>1222</v>
      </c>
      <c r="B198" s="146" t="s">
        <v>1117</v>
      </c>
      <c r="C198" s="146" t="s">
        <v>155</v>
      </c>
      <c r="D198" s="148">
        <f t="shared" si="20"/>
        <v>3</v>
      </c>
      <c r="E198" s="156"/>
      <c r="F198" s="149"/>
      <c r="G198" s="149"/>
      <c r="H198" s="157">
        <f>SUMIF(PoleRates!$E$4:$E$131,"20140101"&amp;C198,PoleRates!$F$4:$F$131)</f>
        <v>3.47</v>
      </c>
      <c r="I198" s="259">
        <v>10.41</v>
      </c>
      <c r="J198" s="189">
        <v>3</v>
      </c>
      <c r="K198" s="258">
        <v>10.41</v>
      </c>
      <c r="L198" s="258"/>
    </row>
    <row r="199" spans="1:13" ht="12.75" thickBot="1">
      <c r="A199" s="146" t="s">
        <v>1222</v>
      </c>
      <c r="B199" s="146" t="s">
        <v>498</v>
      </c>
      <c r="C199" s="147" t="s">
        <v>156</v>
      </c>
      <c r="D199" s="150">
        <f t="shared" si="20"/>
        <v>20</v>
      </c>
      <c r="E199" s="160"/>
      <c r="F199" s="151"/>
      <c r="G199" s="151"/>
      <c r="H199" s="157">
        <f>SUMIF(PoleRates!$E$4:$E$131,"20140101"&amp;C199,PoleRates!$F$4:$F$131)</f>
        <v>3.73</v>
      </c>
      <c r="I199" s="259">
        <v>70.87</v>
      </c>
      <c r="J199" s="189">
        <v>20</v>
      </c>
      <c r="K199" s="258">
        <v>70.87</v>
      </c>
      <c r="L199" s="258"/>
    </row>
    <row r="200" spans="1:13" ht="12.75" thickBot="1">
      <c r="A200" s="146" t="s">
        <v>1222</v>
      </c>
      <c r="B200" s="146" t="s">
        <v>1117</v>
      </c>
      <c r="C200" s="147" t="s">
        <v>156</v>
      </c>
      <c r="D200" s="148">
        <f t="shared" si="20"/>
        <v>70</v>
      </c>
      <c r="E200" s="156"/>
      <c r="F200" s="149"/>
      <c r="G200" s="149"/>
      <c r="H200" s="157">
        <f>SUMIF(PoleRates!$E$4:$E$131,"20140101"&amp;C200,PoleRates!$F$4:$F$131)</f>
        <v>3.73</v>
      </c>
      <c r="I200" s="259">
        <v>249.90999999999997</v>
      </c>
      <c r="J200" s="189">
        <v>70</v>
      </c>
      <c r="K200" s="258">
        <v>249.90999999999997</v>
      </c>
      <c r="L200" s="258"/>
    </row>
    <row r="201" spans="1:13" ht="12.75" thickBot="1">
      <c r="A201" s="146" t="s">
        <v>1222</v>
      </c>
      <c r="B201" s="146" t="s">
        <v>498</v>
      </c>
      <c r="C201" s="147" t="s">
        <v>160</v>
      </c>
      <c r="D201" s="150">
        <f t="shared" si="20"/>
        <v>1</v>
      </c>
      <c r="E201" s="160"/>
      <c r="F201" s="151"/>
      <c r="G201" s="151"/>
      <c r="H201" s="157">
        <f>SUMIF(PoleRates!$E$4:$E$131,"20140101"&amp;C201,PoleRates!$F$4:$F$131)</f>
        <v>3.56</v>
      </c>
      <c r="I201" s="259">
        <v>3.56</v>
      </c>
      <c r="J201" s="189">
        <v>1</v>
      </c>
      <c r="K201" s="258">
        <v>3.56</v>
      </c>
      <c r="L201" s="258"/>
    </row>
    <row r="202" spans="1:13" ht="12.75" thickBot="1">
      <c r="A202" s="146" t="s">
        <v>1222</v>
      </c>
      <c r="B202" s="146" t="s">
        <v>1117</v>
      </c>
      <c r="C202" s="147" t="s">
        <v>160</v>
      </c>
      <c r="D202" s="148">
        <f t="shared" si="20"/>
        <v>72</v>
      </c>
      <c r="E202" s="156"/>
      <c r="F202" s="149"/>
      <c r="G202" s="149"/>
      <c r="H202" s="157">
        <f>SUMIF(PoleRates!$E$4:$E$131,"20140101"&amp;C202,PoleRates!$F$4:$F$131)</f>
        <v>3.56</v>
      </c>
      <c r="I202" s="259">
        <v>256.32</v>
      </c>
      <c r="J202" s="189">
        <v>72</v>
      </c>
      <c r="K202" s="258">
        <v>256.32</v>
      </c>
      <c r="L202" s="258"/>
    </row>
    <row r="203" spans="1:13" ht="12.75" thickBot="1">
      <c r="A203" s="146" t="s">
        <v>1222</v>
      </c>
      <c r="B203" s="146" t="s">
        <v>498</v>
      </c>
      <c r="C203" s="146" t="s">
        <v>160</v>
      </c>
      <c r="D203" s="150">
        <f t="shared" si="20"/>
        <v>6</v>
      </c>
      <c r="E203" s="160"/>
      <c r="F203" s="151"/>
      <c r="G203" s="151"/>
      <c r="H203" s="157">
        <f>SUMIF(PoleRates!$E$4:$E$131,"20140101"&amp;C203,PoleRates!$F$4:$F$131)</f>
        <v>3.56</v>
      </c>
      <c r="I203" s="259">
        <v>21.36</v>
      </c>
      <c r="J203" s="189">
        <v>6</v>
      </c>
      <c r="K203" s="258">
        <v>21.36</v>
      </c>
      <c r="L203" s="258"/>
    </row>
    <row r="204" spans="1:13" ht="12.75" thickBot="1">
      <c r="A204" s="146" t="s">
        <v>1222</v>
      </c>
      <c r="B204" s="146" t="s">
        <v>1117</v>
      </c>
      <c r="C204" s="146" t="s">
        <v>160</v>
      </c>
      <c r="D204" s="148">
        <f t="shared" si="20"/>
        <v>60</v>
      </c>
      <c r="E204" s="156"/>
      <c r="F204" s="149"/>
      <c r="G204" s="149"/>
      <c r="H204" s="157">
        <f>SUMIF(PoleRates!$E$4:$E$131,"20140101"&amp;C204,PoleRates!$F$4:$F$131)</f>
        <v>3.56</v>
      </c>
      <c r="I204" s="259">
        <v>213.6</v>
      </c>
      <c r="J204" s="189">
        <v>60</v>
      </c>
      <c r="K204" s="258">
        <v>213.6</v>
      </c>
      <c r="L204" s="258"/>
    </row>
    <row r="205" spans="1:13" ht="12.75" thickBot="1">
      <c r="A205" s="146" t="s">
        <v>1222</v>
      </c>
      <c r="B205" s="146" t="s">
        <v>498</v>
      </c>
      <c r="C205" s="147" t="s">
        <v>162</v>
      </c>
      <c r="D205" s="150"/>
      <c r="E205" s="160"/>
      <c r="F205" s="151">
        <f t="shared" ref="F205:F206" si="21">J205</f>
        <v>37</v>
      </c>
      <c r="G205" s="151"/>
      <c r="H205" s="157">
        <f>SUMIF(PoleRates!$E$4:$E$131,"20140101"&amp;C205,PoleRates!$F$4:$F$131)</f>
        <v>11.31</v>
      </c>
      <c r="I205" s="259">
        <v>418.47</v>
      </c>
      <c r="J205" s="189">
        <v>37</v>
      </c>
      <c r="K205" s="258">
        <v>418.47</v>
      </c>
      <c r="L205" s="258"/>
    </row>
    <row r="206" spans="1:13" ht="12.75" thickBot="1">
      <c r="A206" s="146" t="s">
        <v>1222</v>
      </c>
      <c r="B206" s="146" t="s">
        <v>1117</v>
      </c>
      <c r="C206" s="147" t="s">
        <v>162</v>
      </c>
      <c r="D206" s="149"/>
      <c r="E206" s="149"/>
      <c r="F206" s="148">
        <f t="shared" si="21"/>
        <v>409</v>
      </c>
      <c r="G206" s="156"/>
      <c r="H206" s="157">
        <f>SUMIF(PoleRates!$E$4:$E$131,"20140101"&amp;C206,PoleRates!$F$4:$F$131)</f>
        <v>11.31</v>
      </c>
      <c r="I206" s="259">
        <v>4623.53</v>
      </c>
      <c r="J206" s="189">
        <v>409</v>
      </c>
      <c r="K206" s="258">
        <v>4623.53</v>
      </c>
      <c r="L206" s="258"/>
    </row>
    <row r="207" spans="1:13" ht="12.75" thickBot="1">
      <c r="A207" s="146" t="s">
        <v>1222</v>
      </c>
      <c r="B207" s="146"/>
      <c r="C207" s="162" t="s">
        <v>7</v>
      </c>
      <c r="D207" s="152"/>
      <c r="E207" s="163"/>
      <c r="F207" s="152"/>
      <c r="G207" s="163"/>
      <c r="H207" s="168"/>
      <c r="I207" s="158"/>
    </row>
    <row r="208" spans="1:13" ht="12.75" customHeight="1" thickBot="1">
      <c r="A208" s="146" t="s">
        <v>1269</v>
      </c>
      <c r="B208" s="146" t="s">
        <v>498</v>
      </c>
      <c r="C208" s="147" t="s">
        <v>152</v>
      </c>
      <c r="D208" s="149"/>
      <c r="E208" s="149"/>
      <c r="F208" s="148">
        <v>1723</v>
      </c>
      <c r="G208" s="156"/>
      <c r="H208" s="157">
        <f>SUMIF(PoleRates!$E$4:$E$131,"20140101"&amp;C208,PoleRates!$F$4:$F$131)</f>
        <v>2.06</v>
      </c>
      <c r="I208" s="644"/>
      <c r="J208" s="645">
        <v>1723</v>
      </c>
      <c r="K208" s="644">
        <f>J208*H208</f>
        <v>3549.38</v>
      </c>
      <c r="M208" s="155" t="s">
        <v>1289</v>
      </c>
    </row>
    <row r="209" spans="1:11" ht="12.75" customHeight="1" thickBot="1">
      <c r="A209" s="146" t="s">
        <v>1269</v>
      </c>
      <c r="B209" s="146" t="s">
        <v>1117</v>
      </c>
      <c r="C209" s="147" t="s">
        <v>152</v>
      </c>
      <c r="D209" s="151"/>
      <c r="E209" s="151"/>
      <c r="F209" s="150">
        <v>5243</v>
      </c>
      <c r="G209" s="160"/>
      <c r="H209" s="157">
        <f>SUMIF(PoleRates!$E$4:$E$131,"20140101"&amp;C209,PoleRates!$F$4:$F$131)</f>
        <v>2.06</v>
      </c>
      <c r="I209" s="644"/>
      <c r="J209" s="645">
        <v>5243</v>
      </c>
      <c r="K209" s="644">
        <f t="shared" ref="K209:K231" si="22">J209*H209</f>
        <v>10800.58</v>
      </c>
    </row>
    <row r="210" spans="1:11" ht="12.75" customHeight="1" thickBot="1">
      <c r="A210" s="146" t="s">
        <v>1269</v>
      </c>
      <c r="B210" s="146" t="s">
        <v>498</v>
      </c>
      <c r="C210" s="147" t="s">
        <v>153</v>
      </c>
      <c r="D210" s="149"/>
      <c r="E210" s="149"/>
      <c r="F210" s="148">
        <v>157</v>
      </c>
      <c r="G210" s="156"/>
      <c r="H210" s="157">
        <f>SUMIF(PoleRates!$E$4:$E$131,"20140101"&amp;C210,PoleRates!$F$4:$F$131)</f>
        <v>10.81</v>
      </c>
      <c r="I210" s="644"/>
      <c r="J210" s="645">
        <v>157</v>
      </c>
      <c r="K210" s="644">
        <f t="shared" si="22"/>
        <v>1697.17</v>
      </c>
    </row>
    <row r="211" spans="1:11" ht="12.75" customHeight="1" thickBot="1">
      <c r="A211" s="146" t="s">
        <v>1269</v>
      </c>
      <c r="B211" s="146" t="s">
        <v>1117</v>
      </c>
      <c r="C211" s="147" t="s">
        <v>153</v>
      </c>
      <c r="D211" s="150"/>
      <c r="E211" s="160"/>
      <c r="F211" s="151">
        <v>0</v>
      </c>
      <c r="G211" s="151"/>
      <c r="H211" s="157">
        <f>SUMIF(PoleRates!$E$4:$E$131,"20140101"&amp;C211,PoleRates!$F$4:$F$131)</f>
        <v>10.81</v>
      </c>
      <c r="I211" s="644"/>
      <c r="J211" s="645">
        <v>0</v>
      </c>
      <c r="K211" s="644">
        <f t="shared" si="22"/>
        <v>0</v>
      </c>
    </row>
    <row r="212" spans="1:11" ht="12.75" customHeight="1" thickBot="1">
      <c r="A212" s="146" t="s">
        <v>1269</v>
      </c>
      <c r="B212" s="146" t="s">
        <v>498</v>
      </c>
      <c r="C212" s="147" t="s">
        <v>154</v>
      </c>
      <c r="D212" s="148"/>
      <c r="E212" s="156"/>
      <c r="F212" s="149" t="s">
        <v>836</v>
      </c>
      <c r="G212" s="149"/>
      <c r="H212" s="157">
        <f>SUMIF(PoleRates!$E$4:$E$131,"20140101"&amp;C212,PoleRates!$F$4:$F$131)</f>
        <v>12.9</v>
      </c>
      <c r="I212" s="644"/>
      <c r="J212" s="645">
        <v>277</v>
      </c>
      <c r="K212" s="644">
        <f t="shared" si="22"/>
        <v>3573.3</v>
      </c>
    </row>
    <row r="213" spans="1:11" ht="12.75" customHeight="1" thickBot="1">
      <c r="A213" s="146" t="s">
        <v>1269</v>
      </c>
      <c r="B213" s="146" t="s">
        <v>1117</v>
      </c>
      <c r="C213" s="147" t="s">
        <v>154</v>
      </c>
      <c r="D213" s="150"/>
      <c r="E213" s="160"/>
      <c r="F213" s="151">
        <v>3</v>
      </c>
      <c r="G213" s="151"/>
      <c r="H213" s="157">
        <f>SUMIF(PoleRates!$E$4:$E$131,"20140101"&amp;C213,PoleRates!$F$4:$F$131)</f>
        <v>12.9</v>
      </c>
      <c r="I213" s="644"/>
      <c r="J213" s="645">
        <v>3</v>
      </c>
      <c r="K213" s="644">
        <f t="shared" si="22"/>
        <v>38.700000000000003</v>
      </c>
    </row>
    <row r="214" spans="1:11" ht="12.75" customHeight="1" thickBot="1">
      <c r="A214" s="146" t="s">
        <v>1269</v>
      </c>
      <c r="B214" s="146" t="s">
        <v>498</v>
      </c>
      <c r="C214" s="146" t="s">
        <v>155</v>
      </c>
      <c r="D214" s="148">
        <v>32</v>
      </c>
      <c r="E214" s="156"/>
      <c r="F214" s="149"/>
      <c r="G214" s="149"/>
      <c r="H214" s="157">
        <f>SUMIF(PoleRates!$E$4:$E$131,"20140101"&amp;C214,PoleRates!$F$4:$F$131)</f>
        <v>3.47</v>
      </c>
      <c r="I214" s="644"/>
      <c r="J214" s="645">
        <v>32</v>
      </c>
      <c r="K214" s="644">
        <f t="shared" si="22"/>
        <v>111.04</v>
      </c>
    </row>
    <row r="215" spans="1:11" ht="12.75" customHeight="1" thickBot="1">
      <c r="A215" s="146" t="s">
        <v>1269</v>
      </c>
      <c r="B215" s="146" t="s">
        <v>1117</v>
      </c>
      <c r="C215" s="146" t="s">
        <v>155</v>
      </c>
      <c r="D215" s="150">
        <v>10</v>
      </c>
      <c r="E215" s="160"/>
      <c r="F215" s="151"/>
      <c r="G215" s="151"/>
      <c r="H215" s="157">
        <f>SUMIF(PoleRates!$E$4:$E$131,"20140101"&amp;C215,PoleRates!$F$4:$F$131)</f>
        <v>3.47</v>
      </c>
      <c r="I215" s="644"/>
      <c r="J215" s="645">
        <v>10</v>
      </c>
      <c r="K215" s="644">
        <f t="shared" si="22"/>
        <v>34.700000000000003</v>
      </c>
    </row>
    <row r="216" spans="1:11" ht="12.75" customHeight="1" thickBot="1">
      <c r="A216" s="146" t="s">
        <v>1269</v>
      </c>
      <c r="B216" s="146" t="s">
        <v>498</v>
      </c>
      <c r="C216" s="147" t="s">
        <v>156</v>
      </c>
      <c r="D216" s="148">
        <v>175</v>
      </c>
      <c r="E216" s="156"/>
      <c r="F216" s="149"/>
      <c r="G216" s="149"/>
      <c r="H216" s="157">
        <f>SUMIF(PoleRates!$E$4:$E$131,"20140101"&amp;C216,PoleRates!$F$4:$F$131)</f>
        <v>3.73</v>
      </c>
      <c r="I216" s="644"/>
      <c r="J216" s="645">
        <v>175</v>
      </c>
      <c r="K216" s="644">
        <f t="shared" si="22"/>
        <v>652.75</v>
      </c>
    </row>
    <row r="217" spans="1:11" ht="12.75" customHeight="1" thickBot="1">
      <c r="A217" s="146" t="s">
        <v>1269</v>
      </c>
      <c r="B217" s="146" t="s">
        <v>1117</v>
      </c>
      <c r="C217" s="147" t="s">
        <v>156</v>
      </c>
      <c r="D217" s="150">
        <v>3</v>
      </c>
      <c r="E217" s="160"/>
      <c r="F217" s="151"/>
      <c r="G217" s="151"/>
      <c r="H217" s="157">
        <f>SUMIF(PoleRates!$E$4:$E$131,"20140101"&amp;C217,PoleRates!$F$4:$F$131)</f>
        <v>3.73</v>
      </c>
      <c r="I217" s="644"/>
      <c r="J217" s="645">
        <v>3</v>
      </c>
      <c r="K217" s="644">
        <f t="shared" si="22"/>
        <v>11.19</v>
      </c>
    </row>
    <row r="218" spans="1:11" ht="12.75" customHeight="1" thickBot="1">
      <c r="A218" s="146" t="s">
        <v>1269</v>
      </c>
      <c r="B218" s="146" t="s">
        <v>498</v>
      </c>
      <c r="C218" s="146" t="s">
        <v>160</v>
      </c>
      <c r="D218" s="149">
        <v>179</v>
      </c>
      <c r="E218" s="149"/>
      <c r="F218" s="148"/>
      <c r="G218" s="156"/>
      <c r="H218" s="157">
        <f>SUMIF(PoleRates!$E$4:$E$131,"20140101"&amp;C218,PoleRates!$F$4:$F$131)</f>
        <v>3.56</v>
      </c>
      <c r="I218" s="644"/>
      <c r="J218" s="645">
        <v>179</v>
      </c>
      <c r="K218" s="644">
        <f t="shared" si="22"/>
        <v>637.24</v>
      </c>
    </row>
    <row r="219" spans="1:11" ht="12.75" customHeight="1" thickBot="1">
      <c r="A219" s="146" t="s">
        <v>1269</v>
      </c>
      <c r="B219" s="146" t="s">
        <v>1117</v>
      </c>
      <c r="C219" s="146" t="s">
        <v>160</v>
      </c>
      <c r="D219" s="149">
        <v>56</v>
      </c>
      <c r="E219" s="149"/>
      <c r="F219" s="148"/>
      <c r="G219" s="156"/>
      <c r="H219" s="157">
        <f>SUMIF(PoleRates!$E$4:$E$131,"20140101"&amp;C219,PoleRates!$F$4:$F$131)</f>
        <v>3.56</v>
      </c>
      <c r="I219" s="644"/>
      <c r="J219" s="645">
        <v>56</v>
      </c>
      <c r="K219" s="644">
        <f t="shared" si="22"/>
        <v>199.36</v>
      </c>
    </row>
    <row r="220" spans="1:11" ht="12.75" customHeight="1" thickBot="1">
      <c r="A220" s="146" t="s">
        <v>1269</v>
      </c>
      <c r="B220" s="146" t="s">
        <v>498</v>
      </c>
      <c r="C220" s="146" t="s">
        <v>160</v>
      </c>
      <c r="D220" s="151">
        <v>53</v>
      </c>
      <c r="E220" s="151"/>
      <c r="F220" s="150"/>
      <c r="G220" s="160"/>
      <c r="H220" s="157">
        <f>SUMIF(PoleRates!$E$4:$E$131,"20140101"&amp;C220,PoleRates!$F$4:$F$131)</f>
        <v>3.56</v>
      </c>
      <c r="I220" s="644"/>
      <c r="J220" s="645">
        <v>53</v>
      </c>
      <c r="K220" s="644">
        <f t="shared" si="22"/>
        <v>188.68</v>
      </c>
    </row>
    <row r="221" spans="1:11" ht="12.75" customHeight="1" thickBot="1">
      <c r="A221" s="146" t="s">
        <v>1269</v>
      </c>
      <c r="B221" s="146" t="s">
        <v>1117</v>
      </c>
      <c r="C221" s="146" t="s">
        <v>160</v>
      </c>
      <c r="D221" s="149">
        <v>112</v>
      </c>
      <c r="E221" s="149"/>
      <c r="F221" s="148"/>
      <c r="G221" s="156"/>
      <c r="H221" s="157">
        <f>SUMIF(PoleRates!$E$4:$E$131,"20140101"&amp;C221,PoleRates!$F$4:$F$131)</f>
        <v>3.56</v>
      </c>
      <c r="I221" s="644"/>
      <c r="J221" s="645">
        <v>112</v>
      </c>
      <c r="K221" s="644">
        <f t="shared" si="22"/>
        <v>398.72</v>
      </c>
    </row>
    <row r="222" spans="1:11" ht="12.75" customHeight="1" thickBot="1">
      <c r="A222" s="146" t="s">
        <v>1269</v>
      </c>
      <c r="B222" s="146" t="s">
        <v>498</v>
      </c>
      <c r="C222" s="146" t="s">
        <v>155</v>
      </c>
      <c r="D222" s="150">
        <v>45</v>
      </c>
      <c r="E222" s="160"/>
      <c r="F222" s="151"/>
      <c r="G222" s="151"/>
      <c r="H222" s="157">
        <f>SUMIF(PoleRates!$E$4:$E$131,"20140101"&amp;C222,PoleRates!$F$4:$F$131)</f>
        <v>3.47</v>
      </c>
      <c r="I222" s="644"/>
      <c r="J222" s="645">
        <v>45</v>
      </c>
      <c r="K222" s="644">
        <f t="shared" si="22"/>
        <v>156.15</v>
      </c>
    </row>
    <row r="223" spans="1:11" ht="12.75" customHeight="1" thickBot="1">
      <c r="A223" s="146" t="s">
        <v>1269</v>
      </c>
      <c r="B223" s="146" t="s">
        <v>1117</v>
      </c>
      <c r="C223" s="146" t="s">
        <v>155</v>
      </c>
      <c r="D223" s="148">
        <v>3</v>
      </c>
      <c r="E223" s="156"/>
      <c r="F223" s="149"/>
      <c r="G223" s="149"/>
      <c r="H223" s="157">
        <f>SUMIF(PoleRates!$E$4:$E$131,"20140101"&amp;C223,PoleRates!$F$4:$F$131)</f>
        <v>3.47</v>
      </c>
      <c r="I223" s="644"/>
      <c r="J223" s="645">
        <v>3</v>
      </c>
      <c r="K223" s="644">
        <f t="shared" si="22"/>
        <v>10.41</v>
      </c>
    </row>
    <row r="224" spans="1:11" ht="12.75" customHeight="1" thickBot="1">
      <c r="A224" s="146" t="s">
        <v>1269</v>
      </c>
      <c r="B224" s="146" t="s">
        <v>498</v>
      </c>
      <c r="C224" s="147" t="s">
        <v>156</v>
      </c>
      <c r="D224" s="150">
        <v>20</v>
      </c>
      <c r="E224" s="160"/>
      <c r="F224" s="151"/>
      <c r="G224" s="151"/>
      <c r="H224" s="157">
        <f>SUMIF(PoleRates!$E$4:$E$131,"20140101"&amp;C224,PoleRates!$F$4:$F$131)</f>
        <v>3.73</v>
      </c>
      <c r="I224" s="644"/>
      <c r="J224" s="645">
        <v>20</v>
      </c>
      <c r="K224" s="644">
        <f t="shared" si="22"/>
        <v>74.599999999999994</v>
      </c>
    </row>
    <row r="225" spans="1:13" ht="12.75" customHeight="1" thickBot="1">
      <c r="A225" s="146" t="s">
        <v>1269</v>
      </c>
      <c r="B225" s="146" t="s">
        <v>1117</v>
      </c>
      <c r="C225" s="147" t="s">
        <v>156</v>
      </c>
      <c r="D225" s="148">
        <v>70</v>
      </c>
      <c r="E225" s="156"/>
      <c r="F225" s="149"/>
      <c r="G225" s="149"/>
      <c r="H225" s="157">
        <f>SUMIF(PoleRates!$E$4:$E$131,"20140101"&amp;C225,PoleRates!$F$4:$F$131)</f>
        <v>3.73</v>
      </c>
      <c r="I225" s="644"/>
      <c r="J225" s="645">
        <v>70</v>
      </c>
      <c r="K225" s="644">
        <f t="shared" si="22"/>
        <v>261.10000000000002</v>
      </c>
    </row>
    <row r="226" spans="1:13" ht="12.75" customHeight="1" thickBot="1">
      <c r="A226" s="146" t="s">
        <v>1269</v>
      </c>
      <c r="B226" s="146" t="s">
        <v>498</v>
      </c>
      <c r="C226" s="146" t="s">
        <v>160</v>
      </c>
      <c r="D226" s="150">
        <v>1</v>
      </c>
      <c r="E226" s="160"/>
      <c r="F226" s="151"/>
      <c r="G226" s="151"/>
      <c r="H226" s="157">
        <f>SUMIF(PoleRates!$E$4:$E$131,"20140101"&amp;C226,PoleRates!$F$4:$F$131)</f>
        <v>3.56</v>
      </c>
      <c r="I226" s="644"/>
      <c r="J226" s="645">
        <v>1</v>
      </c>
      <c r="K226" s="644">
        <f t="shared" si="22"/>
        <v>3.56</v>
      </c>
    </row>
    <row r="227" spans="1:13" ht="12.75" customHeight="1" thickBot="1">
      <c r="A227" s="146" t="s">
        <v>1269</v>
      </c>
      <c r="B227" s="146" t="s">
        <v>1117</v>
      </c>
      <c r="C227" s="146" t="s">
        <v>160</v>
      </c>
      <c r="D227" s="148">
        <v>64</v>
      </c>
      <c r="E227" s="156"/>
      <c r="F227" s="149"/>
      <c r="G227" s="149"/>
      <c r="H227" s="157">
        <f>SUMIF(PoleRates!$E$4:$E$131,"20140101"&amp;C227,PoleRates!$F$4:$F$131)</f>
        <v>3.56</v>
      </c>
      <c r="I227" s="644"/>
      <c r="J227" s="645">
        <v>64</v>
      </c>
      <c r="K227" s="644">
        <f t="shared" si="22"/>
        <v>227.84</v>
      </c>
    </row>
    <row r="228" spans="1:13" ht="12.75" customHeight="1" thickBot="1">
      <c r="A228" s="146" t="s">
        <v>1269</v>
      </c>
      <c r="B228" s="146" t="s">
        <v>498</v>
      </c>
      <c r="C228" s="147" t="s">
        <v>160</v>
      </c>
      <c r="D228" s="150">
        <v>6</v>
      </c>
      <c r="E228" s="160"/>
      <c r="F228" s="151"/>
      <c r="G228" s="151"/>
      <c r="H228" s="157">
        <f>SUMIF(PoleRates!$E$4:$E$131,"20140101"&amp;C228,PoleRates!$F$4:$F$131)</f>
        <v>3.56</v>
      </c>
      <c r="I228" s="644"/>
      <c r="J228" s="645">
        <v>6</v>
      </c>
      <c r="K228" s="644">
        <f t="shared" si="22"/>
        <v>21.36</v>
      </c>
    </row>
    <row r="229" spans="1:13" ht="12.75" customHeight="1" thickBot="1">
      <c r="A229" s="146" t="s">
        <v>1269</v>
      </c>
      <c r="B229" s="146" t="s">
        <v>1117</v>
      </c>
      <c r="C229" s="147" t="s">
        <v>160</v>
      </c>
      <c r="D229" s="148">
        <v>60</v>
      </c>
      <c r="E229" s="156"/>
      <c r="F229" s="149"/>
      <c r="G229" s="149"/>
      <c r="H229" s="157">
        <f>SUMIF(PoleRates!$E$4:$E$131,"20140101"&amp;C229,PoleRates!$F$4:$F$131)</f>
        <v>3.56</v>
      </c>
      <c r="I229" s="644"/>
      <c r="J229" s="645">
        <v>60</v>
      </c>
      <c r="K229" s="644">
        <f t="shared" si="22"/>
        <v>213.6</v>
      </c>
    </row>
    <row r="230" spans="1:13" ht="12.75" customHeight="1" thickBot="1">
      <c r="A230" s="146" t="s">
        <v>1269</v>
      </c>
      <c r="B230" s="146" t="s">
        <v>498</v>
      </c>
      <c r="C230" s="147" t="s">
        <v>162</v>
      </c>
      <c r="D230" s="150"/>
      <c r="E230" s="160"/>
      <c r="F230" s="151">
        <v>37</v>
      </c>
      <c r="G230" s="151"/>
      <c r="H230" s="157">
        <f>SUMIF(PoleRates!$E$4:$E$131,"20140101"&amp;C230,PoleRates!$F$4:$F$131)</f>
        <v>11.31</v>
      </c>
      <c r="I230" s="644"/>
      <c r="J230" s="645">
        <v>37</v>
      </c>
      <c r="K230" s="644">
        <f t="shared" si="22"/>
        <v>418.47</v>
      </c>
    </row>
    <row r="231" spans="1:13" ht="12.75" customHeight="1" thickBot="1">
      <c r="A231" s="146" t="s">
        <v>1269</v>
      </c>
      <c r="B231" s="146" t="s">
        <v>1117</v>
      </c>
      <c r="C231" s="147" t="s">
        <v>162</v>
      </c>
      <c r="D231" s="149"/>
      <c r="E231" s="149"/>
      <c r="F231" s="148">
        <v>432</v>
      </c>
      <c r="G231" s="156"/>
      <c r="H231" s="157">
        <f>SUMIF(PoleRates!$E$4:$E$131,"20140101"&amp;C231,PoleRates!$F$4:$F$131)</f>
        <v>11.31</v>
      </c>
      <c r="I231" s="646"/>
      <c r="J231" s="647">
        <v>432</v>
      </c>
      <c r="K231" s="646">
        <f t="shared" si="22"/>
        <v>4885.92</v>
      </c>
    </row>
    <row r="232" spans="1:13" ht="12.75" customHeight="1" thickBot="1">
      <c r="A232" s="146" t="s">
        <v>1269</v>
      </c>
      <c r="B232" s="146"/>
      <c r="C232" s="162" t="s">
        <v>7</v>
      </c>
      <c r="D232" s="152"/>
      <c r="E232" s="163"/>
      <c r="F232" s="152"/>
      <c r="G232" s="163"/>
      <c r="H232" s="164"/>
      <c r="I232" s="605"/>
    </row>
    <row r="233" spans="1:13" ht="12.75" thickBot="1">
      <c r="A233" s="146" t="s">
        <v>1270</v>
      </c>
      <c r="B233" s="146" t="s">
        <v>498</v>
      </c>
      <c r="C233" s="147" t="s">
        <v>152</v>
      </c>
      <c r="D233" s="149"/>
      <c r="E233" s="149"/>
      <c r="F233" s="148">
        <f t="shared" ref="F233:F238" si="23">J233</f>
        <v>1702</v>
      </c>
      <c r="G233" s="156"/>
      <c r="H233" s="157">
        <f>SUMIF(PoleRates!$E$4:$E$131,"20140101"&amp;C233,PoleRates!$F$4:$F$131)</f>
        <v>2.06</v>
      </c>
      <c r="I233" s="259"/>
      <c r="J233" s="189">
        <v>1702</v>
      </c>
      <c r="K233" s="258">
        <f>H233*J233</f>
        <v>3506.12</v>
      </c>
      <c r="M233" s="155" t="s">
        <v>1290</v>
      </c>
    </row>
    <row r="234" spans="1:13" ht="12.75" thickBot="1">
      <c r="A234" s="146" t="s">
        <v>1270</v>
      </c>
      <c r="B234" s="146" t="s">
        <v>1117</v>
      </c>
      <c r="C234" s="147" t="s">
        <v>152</v>
      </c>
      <c r="D234" s="151"/>
      <c r="E234" s="151"/>
      <c r="F234" s="150">
        <f t="shared" si="23"/>
        <v>5261</v>
      </c>
      <c r="G234" s="160"/>
      <c r="H234" s="157">
        <f>SUMIF(PoleRates!$E$4:$E$131,"20140101"&amp;C234,PoleRates!$F$4:$F$131)</f>
        <v>2.06</v>
      </c>
      <c r="I234" s="259"/>
      <c r="J234" s="189">
        <v>5261</v>
      </c>
      <c r="K234" s="258">
        <f t="shared" ref="K234:K256" si="24">H234*J234</f>
        <v>10837.66</v>
      </c>
    </row>
    <row r="235" spans="1:13" ht="12.75" thickBot="1">
      <c r="A235" s="146" t="s">
        <v>1270</v>
      </c>
      <c r="B235" s="146" t="s">
        <v>498</v>
      </c>
      <c r="C235" s="147" t="s">
        <v>153</v>
      </c>
      <c r="D235" s="149"/>
      <c r="E235" s="149"/>
      <c r="F235" s="148">
        <f t="shared" si="23"/>
        <v>157</v>
      </c>
      <c r="G235" s="156"/>
      <c r="H235" s="157">
        <f>SUMIF(PoleRates!$E$4:$E$131,"20140101"&amp;C235,PoleRates!$F$4:$F$131)</f>
        <v>10.81</v>
      </c>
      <c r="I235" s="259"/>
      <c r="J235" s="189">
        <v>157</v>
      </c>
      <c r="K235" s="258">
        <f t="shared" si="24"/>
        <v>1697.17</v>
      </c>
    </row>
    <row r="236" spans="1:13" ht="12.75" thickBot="1">
      <c r="A236" s="146" t="s">
        <v>1270</v>
      </c>
      <c r="B236" s="146" t="s">
        <v>1117</v>
      </c>
      <c r="C236" s="147" t="s">
        <v>153</v>
      </c>
      <c r="D236" s="150"/>
      <c r="E236" s="160"/>
      <c r="F236" s="151">
        <f t="shared" si="23"/>
        <v>0</v>
      </c>
      <c r="G236" s="151"/>
      <c r="H236" s="157">
        <f>SUMIF(PoleRates!$E$4:$E$131,"20140101"&amp;C236,PoleRates!$F$4:$F$131)</f>
        <v>10.81</v>
      </c>
      <c r="I236" s="259"/>
      <c r="J236" s="189">
        <v>0</v>
      </c>
      <c r="K236" s="258">
        <f t="shared" si="24"/>
        <v>0</v>
      </c>
    </row>
    <row r="237" spans="1:13" ht="12.75" thickBot="1">
      <c r="A237" s="146" t="s">
        <v>1270</v>
      </c>
      <c r="B237" s="146" t="s">
        <v>498</v>
      </c>
      <c r="C237" s="147" t="s">
        <v>154</v>
      </c>
      <c r="D237" s="148"/>
      <c r="E237" s="156"/>
      <c r="F237" s="149">
        <f t="shared" si="23"/>
        <v>277</v>
      </c>
      <c r="G237" s="149"/>
      <c r="H237" s="157">
        <f>SUMIF(PoleRates!$E$4:$E$131,"20140101"&amp;C237,PoleRates!$F$4:$F$131)</f>
        <v>12.9</v>
      </c>
      <c r="I237" s="259"/>
      <c r="J237" s="189">
        <v>277</v>
      </c>
      <c r="K237" s="258">
        <f t="shared" si="24"/>
        <v>3573.3</v>
      </c>
    </row>
    <row r="238" spans="1:13" ht="12.75" customHeight="1" thickBot="1">
      <c r="A238" s="146" t="s">
        <v>1270</v>
      </c>
      <c r="B238" s="146" t="s">
        <v>1117</v>
      </c>
      <c r="C238" s="147" t="s">
        <v>154</v>
      </c>
      <c r="D238" s="150"/>
      <c r="E238" s="160"/>
      <c r="F238" s="151">
        <f t="shared" si="23"/>
        <v>3</v>
      </c>
      <c r="G238" s="151"/>
      <c r="H238" s="157">
        <f>SUMIF(PoleRates!$E$4:$E$131,"20140101"&amp;C238,PoleRates!$F$4:$F$131)</f>
        <v>12.9</v>
      </c>
      <c r="I238" s="259"/>
      <c r="J238" s="189">
        <v>3</v>
      </c>
      <c r="K238" s="258">
        <f t="shared" si="24"/>
        <v>38.700000000000003</v>
      </c>
    </row>
    <row r="239" spans="1:13" ht="12.75" thickBot="1">
      <c r="A239" s="146" t="s">
        <v>1270</v>
      </c>
      <c r="B239" s="146" t="s">
        <v>498</v>
      </c>
      <c r="C239" s="147" t="s">
        <v>155</v>
      </c>
      <c r="D239" s="148">
        <f>J239</f>
        <v>32</v>
      </c>
      <c r="E239" s="156"/>
      <c r="F239" s="149"/>
      <c r="G239" s="149"/>
      <c r="H239" s="157">
        <f>SUMIF(PoleRates!$E$4:$E$131,"20140101"&amp;C239,PoleRates!$F$4:$F$131)</f>
        <v>3.47</v>
      </c>
      <c r="I239" s="259"/>
      <c r="J239" s="189">
        <v>32</v>
      </c>
      <c r="K239" s="258">
        <f t="shared" si="24"/>
        <v>111.04</v>
      </c>
    </row>
    <row r="240" spans="1:13" ht="12.75" thickBot="1">
      <c r="A240" s="146" t="s">
        <v>1270</v>
      </c>
      <c r="B240" s="146" t="s">
        <v>1117</v>
      </c>
      <c r="C240" s="147" t="s">
        <v>155</v>
      </c>
      <c r="D240" s="150">
        <f t="shared" ref="D240:D254" si="25">J240</f>
        <v>10</v>
      </c>
      <c r="E240" s="160"/>
      <c r="F240" s="151"/>
      <c r="G240" s="151"/>
      <c r="H240" s="157">
        <f>SUMIF(PoleRates!$E$4:$E$131,"20140101"&amp;C240,PoleRates!$F$4:$F$131)</f>
        <v>3.47</v>
      </c>
      <c r="I240" s="259"/>
      <c r="J240" s="189">
        <v>10</v>
      </c>
      <c r="K240" s="258">
        <f t="shared" si="24"/>
        <v>34.700000000000003</v>
      </c>
    </row>
    <row r="241" spans="1:12" ht="12.75" thickBot="1">
      <c r="A241" s="146" t="s">
        <v>1270</v>
      </c>
      <c r="B241" s="146" t="s">
        <v>498</v>
      </c>
      <c r="C241" s="147" t="s">
        <v>156</v>
      </c>
      <c r="D241" s="148">
        <f t="shared" si="25"/>
        <v>175</v>
      </c>
      <c r="E241" s="156"/>
      <c r="F241" s="149"/>
      <c r="G241" s="149"/>
      <c r="H241" s="157">
        <f>SUMIF(PoleRates!$E$4:$E$131,"20140101"&amp;C241,PoleRates!$F$4:$F$131)</f>
        <v>3.73</v>
      </c>
      <c r="I241" s="259"/>
      <c r="J241" s="189">
        <v>175</v>
      </c>
      <c r="K241" s="258">
        <f t="shared" si="24"/>
        <v>652.75</v>
      </c>
    </row>
    <row r="242" spans="1:12" ht="12.75" thickBot="1">
      <c r="A242" s="146" t="s">
        <v>1270</v>
      </c>
      <c r="B242" s="146" t="s">
        <v>1117</v>
      </c>
      <c r="C242" s="147" t="s">
        <v>156</v>
      </c>
      <c r="D242" s="150">
        <f t="shared" si="25"/>
        <v>3</v>
      </c>
      <c r="E242" s="160"/>
      <c r="F242" s="151"/>
      <c r="G242" s="151"/>
      <c r="H242" s="157">
        <f>SUMIF(PoleRates!$E$4:$E$131,"20140101"&amp;C242,PoleRates!$F$4:$F$131)</f>
        <v>3.73</v>
      </c>
      <c r="I242" s="259"/>
      <c r="J242" s="189">
        <v>3</v>
      </c>
      <c r="K242" s="258">
        <f t="shared" si="24"/>
        <v>11.19</v>
      </c>
    </row>
    <row r="243" spans="1:12" ht="12.75" thickBot="1">
      <c r="A243" s="146" t="s">
        <v>1270</v>
      </c>
      <c r="B243" s="146" t="s">
        <v>498</v>
      </c>
      <c r="C243" s="146" t="s">
        <v>160</v>
      </c>
      <c r="D243" s="149">
        <f t="shared" si="25"/>
        <v>179</v>
      </c>
      <c r="E243" s="149"/>
      <c r="F243" s="148"/>
      <c r="G243" s="156"/>
      <c r="H243" s="157">
        <f>SUMIF(PoleRates!$E$4:$E$131,"20140101"&amp;C243,PoleRates!$F$4:$F$131)</f>
        <v>3.56</v>
      </c>
      <c r="I243" s="259"/>
      <c r="J243" s="189">
        <v>179</v>
      </c>
      <c r="K243" s="258">
        <f t="shared" si="24"/>
        <v>637.24</v>
      </c>
    </row>
    <row r="244" spans="1:12" ht="12.75" thickBot="1">
      <c r="A244" s="146" t="s">
        <v>1270</v>
      </c>
      <c r="B244" s="146" t="s">
        <v>1117</v>
      </c>
      <c r="C244" s="146" t="s">
        <v>160</v>
      </c>
      <c r="D244" s="149">
        <f t="shared" si="25"/>
        <v>56</v>
      </c>
      <c r="E244" s="149"/>
      <c r="F244" s="148"/>
      <c r="G244" s="156"/>
      <c r="H244" s="157">
        <f>SUMIF(PoleRates!$E$4:$E$131,"20140101"&amp;C244,PoleRates!$F$4:$F$131)</f>
        <v>3.56</v>
      </c>
      <c r="I244" s="259"/>
      <c r="J244" s="189">
        <v>56</v>
      </c>
      <c r="K244" s="258">
        <f t="shared" si="24"/>
        <v>199.36</v>
      </c>
    </row>
    <row r="245" spans="1:12" ht="12.75" thickBot="1">
      <c r="A245" s="146" t="s">
        <v>1270</v>
      </c>
      <c r="B245" s="146" t="s">
        <v>498</v>
      </c>
      <c r="C245" s="146" t="s">
        <v>160</v>
      </c>
      <c r="D245" s="151">
        <f t="shared" si="25"/>
        <v>53</v>
      </c>
      <c r="E245" s="151"/>
      <c r="F245" s="150"/>
      <c r="G245" s="160"/>
      <c r="H245" s="157">
        <f>SUMIF(PoleRates!$E$4:$E$131,"20140101"&amp;C245,PoleRates!$F$4:$F$131)</f>
        <v>3.56</v>
      </c>
      <c r="I245" s="259"/>
      <c r="J245" s="189">
        <v>53</v>
      </c>
      <c r="K245" s="258">
        <f t="shared" si="24"/>
        <v>188.68</v>
      </c>
    </row>
    <row r="246" spans="1:12" ht="12.75" thickBot="1">
      <c r="A246" s="146" t="s">
        <v>1270</v>
      </c>
      <c r="B246" s="146" t="s">
        <v>1117</v>
      </c>
      <c r="C246" s="146" t="s">
        <v>160</v>
      </c>
      <c r="D246" s="149">
        <f t="shared" si="25"/>
        <v>132</v>
      </c>
      <c r="E246" s="149"/>
      <c r="F246" s="148"/>
      <c r="G246" s="156"/>
      <c r="H246" s="157">
        <f>SUMIF(PoleRates!$E$4:$E$131,"20140101"&amp;C246,PoleRates!$F$4:$F$131)</f>
        <v>3.56</v>
      </c>
      <c r="I246" s="259"/>
      <c r="J246" s="189">
        <v>132</v>
      </c>
      <c r="K246" s="258">
        <f t="shared" si="24"/>
        <v>469.92</v>
      </c>
    </row>
    <row r="247" spans="1:12" ht="12.75" thickBot="1">
      <c r="A247" s="146" t="s">
        <v>1270</v>
      </c>
      <c r="B247" s="146" t="s">
        <v>498</v>
      </c>
      <c r="C247" s="146" t="s">
        <v>155</v>
      </c>
      <c r="D247" s="150">
        <f t="shared" si="25"/>
        <v>45</v>
      </c>
      <c r="E247" s="160"/>
      <c r="F247" s="151"/>
      <c r="G247" s="151"/>
      <c r="H247" s="157">
        <f>SUMIF(PoleRates!$E$4:$E$131,"20140101"&amp;C247,PoleRates!$F$4:$F$131)</f>
        <v>3.47</v>
      </c>
      <c r="I247" s="259"/>
      <c r="J247" s="189">
        <v>45</v>
      </c>
      <c r="K247" s="258">
        <f t="shared" si="24"/>
        <v>156.15</v>
      </c>
    </row>
    <row r="248" spans="1:12" ht="12.75" thickBot="1">
      <c r="A248" s="146" t="s">
        <v>1270</v>
      </c>
      <c r="B248" s="146" t="s">
        <v>1117</v>
      </c>
      <c r="C248" s="146" t="s">
        <v>155</v>
      </c>
      <c r="D248" s="148">
        <f t="shared" si="25"/>
        <v>3</v>
      </c>
      <c r="E248" s="156"/>
      <c r="F248" s="149"/>
      <c r="G248" s="149"/>
      <c r="H248" s="157">
        <f>SUMIF(PoleRates!$E$4:$E$131,"20140101"&amp;C248,PoleRates!$F$4:$F$131)</f>
        <v>3.47</v>
      </c>
      <c r="I248" s="259"/>
      <c r="J248" s="189">
        <v>3</v>
      </c>
      <c r="K248" s="258">
        <f t="shared" si="24"/>
        <v>10.41</v>
      </c>
    </row>
    <row r="249" spans="1:12" ht="12.75" thickBot="1">
      <c r="A249" s="146" t="s">
        <v>1270</v>
      </c>
      <c r="B249" s="146" t="s">
        <v>498</v>
      </c>
      <c r="C249" s="147" t="s">
        <v>156</v>
      </c>
      <c r="D249" s="150">
        <f t="shared" si="25"/>
        <v>20</v>
      </c>
      <c r="E249" s="160"/>
      <c r="F249" s="151"/>
      <c r="G249" s="151"/>
      <c r="H249" s="157">
        <f>SUMIF(PoleRates!$E$4:$E$131,"20140101"&amp;C249,PoleRates!$F$4:$F$131)</f>
        <v>3.73</v>
      </c>
      <c r="I249" s="259"/>
      <c r="J249" s="189">
        <v>20</v>
      </c>
      <c r="K249" s="258">
        <f t="shared" si="24"/>
        <v>74.599999999999994</v>
      </c>
    </row>
    <row r="250" spans="1:12" ht="12.75" thickBot="1">
      <c r="A250" s="146" t="s">
        <v>1270</v>
      </c>
      <c r="B250" s="146" t="s">
        <v>1117</v>
      </c>
      <c r="C250" s="147" t="s">
        <v>156</v>
      </c>
      <c r="D250" s="148">
        <f t="shared" si="25"/>
        <v>70</v>
      </c>
      <c r="E250" s="156"/>
      <c r="F250" s="149"/>
      <c r="G250" s="149"/>
      <c r="H250" s="157">
        <f>SUMIF(PoleRates!$E$4:$E$131,"20140101"&amp;C250,PoleRates!$F$4:$F$131)</f>
        <v>3.73</v>
      </c>
      <c r="I250" s="259"/>
      <c r="J250" s="189">
        <v>70</v>
      </c>
      <c r="K250" s="258">
        <f t="shared" si="24"/>
        <v>261.10000000000002</v>
      </c>
    </row>
    <row r="251" spans="1:12" ht="12.75" customHeight="1" thickBot="1">
      <c r="A251" s="146" t="s">
        <v>1270</v>
      </c>
      <c r="B251" s="146" t="s">
        <v>498</v>
      </c>
      <c r="C251" s="147" t="s">
        <v>160</v>
      </c>
      <c r="D251" s="150">
        <f t="shared" si="25"/>
        <v>1</v>
      </c>
      <c r="E251" s="160"/>
      <c r="F251" s="151"/>
      <c r="G251" s="151"/>
      <c r="H251" s="157">
        <f>SUMIF(PoleRates!$E$4:$E$131,"20140101"&amp;C251,PoleRates!$F$4:$F$131)</f>
        <v>3.56</v>
      </c>
      <c r="I251" s="259"/>
      <c r="J251" s="189">
        <v>1</v>
      </c>
      <c r="K251" s="258">
        <f t="shared" si="24"/>
        <v>3.56</v>
      </c>
    </row>
    <row r="252" spans="1:12" ht="12.75" thickBot="1">
      <c r="A252" s="146" t="s">
        <v>1270</v>
      </c>
      <c r="B252" s="146" t="s">
        <v>1117</v>
      </c>
      <c r="C252" s="147" t="s">
        <v>160</v>
      </c>
      <c r="D252" s="148">
        <f t="shared" si="25"/>
        <v>231</v>
      </c>
      <c r="E252" s="156"/>
      <c r="F252" s="149"/>
      <c r="G252" s="149"/>
      <c r="H252" s="157">
        <f>SUMIF(PoleRates!$E$4:$E$131,"20140101"&amp;C252,PoleRates!$F$4:$F$131)</f>
        <v>3.56</v>
      </c>
      <c r="I252" s="259"/>
      <c r="J252" s="189">
        <v>231</v>
      </c>
      <c r="K252" s="258">
        <f t="shared" si="24"/>
        <v>822.36</v>
      </c>
    </row>
    <row r="253" spans="1:12" ht="12.75" thickBot="1">
      <c r="A253" s="146" t="s">
        <v>1270</v>
      </c>
      <c r="B253" s="146" t="s">
        <v>498</v>
      </c>
      <c r="C253" s="147" t="s">
        <v>160</v>
      </c>
      <c r="D253" s="150">
        <f t="shared" si="25"/>
        <v>6</v>
      </c>
      <c r="E253" s="160"/>
      <c r="F253" s="151"/>
      <c r="G253" s="151"/>
      <c r="H253" s="157">
        <f>SUMIF(PoleRates!$E$4:$E$131,"20140101"&amp;C253,PoleRates!$F$4:$F$131)</f>
        <v>3.56</v>
      </c>
      <c r="I253" s="259"/>
      <c r="J253" s="189">
        <v>6</v>
      </c>
      <c r="K253" s="258">
        <f t="shared" si="24"/>
        <v>21.36</v>
      </c>
    </row>
    <row r="254" spans="1:12" ht="12.75" thickBot="1">
      <c r="A254" s="146" t="s">
        <v>1270</v>
      </c>
      <c r="B254" s="146" t="s">
        <v>1117</v>
      </c>
      <c r="C254" s="147" t="s">
        <v>160</v>
      </c>
      <c r="D254" s="148">
        <f t="shared" si="25"/>
        <v>60</v>
      </c>
      <c r="E254" s="156"/>
      <c r="F254" s="149"/>
      <c r="G254" s="149"/>
      <c r="H254" s="157">
        <f>SUMIF(PoleRates!$E$4:$E$131,"20140101"&amp;C254,PoleRates!$F$4:$F$131)</f>
        <v>3.56</v>
      </c>
      <c r="I254" s="259"/>
      <c r="J254" s="189">
        <v>60</v>
      </c>
      <c r="K254" s="258">
        <f t="shared" si="24"/>
        <v>213.6</v>
      </c>
    </row>
    <row r="255" spans="1:12" ht="12.75" thickBot="1">
      <c r="A255" s="146" t="s">
        <v>1270</v>
      </c>
      <c r="B255" s="146" t="s">
        <v>498</v>
      </c>
      <c r="C255" s="147" t="s">
        <v>162</v>
      </c>
      <c r="D255" s="150"/>
      <c r="E255" s="160"/>
      <c r="F255" s="151">
        <f>J255</f>
        <v>39</v>
      </c>
      <c r="G255" s="151"/>
      <c r="H255" s="157">
        <f>SUMIF(PoleRates!$E$4:$E$131,"20140101"&amp;C255,PoleRates!$F$4:$F$131)</f>
        <v>11.31</v>
      </c>
      <c r="I255" s="259"/>
      <c r="J255" s="189">
        <v>39</v>
      </c>
      <c r="K255" s="258">
        <f t="shared" si="24"/>
        <v>441.09000000000003</v>
      </c>
    </row>
    <row r="256" spans="1:12" ht="12.75" thickBot="1">
      <c r="A256" s="146" t="s">
        <v>1270</v>
      </c>
      <c r="B256" s="146" t="s">
        <v>1117</v>
      </c>
      <c r="C256" s="147" t="s">
        <v>162</v>
      </c>
      <c r="D256" s="149"/>
      <c r="E256" s="149"/>
      <c r="F256" s="148">
        <f>J256</f>
        <v>432</v>
      </c>
      <c r="G256" s="156"/>
      <c r="H256" s="157">
        <f>SUMIF(PoleRates!$E$4:$E$131,"20140101"&amp;C256,PoleRates!$F$4:$F$131)</f>
        <v>11.31</v>
      </c>
      <c r="I256" s="259"/>
      <c r="J256" s="189">
        <v>432</v>
      </c>
      <c r="K256" s="258">
        <f t="shared" si="24"/>
        <v>4885.92</v>
      </c>
      <c r="L256" s="258">
        <f>SUM(K233:$K$256)</f>
        <v>28847.980000000003</v>
      </c>
    </row>
    <row r="257" spans="1:13" ht="12.75" thickBot="1">
      <c r="A257" s="146" t="s">
        <v>1270</v>
      </c>
      <c r="B257" s="146"/>
      <c r="C257" s="171" t="s">
        <v>7</v>
      </c>
      <c r="D257" s="172"/>
      <c r="E257" s="173"/>
      <c r="F257" s="172"/>
      <c r="G257" s="173"/>
      <c r="H257" s="174"/>
      <c r="I257" s="158"/>
    </row>
    <row r="258" spans="1:13" ht="12.75" thickBot="1">
      <c r="A258" s="146" t="s">
        <v>1271</v>
      </c>
      <c r="B258" s="146" t="s">
        <v>498</v>
      </c>
      <c r="C258" s="147" t="s">
        <v>152</v>
      </c>
      <c r="D258" s="149"/>
      <c r="E258" s="149"/>
      <c r="F258" s="148">
        <f t="shared" ref="F258:F263" si="26">J258</f>
        <v>1686</v>
      </c>
      <c r="G258" s="156"/>
      <c r="H258" s="157">
        <f>SUMIF(PoleRates!$E$4:$E$131,"20140101"&amp;C258,PoleRates!$F$4:$F$131)</f>
        <v>2.06</v>
      </c>
      <c r="I258" s="259"/>
      <c r="J258" s="189">
        <v>1686</v>
      </c>
      <c r="K258" s="258">
        <f>H258*J258</f>
        <v>3473.1600000000003</v>
      </c>
      <c r="M258" s="155" t="s">
        <v>1291</v>
      </c>
    </row>
    <row r="259" spans="1:13" ht="12.75" thickBot="1">
      <c r="A259" s="146" t="s">
        <v>1271</v>
      </c>
      <c r="B259" s="146" t="s">
        <v>1117</v>
      </c>
      <c r="C259" s="147" t="s">
        <v>152</v>
      </c>
      <c r="D259" s="151"/>
      <c r="E259" s="151"/>
      <c r="F259" s="150">
        <f t="shared" si="26"/>
        <v>5194</v>
      </c>
      <c r="G259" s="160"/>
      <c r="H259" s="157">
        <f>SUMIF(PoleRates!$E$4:$E$131,"20140101"&amp;C259,PoleRates!$F$4:$F$131)</f>
        <v>2.06</v>
      </c>
      <c r="I259" s="259"/>
      <c r="J259" s="189">
        <v>5194</v>
      </c>
      <c r="K259" s="258">
        <f t="shared" ref="K259:K281" si="27">H259*J259</f>
        <v>10699.64</v>
      </c>
    </row>
    <row r="260" spans="1:13" ht="12.75" thickBot="1">
      <c r="A260" s="146" t="s">
        <v>1271</v>
      </c>
      <c r="B260" s="146" t="s">
        <v>498</v>
      </c>
      <c r="C260" s="147" t="s">
        <v>153</v>
      </c>
      <c r="D260" s="149"/>
      <c r="E260" s="149"/>
      <c r="F260" s="148">
        <f t="shared" si="26"/>
        <v>157</v>
      </c>
      <c r="G260" s="156"/>
      <c r="H260" s="157">
        <f>SUMIF(PoleRates!$E$4:$E$131,"20140101"&amp;C260,PoleRates!$F$4:$F$131)</f>
        <v>10.81</v>
      </c>
      <c r="I260" s="259"/>
      <c r="J260" s="189">
        <v>157</v>
      </c>
      <c r="K260" s="258">
        <f t="shared" si="27"/>
        <v>1697.17</v>
      </c>
    </row>
    <row r="261" spans="1:13" ht="12.75" thickBot="1">
      <c r="A261" s="146" t="s">
        <v>1271</v>
      </c>
      <c r="B261" s="146" t="s">
        <v>1117</v>
      </c>
      <c r="C261" s="147" t="s">
        <v>153</v>
      </c>
      <c r="D261" s="150"/>
      <c r="E261" s="160"/>
      <c r="F261" s="151">
        <f t="shared" si="26"/>
        <v>0</v>
      </c>
      <c r="G261" s="151"/>
      <c r="H261" s="157">
        <f>SUMIF(PoleRates!$E$4:$E$131,"20140101"&amp;C261,PoleRates!$F$4:$F$131)</f>
        <v>10.81</v>
      </c>
      <c r="I261" s="259"/>
      <c r="J261" s="189">
        <v>0</v>
      </c>
      <c r="K261" s="258">
        <f t="shared" si="27"/>
        <v>0</v>
      </c>
    </row>
    <row r="262" spans="1:13" ht="12.75" thickBot="1">
      <c r="A262" s="146" t="s">
        <v>1271</v>
      </c>
      <c r="B262" s="146" t="s">
        <v>498</v>
      </c>
      <c r="C262" s="147" t="s">
        <v>154</v>
      </c>
      <c r="D262" s="148"/>
      <c r="E262" s="156"/>
      <c r="F262" s="149">
        <f t="shared" si="26"/>
        <v>277</v>
      </c>
      <c r="G262" s="149"/>
      <c r="H262" s="157">
        <f>SUMIF(PoleRates!$E$4:$E$131,"20140101"&amp;C262,PoleRates!$F$4:$F$131)</f>
        <v>12.9</v>
      </c>
      <c r="I262" s="259"/>
      <c r="J262" s="189">
        <v>277</v>
      </c>
      <c r="K262" s="258">
        <f t="shared" si="27"/>
        <v>3573.3</v>
      </c>
    </row>
    <row r="263" spans="1:13" ht="12.75" thickBot="1">
      <c r="A263" s="146" t="s">
        <v>1271</v>
      </c>
      <c r="B263" s="146" t="s">
        <v>1117</v>
      </c>
      <c r="C263" s="147" t="s">
        <v>154</v>
      </c>
      <c r="D263" s="150"/>
      <c r="E263" s="160"/>
      <c r="F263" s="151">
        <f t="shared" si="26"/>
        <v>3</v>
      </c>
      <c r="G263" s="151"/>
      <c r="H263" s="157">
        <f>SUMIF(PoleRates!$E$4:$E$131,"20140101"&amp;C263,PoleRates!$F$4:$F$131)</f>
        <v>12.9</v>
      </c>
      <c r="I263" s="259"/>
      <c r="J263" s="189">
        <v>3</v>
      </c>
      <c r="K263" s="258">
        <f t="shared" si="27"/>
        <v>38.700000000000003</v>
      </c>
    </row>
    <row r="264" spans="1:13" ht="12.75" thickBot="1">
      <c r="A264" s="146" t="s">
        <v>1271</v>
      </c>
      <c r="B264" s="146" t="s">
        <v>498</v>
      </c>
      <c r="C264" s="147" t="s">
        <v>155</v>
      </c>
      <c r="D264" s="148">
        <f>J264</f>
        <v>32</v>
      </c>
      <c r="E264" s="156"/>
      <c r="F264" s="149"/>
      <c r="G264" s="149"/>
      <c r="H264" s="157">
        <f>SUMIF(PoleRates!$E$4:$E$131,"20140101"&amp;C264,PoleRates!$F$4:$F$131)</f>
        <v>3.47</v>
      </c>
      <c r="I264" s="259"/>
      <c r="J264" s="189">
        <v>32</v>
      </c>
      <c r="K264" s="258">
        <f t="shared" si="27"/>
        <v>111.04</v>
      </c>
    </row>
    <row r="265" spans="1:13" ht="12.75" thickBot="1">
      <c r="A265" s="146" t="s">
        <v>1271</v>
      </c>
      <c r="B265" s="146" t="s">
        <v>1117</v>
      </c>
      <c r="C265" s="147" t="s">
        <v>155</v>
      </c>
      <c r="D265" s="150">
        <f t="shared" ref="D265:D279" si="28">J265</f>
        <v>10</v>
      </c>
      <c r="E265" s="160"/>
      <c r="F265" s="151"/>
      <c r="G265" s="151"/>
      <c r="H265" s="157">
        <f>SUMIF(PoleRates!$E$4:$E$131,"20140101"&amp;C265,PoleRates!$F$4:$F$131)</f>
        <v>3.47</v>
      </c>
      <c r="I265" s="259"/>
      <c r="J265" s="189">
        <v>10</v>
      </c>
      <c r="K265" s="258">
        <f t="shared" si="27"/>
        <v>34.700000000000003</v>
      </c>
    </row>
    <row r="266" spans="1:13" ht="12.75" thickBot="1">
      <c r="A266" s="146" t="s">
        <v>1271</v>
      </c>
      <c r="B266" s="146" t="s">
        <v>498</v>
      </c>
      <c r="C266" s="147" t="s">
        <v>156</v>
      </c>
      <c r="D266" s="148">
        <f t="shared" si="28"/>
        <v>175</v>
      </c>
      <c r="E266" s="156"/>
      <c r="F266" s="149"/>
      <c r="G266" s="149"/>
      <c r="H266" s="157">
        <f>SUMIF(PoleRates!$E$4:$E$131,"20140101"&amp;C266,PoleRates!$F$4:$F$131)</f>
        <v>3.73</v>
      </c>
      <c r="I266" s="259"/>
      <c r="J266" s="189">
        <v>175</v>
      </c>
      <c r="K266" s="258">
        <f t="shared" si="27"/>
        <v>652.75</v>
      </c>
    </row>
    <row r="267" spans="1:13" ht="12.75" thickBot="1">
      <c r="A267" s="146" t="s">
        <v>1271</v>
      </c>
      <c r="B267" s="146" t="s">
        <v>1117</v>
      </c>
      <c r="C267" s="147" t="s">
        <v>156</v>
      </c>
      <c r="D267" s="150">
        <f t="shared" si="28"/>
        <v>3</v>
      </c>
      <c r="E267" s="160"/>
      <c r="F267" s="151"/>
      <c r="G267" s="151"/>
      <c r="H267" s="157">
        <f>SUMIF(PoleRates!$E$4:$E$131,"20140101"&amp;C267,PoleRates!$F$4:$F$131)</f>
        <v>3.73</v>
      </c>
      <c r="I267" s="259"/>
      <c r="J267" s="189">
        <v>3</v>
      </c>
      <c r="K267" s="258">
        <f t="shared" si="27"/>
        <v>11.19</v>
      </c>
    </row>
    <row r="268" spans="1:13" ht="12.75" thickBot="1">
      <c r="A268" s="146" t="s">
        <v>1271</v>
      </c>
      <c r="B268" s="146" t="s">
        <v>498</v>
      </c>
      <c r="C268" s="146" t="s">
        <v>160</v>
      </c>
      <c r="D268" s="149">
        <f t="shared" si="28"/>
        <v>179</v>
      </c>
      <c r="E268" s="149"/>
      <c r="F268" s="148"/>
      <c r="G268" s="156"/>
      <c r="H268" s="157">
        <f>SUMIF(PoleRates!$E$4:$E$131,"20140101"&amp;C268,PoleRates!$F$4:$F$131)</f>
        <v>3.56</v>
      </c>
      <c r="I268" s="259"/>
      <c r="J268" s="189">
        <v>179</v>
      </c>
      <c r="K268" s="258">
        <f t="shared" si="27"/>
        <v>637.24</v>
      </c>
    </row>
    <row r="269" spans="1:13" ht="12.75" thickBot="1">
      <c r="A269" s="146" t="s">
        <v>1271</v>
      </c>
      <c r="B269" s="146" t="s">
        <v>1117</v>
      </c>
      <c r="C269" s="146" t="s">
        <v>160</v>
      </c>
      <c r="D269" s="149">
        <f t="shared" si="28"/>
        <v>56</v>
      </c>
      <c r="E269" s="149"/>
      <c r="F269" s="148"/>
      <c r="G269" s="156"/>
      <c r="H269" s="157">
        <f>SUMIF(PoleRates!$E$4:$E$131,"20140101"&amp;C269,PoleRates!$F$4:$F$131)</f>
        <v>3.56</v>
      </c>
      <c r="I269" s="259"/>
      <c r="J269" s="189">
        <v>56</v>
      </c>
      <c r="K269" s="258">
        <f t="shared" si="27"/>
        <v>199.36</v>
      </c>
    </row>
    <row r="270" spans="1:13" ht="12.75" thickBot="1">
      <c r="A270" s="146" t="s">
        <v>1271</v>
      </c>
      <c r="B270" s="146" t="s">
        <v>498</v>
      </c>
      <c r="C270" s="146" t="s">
        <v>160</v>
      </c>
      <c r="D270" s="151">
        <f t="shared" si="28"/>
        <v>53</v>
      </c>
      <c r="E270" s="151"/>
      <c r="F270" s="150"/>
      <c r="G270" s="160"/>
      <c r="H270" s="157">
        <f>SUMIF(PoleRates!$E$4:$E$131,"20140101"&amp;C270,PoleRates!$F$4:$F$131)</f>
        <v>3.56</v>
      </c>
      <c r="I270" s="259"/>
      <c r="J270" s="189">
        <v>53</v>
      </c>
      <c r="K270" s="258">
        <f t="shared" si="27"/>
        <v>188.68</v>
      </c>
    </row>
    <row r="271" spans="1:13" ht="12.75" thickBot="1">
      <c r="A271" s="146" t="s">
        <v>1271</v>
      </c>
      <c r="B271" s="146" t="s">
        <v>1117</v>
      </c>
      <c r="C271" s="146" t="s">
        <v>160</v>
      </c>
      <c r="D271" s="149">
        <f t="shared" si="28"/>
        <v>92</v>
      </c>
      <c r="E271" s="149"/>
      <c r="F271" s="148"/>
      <c r="G271" s="156"/>
      <c r="H271" s="157">
        <f>SUMIF(PoleRates!$E$4:$E$131,"20140101"&amp;C271,PoleRates!$F$4:$F$131)</f>
        <v>3.56</v>
      </c>
      <c r="I271" s="259"/>
      <c r="J271" s="189">
        <v>92</v>
      </c>
      <c r="K271" s="258">
        <f t="shared" si="27"/>
        <v>327.52</v>
      </c>
    </row>
    <row r="272" spans="1:13" ht="12.75" thickBot="1">
      <c r="A272" s="146" t="s">
        <v>1271</v>
      </c>
      <c r="B272" s="146" t="s">
        <v>498</v>
      </c>
      <c r="C272" s="146" t="s">
        <v>155</v>
      </c>
      <c r="D272" s="150">
        <f t="shared" si="28"/>
        <v>45</v>
      </c>
      <c r="E272" s="160"/>
      <c r="F272" s="151"/>
      <c r="G272" s="151"/>
      <c r="H272" s="157">
        <f>SUMIF(PoleRates!$E$4:$E$131,"20140101"&amp;C272,PoleRates!$F$4:$F$131)</f>
        <v>3.47</v>
      </c>
      <c r="I272" s="259"/>
      <c r="J272" s="189">
        <v>45</v>
      </c>
      <c r="K272" s="258">
        <f t="shared" si="27"/>
        <v>156.15</v>
      </c>
    </row>
    <row r="273" spans="1:13" ht="12.75" thickBot="1">
      <c r="A273" s="146" t="s">
        <v>1271</v>
      </c>
      <c r="B273" s="146" t="s">
        <v>1117</v>
      </c>
      <c r="C273" s="146" t="s">
        <v>155</v>
      </c>
      <c r="D273" s="148">
        <f t="shared" si="28"/>
        <v>3</v>
      </c>
      <c r="E273" s="156"/>
      <c r="F273" s="149"/>
      <c r="G273" s="149"/>
      <c r="H273" s="157">
        <f>SUMIF(PoleRates!$E$4:$E$131,"20140101"&amp;C273,PoleRates!$F$4:$F$131)</f>
        <v>3.47</v>
      </c>
      <c r="I273" s="259"/>
      <c r="J273" s="189">
        <v>3</v>
      </c>
      <c r="K273" s="258">
        <f t="shared" si="27"/>
        <v>10.41</v>
      </c>
    </row>
    <row r="274" spans="1:13" ht="12.75" thickBot="1">
      <c r="A274" s="146" t="s">
        <v>1271</v>
      </c>
      <c r="B274" s="146" t="s">
        <v>498</v>
      </c>
      <c r="C274" s="147" t="s">
        <v>156</v>
      </c>
      <c r="D274" s="150">
        <f t="shared" si="28"/>
        <v>20</v>
      </c>
      <c r="E274" s="160"/>
      <c r="F274" s="151"/>
      <c r="G274" s="151"/>
      <c r="H274" s="157">
        <f>SUMIF(PoleRates!$E$4:$E$131,"20140101"&amp;C274,PoleRates!$F$4:$F$131)</f>
        <v>3.73</v>
      </c>
      <c r="I274" s="259"/>
      <c r="J274" s="189">
        <v>20</v>
      </c>
      <c r="K274" s="258">
        <f t="shared" si="27"/>
        <v>74.599999999999994</v>
      </c>
    </row>
    <row r="275" spans="1:13" ht="12.75" thickBot="1">
      <c r="A275" s="146" t="s">
        <v>1271</v>
      </c>
      <c r="B275" s="146" t="s">
        <v>1117</v>
      </c>
      <c r="C275" s="147" t="s">
        <v>156</v>
      </c>
      <c r="D275" s="148">
        <f t="shared" si="28"/>
        <v>70</v>
      </c>
      <c r="E275" s="156"/>
      <c r="F275" s="149"/>
      <c r="G275" s="149"/>
      <c r="H275" s="157">
        <f>SUMIF(PoleRates!$E$4:$E$131,"20140101"&amp;C275,PoleRates!$F$4:$F$131)</f>
        <v>3.73</v>
      </c>
      <c r="I275" s="259"/>
      <c r="J275" s="189">
        <v>70</v>
      </c>
      <c r="K275" s="258">
        <f t="shared" si="27"/>
        <v>261.10000000000002</v>
      </c>
    </row>
    <row r="276" spans="1:13" ht="12.75" thickBot="1">
      <c r="A276" s="146" t="s">
        <v>1271</v>
      </c>
      <c r="B276" s="146" t="s">
        <v>498</v>
      </c>
      <c r="C276" s="147" t="s">
        <v>160</v>
      </c>
      <c r="D276" s="150">
        <f t="shared" si="28"/>
        <v>1</v>
      </c>
      <c r="E276" s="160"/>
      <c r="F276" s="151"/>
      <c r="G276" s="151"/>
      <c r="H276" s="157">
        <f>SUMIF(PoleRates!$E$4:$E$131,"20140101"&amp;C276,PoleRates!$F$4:$F$131)</f>
        <v>3.56</v>
      </c>
      <c r="I276" s="259"/>
      <c r="J276" s="189">
        <v>1</v>
      </c>
      <c r="K276" s="258">
        <f t="shared" si="27"/>
        <v>3.56</v>
      </c>
    </row>
    <row r="277" spans="1:13" ht="12.75" thickBot="1">
      <c r="A277" s="146" t="s">
        <v>1271</v>
      </c>
      <c r="B277" s="146" t="s">
        <v>1117</v>
      </c>
      <c r="C277" s="147" t="s">
        <v>160</v>
      </c>
      <c r="D277" s="148">
        <f t="shared" si="28"/>
        <v>79</v>
      </c>
      <c r="E277" s="156"/>
      <c r="F277" s="149"/>
      <c r="G277" s="149"/>
      <c r="H277" s="157">
        <f>SUMIF(PoleRates!$E$4:$E$131,"20140101"&amp;C277,PoleRates!$F$4:$F$131)</f>
        <v>3.56</v>
      </c>
      <c r="I277" s="259"/>
      <c r="J277" s="189">
        <v>79</v>
      </c>
      <c r="K277" s="258">
        <f t="shared" si="27"/>
        <v>281.24</v>
      </c>
    </row>
    <row r="278" spans="1:13" ht="12.75" thickBot="1">
      <c r="A278" s="146" t="s">
        <v>1271</v>
      </c>
      <c r="B278" s="146" t="s">
        <v>498</v>
      </c>
      <c r="C278" s="147" t="s">
        <v>160</v>
      </c>
      <c r="D278" s="150">
        <f t="shared" si="28"/>
        <v>6</v>
      </c>
      <c r="E278" s="160"/>
      <c r="F278" s="151"/>
      <c r="G278" s="151"/>
      <c r="H278" s="157">
        <f>SUMIF(PoleRates!$E$4:$E$131,"20140101"&amp;C278,PoleRates!$F$4:$F$131)</f>
        <v>3.56</v>
      </c>
      <c r="I278" s="259"/>
      <c r="J278" s="189">
        <v>6</v>
      </c>
      <c r="K278" s="258">
        <f t="shared" si="27"/>
        <v>21.36</v>
      </c>
    </row>
    <row r="279" spans="1:13" ht="12.75" thickBot="1">
      <c r="A279" s="146" t="s">
        <v>1271</v>
      </c>
      <c r="B279" s="146" t="s">
        <v>1117</v>
      </c>
      <c r="C279" s="147" t="s">
        <v>160</v>
      </c>
      <c r="D279" s="148">
        <f t="shared" si="28"/>
        <v>60</v>
      </c>
      <c r="E279" s="156"/>
      <c r="F279" s="149"/>
      <c r="G279" s="149"/>
      <c r="H279" s="157">
        <f>SUMIF(PoleRates!$E$4:$E$131,"20140101"&amp;C279,PoleRates!$F$4:$F$131)</f>
        <v>3.56</v>
      </c>
      <c r="I279" s="259"/>
      <c r="J279" s="189">
        <v>60</v>
      </c>
      <c r="K279" s="258">
        <f t="shared" si="27"/>
        <v>213.6</v>
      </c>
    </row>
    <row r="280" spans="1:13" ht="12.75" thickBot="1">
      <c r="A280" s="146" t="s">
        <v>1271</v>
      </c>
      <c r="B280" s="146" t="s">
        <v>498</v>
      </c>
      <c r="C280" s="147" t="s">
        <v>162</v>
      </c>
      <c r="D280" s="150"/>
      <c r="E280" s="160"/>
      <c r="F280" s="151">
        <f>J280</f>
        <v>37</v>
      </c>
      <c r="G280" s="151"/>
      <c r="H280" s="157">
        <f>SUMIF(PoleRates!$E$4:$E$131,"20140101"&amp;C280,PoleRates!$F$4:$F$131)</f>
        <v>11.31</v>
      </c>
      <c r="I280" s="259"/>
      <c r="J280" s="189">
        <v>37</v>
      </c>
      <c r="K280" s="258">
        <f t="shared" si="27"/>
        <v>418.47</v>
      </c>
    </row>
    <row r="281" spans="1:13" ht="12.75" thickBot="1">
      <c r="A281" s="146" t="s">
        <v>1271</v>
      </c>
      <c r="B281" s="146" t="s">
        <v>1117</v>
      </c>
      <c r="C281" s="147" t="s">
        <v>162</v>
      </c>
      <c r="D281" s="149"/>
      <c r="E281" s="149"/>
      <c r="F281" s="148">
        <f>J281</f>
        <v>426</v>
      </c>
      <c r="G281" s="156"/>
      <c r="H281" s="157">
        <f>SUMIF(PoleRates!$E$4:$E$131,"20140101"&amp;C281,PoleRates!$F$4:$F$131)</f>
        <v>11.31</v>
      </c>
      <c r="I281" s="259"/>
      <c r="J281" s="189">
        <v>426</v>
      </c>
      <c r="K281" s="258">
        <f t="shared" si="27"/>
        <v>4818.0600000000004</v>
      </c>
    </row>
    <row r="282" spans="1:13" ht="12.75" thickBot="1">
      <c r="A282" s="146" t="s">
        <v>1271</v>
      </c>
      <c r="B282" s="146"/>
      <c r="C282" s="162" t="s">
        <v>7</v>
      </c>
      <c r="D282" s="152"/>
      <c r="E282" s="163"/>
      <c r="F282" s="152"/>
      <c r="G282" s="163"/>
      <c r="H282" s="164"/>
      <c r="I282" s="158"/>
    </row>
    <row r="283" spans="1:13" ht="12.75" thickBot="1">
      <c r="A283" s="146" t="s">
        <v>1272</v>
      </c>
      <c r="B283" s="146" t="s">
        <v>498</v>
      </c>
      <c r="C283" s="147" t="s">
        <v>152</v>
      </c>
      <c r="D283" s="149"/>
      <c r="E283" s="149"/>
      <c r="F283" s="148">
        <f t="shared" ref="F283:F288" si="29">J283</f>
        <v>1677</v>
      </c>
      <c r="G283" s="156"/>
      <c r="H283" s="157">
        <f>SUMIF(PoleRates!$E$4:$E$131,"20140101"&amp;C283,PoleRates!$F$4:$F$131)</f>
        <v>2.06</v>
      </c>
      <c r="I283" s="259"/>
      <c r="J283" s="189">
        <v>1677</v>
      </c>
      <c r="K283" s="258">
        <f>H283*J283</f>
        <v>3454.62</v>
      </c>
      <c r="M283" s="155" t="s">
        <v>1292</v>
      </c>
    </row>
    <row r="284" spans="1:13" ht="12.75" thickBot="1">
      <c r="A284" s="146" t="s">
        <v>1272</v>
      </c>
      <c r="B284" s="146" t="s">
        <v>1117</v>
      </c>
      <c r="C284" s="147" t="s">
        <v>152</v>
      </c>
      <c r="D284" s="151"/>
      <c r="E284" s="151"/>
      <c r="F284" s="150">
        <f t="shared" si="29"/>
        <v>5238</v>
      </c>
      <c r="G284" s="160"/>
      <c r="H284" s="157">
        <f>SUMIF(PoleRates!$E$4:$E$131,"20140101"&amp;C284,PoleRates!$F$4:$F$131)</f>
        <v>2.06</v>
      </c>
      <c r="I284" s="259"/>
      <c r="J284" s="189">
        <v>5238</v>
      </c>
      <c r="K284" s="258">
        <f t="shared" ref="K284:K306" si="30">H284*J284</f>
        <v>10790.28</v>
      </c>
    </row>
    <row r="285" spans="1:13" ht="12.75" thickBot="1">
      <c r="A285" s="146" t="s">
        <v>1272</v>
      </c>
      <c r="B285" s="146" t="s">
        <v>498</v>
      </c>
      <c r="C285" s="147" t="s">
        <v>153</v>
      </c>
      <c r="D285" s="149"/>
      <c r="E285" s="149"/>
      <c r="F285" s="148">
        <f t="shared" si="29"/>
        <v>157</v>
      </c>
      <c r="G285" s="156"/>
      <c r="H285" s="157">
        <f>SUMIF(PoleRates!$E$4:$E$131,"20140101"&amp;C285,PoleRates!$F$4:$F$131)</f>
        <v>10.81</v>
      </c>
      <c r="I285" s="259"/>
      <c r="J285" s="189">
        <v>157</v>
      </c>
      <c r="K285" s="258">
        <f t="shared" si="30"/>
        <v>1697.17</v>
      </c>
    </row>
    <row r="286" spans="1:13" ht="12.75" thickBot="1">
      <c r="A286" s="146" t="s">
        <v>1272</v>
      </c>
      <c r="B286" s="146" t="s">
        <v>1117</v>
      </c>
      <c r="C286" s="147" t="s">
        <v>153</v>
      </c>
      <c r="D286" s="150"/>
      <c r="E286" s="160"/>
      <c r="F286" s="151">
        <f t="shared" si="29"/>
        <v>0</v>
      </c>
      <c r="G286" s="151"/>
      <c r="H286" s="157">
        <f>SUMIF(PoleRates!$E$4:$E$131,"20140101"&amp;C286,PoleRates!$F$4:$F$131)</f>
        <v>10.81</v>
      </c>
      <c r="I286" s="259"/>
      <c r="J286" s="189">
        <v>0</v>
      </c>
      <c r="K286" s="258">
        <f t="shared" si="30"/>
        <v>0</v>
      </c>
    </row>
    <row r="287" spans="1:13" ht="12.75" thickBot="1">
      <c r="A287" s="146" t="s">
        <v>1272</v>
      </c>
      <c r="B287" s="146" t="s">
        <v>498</v>
      </c>
      <c r="C287" s="147" t="s">
        <v>154</v>
      </c>
      <c r="D287" s="148"/>
      <c r="E287" s="156"/>
      <c r="F287" s="149">
        <f t="shared" si="29"/>
        <v>277</v>
      </c>
      <c r="G287" s="149"/>
      <c r="H287" s="157">
        <f>SUMIF(PoleRates!$E$4:$E$131,"20140101"&amp;C287,PoleRates!$F$4:$F$131)</f>
        <v>12.9</v>
      </c>
      <c r="I287" s="259"/>
      <c r="J287" s="189">
        <v>277</v>
      </c>
      <c r="K287" s="258">
        <f t="shared" si="30"/>
        <v>3573.3</v>
      </c>
    </row>
    <row r="288" spans="1:13" ht="12.75" thickBot="1">
      <c r="A288" s="146" t="s">
        <v>1272</v>
      </c>
      <c r="B288" s="146" t="s">
        <v>1117</v>
      </c>
      <c r="C288" s="147" t="s">
        <v>154</v>
      </c>
      <c r="D288" s="150"/>
      <c r="E288" s="160"/>
      <c r="F288" s="151">
        <f t="shared" si="29"/>
        <v>3</v>
      </c>
      <c r="G288" s="151"/>
      <c r="H288" s="157">
        <f>SUMIF(PoleRates!$E$4:$E$131,"20140101"&amp;C288,PoleRates!$F$4:$F$131)</f>
        <v>12.9</v>
      </c>
      <c r="I288" s="259"/>
      <c r="J288" s="189">
        <v>3</v>
      </c>
      <c r="K288" s="258">
        <f t="shared" si="30"/>
        <v>38.700000000000003</v>
      </c>
    </row>
    <row r="289" spans="1:11" ht="12.75" thickBot="1">
      <c r="A289" s="146" t="s">
        <v>1272</v>
      </c>
      <c r="B289" s="146" t="s">
        <v>498</v>
      </c>
      <c r="C289" s="146" t="s">
        <v>155</v>
      </c>
      <c r="D289" s="148">
        <f>J289</f>
        <v>32</v>
      </c>
      <c r="E289" s="156"/>
      <c r="F289" s="149"/>
      <c r="G289" s="149"/>
      <c r="H289" s="157">
        <f>SUMIF(PoleRates!$E$4:$E$131,"20140101"&amp;C289,PoleRates!$F$4:$F$131)</f>
        <v>3.47</v>
      </c>
      <c r="I289" s="259"/>
      <c r="J289" s="189">
        <v>32</v>
      </c>
      <c r="K289" s="258">
        <f t="shared" si="30"/>
        <v>111.04</v>
      </c>
    </row>
    <row r="290" spans="1:11" ht="12.75" thickBot="1">
      <c r="A290" s="146" t="s">
        <v>1272</v>
      </c>
      <c r="B290" s="146" t="s">
        <v>1117</v>
      </c>
      <c r="C290" s="146" t="s">
        <v>155</v>
      </c>
      <c r="D290" s="150">
        <f t="shared" ref="D290:D304" si="31">J290</f>
        <v>10</v>
      </c>
      <c r="E290" s="160"/>
      <c r="F290" s="151"/>
      <c r="G290" s="151"/>
      <c r="H290" s="157">
        <f>SUMIF(PoleRates!$E$4:$E$131,"20140101"&amp;C290,PoleRates!$F$4:$F$131)</f>
        <v>3.47</v>
      </c>
      <c r="I290" s="259"/>
      <c r="J290" s="189">
        <v>10</v>
      </c>
      <c r="K290" s="258">
        <f t="shared" si="30"/>
        <v>34.700000000000003</v>
      </c>
    </row>
    <row r="291" spans="1:11" ht="12.75" thickBot="1">
      <c r="A291" s="146" t="s">
        <v>1272</v>
      </c>
      <c r="B291" s="146" t="s">
        <v>498</v>
      </c>
      <c r="C291" s="147" t="s">
        <v>156</v>
      </c>
      <c r="D291" s="148">
        <f t="shared" si="31"/>
        <v>175</v>
      </c>
      <c r="E291" s="156"/>
      <c r="F291" s="149"/>
      <c r="G291" s="149"/>
      <c r="H291" s="157">
        <f>SUMIF(PoleRates!$E$4:$E$131,"20140101"&amp;C291,PoleRates!$F$4:$F$131)</f>
        <v>3.73</v>
      </c>
      <c r="I291" s="259"/>
      <c r="J291" s="189">
        <v>175</v>
      </c>
      <c r="K291" s="258">
        <f t="shared" si="30"/>
        <v>652.75</v>
      </c>
    </row>
    <row r="292" spans="1:11" ht="12.75" thickBot="1">
      <c r="A292" s="146" t="s">
        <v>1272</v>
      </c>
      <c r="B292" s="146" t="s">
        <v>1117</v>
      </c>
      <c r="C292" s="147" t="s">
        <v>156</v>
      </c>
      <c r="D292" s="150">
        <f t="shared" si="31"/>
        <v>3</v>
      </c>
      <c r="E292" s="160"/>
      <c r="F292" s="151"/>
      <c r="G292" s="151"/>
      <c r="H292" s="157">
        <f>SUMIF(PoleRates!$E$4:$E$131,"20140101"&amp;C292,PoleRates!$F$4:$F$131)</f>
        <v>3.73</v>
      </c>
      <c r="I292" s="259"/>
      <c r="J292" s="189">
        <v>3</v>
      </c>
      <c r="K292" s="258">
        <f t="shared" si="30"/>
        <v>11.19</v>
      </c>
    </row>
    <row r="293" spans="1:11" ht="12.75" thickBot="1">
      <c r="A293" s="146" t="s">
        <v>1272</v>
      </c>
      <c r="B293" s="146" t="s">
        <v>498</v>
      </c>
      <c r="C293" s="146" t="s">
        <v>160</v>
      </c>
      <c r="D293" s="149">
        <f t="shared" si="31"/>
        <v>179</v>
      </c>
      <c r="E293" s="149"/>
      <c r="F293" s="148"/>
      <c r="G293" s="156"/>
      <c r="H293" s="157">
        <f>SUMIF(PoleRates!$E$4:$E$131,"20140101"&amp;C293,PoleRates!$F$4:$F$131)</f>
        <v>3.56</v>
      </c>
      <c r="I293" s="259"/>
      <c r="J293" s="189">
        <v>179</v>
      </c>
      <c r="K293" s="258">
        <f t="shared" si="30"/>
        <v>637.24</v>
      </c>
    </row>
    <row r="294" spans="1:11" ht="12.75" thickBot="1">
      <c r="A294" s="146" t="s">
        <v>1272</v>
      </c>
      <c r="B294" s="146" t="s">
        <v>1117</v>
      </c>
      <c r="C294" s="146" t="s">
        <v>160</v>
      </c>
      <c r="D294" s="149">
        <f t="shared" si="31"/>
        <v>56</v>
      </c>
      <c r="E294" s="149"/>
      <c r="F294" s="148"/>
      <c r="G294" s="156"/>
      <c r="H294" s="157">
        <f>SUMIF(PoleRates!$E$4:$E$131,"20140101"&amp;C294,PoleRates!$F$4:$F$131)</f>
        <v>3.56</v>
      </c>
      <c r="I294" s="259"/>
      <c r="J294" s="189">
        <v>56</v>
      </c>
      <c r="K294" s="258">
        <f t="shared" si="30"/>
        <v>199.36</v>
      </c>
    </row>
    <row r="295" spans="1:11" ht="12.75" thickBot="1">
      <c r="A295" s="146" t="s">
        <v>1272</v>
      </c>
      <c r="B295" s="146" t="s">
        <v>498</v>
      </c>
      <c r="C295" s="146" t="s">
        <v>160</v>
      </c>
      <c r="D295" s="151">
        <f t="shared" si="31"/>
        <v>53</v>
      </c>
      <c r="E295" s="151"/>
      <c r="F295" s="150"/>
      <c r="G295" s="160"/>
      <c r="H295" s="157">
        <f>SUMIF(PoleRates!$E$4:$E$131,"20140101"&amp;C295,PoleRates!$F$4:$F$131)</f>
        <v>3.56</v>
      </c>
      <c r="I295" s="259"/>
      <c r="J295" s="189">
        <v>53</v>
      </c>
      <c r="K295" s="258">
        <f t="shared" si="30"/>
        <v>188.68</v>
      </c>
    </row>
    <row r="296" spans="1:11" ht="12.75" thickBot="1">
      <c r="A296" s="146" t="s">
        <v>1272</v>
      </c>
      <c r="B296" s="146" t="s">
        <v>1117</v>
      </c>
      <c r="C296" s="146" t="s">
        <v>160</v>
      </c>
      <c r="D296" s="149">
        <f t="shared" si="31"/>
        <v>112</v>
      </c>
      <c r="E296" s="149"/>
      <c r="F296" s="148"/>
      <c r="G296" s="156"/>
      <c r="H296" s="157">
        <f>SUMIF(PoleRates!$E$4:$E$131,"20140101"&amp;C296,PoleRates!$F$4:$F$131)</f>
        <v>3.56</v>
      </c>
      <c r="I296" s="259"/>
      <c r="J296" s="189">
        <v>112</v>
      </c>
      <c r="K296" s="258">
        <f t="shared" si="30"/>
        <v>398.72</v>
      </c>
    </row>
    <row r="297" spans="1:11" ht="12.75" thickBot="1">
      <c r="A297" s="146" t="s">
        <v>1272</v>
      </c>
      <c r="B297" s="146" t="s">
        <v>498</v>
      </c>
      <c r="C297" s="146" t="s">
        <v>155</v>
      </c>
      <c r="D297" s="150">
        <f t="shared" si="31"/>
        <v>45</v>
      </c>
      <c r="E297" s="160"/>
      <c r="F297" s="151"/>
      <c r="G297" s="151"/>
      <c r="H297" s="157">
        <f>SUMIF(PoleRates!$E$4:$E$131,"20140101"&amp;C297,PoleRates!$F$4:$F$131)</f>
        <v>3.47</v>
      </c>
      <c r="I297" s="259"/>
      <c r="J297" s="189">
        <v>45</v>
      </c>
      <c r="K297" s="258">
        <f t="shared" si="30"/>
        <v>156.15</v>
      </c>
    </row>
    <row r="298" spans="1:11" ht="12.75" thickBot="1">
      <c r="A298" s="146" t="s">
        <v>1272</v>
      </c>
      <c r="B298" s="146" t="s">
        <v>1117</v>
      </c>
      <c r="C298" s="146" t="s">
        <v>155</v>
      </c>
      <c r="D298" s="148">
        <f t="shared" si="31"/>
        <v>3</v>
      </c>
      <c r="E298" s="156"/>
      <c r="F298" s="149"/>
      <c r="G298" s="149"/>
      <c r="H298" s="157">
        <f>SUMIF(PoleRates!$E$4:$E$131,"20140101"&amp;C298,PoleRates!$F$4:$F$131)</f>
        <v>3.47</v>
      </c>
      <c r="I298" s="259"/>
      <c r="J298" s="189">
        <v>3</v>
      </c>
      <c r="K298" s="258">
        <f t="shared" si="30"/>
        <v>10.41</v>
      </c>
    </row>
    <row r="299" spans="1:11" ht="12.75" thickBot="1">
      <c r="A299" s="146" t="s">
        <v>1272</v>
      </c>
      <c r="B299" s="146" t="s">
        <v>498</v>
      </c>
      <c r="C299" s="147" t="s">
        <v>156</v>
      </c>
      <c r="D299" s="150">
        <f t="shared" si="31"/>
        <v>20</v>
      </c>
      <c r="E299" s="160"/>
      <c r="F299" s="151"/>
      <c r="G299" s="151"/>
      <c r="H299" s="157">
        <f>SUMIF(PoleRates!$E$4:$E$131,"20140101"&amp;C299,PoleRates!$F$4:$F$131)</f>
        <v>3.73</v>
      </c>
      <c r="I299" s="259"/>
      <c r="J299" s="189">
        <v>20</v>
      </c>
      <c r="K299" s="258">
        <f t="shared" si="30"/>
        <v>74.599999999999994</v>
      </c>
    </row>
    <row r="300" spans="1:11" ht="12.75" thickBot="1">
      <c r="A300" s="146" t="s">
        <v>1272</v>
      </c>
      <c r="B300" s="146" t="s">
        <v>1117</v>
      </c>
      <c r="C300" s="147" t="s">
        <v>156</v>
      </c>
      <c r="D300" s="148">
        <f t="shared" si="31"/>
        <v>70</v>
      </c>
      <c r="E300" s="156"/>
      <c r="F300" s="149"/>
      <c r="G300" s="149"/>
      <c r="H300" s="157">
        <f>SUMIF(PoleRates!$E$4:$E$131,"20140101"&amp;C300,PoleRates!$F$4:$F$131)</f>
        <v>3.73</v>
      </c>
      <c r="I300" s="259"/>
      <c r="J300" s="189">
        <v>70</v>
      </c>
      <c r="K300" s="258">
        <f t="shared" si="30"/>
        <v>261.10000000000002</v>
      </c>
    </row>
    <row r="301" spans="1:11" ht="12.75" thickBot="1">
      <c r="A301" s="146" t="s">
        <v>1272</v>
      </c>
      <c r="B301" s="146" t="s">
        <v>498</v>
      </c>
      <c r="C301" s="147" t="s">
        <v>160</v>
      </c>
      <c r="D301" s="150">
        <f t="shared" si="31"/>
        <v>1</v>
      </c>
      <c r="E301" s="160"/>
      <c r="F301" s="151"/>
      <c r="G301" s="151"/>
      <c r="H301" s="157">
        <f>SUMIF(PoleRates!$E$4:$E$131,"20140101"&amp;C301,PoleRates!$F$4:$F$131)</f>
        <v>3.56</v>
      </c>
      <c r="I301" s="259"/>
      <c r="J301" s="189">
        <v>1</v>
      </c>
      <c r="K301" s="258">
        <f t="shared" si="30"/>
        <v>3.56</v>
      </c>
    </row>
    <row r="302" spans="1:11" ht="12.75" thickBot="1">
      <c r="A302" s="146" t="s">
        <v>1272</v>
      </c>
      <c r="B302" s="146" t="s">
        <v>1117</v>
      </c>
      <c r="C302" s="147" t="s">
        <v>160</v>
      </c>
      <c r="D302" s="148">
        <f t="shared" si="31"/>
        <v>79</v>
      </c>
      <c r="E302" s="156"/>
      <c r="F302" s="149"/>
      <c r="G302" s="149"/>
      <c r="H302" s="157">
        <f>SUMIF(PoleRates!$E$4:$E$131,"20140101"&amp;C302,PoleRates!$F$4:$F$131)</f>
        <v>3.56</v>
      </c>
      <c r="I302" s="259"/>
      <c r="J302" s="189">
        <v>79</v>
      </c>
      <c r="K302" s="258">
        <f t="shared" si="30"/>
        <v>281.24</v>
      </c>
    </row>
    <row r="303" spans="1:11" ht="12.75" thickBot="1">
      <c r="A303" s="146" t="s">
        <v>1272</v>
      </c>
      <c r="B303" s="146" t="s">
        <v>498</v>
      </c>
      <c r="C303" s="146" t="s">
        <v>160</v>
      </c>
      <c r="D303" s="150">
        <f t="shared" si="31"/>
        <v>6</v>
      </c>
      <c r="E303" s="160"/>
      <c r="F303" s="151"/>
      <c r="G303" s="151"/>
      <c r="H303" s="157">
        <f>SUMIF(PoleRates!$E$4:$E$131,"20140101"&amp;C303,PoleRates!$F$4:$F$131)</f>
        <v>3.56</v>
      </c>
      <c r="I303" s="259"/>
      <c r="J303" s="189">
        <v>6</v>
      </c>
      <c r="K303" s="258">
        <f t="shared" si="30"/>
        <v>21.36</v>
      </c>
    </row>
    <row r="304" spans="1:11" ht="12.75" thickBot="1">
      <c r="A304" s="146" t="s">
        <v>1272</v>
      </c>
      <c r="B304" s="146" t="s">
        <v>1117</v>
      </c>
      <c r="C304" s="146" t="s">
        <v>160</v>
      </c>
      <c r="D304" s="148">
        <f t="shared" si="31"/>
        <v>60</v>
      </c>
      <c r="E304" s="156"/>
      <c r="F304" s="149"/>
      <c r="G304" s="149"/>
      <c r="H304" s="157">
        <f>SUMIF(PoleRates!$E$4:$E$131,"20140101"&amp;C304,PoleRates!$F$4:$F$131)</f>
        <v>3.56</v>
      </c>
      <c r="I304" s="259"/>
      <c r="J304" s="189">
        <v>60</v>
      </c>
      <c r="K304" s="258">
        <f t="shared" si="30"/>
        <v>213.6</v>
      </c>
    </row>
    <row r="305" spans="1:11" ht="12.75" thickBot="1">
      <c r="A305" s="146" t="s">
        <v>1272</v>
      </c>
      <c r="B305" s="146" t="s">
        <v>498</v>
      </c>
      <c r="C305" s="147" t="s">
        <v>162</v>
      </c>
      <c r="D305" s="150"/>
      <c r="E305" s="160"/>
      <c r="F305" s="151">
        <f>J305</f>
        <v>37</v>
      </c>
      <c r="G305" s="151"/>
      <c r="H305" s="157">
        <f>SUMIF(PoleRates!$E$4:$E$131,"20140101"&amp;C305,PoleRates!$F$4:$F$131)</f>
        <v>11.31</v>
      </c>
      <c r="I305" s="259"/>
      <c r="J305" s="189">
        <v>37</v>
      </c>
      <c r="K305" s="258">
        <f t="shared" si="30"/>
        <v>418.47</v>
      </c>
    </row>
    <row r="306" spans="1:11" ht="12.75" thickBot="1">
      <c r="A306" s="146" t="s">
        <v>1272</v>
      </c>
      <c r="B306" s="146" t="s">
        <v>1117</v>
      </c>
      <c r="C306" s="147" t="s">
        <v>162</v>
      </c>
      <c r="D306" s="149"/>
      <c r="E306" s="149"/>
      <c r="F306" s="148">
        <f>J306</f>
        <v>431</v>
      </c>
      <c r="G306" s="156"/>
      <c r="H306" s="157">
        <f>SUMIF(PoleRates!$E$4:$E$131,"20140101"&amp;C306,PoleRates!$F$4:$F$131)</f>
        <v>11.31</v>
      </c>
      <c r="I306" s="259"/>
      <c r="J306" s="189">
        <v>431</v>
      </c>
      <c r="K306" s="258">
        <f t="shared" si="30"/>
        <v>4874.6100000000006</v>
      </c>
    </row>
    <row r="307" spans="1:11" ht="12.75" thickBot="1">
      <c r="A307" s="146" t="s">
        <v>1272</v>
      </c>
      <c r="B307" s="234"/>
      <c r="C307" s="175" t="s">
        <v>7</v>
      </c>
      <c r="D307" s="176"/>
      <c r="E307" s="176"/>
      <c r="F307" s="176"/>
      <c r="G307" s="176"/>
      <c r="H307" s="177"/>
      <c r="I307" s="158"/>
    </row>
    <row r="308" spans="1:11">
      <c r="A308" s="180"/>
      <c r="B308" s="180"/>
      <c r="C308" s="178"/>
      <c r="D308" s="178"/>
      <c r="E308" s="179"/>
      <c r="F308" s="179"/>
      <c r="G308" s="179"/>
      <c r="H308" s="179"/>
    </row>
    <row r="309" spans="1:11">
      <c r="A309" s="180"/>
      <c r="B309" s="180"/>
      <c r="C309" s="178"/>
      <c r="D309" s="178"/>
      <c r="E309" s="179"/>
      <c r="F309" s="179"/>
      <c r="G309" s="179"/>
      <c r="H309" s="181"/>
    </row>
    <row r="310" spans="1:11">
      <c r="A310" s="180"/>
      <c r="B310" s="180"/>
      <c r="C310" s="178"/>
      <c r="D310" s="178"/>
      <c r="E310" s="179"/>
      <c r="F310" s="179"/>
      <c r="G310" s="179"/>
      <c r="H310" s="179"/>
    </row>
    <row r="311" spans="1:11">
      <c r="A311" s="180"/>
      <c r="B311" s="180"/>
      <c r="C311" s="178"/>
      <c r="D311" s="178"/>
      <c r="E311" s="179"/>
      <c r="F311" s="179"/>
      <c r="G311" s="179"/>
      <c r="H311" s="179"/>
    </row>
    <row r="312" spans="1:11">
      <c r="A312" s="180"/>
      <c r="B312" s="180"/>
      <c r="C312" s="178"/>
      <c r="D312" s="178"/>
      <c r="E312" s="179"/>
      <c r="F312" s="179"/>
      <c r="G312" s="179"/>
      <c r="H312" s="179"/>
    </row>
    <row r="313" spans="1:11">
      <c r="A313" s="180"/>
      <c r="B313" s="180"/>
      <c r="C313" s="178"/>
      <c r="D313" s="178"/>
      <c r="E313" s="179"/>
      <c r="F313" s="181"/>
      <c r="G313" s="179"/>
      <c r="H313" s="179"/>
    </row>
    <row r="314" spans="1:11">
      <c r="A314" s="180"/>
      <c r="B314" s="180"/>
      <c r="C314" s="178"/>
      <c r="D314" s="178"/>
      <c r="E314" s="179"/>
      <c r="F314" s="181"/>
      <c r="G314" s="179"/>
      <c r="H314" s="179"/>
    </row>
    <row r="315" spans="1:11">
      <c r="A315" s="180"/>
      <c r="B315" s="180"/>
      <c r="C315" s="178"/>
      <c r="D315" s="178"/>
      <c r="E315" s="179"/>
      <c r="F315" s="179"/>
      <c r="G315" s="179"/>
      <c r="H315" s="179"/>
    </row>
    <row r="316" spans="1:11">
      <c r="A316" s="180"/>
      <c r="B316" s="180"/>
      <c r="C316" s="178"/>
      <c r="D316" s="178"/>
      <c r="E316" s="179"/>
      <c r="F316" s="179"/>
      <c r="G316" s="179"/>
      <c r="H316" s="181"/>
    </row>
    <row r="317" spans="1:11">
      <c r="A317" s="180"/>
      <c r="B317" s="180"/>
      <c r="C317" s="178"/>
      <c r="D317" s="178"/>
      <c r="E317" s="179"/>
      <c r="F317" s="181"/>
      <c r="G317" s="179"/>
      <c r="H317" s="179"/>
    </row>
    <row r="318" spans="1:11">
      <c r="A318" s="180"/>
      <c r="B318" s="180"/>
      <c r="C318" s="178"/>
      <c r="D318" s="178"/>
      <c r="E318" s="179"/>
      <c r="F318" s="181"/>
      <c r="G318" s="181"/>
      <c r="H318" s="181"/>
    </row>
    <row r="319" spans="1:11">
      <c r="A319" s="180"/>
      <c r="B319" s="180"/>
      <c r="C319" s="178"/>
      <c r="D319" s="178"/>
      <c r="E319" s="179"/>
      <c r="F319" s="181"/>
      <c r="G319" s="181"/>
      <c r="H319" s="181"/>
    </row>
    <row r="320" spans="1:11">
      <c r="A320" s="180"/>
      <c r="B320" s="180"/>
      <c r="C320" s="178"/>
      <c r="D320" s="178"/>
      <c r="E320" s="179"/>
      <c r="F320" s="181"/>
      <c r="G320" s="181"/>
      <c r="H320" s="181"/>
    </row>
    <row r="321" spans="1:8">
      <c r="A321" s="180"/>
      <c r="B321" s="180"/>
      <c r="C321" s="178"/>
      <c r="D321" s="178"/>
      <c r="E321" s="179"/>
      <c r="F321" s="179"/>
      <c r="G321" s="179"/>
      <c r="H321" s="179"/>
    </row>
    <row r="322" spans="1:8">
      <c r="A322" s="180"/>
      <c r="B322" s="180"/>
      <c r="C322" s="178"/>
      <c r="D322" s="178"/>
      <c r="E322" s="179"/>
      <c r="F322" s="179"/>
      <c r="G322" s="179"/>
      <c r="H322" s="179"/>
    </row>
    <row r="323" spans="1:8">
      <c r="A323" s="180"/>
      <c r="B323" s="180"/>
      <c r="C323" s="178"/>
      <c r="D323" s="178"/>
      <c r="E323" s="179"/>
      <c r="F323" s="179"/>
      <c r="G323" s="179"/>
      <c r="H323" s="179"/>
    </row>
    <row r="324" spans="1:8">
      <c r="A324" s="180"/>
      <c r="B324" s="180"/>
      <c r="C324" s="178"/>
      <c r="D324" s="178"/>
      <c r="E324" s="179"/>
      <c r="F324" s="179"/>
      <c r="G324" s="179"/>
      <c r="H324" s="179"/>
    </row>
    <row r="325" spans="1:8">
      <c r="A325" s="180"/>
      <c r="B325" s="180"/>
      <c r="C325" s="178"/>
      <c r="D325" s="178"/>
      <c r="E325" s="179"/>
      <c r="F325" s="179"/>
      <c r="G325" s="179"/>
      <c r="H325" s="179"/>
    </row>
    <row r="326" spans="1:8">
      <c r="A326" s="180"/>
      <c r="B326" s="180"/>
      <c r="C326" s="182"/>
      <c r="D326" s="182"/>
      <c r="E326" s="179"/>
      <c r="F326" s="179"/>
      <c r="G326" s="179"/>
      <c r="H326" s="179"/>
    </row>
    <row r="327" spans="1:8">
      <c r="A327" s="183"/>
      <c r="B327" s="183"/>
      <c r="C327" s="183"/>
      <c r="D327" s="181"/>
      <c r="E327" s="178"/>
      <c r="F327" s="178"/>
      <c r="G327" s="178"/>
      <c r="H327" s="178"/>
    </row>
    <row r="328" spans="1:8">
      <c r="A328" s="178"/>
      <c r="B328" s="178"/>
      <c r="C328" s="178"/>
      <c r="D328" s="184"/>
      <c r="E328" s="181"/>
      <c r="F328" s="181"/>
      <c r="G328" s="181"/>
      <c r="H328" s="181"/>
    </row>
    <row r="329" spans="1:8">
      <c r="A329" s="178"/>
      <c r="B329" s="178"/>
      <c r="C329" s="178"/>
      <c r="D329" s="178"/>
      <c r="E329" s="179"/>
      <c r="F329" s="181"/>
      <c r="G329" s="179"/>
      <c r="H329" s="179"/>
    </row>
    <row r="330" spans="1:8">
      <c r="A330" s="178"/>
      <c r="B330" s="178"/>
      <c r="C330" s="178"/>
      <c r="D330" s="178"/>
      <c r="E330" s="179"/>
      <c r="F330" s="179"/>
      <c r="G330" s="179"/>
      <c r="H330" s="179"/>
    </row>
    <row r="331" spans="1:8">
      <c r="A331" s="178"/>
      <c r="B331" s="178"/>
      <c r="C331" s="178"/>
      <c r="D331" s="178"/>
      <c r="E331" s="179"/>
      <c r="F331" s="179"/>
      <c r="G331" s="179"/>
      <c r="H331" s="179"/>
    </row>
    <row r="332" spans="1:8">
      <c r="A332" s="178"/>
      <c r="B332" s="178"/>
      <c r="C332" s="178"/>
      <c r="D332" s="178"/>
      <c r="E332" s="179"/>
      <c r="F332" s="181"/>
      <c r="G332" s="179"/>
      <c r="H332" s="179"/>
    </row>
    <row r="333" spans="1:8">
      <c r="A333" s="178"/>
      <c r="B333" s="178"/>
      <c r="C333" s="178"/>
      <c r="D333" s="178"/>
      <c r="E333" s="179"/>
      <c r="F333" s="179"/>
      <c r="G333" s="179"/>
      <c r="H333" s="179"/>
    </row>
    <row r="334" spans="1:8">
      <c r="A334" s="178"/>
      <c r="B334" s="178"/>
      <c r="C334" s="178"/>
      <c r="D334" s="178"/>
      <c r="E334" s="179"/>
      <c r="F334" s="179"/>
      <c r="G334" s="179"/>
      <c r="H334" s="179"/>
    </row>
    <row r="335" spans="1:8">
      <c r="A335" s="178"/>
      <c r="B335" s="178"/>
      <c r="C335" s="178"/>
      <c r="D335" s="178"/>
      <c r="E335" s="179"/>
      <c r="F335" s="179"/>
      <c r="G335" s="179"/>
      <c r="H335" s="179"/>
    </row>
    <row r="336" spans="1:8">
      <c r="A336" s="178"/>
      <c r="B336" s="178"/>
      <c r="C336" s="178"/>
      <c r="D336" s="178"/>
      <c r="E336" s="179"/>
      <c r="F336" s="179"/>
      <c r="G336" s="179"/>
      <c r="H336" s="179"/>
    </row>
    <row r="337" spans="1:8">
      <c r="A337" s="178"/>
      <c r="B337" s="178"/>
      <c r="C337" s="178"/>
      <c r="D337" s="178"/>
      <c r="E337" s="179"/>
      <c r="F337" s="179"/>
      <c r="G337" s="179"/>
      <c r="H337" s="181"/>
    </row>
    <row r="338" spans="1:8">
      <c r="A338" s="178"/>
      <c r="B338" s="178"/>
      <c r="C338" s="178"/>
      <c r="D338" s="178"/>
      <c r="E338" s="179"/>
      <c r="F338" s="179"/>
      <c r="G338" s="179"/>
      <c r="H338" s="179"/>
    </row>
    <row r="339" spans="1:8">
      <c r="A339" s="178"/>
      <c r="B339" s="178"/>
      <c r="C339" s="178"/>
      <c r="D339" s="178"/>
      <c r="E339" s="179"/>
      <c r="F339" s="179"/>
      <c r="G339" s="179"/>
      <c r="H339" s="179"/>
    </row>
    <row r="340" spans="1:8">
      <c r="A340" s="178"/>
      <c r="B340" s="178"/>
      <c r="C340" s="178"/>
      <c r="D340" s="178"/>
      <c r="E340" s="179"/>
      <c r="F340" s="179"/>
      <c r="G340" s="179"/>
      <c r="H340" s="179"/>
    </row>
    <row r="341" spans="1:8">
      <c r="A341" s="178"/>
      <c r="B341" s="178"/>
      <c r="C341" s="178"/>
      <c r="D341" s="178"/>
      <c r="E341" s="179"/>
      <c r="F341" s="181"/>
      <c r="G341" s="179"/>
      <c r="H341" s="179"/>
    </row>
    <row r="342" spans="1:8">
      <c r="A342" s="178"/>
      <c r="B342" s="178"/>
      <c r="C342" s="178"/>
      <c r="D342" s="178"/>
      <c r="E342" s="179"/>
      <c r="F342" s="181"/>
      <c r="G342" s="179"/>
      <c r="H342" s="179"/>
    </row>
    <row r="343" spans="1:8">
      <c r="A343" s="178"/>
      <c r="B343" s="178"/>
      <c r="C343" s="178"/>
      <c r="D343" s="178"/>
      <c r="E343" s="179"/>
      <c r="F343" s="179"/>
      <c r="G343" s="179"/>
      <c r="H343" s="179"/>
    </row>
    <row r="344" spans="1:8">
      <c r="A344" s="178"/>
      <c r="B344" s="178"/>
      <c r="C344" s="178"/>
      <c r="D344" s="178"/>
      <c r="E344" s="179"/>
      <c r="F344" s="179"/>
      <c r="G344" s="179"/>
      <c r="H344" s="181"/>
    </row>
    <row r="345" spans="1:8">
      <c r="A345" s="178"/>
      <c r="B345" s="178"/>
      <c r="C345" s="178"/>
      <c r="D345" s="178"/>
      <c r="E345" s="179"/>
      <c r="F345" s="181"/>
      <c r="G345" s="179"/>
      <c r="H345" s="179"/>
    </row>
    <row r="346" spans="1:8">
      <c r="A346" s="178"/>
      <c r="B346" s="178"/>
      <c r="C346" s="178"/>
      <c r="D346" s="178"/>
      <c r="E346" s="179"/>
      <c r="F346" s="181"/>
      <c r="G346" s="181"/>
      <c r="H346" s="181"/>
    </row>
    <row r="347" spans="1:8">
      <c r="A347" s="178"/>
      <c r="B347" s="178"/>
      <c r="C347" s="178"/>
      <c r="D347" s="178"/>
      <c r="E347" s="179"/>
      <c r="F347" s="181"/>
      <c r="G347" s="181"/>
      <c r="H347" s="181"/>
    </row>
    <row r="348" spans="1:8">
      <c r="A348" s="178"/>
      <c r="B348" s="178"/>
      <c r="C348" s="178"/>
      <c r="D348" s="178"/>
      <c r="E348" s="179"/>
      <c r="F348" s="181"/>
      <c r="G348" s="181"/>
      <c r="H348" s="181"/>
    </row>
    <row r="349" spans="1:8">
      <c r="A349" s="178"/>
      <c r="B349" s="178"/>
      <c r="C349" s="178"/>
      <c r="D349" s="178"/>
      <c r="E349" s="179"/>
      <c r="F349" s="179"/>
      <c r="G349" s="179"/>
      <c r="H349" s="179"/>
    </row>
    <row r="350" spans="1:8">
      <c r="A350" s="178"/>
      <c r="B350" s="178"/>
      <c r="C350" s="178"/>
      <c r="D350" s="178"/>
      <c r="E350" s="179"/>
      <c r="F350" s="179"/>
      <c r="G350" s="179"/>
      <c r="H350" s="179"/>
    </row>
    <row r="351" spans="1:8">
      <c r="A351" s="178"/>
      <c r="B351" s="178"/>
      <c r="C351" s="178"/>
      <c r="D351" s="178"/>
      <c r="E351" s="179"/>
      <c r="F351" s="179"/>
      <c r="G351" s="179"/>
      <c r="H351" s="179"/>
    </row>
    <row r="352" spans="1:8">
      <c r="A352" s="178"/>
      <c r="B352" s="178"/>
      <c r="C352" s="178"/>
      <c r="D352" s="178"/>
      <c r="E352" s="179"/>
      <c r="F352" s="179"/>
      <c r="G352" s="179"/>
      <c r="H352" s="179"/>
    </row>
    <row r="353" spans="1:8">
      <c r="A353" s="178"/>
      <c r="B353" s="178"/>
      <c r="C353" s="178"/>
      <c r="D353" s="178"/>
      <c r="E353" s="179"/>
      <c r="F353" s="179"/>
      <c r="G353" s="179"/>
      <c r="H353" s="179"/>
    </row>
    <row r="354" spans="1:8">
      <c r="A354" s="178"/>
      <c r="B354" s="178"/>
      <c r="C354" s="182"/>
      <c r="D354" s="182"/>
      <c r="E354" s="179"/>
      <c r="F354" s="179"/>
      <c r="G354" s="179"/>
      <c r="H354" s="179"/>
    </row>
    <row r="355" spans="1:8">
      <c r="A355" s="183"/>
      <c r="B355" s="183"/>
      <c r="C355" s="183"/>
      <c r="D355" s="181"/>
      <c r="E355" s="178"/>
      <c r="F355" s="178"/>
      <c r="G355" s="178"/>
      <c r="H355" s="178"/>
    </row>
    <row r="356" spans="1:8">
      <c r="A356" s="178"/>
      <c r="B356" s="178"/>
      <c r="C356" s="178"/>
      <c r="D356" s="184"/>
      <c r="E356" s="181"/>
      <c r="F356" s="181"/>
      <c r="G356" s="181"/>
      <c r="H356" s="181"/>
    </row>
    <row r="357" spans="1:8">
      <c r="A357" s="178"/>
      <c r="B357" s="178"/>
      <c r="C357" s="178"/>
      <c r="D357" s="178"/>
      <c r="E357" s="179"/>
      <c r="F357" s="181"/>
      <c r="G357" s="179"/>
      <c r="H357" s="179"/>
    </row>
    <row r="358" spans="1:8">
      <c r="A358" s="178"/>
      <c r="B358" s="178"/>
      <c r="C358" s="178"/>
      <c r="D358" s="178"/>
      <c r="E358" s="179"/>
      <c r="F358" s="179"/>
      <c r="G358" s="179"/>
      <c r="H358" s="179"/>
    </row>
    <row r="359" spans="1:8">
      <c r="A359" s="178"/>
      <c r="B359" s="178"/>
      <c r="C359" s="178"/>
      <c r="D359" s="178"/>
      <c r="E359" s="179"/>
      <c r="F359" s="179"/>
      <c r="G359" s="179"/>
      <c r="H359" s="179"/>
    </row>
    <row r="360" spans="1:8">
      <c r="A360" s="178"/>
      <c r="B360" s="178"/>
      <c r="C360" s="178"/>
      <c r="D360" s="178"/>
      <c r="E360" s="179"/>
      <c r="F360" s="181"/>
      <c r="G360" s="179"/>
      <c r="H360" s="179"/>
    </row>
    <row r="361" spans="1:8">
      <c r="A361" s="178"/>
      <c r="B361" s="178"/>
      <c r="C361" s="178"/>
      <c r="D361" s="178"/>
      <c r="E361" s="179"/>
      <c r="F361" s="179"/>
      <c r="G361" s="179"/>
      <c r="H361" s="179"/>
    </row>
    <row r="362" spans="1:8">
      <c r="A362" s="178"/>
      <c r="B362" s="178"/>
      <c r="C362" s="178"/>
      <c r="D362" s="178"/>
      <c r="E362" s="179"/>
      <c r="F362" s="179"/>
      <c r="G362" s="179"/>
      <c r="H362" s="179"/>
    </row>
    <row r="363" spans="1:8">
      <c r="A363" s="178"/>
      <c r="B363" s="178"/>
      <c r="C363" s="178"/>
      <c r="D363" s="178"/>
      <c r="E363" s="179"/>
      <c r="F363" s="179"/>
      <c r="G363" s="179"/>
      <c r="H363" s="179"/>
    </row>
    <row r="364" spans="1:8">
      <c r="A364" s="178"/>
      <c r="B364" s="178"/>
      <c r="C364" s="178"/>
      <c r="D364" s="178"/>
      <c r="E364" s="179"/>
      <c r="F364" s="179"/>
      <c r="G364" s="179"/>
      <c r="H364" s="179"/>
    </row>
    <row r="365" spans="1:8">
      <c r="A365" s="178"/>
      <c r="B365" s="178"/>
      <c r="C365" s="178"/>
      <c r="D365" s="178"/>
      <c r="E365" s="179"/>
      <c r="F365" s="179"/>
      <c r="G365" s="179"/>
      <c r="H365" s="181"/>
    </row>
    <row r="366" spans="1:8">
      <c r="A366" s="178"/>
      <c r="B366" s="178"/>
      <c r="C366" s="178"/>
      <c r="D366" s="178"/>
      <c r="E366" s="179"/>
      <c r="F366" s="179"/>
      <c r="G366" s="179"/>
      <c r="H366" s="179"/>
    </row>
    <row r="367" spans="1:8">
      <c r="A367" s="178"/>
      <c r="B367" s="178"/>
      <c r="C367" s="178"/>
      <c r="D367" s="178"/>
      <c r="E367" s="179"/>
      <c r="F367" s="179"/>
      <c r="G367" s="179"/>
      <c r="H367" s="179"/>
    </row>
    <row r="368" spans="1:8">
      <c r="A368" s="178"/>
      <c r="B368" s="178"/>
      <c r="C368" s="178"/>
      <c r="D368" s="178"/>
      <c r="E368" s="179"/>
      <c r="F368" s="179"/>
      <c r="G368" s="179"/>
      <c r="H368" s="179"/>
    </row>
    <row r="369" spans="1:8">
      <c r="A369" s="178"/>
      <c r="B369" s="178"/>
      <c r="C369" s="178"/>
      <c r="D369" s="178"/>
      <c r="E369" s="179"/>
      <c r="F369" s="181"/>
      <c r="G369" s="179"/>
      <c r="H369" s="179"/>
    </row>
    <row r="370" spans="1:8">
      <c r="A370" s="178"/>
      <c r="B370" s="178"/>
      <c r="C370" s="178"/>
      <c r="D370" s="178"/>
      <c r="E370" s="179"/>
      <c r="F370" s="181"/>
      <c r="G370" s="179"/>
      <c r="H370" s="179"/>
    </row>
    <row r="371" spans="1:8">
      <c r="A371" s="178"/>
      <c r="B371" s="178"/>
      <c r="C371" s="178"/>
      <c r="D371" s="178"/>
      <c r="E371" s="179"/>
      <c r="F371" s="179"/>
      <c r="G371" s="179"/>
      <c r="H371" s="179"/>
    </row>
    <row r="372" spans="1:8">
      <c r="A372" s="178"/>
      <c r="B372" s="178"/>
      <c r="C372" s="178"/>
      <c r="D372" s="178"/>
      <c r="E372" s="179"/>
      <c r="F372" s="179"/>
      <c r="G372" s="179"/>
      <c r="H372" s="181"/>
    </row>
    <row r="373" spans="1:8">
      <c r="A373" s="178"/>
      <c r="B373" s="178"/>
      <c r="C373" s="178"/>
      <c r="D373" s="178"/>
      <c r="E373" s="179"/>
      <c r="F373" s="181"/>
      <c r="G373" s="179"/>
      <c r="H373" s="179"/>
    </row>
    <row r="374" spans="1:8">
      <c r="A374" s="178"/>
      <c r="B374" s="178"/>
      <c r="C374" s="178"/>
      <c r="D374" s="178"/>
      <c r="E374" s="179"/>
      <c r="F374" s="181"/>
      <c r="G374" s="181"/>
      <c r="H374" s="181"/>
    </row>
    <row r="375" spans="1:8">
      <c r="A375" s="178"/>
      <c r="B375" s="178"/>
      <c r="C375" s="178"/>
      <c r="D375" s="178"/>
      <c r="E375" s="179"/>
      <c r="F375" s="181"/>
      <c r="G375" s="181"/>
      <c r="H375" s="181"/>
    </row>
    <row r="376" spans="1:8">
      <c r="A376" s="178"/>
      <c r="B376" s="178"/>
      <c r="C376" s="178"/>
      <c r="D376" s="178"/>
      <c r="E376" s="179"/>
      <c r="F376" s="181"/>
      <c r="G376" s="181"/>
      <c r="H376" s="181"/>
    </row>
    <row r="377" spans="1:8">
      <c r="A377" s="178"/>
      <c r="B377" s="178"/>
      <c r="C377" s="178"/>
      <c r="D377" s="178"/>
      <c r="E377" s="179"/>
      <c r="F377" s="179"/>
      <c r="G377" s="179"/>
      <c r="H377" s="179"/>
    </row>
    <row r="378" spans="1:8">
      <c r="A378" s="178"/>
      <c r="B378" s="178"/>
      <c r="C378" s="178"/>
      <c r="D378" s="178"/>
      <c r="E378" s="179"/>
      <c r="F378" s="179"/>
      <c r="G378" s="179"/>
      <c r="H378" s="179"/>
    </row>
    <row r="379" spans="1:8">
      <c r="A379" s="178"/>
      <c r="B379" s="178"/>
      <c r="C379" s="178"/>
      <c r="D379" s="178"/>
      <c r="E379" s="179"/>
      <c r="F379" s="179"/>
      <c r="G379" s="179"/>
      <c r="H379" s="179"/>
    </row>
    <row r="380" spans="1:8">
      <c r="A380" s="178"/>
      <c r="B380" s="178"/>
      <c r="C380" s="178"/>
      <c r="D380" s="178"/>
      <c r="E380" s="179"/>
      <c r="F380" s="179"/>
      <c r="G380" s="179"/>
      <c r="H380" s="179"/>
    </row>
    <row r="381" spans="1:8">
      <c r="A381" s="178"/>
      <c r="B381" s="178"/>
      <c r="C381" s="178"/>
      <c r="D381" s="178"/>
      <c r="E381" s="179"/>
      <c r="F381" s="179"/>
      <c r="G381" s="179"/>
      <c r="H381" s="179"/>
    </row>
    <row r="382" spans="1:8">
      <c r="A382" s="178"/>
      <c r="B382" s="178"/>
      <c r="C382" s="182"/>
      <c r="D382" s="182"/>
      <c r="E382" s="179"/>
      <c r="F382" s="179"/>
      <c r="G382" s="179"/>
      <c r="H382" s="179"/>
    </row>
    <row r="383" spans="1:8">
      <c r="A383" s="183"/>
      <c r="B383" s="183"/>
      <c r="C383" s="183"/>
      <c r="D383" s="181"/>
      <c r="E383" s="178"/>
      <c r="F383" s="178"/>
      <c r="G383" s="178"/>
      <c r="H383" s="178"/>
    </row>
    <row r="384" spans="1:8">
      <c r="A384" s="178"/>
      <c r="B384" s="178"/>
      <c r="C384" s="178"/>
      <c r="D384" s="184"/>
      <c r="E384" s="181"/>
      <c r="F384" s="181"/>
      <c r="G384" s="181"/>
      <c r="H384" s="181"/>
    </row>
    <row r="385" spans="1:8">
      <c r="A385" s="178"/>
      <c r="B385" s="178"/>
      <c r="C385" s="178"/>
      <c r="D385" s="178"/>
      <c r="E385" s="179"/>
      <c r="F385" s="181"/>
      <c r="G385" s="179"/>
      <c r="H385" s="179"/>
    </row>
    <row r="386" spans="1:8">
      <c r="A386" s="178"/>
      <c r="B386" s="178"/>
      <c r="C386" s="178"/>
      <c r="D386" s="178"/>
      <c r="E386" s="179"/>
      <c r="F386" s="179"/>
      <c r="G386" s="179"/>
      <c r="H386" s="179"/>
    </row>
    <row r="387" spans="1:8">
      <c r="A387" s="178"/>
      <c r="B387" s="178"/>
      <c r="C387" s="178"/>
      <c r="D387" s="178"/>
      <c r="E387" s="179"/>
      <c r="F387" s="179"/>
      <c r="G387" s="179"/>
      <c r="H387" s="179"/>
    </row>
    <row r="388" spans="1:8">
      <c r="A388" s="178"/>
      <c r="B388" s="178"/>
      <c r="C388" s="178"/>
      <c r="D388" s="178"/>
      <c r="E388" s="179"/>
      <c r="F388" s="181"/>
      <c r="G388" s="179"/>
      <c r="H388" s="179"/>
    </row>
    <row r="389" spans="1:8">
      <c r="A389" s="178"/>
      <c r="B389" s="178"/>
      <c r="C389" s="178"/>
      <c r="D389" s="178"/>
      <c r="E389" s="179"/>
      <c r="F389" s="179"/>
      <c r="G389" s="179"/>
      <c r="H389" s="179"/>
    </row>
    <row r="390" spans="1:8">
      <c r="A390" s="178"/>
      <c r="B390" s="178"/>
      <c r="C390" s="178"/>
      <c r="D390" s="178"/>
      <c r="E390" s="179"/>
      <c r="F390" s="179"/>
      <c r="G390" s="179"/>
      <c r="H390" s="179"/>
    </row>
    <row r="391" spans="1:8">
      <c r="A391" s="178"/>
      <c r="B391" s="178"/>
      <c r="C391" s="178"/>
      <c r="D391" s="178"/>
      <c r="E391" s="179"/>
      <c r="F391" s="179"/>
      <c r="G391" s="179"/>
      <c r="H391" s="179"/>
    </row>
    <row r="392" spans="1:8">
      <c r="A392" s="178"/>
      <c r="B392" s="178"/>
      <c r="C392" s="178"/>
      <c r="D392" s="178"/>
      <c r="E392" s="179"/>
      <c r="F392" s="179"/>
      <c r="G392" s="179"/>
      <c r="H392" s="179"/>
    </row>
    <row r="393" spans="1:8">
      <c r="A393" s="178"/>
      <c r="B393" s="178"/>
      <c r="C393" s="178"/>
      <c r="D393" s="178"/>
      <c r="E393" s="179"/>
      <c r="F393" s="179"/>
      <c r="G393" s="179"/>
      <c r="H393" s="181"/>
    </row>
    <row r="394" spans="1:8">
      <c r="A394" s="178"/>
      <c r="B394" s="178"/>
      <c r="C394" s="178"/>
      <c r="D394" s="178"/>
      <c r="E394" s="179"/>
      <c r="F394" s="179"/>
      <c r="G394" s="179"/>
      <c r="H394" s="179"/>
    </row>
    <row r="395" spans="1:8">
      <c r="A395" s="178"/>
      <c r="B395" s="178"/>
      <c r="C395" s="178"/>
      <c r="D395" s="178"/>
      <c r="E395" s="179"/>
      <c r="F395" s="179"/>
      <c r="G395" s="179"/>
      <c r="H395" s="179"/>
    </row>
    <row r="396" spans="1:8">
      <c r="A396" s="178"/>
      <c r="B396" s="178"/>
      <c r="C396" s="178"/>
      <c r="D396" s="178"/>
      <c r="E396" s="179"/>
      <c r="F396" s="179"/>
      <c r="G396" s="179"/>
      <c r="H396" s="179"/>
    </row>
    <row r="397" spans="1:8">
      <c r="A397" s="178"/>
      <c r="B397" s="178"/>
      <c r="C397" s="178"/>
      <c r="D397" s="178"/>
      <c r="E397" s="179"/>
      <c r="F397" s="179"/>
      <c r="G397" s="179"/>
      <c r="H397" s="179"/>
    </row>
    <row r="398" spans="1:8">
      <c r="A398" s="178"/>
      <c r="B398" s="178"/>
      <c r="C398" s="178"/>
      <c r="D398" s="178"/>
      <c r="E398" s="179"/>
      <c r="F398" s="179"/>
      <c r="G398" s="179"/>
      <c r="H398" s="181"/>
    </row>
    <row r="399" spans="1:8">
      <c r="A399" s="178"/>
      <c r="B399" s="178"/>
      <c r="C399" s="178"/>
      <c r="D399" s="178"/>
      <c r="E399" s="179"/>
      <c r="F399" s="181"/>
      <c r="G399" s="179"/>
      <c r="H399" s="179"/>
    </row>
    <row r="400" spans="1:8">
      <c r="A400" s="178"/>
      <c r="B400" s="178"/>
      <c r="C400" s="178"/>
      <c r="D400" s="178"/>
      <c r="E400" s="179"/>
      <c r="F400" s="179"/>
      <c r="G400" s="179"/>
      <c r="H400" s="179"/>
    </row>
    <row r="401" spans="1:8">
      <c r="A401" s="178"/>
      <c r="B401" s="178"/>
      <c r="C401" s="178"/>
      <c r="D401" s="178"/>
      <c r="E401" s="179"/>
      <c r="F401" s="179"/>
      <c r="G401" s="179"/>
      <c r="H401" s="181"/>
    </row>
    <row r="402" spans="1:8">
      <c r="A402" s="178"/>
      <c r="B402" s="178"/>
      <c r="C402" s="178"/>
      <c r="D402" s="178"/>
      <c r="E402" s="179"/>
      <c r="F402" s="181"/>
      <c r="G402" s="179"/>
      <c r="H402" s="179"/>
    </row>
    <row r="403" spans="1:8">
      <c r="A403" s="178"/>
      <c r="B403" s="178"/>
      <c r="C403" s="178"/>
      <c r="D403" s="178"/>
      <c r="E403" s="179"/>
      <c r="F403" s="181"/>
      <c r="G403" s="181"/>
      <c r="H403" s="181"/>
    </row>
    <row r="404" spans="1:8">
      <c r="A404" s="178"/>
      <c r="B404" s="178"/>
      <c r="C404" s="178"/>
      <c r="D404" s="178"/>
      <c r="E404" s="179"/>
      <c r="F404" s="181"/>
      <c r="G404" s="181"/>
      <c r="H404" s="181"/>
    </row>
    <row r="405" spans="1:8">
      <c r="A405" s="178"/>
      <c r="B405" s="178"/>
      <c r="C405" s="178"/>
      <c r="D405" s="178"/>
      <c r="E405" s="179"/>
      <c r="F405" s="181"/>
      <c r="G405" s="181"/>
      <c r="H405" s="181"/>
    </row>
    <row r="406" spans="1:8">
      <c r="A406" s="178"/>
      <c r="B406" s="178"/>
      <c r="C406" s="178"/>
      <c r="D406" s="178"/>
      <c r="E406" s="179"/>
      <c r="F406" s="179"/>
      <c r="G406" s="179"/>
      <c r="H406" s="179"/>
    </row>
    <row r="407" spans="1:8">
      <c r="A407" s="178"/>
      <c r="B407" s="178"/>
      <c r="C407" s="178"/>
      <c r="D407" s="178"/>
      <c r="E407" s="179"/>
      <c r="F407" s="179"/>
      <c r="G407" s="179"/>
      <c r="H407" s="179"/>
    </row>
    <row r="408" spans="1:8">
      <c r="A408" s="178"/>
      <c r="B408" s="178"/>
      <c r="C408" s="178"/>
      <c r="D408" s="178"/>
      <c r="E408" s="179"/>
      <c r="F408" s="179"/>
      <c r="G408" s="179"/>
      <c r="H408" s="179"/>
    </row>
    <row r="409" spans="1:8">
      <c r="A409" s="178"/>
      <c r="B409" s="178"/>
      <c r="C409" s="178"/>
      <c r="D409" s="178"/>
      <c r="E409" s="179"/>
      <c r="F409" s="179"/>
      <c r="G409" s="179"/>
      <c r="H409" s="179"/>
    </row>
    <row r="410" spans="1:8">
      <c r="A410" s="178"/>
      <c r="B410" s="178"/>
      <c r="C410" s="178"/>
      <c r="D410" s="178"/>
      <c r="E410" s="179"/>
      <c r="F410" s="179"/>
      <c r="G410" s="179"/>
      <c r="H410" s="179"/>
    </row>
    <row r="411" spans="1:8">
      <c r="A411" s="178"/>
      <c r="B411" s="178"/>
      <c r="C411" s="182"/>
      <c r="D411" s="182"/>
      <c r="E411" s="179"/>
      <c r="F411" s="179"/>
      <c r="G411" s="179"/>
      <c r="H411" s="179"/>
    </row>
    <row r="412" spans="1:8">
      <c r="A412" s="183"/>
      <c r="B412" s="183"/>
      <c r="C412" s="183"/>
      <c r="D412" s="181"/>
      <c r="E412" s="178"/>
      <c r="F412" s="178"/>
      <c r="G412" s="178"/>
      <c r="H412" s="178"/>
    </row>
    <row r="413" spans="1:8">
      <c r="A413" s="178"/>
      <c r="B413" s="178"/>
      <c r="C413" s="178"/>
      <c r="D413" s="184"/>
      <c r="E413" s="181"/>
      <c r="F413" s="181"/>
      <c r="G413" s="181"/>
      <c r="H413" s="181"/>
    </row>
    <row r="414" spans="1:8">
      <c r="A414" s="178"/>
      <c r="B414" s="178"/>
      <c r="C414" s="178"/>
      <c r="D414" s="178"/>
      <c r="E414" s="179"/>
      <c r="F414" s="181"/>
      <c r="G414" s="179"/>
      <c r="H414" s="179"/>
    </row>
    <row r="415" spans="1:8">
      <c r="A415" s="178"/>
      <c r="B415" s="178"/>
      <c r="C415" s="178"/>
      <c r="D415" s="178"/>
      <c r="E415" s="179"/>
      <c r="F415" s="179"/>
      <c r="G415" s="179"/>
      <c r="H415" s="179"/>
    </row>
    <row r="416" spans="1:8">
      <c r="A416" s="178"/>
      <c r="B416" s="178"/>
      <c r="C416" s="178"/>
      <c r="D416" s="178"/>
      <c r="E416" s="179"/>
      <c r="F416" s="179"/>
      <c r="G416" s="179"/>
      <c r="H416" s="179"/>
    </row>
    <row r="417" spans="1:8">
      <c r="A417" s="178"/>
      <c r="B417" s="178"/>
      <c r="C417" s="178"/>
      <c r="D417" s="178"/>
      <c r="E417" s="179"/>
      <c r="F417" s="179"/>
      <c r="G417" s="179"/>
      <c r="H417" s="179"/>
    </row>
    <row r="418" spans="1:8">
      <c r="A418" s="178"/>
      <c r="B418" s="178"/>
      <c r="C418" s="178"/>
      <c r="D418" s="178"/>
      <c r="E418" s="179"/>
      <c r="F418" s="179"/>
      <c r="G418" s="179"/>
      <c r="H418" s="179"/>
    </row>
    <row r="419" spans="1:8">
      <c r="A419" s="178"/>
      <c r="B419" s="178"/>
      <c r="C419" s="178"/>
      <c r="D419" s="178"/>
      <c r="E419" s="179"/>
      <c r="F419" s="179"/>
      <c r="G419" s="179"/>
      <c r="H419" s="179"/>
    </row>
    <row r="420" spans="1:8">
      <c r="A420" s="178"/>
      <c r="B420" s="178"/>
      <c r="C420" s="178"/>
      <c r="D420" s="178"/>
      <c r="E420" s="179"/>
      <c r="F420" s="179"/>
      <c r="G420" s="179"/>
      <c r="H420" s="179"/>
    </row>
    <row r="421" spans="1:8">
      <c r="A421" s="178"/>
      <c r="B421" s="178"/>
      <c r="C421" s="178"/>
      <c r="D421" s="178"/>
      <c r="E421" s="179"/>
      <c r="F421" s="179"/>
      <c r="G421" s="179"/>
      <c r="H421" s="179"/>
    </row>
    <row r="422" spans="1:8">
      <c r="A422" s="178"/>
      <c r="B422" s="178"/>
      <c r="C422" s="178"/>
      <c r="D422" s="178"/>
      <c r="E422" s="179"/>
      <c r="F422" s="179"/>
      <c r="G422" s="179"/>
      <c r="H422" s="181"/>
    </row>
    <row r="423" spans="1:8">
      <c r="A423" s="178"/>
      <c r="B423" s="178"/>
      <c r="C423" s="178"/>
      <c r="D423" s="178"/>
      <c r="E423" s="179"/>
      <c r="F423" s="179"/>
      <c r="G423" s="179"/>
      <c r="H423" s="179"/>
    </row>
    <row r="424" spans="1:8">
      <c r="A424" s="178"/>
      <c r="B424" s="178"/>
      <c r="C424" s="178"/>
      <c r="D424" s="178"/>
      <c r="E424" s="179"/>
      <c r="F424" s="179"/>
      <c r="G424" s="179"/>
      <c r="H424" s="179"/>
    </row>
    <row r="425" spans="1:8">
      <c r="A425" s="178"/>
      <c r="B425" s="178"/>
      <c r="C425" s="178"/>
      <c r="D425" s="178"/>
      <c r="E425" s="179"/>
      <c r="F425" s="179"/>
      <c r="G425" s="179"/>
      <c r="H425" s="179"/>
    </row>
    <row r="426" spans="1:8">
      <c r="A426" s="178"/>
      <c r="B426" s="178"/>
      <c r="C426" s="178"/>
      <c r="D426" s="178"/>
      <c r="E426" s="179"/>
      <c r="F426" s="179"/>
      <c r="G426" s="179"/>
      <c r="H426" s="179"/>
    </row>
    <row r="427" spans="1:8">
      <c r="A427" s="178"/>
      <c r="B427" s="178"/>
      <c r="C427" s="178"/>
      <c r="D427" s="178"/>
      <c r="E427" s="179"/>
      <c r="F427" s="179"/>
      <c r="G427" s="179"/>
      <c r="H427" s="181"/>
    </row>
    <row r="428" spans="1:8">
      <c r="A428" s="178"/>
      <c r="B428" s="178"/>
      <c r="C428" s="178"/>
      <c r="D428" s="178"/>
      <c r="E428" s="179"/>
      <c r="F428" s="181"/>
      <c r="G428" s="179"/>
      <c r="H428" s="179"/>
    </row>
    <row r="429" spans="1:8">
      <c r="A429" s="178"/>
      <c r="B429" s="178"/>
      <c r="C429" s="178"/>
      <c r="D429" s="178"/>
      <c r="E429" s="179"/>
      <c r="F429" s="179"/>
      <c r="G429" s="179"/>
      <c r="H429" s="179"/>
    </row>
    <row r="430" spans="1:8">
      <c r="A430" s="178"/>
      <c r="B430" s="178"/>
      <c r="C430" s="178"/>
      <c r="D430" s="178"/>
      <c r="E430" s="179"/>
      <c r="F430" s="179"/>
      <c r="G430" s="179"/>
      <c r="H430" s="181"/>
    </row>
    <row r="431" spans="1:8">
      <c r="A431" s="178"/>
      <c r="B431" s="178"/>
      <c r="C431" s="178"/>
      <c r="D431" s="178"/>
      <c r="E431" s="179"/>
      <c r="F431" s="181"/>
      <c r="G431" s="179"/>
      <c r="H431" s="179"/>
    </row>
    <row r="432" spans="1:8">
      <c r="A432" s="178"/>
      <c r="B432" s="178"/>
      <c r="C432" s="178"/>
      <c r="D432" s="178"/>
      <c r="E432" s="179"/>
      <c r="F432" s="181"/>
      <c r="G432" s="181"/>
      <c r="H432" s="181"/>
    </row>
    <row r="433" spans="1:8">
      <c r="A433" s="178"/>
      <c r="B433" s="178"/>
      <c r="C433" s="178"/>
      <c r="D433" s="178"/>
      <c r="E433" s="179"/>
      <c r="F433" s="181"/>
      <c r="G433" s="181"/>
      <c r="H433" s="181"/>
    </row>
    <row r="434" spans="1:8">
      <c r="A434" s="178"/>
      <c r="B434" s="178"/>
      <c r="C434" s="178"/>
      <c r="D434" s="178"/>
      <c r="E434" s="179"/>
      <c r="F434" s="181"/>
      <c r="G434" s="181"/>
      <c r="H434" s="181"/>
    </row>
    <row r="435" spans="1:8">
      <c r="A435" s="178"/>
      <c r="B435" s="178"/>
      <c r="C435" s="178"/>
      <c r="D435" s="178"/>
      <c r="E435" s="179"/>
      <c r="F435" s="179"/>
      <c r="G435" s="179"/>
      <c r="H435" s="179"/>
    </row>
    <row r="436" spans="1:8">
      <c r="A436" s="178"/>
      <c r="B436" s="178"/>
      <c r="C436" s="178"/>
      <c r="D436" s="178"/>
      <c r="E436" s="179"/>
      <c r="F436" s="179"/>
      <c r="G436" s="179"/>
      <c r="H436" s="179"/>
    </row>
    <row r="437" spans="1:8">
      <c r="A437" s="178"/>
      <c r="B437" s="178"/>
      <c r="C437" s="178"/>
      <c r="D437" s="178"/>
      <c r="E437" s="179"/>
      <c r="F437" s="179"/>
      <c r="G437" s="179"/>
      <c r="H437" s="179"/>
    </row>
    <row r="438" spans="1:8">
      <c r="A438" s="178"/>
      <c r="B438" s="178"/>
      <c r="C438" s="178"/>
      <c r="D438" s="178"/>
      <c r="E438" s="179"/>
      <c r="F438" s="179"/>
      <c r="G438" s="179"/>
      <c r="H438" s="179"/>
    </row>
    <row r="439" spans="1:8">
      <c r="A439" s="178"/>
      <c r="B439" s="178"/>
      <c r="C439" s="178"/>
      <c r="D439" s="178"/>
      <c r="E439" s="179"/>
      <c r="F439" s="179"/>
      <c r="G439" s="179"/>
      <c r="H439" s="179"/>
    </row>
    <row r="440" spans="1:8">
      <c r="A440" s="178"/>
      <c r="B440" s="178"/>
      <c r="C440" s="182"/>
      <c r="D440" s="182"/>
      <c r="E440" s="179"/>
      <c r="F440" s="179"/>
      <c r="G440" s="179"/>
      <c r="H440" s="179"/>
    </row>
    <row r="441" spans="1:8">
      <c r="A441" s="178"/>
      <c r="B441" s="178"/>
      <c r="C441" s="178"/>
      <c r="D441" s="178"/>
      <c r="E441" s="179"/>
      <c r="F441" s="179"/>
      <c r="G441" s="179"/>
      <c r="H441" s="181"/>
    </row>
    <row r="442" spans="1:8">
      <c r="A442" s="178"/>
      <c r="B442" s="178"/>
      <c r="C442" s="178"/>
      <c r="D442" s="178"/>
      <c r="E442" s="179"/>
      <c r="F442" s="179"/>
      <c r="G442" s="179"/>
      <c r="H442" s="179"/>
    </row>
    <row r="443" spans="1:8">
      <c r="A443" s="178"/>
      <c r="B443" s="178"/>
      <c r="C443" s="178"/>
      <c r="D443" s="178"/>
      <c r="E443" s="179"/>
      <c r="F443" s="179"/>
      <c r="G443" s="179"/>
      <c r="H443" s="179"/>
    </row>
    <row r="444" spans="1:8">
      <c r="A444" s="178"/>
      <c r="B444" s="178"/>
      <c r="C444" s="178"/>
      <c r="D444" s="178"/>
      <c r="E444" s="179"/>
      <c r="F444" s="179"/>
      <c r="G444" s="179"/>
      <c r="H444" s="181"/>
    </row>
    <row r="445" spans="1:8">
      <c r="A445" s="178"/>
      <c r="B445" s="178"/>
      <c r="C445" s="178"/>
      <c r="D445" s="178"/>
      <c r="E445" s="179"/>
      <c r="F445" s="179"/>
      <c r="G445" s="179"/>
      <c r="H445" s="179"/>
    </row>
    <row r="446" spans="1:8">
      <c r="A446" s="178"/>
      <c r="B446" s="178"/>
      <c r="C446" s="178"/>
      <c r="D446" s="178"/>
      <c r="E446" s="179"/>
      <c r="F446" s="179"/>
      <c r="G446" s="179"/>
      <c r="H446" s="179"/>
    </row>
    <row r="447" spans="1:8">
      <c r="A447" s="178"/>
      <c r="B447" s="178"/>
      <c r="C447" s="178"/>
      <c r="D447" s="178"/>
      <c r="E447" s="179"/>
      <c r="F447" s="179"/>
      <c r="G447" s="179"/>
      <c r="H447" s="179"/>
    </row>
    <row r="448" spans="1:8">
      <c r="A448" s="178"/>
      <c r="B448" s="178"/>
      <c r="C448" s="178"/>
      <c r="D448" s="178"/>
      <c r="E448" s="179"/>
      <c r="F448" s="179"/>
      <c r="G448" s="179"/>
      <c r="H448" s="179"/>
    </row>
    <row r="449" spans="1:8">
      <c r="A449" s="178"/>
      <c r="B449" s="178"/>
      <c r="C449" s="178"/>
      <c r="D449" s="178"/>
      <c r="E449" s="179"/>
      <c r="F449" s="179"/>
      <c r="G449" s="179"/>
      <c r="H449" s="181"/>
    </row>
    <row r="450" spans="1:8">
      <c r="A450" s="178"/>
      <c r="B450" s="178"/>
      <c r="C450" s="178"/>
      <c r="D450" s="178"/>
      <c r="E450" s="179"/>
      <c r="F450" s="179"/>
      <c r="G450" s="179"/>
      <c r="H450" s="179"/>
    </row>
    <row r="451" spans="1:8">
      <c r="A451" s="178"/>
      <c r="B451" s="178"/>
      <c r="C451" s="178"/>
      <c r="D451" s="178"/>
      <c r="E451" s="179"/>
      <c r="F451" s="179"/>
      <c r="G451" s="179"/>
      <c r="H451" s="181"/>
    </row>
    <row r="452" spans="1:8">
      <c r="A452" s="178"/>
      <c r="B452" s="178"/>
      <c r="C452" s="178"/>
      <c r="D452" s="178"/>
      <c r="E452" s="179"/>
      <c r="F452" s="179"/>
      <c r="G452" s="179"/>
      <c r="H452" s="179"/>
    </row>
    <row r="453" spans="1:8">
      <c r="A453" s="178"/>
      <c r="B453" s="178"/>
      <c r="C453" s="178"/>
      <c r="D453" s="178"/>
      <c r="E453" s="179"/>
      <c r="F453" s="179"/>
      <c r="G453" s="179"/>
      <c r="H453" s="179"/>
    </row>
    <row r="454" spans="1:8">
      <c r="A454" s="178"/>
      <c r="B454" s="178"/>
      <c r="C454" s="178"/>
      <c r="D454" s="178"/>
      <c r="E454" s="179"/>
      <c r="F454" s="179"/>
      <c r="G454" s="179"/>
      <c r="H454" s="181"/>
    </row>
    <row r="455" spans="1:8">
      <c r="A455" s="178"/>
      <c r="B455" s="178"/>
      <c r="C455" s="178"/>
      <c r="D455" s="178"/>
      <c r="E455" s="179"/>
      <c r="F455" s="179"/>
      <c r="G455" s="179"/>
      <c r="H455" s="181"/>
    </row>
    <row r="456" spans="1:8">
      <c r="A456" s="178"/>
      <c r="B456" s="178"/>
      <c r="C456" s="178"/>
      <c r="D456" s="178"/>
      <c r="E456" s="179"/>
      <c r="F456" s="179"/>
      <c r="G456" s="179"/>
      <c r="H456" s="181"/>
    </row>
    <row r="457" spans="1:8">
      <c r="A457" s="178"/>
      <c r="B457" s="178"/>
      <c r="C457" s="178"/>
      <c r="D457" s="178"/>
      <c r="E457" s="179"/>
      <c r="F457" s="181"/>
      <c r="G457" s="179"/>
      <c r="H457" s="179"/>
    </row>
    <row r="458" spans="1:8">
      <c r="A458" s="178"/>
      <c r="B458" s="178"/>
      <c r="C458" s="178"/>
      <c r="D458" s="178"/>
      <c r="E458" s="179"/>
      <c r="F458" s="179"/>
      <c r="G458" s="179"/>
      <c r="H458" s="179"/>
    </row>
    <row r="459" spans="1:8">
      <c r="A459" s="178"/>
      <c r="B459" s="178"/>
      <c r="C459" s="178"/>
      <c r="D459" s="178"/>
      <c r="E459" s="179"/>
      <c r="F459" s="179"/>
      <c r="G459" s="179"/>
      <c r="H459" s="181"/>
    </row>
    <row r="460" spans="1:8">
      <c r="A460" s="178"/>
      <c r="B460" s="178"/>
      <c r="C460" s="178"/>
      <c r="D460" s="178"/>
      <c r="E460" s="179"/>
      <c r="F460" s="181"/>
      <c r="G460" s="179"/>
      <c r="H460" s="181"/>
    </row>
    <row r="461" spans="1:8">
      <c r="A461" s="178"/>
      <c r="B461" s="178"/>
      <c r="C461" s="178"/>
      <c r="D461" s="178"/>
      <c r="E461" s="179"/>
      <c r="F461" s="181"/>
      <c r="G461" s="181"/>
      <c r="H461" s="181"/>
    </row>
    <row r="462" spans="1:8">
      <c r="A462" s="178"/>
      <c r="B462" s="178"/>
      <c r="C462" s="178"/>
      <c r="D462" s="178"/>
      <c r="E462" s="179"/>
      <c r="F462" s="181"/>
      <c r="G462" s="181"/>
      <c r="H462" s="181"/>
    </row>
    <row r="463" spans="1:8">
      <c r="A463" s="178"/>
      <c r="B463" s="178"/>
      <c r="C463" s="178"/>
      <c r="D463" s="178"/>
      <c r="E463" s="179"/>
      <c r="F463" s="181"/>
      <c r="G463" s="181"/>
      <c r="H463" s="181"/>
    </row>
    <row r="464" spans="1:8">
      <c r="A464" s="178"/>
      <c r="B464" s="178"/>
      <c r="C464" s="178"/>
      <c r="D464" s="178"/>
      <c r="E464" s="179"/>
      <c r="F464" s="179"/>
      <c r="G464" s="179"/>
      <c r="H464" s="179"/>
    </row>
    <row r="465" spans="1:8">
      <c r="A465" s="178"/>
      <c r="B465" s="178"/>
      <c r="C465" s="178"/>
      <c r="D465" s="178"/>
      <c r="E465" s="179"/>
      <c r="F465" s="179"/>
      <c r="G465" s="179"/>
      <c r="H465" s="179"/>
    </row>
    <row r="466" spans="1:8">
      <c r="A466" s="178"/>
      <c r="B466" s="178"/>
      <c r="C466" s="178"/>
      <c r="D466" s="178"/>
      <c r="E466" s="179"/>
      <c r="F466" s="179"/>
      <c r="G466" s="179"/>
      <c r="H466" s="181"/>
    </row>
    <row r="467" spans="1:8">
      <c r="A467" s="178"/>
      <c r="B467" s="178"/>
      <c r="C467" s="178"/>
      <c r="D467" s="178"/>
      <c r="E467" s="179"/>
      <c r="F467" s="179"/>
      <c r="G467" s="179"/>
      <c r="H467" s="181"/>
    </row>
    <row r="468" spans="1:8">
      <c r="A468" s="178"/>
      <c r="B468" s="178"/>
      <c r="C468" s="178"/>
      <c r="D468" s="178"/>
      <c r="E468" s="179"/>
      <c r="F468" s="179"/>
      <c r="G468" s="179"/>
      <c r="H468" s="181"/>
    </row>
    <row r="469" spans="1:8">
      <c r="A469" s="178"/>
      <c r="B469" s="178"/>
      <c r="C469" s="182"/>
      <c r="D469" s="182"/>
      <c r="E469" s="179"/>
      <c r="F469" s="179"/>
      <c r="G469" s="179"/>
      <c r="H469" s="179"/>
    </row>
    <row r="470" spans="1:8">
      <c r="A470" s="178"/>
      <c r="B470" s="178"/>
      <c r="C470" s="178"/>
      <c r="D470" s="178"/>
      <c r="E470" s="179"/>
      <c r="F470" s="179"/>
      <c r="G470" s="179"/>
      <c r="H470" s="181"/>
    </row>
    <row r="471" spans="1:8">
      <c r="A471" s="178"/>
      <c r="B471" s="178"/>
      <c r="C471" s="178"/>
      <c r="D471" s="178"/>
      <c r="E471" s="179"/>
      <c r="F471" s="179"/>
      <c r="G471" s="179"/>
      <c r="H471" s="181"/>
    </row>
    <row r="472" spans="1:8">
      <c r="A472" s="178"/>
      <c r="B472" s="178"/>
      <c r="C472" s="178"/>
      <c r="D472" s="178"/>
      <c r="E472" s="179"/>
      <c r="F472" s="179"/>
      <c r="G472" s="179"/>
      <c r="H472" s="179"/>
    </row>
    <row r="473" spans="1:8">
      <c r="A473" s="178"/>
      <c r="B473" s="178"/>
      <c r="C473" s="178"/>
      <c r="D473" s="178"/>
      <c r="E473" s="179"/>
      <c r="F473" s="179"/>
      <c r="G473" s="179"/>
      <c r="H473" s="181"/>
    </row>
    <row r="474" spans="1:8">
      <c r="A474" s="178"/>
      <c r="B474" s="178"/>
      <c r="C474" s="178"/>
      <c r="D474" s="178"/>
      <c r="E474" s="179"/>
      <c r="F474" s="179"/>
      <c r="G474" s="179"/>
      <c r="H474" s="181"/>
    </row>
    <row r="475" spans="1:8">
      <c r="A475" s="178"/>
      <c r="B475" s="178"/>
      <c r="C475" s="178"/>
      <c r="D475" s="178"/>
      <c r="E475" s="179"/>
      <c r="F475" s="179"/>
      <c r="G475" s="179"/>
      <c r="H475" s="179"/>
    </row>
    <row r="476" spans="1:8">
      <c r="A476" s="178"/>
      <c r="B476" s="178"/>
      <c r="C476" s="178"/>
      <c r="D476" s="178"/>
      <c r="E476" s="179"/>
      <c r="F476" s="179"/>
      <c r="G476" s="179"/>
      <c r="H476" s="181"/>
    </row>
    <row r="477" spans="1:8">
      <c r="A477" s="178"/>
      <c r="B477" s="178"/>
      <c r="C477" s="178"/>
      <c r="D477" s="178"/>
      <c r="E477" s="179"/>
      <c r="F477" s="179"/>
      <c r="G477" s="179"/>
      <c r="H477" s="181"/>
    </row>
    <row r="478" spans="1:8">
      <c r="A478" s="178"/>
      <c r="B478" s="178"/>
      <c r="C478" s="178"/>
      <c r="D478" s="178"/>
      <c r="E478" s="179"/>
      <c r="F478" s="179"/>
      <c r="G478" s="179"/>
      <c r="H478" s="181"/>
    </row>
    <row r="479" spans="1:8">
      <c r="A479" s="178"/>
      <c r="B479" s="178"/>
      <c r="C479" s="178"/>
      <c r="D479" s="178"/>
      <c r="E479" s="179"/>
      <c r="F479" s="179"/>
      <c r="G479" s="179"/>
      <c r="H479" s="179"/>
    </row>
    <row r="480" spans="1:8">
      <c r="A480" s="178"/>
      <c r="B480" s="178"/>
      <c r="C480" s="178"/>
      <c r="D480" s="178"/>
      <c r="E480" s="179"/>
      <c r="F480" s="179"/>
      <c r="G480" s="179"/>
      <c r="H480" s="181"/>
    </row>
    <row r="481" spans="1:8">
      <c r="A481" s="178"/>
      <c r="B481" s="178"/>
      <c r="C481" s="178"/>
      <c r="D481" s="178"/>
      <c r="E481" s="179"/>
      <c r="F481" s="179"/>
      <c r="G481" s="179"/>
      <c r="H481" s="179"/>
    </row>
    <row r="482" spans="1:8">
      <c r="A482" s="178"/>
      <c r="B482" s="178"/>
      <c r="C482" s="178"/>
      <c r="D482" s="178"/>
      <c r="E482" s="179"/>
      <c r="F482" s="179"/>
      <c r="G482" s="179"/>
      <c r="H482" s="181"/>
    </row>
    <row r="483" spans="1:8">
      <c r="A483" s="178"/>
      <c r="B483" s="178"/>
      <c r="C483" s="178"/>
      <c r="D483" s="178"/>
      <c r="E483" s="179"/>
      <c r="F483" s="179"/>
      <c r="G483" s="179"/>
      <c r="H483" s="181"/>
    </row>
    <row r="484" spans="1:8">
      <c r="A484" s="178"/>
      <c r="B484" s="178"/>
      <c r="C484" s="178"/>
      <c r="D484" s="178"/>
      <c r="E484" s="179"/>
      <c r="F484" s="179"/>
      <c r="G484" s="179"/>
      <c r="H484" s="181"/>
    </row>
    <row r="485" spans="1:8">
      <c r="A485" s="178"/>
      <c r="B485" s="178"/>
      <c r="C485" s="178"/>
      <c r="D485" s="178"/>
      <c r="E485" s="179"/>
      <c r="F485" s="179"/>
      <c r="G485" s="179"/>
      <c r="H485" s="181"/>
    </row>
    <row r="486" spans="1:8">
      <c r="A486" s="178"/>
      <c r="B486" s="178"/>
      <c r="C486" s="178"/>
      <c r="D486" s="178"/>
      <c r="E486" s="179"/>
      <c r="F486" s="181"/>
      <c r="G486" s="179"/>
      <c r="H486" s="179"/>
    </row>
    <row r="487" spans="1:8">
      <c r="A487" s="178"/>
      <c r="B487" s="178"/>
      <c r="C487" s="178"/>
      <c r="D487" s="178"/>
      <c r="E487" s="179"/>
      <c r="F487" s="179"/>
      <c r="G487" s="179"/>
      <c r="H487" s="181"/>
    </row>
    <row r="488" spans="1:8">
      <c r="A488" s="178"/>
      <c r="B488" s="178"/>
      <c r="C488" s="178"/>
      <c r="D488" s="178"/>
      <c r="E488" s="179"/>
      <c r="F488" s="179"/>
      <c r="G488" s="179"/>
      <c r="H488" s="181"/>
    </row>
    <row r="489" spans="1:8">
      <c r="A489" s="178"/>
      <c r="B489" s="178"/>
      <c r="C489" s="178"/>
      <c r="D489" s="178"/>
      <c r="E489" s="179"/>
      <c r="F489" s="181"/>
      <c r="G489" s="179"/>
      <c r="H489" s="181"/>
    </row>
    <row r="490" spans="1:8">
      <c r="A490" s="178"/>
      <c r="B490" s="178"/>
      <c r="C490" s="178"/>
      <c r="D490" s="178"/>
      <c r="E490" s="179"/>
      <c r="F490" s="181"/>
      <c r="G490" s="181"/>
      <c r="H490" s="181"/>
    </row>
    <row r="491" spans="1:8">
      <c r="A491" s="178"/>
      <c r="B491" s="178"/>
      <c r="C491" s="178"/>
      <c r="D491" s="178"/>
      <c r="E491" s="179"/>
      <c r="F491" s="181"/>
      <c r="G491" s="181"/>
      <c r="H491" s="181"/>
    </row>
    <row r="492" spans="1:8">
      <c r="A492" s="178"/>
      <c r="B492" s="178"/>
      <c r="C492" s="178"/>
      <c r="D492" s="178"/>
      <c r="E492" s="179"/>
      <c r="F492" s="181"/>
      <c r="G492" s="181"/>
      <c r="H492" s="181"/>
    </row>
    <row r="493" spans="1:8">
      <c r="A493" s="178"/>
      <c r="B493" s="178"/>
      <c r="C493" s="178"/>
      <c r="D493" s="178"/>
      <c r="E493" s="179"/>
      <c r="F493" s="179"/>
      <c r="G493" s="179"/>
      <c r="H493" s="179"/>
    </row>
    <row r="494" spans="1:8">
      <c r="A494" s="178"/>
      <c r="B494" s="178"/>
      <c r="C494" s="178"/>
      <c r="D494" s="178"/>
      <c r="E494" s="179"/>
      <c r="F494" s="179"/>
      <c r="G494" s="179"/>
      <c r="H494" s="179"/>
    </row>
    <row r="495" spans="1:8">
      <c r="A495" s="178"/>
      <c r="B495" s="178"/>
      <c r="C495" s="178"/>
      <c r="D495" s="178"/>
      <c r="E495" s="179"/>
      <c r="F495" s="179"/>
      <c r="G495" s="179"/>
      <c r="H495" s="181"/>
    </row>
    <row r="496" spans="1:8">
      <c r="A496" s="178"/>
      <c r="B496" s="178"/>
      <c r="C496" s="178"/>
      <c r="D496" s="178"/>
      <c r="E496" s="179"/>
      <c r="F496" s="179"/>
      <c r="G496" s="179"/>
      <c r="H496" s="181"/>
    </row>
    <row r="497" spans="1:8">
      <c r="A497" s="178"/>
      <c r="B497" s="178"/>
      <c r="C497" s="178"/>
      <c r="D497" s="178"/>
      <c r="E497" s="179"/>
      <c r="F497" s="179"/>
      <c r="G497" s="179"/>
      <c r="H497" s="181"/>
    </row>
    <row r="498" spans="1:8">
      <c r="A498" s="178"/>
      <c r="B498" s="178"/>
      <c r="C498" s="182"/>
      <c r="D498" s="182"/>
      <c r="E498" s="179"/>
      <c r="F498" s="179"/>
      <c r="G498" s="179"/>
      <c r="H498" s="179"/>
    </row>
    <row r="499" spans="1:8">
      <c r="A499" s="178"/>
      <c r="B499" s="178"/>
      <c r="C499" s="178"/>
      <c r="D499" s="178"/>
      <c r="E499" s="179"/>
      <c r="F499" s="179"/>
      <c r="G499" s="179"/>
      <c r="H499" s="181"/>
    </row>
    <row r="500" spans="1:8" ht="12.75" customHeight="1">
      <c r="A500" s="178"/>
      <c r="B500" s="178"/>
      <c r="C500" s="178"/>
      <c r="D500" s="178"/>
      <c r="E500" s="179"/>
      <c r="F500" s="179"/>
      <c r="G500" s="179"/>
      <c r="H500" s="179"/>
    </row>
    <row r="501" spans="1:8">
      <c r="A501" s="178"/>
      <c r="B501" s="178"/>
      <c r="C501" s="178"/>
      <c r="D501" s="178"/>
      <c r="E501" s="179"/>
      <c r="F501" s="179"/>
      <c r="G501" s="179"/>
      <c r="H501" s="179"/>
    </row>
    <row r="502" spans="1:8">
      <c r="A502" s="178"/>
      <c r="B502" s="178"/>
      <c r="C502" s="178"/>
      <c r="D502" s="178"/>
      <c r="E502" s="179"/>
      <c r="F502" s="179"/>
      <c r="G502" s="179"/>
      <c r="H502" s="179"/>
    </row>
    <row r="503" spans="1:8">
      <c r="A503" s="178"/>
      <c r="B503" s="178"/>
      <c r="C503" s="178"/>
      <c r="D503" s="178"/>
      <c r="E503" s="179"/>
      <c r="F503" s="179"/>
      <c r="G503" s="179"/>
      <c r="H503" s="179"/>
    </row>
    <row r="504" spans="1:8">
      <c r="A504" s="178"/>
      <c r="B504" s="178"/>
      <c r="C504" s="178"/>
      <c r="D504" s="178"/>
      <c r="E504" s="179"/>
      <c r="F504" s="179"/>
      <c r="G504" s="179"/>
      <c r="H504" s="179"/>
    </row>
    <row r="505" spans="1:8">
      <c r="A505" s="178"/>
      <c r="B505" s="178"/>
      <c r="C505" s="178"/>
      <c r="D505" s="178"/>
      <c r="E505" s="179"/>
      <c r="F505" s="179"/>
      <c r="G505" s="179"/>
      <c r="H505" s="181"/>
    </row>
    <row r="506" spans="1:8">
      <c r="A506" s="178"/>
      <c r="B506" s="178"/>
      <c r="C506" s="178"/>
      <c r="D506" s="178"/>
      <c r="E506" s="179"/>
      <c r="F506" s="179"/>
      <c r="G506" s="179"/>
      <c r="H506" s="181"/>
    </row>
    <row r="507" spans="1:8">
      <c r="A507" s="178"/>
      <c r="B507" s="178"/>
      <c r="C507" s="178"/>
      <c r="D507" s="178"/>
      <c r="E507" s="179"/>
      <c r="F507" s="179"/>
      <c r="G507" s="179"/>
      <c r="H507" s="181"/>
    </row>
    <row r="508" spans="1:8">
      <c r="A508" s="178"/>
      <c r="B508" s="178"/>
      <c r="C508" s="178"/>
      <c r="D508" s="178"/>
      <c r="E508" s="179"/>
      <c r="F508" s="179"/>
      <c r="G508" s="179"/>
      <c r="H508" s="179"/>
    </row>
    <row r="509" spans="1:8">
      <c r="A509" s="178"/>
      <c r="B509" s="178"/>
      <c r="C509" s="178"/>
      <c r="D509" s="178"/>
      <c r="E509" s="179"/>
      <c r="F509" s="179"/>
      <c r="G509" s="179"/>
      <c r="H509" s="181"/>
    </row>
    <row r="510" spans="1:8">
      <c r="A510" s="178"/>
      <c r="B510" s="178"/>
      <c r="C510" s="178"/>
      <c r="D510" s="178"/>
      <c r="E510" s="179"/>
      <c r="F510" s="179"/>
      <c r="G510" s="179"/>
      <c r="H510" s="179"/>
    </row>
    <row r="511" spans="1:8">
      <c r="A511" s="178"/>
      <c r="B511" s="178"/>
      <c r="C511" s="178"/>
      <c r="D511" s="178"/>
      <c r="E511" s="179"/>
      <c r="F511" s="179"/>
      <c r="G511" s="179"/>
      <c r="H511" s="181"/>
    </row>
    <row r="512" spans="1:8">
      <c r="A512" s="178"/>
      <c r="B512" s="178"/>
      <c r="C512" s="178"/>
      <c r="D512" s="178"/>
      <c r="E512" s="179"/>
      <c r="F512" s="179"/>
      <c r="G512" s="179"/>
      <c r="H512" s="181"/>
    </row>
    <row r="513" spans="1:8">
      <c r="A513" s="178"/>
      <c r="B513" s="178"/>
      <c r="C513" s="178"/>
      <c r="D513" s="178"/>
      <c r="E513" s="179"/>
      <c r="F513" s="179"/>
      <c r="G513" s="179"/>
      <c r="H513" s="181"/>
    </row>
    <row r="514" spans="1:8">
      <c r="A514" s="178"/>
      <c r="B514" s="178"/>
      <c r="C514" s="178"/>
      <c r="D514" s="178"/>
      <c r="E514" s="179"/>
      <c r="F514" s="181"/>
      <c r="G514" s="179"/>
      <c r="H514" s="181"/>
    </row>
    <row r="515" spans="1:8">
      <c r="A515" s="178"/>
      <c r="B515" s="178"/>
      <c r="C515" s="178"/>
      <c r="D515" s="178"/>
      <c r="E515" s="179"/>
      <c r="F515" s="179"/>
      <c r="G515" s="179"/>
      <c r="H515" s="181"/>
    </row>
    <row r="516" spans="1:8">
      <c r="A516" s="178"/>
      <c r="B516" s="178"/>
      <c r="C516" s="178"/>
      <c r="D516" s="178"/>
      <c r="E516" s="179"/>
      <c r="F516" s="179"/>
      <c r="G516" s="179"/>
      <c r="H516" s="181"/>
    </row>
    <row r="517" spans="1:8">
      <c r="A517" s="178"/>
      <c r="B517" s="178"/>
      <c r="C517" s="178"/>
      <c r="D517" s="178"/>
      <c r="E517" s="179"/>
      <c r="F517" s="181"/>
      <c r="G517" s="179"/>
      <c r="H517" s="181"/>
    </row>
    <row r="518" spans="1:8">
      <c r="A518" s="178"/>
      <c r="B518" s="178"/>
      <c r="C518" s="178"/>
      <c r="D518" s="178"/>
      <c r="E518" s="179"/>
      <c r="F518" s="181"/>
      <c r="G518" s="181"/>
      <c r="H518" s="181"/>
    </row>
    <row r="519" spans="1:8">
      <c r="A519" s="178"/>
      <c r="B519" s="178"/>
      <c r="C519" s="178"/>
      <c r="D519" s="178"/>
      <c r="E519" s="179"/>
      <c r="F519" s="181"/>
      <c r="G519" s="181"/>
      <c r="H519" s="181"/>
    </row>
    <row r="520" spans="1:8">
      <c r="A520" s="178"/>
      <c r="B520" s="178"/>
      <c r="C520" s="178"/>
      <c r="D520" s="178"/>
      <c r="E520" s="179"/>
      <c r="F520" s="181"/>
      <c r="G520" s="181"/>
      <c r="H520" s="181"/>
    </row>
    <row r="521" spans="1:8">
      <c r="A521" s="178"/>
      <c r="B521" s="178"/>
      <c r="C521" s="178"/>
      <c r="D521" s="178"/>
      <c r="E521" s="179"/>
      <c r="F521" s="179"/>
      <c r="G521" s="179"/>
      <c r="H521" s="179"/>
    </row>
    <row r="522" spans="1:8">
      <c r="A522" s="178"/>
      <c r="B522" s="178"/>
      <c r="C522" s="178"/>
      <c r="D522" s="178"/>
      <c r="E522" s="179"/>
      <c r="F522" s="179"/>
      <c r="G522" s="179"/>
      <c r="H522" s="179"/>
    </row>
    <row r="523" spans="1:8">
      <c r="A523" s="178"/>
      <c r="B523" s="178"/>
      <c r="C523" s="178"/>
      <c r="D523" s="178"/>
      <c r="E523" s="179"/>
      <c r="F523" s="179"/>
      <c r="G523" s="179"/>
      <c r="H523" s="181"/>
    </row>
    <row r="524" spans="1:8">
      <c r="A524" s="178"/>
      <c r="B524" s="178"/>
      <c r="C524" s="178"/>
      <c r="D524" s="178"/>
      <c r="E524" s="179"/>
      <c r="F524" s="179"/>
      <c r="G524" s="179"/>
      <c r="H524" s="181"/>
    </row>
    <row r="525" spans="1:8">
      <c r="A525" s="178"/>
      <c r="B525" s="178"/>
      <c r="C525" s="178"/>
      <c r="D525" s="178"/>
      <c r="E525" s="179"/>
      <c r="F525" s="179"/>
      <c r="G525" s="179"/>
      <c r="H525" s="181"/>
    </row>
    <row r="526" spans="1:8">
      <c r="A526" s="178"/>
      <c r="B526" s="178"/>
      <c r="C526" s="182"/>
      <c r="D526" s="182"/>
      <c r="E526" s="179"/>
      <c r="F526" s="179"/>
      <c r="G526" s="179"/>
      <c r="H526" s="179"/>
    </row>
  </sheetData>
  <autoFilter ref="A1:J308"/>
  <sortState ref="C39:C52">
    <sortCondition ref="C39:C52"/>
  </sortState>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A875"/>
  <sheetViews>
    <sheetView topLeftCell="D305" workbookViewId="0">
      <selection activeCell="P306" sqref="P306"/>
    </sheetView>
  </sheetViews>
  <sheetFormatPr defaultColWidth="11.33203125" defaultRowHeight="11.25"/>
  <cols>
    <col min="1" max="3" width="11.33203125" style="675"/>
    <col min="4" max="4" width="18.1640625" style="675" customWidth="1"/>
    <col min="5" max="6" width="11.33203125" style="675"/>
    <col min="7" max="7" width="13.83203125" style="675" bestFit="1" customWidth="1"/>
    <col min="8" max="8" width="12.83203125" style="675" bestFit="1" customWidth="1"/>
    <col min="9" max="9" width="12.5" style="675" bestFit="1" customWidth="1"/>
    <col min="10" max="10" width="13" style="675" customWidth="1"/>
    <col min="11" max="12" width="13.83203125" style="675" bestFit="1" customWidth="1"/>
    <col min="13" max="13" width="12.1640625" style="675" bestFit="1" customWidth="1"/>
    <col min="14" max="14" width="12.83203125" style="675" bestFit="1" customWidth="1"/>
    <col min="15" max="15" width="19.6640625" style="675" bestFit="1" customWidth="1"/>
    <col min="16" max="16" width="19.6640625" style="675" customWidth="1"/>
    <col min="17" max="17" width="16.33203125" style="675" bestFit="1" customWidth="1"/>
    <col min="18" max="18" width="14.1640625" style="675" bestFit="1" customWidth="1"/>
    <col min="19" max="19" width="17.6640625" style="675" bestFit="1" customWidth="1"/>
    <col min="20" max="20" width="15.83203125" style="675" bestFit="1" customWidth="1"/>
    <col min="21" max="21" width="13.5" style="675" bestFit="1" customWidth="1"/>
    <col min="22" max="22" width="15" style="675" bestFit="1" customWidth="1"/>
    <col min="23" max="16384" width="11.33203125" style="675"/>
  </cols>
  <sheetData>
    <row r="1" spans="1:20" ht="12" thickBot="1">
      <c r="A1" s="192" t="s">
        <v>0</v>
      </c>
      <c r="B1" s="192" t="s">
        <v>61</v>
      </c>
      <c r="C1" s="192" t="s">
        <v>4</v>
      </c>
      <c r="D1" s="196" t="s">
        <v>845</v>
      </c>
      <c r="E1" s="192" t="s">
        <v>60</v>
      </c>
      <c r="F1" s="203"/>
      <c r="G1" s="194"/>
      <c r="H1" s="194"/>
      <c r="I1" s="194" t="s">
        <v>119</v>
      </c>
      <c r="J1" s="194" t="s">
        <v>151</v>
      </c>
      <c r="K1" s="194" t="s">
        <v>119</v>
      </c>
      <c r="L1" s="194" t="s">
        <v>1307</v>
      </c>
      <c r="M1" s="194" t="s">
        <v>1308</v>
      </c>
      <c r="N1" s="194"/>
      <c r="O1" s="674"/>
      <c r="P1" s="674" t="s">
        <v>1309</v>
      </c>
      <c r="Q1" s="204"/>
      <c r="R1" s="674"/>
    </row>
    <row r="2" spans="1:20" ht="12" thickBot="1">
      <c r="A2" s="192" t="s">
        <v>0</v>
      </c>
      <c r="B2" s="192" t="s">
        <v>61</v>
      </c>
      <c r="C2" s="192" t="s">
        <v>4</v>
      </c>
      <c r="D2" s="676"/>
      <c r="E2" s="687"/>
    </row>
    <row r="3" spans="1:20" ht="12" thickBot="1">
      <c r="A3" s="197" t="s">
        <v>1273</v>
      </c>
      <c r="B3" s="147"/>
      <c r="C3" s="147" t="s">
        <v>379</v>
      </c>
      <c r="D3" s="309"/>
      <c r="E3" s="689">
        <v>76</v>
      </c>
      <c r="F3" s="662"/>
      <c r="G3" s="659"/>
      <c r="H3" s="652"/>
      <c r="I3" s="652"/>
      <c r="J3" s="652">
        <v>8.14</v>
      </c>
      <c r="K3" s="368">
        <f>E3*J3</f>
        <v>618.6400000000001</v>
      </c>
      <c r="L3" s="654">
        <f>K3/$Q$8*$Q$9</f>
        <v>2.1578884307334881E-5</v>
      </c>
      <c r="M3" s="654">
        <f>ROUND((K3+L3)/J3,0)</f>
        <v>76</v>
      </c>
      <c r="O3" s="679">
        <f>$Q$9/J3</f>
        <v>6.1425061196235236E-3</v>
      </c>
      <c r="Q3" s="678">
        <f>'12MonLights'!$O$76</f>
        <v>1510904</v>
      </c>
      <c r="R3" s="675" t="s">
        <v>1295</v>
      </c>
      <c r="T3" s="675" t="s">
        <v>1286</v>
      </c>
    </row>
    <row r="4" spans="1:20" ht="12" thickBot="1">
      <c r="A4" s="197" t="s">
        <v>1273</v>
      </c>
      <c r="B4" s="147"/>
      <c r="C4" s="147" t="s">
        <v>241</v>
      </c>
      <c r="D4" s="309"/>
      <c r="E4" s="689">
        <v>3755</v>
      </c>
      <c r="F4" s="662"/>
      <c r="G4" s="659"/>
      <c r="H4" s="652"/>
      <c r="I4" s="652"/>
      <c r="J4" s="652">
        <v>10.959999999999999</v>
      </c>
      <c r="K4" s="368">
        <f t="shared" ref="K4:K67" si="0">E4*J4</f>
        <v>41154.799999999996</v>
      </c>
      <c r="L4" s="654">
        <f t="shared" ref="L4:L67" si="1">K4/$Q$8*$Q$9</f>
        <v>1.4355273954020193E-3</v>
      </c>
      <c r="M4" s="654">
        <f t="shared" ref="M4:M67" si="2">ROUND((K4+L4)/J4,0)</f>
        <v>3755</v>
      </c>
      <c r="O4" s="679">
        <f t="shared" ref="O4:O67" si="3">$Q$9/J4</f>
        <v>4.5620437786255009E-3</v>
      </c>
      <c r="Q4" s="678">
        <f>-Q16</f>
        <v>-49389.93</v>
      </c>
      <c r="R4" s="680" t="s">
        <v>1297</v>
      </c>
    </row>
    <row r="5" spans="1:20" ht="12" thickBot="1">
      <c r="A5" s="197" t="s">
        <v>1273</v>
      </c>
      <c r="B5" s="147"/>
      <c r="C5" s="147" t="s">
        <v>242</v>
      </c>
      <c r="D5" s="309"/>
      <c r="E5" s="689">
        <v>3722</v>
      </c>
      <c r="F5" s="662"/>
      <c r="G5" s="659"/>
      <c r="H5" s="652"/>
      <c r="I5" s="652"/>
      <c r="J5" s="652">
        <v>13.510000000000002</v>
      </c>
      <c r="K5" s="368">
        <f t="shared" si="0"/>
        <v>50284.220000000008</v>
      </c>
      <c r="L5" s="654">
        <f t="shared" si="1"/>
        <v>1.753972206557246E-3</v>
      </c>
      <c r="M5" s="654">
        <f t="shared" si="2"/>
        <v>3722</v>
      </c>
      <c r="O5" s="679">
        <f t="shared" si="3"/>
        <v>3.700962236397889E-3</v>
      </c>
      <c r="Q5" s="681">
        <f>Q3+Q4</f>
        <v>1461514.07</v>
      </c>
      <c r="R5" s="666" t="s">
        <v>1298</v>
      </c>
    </row>
    <row r="6" spans="1:20" ht="12" thickBot="1">
      <c r="A6" s="197" t="s">
        <v>1273</v>
      </c>
      <c r="B6" s="147"/>
      <c r="C6" s="147" t="s">
        <v>243</v>
      </c>
      <c r="D6" s="309"/>
      <c r="E6" s="689">
        <v>94</v>
      </c>
      <c r="F6" s="662"/>
      <c r="G6" s="659"/>
      <c r="H6" s="652"/>
      <c r="I6" s="652"/>
      <c r="J6" s="652">
        <v>12.450000000000001</v>
      </c>
      <c r="K6" s="368">
        <f t="shared" si="0"/>
        <v>1170.3000000000002</v>
      </c>
      <c r="L6" s="654">
        <f t="shared" si="1"/>
        <v>4.082142814055672E-5</v>
      </c>
      <c r="M6" s="654">
        <f t="shared" si="2"/>
        <v>94</v>
      </c>
      <c r="O6" s="679">
        <f t="shared" si="3"/>
        <v>4.0160642420671066E-3</v>
      </c>
      <c r="Q6" s="681">
        <f>'1051'!$K$27</f>
        <v>28075.69000000001</v>
      </c>
      <c r="R6" s="667" t="s">
        <v>1293</v>
      </c>
    </row>
    <row r="7" spans="1:20" ht="12" thickBot="1">
      <c r="A7" s="197" t="s">
        <v>1273</v>
      </c>
      <c r="B7" s="147"/>
      <c r="C7" s="147" t="s">
        <v>244</v>
      </c>
      <c r="D7" s="309"/>
      <c r="E7" s="689">
        <v>739</v>
      </c>
      <c r="F7" s="662"/>
      <c r="G7" s="659"/>
      <c r="H7" s="652"/>
      <c r="I7" s="652"/>
      <c r="J7" s="659">
        <v>15.54</v>
      </c>
      <c r="K7" s="368">
        <f t="shared" si="0"/>
        <v>11484.06</v>
      </c>
      <c r="L7" s="654">
        <f t="shared" si="1"/>
        <v>4.0057739900183011E-4</v>
      </c>
      <c r="M7" s="654">
        <f t="shared" si="2"/>
        <v>739</v>
      </c>
      <c r="O7" s="679">
        <f t="shared" si="3"/>
        <v>3.2175032055170843E-3</v>
      </c>
      <c r="Q7" s="681">
        <f>Q5-Q6</f>
        <v>1433438.3800000001</v>
      </c>
      <c r="R7" s="667" t="s">
        <v>1294</v>
      </c>
    </row>
    <row r="8" spans="1:20" ht="12" thickBot="1">
      <c r="A8" s="197" t="s">
        <v>1273</v>
      </c>
      <c r="B8" s="147"/>
      <c r="C8" s="147" t="s">
        <v>245</v>
      </c>
      <c r="D8" s="309"/>
      <c r="E8" s="689">
        <v>1366</v>
      </c>
      <c r="F8" s="662"/>
      <c r="G8" s="659"/>
      <c r="H8" s="652"/>
      <c r="I8" s="659"/>
      <c r="J8" s="659">
        <v>14.24</v>
      </c>
      <c r="K8" s="368">
        <f t="shared" si="0"/>
        <v>19451.84</v>
      </c>
      <c r="L8" s="654">
        <f t="shared" si="1"/>
        <v>6.785028529108834E-4</v>
      </c>
      <c r="M8" s="654">
        <f t="shared" si="2"/>
        <v>1366</v>
      </c>
      <c r="O8" s="679">
        <f t="shared" si="3"/>
        <v>3.5112359419758065E-3</v>
      </c>
      <c r="Q8" s="681">
        <f>SUM($K$3:$K$72)</f>
        <v>1433438.3300000003</v>
      </c>
      <c r="R8" s="666" t="s">
        <v>1300</v>
      </c>
    </row>
    <row r="9" spans="1:20" ht="12" thickBot="1">
      <c r="A9" s="197" t="s">
        <v>1273</v>
      </c>
      <c r="B9" s="147"/>
      <c r="C9" s="147" t="s">
        <v>381</v>
      </c>
      <c r="D9" s="309"/>
      <c r="E9" s="689">
        <v>44</v>
      </c>
      <c r="F9" s="662"/>
      <c r="G9" s="659"/>
      <c r="H9" s="652"/>
      <c r="I9" s="659"/>
      <c r="J9" s="659">
        <v>27.69</v>
      </c>
      <c r="K9" s="368">
        <f t="shared" si="0"/>
        <v>1218.3600000000001</v>
      </c>
      <c r="L9" s="654">
        <f t="shared" si="1"/>
        <v>4.2497816960889248E-5</v>
      </c>
      <c r="M9" s="654">
        <f t="shared" si="2"/>
        <v>44</v>
      </c>
      <c r="O9" s="679">
        <f t="shared" si="3"/>
        <v>1.8057060243313644E-3</v>
      </c>
      <c r="Q9" s="681">
        <f>Q7-Q8</f>
        <v>4.9999999813735485E-2</v>
      </c>
      <c r="R9" s="667"/>
    </row>
    <row r="10" spans="1:20" ht="12" thickBot="1">
      <c r="A10" s="197" t="s">
        <v>1273</v>
      </c>
      <c r="B10" s="309"/>
      <c r="C10" s="309" t="s">
        <v>246</v>
      </c>
      <c r="D10" s="309"/>
      <c r="E10" s="689">
        <v>353</v>
      </c>
      <c r="F10" s="662"/>
      <c r="G10" s="659"/>
      <c r="H10" s="652"/>
      <c r="I10" s="659"/>
      <c r="J10" s="659">
        <v>28.89</v>
      </c>
      <c r="K10" s="368">
        <f t="shared" si="0"/>
        <v>10198.17</v>
      </c>
      <c r="L10" s="654">
        <f t="shared" si="1"/>
        <v>3.5572405692572956E-4</v>
      </c>
      <c r="M10" s="654">
        <f t="shared" si="2"/>
        <v>353</v>
      </c>
      <c r="O10" s="679">
        <f t="shared" si="3"/>
        <v>1.7307026588347346E-3</v>
      </c>
      <c r="Q10" s="681"/>
      <c r="R10" s="667"/>
    </row>
    <row r="11" spans="1:20" ht="12" thickBot="1">
      <c r="A11" s="197" t="s">
        <v>1273</v>
      </c>
      <c r="B11" s="147"/>
      <c r="C11" s="147" t="s">
        <v>252</v>
      </c>
      <c r="D11" s="309"/>
      <c r="E11" s="689">
        <v>3884</v>
      </c>
      <c r="F11" s="662"/>
      <c r="G11" s="659"/>
      <c r="H11" s="652"/>
      <c r="I11" s="659"/>
      <c r="J11" s="659">
        <v>9.57</v>
      </c>
      <c r="K11" s="368">
        <f t="shared" si="0"/>
        <v>37169.880000000005</v>
      </c>
      <c r="L11" s="654">
        <f t="shared" si="1"/>
        <v>1.2965287408468909E-3</v>
      </c>
      <c r="M11" s="654">
        <f t="shared" si="2"/>
        <v>3884</v>
      </c>
      <c r="O11" s="679">
        <f t="shared" si="3"/>
        <v>5.2246603776108132E-3</v>
      </c>
      <c r="Q11" s="681"/>
      <c r="R11" s="667"/>
    </row>
    <row r="12" spans="1:20" ht="12" thickBot="1">
      <c r="A12" s="197" t="s">
        <v>1273</v>
      </c>
      <c r="B12" s="147"/>
      <c r="C12" s="147" t="s">
        <v>263</v>
      </c>
      <c r="D12" s="309"/>
      <c r="E12" s="689">
        <v>1965</v>
      </c>
      <c r="F12" s="662"/>
      <c r="G12" s="659"/>
      <c r="H12" s="652"/>
      <c r="I12" s="659"/>
      <c r="J12" s="659">
        <v>27.34</v>
      </c>
      <c r="K12" s="368">
        <f t="shared" si="0"/>
        <v>53723.1</v>
      </c>
      <c r="L12" s="654">
        <f t="shared" si="1"/>
        <v>1.8739243494300115E-3</v>
      </c>
      <c r="M12" s="654">
        <f t="shared" si="2"/>
        <v>1965</v>
      </c>
      <c r="O12" s="679">
        <f t="shared" si="3"/>
        <v>1.8288222316655261E-3</v>
      </c>
      <c r="Q12" s="677"/>
      <c r="R12" s="667"/>
    </row>
    <row r="13" spans="1:20" ht="12" thickBot="1">
      <c r="A13" s="197" t="s">
        <v>1273</v>
      </c>
      <c r="B13" s="147"/>
      <c r="C13" s="147" t="s">
        <v>264</v>
      </c>
      <c r="D13" s="309"/>
      <c r="E13" s="689">
        <v>2189</v>
      </c>
      <c r="F13" s="662"/>
      <c r="G13" s="659"/>
      <c r="H13" s="652"/>
      <c r="I13" s="659"/>
      <c r="J13" s="659">
        <v>31.4</v>
      </c>
      <c r="K13" s="368">
        <f t="shared" si="0"/>
        <v>68734.599999999991</v>
      </c>
      <c r="L13" s="654">
        <f t="shared" si="1"/>
        <v>2.3975429673330851E-3</v>
      </c>
      <c r="M13" s="654">
        <f t="shared" si="2"/>
        <v>2189</v>
      </c>
      <c r="O13" s="679">
        <f t="shared" si="3"/>
        <v>1.5923566819660982E-3</v>
      </c>
      <c r="Q13" s="667"/>
      <c r="R13" s="682"/>
    </row>
    <row r="14" spans="1:20" ht="12" thickBot="1">
      <c r="A14" s="197" t="s">
        <v>1273</v>
      </c>
      <c r="B14" s="147"/>
      <c r="C14" s="147" t="s">
        <v>267</v>
      </c>
      <c r="D14" s="309"/>
      <c r="E14" s="689">
        <v>16307</v>
      </c>
      <c r="F14" s="662"/>
      <c r="G14" s="659"/>
      <c r="H14" s="652"/>
      <c r="I14" s="652"/>
      <c r="J14" s="659">
        <v>17.189999999999998</v>
      </c>
      <c r="K14" s="368">
        <f t="shared" si="0"/>
        <v>280317.32999999996</v>
      </c>
      <c r="L14" s="654">
        <f t="shared" si="1"/>
        <v>9.777795217591834E-3</v>
      </c>
      <c r="M14" s="654">
        <f t="shared" si="2"/>
        <v>16307</v>
      </c>
      <c r="O14" s="679">
        <f t="shared" si="3"/>
        <v>2.9086678192981673E-3</v>
      </c>
      <c r="Q14" s="667">
        <f>'12MonResults'!$AL$32</f>
        <v>23728.47</v>
      </c>
      <c r="R14" s="682" t="s">
        <v>17</v>
      </c>
      <c r="S14" s="675" t="s">
        <v>1296</v>
      </c>
    </row>
    <row r="15" spans="1:20" ht="12" thickBot="1">
      <c r="A15" s="197" t="s">
        <v>1273</v>
      </c>
      <c r="B15" s="147"/>
      <c r="C15" s="147" t="s">
        <v>392</v>
      </c>
      <c r="D15" s="309"/>
      <c r="E15" s="689">
        <v>503</v>
      </c>
      <c r="F15" s="662"/>
      <c r="G15" s="659"/>
      <c r="H15" s="652"/>
      <c r="I15" s="652"/>
      <c r="J15" s="659">
        <v>24.89</v>
      </c>
      <c r="K15" s="368">
        <f t="shared" si="0"/>
        <v>12519.67</v>
      </c>
      <c r="L15" s="654">
        <f t="shared" si="1"/>
        <v>4.3670068294324855E-4</v>
      </c>
      <c r="M15" s="654">
        <f t="shared" si="2"/>
        <v>503</v>
      </c>
      <c r="O15" s="679">
        <f t="shared" si="3"/>
        <v>2.0088388836374239E-3</v>
      </c>
      <c r="Q15" s="667">
        <f>'12MonResults'!$AL$34</f>
        <v>25661.46</v>
      </c>
      <c r="R15" s="682" t="s">
        <v>18</v>
      </c>
    </row>
    <row r="16" spans="1:20" ht="12" thickBot="1">
      <c r="A16" s="197" t="s">
        <v>1273</v>
      </c>
      <c r="B16" s="309"/>
      <c r="C16" s="147" t="s">
        <v>268</v>
      </c>
      <c r="D16" s="309"/>
      <c r="E16" s="689">
        <f>1284-3</f>
        <v>1281</v>
      </c>
      <c r="F16" s="662"/>
      <c r="G16" s="659"/>
      <c r="H16" s="652"/>
      <c r="I16" s="652"/>
      <c r="J16" s="659">
        <v>14.17</v>
      </c>
      <c r="K16" s="368">
        <f t="shared" si="0"/>
        <v>18151.77</v>
      </c>
      <c r="L16" s="654">
        <f t="shared" si="1"/>
        <v>6.3315489590610378E-4</v>
      </c>
      <c r="M16" s="654">
        <f t="shared" si="2"/>
        <v>1281</v>
      </c>
      <c r="O16" s="679">
        <f t="shared" si="3"/>
        <v>3.5285814970878958E-3</v>
      </c>
      <c r="Q16" s="667">
        <f>Q14+Q15</f>
        <v>49389.93</v>
      </c>
      <c r="R16" s="682"/>
    </row>
    <row r="17" spans="1:18" ht="12" thickBot="1">
      <c r="A17" s="197" t="s">
        <v>1273</v>
      </c>
      <c r="B17" s="147"/>
      <c r="C17" s="147" t="s">
        <v>269</v>
      </c>
      <c r="D17" s="205"/>
      <c r="E17" s="654">
        <v>2198</v>
      </c>
      <c r="F17" s="654"/>
      <c r="G17" s="654"/>
      <c r="H17" s="652"/>
      <c r="I17" s="652"/>
      <c r="J17" s="652">
        <v>22.15</v>
      </c>
      <c r="K17" s="368">
        <f t="shared" si="0"/>
        <v>48685.7</v>
      </c>
      <c r="L17" s="654">
        <f t="shared" si="1"/>
        <v>1.6982139656692319E-3</v>
      </c>
      <c r="M17" s="654">
        <f t="shared" si="2"/>
        <v>2198</v>
      </c>
      <c r="O17" s="679">
        <f t="shared" si="3"/>
        <v>2.257336334705891E-3</v>
      </c>
      <c r="Q17" s="254"/>
      <c r="R17" s="661"/>
    </row>
    <row r="18" spans="1:18" ht="12" thickBot="1">
      <c r="A18" s="197" t="s">
        <v>1273</v>
      </c>
      <c r="B18" s="147"/>
      <c r="C18" s="147" t="s">
        <v>393</v>
      </c>
      <c r="D18" s="205"/>
      <c r="E18" s="654">
        <v>16</v>
      </c>
      <c r="F18" s="654"/>
      <c r="G18" s="654"/>
      <c r="H18" s="652"/>
      <c r="I18" s="652"/>
      <c r="J18" s="652">
        <v>72.550000000000011</v>
      </c>
      <c r="K18" s="368">
        <f t="shared" si="0"/>
        <v>1160.8000000000002</v>
      </c>
      <c r="L18" s="654">
        <f t="shared" si="1"/>
        <v>4.0490057067041136E-5</v>
      </c>
      <c r="M18" s="654">
        <f t="shared" si="2"/>
        <v>16</v>
      </c>
      <c r="O18" s="679">
        <f t="shared" si="3"/>
        <v>6.8917987338022713E-4</v>
      </c>
      <c r="Q18" s="254"/>
      <c r="R18" s="661"/>
    </row>
    <row r="19" spans="1:18" ht="12" thickBot="1">
      <c r="A19" s="197" t="s">
        <v>1273</v>
      </c>
      <c r="B19" s="147"/>
      <c r="C19" s="147" t="s">
        <v>394</v>
      </c>
      <c r="D19" s="205"/>
      <c r="E19" s="654">
        <v>11</v>
      </c>
      <c r="F19" s="654"/>
      <c r="G19" s="654"/>
      <c r="H19" s="652"/>
      <c r="I19" s="652"/>
      <c r="J19" s="652">
        <v>41.43</v>
      </c>
      <c r="K19" s="368">
        <f t="shared" si="0"/>
        <v>455.73</v>
      </c>
      <c r="L19" s="654">
        <f t="shared" si="1"/>
        <v>1.5896393614027099E-5</v>
      </c>
      <c r="M19" s="654">
        <f t="shared" si="2"/>
        <v>11</v>
      </c>
      <c r="O19" s="679">
        <f t="shared" si="3"/>
        <v>1.2068549315408033E-3</v>
      </c>
      <c r="Q19" s="254"/>
      <c r="R19" s="661"/>
    </row>
    <row r="20" spans="1:18" ht="12" thickBot="1">
      <c r="A20" s="197" t="s">
        <v>1273</v>
      </c>
      <c r="B20" s="147"/>
      <c r="C20" s="147" t="s">
        <v>398</v>
      </c>
      <c r="D20" s="205"/>
      <c r="E20" s="654">
        <v>44</v>
      </c>
      <c r="F20" s="654"/>
      <c r="G20" s="654"/>
      <c r="H20" s="652"/>
      <c r="I20" s="652"/>
      <c r="J20" s="652">
        <v>19.38</v>
      </c>
      <c r="K20" s="368">
        <f t="shared" si="0"/>
        <v>852.71999999999991</v>
      </c>
      <c r="L20" s="654">
        <f t="shared" si="1"/>
        <v>2.9743867558758882E-5</v>
      </c>
      <c r="M20" s="654">
        <f t="shared" si="2"/>
        <v>44</v>
      </c>
      <c r="O20" s="679">
        <f t="shared" si="3"/>
        <v>2.5799793505539466E-3</v>
      </c>
      <c r="Q20" s="254"/>
      <c r="R20" s="661"/>
    </row>
    <row r="21" spans="1:18" ht="12" thickBot="1">
      <c r="A21" s="197" t="s">
        <v>1273</v>
      </c>
      <c r="B21" s="147"/>
      <c r="C21" s="147" t="s">
        <v>395</v>
      </c>
      <c r="D21" s="205"/>
      <c r="E21" s="654">
        <v>235</v>
      </c>
      <c r="F21" s="654"/>
      <c r="G21" s="654"/>
      <c r="H21" s="652"/>
      <c r="I21" s="652"/>
      <c r="J21" s="652">
        <v>20.349999999999998</v>
      </c>
      <c r="K21" s="368">
        <f t="shared" si="0"/>
        <v>4782.2499999999991</v>
      </c>
      <c r="L21" s="654">
        <f t="shared" si="1"/>
        <v>1.6681045434946366E-4</v>
      </c>
      <c r="M21" s="654">
        <f t="shared" si="2"/>
        <v>235</v>
      </c>
      <c r="O21" s="679">
        <f t="shared" si="3"/>
        <v>2.4570024478494097E-3</v>
      </c>
      <c r="Q21" s="254"/>
      <c r="R21" s="661"/>
    </row>
    <row r="22" spans="1:18" ht="12" thickBot="1">
      <c r="A22" s="197" t="s">
        <v>1273</v>
      </c>
      <c r="B22" s="309"/>
      <c r="C22" s="309" t="s">
        <v>396</v>
      </c>
      <c r="D22" s="205"/>
      <c r="E22" s="654">
        <v>101</v>
      </c>
      <c r="F22" s="654"/>
      <c r="G22" s="654"/>
      <c r="H22" s="652"/>
      <c r="I22" s="652"/>
      <c r="J22" s="652">
        <v>19.53</v>
      </c>
      <c r="K22" s="368">
        <f t="shared" si="0"/>
        <v>1972.5300000000002</v>
      </c>
      <c r="L22" s="654">
        <f t="shared" si="1"/>
        <v>6.8804145646494364E-5</v>
      </c>
      <c r="M22" s="654">
        <f t="shared" si="2"/>
        <v>101</v>
      </c>
      <c r="O22" s="679">
        <f t="shared" si="3"/>
        <v>2.5601638409490776E-3</v>
      </c>
      <c r="Q22" s="254"/>
      <c r="R22" s="661"/>
    </row>
    <row r="23" spans="1:18" ht="12" thickBot="1">
      <c r="A23" s="197" t="s">
        <v>1273</v>
      </c>
      <c r="B23" s="147"/>
      <c r="C23" s="147" t="s">
        <v>397</v>
      </c>
      <c r="D23" s="205"/>
      <c r="E23" s="654">
        <v>78</v>
      </c>
      <c r="F23" s="654"/>
      <c r="G23" s="654"/>
      <c r="H23" s="652"/>
      <c r="I23" s="652"/>
      <c r="J23" s="652">
        <v>20.819999999999997</v>
      </c>
      <c r="K23" s="368">
        <f t="shared" si="0"/>
        <v>1623.9599999999998</v>
      </c>
      <c r="L23" s="654">
        <f t="shared" si="1"/>
        <v>5.664561774172304E-5</v>
      </c>
      <c r="M23" s="654">
        <f t="shared" si="2"/>
        <v>78</v>
      </c>
      <c r="O23" s="679">
        <f t="shared" si="3"/>
        <v>2.4015369747231266E-3</v>
      </c>
      <c r="Q23" s="254"/>
      <c r="R23" s="661"/>
    </row>
    <row r="24" spans="1:18" ht="12" thickBot="1">
      <c r="A24" s="197" t="s">
        <v>1273</v>
      </c>
      <c r="B24" s="147"/>
      <c r="C24" s="147" t="s">
        <v>287</v>
      </c>
      <c r="D24" s="205"/>
      <c r="E24" s="654">
        <v>532</v>
      </c>
      <c r="F24" s="654"/>
      <c r="G24" s="654"/>
      <c r="H24" s="652"/>
      <c r="I24" s="652"/>
      <c r="J24" s="652">
        <v>19.2</v>
      </c>
      <c r="K24" s="368">
        <f t="shared" si="0"/>
        <v>10214.4</v>
      </c>
      <c r="L24" s="654">
        <f t="shared" si="1"/>
        <v>3.562901782439567E-4</v>
      </c>
      <c r="M24" s="654">
        <f t="shared" si="2"/>
        <v>532</v>
      </c>
      <c r="O24" s="679">
        <f t="shared" si="3"/>
        <v>2.6041666569653898E-3</v>
      </c>
      <c r="Q24" s="254"/>
      <c r="R24" s="661"/>
    </row>
    <row r="25" spans="1:18" ht="12" thickBot="1">
      <c r="A25" s="197" t="s">
        <v>1273</v>
      </c>
      <c r="B25" s="147"/>
      <c r="C25" s="147" t="s">
        <v>288</v>
      </c>
      <c r="D25" s="205"/>
      <c r="E25" s="654">
        <v>509</v>
      </c>
      <c r="F25" s="654"/>
      <c r="G25" s="654"/>
      <c r="H25" s="652"/>
      <c r="I25" s="652"/>
      <c r="J25" s="652">
        <v>22.949999999999996</v>
      </c>
      <c r="K25" s="368">
        <f t="shared" si="0"/>
        <v>11681.549999999997</v>
      </c>
      <c r="L25" s="654">
        <f t="shared" si="1"/>
        <v>4.0746608040273454E-4</v>
      </c>
      <c r="M25" s="654">
        <f t="shared" si="2"/>
        <v>509</v>
      </c>
      <c r="O25" s="679">
        <f t="shared" si="3"/>
        <v>2.1786492293566664E-3</v>
      </c>
      <c r="Q25" s="254"/>
      <c r="R25" s="661"/>
    </row>
    <row r="26" spans="1:18" ht="12" thickBot="1">
      <c r="A26" s="197" t="s">
        <v>1273</v>
      </c>
      <c r="B26" s="147"/>
      <c r="C26" s="147" t="s">
        <v>291</v>
      </c>
      <c r="D26" s="205"/>
      <c r="E26" s="654">
        <v>51</v>
      </c>
      <c r="F26" s="654"/>
      <c r="G26" s="654"/>
      <c r="H26" s="652"/>
      <c r="I26" s="652"/>
      <c r="J26" s="652">
        <v>17.419999999999998</v>
      </c>
      <c r="K26" s="368">
        <f t="shared" si="0"/>
        <v>888.42</v>
      </c>
      <c r="L26" s="654">
        <f t="shared" si="1"/>
        <v>3.0989125171864821E-5</v>
      </c>
      <c r="M26" s="654">
        <f t="shared" si="2"/>
        <v>51</v>
      </c>
      <c r="O26" s="679">
        <f t="shared" si="3"/>
        <v>2.8702640536013486E-3</v>
      </c>
      <c r="Q26" s="254"/>
      <c r="R26" s="661"/>
    </row>
    <row r="27" spans="1:18" ht="12" thickBot="1">
      <c r="A27" s="197" t="s">
        <v>1273</v>
      </c>
      <c r="B27" s="147"/>
      <c r="C27" s="147" t="s">
        <v>297</v>
      </c>
      <c r="D27" s="205"/>
      <c r="E27" s="654">
        <v>38</v>
      </c>
      <c r="F27" s="654"/>
      <c r="G27" s="654"/>
      <c r="H27" s="652"/>
      <c r="I27" s="652"/>
      <c r="J27" s="652">
        <v>13.12</v>
      </c>
      <c r="K27" s="368">
        <f t="shared" si="0"/>
        <v>498.55999999999995</v>
      </c>
      <c r="L27" s="654">
        <f t="shared" si="1"/>
        <v>1.7390353938097886E-5</v>
      </c>
      <c r="M27" s="654">
        <f t="shared" si="2"/>
        <v>38</v>
      </c>
      <c r="O27" s="679">
        <f t="shared" si="3"/>
        <v>3.8109755955591071E-3</v>
      </c>
      <c r="Q27" s="254"/>
      <c r="R27" s="661"/>
    </row>
    <row r="28" spans="1:18" ht="12" thickBot="1">
      <c r="A28" s="197" t="s">
        <v>1273</v>
      </c>
      <c r="B28" s="309"/>
      <c r="C28" s="309" t="s">
        <v>299</v>
      </c>
      <c r="D28" s="205"/>
      <c r="E28" s="654">
        <v>16</v>
      </c>
      <c r="F28" s="654"/>
      <c r="G28" s="654"/>
      <c r="H28" s="652"/>
      <c r="I28" s="652"/>
      <c r="J28" s="652">
        <v>9.0200000000000014</v>
      </c>
      <c r="K28" s="368">
        <f t="shared" si="0"/>
        <v>144.32000000000002</v>
      </c>
      <c r="L28" s="654">
        <f t="shared" si="1"/>
        <v>5.0340498241862311E-6</v>
      </c>
      <c r="M28" s="654">
        <f t="shared" si="2"/>
        <v>16</v>
      </c>
      <c r="O28" s="679">
        <f t="shared" si="3"/>
        <v>5.5432372299041551E-3</v>
      </c>
      <c r="Q28" s="254"/>
      <c r="R28" s="661"/>
    </row>
    <row r="29" spans="1:18" ht="12" thickBot="1">
      <c r="A29" s="197" t="s">
        <v>1273</v>
      </c>
      <c r="B29" s="147"/>
      <c r="C29" s="147" t="s">
        <v>377</v>
      </c>
      <c r="D29" s="205"/>
      <c r="E29" s="654">
        <v>31</v>
      </c>
      <c r="F29" s="654"/>
      <c r="G29" s="654"/>
      <c r="H29" s="652"/>
      <c r="I29" s="652"/>
      <c r="J29" s="652">
        <v>23.89</v>
      </c>
      <c r="K29" s="368">
        <f t="shared" si="0"/>
        <v>740.59</v>
      </c>
      <c r="L29" s="654">
        <f t="shared" si="1"/>
        <v>2.5832642456305992E-5</v>
      </c>
      <c r="M29" s="654">
        <f t="shared" si="2"/>
        <v>31</v>
      </c>
      <c r="O29" s="679">
        <f t="shared" si="3"/>
        <v>2.0929259026260146E-3</v>
      </c>
      <c r="Q29" s="254"/>
      <c r="R29" s="661"/>
    </row>
    <row r="30" spans="1:18" ht="12" thickBot="1">
      <c r="A30" s="197" t="s">
        <v>1273</v>
      </c>
      <c r="B30" s="147"/>
      <c r="C30" s="147" t="s">
        <v>737</v>
      </c>
      <c r="D30" s="205"/>
      <c r="E30" s="654">
        <v>4</v>
      </c>
      <c r="F30" s="654"/>
      <c r="G30" s="654"/>
      <c r="H30" s="652"/>
      <c r="I30" s="652"/>
      <c r="J30" s="652">
        <v>24.9</v>
      </c>
      <c r="K30" s="368">
        <f t="shared" si="0"/>
        <v>99.6</v>
      </c>
      <c r="L30" s="654">
        <f t="shared" si="1"/>
        <v>3.4741640970686565E-6</v>
      </c>
      <c r="M30" s="654">
        <f t="shared" si="2"/>
        <v>4</v>
      </c>
      <c r="O30" s="679">
        <f t="shared" si="3"/>
        <v>2.0080321210335537E-3</v>
      </c>
      <c r="Q30" s="254"/>
      <c r="R30" s="661"/>
    </row>
    <row r="31" spans="1:18" ht="12" thickBot="1">
      <c r="A31" s="197" t="s">
        <v>1273</v>
      </c>
      <c r="B31" s="147"/>
      <c r="C31" s="147" t="s">
        <v>329</v>
      </c>
      <c r="D31" s="205"/>
      <c r="E31" s="654">
        <v>214</v>
      </c>
      <c r="F31" s="654"/>
      <c r="G31" s="654"/>
      <c r="H31" s="652"/>
      <c r="I31" s="652"/>
      <c r="J31" s="652">
        <v>19.79</v>
      </c>
      <c r="K31" s="368">
        <f t="shared" si="0"/>
        <v>4235.0599999999995</v>
      </c>
      <c r="L31" s="654">
        <f t="shared" si="1"/>
        <v>1.4772382932662232E-4</v>
      </c>
      <c r="M31" s="654">
        <f t="shared" si="2"/>
        <v>214</v>
      </c>
      <c r="O31" s="679">
        <f t="shared" si="3"/>
        <v>2.5265285403605602E-3</v>
      </c>
      <c r="Q31" s="254"/>
      <c r="R31" s="661"/>
    </row>
    <row r="32" spans="1:18" ht="12" thickBot="1">
      <c r="A32" s="197" t="s">
        <v>1273</v>
      </c>
      <c r="B32" s="147"/>
      <c r="C32" s="147" t="s">
        <v>330</v>
      </c>
      <c r="D32" s="205"/>
      <c r="E32" s="654">
        <v>1968</v>
      </c>
      <c r="F32" s="654"/>
      <c r="G32" s="654"/>
      <c r="H32" s="652"/>
      <c r="I32" s="652"/>
      <c r="J32" s="652">
        <v>20.49</v>
      </c>
      <c r="K32" s="368">
        <f t="shared" si="0"/>
        <v>40324.32</v>
      </c>
      <c r="L32" s="654">
        <f t="shared" si="1"/>
        <v>1.4065592849669436E-3</v>
      </c>
      <c r="M32" s="654">
        <f t="shared" si="2"/>
        <v>1968</v>
      </c>
      <c r="O32" s="679">
        <f t="shared" si="3"/>
        <v>2.4402147298065147E-3</v>
      </c>
      <c r="Q32" s="254"/>
      <c r="R32" s="661"/>
    </row>
    <row r="33" spans="1:18" ht="12" thickBot="1">
      <c r="A33" s="197" t="s">
        <v>1273</v>
      </c>
      <c r="B33" s="309"/>
      <c r="C33" s="309" t="s">
        <v>332</v>
      </c>
      <c r="D33" s="205"/>
      <c r="E33" s="654">
        <v>30</v>
      </c>
      <c r="F33" s="654"/>
      <c r="G33" s="654"/>
      <c r="H33" s="652"/>
      <c r="I33" s="652"/>
      <c r="J33" s="652">
        <v>20.18</v>
      </c>
      <c r="K33" s="368">
        <f t="shared" si="0"/>
        <v>605.4</v>
      </c>
      <c r="L33" s="654">
        <f t="shared" si="1"/>
        <v>2.1117057674351051E-5</v>
      </c>
      <c r="M33" s="654">
        <f t="shared" si="2"/>
        <v>30</v>
      </c>
      <c r="O33" s="679">
        <f t="shared" si="3"/>
        <v>2.4777006845260398E-3</v>
      </c>
      <c r="Q33" s="254"/>
      <c r="R33" s="661"/>
    </row>
    <row r="34" spans="1:18" ht="12" thickBot="1">
      <c r="A34" s="197" t="s">
        <v>1273</v>
      </c>
      <c r="B34" s="147"/>
      <c r="C34" s="147" t="s">
        <v>333</v>
      </c>
      <c r="D34" s="205"/>
      <c r="E34" s="654">
        <v>1748</v>
      </c>
      <c r="F34" s="654"/>
      <c r="G34" s="654"/>
      <c r="H34" s="652"/>
      <c r="I34" s="652"/>
      <c r="J34" s="652">
        <v>22.56</v>
      </c>
      <c r="K34" s="368">
        <f t="shared" si="0"/>
        <v>39434.879999999997</v>
      </c>
      <c r="L34" s="654">
        <f t="shared" si="1"/>
        <v>1.3755345810061326E-3</v>
      </c>
      <c r="M34" s="654">
        <f t="shared" si="2"/>
        <v>1748</v>
      </c>
      <c r="O34" s="679">
        <f t="shared" si="3"/>
        <v>2.2163120484811828E-3</v>
      </c>
      <c r="Q34" s="254"/>
      <c r="R34" s="661"/>
    </row>
    <row r="35" spans="1:18" ht="12" thickBot="1">
      <c r="A35" s="197" t="s">
        <v>1273</v>
      </c>
      <c r="B35" s="147"/>
      <c r="C35" s="147" t="s">
        <v>334</v>
      </c>
      <c r="D35" s="205"/>
      <c r="E35" s="654">
        <v>34</v>
      </c>
      <c r="F35" s="654"/>
      <c r="G35" s="654"/>
      <c r="H35" s="652"/>
      <c r="I35" s="652"/>
      <c r="J35" s="652">
        <v>23.68</v>
      </c>
      <c r="K35" s="368">
        <f t="shared" si="0"/>
        <v>805.12</v>
      </c>
      <c r="L35" s="654">
        <f t="shared" si="1"/>
        <v>2.8083524074617642E-5</v>
      </c>
      <c r="M35" s="654">
        <f t="shared" si="2"/>
        <v>34</v>
      </c>
      <c r="O35" s="679">
        <f t="shared" si="3"/>
        <v>2.1114864786205864E-3</v>
      </c>
      <c r="Q35" s="254"/>
      <c r="R35" s="661"/>
    </row>
    <row r="36" spans="1:18" ht="12" thickBot="1">
      <c r="A36" s="197" t="s">
        <v>1273</v>
      </c>
      <c r="B36" s="147"/>
      <c r="C36" s="147" t="s">
        <v>336</v>
      </c>
      <c r="D36" s="205"/>
      <c r="E36" s="654">
        <v>107</v>
      </c>
      <c r="F36" s="654"/>
      <c r="G36" s="654"/>
      <c r="H36" s="652"/>
      <c r="I36" s="652"/>
      <c r="J36" s="652">
        <v>24.77</v>
      </c>
      <c r="K36" s="368">
        <f t="shared" si="0"/>
        <v>2650.39</v>
      </c>
      <c r="L36" s="654">
        <f t="shared" si="1"/>
        <v>9.2448692582628488E-5</v>
      </c>
      <c r="M36" s="654">
        <f t="shared" si="2"/>
        <v>107</v>
      </c>
      <c r="O36" s="679">
        <f t="shared" si="3"/>
        <v>2.018570844317137E-3</v>
      </c>
      <c r="Q36" s="254"/>
      <c r="R36" s="661"/>
    </row>
    <row r="37" spans="1:18" ht="12" thickBot="1">
      <c r="A37" s="197" t="s">
        <v>1273</v>
      </c>
      <c r="B37" s="147"/>
      <c r="C37" s="147" t="s">
        <v>337</v>
      </c>
      <c r="D37" s="205"/>
      <c r="E37" s="654">
        <v>45</v>
      </c>
      <c r="F37" s="654"/>
      <c r="G37" s="654"/>
      <c r="H37" s="652"/>
      <c r="I37" s="652"/>
      <c r="J37" s="652">
        <v>29.889999999999997</v>
      </c>
      <c r="K37" s="368">
        <f t="shared" si="0"/>
        <v>1345.05</v>
      </c>
      <c r="L37" s="654">
        <f t="shared" si="1"/>
        <v>4.6916911834961814E-5</v>
      </c>
      <c r="M37" s="654">
        <f t="shared" si="2"/>
        <v>45</v>
      </c>
      <c r="O37" s="679">
        <f t="shared" si="3"/>
        <v>1.6728002614163763E-3</v>
      </c>
      <c r="Q37" s="254"/>
      <c r="R37" s="661"/>
    </row>
    <row r="38" spans="1:18" ht="12" thickBot="1">
      <c r="A38" s="197" t="s">
        <v>1273</v>
      </c>
      <c r="B38" s="147"/>
      <c r="C38" s="147" t="s">
        <v>338</v>
      </c>
      <c r="D38" s="205"/>
      <c r="E38" s="654">
        <v>170</v>
      </c>
      <c r="F38" s="654"/>
      <c r="G38" s="654"/>
      <c r="H38" s="652"/>
      <c r="I38" s="652"/>
      <c r="J38" s="652">
        <v>32.860000000000007</v>
      </c>
      <c r="K38" s="368">
        <f t="shared" si="0"/>
        <v>5586.2000000000007</v>
      </c>
      <c r="L38" s="654">
        <f t="shared" si="1"/>
        <v>1.9485316746029049E-4</v>
      </c>
      <c r="M38" s="654">
        <f t="shared" si="2"/>
        <v>170</v>
      </c>
      <c r="O38" s="679">
        <f t="shared" si="3"/>
        <v>1.5216068111301119E-3</v>
      </c>
      <c r="Q38" s="254"/>
      <c r="R38" s="661"/>
    </row>
    <row r="39" spans="1:18" ht="12" thickBot="1">
      <c r="A39" s="197" t="s">
        <v>1273</v>
      </c>
      <c r="B39" s="147"/>
      <c r="C39" s="147" t="s">
        <v>339</v>
      </c>
      <c r="D39" s="205"/>
      <c r="E39" s="654">
        <v>343</v>
      </c>
      <c r="F39" s="654"/>
      <c r="G39" s="654"/>
      <c r="H39" s="652"/>
      <c r="I39" s="652"/>
      <c r="J39" s="652">
        <v>38.389999999999993</v>
      </c>
      <c r="K39" s="368">
        <f t="shared" si="0"/>
        <v>13167.769999999999</v>
      </c>
      <c r="L39" s="654">
        <f t="shared" si="1"/>
        <v>4.5930716639013794E-4</v>
      </c>
      <c r="M39" s="654">
        <f t="shared" si="2"/>
        <v>343</v>
      </c>
      <c r="O39" s="679">
        <f t="shared" si="3"/>
        <v>1.3024225010089996E-3</v>
      </c>
      <c r="Q39" s="254"/>
      <c r="R39" s="661"/>
    </row>
    <row r="40" spans="1:18" ht="12" thickBot="1">
      <c r="A40" s="197" t="s">
        <v>1273</v>
      </c>
      <c r="B40" s="309"/>
      <c r="C40" s="309" t="s">
        <v>340</v>
      </c>
      <c r="D40" s="205"/>
      <c r="E40" s="654">
        <v>16</v>
      </c>
      <c r="F40" s="654"/>
      <c r="G40" s="654"/>
      <c r="H40" s="652"/>
      <c r="I40" s="652"/>
      <c r="J40" s="652">
        <v>26.349999999999998</v>
      </c>
      <c r="K40" s="368">
        <f t="shared" si="0"/>
        <v>421.59999999999997</v>
      </c>
      <c r="L40" s="654">
        <f t="shared" si="1"/>
        <v>1.4705899430965317E-5</v>
      </c>
      <c r="M40" s="654">
        <f t="shared" si="2"/>
        <v>16</v>
      </c>
      <c r="O40" s="679">
        <f t="shared" si="3"/>
        <v>1.8975331997622576E-3</v>
      </c>
      <c r="Q40" s="254"/>
      <c r="R40" s="661"/>
    </row>
    <row r="41" spans="1:18" ht="12" thickBot="1">
      <c r="A41" s="197" t="s">
        <v>1273</v>
      </c>
      <c r="B41" s="147"/>
      <c r="C41" s="147" t="s">
        <v>341</v>
      </c>
      <c r="D41" s="205"/>
      <c r="E41" s="654">
        <v>371</v>
      </c>
      <c r="F41" s="654"/>
      <c r="G41" s="654"/>
      <c r="H41" s="652"/>
      <c r="I41" s="652"/>
      <c r="J41" s="652">
        <v>28.45</v>
      </c>
      <c r="K41" s="368">
        <f t="shared" si="0"/>
        <v>10554.949999999999</v>
      </c>
      <c r="L41" s="654">
        <f t="shared" si="1"/>
        <v>3.6816895920034956E-4</v>
      </c>
      <c r="M41" s="654">
        <f t="shared" si="2"/>
        <v>371</v>
      </c>
      <c r="O41" s="679">
        <f t="shared" si="3"/>
        <v>1.7574692377411419E-3</v>
      </c>
      <c r="Q41" s="254"/>
      <c r="R41" s="661"/>
    </row>
    <row r="42" spans="1:18" ht="12" thickBot="1">
      <c r="A42" s="197" t="s">
        <v>1273</v>
      </c>
      <c r="B42" s="147"/>
      <c r="C42" s="147" t="s">
        <v>342</v>
      </c>
      <c r="D42" s="205"/>
      <c r="E42" s="654">
        <v>33</v>
      </c>
      <c r="F42" s="654"/>
      <c r="G42" s="654"/>
      <c r="H42" s="652"/>
      <c r="I42" s="652"/>
      <c r="J42" s="652">
        <v>34.029999999999994</v>
      </c>
      <c r="K42" s="368">
        <f t="shared" si="0"/>
        <v>1122.9899999999998</v>
      </c>
      <c r="L42" s="654">
        <f t="shared" si="1"/>
        <v>3.9171200194449093E-5</v>
      </c>
      <c r="M42" s="654">
        <f t="shared" si="2"/>
        <v>33</v>
      </c>
      <c r="O42" s="679">
        <f t="shared" si="3"/>
        <v>1.4692917958782103E-3</v>
      </c>
      <c r="Q42" s="254"/>
      <c r="R42" s="661"/>
    </row>
    <row r="43" spans="1:18" ht="12" thickBot="1">
      <c r="A43" s="197" t="s">
        <v>1273</v>
      </c>
      <c r="B43" s="147"/>
      <c r="C43" s="147" t="s">
        <v>343</v>
      </c>
      <c r="D43" s="205"/>
      <c r="E43" s="654">
        <v>39</v>
      </c>
      <c r="F43" s="654"/>
      <c r="G43" s="654"/>
      <c r="H43" s="652"/>
      <c r="I43" s="652"/>
      <c r="J43" s="652">
        <v>33.22</v>
      </c>
      <c r="K43" s="368">
        <f t="shared" si="0"/>
        <v>1295.58</v>
      </c>
      <c r="L43" s="654">
        <f t="shared" si="1"/>
        <v>4.5191340571086443E-5</v>
      </c>
      <c r="M43" s="654">
        <f t="shared" si="2"/>
        <v>39</v>
      </c>
      <c r="O43" s="679">
        <f t="shared" si="3"/>
        <v>1.505117393550135E-3</v>
      </c>
      <c r="Q43" s="254"/>
      <c r="R43" s="661"/>
    </row>
    <row r="44" spans="1:18" ht="12" thickBot="1">
      <c r="A44" s="197" t="s">
        <v>1273</v>
      </c>
      <c r="B44" s="147"/>
      <c r="C44" s="147" t="s">
        <v>344</v>
      </c>
      <c r="D44" s="205"/>
      <c r="E44" s="654">
        <v>50</v>
      </c>
      <c r="F44" s="654"/>
      <c r="G44" s="654"/>
      <c r="H44" s="652"/>
      <c r="I44" s="652"/>
      <c r="J44" s="652">
        <v>35.199999999999996</v>
      </c>
      <c r="K44" s="368">
        <f t="shared" si="0"/>
        <v>1759.9999999999998</v>
      </c>
      <c r="L44" s="654">
        <f t="shared" si="1"/>
        <v>6.1390851514466218E-5</v>
      </c>
      <c r="M44" s="654">
        <f t="shared" si="2"/>
        <v>50</v>
      </c>
      <c r="O44" s="679">
        <f t="shared" si="3"/>
        <v>1.42045454016294E-3</v>
      </c>
      <c r="Q44" s="254"/>
      <c r="R44" s="661"/>
    </row>
    <row r="45" spans="1:18" ht="12" thickBot="1">
      <c r="A45" s="197" t="s">
        <v>1273</v>
      </c>
      <c r="B45" s="147"/>
      <c r="C45" s="147" t="s">
        <v>345</v>
      </c>
      <c r="D45" s="205"/>
      <c r="E45" s="654">
        <v>198</v>
      </c>
      <c r="F45" s="654"/>
      <c r="G45" s="654"/>
      <c r="H45" s="652"/>
      <c r="I45" s="652"/>
      <c r="J45" s="652">
        <v>34.090000000000003</v>
      </c>
      <c r="K45" s="368">
        <f t="shared" si="0"/>
        <v>6749.8200000000006</v>
      </c>
      <c r="L45" s="654">
        <f t="shared" si="1"/>
        <v>2.3544158941441728E-4</v>
      </c>
      <c r="M45" s="654">
        <f t="shared" si="2"/>
        <v>198</v>
      </c>
      <c r="O45" s="679">
        <f t="shared" si="3"/>
        <v>1.4667057733568636E-3</v>
      </c>
      <c r="Q45" s="254"/>
      <c r="R45" s="661"/>
    </row>
    <row r="46" spans="1:18" ht="12" thickBot="1">
      <c r="A46" s="197" t="s">
        <v>1273</v>
      </c>
      <c r="B46" s="147"/>
      <c r="C46" s="147" t="s">
        <v>346</v>
      </c>
      <c r="D46" s="205"/>
      <c r="E46" s="654">
        <v>183</v>
      </c>
      <c r="F46" s="654"/>
      <c r="G46" s="654"/>
      <c r="H46" s="652"/>
      <c r="I46" s="652"/>
      <c r="J46" s="652">
        <v>36.07</v>
      </c>
      <c r="K46" s="368">
        <f t="shared" si="0"/>
        <v>6600.81</v>
      </c>
      <c r="L46" s="654">
        <f t="shared" si="1"/>
        <v>2.3024394692341125E-4</v>
      </c>
      <c r="M46" s="654">
        <f t="shared" si="2"/>
        <v>183</v>
      </c>
      <c r="O46" s="679">
        <f t="shared" si="3"/>
        <v>1.3861935074503877E-3</v>
      </c>
      <c r="Q46" s="254"/>
      <c r="R46" s="661"/>
    </row>
    <row r="47" spans="1:18" ht="12" thickBot="1">
      <c r="A47" s="197" t="s">
        <v>1273</v>
      </c>
      <c r="B47" s="309"/>
      <c r="C47" s="309" t="s">
        <v>347</v>
      </c>
      <c r="D47" s="205"/>
      <c r="E47" s="654">
        <v>12</v>
      </c>
      <c r="F47" s="654"/>
      <c r="G47" s="654"/>
      <c r="H47" s="652"/>
      <c r="I47" s="652"/>
      <c r="J47" s="652">
        <v>32.26</v>
      </c>
      <c r="K47" s="368">
        <f t="shared" si="0"/>
        <v>387.12</v>
      </c>
      <c r="L47" s="654">
        <f t="shared" si="1"/>
        <v>1.3503196839931911E-5</v>
      </c>
      <c r="M47" s="654">
        <f t="shared" si="2"/>
        <v>12</v>
      </c>
      <c r="O47" s="679">
        <f t="shared" si="3"/>
        <v>1.5499069998058117E-3</v>
      </c>
      <c r="Q47" s="254"/>
      <c r="R47" s="661"/>
    </row>
    <row r="48" spans="1:18" ht="12" thickBot="1">
      <c r="A48" s="197" t="s">
        <v>1273</v>
      </c>
      <c r="B48" s="147"/>
      <c r="C48" s="147" t="s">
        <v>348</v>
      </c>
      <c r="D48" s="205"/>
      <c r="E48" s="654">
        <v>43</v>
      </c>
      <c r="F48" s="654"/>
      <c r="G48" s="654"/>
      <c r="H48" s="652"/>
      <c r="I48" s="652"/>
      <c r="J48" s="652">
        <v>32.93</v>
      </c>
      <c r="K48" s="368">
        <f t="shared" si="0"/>
        <v>1415.99</v>
      </c>
      <c r="L48" s="654">
        <f t="shared" si="1"/>
        <v>4.9391381724982409E-5</v>
      </c>
      <c r="M48" s="654">
        <f t="shared" si="2"/>
        <v>43</v>
      </c>
      <c r="O48" s="679">
        <f t="shared" si="3"/>
        <v>1.5183722992327812E-3</v>
      </c>
      <c r="Q48" s="254"/>
      <c r="R48" s="661"/>
    </row>
    <row r="49" spans="1:18" ht="12" thickBot="1">
      <c r="A49" s="197" t="s">
        <v>1273</v>
      </c>
      <c r="B49" s="147"/>
      <c r="C49" s="147" t="s">
        <v>376</v>
      </c>
      <c r="D49" s="205"/>
      <c r="E49" s="654">
        <v>10</v>
      </c>
      <c r="F49" s="654"/>
      <c r="G49" s="654"/>
      <c r="H49" s="652"/>
      <c r="I49" s="652"/>
      <c r="J49" s="652">
        <v>34.330000000000005</v>
      </c>
      <c r="K49" s="368">
        <f t="shared" si="0"/>
        <v>343.30000000000007</v>
      </c>
      <c r="L49" s="654">
        <f t="shared" si="1"/>
        <v>1.1974704161884237E-5</v>
      </c>
      <c r="M49" s="654">
        <f t="shared" si="2"/>
        <v>10</v>
      </c>
      <c r="O49" s="679">
        <f t="shared" si="3"/>
        <v>1.4564520773007713E-3</v>
      </c>
      <c r="Q49" s="254"/>
      <c r="R49" s="661"/>
    </row>
    <row r="50" spans="1:18" ht="12" thickBot="1">
      <c r="A50" s="197" t="s">
        <v>1273</v>
      </c>
      <c r="B50" s="147"/>
      <c r="C50" s="147" t="s">
        <v>349</v>
      </c>
      <c r="D50" s="205"/>
      <c r="E50" s="654">
        <v>182</v>
      </c>
      <c r="F50" s="654"/>
      <c r="G50" s="654"/>
      <c r="H50" s="652"/>
      <c r="I50" s="652"/>
      <c r="J50" s="652">
        <v>34.99</v>
      </c>
      <c r="K50" s="368">
        <f t="shared" si="0"/>
        <v>6368.18</v>
      </c>
      <c r="L50" s="654">
        <f t="shared" si="1"/>
        <v>2.2212954136215544E-4</v>
      </c>
      <c r="M50" s="654">
        <f t="shared" si="2"/>
        <v>182</v>
      </c>
      <c r="O50" s="679">
        <f t="shared" si="3"/>
        <v>1.4289797031647752E-3</v>
      </c>
      <c r="Q50" s="254"/>
      <c r="R50" s="661"/>
    </row>
    <row r="51" spans="1:18" ht="12" thickBot="1">
      <c r="A51" s="197" t="s">
        <v>1273</v>
      </c>
      <c r="B51" s="147"/>
      <c r="C51" s="147" t="s">
        <v>730</v>
      </c>
      <c r="D51" s="205"/>
      <c r="E51" s="654">
        <v>2</v>
      </c>
      <c r="F51" s="654"/>
      <c r="G51" s="654"/>
      <c r="H51" s="652"/>
      <c r="I51" s="652"/>
      <c r="J51" s="652">
        <v>18.279999999999998</v>
      </c>
      <c r="K51" s="368">
        <f t="shared" si="0"/>
        <v>36.559999999999995</v>
      </c>
      <c r="L51" s="654">
        <f t="shared" si="1"/>
        <v>1.2752554155505028E-6</v>
      </c>
      <c r="M51" s="654">
        <f t="shared" si="2"/>
        <v>2</v>
      </c>
      <c r="O51" s="679">
        <f t="shared" si="3"/>
        <v>2.7352297491102565E-3</v>
      </c>
      <c r="Q51" s="254"/>
      <c r="R51" s="661"/>
    </row>
    <row r="52" spans="1:18" ht="12" thickBot="1">
      <c r="A52" s="197" t="s">
        <v>1273</v>
      </c>
      <c r="B52" s="147"/>
      <c r="C52" s="147" t="s">
        <v>378</v>
      </c>
      <c r="D52" s="205"/>
      <c r="E52" s="654">
        <v>14</v>
      </c>
      <c r="F52" s="654"/>
      <c r="G52" s="654"/>
      <c r="H52" s="652"/>
      <c r="I52" s="652"/>
      <c r="J52" s="652">
        <v>22.32</v>
      </c>
      <c r="K52" s="368">
        <f t="shared" si="0"/>
        <v>312.48</v>
      </c>
      <c r="L52" s="654">
        <f t="shared" si="1"/>
        <v>1.0899666637068413E-5</v>
      </c>
      <c r="M52" s="654">
        <f t="shared" si="2"/>
        <v>14</v>
      </c>
      <c r="O52" s="679">
        <f t="shared" si="3"/>
        <v>2.2401433608304428E-3</v>
      </c>
      <c r="Q52" s="254"/>
      <c r="R52" s="661"/>
    </row>
    <row r="53" spans="1:18" ht="12" thickBot="1">
      <c r="A53" s="197" t="s">
        <v>1273</v>
      </c>
      <c r="B53" s="147"/>
      <c r="C53" s="147" t="s">
        <v>354</v>
      </c>
      <c r="D53" s="205"/>
      <c r="E53" s="654">
        <v>6156</v>
      </c>
      <c r="F53" s="654"/>
      <c r="G53" s="654"/>
      <c r="H53" s="652"/>
      <c r="I53" s="652"/>
      <c r="J53" s="652">
        <v>12.82</v>
      </c>
      <c r="K53" s="368">
        <f t="shared" si="0"/>
        <v>78919.92</v>
      </c>
      <c r="L53" s="654">
        <f t="shared" si="1"/>
        <v>2.7528188012804281E-3</v>
      </c>
      <c r="M53" s="654">
        <f t="shared" si="2"/>
        <v>6156</v>
      </c>
      <c r="O53" s="679">
        <f t="shared" si="3"/>
        <v>3.900155991711036E-3</v>
      </c>
      <c r="Q53" s="254"/>
      <c r="R53" s="661"/>
    </row>
    <row r="54" spans="1:18" ht="12" thickBot="1">
      <c r="A54" s="197" t="s">
        <v>1273</v>
      </c>
      <c r="B54" s="147"/>
      <c r="C54" s="147" t="s">
        <v>355</v>
      </c>
      <c r="D54" s="205"/>
      <c r="E54" s="654">
        <v>8648</v>
      </c>
      <c r="F54" s="654"/>
      <c r="G54" s="654"/>
      <c r="H54" s="652"/>
      <c r="I54" s="652"/>
      <c r="J54" s="652">
        <v>15.08</v>
      </c>
      <c r="K54" s="368">
        <f t="shared" si="0"/>
        <v>130411.84</v>
      </c>
      <c r="L54" s="654">
        <f t="shared" si="1"/>
        <v>4.5489169915729124E-3</v>
      </c>
      <c r="M54" s="654">
        <f t="shared" si="2"/>
        <v>8648</v>
      </c>
      <c r="O54" s="679">
        <f t="shared" si="3"/>
        <v>3.315649855022247E-3</v>
      </c>
      <c r="Q54" s="254"/>
      <c r="R54" s="661"/>
    </row>
    <row r="55" spans="1:18" ht="12" thickBot="1">
      <c r="A55" s="197" t="s">
        <v>1273</v>
      </c>
      <c r="B55" s="147"/>
      <c r="C55" s="147" t="s">
        <v>356</v>
      </c>
      <c r="D55" s="205"/>
      <c r="E55" s="654">
        <v>5467</v>
      </c>
      <c r="F55" s="654"/>
      <c r="G55" s="654"/>
      <c r="H55" s="652"/>
      <c r="I55" s="652"/>
      <c r="J55" s="652">
        <v>17.38</v>
      </c>
      <c r="K55" s="368">
        <f t="shared" si="0"/>
        <v>95016.459999999992</v>
      </c>
      <c r="L55" s="654">
        <f t="shared" si="1"/>
        <v>3.3142848791421699E-3</v>
      </c>
      <c r="M55" s="654">
        <f t="shared" si="2"/>
        <v>5467</v>
      </c>
      <c r="O55" s="679">
        <f t="shared" si="3"/>
        <v>2.8768699547603847E-3</v>
      </c>
      <c r="Q55" s="254"/>
      <c r="R55" s="661"/>
    </row>
    <row r="56" spans="1:18" ht="12" thickBot="1">
      <c r="A56" s="197" t="s">
        <v>1273</v>
      </c>
      <c r="B56" s="309"/>
      <c r="C56" s="309" t="s">
        <v>357</v>
      </c>
      <c r="D56" s="205"/>
      <c r="E56" s="654">
        <v>398</v>
      </c>
      <c r="F56" s="654"/>
      <c r="G56" s="654"/>
      <c r="H56" s="652"/>
      <c r="I56" s="652"/>
      <c r="J56" s="652">
        <v>13.77</v>
      </c>
      <c r="K56" s="368">
        <f t="shared" si="0"/>
        <v>5480.46</v>
      </c>
      <c r="L56" s="654">
        <f t="shared" si="1"/>
        <v>1.9116483300623386E-4</v>
      </c>
      <c r="M56" s="654">
        <f t="shared" si="2"/>
        <v>398</v>
      </c>
      <c r="O56" s="679">
        <f t="shared" si="3"/>
        <v>3.6310820489277766E-3</v>
      </c>
      <c r="Q56" s="254"/>
      <c r="R56" s="661"/>
    </row>
    <row r="57" spans="1:18" ht="12" thickBot="1">
      <c r="A57" s="197" t="s">
        <v>1273</v>
      </c>
      <c r="B57" s="147"/>
      <c r="C57" s="147" t="s">
        <v>358</v>
      </c>
      <c r="D57" s="205"/>
      <c r="E57" s="654">
        <v>12528</v>
      </c>
      <c r="F57" s="654"/>
      <c r="G57" s="654"/>
      <c r="H57" s="652"/>
      <c r="I57" s="652"/>
      <c r="J57" s="652">
        <v>18.21</v>
      </c>
      <c r="K57" s="368">
        <f t="shared" si="0"/>
        <v>228134.88</v>
      </c>
      <c r="L57" s="654">
        <f t="shared" si="1"/>
        <v>7.9576105359946431E-3</v>
      </c>
      <c r="M57" s="654">
        <f t="shared" si="2"/>
        <v>12528</v>
      </c>
      <c r="O57" s="679">
        <f t="shared" si="3"/>
        <v>2.745744086421498E-3</v>
      </c>
      <c r="Q57" s="254"/>
      <c r="R57" s="661"/>
    </row>
    <row r="58" spans="1:18" ht="12" thickBot="1">
      <c r="A58" s="197" t="s">
        <v>1273</v>
      </c>
      <c r="B58" s="147"/>
      <c r="C58" s="147" t="s">
        <v>359</v>
      </c>
      <c r="D58" s="205"/>
      <c r="E58" s="654">
        <v>3170</v>
      </c>
      <c r="F58" s="654"/>
      <c r="G58" s="654"/>
      <c r="H58" s="652"/>
      <c r="I58" s="652"/>
      <c r="J58" s="652">
        <v>10.86</v>
      </c>
      <c r="K58" s="368">
        <f t="shared" si="0"/>
        <v>34426.199999999997</v>
      </c>
      <c r="L58" s="654">
        <f t="shared" si="1"/>
        <v>1.2008259843223391E-3</v>
      </c>
      <c r="M58" s="654">
        <f t="shared" si="2"/>
        <v>3170</v>
      </c>
      <c r="O58" s="679">
        <f t="shared" si="3"/>
        <v>4.6040515482261039E-3</v>
      </c>
      <c r="Q58" s="254"/>
      <c r="R58" s="661"/>
    </row>
    <row r="59" spans="1:18" ht="12" thickBot="1">
      <c r="A59" s="197" t="s">
        <v>1273</v>
      </c>
      <c r="B59" s="147"/>
      <c r="C59" s="147" t="s">
        <v>360</v>
      </c>
      <c r="D59" s="205"/>
      <c r="E59" s="654">
        <v>5</v>
      </c>
      <c r="F59" s="654"/>
      <c r="G59" s="654"/>
      <c r="H59" s="652"/>
      <c r="I59" s="652"/>
      <c r="J59" s="652">
        <v>11.13</v>
      </c>
      <c r="K59" s="368">
        <f t="shared" si="0"/>
        <v>55.650000000000006</v>
      </c>
      <c r="L59" s="654">
        <f t="shared" si="1"/>
        <v>1.9411368674886621E-6</v>
      </c>
      <c r="M59" s="654">
        <f t="shared" si="2"/>
        <v>5</v>
      </c>
      <c r="O59" s="679">
        <f t="shared" si="3"/>
        <v>4.4923629661936639E-3</v>
      </c>
      <c r="Q59" s="254"/>
      <c r="R59" s="661"/>
    </row>
    <row r="60" spans="1:18" ht="12" thickBot="1">
      <c r="A60" s="197" t="s">
        <v>1273</v>
      </c>
      <c r="B60" s="147"/>
      <c r="C60" s="147" t="s">
        <v>365</v>
      </c>
      <c r="D60" s="205"/>
      <c r="E60" s="654">
        <v>21</v>
      </c>
      <c r="F60" s="654"/>
      <c r="G60" s="654"/>
      <c r="H60" s="652"/>
      <c r="I60" s="652"/>
      <c r="J60" s="652">
        <v>12.79</v>
      </c>
      <c r="K60" s="368">
        <f t="shared" si="0"/>
        <v>268.58999999999997</v>
      </c>
      <c r="L60" s="654">
        <f t="shared" si="1"/>
        <v>9.3687322774264106E-6</v>
      </c>
      <c r="M60" s="654">
        <f t="shared" si="2"/>
        <v>21</v>
      </c>
      <c r="O60" s="679">
        <f t="shared" si="3"/>
        <v>3.9093041292990998E-3</v>
      </c>
      <c r="Q60" s="254"/>
      <c r="R60" s="661"/>
    </row>
    <row r="61" spans="1:18" ht="12" thickBot="1">
      <c r="A61" s="197" t="s">
        <v>1273</v>
      </c>
      <c r="B61" s="309"/>
      <c r="C61" s="309" t="s">
        <v>366</v>
      </c>
      <c r="D61" s="205"/>
      <c r="E61" s="654">
        <v>2</v>
      </c>
      <c r="F61" s="654"/>
      <c r="G61" s="654"/>
      <c r="H61" s="652"/>
      <c r="I61" s="652"/>
      <c r="J61" s="652">
        <v>15.07</v>
      </c>
      <c r="K61" s="368">
        <f t="shared" si="0"/>
        <v>30.14</v>
      </c>
      <c r="L61" s="654">
        <f t="shared" si="1"/>
        <v>1.051318332185234E-6</v>
      </c>
      <c r="M61" s="654">
        <f t="shared" si="2"/>
        <v>2</v>
      </c>
      <c r="O61" s="679">
        <f t="shared" si="3"/>
        <v>3.3178500208185459E-3</v>
      </c>
      <c r="Q61" s="254"/>
      <c r="R61" s="661"/>
    </row>
    <row r="62" spans="1:18" ht="12" thickBot="1">
      <c r="A62" s="197" t="s">
        <v>1273</v>
      </c>
      <c r="B62" s="147"/>
      <c r="C62" s="147" t="s">
        <v>367</v>
      </c>
      <c r="D62" s="205"/>
      <c r="E62" s="654">
        <v>284</v>
      </c>
      <c r="F62" s="654"/>
      <c r="G62" s="654"/>
      <c r="H62" s="652"/>
      <c r="I62" s="652"/>
      <c r="J62" s="652">
        <v>18.68</v>
      </c>
      <c r="K62" s="368">
        <f t="shared" si="0"/>
        <v>5305.12</v>
      </c>
      <c r="L62" s="654">
        <f t="shared" si="1"/>
        <v>1.8504876942410515E-4</v>
      </c>
      <c r="M62" s="654">
        <f t="shared" si="2"/>
        <v>284</v>
      </c>
      <c r="O62" s="679">
        <f t="shared" si="3"/>
        <v>2.6766595189365891E-3</v>
      </c>
      <c r="Q62" s="254"/>
      <c r="R62" s="661"/>
    </row>
    <row r="63" spans="1:18" ht="12" thickBot="1">
      <c r="A63" s="197" t="s">
        <v>1273</v>
      </c>
      <c r="B63" s="147"/>
      <c r="C63" s="147" t="s">
        <v>368</v>
      </c>
      <c r="D63" s="205"/>
      <c r="E63" s="654">
        <v>51</v>
      </c>
      <c r="F63" s="654"/>
      <c r="G63" s="654"/>
      <c r="H63" s="652"/>
      <c r="I63" s="652"/>
      <c r="J63" s="652">
        <v>20.970000000000002</v>
      </c>
      <c r="K63" s="368">
        <f t="shared" si="0"/>
        <v>1069.47</v>
      </c>
      <c r="L63" s="654">
        <f t="shared" si="1"/>
        <v>3.7304360209759204E-5</v>
      </c>
      <c r="M63" s="654">
        <f t="shared" si="2"/>
        <v>51</v>
      </c>
      <c r="O63" s="679">
        <f t="shared" si="3"/>
        <v>2.3843585986521448E-3</v>
      </c>
      <c r="Q63" s="254"/>
      <c r="R63" s="661"/>
    </row>
    <row r="64" spans="1:18" ht="12" thickBot="1">
      <c r="A64" s="197" t="s">
        <v>1273</v>
      </c>
      <c r="B64" s="147"/>
      <c r="C64" s="147" t="s">
        <v>369</v>
      </c>
      <c r="D64" s="205"/>
      <c r="E64" s="654">
        <v>2</v>
      </c>
      <c r="F64" s="654"/>
      <c r="G64" s="654"/>
      <c r="H64" s="652"/>
      <c r="I64" s="652"/>
      <c r="J64" s="652">
        <v>28.42</v>
      </c>
      <c r="K64" s="368">
        <f t="shared" si="0"/>
        <v>56.84</v>
      </c>
      <c r="L64" s="654">
        <f t="shared" si="1"/>
        <v>1.9826454545921931E-6</v>
      </c>
      <c r="M64" s="654">
        <f t="shared" si="2"/>
        <v>2</v>
      </c>
      <c r="O64" s="679">
        <f t="shared" si="3"/>
        <v>1.7593244128689472E-3</v>
      </c>
      <c r="Q64" s="254"/>
      <c r="R64" s="661"/>
    </row>
    <row r="65" spans="1:20" ht="12" thickBot="1">
      <c r="A65" s="197" t="s">
        <v>1273</v>
      </c>
      <c r="B65" s="147"/>
      <c r="C65" s="147" t="s">
        <v>370</v>
      </c>
      <c r="D65" s="205"/>
      <c r="E65" s="654">
        <v>350</v>
      </c>
      <c r="F65" s="654"/>
      <c r="G65" s="654"/>
      <c r="H65" s="652"/>
      <c r="I65" s="652"/>
      <c r="J65" s="652">
        <v>39.6</v>
      </c>
      <c r="K65" s="368">
        <f t="shared" si="0"/>
        <v>13860</v>
      </c>
      <c r="L65" s="654">
        <f t="shared" si="1"/>
        <v>4.8345295567642151E-4</v>
      </c>
      <c r="M65" s="654">
        <f t="shared" si="2"/>
        <v>350</v>
      </c>
      <c r="O65" s="679">
        <f t="shared" si="3"/>
        <v>1.2626262579226132E-3</v>
      </c>
      <c r="Q65" s="254"/>
      <c r="R65" s="661"/>
    </row>
    <row r="66" spans="1:20" ht="12" thickBot="1">
      <c r="A66" s="197" t="s">
        <v>1273</v>
      </c>
      <c r="B66" s="147"/>
      <c r="C66" s="147" t="s">
        <v>371</v>
      </c>
      <c r="D66" s="205"/>
      <c r="E66" s="654">
        <v>58</v>
      </c>
      <c r="F66" s="654"/>
      <c r="G66" s="654"/>
      <c r="H66" s="652"/>
      <c r="I66" s="652"/>
      <c r="J66" s="652">
        <v>42.78</v>
      </c>
      <c r="K66" s="368">
        <f t="shared" si="0"/>
        <v>2481.2400000000002</v>
      </c>
      <c r="L66" s="654">
        <f t="shared" si="1"/>
        <v>8.6548543415769426E-5</v>
      </c>
      <c r="M66" s="654">
        <f t="shared" si="2"/>
        <v>58</v>
      </c>
      <c r="O66" s="679">
        <f t="shared" si="3"/>
        <v>1.1687704491289267E-3</v>
      </c>
      <c r="Q66" s="254"/>
      <c r="R66" s="661"/>
    </row>
    <row r="67" spans="1:20" ht="12" thickBot="1">
      <c r="A67" s="197" t="s">
        <v>1273</v>
      </c>
      <c r="B67" s="147"/>
      <c r="C67" s="147" t="s">
        <v>657</v>
      </c>
      <c r="D67" s="205"/>
      <c r="E67" s="654">
        <v>0</v>
      </c>
      <c r="F67" s="654"/>
      <c r="G67" s="654"/>
      <c r="H67" s="652"/>
      <c r="I67" s="652"/>
      <c r="J67" s="652">
        <v>14.06</v>
      </c>
      <c r="K67" s="368">
        <f t="shared" si="0"/>
        <v>0</v>
      </c>
      <c r="L67" s="654">
        <f t="shared" si="1"/>
        <v>0</v>
      </c>
      <c r="M67" s="654">
        <f t="shared" si="2"/>
        <v>0</v>
      </c>
      <c r="O67" s="679">
        <f t="shared" si="3"/>
        <v>3.5561877534662505E-3</v>
      </c>
      <c r="Q67" s="254"/>
      <c r="R67" s="661"/>
    </row>
    <row r="68" spans="1:20" ht="12" thickBot="1">
      <c r="A68" s="197" t="s">
        <v>1273</v>
      </c>
      <c r="B68" s="147"/>
      <c r="C68" s="147" t="s">
        <v>659</v>
      </c>
      <c r="D68" s="205"/>
      <c r="E68" s="654">
        <v>17</v>
      </c>
      <c r="F68" s="654"/>
      <c r="G68" s="654"/>
      <c r="H68" s="652"/>
      <c r="I68" s="652"/>
      <c r="J68" s="652">
        <v>23.83</v>
      </c>
      <c r="K68" s="368">
        <f t="shared" ref="K68:K72" si="4">E68*J68</f>
        <v>405.10999999999996</v>
      </c>
      <c r="L68" s="654">
        <f t="shared" ref="L68:L72" si="5">K68/$Q$8*$Q$9</f>
        <v>1.4130709009673528E-5</v>
      </c>
      <c r="M68" s="654">
        <f t="shared" ref="M68:M72" si="6">ROUND((K68+L68)/J68,0)</f>
        <v>17</v>
      </c>
      <c r="O68" s="679">
        <f t="shared" ref="O68:O72" si="7">$Q$9/J68</f>
        <v>2.0981955440090429E-3</v>
      </c>
      <c r="Q68" s="254"/>
      <c r="R68" s="661"/>
    </row>
    <row r="69" spans="1:20" ht="12" thickBot="1">
      <c r="A69" s="197" t="s">
        <v>1273</v>
      </c>
      <c r="B69" s="147"/>
      <c r="C69" s="147" t="s">
        <v>399</v>
      </c>
      <c r="D69" s="205"/>
      <c r="E69" s="654">
        <v>4</v>
      </c>
      <c r="F69" s="654"/>
      <c r="G69" s="654"/>
      <c r="H69" s="652"/>
      <c r="I69" s="652"/>
      <c r="J69" s="652">
        <v>20.46</v>
      </c>
      <c r="K69" s="368">
        <f t="shared" si="4"/>
        <v>81.84</v>
      </c>
      <c r="L69" s="654">
        <f t="shared" si="5"/>
        <v>2.8546745954226794E-6</v>
      </c>
      <c r="M69" s="654">
        <f t="shared" si="6"/>
        <v>4</v>
      </c>
      <c r="O69" s="679">
        <f t="shared" si="7"/>
        <v>2.4437927572695741E-3</v>
      </c>
      <c r="Q69" s="254"/>
      <c r="R69" s="661"/>
    </row>
    <row r="70" spans="1:20" ht="12" thickBot="1">
      <c r="A70" s="197" t="s">
        <v>1273</v>
      </c>
      <c r="B70" s="147"/>
      <c r="C70" s="147" t="s">
        <v>372</v>
      </c>
      <c r="D70" s="205"/>
      <c r="E70" s="654">
        <v>38</v>
      </c>
      <c r="F70" s="654"/>
      <c r="G70" s="654"/>
      <c r="H70" s="652"/>
      <c r="I70" s="652"/>
      <c r="J70" s="652">
        <v>30.21</v>
      </c>
      <c r="K70" s="368">
        <f t="shared" si="4"/>
        <v>1147.98</v>
      </c>
      <c r="L70" s="654">
        <f t="shared" si="5"/>
        <v>4.004288052362326E-5</v>
      </c>
      <c r="M70" s="654">
        <f t="shared" si="6"/>
        <v>38</v>
      </c>
      <c r="O70" s="679">
        <f t="shared" si="7"/>
        <v>1.6550810928081922E-3</v>
      </c>
      <c r="Q70" s="254"/>
      <c r="R70" s="661"/>
    </row>
    <row r="71" spans="1:20" ht="12" thickBot="1">
      <c r="A71" s="197" t="s">
        <v>1273</v>
      </c>
      <c r="B71" s="309"/>
      <c r="C71" s="309" t="s">
        <v>373</v>
      </c>
      <c r="D71" s="205"/>
      <c r="E71" s="654">
        <v>2</v>
      </c>
      <c r="F71" s="654"/>
      <c r="G71" s="654"/>
      <c r="H71" s="652"/>
      <c r="I71" s="652"/>
      <c r="J71" s="652">
        <v>42.56</v>
      </c>
      <c r="K71" s="368">
        <f t="shared" si="4"/>
        <v>85.12</v>
      </c>
      <c r="L71" s="654">
        <f t="shared" si="5"/>
        <v>2.9690848186996393E-6</v>
      </c>
      <c r="M71" s="654">
        <f t="shared" si="6"/>
        <v>2</v>
      </c>
      <c r="O71" s="679">
        <f t="shared" si="7"/>
        <v>1.174812025698672E-3</v>
      </c>
      <c r="Q71" s="254"/>
      <c r="R71" s="661"/>
    </row>
    <row r="72" spans="1:20" ht="12" thickBot="1">
      <c r="A72" s="197" t="s">
        <v>1273</v>
      </c>
      <c r="B72" s="147"/>
      <c r="C72" s="147" t="s">
        <v>374</v>
      </c>
      <c r="D72" s="205"/>
      <c r="E72" s="654">
        <v>13</v>
      </c>
      <c r="F72" s="654"/>
      <c r="G72" s="654"/>
      <c r="H72" s="652"/>
      <c r="I72" s="659"/>
      <c r="J72" s="652">
        <v>52.31</v>
      </c>
      <c r="K72" s="368">
        <f t="shared" si="4"/>
        <v>680.03</v>
      </c>
      <c r="L72" s="654">
        <f t="shared" si="5"/>
        <v>2.3720239065558219E-5</v>
      </c>
      <c r="M72" s="654">
        <f t="shared" si="6"/>
        <v>13</v>
      </c>
      <c r="O72" s="679">
        <f t="shared" si="7"/>
        <v>9.5584017996053303E-4</v>
      </c>
      <c r="Q72" s="254"/>
      <c r="R72" s="661"/>
    </row>
    <row r="73" spans="1:20" ht="12" thickBot="1">
      <c r="A73" s="197" t="s">
        <v>1273</v>
      </c>
      <c r="B73" s="147"/>
      <c r="C73" s="147"/>
      <c r="D73" s="205"/>
      <c r="E73" s="654"/>
      <c r="F73" s="654"/>
      <c r="G73" s="654"/>
      <c r="H73" s="659"/>
      <c r="I73" s="659"/>
      <c r="J73" s="654"/>
      <c r="K73" s="652"/>
      <c r="L73" s="654"/>
      <c r="M73" s="654"/>
      <c r="N73" s="654"/>
      <c r="Q73" s="254"/>
      <c r="R73" s="661"/>
    </row>
    <row r="74" spans="1:20" ht="12" thickBot="1">
      <c r="A74" s="197" t="s">
        <v>1273</v>
      </c>
      <c r="B74" s="147"/>
      <c r="C74" s="147"/>
      <c r="D74" s="205"/>
      <c r="E74" s="654"/>
      <c r="F74" s="654"/>
      <c r="G74" s="654"/>
      <c r="H74" s="659"/>
      <c r="I74" s="659"/>
      <c r="J74" s="654"/>
      <c r="K74" s="652"/>
      <c r="L74" s="654"/>
      <c r="M74" s="654"/>
      <c r="N74" s="654"/>
      <c r="Q74" s="198"/>
    </row>
    <row r="75" spans="1:20" ht="12" thickBot="1">
      <c r="A75" s="202"/>
      <c r="B75" s="202"/>
      <c r="C75" s="199" t="s">
        <v>7</v>
      </c>
      <c r="D75" s="668"/>
      <c r="E75" s="670"/>
      <c r="F75" s="670"/>
      <c r="G75" s="688"/>
      <c r="H75" s="659"/>
      <c r="I75" s="659"/>
      <c r="J75" s="669"/>
      <c r="K75" s="670"/>
      <c r="L75" s="670"/>
      <c r="M75" s="670"/>
      <c r="N75" s="670"/>
      <c r="O75" s="674"/>
      <c r="P75" s="674"/>
      <c r="Q75" s="204"/>
      <c r="R75" s="674"/>
    </row>
    <row r="76" spans="1:20" ht="12" thickBot="1">
      <c r="A76" s="197" t="s">
        <v>1274</v>
      </c>
      <c r="B76" s="147"/>
      <c r="C76" s="147" t="s">
        <v>379</v>
      </c>
      <c r="D76" s="205"/>
      <c r="E76" s="650">
        <v>77</v>
      </c>
      <c r="F76" s="650"/>
      <c r="G76" s="661"/>
      <c r="H76" s="650"/>
      <c r="I76" s="659"/>
      <c r="J76" s="661">
        <v>8.14</v>
      </c>
      <c r="K76" s="368">
        <f t="shared" ref="K76" si="8">E76*J76</f>
        <v>626.78000000000009</v>
      </c>
      <c r="L76" s="654">
        <f>K76/$Q$81*$Q$82</f>
        <v>-1.7472874662019056E-5</v>
      </c>
      <c r="M76" s="654">
        <f>ROUND((K76+L76)/J76,0)</f>
        <v>77</v>
      </c>
      <c r="O76" s="679">
        <f>$Q$82/J76</f>
        <v>-4.9140048899781645E-3</v>
      </c>
      <c r="P76" s="368"/>
      <c r="Q76" s="678">
        <f>'12MonLights'!$O$149</f>
        <v>1503046</v>
      </c>
      <c r="R76" s="675" t="s">
        <v>1295</v>
      </c>
      <c r="T76" s="675" t="s">
        <v>1283</v>
      </c>
    </row>
    <row r="77" spans="1:20" ht="12" thickBot="1">
      <c r="A77" s="197" t="s">
        <v>1274</v>
      </c>
      <c r="B77" s="147"/>
      <c r="C77" s="147" t="s">
        <v>241</v>
      </c>
      <c r="D77" s="205"/>
      <c r="E77" s="650">
        <v>3751</v>
      </c>
      <c r="F77" s="650"/>
      <c r="G77" s="661"/>
      <c r="H77" s="650"/>
      <c r="I77" s="661"/>
      <c r="J77" s="661">
        <v>10.959999999999999</v>
      </c>
      <c r="K77" s="368">
        <f t="shared" ref="K77:K140" si="9">E77*J77</f>
        <v>41110.959999999999</v>
      </c>
      <c r="L77" s="654">
        <f t="shared" ref="L77:L140" si="10">K77/$Q$81*$Q$82</f>
        <v>-1.1460586670207708E-3</v>
      </c>
      <c r="M77" s="654">
        <f t="shared" ref="M77:M140" si="11">ROUND((K77+L77)/J77,0)</f>
        <v>3751</v>
      </c>
      <c r="O77" s="679">
        <f t="shared" ref="O77:O140" si="12">$Q$82/J77</f>
        <v>-3.6496350186516662E-3</v>
      </c>
      <c r="P77" s="368"/>
      <c r="Q77" s="678">
        <f>-Q89</f>
        <v>-40318.559999999998</v>
      </c>
      <c r="R77" s="680" t="s">
        <v>1297</v>
      </c>
    </row>
    <row r="78" spans="1:20" ht="12" thickBot="1">
      <c r="A78" s="197" t="s">
        <v>1274</v>
      </c>
      <c r="B78" s="147"/>
      <c r="C78" s="147" t="s">
        <v>242</v>
      </c>
      <c r="D78" s="205"/>
      <c r="E78" s="650">
        <v>3727</v>
      </c>
      <c r="F78" s="650"/>
      <c r="G78" s="661"/>
      <c r="H78" s="650"/>
      <c r="I78" s="661"/>
      <c r="J78" s="661">
        <v>13.510000000000002</v>
      </c>
      <c r="K78" s="368">
        <f t="shared" si="9"/>
        <v>50351.770000000004</v>
      </c>
      <c r="L78" s="654">
        <f t="shared" si="10"/>
        <v>-1.4036666234098266E-3</v>
      </c>
      <c r="M78" s="654">
        <f t="shared" si="11"/>
        <v>3727</v>
      </c>
      <c r="O78" s="679">
        <f t="shared" si="12"/>
        <v>-2.9607697856715216E-3</v>
      </c>
      <c r="P78" s="368"/>
      <c r="Q78" s="681">
        <f>Q76+Q77</f>
        <v>1462727.44</v>
      </c>
      <c r="R78" s="666" t="s">
        <v>1298</v>
      </c>
    </row>
    <row r="79" spans="1:20" ht="12" thickBot="1">
      <c r="A79" s="197" t="s">
        <v>1274</v>
      </c>
      <c r="B79" s="147"/>
      <c r="C79" s="147" t="s">
        <v>243</v>
      </c>
      <c r="D79" s="205"/>
      <c r="E79" s="650">
        <v>94</v>
      </c>
      <c r="F79" s="650"/>
      <c r="G79" s="661"/>
      <c r="H79" s="650"/>
      <c r="I79" s="661"/>
      <c r="J79" s="661">
        <v>12.450000000000001</v>
      </c>
      <c r="K79" s="368">
        <f t="shared" si="9"/>
        <v>1170.3000000000002</v>
      </c>
      <c r="L79" s="654">
        <f t="shared" si="10"/>
        <v>-3.2624693220844482E-5</v>
      </c>
      <c r="M79" s="654">
        <f t="shared" si="11"/>
        <v>94</v>
      </c>
      <c r="O79" s="679">
        <f t="shared" si="12"/>
        <v>-3.2128513899134341E-3</v>
      </c>
      <c r="P79" s="368"/>
      <c r="Q79" s="681">
        <f>'1051'!$K$52</f>
        <v>27863.420000000006</v>
      </c>
      <c r="R79" s="667" t="s">
        <v>1293</v>
      </c>
    </row>
    <row r="80" spans="1:20" ht="12" thickBot="1">
      <c r="A80" s="197" t="s">
        <v>1274</v>
      </c>
      <c r="B80" s="147"/>
      <c r="C80" s="147" t="s">
        <v>244</v>
      </c>
      <c r="D80" s="205"/>
      <c r="E80" s="650">
        <v>731</v>
      </c>
      <c r="F80" s="650"/>
      <c r="G80" s="661"/>
      <c r="H80" s="650"/>
      <c r="I80" s="661"/>
      <c r="J80" s="661">
        <v>15.54</v>
      </c>
      <c r="K80" s="368">
        <f t="shared" si="9"/>
        <v>11359.74</v>
      </c>
      <c r="L80" s="654">
        <f t="shared" si="10"/>
        <v>-3.1667780275874204E-4</v>
      </c>
      <c r="M80" s="654">
        <f t="shared" si="11"/>
        <v>731</v>
      </c>
      <c r="O80" s="679">
        <f t="shared" si="12"/>
        <v>-2.5740025614171338E-3</v>
      </c>
      <c r="P80" s="368"/>
      <c r="Q80" s="681">
        <f>Q78-Q79</f>
        <v>1434864.02</v>
      </c>
      <c r="R80" s="667" t="s">
        <v>1294</v>
      </c>
    </row>
    <row r="81" spans="1:19" ht="12" thickBot="1">
      <c r="A81" s="197" t="s">
        <v>1274</v>
      </c>
      <c r="B81" s="147"/>
      <c r="C81" s="147" t="s">
        <v>245</v>
      </c>
      <c r="D81" s="205"/>
      <c r="E81" s="650">
        <v>1372</v>
      </c>
      <c r="F81" s="650"/>
      <c r="G81" s="661"/>
      <c r="H81" s="650"/>
      <c r="I81" s="661"/>
      <c r="J81" s="661">
        <v>14.24</v>
      </c>
      <c r="K81" s="368">
        <f t="shared" si="9"/>
        <v>19537.28</v>
      </c>
      <c r="L81" s="654">
        <f t="shared" si="10"/>
        <v>-5.4464476319724872E-4</v>
      </c>
      <c r="M81" s="654">
        <f t="shared" si="11"/>
        <v>1372</v>
      </c>
      <c r="O81" s="679">
        <f t="shared" si="12"/>
        <v>-2.8089887503105521E-3</v>
      </c>
      <c r="P81" s="368"/>
      <c r="Q81" s="681">
        <f>SUM($K$76:$K$147)</f>
        <v>1434864.0599999998</v>
      </c>
      <c r="R81" s="666" t="s">
        <v>1300</v>
      </c>
    </row>
    <row r="82" spans="1:19" ht="12" thickBot="1">
      <c r="A82" s="197" t="s">
        <v>1274</v>
      </c>
      <c r="B82" s="147"/>
      <c r="C82" s="147" t="s">
        <v>381</v>
      </c>
      <c r="D82" s="205"/>
      <c r="E82" s="650">
        <v>44</v>
      </c>
      <c r="F82" s="650"/>
      <c r="G82" s="661"/>
      <c r="H82" s="650"/>
      <c r="I82" s="661"/>
      <c r="J82" s="661">
        <v>27.69</v>
      </c>
      <c r="K82" s="368">
        <f t="shared" si="9"/>
        <v>1218.3600000000001</v>
      </c>
      <c r="L82" s="654">
        <f t="shared" si="10"/>
        <v>-3.3964471701741498E-5</v>
      </c>
      <c r="M82" s="654">
        <f t="shared" si="11"/>
        <v>44</v>
      </c>
      <c r="O82" s="679">
        <f t="shared" si="12"/>
        <v>-1.4445648177833967E-3</v>
      </c>
      <c r="P82" s="368"/>
      <c r="Q82" s="681">
        <f>Q80-Q81</f>
        <v>-3.9999999804422259E-2</v>
      </c>
      <c r="R82" s="667"/>
    </row>
    <row r="83" spans="1:19" ht="12" thickBot="1">
      <c r="A83" s="197" t="s">
        <v>1274</v>
      </c>
      <c r="B83" s="309"/>
      <c r="C83" s="309" t="s">
        <v>246</v>
      </c>
      <c r="D83" s="205"/>
      <c r="E83" s="650">
        <v>345</v>
      </c>
      <c r="F83" s="650"/>
      <c r="G83" s="661"/>
      <c r="H83" s="650"/>
      <c r="I83" s="661"/>
      <c r="J83" s="661">
        <v>28.89</v>
      </c>
      <c r="K83" s="368">
        <f t="shared" si="9"/>
        <v>9967.0500000000011</v>
      </c>
      <c r="L83" s="654">
        <f t="shared" si="10"/>
        <v>-2.7785349787816621E-4</v>
      </c>
      <c r="M83" s="654">
        <f t="shared" si="11"/>
        <v>345</v>
      </c>
      <c r="O83" s="679">
        <f t="shared" si="12"/>
        <v>-1.3845621254559453E-3</v>
      </c>
      <c r="P83" s="368"/>
      <c r="Q83" s="681"/>
      <c r="R83" s="667"/>
    </row>
    <row r="84" spans="1:19" ht="12" thickBot="1">
      <c r="A84" s="197" t="s">
        <v>1274</v>
      </c>
      <c r="B84" s="147"/>
      <c r="C84" s="147" t="s">
        <v>252</v>
      </c>
      <c r="D84" s="205"/>
      <c r="E84" s="650">
        <v>3904</v>
      </c>
      <c r="F84" s="650"/>
      <c r="G84" s="661"/>
      <c r="H84" s="650"/>
      <c r="I84" s="661"/>
      <c r="J84" s="661">
        <v>9.57</v>
      </c>
      <c r="K84" s="368">
        <f t="shared" si="9"/>
        <v>37361.279999999999</v>
      </c>
      <c r="L84" s="654">
        <f t="shared" si="10"/>
        <v>-1.0415280683056243E-3</v>
      </c>
      <c r="M84" s="654">
        <f t="shared" si="11"/>
        <v>3904</v>
      </c>
      <c r="O84" s="679">
        <f t="shared" si="12"/>
        <v>-4.1797282972228069E-3</v>
      </c>
      <c r="P84" s="368"/>
      <c r="Q84" s="681"/>
      <c r="R84" s="667"/>
    </row>
    <row r="85" spans="1:19" ht="12" thickBot="1">
      <c r="A85" s="197" t="s">
        <v>1274</v>
      </c>
      <c r="B85" s="147"/>
      <c r="C85" s="147" t="s">
        <v>263</v>
      </c>
      <c r="D85" s="205"/>
      <c r="E85" s="650">
        <v>1874</v>
      </c>
      <c r="F85" s="650"/>
      <c r="G85" s="661"/>
      <c r="H85" s="650"/>
      <c r="I85" s="661"/>
      <c r="J85" s="661">
        <v>27.34</v>
      </c>
      <c r="K85" s="368">
        <f t="shared" si="9"/>
        <v>51235.159999999996</v>
      </c>
      <c r="L85" s="654">
        <f t="shared" si="10"/>
        <v>-1.4282930676927982E-3</v>
      </c>
      <c r="M85" s="654">
        <f t="shared" si="11"/>
        <v>1874</v>
      </c>
      <c r="O85" s="679">
        <f t="shared" si="12"/>
        <v>-1.4630577836291976E-3</v>
      </c>
      <c r="P85" s="368"/>
      <c r="Q85" s="677"/>
      <c r="R85" s="667"/>
    </row>
    <row r="86" spans="1:19" ht="12" thickBot="1">
      <c r="A86" s="197" t="s">
        <v>1274</v>
      </c>
      <c r="B86" s="147"/>
      <c r="C86" s="147" t="s">
        <v>264</v>
      </c>
      <c r="D86" s="205"/>
      <c r="E86" s="650">
        <v>2165</v>
      </c>
      <c r="F86" s="650"/>
      <c r="G86" s="661"/>
      <c r="H86" s="650"/>
      <c r="I86" s="661"/>
      <c r="J86" s="661">
        <v>31.4</v>
      </c>
      <c r="K86" s="368">
        <f t="shared" si="9"/>
        <v>67981</v>
      </c>
      <c r="L86" s="654">
        <f t="shared" si="10"/>
        <v>-1.8951202852655114E-3</v>
      </c>
      <c r="M86" s="654">
        <f t="shared" si="11"/>
        <v>2165</v>
      </c>
      <c r="O86" s="679">
        <f t="shared" si="12"/>
        <v>-1.2738853440898809E-3</v>
      </c>
      <c r="P86" s="368"/>
      <c r="Q86" s="667"/>
      <c r="R86" s="682"/>
    </row>
    <row r="87" spans="1:19" ht="12" thickBot="1">
      <c r="A87" s="197" t="s">
        <v>1274</v>
      </c>
      <c r="B87" s="147"/>
      <c r="C87" s="147" t="s">
        <v>267</v>
      </c>
      <c r="D87" s="205"/>
      <c r="E87" s="650">
        <v>16413</v>
      </c>
      <c r="F87" s="650"/>
      <c r="G87" s="661"/>
      <c r="H87" s="650"/>
      <c r="I87" s="661"/>
      <c r="J87" s="661">
        <v>17.189999999999998</v>
      </c>
      <c r="K87" s="368">
        <f t="shared" si="9"/>
        <v>282139.46999999997</v>
      </c>
      <c r="L87" s="654">
        <f t="shared" si="10"/>
        <v>-7.8652598942507493E-3</v>
      </c>
      <c r="M87" s="654">
        <f t="shared" si="11"/>
        <v>16413</v>
      </c>
      <c r="O87" s="679">
        <f t="shared" si="12"/>
        <v>-2.3269342527296255E-3</v>
      </c>
      <c r="P87" s="368"/>
      <c r="Q87" s="667">
        <f>'12MonResults'!$AL$70</f>
        <v>18472.39</v>
      </c>
      <c r="R87" s="682" t="s">
        <v>17</v>
      </c>
      <c r="S87" s="675" t="s">
        <v>1296</v>
      </c>
    </row>
    <row r="88" spans="1:19" ht="12" thickBot="1">
      <c r="A88" s="197" t="s">
        <v>1274</v>
      </c>
      <c r="B88" s="147"/>
      <c r="C88" s="147" t="s">
        <v>392</v>
      </c>
      <c r="D88" s="205"/>
      <c r="E88" s="650">
        <v>507</v>
      </c>
      <c r="F88" s="650"/>
      <c r="G88" s="661"/>
      <c r="H88" s="650"/>
      <c r="I88" s="661"/>
      <c r="J88" s="661">
        <v>24.89</v>
      </c>
      <c r="K88" s="368">
        <f t="shared" si="9"/>
        <v>12619.23</v>
      </c>
      <c r="L88" s="654">
        <f t="shared" si="10"/>
        <v>-3.5178886390949089E-4</v>
      </c>
      <c r="M88" s="654">
        <f t="shared" si="11"/>
        <v>507</v>
      </c>
      <c r="O88" s="679">
        <f t="shared" si="12"/>
        <v>-1.6070711050390621E-3</v>
      </c>
      <c r="P88" s="368"/>
      <c r="Q88" s="667">
        <f>'12MonResults'!$AL$72</f>
        <v>21846.17</v>
      </c>
      <c r="R88" s="682" t="s">
        <v>18</v>
      </c>
    </row>
    <row r="89" spans="1:19" ht="12" thickBot="1">
      <c r="A89" s="197" t="s">
        <v>1274</v>
      </c>
      <c r="B89" s="309"/>
      <c r="C89" s="309" t="s">
        <v>268</v>
      </c>
      <c r="D89" s="205"/>
      <c r="E89" s="650">
        <v>1296</v>
      </c>
      <c r="F89" s="650"/>
      <c r="G89" s="661"/>
      <c r="H89" s="650"/>
      <c r="I89" s="661"/>
      <c r="J89" s="661">
        <v>14.17</v>
      </c>
      <c r="K89" s="368">
        <f t="shared" si="9"/>
        <v>18364.32</v>
      </c>
      <c r="L89" s="654">
        <f t="shared" si="10"/>
        <v>-5.1194591661062852E-4</v>
      </c>
      <c r="M89" s="654">
        <f t="shared" si="11"/>
        <v>1296</v>
      </c>
      <c r="O89" s="679">
        <f t="shared" si="12"/>
        <v>-2.8228651943840691E-3</v>
      </c>
      <c r="P89" s="368"/>
      <c r="Q89" s="667">
        <f>Q87+Q88</f>
        <v>40318.559999999998</v>
      </c>
      <c r="R89" s="682"/>
    </row>
    <row r="90" spans="1:19" ht="12" thickBot="1">
      <c r="A90" s="197" t="s">
        <v>1274</v>
      </c>
      <c r="B90" s="147"/>
      <c r="C90" s="147" t="s">
        <v>269</v>
      </c>
      <c r="D90" s="205"/>
      <c r="E90" s="650">
        <f>2209-1</f>
        <v>2208</v>
      </c>
      <c r="F90" s="650"/>
      <c r="G90" s="661"/>
      <c r="H90" s="650"/>
      <c r="I90" s="661"/>
      <c r="J90" s="661">
        <v>22.15</v>
      </c>
      <c r="K90" s="368">
        <f t="shared" si="9"/>
        <v>48907.199999999997</v>
      </c>
      <c r="L90" s="654">
        <f t="shared" si="10"/>
        <v>-1.3633960491245703E-3</v>
      </c>
      <c r="M90" s="654">
        <f t="shared" si="11"/>
        <v>2208</v>
      </c>
      <c r="O90" s="679">
        <f t="shared" si="12"/>
        <v>-1.8058690656624046E-3</v>
      </c>
      <c r="P90" s="368"/>
      <c r="Q90" s="254"/>
      <c r="R90" s="661"/>
    </row>
    <row r="91" spans="1:19" ht="12" thickBot="1">
      <c r="A91" s="197" t="s">
        <v>1274</v>
      </c>
      <c r="B91" s="147"/>
      <c r="C91" s="147" t="s">
        <v>393</v>
      </c>
      <c r="D91" s="205"/>
      <c r="E91" s="650">
        <v>17</v>
      </c>
      <c r="F91" s="650"/>
      <c r="G91" s="661"/>
      <c r="H91" s="650"/>
      <c r="I91" s="661"/>
      <c r="J91" s="661">
        <v>72.550000000000011</v>
      </c>
      <c r="K91" s="368">
        <f t="shared" si="9"/>
        <v>1233.3500000000001</v>
      </c>
      <c r="L91" s="654">
        <f t="shared" si="10"/>
        <v>-3.4382351007372924E-5</v>
      </c>
      <c r="M91" s="654">
        <f t="shared" si="11"/>
        <v>17</v>
      </c>
      <c r="O91" s="679">
        <f t="shared" si="12"/>
        <v>-5.5134389806233287E-4</v>
      </c>
      <c r="P91" s="368"/>
      <c r="Q91" s="254"/>
      <c r="R91" s="661"/>
    </row>
    <row r="92" spans="1:19" ht="12" thickBot="1">
      <c r="A92" s="197" t="s">
        <v>1274</v>
      </c>
      <c r="B92" s="147"/>
      <c r="C92" s="147" t="s">
        <v>394</v>
      </c>
      <c r="D92" s="205"/>
      <c r="E92" s="650">
        <v>11</v>
      </c>
      <c r="F92" s="650"/>
      <c r="G92" s="661"/>
      <c r="H92" s="650"/>
      <c r="I92" s="661"/>
      <c r="J92" s="661">
        <v>41.43</v>
      </c>
      <c r="K92" s="368">
        <f t="shared" si="9"/>
        <v>455.73</v>
      </c>
      <c r="L92" s="654">
        <f t="shared" si="10"/>
        <v>-1.2704478716171454E-5</v>
      </c>
      <c r="M92" s="654">
        <f t="shared" si="11"/>
        <v>11</v>
      </c>
      <c r="O92" s="679">
        <f t="shared" si="12"/>
        <v>-9.654839441086715E-4</v>
      </c>
      <c r="P92" s="368"/>
      <c r="Q92" s="254"/>
      <c r="R92" s="661"/>
    </row>
    <row r="93" spans="1:19" ht="12" thickBot="1">
      <c r="A93" s="197" t="s">
        <v>1274</v>
      </c>
      <c r="B93" s="147"/>
      <c r="C93" s="147" t="s">
        <v>398</v>
      </c>
      <c r="D93" s="205"/>
      <c r="E93" s="650">
        <v>44</v>
      </c>
      <c r="F93" s="650"/>
      <c r="G93" s="661"/>
      <c r="H93" s="650"/>
      <c r="I93" s="661"/>
      <c r="J93" s="661">
        <v>19.38</v>
      </c>
      <c r="K93" s="368">
        <f t="shared" si="9"/>
        <v>852.71999999999991</v>
      </c>
      <c r="L93" s="654">
        <f t="shared" si="10"/>
        <v>-2.3771450400135431E-5</v>
      </c>
      <c r="M93" s="654">
        <f t="shared" si="11"/>
        <v>44</v>
      </c>
      <c r="O93" s="679">
        <f t="shared" si="12"/>
        <v>-2.0639834780403644E-3</v>
      </c>
      <c r="P93" s="368"/>
      <c r="Q93" s="254"/>
      <c r="R93" s="661"/>
    </row>
    <row r="94" spans="1:19" ht="12" thickBot="1">
      <c r="A94" s="197" t="s">
        <v>1274</v>
      </c>
      <c r="B94" s="147"/>
      <c r="C94" s="147" t="s">
        <v>395</v>
      </c>
      <c r="D94" s="205"/>
      <c r="E94" s="650">
        <v>236</v>
      </c>
      <c r="F94" s="650"/>
      <c r="G94" s="661"/>
      <c r="H94" s="650"/>
      <c r="I94" s="661"/>
      <c r="J94" s="661">
        <v>20.349999999999998</v>
      </c>
      <c r="K94" s="368">
        <f t="shared" si="9"/>
        <v>4802.5999999999995</v>
      </c>
      <c r="L94" s="654">
        <f t="shared" si="10"/>
        <v>-1.3388306559209404E-4</v>
      </c>
      <c r="M94" s="654">
        <f t="shared" si="11"/>
        <v>236</v>
      </c>
      <c r="O94" s="679">
        <f t="shared" si="12"/>
        <v>-1.9656019559912662E-3</v>
      </c>
      <c r="P94" s="368"/>
      <c r="Q94" s="254"/>
      <c r="R94" s="661"/>
    </row>
    <row r="95" spans="1:19" ht="12" thickBot="1">
      <c r="A95" s="197" t="s">
        <v>1274</v>
      </c>
      <c r="B95" s="309"/>
      <c r="C95" s="309" t="s">
        <v>396</v>
      </c>
      <c r="D95" s="205"/>
      <c r="E95" s="650">
        <v>101</v>
      </c>
      <c r="F95" s="650"/>
      <c r="G95" s="661"/>
      <c r="H95" s="650"/>
      <c r="I95" s="661"/>
      <c r="J95" s="661">
        <v>19.53</v>
      </c>
      <c r="K95" s="368">
        <f t="shared" si="9"/>
        <v>1972.5300000000002</v>
      </c>
      <c r="L95" s="654">
        <f t="shared" si="10"/>
        <v>-5.4988623531498213E-5</v>
      </c>
      <c r="M95" s="654">
        <f t="shared" si="11"/>
        <v>101</v>
      </c>
      <c r="O95" s="679">
        <f t="shared" si="12"/>
        <v>-2.0481310703749237E-3</v>
      </c>
      <c r="P95" s="368"/>
      <c r="Q95" s="254"/>
      <c r="R95" s="661"/>
    </row>
    <row r="96" spans="1:19" ht="12" thickBot="1">
      <c r="A96" s="197" t="s">
        <v>1274</v>
      </c>
      <c r="B96" s="147"/>
      <c r="C96" s="147" t="s">
        <v>397</v>
      </c>
      <c r="D96" s="205"/>
      <c r="E96" s="650">
        <v>90</v>
      </c>
      <c r="F96" s="650"/>
      <c r="G96" s="661"/>
      <c r="H96" s="650"/>
      <c r="I96" s="661"/>
      <c r="J96" s="661">
        <v>20.819999999999997</v>
      </c>
      <c r="K96" s="368">
        <f t="shared" si="9"/>
        <v>1873.7999999999997</v>
      </c>
      <c r="L96" s="654">
        <f t="shared" si="10"/>
        <v>-5.2236307064187268E-5</v>
      </c>
      <c r="M96" s="654">
        <f t="shared" si="11"/>
        <v>90</v>
      </c>
      <c r="O96" s="679">
        <f t="shared" si="12"/>
        <v>-1.9212295775418956E-3</v>
      </c>
      <c r="P96" s="368"/>
      <c r="Q96" s="254"/>
      <c r="R96" s="661"/>
    </row>
    <row r="97" spans="1:18" ht="12" thickBot="1">
      <c r="A97" s="197" t="s">
        <v>1274</v>
      </c>
      <c r="B97" s="147"/>
      <c r="C97" s="147" t="s">
        <v>287</v>
      </c>
      <c r="D97" s="205"/>
      <c r="E97" s="650">
        <v>530</v>
      </c>
      <c r="F97" s="650"/>
      <c r="G97" s="661"/>
      <c r="H97" s="650"/>
      <c r="I97" s="661"/>
      <c r="J97" s="661">
        <v>19.2</v>
      </c>
      <c r="K97" s="368">
        <f t="shared" si="9"/>
        <v>10176</v>
      </c>
      <c r="L97" s="654">
        <f t="shared" si="10"/>
        <v>-2.8367843990029337E-4</v>
      </c>
      <c r="M97" s="654">
        <f t="shared" si="11"/>
        <v>530</v>
      </c>
      <c r="O97" s="679">
        <f t="shared" si="12"/>
        <v>-2.0833333231469928E-3</v>
      </c>
      <c r="P97" s="368"/>
      <c r="Q97" s="254"/>
      <c r="R97" s="661"/>
    </row>
    <row r="98" spans="1:18" ht="12" thickBot="1">
      <c r="A98" s="197" t="s">
        <v>1274</v>
      </c>
      <c r="B98" s="147"/>
      <c r="C98" s="147" t="s">
        <v>288</v>
      </c>
      <c r="D98" s="205"/>
      <c r="E98" s="650">
        <v>501</v>
      </c>
      <c r="F98" s="650"/>
      <c r="G98" s="661"/>
      <c r="H98" s="650"/>
      <c r="I98" s="661"/>
      <c r="J98" s="661">
        <v>22.949999999999996</v>
      </c>
      <c r="K98" s="368">
        <f t="shared" si="9"/>
        <v>11497.949999999997</v>
      </c>
      <c r="L98" s="654">
        <f t="shared" si="10"/>
        <v>-3.2053071128651512E-4</v>
      </c>
      <c r="M98" s="654">
        <f t="shared" si="11"/>
        <v>501</v>
      </c>
      <c r="O98" s="679">
        <f t="shared" si="12"/>
        <v>-1.7429193814563078E-3</v>
      </c>
      <c r="P98" s="368"/>
      <c r="Q98" s="254"/>
      <c r="R98" s="661"/>
    </row>
    <row r="99" spans="1:18" ht="12" thickBot="1">
      <c r="A99" s="197" t="s">
        <v>1274</v>
      </c>
      <c r="B99" s="147"/>
      <c r="C99" s="147" t="s">
        <v>291</v>
      </c>
      <c r="D99" s="205"/>
      <c r="E99" s="650">
        <v>52</v>
      </c>
      <c r="F99" s="650"/>
      <c r="G99" s="661"/>
      <c r="H99" s="650"/>
      <c r="I99" s="661"/>
      <c r="J99" s="661">
        <v>17.419999999999998</v>
      </c>
      <c r="K99" s="368">
        <f t="shared" si="9"/>
        <v>905.83999999999992</v>
      </c>
      <c r="L99" s="654">
        <f t="shared" si="10"/>
        <v>-2.5252287539237593E-5</v>
      </c>
      <c r="M99" s="654">
        <f t="shared" si="11"/>
        <v>52</v>
      </c>
      <c r="O99" s="679">
        <f t="shared" si="12"/>
        <v>-2.2962112402079371E-3</v>
      </c>
      <c r="P99" s="368"/>
      <c r="Q99" s="254"/>
      <c r="R99" s="661"/>
    </row>
    <row r="100" spans="1:18" ht="12" thickBot="1">
      <c r="A100" s="197" t="s">
        <v>1274</v>
      </c>
      <c r="B100" s="147"/>
      <c r="C100" s="309" t="s">
        <v>297</v>
      </c>
      <c r="D100" s="205"/>
      <c r="E100" s="650">
        <v>38</v>
      </c>
      <c r="F100" s="650"/>
      <c r="G100" s="661"/>
      <c r="H100" s="650"/>
      <c r="I100" s="661"/>
      <c r="J100" s="661">
        <v>13.12</v>
      </c>
      <c r="K100" s="368">
        <f t="shared" si="9"/>
        <v>498.55999999999995</v>
      </c>
      <c r="L100" s="654">
        <f t="shared" si="10"/>
        <v>-1.3898459413982927E-5</v>
      </c>
      <c r="M100" s="654">
        <f t="shared" si="11"/>
        <v>38</v>
      </c>
      <c r="O100" s="679">
        <f t="shared" si="12"/>
        <v>-3.0487804728980381E-3</v>
      </c>
      <c r="P100" s="368"/>
      <c r="Q100" s="254"/>
      <c r="R100" s="661"/>
    </row>
    <row r="101" spans="1:18" ht="12" thickBot="1">
      <c r="A101" s="197" t="s">
        <v>1274</v>
      </c>
      <c r="B101" s="309"/>
      <c r="C101" s="147" t="s">
        <v>299</v>
      </c>
      <c r="D101" s="205"/>
      <c r="E101" s="650">
        <v>17</v>
      </c>
      <c r="F101" s="650"/>
      <c r="G101" s="661"/>
      <c r="H101" s="650"/>
      <c r="I101" s="661"/>
      <c r="J101" s="661">
        <v>9.0200000000000014</v>
      </c>
      <c r="K101" s="368">
        <f t="shared" si="9"/>
        <v>153.34000000000003</v>
      </c>
      <c r="L101" s="654">
        <f t="shared" si="10"/>
        <v>-4.2746906421296186E-6</v>
      </c>
      <c r="M101" s="654">
        <f t="shared" si="11"/>
        <v>17</v>
      </c>
      <c r="O101" s="679">
        <f t="shared" si="12"/>
        <v>-4.4345897787607816E-3</v>
      </c>
      <c r="P101" s="368"/>
      <c r="Q101" s="254"/>
      <c r="R101" s="661"/>
    </row>
    <row r="102" spans="1:18" ht="12" thickBot="1">
      <c r="A102" s="197" t="s">
        <v>1274</v>
      </c>
      <c r="B102" s="147"/>
      <c r="C102" s="147" t="s">
        <v>377</v>
      </c>
      <c r="D102" s="205"/>
      <c r="E102" s="650">
        <v>31</v>
      </c>
      <c r="F102" s="650"/>
      <c r="G102" s="661"/>
      <c r="H102" s="650"/>
      <c r="I102" s="661"/>
      <c r="J102" s="661">
        <v>23.89</v>
      </c>
      <c r="K102" s="368">
        <f t="shared" si="9"/>
        <v>740.59</v>
      </c>
      <c r="L102" s="654">
        <f t="shared" si="10"/>
        <v>-2.0645579383427506E-5</v>
      </c>
      <c r="M102" s="654">
        <f t="shared" si="11"/>
        <v>31</v>
      </c>
      <c r="O102" s="679">
        <f t="shared" si="12"/>
        <v>-1.6743407201516224E-3</v>
      </c>
      <c r="P102" s="368"/>
      <c r="Q102" s="254"/>
      <c r="R102" s="661"/>
    </row>
    <row r="103" spans="1:18" ht="12" thickBot="1">
      <c r="A103" s="197" t="s">
        <v>1274</v>
      </c>
      <c r="B103" s="147"/>
      <c r="C103" s="147" t="s">
        <v>737</v>
      </c>
      <c r="D103" s="205"/>
      <c r="E103" s="650">
        <v>4</v>
      </c>
      <c r="F103" s="650"/>
      <c r="G103" s="661"/>
      <c r="H103" s="650"/>
      <c r="I103" s="661"/>
      <c r="J103" s="661">
        <v>24.9</v>
      </c>
      <c r="K103" s="368">
        <f t="shared" si="9"/>
        <v>99.6</v>
      </c>
      <c r="L103" s="654">
        <f t="shared" si="10"/>
        <v>-2.7765696358165507E-6</v>
      </c>
      <c r="M103" s="654">
        <f t="shared" si="11"/>
        <v>4</v>
      </c>
      <c r="O103" s="679">
        <f t="shared" si="12"/>
        <v>-1.6064256949567173E-3</v>
      </c>
      <c r="P103" s="368"/>
      <c r="Q103" s="254"/>
      <c r="R103" s="661"/>
    </row>
    <row r="104" spans="1:18" ht="12" thickBot="1">
      <c r="A104" s="197" t="s">
        <v>1274</v>
      </c>
      <c r="B104" s="147"/>
      <c r="C104" s="147" t="s">
        <v>329</v>
      </c>
      <c r="D104" s="205"/>
      <c r="E104" s="650">
        <v>216</v>
      </c>
      <c r="F104" s="650"/>
      <c r="G104" s="661"/>
      <c r="H104" s="650"/>
      <c r="I104" s="661"/>
      <c r="J104" s="661">
        <v>19.79</v>
      </c>
      <c r="K104" s="368">
        <f t="shared" si="9"/>
        <v>4274.6399999999994</v>
      </c>
      <c r="L104" s="654">
        <f t="shared" si="10"/>
        <v>-1.1916501634585201E-4</v>
      </c>
      <c r="M104" s="654">
        <f t="shared" si="11"/>
        <v>216</v>
      </c>
      <c r="O104" s="679">
        <f t="shared" si="12"/>
        <v>-2.0212228299354351E-3</v>
      </c>
      <c r="P104" s="368"/>
      <c r="Q104" s="254"/>
      <c r="R104" s="661"/>
    </row>
    <row r="105" spans="1:18" ht="12" thickBot="1">
      <c r="A105" s="197" t="s">
        <v>1274</v>
      </c>
      <c r="B105" s="147"/>
      <c r="C105" s="309" t="s">
        <v>330</v>
      </c>
      <c r="D105" s="205"/>
      <c r="E105" s="650">
        <v>1979</v>
      </c>
      <c r="F105" s="650"/>
      <c r="G105" s="661"/>
      <c r="H105" s="650"/>
      <c r="I105" s="661"/>
      <c r="J105" s="661">
        <v>20.49</v>
      </c>
      <c r="K105" s="368">
        <f t="shared" si="9"/>
        <v>40549.71</v>
      </c>
      <c r="L105" s="654">
        <f t="shared" si="10"/>
        <v>-1.1304125856141239E-3</v>
      </c>
      <c r="M105" s="654">
        <f t="shared" si="11"/>
        <v>1979</v>
      </c>
      <c r="O105" s="679">
        <f t="shared" si="12"/>
        <v>-1.9521717815725848E-3</v>
      </c>
      <c r="P105" s="368"/>
      <c r="Q105" s="254"/>
      <c r="R105" s="661"/>
    </row>
    <row r="106" spans="1:18" ht="12" thickBot="1">
      <c r="A106" s="197" t="s">
        <v>1274</v>
      </c>
      <c r="B106" s="309"/>
      <c r="C106" s="147" t="s">
        <v>332</v>
      </c>
      <c r="D106" s="205"/>
      <c r="E106" s="650">
        <v>30</v>
      </c>
      <c r="F106" s="650"/>
      <c r="G106" s="661"/>
      <c r="H106" s="650"/>
      <c r="I106" s="661"/>
      <c r="J106" s="661">
        <v>20.18</v>
      </c>
      <c r="K106" s="368">
        <f t="shared" si="9"/>
        <v>605.4</v>
      </c>
      <c r="L106" s="654">
        <f t="shared" si="10"/>
        <v>-1.6876860015294577E-5</v>
      </c>
      <c r="M106" s="654">
        <f t="shared" si="11"/>
        <v>30</v>
      </c>
      <c r="O106" s="679">
        <f t="shared" si="12"/>
        <v>-1.9821605453132934E-3</v>
      </c>
      <c r="P106" s="368"/>
      <c r="Q106" s="254"/>
      <c r="R106" s="661"/>
    </row>
    <row r="107" spans="1:18" ht="12" thickBot="1">
      <c r="A107" s="197" t="s">
        <v>1274</v>
      </c>
      <c r="B107" s="147"/>
      <c r="C107" s="147" t="s">
        <v>333</v>
      </c>
      <c r="D107" s="205"/>
      <c r="E107" s="650">
        <v>1759</v>
      </c>
      <c r="F107" s="650"/>
      <c r="G107" s="661"/>
      <c r="H107" s="650"/>
      <c r="I107" s="661"/>
      <c r="J107" s="661">
        <v>22.56</v>
      </c>
      <c r="K107" s="368">
        <f t="shared" si="9"/>
        <v>39683.040000000001</v>
      </c>
      <c r="L107" s="654">
        <f t="shared" si="10"/>
        <v>-1.1062522482017433E-3</v>
      </c>
      <c r="M107" s="654">
        <f t="shared" si="11"/>
        <v>1759</v>
      </c>
      <c r="O107" s="679">
        <f t="shared" si="12"/>
        <v>-1.773049636720845E-3</v>
      </c>
      <c r="P107" s="368"/>
      <c r="Q107" s="254"/>
      <c r="R107" s="661"/>
    </row>
    <row r="108" spans="1:18" ht="12" thickBot="1">
      <c r="A108" s="197" t="s">
        <v>1274</v>
      </c>
      <c r="B108" s="147"/>
      <c r="C108" s="147" t="s">
        <v>334</v>
      </c>
      <c r="D108" s="205"/>
      <c r="E108" s="650">
        <v>34</v>
      </c>
      <c r="F108" s="650"/>
      <c r="G108" s="661"/>
      <c r="H108" s="650"/>
      <c r="I108" s="661"/>
      <c r="J108" s="661">
        <v>23.68</v>
      </c>
      <c r="K108" s="368">
        <f t="shared" si="9"/>
        <v>805.12</v>
      </c>
      <c r="L108" s="654">
        <f t="shared" si="10"/>
        <v>-2.2444495433620697E-5</v>
      </c>
      <c r="M108" s="654">
        <f t="shared" si="11"/>
        <v>34</v>
      </c>
      <c r="O108" s="679">
        <f t="shared" si="12"/>
        <v>-1.6891891809299941E-3</v>
      </c>
      <c r="P108" s="368"/>
      <c r="Q108" s="254"/>
      <c r="R108" s="661"/>
    </row>
    <row r="109" spans="1:18" ht="12" thickBot="1">
      <c r="A109" s="197" t="s">
        <v>1274</v>
      </c>
      <c r="B109" s="147"/>
      <c r="C109" s="147" t="s">
        <v>336</v>
      </c>
      <c r="D109" s="205"/>
      <c r="E109" s="650">
        <v>108</v>
      </c>
      <c r="F109" s="650"/>
      <c r="G109" s="661"/>
      <c r="H109" s="650"/>
      <c r="I109" s="661"/>
      <c r="J109" s="661">
        <v>24.77</v>
      </c>
      <c r="K109" s="368">
        <f t="shared" si="9"/>
        <v>2675.16</v>
      </c>
      <c r="L109" s="654">
        <f t="shared" si="10"/>
        <v>-7.4575984206335378E-5</v>
      </c>
      <c r="M109" s="654">
        <f t="shared" si="11"/>
        <v>108</v>
      </c>
      <c r="O109" s="679">
        <f t="shared" si="12"/>
        <v>-1.614856673573769E-3</v>
      </c>
      <c r="P109" s="368"/>
      <c r="Q109" s="254"/>
      <c r="R109" s="661"/>
    </row>
    <row r="110" spans="1:18" ht="12" thickBot="1">
      <c r="A110" s="197" t="s">
        <v>1274</v>
      </c>
      <c r="B110" s="147"/>
      <c r="C110" s="147" t="s">
        <v>337</v>
      </c>
      <c r="D110" s="205"/>
      <c r="E110" s="650">
        <v>52</v>
      </c>
      <c r="F110" s="650"/>
      <c r="G110" s="661"/>
      <c r="H110" s="650"/>
      <c r="I110" s="661"/>
      <c r="J110" s="661">
        <v>29.889999999999997</v>
      </c>
      <c r="K110" s="368">
        <f t="shared" si="9"/>
        <v>1554.2799999999997</v>
      </c>
      <c r="L110" s="654">
        <f t="shared" si="10"/>
        <v>-4.3328982465431203E-5</v>
      </c>
      <c r="M110" s="654">
        <f t="shared" si="11"/>
        <v>52</v>
      </c>
      <c r="O110" s="679">
        <f t="shared" si="12"/>
        <v>-1.3382402075751846E-3</v>
      </c>
      <c r="P110" s="368"/>
      <c r="Q110" s="254"/>
      <c r="R110" s="661"/>
    </row>
    <row r="111" spans="1:18" ht="12" thickBot="1">
      <c r="A111" s="197" t="s">
        <v>1274</v>
      </c>
      <c r="B111" s="147"/>
      <c r="C111" s="147" t="s">
        <v>338</v>
      </c>
      <c r="D111" s="205"/>
      <c r="E111" s="650">
        <v>171</v>
      </c>
      <c r="F111" s="650"/>
      <c r="G111" s="661"/>
      <c r="H111" s="650"/>
      <c r="I111" s="661"/>
      <c r="J111" s="661">
        <v>32.860000000000007</v>
      </c>
      <c r="K111" s="368">
        <f t="shared" si="9"/>
        <v>5619.0600000000013</v>
      </c>
      <c r="L111" s="654">
        <f t="shared" si="10"/>
        <v>-1.5664368853244331E-4</v>
      </c>
      <c r="M111" s="654">
        <f t="shared" si="11"/>
        <v>171</v>
      </c>
      <c r="O111" s="679">
        <f t="shared" si="12"/>
        <v>-1.2172854474869826E-3</v>
      </c>
      <c r="P111" s="368"/>
      <c r="Q111" s="254"/>
      <c r="R111" s="661"/>
    </row>
    <row r="112" spans="1:18" ht="12" thickBot="1">
      <c r="A112" s="197" t="s">
        <v>1274</v>
      </c>
      <c r="B112" s="147"/>
      <c r="C112" s="309" t="s">
        <v>339</v>
      </c>
      <c r="D112" s="205"/>
      <c r="E112" s="650">
        <v>353</v>
      </c>
      <c r="F112" s="650"/>
      <c r="G112" s="661"/>
      <c r="H112" s="650"/>
      <c r="I112" s="661"/>
      <c r="J112" s="661">
        <v>38.389999999999993</v>
      </c>
      <c r="K112" s="368">
        <f t="shared" si="9"/>
        <v>13551.669999999998</v>
      </c>
      <c r="L112" s="654">
        <f t="shared" si="10"/>
        <v>-3.7778268510648663E-4</v>
      </c>
      <c r="M112" s="654">
        <f t="shared" si="11"/>
        <v>353</v>
      </c>
      <c r="O112" s="679">
        <f t="shared" si="12"/>
        <v>-1.0419379995942242E-3</v>
      </c>
      <c r="P112" s="368"/>
      <c r="Q112" s="254"/>
      <c r="R112" s="661"/>
    </row>
    <row r="113" spans="1:18" ht="12" thickBot="1">
      <c r="A113" s="197" t="s">
        <v>1274</v>
      </c>
      <c r="B113" s="309"/>
      <c r="C113" s="147" t="s">
        <v>340</v>
      </c>
      <c r="D113" s="205"/>
      <c r="E113" s="650">
        <v>17</v>
      </c>
      <c r="F113" s="650"/>
      <c r="G113" s="661"/>
      <c r="H113" s="650"/>
      <c r="I113" s="661"/>
      <c r="J113" s="661">
        <v>26.349999999999998</v>
      </c>
      <c r="K113" s="368">
        <f t="shared" si="9"/>
        <v>447.95</v>
      </c>
      <c r="L113" s="654">
        <f t="shared" si="10"/>
        <v>-1.2487594059879758E-5</v>
      </c>
      <c r="M113" s="654">
        <f t="shared" si="11"/>
        <v>17</v>
      </c>
      <c r="O113" s="679">
        <f t="shared" si="12"/>
        <v>-1.5180265580425907E-3</v>
      </c>
      <c r="P113" s="368"/>
      <c r="Q113" s="254"/>
      <c r="R113" s="661"/>
    </row>
    <row r="114" spans="1:18" ht="12" thickBot="1">
      <c r="A114" s="197" t="s">
        <v>1274</v>
      </c>
      <c r="B114" s="147"/>
      <c r="C114" s="147" t="s">
        <v>341</v>
      </c>
      <c r="D114" s="205"/>
      <c r="E114" s="650">
        <v>393</v>
      </c>
      <c r="F114" s="650"/>
      <c r="G114" s="661"/>
      <c r="H114" s="650"/>
      <c r="I114" s="661"/>
      <c r="J114" s="661">
        <v>28.45</v>
      </c>
      <c r="K114" s="368">
        <f t="shared" si="9"/>
        <v>11180.85</v>
      </c>
      <c r="L114" s="654">
        <f t="shared" si="10"/>
        <v>-3.11690849524292E-4</v>
      </c>
      <c r="M114" s="654">
        <f t="shared" si="11"/>
        <v>393</v>
      </c>
      <c r="O114" s="679">
        <f t="shared" si="12"/>
        <v>-1.4059753885561426E-3</v>
      </c>
      <c r="P114" s="368"/>
      <c r="Q114" s="254"/>
      <c r="R114" s="661"/>
    </row>
    <row r="115" spans="1:18" ht="12" thickBot="1">
      <c r="A115" s="197" t="s">
        <v>1274</v>
      </c>
      <c r="B115" s="147"/>
      <c r="C115" s="147" t="s">
        <v>342</v>
      </c>
      <c r="D115" s="205"/>
      <c r="E115" s="650">
        <v>33</v>
      </c>
      <c r="F115" s="650"/>
      <c r="G115" s="661"/>
      <c r="H115" s="650"/>
      <c r="I115" s="661"/>
      <c r="J115" s="661">
        <v>34.029999999999994</v>
      </c>
      <c r="K115" s="368">
        <f t="shared" si="9"/>
        <v>1122.9899999999998</v>
      </c>
      <c r="L115" s="654">
        <f t="shared" si="10"/>
        <v>-3.1305822643831608E-5</v>
      </c>
      <c r="M115" s="654">
        <f t="shared" si="11"/>
        <v>33</v>
      </c>
      <c r="O115" s="679">
        <f t="shared" si="12"/>
        <v>-1.1754334353341834E-3</v>
      </c>
      <c r="P115" s="368"/>
      <c r="Q115" s="254"/>
      <c r="R115" s="661"/>
    </row>
    <row r="116" spans="1:18" ht="12" thickBot="1">
      <c r="A116" s="197" t="s">
        <v>1274</v>
      </c>
      <c r="B116" s="147"/>
      <c r="C116" s="147" t="s">
        <v>343</v>
      </c>
      <c r="D116" s="205"/>
      <c r="E116" s="650">
        <v>39</v>
      </c>
      <c r="F116" s="650"/>
      <c r="G116" s="661"/>
      <c r="H116" s="650"/>
      <c r="I116" s="661"/>
      <c r="J116" s="661">
        <v>33.22</v>
      </c>
      <c r="K116" s="368">
        <f t="shared" si="9"/>
        <v>1295.58</v>
      </c>
      <c r="L116" s="654">
        <f t="shared" si="10"/>
        <v>-3.611714948565469E-5</v>
      </c>
      <c r="M116" s="654">
        <f t="shared" si="11"/>
        <v>39</v>
      </c>
      <c r="O116" s="679">
        <f t="shared" si="12"/>
        <v>-1.2040939134383582E-3</v>
      </c>
      <c r="P116" s="368"/>
      <c r="Q116" s="254"/>
      <c r="R116" s="661"/>
    </row>
    <row r="117" spans="1:18" ht="12" thickBot="1">
      <c r="A117" s="197" t="s">
        <v>1274</v>
      </c>
      <c r="B117" s="147"/>
      <c r="C117" s="147" t="s">
        <v>344</v>
      </c>
      <c r="D117" s="205"/>
      <c r="E117" s="650">
        <v>51</v>
      </c>
      <c r="F117" s="650"/>
      <c r="G117" s="661"/>
      <c r="H117" s="650"/>
      <c r="I117" s="661"/>
      <c r="J117" s="661">
        <v>35.199999999999996</v>
      </c>
      <c r="K117" s="368">
        <f t="shared" si="9"/>
        <v>1795.1999999999998</v>
      </c>
      <c r="L117" s="654">
        <f t="shared" si="10"/>
        <v>-5.0045158737127222E-5</v>
      </c>
      <c r="M117" s="654">
        <f t="shared" si="11"/>
        <v>51</v>
      </c>
      <c r="O117" s="679">
        <f t="shared" si="12"/>
        <v>-1.1363636308074506E-3</v>
      </c>
      <c r="P117" s="368"/>
      <c r="Q117" s="254"/>
      <c r="R117" s="661"/>
    </row>
    <row r="118" spans="1:18" ht="12" thickBot="1">
      <c r="A118" s="197" t="s">
        <v>1274</v>
      </c>
      <c r="B118" s="147"/>
      <c r="C118" s="147" t="s">
        <v>345</v>
      </c>
      <c r="D118" s="205"/>
      <c r="E118" s="650">
        <v>198</v>
      </c>
      <c r="F118" s="650"/>
      <c r="G118" s="661"/>
      <c r="H118" s="650"/>
      <c r="I118" s="661"/>
      <c r="J118" s="661">
        <v>34.090000000000003</v>
      </c>
      <c r="K118" s="368">
        <f t="shared" si="9"/>
        <v>6749.8200000000006</v>
      </c>
      <c r="L118" s="654">
        <f t="shared" si="10"/>
        <v>-1.8816611706051477E-4</v>
      </c>
      <c r="M118" s="654">
        <f t="shared" si="11"/>
        <v>198</v>
      </c>
      <c r="O118" s="679">
        <f t="shared" si="12"/>
        <v>-1.1733646173195146E-3</v>
      </c>
      <c r="P118" s="368"/>
      <c r="Q118" s="254"/>
      <c r="R118" s="661"/>
    </row>
    <row r="119" spans="1:18" ht="12" thickBot="1">
      <c r="A119" s="197" t="s">
        <v>1274</v>
      </c>
      <c r="B119" s="147"/>
      <c r="C119" s="309" t="s">
        <v>346</v>
      </c>
      <c r="D119" s="205"/>
      <c r="E119" s="650">
        <v>189</v>
      </c>
      <c r="F119" s="650"/>
      <c r="G119" s="661"/>
      <c r="H119" s="650"/>
      <c r="I119" s="661"/>
      <c r="J119" s="661">
        <v>36.07</v>
      </c>
      <c r="K119" s="368">
        <f t="shared" si="9"/>
        <v>6817.2300000000005</v>
      </c>
      <c r="L119" s="654">
        <f t="shared" si="10"/>
        <v>-1.9004531946162313E-4</v>
      </c>
      <c r="M119" s="654">
        <f t="shared" si="11"/>
        <v>189</v>
      </c>
      <c r="O119" s="679">
        <f t="shared" si="12"/>
        <v>-1.108954804669317E-3</v>
      </c>
      <c r="P119" s="368"/>
      <c r="Q119" s="254"/>
      <c r="R119" s="661"/>
    </row>
    <row r="120" spans="1:18" ht="12" thickBot="1">
      <c r="A120" s="197" t="s">
        <v>1274</v>
      </c>
      <c r="B120" s="309"/>
      <c r="C120" s="147" t="s">
        <v>347</v>
      </c>
      <c r="D120" s="205"/>
      <c r="E120" s="650">
        <v>13</v>
      </c>
      <c r="F120" s="650"/>
      <c r="G120" s="661"/>
      <c r="H120" s="650"/>
      <c r="I120" s="661"/>
      <c r="J120" s="661">
        <v>32.26</v>
      </c>
      <c r="K120" s="368">
        <f t="shared" si="9"/>
        <v>419.38</v>
      </c>
      <c r="L120" s="654">
        <f t="shared" si="10"/>
        <v>-1.1691142307919126E-5</v>
      </c>
      <c r="M120" s="654">
        <f t="shared" si="11"/>
        <v>13</v>
      </c>
      <c r="O120" s="679">
        <f t="shared" si="12"/>
        <v>-1.239925598401186E-3</v>
      </c>
      <c r="P120" s="368"/>
      <c r="Q120" s="254"/>
      <c r="R120" s="661"/>
    </row>
    <row r="121" spans="1:18" ht="12" thickBot="1">
      <c r="A121" s="197" t="s">
        <v>1274</v>
      </c>
      <c r="B121" s="147"/>
      <c r="C121" s="147" t="s">
        <v>348</v>
      </c>
      <c r="D121" s="205"/>
      <c r="E121" s="650">
        <v>43</v>
      </c>
      <c r="F121" s="650"/>
      <c r="G121" s="661"/>
      <c r="H121" s="650"/>
      <c r="I121" s="661"/>
      <c r="J121" s="661">
        <v>32.93</v>
      </c>
      <c r="K121" s="368">
        <f t="shared" si="9"/>
        <v>1415.99</v>
      </c>
      <c r="L121" s="654">
        <f t="shared" si="10"/>
        <v>-3.9473843761243749E-5</v>
      </c>
      <c r="M121" s="654">
        <f t="shared" si="11"/>
        <v>43</v>
      </c>
      <c r="O121" s="679">
        <f t="shared" si="12"/>
        <v>-1.2146978379721305E-3</v>
      </c>
      <c r="P121" s="368"/>
      <c r="Q121" s="254"/>
      <c r="R121" s="661"/>
    </row>
    <row r="122" spans="1:18" ht="12" thickBot="1">
      <c r="A122" s="197" t="s">
        <v>1274</v>
      </c>
      <c r="B122" s="147"/>
      <c r="C122" s="147" t="s">
        <v>376</v>
      </c>
      <c r="D122" s="205"/>
      <c r="E122" s="650">
        <v>10</v>
      </c>
      <c r="F122" s="650"/>
      <c r="G122" s="661"/>
      <c r="H122" s="650"/>
      <c r="I122" s="661"/>
      <c r="J122" s="661">
        <v>34.330000000000005</v>
      </c>
      <c r="K122" s="368">
        <f t="shared" si="9"/>
        <v>343.30000000000007</v>
      </c>
      <c r="L122" s="654">
        <f t="shared" si="10"/>
        <v>-9.5702445379098612E-6</v>
      </c>
      <c r="M122" s="654">
        <f t="shared" si="11"/>
        <v>10</v>
      </c>
      <c r="O122" s="679">
        <f t="shared" si="12"/>
        <v>-1.1651616604841904E-3</v>
      </c>
      <c r="P122" s="368"/>
      <c r="Q122" s="254"/>
      <c r="R122" s="661"/>
    </row>
    <row r="123" spans="1:18" ht="12" thickBot="1">
      <c r="A123" s="197" t="s">
        <v>1274</v>
      </c>
      <c r="B123" s="147"/>
      <c r="C123" s="147" t="s">
        <v>349</v>
      </c>
      <c r="D123" s="205"/>
      <c r="E123" s="650">
        <v>187</v>
      </c>
      <c r="F123" s="650"/>
      <c r="G123" s="661"/>
      <c r="H123" s="650"/>
      <c r="I123" s="661"/>
      <c r="J123" s="661">
        <v>34.99</v>
      </c>
      <c r="K123" s="368">
        <f t="shared" si="9"/>
        <v>6543.13</v>
      </c>
      <c r="L123" s="654">
        <f t="shared" si="10"/>
        <v>-1.8240417752209186E-4</v>
      </c>
      <c r="M123" s="654">
        <f t="shared" si="11"/>
        <v>187</v>
      </c>
      <c r="O123" s="679">
        <f t="shared" si="12"/>
        <v>-1.1431837612009791E-3</v>
      </c>
      <c r="P123" s="368"/>
      <c r="Q123" s="254"/>
      <c r="R123" s="661"/>
    </row>
    <row r="124" spans="1:18" ht="12" thickBot="1">
      <c r="A124" s="197" t="s">
        <v>1274</v>
      </c>
      <c r="B124" s="147"/>
      <c r="C124" s="147" t="s">
        <v>729</v>
      </c>
      <c r="D124" s="205"/>
      <c r="E124" s="650">
        <v>0</v>
      </c>
      <c r="F124" s="650"/>
      <c r="G124" s="661"/>
      <c r="H124" s="650"/>
      <c r="I124" s="661"/>
      <c r="J124" s="661">
        <v>16.459999999999997</v>
      </c>
      <c r="K124" s="368">
        <f t="shared" si="9"/>
        <v>0</v>
      </c>
      <c r="L124" s="654">
        <f t="shared" si="10"/>
        <v>0</v>
      </c>
      <c r="M124" s="654">
        <f t="shared" si="11"/>
        <v>0</v>
      </c>
      <c r="O124" s="679">
        <f t="shared" si="12"/>
        <v>-2.4301336454691535E-3</v>
      </c>
      <c r="P124" s="368"/>
      <c r="Q124" s="254"/>
      <c r="R124" s="661"/>
    </row>
    <row r="125" spans="1:18" ht="12" thickBot="1">
      <c r="A125" s="197" t="s">
        <v>1274</v>
      </c>
      <c r="B125" s="147"/>
      <c r="C125" s="147" t="s">
        <v>730</v>
      </c>
      <c r="D125" s="205"/>
      <c r="E125" s="650">
        <v>2</v>
      </c>
      <c r="F125" s="650"/>
      <c r="G125" s="661"/>
      <c r="H125" s="650"/>
      <c r="I125" s="661"/>
      <c r="J125" s="661">
        <v>18.279999999999998</v>
      </c>
      <c r="K125" s="368">
        <f t="shared" si="9"/>
        <v>36.559999999999995</v>
      </c>
      <c r="L125" s="654">
        <f t="shared" si="10"/>
        <v>-1.0191906213398905E-6</v>
      </c>
      <c r="M125" s="654">
        <f t="shared" si="11"/>
        <v>2</v>
      </c>
      <c r="O125" s="679">
        <f t="shared" si="12"/>
        <v>-2.1881837967408242E-3</v>
      </c>
      <c r="P125" s="368"/>
      <c r="Q125" s="254"/>
      <c r="R125" s="661"/>
    </row>
    <row r="126" spans="1:18" ht="12" thickBot="1">
      <c r="A126" s="197" t="s">
        <v>1274</v>
      </c>
      <c r="B126" s="147"/>
      <c r="C126" s="147" t="s">
        <v>378</v>
      </c>
      <c r="D126" s="205"/>
      <c r="E126" s="650">
        <v>12</v>
      </c>
      <c r="F126" s="650"/>
      <c r="G126" s="661"/>
      <c r="H126" s="650"/>
      <c r="I126" s="661"/>
      <c r="J126" s="661">
        <v>22.32</v>
      </c>
      <c r="K126" s="368">
        <f t="shared" si="9"/>
        <v>267.84000000000003</v>
      </c>
      <c r="L126" s="654">
        <f t="shared" si="10"/>
        <v>-7.4666306351114967E-6</v>
      </c>
      <c r="M126" s="654">
        <f t="shared" si="11"/>
        <v>12</v>
      </c>
      <c r="O126" s="679">
        <f t="shared" si="12"/>
        <v>-1.7921146865780581E-3</v>
      </c>
      <c r="P126" s="368"/>
      <c r="Q126" s="254"/>
      <c r="R126" s="661"/>
    </row>
    <row r="127" spans="1:18" ht="12" thickBot="1">
      <c r="A127" s="197" t="s">
        <v>1274</v>
      </c>
      <c r="B127" s="147"/>
      <c r="C127" s="147" t="s">
        <v>354</v>
      </c>
      <c r="D127" s="205"/>
      <c r="E127" s="650">
        <v>6198</v>
      </c>
      <c r="F127" s="650"/>
      <c r="G127" s="661"/>
      <c r="H127" s="650"/>
      <c r="I127" s="661"/>
      <c r="J127" s="661">
        <v>12.82</v>
      </c>
      <c r="K127" s="368">
        <f t="shared" si="9"/>
        <v>79458.36</v>
      </c>
      <c r="L127" s="654">
        <f t="shared" si="10"/>
        <v>-2.2150770048973934E-3</v>
      </c>
      <c r="M127" s="654">
        <f t="shared" si="11"/>
        <v>6198</v>
      </c>
      <c r="O127" s="679">
        <f t="shared" si="12"/>
        <v>-3.1201247897365255E-3</v>
      </c>
      <c r="P127" s="368"/>
      <c r="Q127" s="254"/>
      <c r="R127" s="661"/>
    </row>
    <row r="128" spans="1:18" ht="12" thickBot="1">
      <c r="A128" s="197" t="s">
        <v>1274</v>
      </c>
      <c r="B128" s="147"/>
      <c r="C128" s="309" t="s">
        <v>355</v>
      </c>
      <c r="D128" s="205"/>
      <c r="E128" s="650">
        <v>8738</v>
      </c>
      <c r="F128" s="650"/>
      <c r="G128" s="661"/>
      <c r="H128" s="650"/>
      <c r="I128" s="661"/>
      <c r="J128" s="661">
        <v>15.08</v>
      </c>
      <c r="K128" s="368">
        <f t="shared" si="9"/>
        <v>131769.04</v>
      </c>
      <c r="L128" s="654">
        <f t="shared" si="10"/>
        <v>-3.6733525643041823E-3</v>
      </c>
      <c r="M128" s="654">
        <f t="shared" si="11"/>
        <v>8738</v>
      </c>
      <c r="O128" s="679">
        <f t="shared" si="12"/>
        <v>-2.652519880929858E-3</v>
      </c>
      <c r="P128" s="368"/>
      <c r="Q128" s="254"/>
      <c r="R128" s="661"/>
    </row>
    <row r="129" spans="1:18" ht="12" thickBot="1">
      <c r="A129" s="197" t="s">
        <v>1274</v>
      </c>
      <c r="B129" s="309"/>
      <c r="C129" s="147" t="s">
        <v>356</v>
      </c>
      <c r="D129" s="205"/>
      <c r="E129" s="650">
        <v>5354</v>
      </c>
      <c r="F129" s="650"/>
      <c r="G129" s="661"/>
      <c r="H129" s="650"/>
      <c r="I129" s="661"/>
      <c r="J129" s="661">
        <v>17.38</v>
      </c>
      <c r="K129" s="368">
        <f t="shared" si="9"/>
        <v>93052.51999999999</v>
      </c>
      <c r="L129" s="654">
        <f t="shared" si="10"/>
        <v>-2.5940441924519305E-3</v>
      </c>
      <c r="M129" s="654">
        <f t="shared" si="11"/>
        <v>5354</v>
      </c>
      <c r="O129" s="679">
        <f t="shared" si="12"/>
        <v>-2.3014959611290138E-3</v>
      </c>
      <c r="P129" s="368"/>
      <c r="Q129" s="254"/>
      <c r="R129" s="661"/>
    </row>
    <row r="130" spans="1:18" ht="12" thickBot="1">
      <c r="A130" s="197" t="s">
        <v>1274</v>
      </c>
      <c r="B130" s="147"/>
      <c r="C130" s="147" t="s">
        <v>357</v>
      </c>
      <c r="D130" s="205"/>
      <c r="E130" s="650">
        <v>395</v>
      </c>
      <c r="F130" s="650"/>
      <c r="G130" s="661"/>
      <c r="H130" s="650"/>
      <c r="I130" s="661"/>
      <c r="J130" s="661">
        <v>13.77</v>
      </c>
      <c r="K130" s="368">
        <f t="shared" si="9"/>
        <v>5439.15</v>
      </c>
      <c r="L130" s="654">
        <f t="shared" si="10"/>
        <v>-1.5162830054871076E-4</v>
      </c>
      <c r="M130" s="654">
        <f t="shared" si="11"/>
        <v>395</v>
      </c>
      <c r="O130" s="679">
        <f t="shared" si="12"/>
        <v>-2.9048656357605128E-3</v>
      </c>
      <c r="P130" s="368"/>
      <c r="Q130" s="254"/>
      <c r="R130" s="661"/>
    </row>
    <row r="131" spans="1:18" ht="12" thickBot="1">
      <c r="A131" s="197" t="s">
        <v>1274</v>
      </c>
      <c r="B131" s="147"/>
      <c r="C131" s="147" t="s">
        <v>358</v>
      </c>
      <c r="D131" s="205"/>
      <c r="E131" s="650">
        <v>12463</v>
      </c>
      <c r="F131" s="650"/>
      <c r="G131" s="661"/>
      <c r="H131" s="650"/>
      <c r="I131" s="661"/>
      <c r="J131" s="661">
        <v>18.21</v>
      </c>
      <c r="K131" s="368">
        <f t="shared" si="9"/>
        <v>226951.23</v>
      </c>
      <c r="L131" s="654">
        <f t="shared" si="10"/>
        <v>-6.326766004309421E-3</v>
      </c>
      <c r="M131" s="654">
        <f t="shared" si="11"/>
        <v>12463</v>
      </c>
      <c r="O131" s="679">
        <f t="shared" si="12"/>
        <v>-2.196595266580025E-3</v>
      </c>
      <c r="P131" s="368"/>
      <c r="Q131" s="254"/>
      <c r="R131" s="661"/>
    </row>
    <row r="132" spans="1:18" ht="12" thickBot="1">
      <c r="A132" s="197" t="s">
        <v>1274</v>
      </c>
      <c r="B132" s="147"/>
      <c r="C132" s="147" t="s">
        <v>359</v>
      </c>
      <c r="D132" s="205"/>
      <c r="E132" s="650">
        <v>3189</v>
      </c>
      <c r="F132" s="650"/>
      <c r="G132" s="661"/>
      <c r="H132" s="650"/>
      <c r="I132" s="661"/>
      <c r="J132" s="661">
        <v>10.86</v>
      </c>
      <c r="K132" s="368">
        <f t="shared" si="9"/>
        <v>34632.54</v>
      </c>
      <c r="L132" s="654">
        <f t="shared" si="10"/>
        <v>-9.6545842344580456E-4</v>
      </c>
      <c r="M132" s="654">
        <f t="shared" si="11"/>
        <v>3189</v>
      </c>
      <c r="O132" s="679">
        <f t="shared" si="12"/>
        <v>-3.6832412342930258E-3</v>
      </c>
      <c r="P132" s="368"/>
      <c r="Q132" s="254"/>
      <c r="R132" s="661"/>
    </row>
    <row r="133" spans="1:18" ht="12" thickBot="1">
      <c r="A133" s="197" t="s">
        <v>1274</v>
      </c>
      <c r="B133" s="147"/>
      <c r="C133" s="309" t="s">
        <v>360</v>
      </c>
      <c r="D133" s="205"/>
      <c r="E133" s="650">
        <v>5</v>
      </c>
      <c r="F133" s="650"/>
      <c r="G133" s="661"/>
      <c r="H133" s="650"/>
      <c r="I133" s="661"/>
      <c r="J133" s="661">
        <v>11.13</v>
      </c>
      <c r="K133" s="368">
        <f t="shared" si="9"/>
        <v>55.650000000000006</v>
      </c>
      <c r="L133" s="654">
        <f t="shared" si="10"/>
        <v>-1.5513664682047296E-6</v>
      </c>
      <c r="M133" s="654">
        <f t="shared" si="11"/>
        <v>5</v>
      </c>
      <c r="O133" s="679">
        <f t="shared" si="12"/>
        <v>-3.5938903687710924E-3</v>
      </c>
      <c r="P133" s="368"/>
      <c r="Q133" s="254"/>
      <c r="R133" s="661"/>
    </row>
    <row r="134" spans="1:18" ht="12" thickBot="1">
      <c r="A134" s="197" t="s">
        <v>1274</v>
      </c>
      <c r="B134" s="309"/>
      <c r="C134" s="147" t="s">
        <v>365</v>
      </c>
      <c r="D134" s="205"/>
      <c r="E134" s="650">
        <v>21</v>
      </c>
      <c r="F134" s="650"/>
      <c r="G134" s="661"/>
      <c r="H134" s="650"/>
      <c r="I134" s="661"/>
      <c r="J134" s="661">
        <v>12.79</v>
      </c>
      <c r="K134" s="368">
        <f t="shared" si="9"/>
        <v>268.58999999999997</v>
      </c>
      <c r="L134" s="654">
        <f t="shared" si="10"/>
        <v>-7.4875385389956556E-6</v>
      </c>
      <c r="M134" s="654">
        <f t="shared" si="11"/>
        <v>21</v>
      </c>
      <c r="O134" s="679">
        <f t="shared" si="12"/>
        <v>-3.1274432997984566E-3</v>
      </c>
      <c r="P134" s="368"/>
      <c r="Q134" s="254"/>
      <c r="R134" s="661"/>
    </row>
    <row r="135" spans="1:18" ht="12" thickBot="1">
      <c r="A135" s="197" t="s">
        <v>1274</v>
      </c>
      <c r="B135" s="147"/>
      <c r="C135" s="147" t="s">
        <v>366</v>
      </c>
      <c r="D135" s="205"/>
      <c r="E135" s="650">
        <v>2</v>
      </c>
      <c r="F135" s="650"/>
      <c r="G135" s="661"/>
      <c r="H135" s="650"/>
      <c r="I135" s="661"/>
      <c r="J135" s="661">
        <v>15.07</v>
      </c>
      <c r="K135" s="368">
        <f t="shared" si="9"/>
        <v>30.14</v>
      </c>
      <c r="L135" s="654">
        <f t="shared" si="10"/>
        <v>-8.4021896409147425E-7</v>
      </c>
      <c r="M135" s="654">
        <f t="shared" si="11"/>
        <v>2</v>
      </c>
      <c r="O135" s="679">
        <f t="shared" si="12"/>
        <v>-2.6542800135648478E-3</v>
      </c>
      <c r="P135" s="368"/>
      <c r="Q135" s="254"/>
      <c r="R135" s="661"/>
    </row>
    <row r="136" spans="1:18" ht="12" thickBot="1">
      <c r="A136" s="197" t="s">
        <v>1274</v>
      </c>
      <c r="B136" s="147"/>
      <c r="C136" s="147" t="s">
        <v>367</v>
      </c>
      <c r="D136" s="205"/>
      <c r="E136" s="650">
        <v>290</v>
      </c>
      <c r="F136" s="650"/>
      <c r="G136" s="661"/>
      <c r="H136" s="650"/>
      <c r="I136" s="661"/>
      <c r="J136" s="661">
        <v>18.68</v>
      </c>
      <c r="K136" s="368">
        <f t="shared" si="9"/>
        <v>5417.2</v>
      </c>
      <c r="L136" s="654">
        <f t="shared" si="10"/>
        <v>-1.5101639589503433E-4</v>
      </c>
      <c r="M136" s="654">
        <f t="shared" si="11"/>
        <v>290</v>
      </c>
      <c r="O136" s="679">
        <f t="shared" si="12"/>
        <v>-2.1413276126564379E-3</v>
      </c>
      <c r="P136" s="368"/>
      <c r="Q136" s="254"/>
      <c r="R136" s="661"/>
    </row>
    <row r="137" spans="1:18" ht="12" thickBot="1">
      <c r="A137" s="197" t="s">
        <v>1274</v>
      </c>
      <c r="B137" s="147"/>
      <c r="C137" s="147" t="s">
        <v>368</v>
      </c>
      <c r="D137" s="205"/>
      <c r="E137" s="650">
        <v>52</v>
      </c>
      <c r="F137" s="650"/>
      <c r="G137" s="661"/>
      <c r="H137" s="650"/>
      <c r="I137" s="661"/>
      <c r="J137" s="661">
        <v>20.970000000000002</v>
      </c>
      <c r="K137" s="368">
        <f t="shared" si="9"/>
        <v>1090.44</v>
      </c>
      <c r="L137" s="654">
        <f t="shared" si="10"/>
        <v>-3.0398419615259036E-5</v>
      </c>
      <c r="M137" s="654">
        <f t="shared" si="11"/>
        <v>52</v>
      </c>
      <c r="O137" s="679">
        <f t="shared" si="12"/>
        <v>-1.907486876701109E-3</v>
      </c>
      <c r="P137" s="368"/>
      <c r="Q137" s="254"/>
      <c r="R137" s="661"/>
    </row>
    <row r="138" spans="1:18" ht="12" thickBot="1">
      <c r="A138" s="197" t="s">
        <v>1274</v>
      </c>
      <c r="B138" s="147"/>
      <c r="C138" s="147" t="s">
        <v>369</v>
      </c>
      <c r="D138" s="205"/>
      <c r="E138" s="650">
        <v>2</v>
      </c>
      <c r="F138" s="650"/>
      <c r="G138" s="661"/>
      <c r="H138" s="650"/>
      <c r="I138" s="661"/>
      <c r="J138" s="661">
        <v>28.42</v>
      </c>
      <c r="K138" s="368">
        <f t="shared" si="9"/>
        <v>56.84</v>
      </c>
      <c r="L138" s="654">
        <f t="shared" si="10"/>
        <v>-1.5845403423675979E-6</v>
      </c>
      <c r="M138" s="654">
        <f t="shared" si="11"/>
        <v>2</v>
      </c>
      <c r="O138" s="679">
        <f t="shared" si="12"/>
        <v>-1.4074595286566593E-3</v>
      </c>
      <c r="P138" s="368"/>
      <c r="Q138" s="254"/>
      <c r="R138" s="661"/>
    </row>
    <row r="139" spans="1:18" ht="12" thickBot="1">
      <c r="A139" s="197" t="s">
        <v>1274</v>
      </c>
      <c r="B139" s="147"/>
      <c r="C139" s="147" t="s">
        <v>370</v>
      </c>
      <c r="D139" s="205"/>
      <c r="E139" s="650">
        <v>373</v>
      </c>
      <c r="F139" s="650"/>
      <c r="G139" s="661"/>
      <c r="H139" s="650"/>
      <c r="I139" s="661"/>
      <c r="J139" s="661">
        <v>39.6</v>
      </c>
      <c r="K139" s="368">
        <f t="shared" si="9"/>
        <v>14770.800000000001</v>
      </c>
      <c r="L139" s="654">
        <f t="shared" si="10"/>
        <v>-4.1176862225621603E-4</v>
      </c>
      <c r="M139" s="654">
        <f t="shared" si="11"/>
        <v>373</v>
      </c>
      <c r="O139" s="679">
        <f t="shared" si="12"/>
        <v>-1.0101010051621782E-3</v>
      </c>
      <c r="P139" s="368"/>
      <c r="Q139" s="254"/>
      <c r="R139" s="661"/>
    </row>
    <row r="140" spans="1:18" ht="12" thickBot="1">
      <c r="A140" s="197" t="s">
        <v>1274</v>
      </c>
      <c r="B140" s="147"/>
      <c r="C140" s="147" t="s">
        <v>371</v>
      </c>
      <c r="D140" s="205"/>
      <c r="E140" s="650">
        <v>58</v>
      </c>
      <c r="F140" s="650"/>
      <c r="G140" s="661"/>
      <c r="H140" s="650"/>
      <c r="I140" s="661"/>
      <c r="J140" s="661">
        <v>42.78</v>
      </c>
      <c r="K140" s="368">
        <f t="shared" si="9"/>
        <v>2481.2400000000002</v>
      </c>
      <c r="L140" s="654">
        <f t="shared" si="10"/>
        <v>-6.9170036578046774E-5</v>
      </c>
      <c r="M140" s="654">
        <f t="shared" si="11"/>
        <v>58</v>
      </c>
      <c r="O140" s="679">
        <f t="shared" si="12"/>
        <v>-9.3501635821463904E-4</v>
      </c>
      <c r="P140" s="368"/>
      <c r="Q140" s="254"/>
      <c r="R140" s="661"/>
    </row>
    <row r="141" spans="1:18" ht="12" thickBot="1">
      <c r="A141" s="197" t="s">
        <v>1274</v>
      </c>
      <c r="B141" s="147"/>
      <c r="C141" s="147" t="s">
        <v>657</v>
      </c>
      <c r="D141" s="205"/>
      <c r="E141" s="650">
        <v>0</v>
      </c>
      <c r="F141" s="650"/>
      <c r="G141" s="661"/>
      <c r="H141" s="650"/>
      <c r="I141" s="661"/>
      <c r="J141" s="661">
        <v>14.06</v>
      </c>
      <c r="K141" s="368">
        <f t="shared" ref="K141:K146" si="13">E141*J141</f>
        <v>0</v>
      </c>
      <c r="L141" s="654">
        <f t="shared" ref="L141:L146" si="14">K141/$Q$81*$Q$82</f>
        <v>0</v>
      </c>
      <c r="M141" s="654">
        <f t="shared" ref="M141:M146" si="15">ROUND((K141+L141)/J141,0)</f>
        <v>0</v>
      </c>
      <c r="O141" s="679">
        <f t="shared" ref="O141:O146" si="16">$Q$82/J141</f>
        <v>-2.8449501994610425E-3</v>
      </c>
      <c r="P141" s="368"/>
      <c r="Q141" s="254"/>
      <c r="R141" s="661"/>
    </row>
    <row r="142" spans="1:18" ht="12" thickBot="1">
      <c r="A142" s="197" t="s">
        <v>1274</v>
      </c>
      <c r="B142" s="147"/>
      <c r="C142" s="147" t="s">
        <v>659</v>
      </c>
      <c r="D142" s="205"/>
      <c r="E142" s="650">
        <v>18</v>
      </c>
      <c r="F142" s="650"/>
      <c r="G142" s="661"/>
      <c r="H142" s="650"/>
      <c r="I142" s="661"/>
      <c r="J142" s="661">
        <v>23.83</v>
      </c>
      <c r="K142" s="368">
        <f t="shared" si="13"/>
        <v>428.93999999999994</v>
      </c>
      <c r="L142" s="654">
        <f t="shared" si="14"/>
        <v>-1.1957648389429229E-5</v>
      </c>
      <c r="M142" s="654">
        <f t="shared" si="15"/>
        <v>18</v>
      </c>
      <c r="O142" s="679">
        <f t="shared" si="16"/>
        <v>-1.6785564332531372E-3</v>
      </c>
      <c r="P142" s="368"/>
      <c r="Q142" s="254"/>
      <c r="R142" s="661"/>
    </row>
    <row r="143" spans="1:18" ht="12" thickBot="1">
      <c r="A143" s="197" t="s">
        <v>1274</v>
      </c>
      <c r="B143" s="147"/>
      <c r="C143" s="309" t="s">
        <v>399</v>
      </c>
      <c r="D143" s="205"/>
      <c r="E143" s="650">
        <v>4</v>
      </c>
      <c r="F143" s="650"/>
      <c r="G143" s="661"/>
      <c r="H143" s="650"/>
      <c r="I143" s="661"/>
      <c r="J143" s="661">
        <v>20.46</v>
      </c>
      <c r="K143" s="368">
        <f t="shared" si="13"/>
        <v>81.84</v>
      </c>
      <c r="L143" s="654">
        <f t="shared" si="14"/>
        <v>-2.2814704718396238E-6</v>
      </c>
      <c r="M143" s="654">
        <f t="shared" si="15"/>
        <v>4</v>
      </c>
      <c r="O143" s="679">
        <f t="shared" si="16"/>
        <v>-1.9550342035396999E-3</v>
      </c>
      <c r="P143" s="368"/>
      <c r="Q143" s="254"/>
      <c r="R143" s="661"/>
    </row>
    <row r="144" spans="1:18" ht="12" thickBot="1">
      <c r="A144" s="197" t="s">
        <v>1274</v>
      </c>
      <c r="B144" s="309"/>
      <c r="C144" s="147" t="s">
        <v>372</v>
      </c>
      <c r="D144" s="205"/>
      <c r="E144" s="650">
        <v>38</v>
      </c>
      <c r="F144" s="650"/>
      <c r="G144" s="661"/>
      <c r="H144" s="650"/>
      <c r="I144" s="661"/>
      <c r="J144" s="661">
        <v>30.21</v>
      </c>
      <c r="K144" s="368">
        <f t="shared" si="13"/>
        <v>1147.98</v>
      </c>
      <c r="L144" s="654">
        <f t="shared" si="14"/>
        <v>-3.2002474001251846E-5</v>
      </c>
      <c r="M144" s="654">
        <f t="shared" si="15"/>
        <v>38</v>
      </c>
      <c r="O144" s="679">
        <f t="shared" si="16"/>
        <v>-1.3240648727051393E-3</v>
      </c>
      <c r="P144" s="368"/>
      <c r="Q144" s="254"/>
      <c r="R144" s="661"/>
    </row>
    <row r="145" spans="1:18" ht="12" thickBot="1">
      <c r="A145" s="197" t="s">
        <v>1274</v>
      </c>
      <c r="B145" s="147"/>
      <c r="C145" s="147" t="s">
        <v>373</v>
      </c>
      <c r="D145" s="205"/>
      <c r="E145" s="650">
        <v>2</v>
      </c>
      <c r="F145" s="650"/>
      <c r="G145" s="661"/>
      <c r="H145" s="650"/>
      <c r="I145" s="661"/>
      <c r="J145" s="661">
        <v>42.56</v>
      </c>
      <c r="K145" s="368">
        <f t="shared" si="13"/>
        <v>85.12</v>
      </c>
      <c r="L145" s="654">
        <f t="shared" si="14"/>
        <v>-2.3729077048263537E-6</v>
      </c>
      <c r="M145" s="654">
        <f t="shared" si="15"/>
        <v>2</v>
      </c>
      <c r="O145" s="679">
        <f t="shared" si="16"/>
        <v>-9.3984961946480864E-4</v>
      </c>
      <c r="P145" s="368"/>
      <c r="Q145" s="254"/>
      <c r="R145" s="661"/>
    </row>
    <row r="146" spans="1:18" ht="12" thickBot="1">
      <c r="A146" s="197" t="s">
        <v>1274</v>
      </c>
      <c r="B146" s="147"/>
      <c r="C146" s="147" t="s">
        <v>374</v>
      </c>
      <c r="D146" s="205"/>
      <c r="E146" s="650">
        <v>13</v>
      </c>
      <c r="F146" s="650"/>
      <c r="G146" s="661"/>
      <c r="H146" s="650"/>
      <c r="I146" s="661"/>
      <c r="J146" s="661">
        <v>52.31</v>
      </c>
      <c r="K146" s="368">
        <f t="shared" si="13"/>
        <v>680.03</v>
      </c>
      <c r="L146" s="654">
        <f t="shared" si="14"/>
        <v>-1.8957335837794469E-5</v>
      </c>
      <c r="M146" s="654">
        <f t="shared" si="15"/>
        <v>13</v>
      </c>
      <c r="O146" s="679">
        <f t="shared" si="16"/>
        <v>-7.6467214307823089E-4</v>
      </c>
      <c r="P146" s="368"/>
      <c r="Q146" s="254"/>
      <c r="R146" s="661"/>
    </row>
    <row r="147" spans="1:18" ht="12" thickBot="1">
      <c r="A147" s="197" t="s">
        <v>1274</v>
      </c>
      <c r="B147" s="147"/>
      <c r="C147" s="147"/>
      <c r="D147" s="205"/>
      <c r="E147" s="650"/>
      <c r="F147" s="650"/>
      <c r="G147" s="661"/>
      <c r="H147" s="650"/>
      <c r="I147" s="661"/>
      <c r="J147" s="650"/>
      <c r="K147" s="650"/>
      <c r="L147" s="661"/>
      <c r="M147" s="661"/>
      <c r="N147" s="661"/>
      <c r="Q147" s="254"/>
      <c r="R147" s="661"/>
    </row>
    <row r="148" spans="1:18" ht="12" thickBot="1">
      <c r="A148" s="197" t="s">
        <v>1274</v>
      </c>
      <c r="B148" s="202"/>
      <c r="C148" s="199" t="s">
        <v>7</v>
      </c>
      <c r="D148" s="208"/>
      <c r="E148" s="252">
        <f t="shared" ref="E148:N148" si="17">SUM(E76:E147)</f>
        <v>83284</v>
      </c>
      <c r="F148" s="252"/>
      <c r="G148" s="253"/>
      <c r="H148" s="253">
        <f t="shared" si="17"/>
        <v>0</v>
      </c>
      <c r="I148" s="253">
        <f t="shared" si="17"/>
        <v>0</v>
      </c>
      <c r="J148" s="252"/>
      <c r="K148" s="252">
        <f t="shared" si="17"/>
        <v>1434864.0599999998</v>
      </c>
      <c r="L148" s="253"/>
      <c r="M148" s="699">
        <f t="shared" si="17"/>
        <v>83284</v>
      </c>
      <c r="N148" s="253">
        <f t="shared" si="17"/>
        <v>0</v>
      </c>
      <c r="Q148" s="254"/>
      <c r="R148" s="661"/>
    </row>
    <row r="149" spans="1:18" ht="12" thickBot="1">
      <c r="A149" s="197" t="s">
        <v>1212</v>
      </c>
      <c r="B149" s="192" t="s">
        <v>163</v>
      </c>
      <c r="C149" s="147" t="s">
        <v>379</v>
      </c>
      <c r="D149" s="192"/>
      <c r="E149" s="303">
        <v>80</v>
      </c>
      <c r="F149" s="303">
        <v>3421</v>
      </c>
      <c r="G149" s="304">
        <v>651.20000000000005</v>
      </c>
      <c r="H149" s="304">
        <v>35.020000000000003</v>
      </c>
      <c r="I149" s="304">
        <v>0</v>
      </c>
      <c r="J149" s="303">
        <v>80</v>
      </c>
      <c r="K149" s="303">
        <v>3421</v>
      </c>
      <c r="L149" s="304">
        <v>651.20000000000005</v>
      </c>
      <c r="M149" s="304">
        <v>0</v>
      </c>
      <c r="N149" s="304">
        <v>35.020000000000003</v>
      </c>
      <c r="O149" s="675">
        <f t="shared" ref="O149:O212" si="18">J149-E149</f>
        <v>0</v>
      </c>
      <c r="P149" s="675">
        <f t="shared" ref="P149:P212" si="19">K149-F149</f>
        <v>0</v>
      </c>
      <c r="Q149" s="254">
        <f t="shared" ref="Q149:Q212" si="20">(G149+I149)-(L149+M149)</f>
        <v>0</v>
      </c>
      <c r="R149" s="661">
        <f t="shared" ref="R149:R212" si="21">SUM(G149:I149)</f>
        <v>686.22</v>
      </c>
    </row>
    <row r="150" spans="1:18" ht="12" thickBot="1">
      <c r="A150" s="197" t="s">
        <v>1212</v>
      </c>
      <c r="B150" s="192" t="s">
        <v>163</v>
      </c>
      <c r="C150" s="147" t="s">
        <v>239</v>
      </c>
      <c r="D150" s="192"/>
      <c r="E150" s="305">
        <v>0</v>
      </c>
      <c r="F150" s="305">
        <v>0</v>
      </c>
      <c r="G150" s="306">
        <v>0</v>
      </c>
      <c r="H150" s="306">
        <v>0</v>
      </c>
      <c r="I150" s="306">
        <v>0</v>
      </c>
      <c r="J150" s="305">
        <v>0</v>
      </c>
      <c r="K150" s="305">
        <v>0</v>
      </c>
      <c r="L150" s="306">
        <v>0</v>
      </c>
      <c r="M150" s="306">
        <v>0</v>
      </c>
      <c r="N150" s="306">
        <v>0</v>
      </c>
      <c r="O150" s="675">
        <f t="shared" si="18"/>
        <v>0</v>
      </c>
      <c r="P150" s="675">
        <f t="shared" si="19"/>
        <v>0</v>
      </c>
      <c r="Q150" s="254">
        <f t="shared" si="20"/>
        <v>0</v>
      </c>
      <c r="R150" s="661">
        <f t="shared" si="21"/>
        <v>0</v>
      </c>
    </row>
    <row r="151" spans="1:18" ht="12" thickBot="1">
      <c r="A151" s="197" t="s">
        <v>1212</v>
      </c>
      <c r="B151" s="192" t="s">
        <v>163</v>
      </c>
      <c r="C151" s="147" t="s">
        <v>241</v>
      </c>
      <c r="D151" s="192"/>
      <c r="E151" s="303">
        <v>3638</v>
      </c>
      <c r="F151" s="303">
        <v>366282</v>
      </c>
      <c r="G151" s="304">
        <v>39872.479999999996</v>
      </c>
      <c r="H151" s="304">
        <v>519.93999999999994</v>
      </c>
      <c r="I151" s="304">
        <v>-308.71999999999736</v>
      </c>
      <c r="J151" s="303">
        <v>3638</v>
      </c>
      <c r="K151" s="303">
        <v>366282</v>
      </c>
      <c r="L151" s="304">
        <v>39872.479999999996</v>
      </c>
      <c r="M151" s="304">
        <v>-308.71999999999736</v>
      </c>
      <c r="N151" s="304">
        <v>519.93999999999994</v>
      </c>
      <c r="O151" s="675">
        <f t="shared" si="18"/>
        <v>0</v>
      </c>
      <c r="P151" s="675">
        <f t="shared" si="19"/>
        <v>0</v>
      </c>
      <c r="Q151" s="254">
        <f t="shared" si="20"/>
        <v>0</v>
      </c>
      <c r="R151" s="661">
        <f t="shared" si="21"/>
        <v>40083.700000000004</v>
      </c>
    </row>
    <row r="152" spans="1:18" ht="12" thickBot="1">
      <c r="A152" s="197" t="s">
        <v>1212</v>
      </c>
      <c r="B152" s="192" t="s">
        <v>163</v>
      </c>
      <c r="C152" s="147" t="s">
        <v>242</v>
      </c>
      <c r="D152" s="192"/>
      <c r="E152" s="305">
        <v>3831</v>
      </c>
      <c r="F152" s="305">
        <v>587678</v>
      </c>
      <c r="G152" s="306">
        <v>51756.81</v>
      </c>
      <c r="H152" s="306">
        <v>774.1099999999999</v>
      </c>
      <c r="I152" s="306">
        <v>-210.72000000000054</v>
      </c>
      <c r="J152" s="305">
        <v>3831</v>
      </c>
      <c r="K152" s="305">
        <v>587678</v>
      </c>
      <c r="L152" s="306">
        <v>51756.81</v>
      </c>
      <c r="M152" s="306">
        <v>-210.72000000000054</v>
      </c>
      <c r="N152" s="306">
        <v>774.1099999999999</v>
      </c>
      <c r="O152" s="675">
        <f t="shared" si="18"/>
        <v>0</v>
      </c>
      <c r="P152" s="675">
        <f t="shared" si="19"/>
        <v>0</v>
      </c>
      <c r="Q152" s="254">
        <f t="shared" si="20"/>
        <v>0</v>
      </c>
      <c r="R152" s="661">
        <f t="shared" si="21"/>
        <v>52320.2</v>
      </c>
    </row>
    <row r="153" spans="1:18" ht="12" thickBot="1">
      <c r="A153" s="197" t="s">
        <v>1212</v>
      </c>
      <c r="B153" s="192" t="s">
        <v>163</v>
      </c>
      <c r="C153" s="147" t="s">
        <v>243</v>
      </c>
      <c r="D153" s="192"/>
      <c r="E153" s="303">
        <v>99</v>
      </c>
      <c r="F153" s="303">
        <v>4352</v>
      </c>
      <c r="G153" s="304">
        <v>1232.55</v>
      </c>
      <c r="H153" s="304">
        <v>0</v>
      </c>
      <c r="I153" s="304">
        <v>0</v>
      </c>
      <c r="J153" s="303">
        <v>99</v>
      </c>
      <c r="K153" s="303">
        <v>4352</v>
      </c>
      <c r="L153" s="304">
        <v>1232.55</v>
      </c>
      <c r="M153" s="304">
        <v>0</v>
      </c>
      <c r="N153" s="304">
        <v>0</v>
      </c>
      <c r="O153" s="675">
        <f t="shared" si="18"/>
        <v>0</v>
      </c>
      <c r="P153" s="675">
        <f t="shared" si="19"/>
        <v>0</v>
      </c>
      <c r="Q153" s="254">
        <f t="shared" si="20"/>
        <v>0</v>
      </c>
      <c r="R153" s="661">
        <f t="shared" si="21"/>
        <v>1232.55</v>
      </c>
    </row>
    <row r="154" spans="1:18" ht="12" thickBot="1">
      <c r="A154" s="197" t="s">
        <v>1212</v>
      </c>
      <c r="B154" s="192" t="s">
        <v>163</v>
      </c>
      <c r="C154" s="147" t="s">
        <v>244</v>
      </c>
      <c r="D154" s="192"/>
      <c r="E154" s="305">
        <v>775</v>
      </c>
      <c r="F154" s="305">
        <v>127702</v>
      </c>
      <c r="G154" s="306">
        <v>12043.5</v>
      </c>
      <c r="H154" s="306">
        <v>559.48</v>
      </c>
      <c r="I154" s="306">
        <v>-62.670000000000883</v>
      </c>
      <c r="J154" s="305">
        <v>775</v>
      </c>
      <c r="K154" s="305">
        <v>127702</v>
      </c>
      <c r="L154" s="306">
        <v>12043.5</v>
      </c>
      <c r="M154" s="306">
        <v>-62.670000000000883</v>
      </c>
      <c r="N154" s="306">
        <v>559.48</v>
      </c>
      <c r="O154" s="675">
        <f t="shared" si="18"/>
        <v>0</v>
      </c>
      <c r="P154" s="675">
        <f t="shared" si="19"/>
        <v>0</v>
      </c>
      <c r="Q154" s="254">
        <f t="shared" si="20"/>
        <v>0</v>
      </c>
      <c r="R154" s="661">
        <f t="shared" si="21"/>
        <v>12540.31</v>
      </c>
    </row>
    <row r="155" spans="1:18" ht="12" thickBot="1">
      <c r="A155" s="197" t="s">
        <v>1212</v>
      </c>
      <c r="B155" s="192" t="s">
        <v>163</v>
      </c>
      <c r="C155" s="147" t="s">
        <v>245</v>
      </c>
      <c r="D155" s="192"/>
      <c r="E155" s="303">
        <v>1434</v>
      </c>
      <c r="F155" s="303">
        <v>102812</v>
      </c>
      <c r="G155" s="304">
        <v>20420.16</v>
      </c>
      <c r="H155" s="304">
        <v>0</v>
      </c>
      <c r="I155" s="304">
        <v>-38.059999999997963</v>
      </c>
      <c r="J155" s="303">
        <v>1434</v>
      </c>
      <c r="K155" s="303">
        <v>102812</v>
      </c>
      <c r="L155" s="304">
        <v>20420.16</v>
      </c>
      <c r="M155" s="304">
        <v>-38.059999999997963</v>
      </c>
      <c r="N155" s="304">
        <v>0</v>
      </c>
      <c r="O155" s="675">
        <f t="shared" si="18"/>
        <v>0</v>
      </c>
      <c r="P155" s="675">
        <f t="shared" si="19"/>
        <v>0</v>
      </c>
      <c r="Q155" s="254">
        <f t="shared" si="20"/>
        <v>0</v>
      </c>
      <c r="R155" s="661">
        <f t="shared" si="21"/>
        <v>20382.100000000002</v>
      </c>
    </row>
    <row r="156" spans="1:18" ht="12" thickBot="1">
      <c r="A156" s="197" t="s">
        <v>1212</v>
      </c>
      <c r="B156" s="192" t="s">
        <v>163</v>
      </c>
      <c r="C156" s="147" t="s">
        <v>381</v>
      </c>
      <c r="D156" s="192"/>
      <c r="E156" s="305">
        <v>44</v>
      </c>
      <c r="F156" s="305">
        <v>17608</v>
      </c>
      <c r="G156" s="306">
        <v>1218.3600000000001</v>
      </c>
      <c r="H156" s="306">
        <v>49.440000000000005</v>
      </c>
      <c r="I156" s="306">
        <v>0</v>
      </c>
      <c r="J156" s="305">
        <v>44</v>
      </c>
      <c r="K156" s="305">
        <v>17608</v>
      </c>
      <c r="L156" s="306">
        <v>1218.3600000000001</v>
      </c>
      <c r="M156" s="306">
        <v>0</v>
      </c>
      <c r="N156" s="306">
        <v>49.440000000000005</v>
      </c>
      <c r="O156" s="675">
        <f t="shared" si="18"/>
        <v>0</v>
      </c>
      <c r="P156" s="675">
        <f t="shared" si="19"/>
        <v>0</v>
      </c>
      <c r="Q156" s="254">
        <f t="shared" si="20"/>
        <v>0</v>
      </c>
      <c r="R156" s="661">
        <f t="shared" si="21"/>
        <v>1267.8000000000002</v>
      </c>
    </row>
    <row r="157" spans="1:18" ht="12" thickBot="1">
      <c r="A157" s="197" t="s">
        <v>1212</v>
      </c>
      <c r="B157" s="192" t="s">
        <v>163</v>
      </c>
      <c r="C157" s="147" t="s">
        <v>246</v>
      </c>
      <c r="D157" s="192"/>
      <c r="E157" s="303">
        <v>347</v>
      </c>
      <c r="F157" s="303">
        <v>137884</v>
      </c>
      <c r="G157" s="304">
        <v>10024.83</v>
      </c>
      <c r="H157" s="304">
        <v>199.82</v>
      </c>
      <c r="I157" s="304">
        <v>-1.1099999999987631</v>
      </c>
      <c r="J157" s="303">
        <v>347</v>
      </c>
      <c r="K157" s="303">
        <v>137884</v>
      </c>
      <c r="L157" s="304">
        <v>10024.83</v>
      </c>
      <c r="M157" s="304">
        <v>-1.1099999999987631</v>
      </c>
      <c r="N157" s="304">
        <v>199.82</v>
      </c>
      <c r="O157" s="675">
        <f t="shared" si="18"/>
        <v>0</v>
      </c>
      <c r="P157" s="675">
        <f t="shared" si="19"/>
        <v>0</v>
      </c>
      <c r="Q157" s="254">
        <f t="shared" si="20"/>
        <v>0</v>
      </c>
      <c r="R157" s="661">
        <f t="shared" si="21"/>
        <v>10223.540000000001</v>
      </c>
    </row>
    <row r="158" spans="1:18" ht="12" thickBot="1">
      <c r="A158" s="197" t="s">
        <v>1212</v>
      </c>
      <c r="B158" s="192" t="s">
        <v>163</v>
      </c>
      <c r="C158" s="147" t="s">
        <v>382</v>
      </c>
      <c r="D158" s="192"/>
      <c r="E158" s="305">
        <v>0</v>
      </c>
      <c r="F158" s="305">
        <v>0</v>
      </c>
      <c r="G158" s="306">
        <v>0</v>
      </c>
      <c r="H158" s="306">
        <v>0</v>
      </c>
      <c r="I158" s="306">
        <v>0</v>
      </c>
      <c r="J158" s="305">
        <v>0</v>
      </c>
      <c r="K158" s="305">
        <v>0</v>
      </c>
      <c r="L158" s="306">
        <v>0</v>
      </c>
      <c r="M158" s="306">
        <v>0</v>
      </c>
      <c r="N158" s="306">
        <v>0</v>
      </c>
      <c r="O158" s="675">
        <f t="shared" si="18"/>
        <v>0</v>
      </c>
      <c r="P158" s="675">
        <f t="shared" si="19"/>
        <v>0</v>
      </c>
      <c r="Q158" s="254">
        <f t="shared" si="20"/>
        <v>0</v>
      </c>
      <c r="R158" s="661">
        <f t="shared" si="21"/>
        <v>0</v>
      </c>
    </row>
    <row r="159" spans="1:18" ht="12" thickBot="1">
      <c r="A159" s="197" t="s">
        <v>1212</v>
      </c>
      <c r="B159" s="192" t="s">
        <v>163</v>
      </c>
      <c r="C159" s="147" t="s">
        <v>252</v>
      </c>
      <c r="D159" s="192"/>
      <c r="E159" s="303">
        <v>3984</v>
      </c>
      <c r="F159" s="303">
        <v>290278</v>
      </c>
      <c r="G159" s="304">
        <v>38126.879999999997</v>
      </c>
      <c r="H159" s="304">
        <v>1569.35</v>
      </c>
      <c r="I159" s="304">
        <v>-174.92999999999546</v>
      </c>
      <c r="J159" s="303">
        <v>3984</v>
      </c>
      <c r="K159" s="303">
        <v>290278</v>
      </c>
      <c r="L159" s="304">
        <v>38126.879999999997</v>
      </c>
      <c r="M159" s="304">
        <v>-174.92999999999546</v>
      </c>
      <c r="N159" s="304">
        <v>1569.35</v>
      </c>
      <c r="O159" s="675">
        <f t="shared" si="18"/>
        <v>0</v>
      </c>
      <c r="P159" s="675">
        <f t="shared" si="19"/>
        <v>0</v>
      </c>
      <c r="Q159" s="254">
        <f t="shared" si="20"/>
        <v>0</v>
      </c>
      <c r="R159" s="661">
        <f t="shared" si="21"/>
        <v>39521.300000000003</v>
      </c>
    </row>
    <row r="160" spans="1:18" ht="12" thickBot="1">
      <c r="A160" s="197" t="s">
        <v>1212</v>
      </c>
      <c r="B160" s="192" t="s">
        <v>163</v>
      </c>
      <c r="C160" s="147" t="s">
        <v>261</v>
      </c>
      <c r="D160" s="192"/>
      <c r="E160" s="305">
        <v>0</v>
      </c>
      <c r="F160" s="305">
        <v>0</v>
      </c>
      <c r="G160" s="306">
        <v>0</v>
      </c>
      <c r="H160" s="306">
        <v>0</v>
      </c>
      <c r="I160" s="306">
        <v>0</v>
      </c>
      <c r="J160" s="305">
        <v>0</v>
      </c>
      <c r="K160" s="305">
        <v>0</v>
      </c>
      <c r="L160" s="306">
        <v>0</v>
      </c>
      <c r="M160" s="306">
        <v>0</v>
      </c>
      <c r="N160" s="306">
        <v>0</v>
      </c>
      <c r="O160" s="675">
        <f t="shared" si="18"/>
        <v>0</v>
      </c>
      <c r="P160" s="675">
        <f t="shared" si="19"/>
        <v>0</v>
      </c>
      <c r="Q160" s="254">
        <f t="shared" si="20"/>
        <v>0</v>
      </c>
      <c r="R160" s="661">
        <f t="shared" si="21"/>
        <v>0</v>
      </c>
    </row>
    <row r="161" spans="1:18" ht="12" thickBot="1">
      <c r="A161" s="197" t="s">
        <v>1212</v>
      </c>
      <c r="B161" s="192" t="s">
        <v>163</v>
      </c>
      <c r="C161" s="147" t="s">
        <v>263</v>
      </c>
      <c r="D161" s="192"/>
      <c r="E161" s="303">
        <v>2020</v>
      </c>
      <c r="F161" s="303">
        <v>211470</v>
      </c>
      <c r="G161" s="304">
        <v>55226.8</v>
      </c>
      <c r="H161" s="304">
        <v>0</v>
      </c>
      <c r="I161" s="304">
        <v>0</v>
      </c>
      <c r="J161" s="303">
        <v>2020</v>
      </c>
      <c r="K161" s="303">
        <v>211470</v>
      </c>
      <c r="L161" s="304">
        <v>55226.8</v>
      </c>
      <c r="M161" s="304">
        <v>0</v>
      </c>
      <c r="N161" s="304">
        <v>0</v>
      </c>
      <c r="O161" s="675">
        <f t="shared" si="18"/>
        <v>0</v>
      </c>
      <c r="P161" s="675">
        <f t="shared" si="19"/>
        <v>0</v>
      </c>
      <c r="Q161" s="254">
        <f t="shared" si="20"/>
        <v>0</v>
      </c>
      <c r="R161" s="661">
        <f t="shared" si="21"/>
        <v>55226.8</v>
      </c>
    </row>
    <row r="162" spans="1:18" ht="12" thickBot="1">
      <c r="A162" s="197" t="s">
        <v>1212</v>
      </c>
      <c r="B162" s="192" t="s">
        <v>163</v>
      </c>
      <c r="C162" s="147" t="s">
        <v>264</v>
      </c>
      <c r="D162" s="192"/>
      <c r="E162" s="305">
        <v>2228</v>
      </c>
      <c r="F162" s="305">
        <v>383736</v>
      </c>
      <c r="G162" s="306">
        <v>69959.199999999997</v>
      </c>
      <c r="H162" s="306">
        <v>0</v>
      </c>
      <c r="I162" s="306">
        <v>-57.570000000006985</v>
      </c>
      <c r="J162" s="305">
        <v>2228</v>
      </c>
      <c r="K162" s="305">
        <v>383736</v>
      </c>
      <c r="L162" s="306">
        <v>69959.199999999997</v>
      </c>
      <c r="M162" s="306">
        <v>-57.570000000006985</v>
      </c>
      <c r="N162" s="306">
        <v>0</v>
      </c>
      <c r="O162" s="675">
        <f t="shared" si="18"/>
        <v>0</v>
      </c>
      <c r="P162" s="675">
        <f t="shared" si="19"/>
        <v>0</v>
      </c>
      <c r="Q162" s="254">
        <f t="shared" si="20"/>
        <v>0</v>
      </c>
      <c r="R162" s="661">
        <f t="shared" si="21"/>
        <v>69901.62999999999</v>
      </c>
    </row>
    <row r="163" spans="1:18" ht="12" thickBot="1">
      <c r="A163" s="197" t="s">
        <v>1212</v>
      </c>
      <c r="B163" s="192" t="s">
        <v>163</v>
      </c>
      <c r="C163" s="147" t="s">
        <v>265</v>
      </c>
      <c r="D163" s="192"/>
      <c r="E163" s="303">
        <v>0</v>
      </c>
      <c r="F163" s="303">
        <v>0</v>
      </c>
      <c r="G163" s="304">
        <v>0</v>
      </c>
      <c r="H163" s="304">
        <v>0</v>
      </c>
      <c r="I163" s="304">
        <v>0</v>
      </c>
      <c r="J163" s="303">
        <v>0</v>
      </c>
      <c r="K163" s="303">
        <v>0</v>
      </c>
      <c r="L163" s="304">
        <v>0</v>
      </c>
      <c r="M163" s="304">
        <v>0</v>
      </c>
      <c r="N163" s="304">
        <v>0</v>
      </c>
      <c r="O163" s="675">
        <f t="shared" si="18"/>
        <v>0</v>
      </c>
      <c r="P163" s="675">
        <f t="shared" si="19"/>
        <v>0</v>
      </c>
      <c r="Q163" s="254">
        <f t="shared" si="20"/>
        <v>0</v>
      </c>
      <c r="R163" s="661">
        <f t="shared" si="21"/>
        <v>0</v>
      </c>
    </row>
    <row r="164" spans="1:18" ht="12" thickBot="1">
      <c r="A164" s="197" t="s">
        <v>1212</v>
      </c>
      <c r="B164" s="192" t="s">
        <v>163</v>
      </c>
      <c r="C164" s="147" t="s">
        <v>267</v>
      </c>
      <c r="D164" s="192"/>
      <c r="E164" s="305">
        <v>17096</v>
      </c>
      <c r="F164" s="305">
        <v>866385</v>
      </c>
      <c r="G164" s="306">
        <v>293880.24000000005</v>
      </c>
      <c r="H164" s="306">
        <v>2.06</v>
      </c>
      <c r="I164" s="306">
        <v>-47.500000000014552</v>
      </c>
      <c r="J164" s="305">
        <v>17096</v>
      </c>
      <c r="K164" s="305">
        <v>866385</v>
      </c>
      <c r="L164" s="306">
        <v>293880.24000000005</v>
      </c>
      <c r="M164" s="306">
        <v>-47.500000000014552</v>
      </c>
      <c r="N164" s="306">
        <v>2.06</v>
      </c>
      <c r="O164" s="675">
        <f t="shared" si="18"/>
        <v>0</v>
      </c>
      <c r="P164" s="675">
        <f t="shared" si="19"/>
        <v>0</v>
      </c>
      <c r="Q164" s="254">
        <f t="shared" si="20"/>
        <v>0</v>
      </c>
      <c r="R164" s="661">
        <f t="shared" si="21"/>
        <v>293834.80000000005</v>
      </c>
    </row>
    <row r="165" spans="1:18" ht="12" thickBot="1">
      <c r="A165" s="197" t="s">
        <v>1212</v>
      </c>
      <c r="B165" s="192" t="s">
        <v>163</v>
      </c>
      <c r="C165" s="147" t="s">
        <v>392</v>
      </c>
      <c r="D165" s="192"/>
      <c r="E165" s="303">
        <v>515</v>
      </c>
      <c r="F165" s="303">
        <v>37354</v>
      </c>
      <c r="G165" s="304">
        <v>12818.349999999999</v>
      </c>
      <c r="H165" s="304">
        <v>0</v>
      </c>
      <c r="I165" s="304">
        <v>-9.9599999999991269</v>
      </c>
      <c r="J165" s="303">
        <v>515</v>
      </c>
      <c r="K165" s="303">
        <v>37354</v>
      </c>
      <c r="L165" s="304">
        <v>12818.349999999999</v>
      </c>
      <c r="M165" s="304">
        <v>-9.9599999999991269</v>
      </c>
      <c r="N165" s="304">
        <v>0</v>
      </c>
      <c r="O165" s="675">
        <f t="shared" si="18"/>
        <v>0</v>
      </c>
      <c r="P165" s="675">
        <f t="shared" si="19"/>
        <v>0</v>
      </c>
      <c r="Q165" s="254">
        <f t="shared" si="20"/>
        <v>0</v>
      </c>
      <c r="R165" s="661">
        <f t="shared" si="21"/>
        <v>12808.39</v>
      </c>
    </row>
    <row r="166" spans="1:18" ht="12" thickBot="1">
      <c r="A166" s="197" t="s">
        <v>1212</v>
      </c>
      <c r="B166" s="192" t="s">
        <v>163</v>
      </c>
      <c r="C166" s="147" t="s">
        <v>268</v>
      </c>
      <c r="D166" s="192"/>
      <c r="E166" s="305">
        <v>1362</v>
      </c>
      <c r="F166" s="305">
        <v>52100</v>
      </c>
      <c r="G166" s="306">
        <v>19299.54</v>
      </c>
      <c r="H166" s="306">
        <v>0</v>
      </c>
      <c r="I166" s="306">
        <v>-59.040000000000191</v>
      </c>
      <c r="J166" s="305">
        <v>1362</v>
      </c>
      <c r="K166" s="305">
        <v>52100</v>
      </c>
      <c r="L166" s="306">
        <v>19299.54</v>
      </c>
      <c r="M166" s="306">
        <v>-59.040000000000191</v>
      </c>
      <c r="N166" s="306">
        <v>0</v>
      </c>
      <c r="O166" s="675">
        <f t="shared" si="18"/>
        <v>0</v>
      </c>
      <c r="P166" s="675">
        <f t="shared" si="19"/>
        <v>0</v>
      </c>
      <c r="Q166" s="254">
        <f t="shared" si="20"/>
        <v>0</v>
      </c>
      <c r="R166" s="661">
        <f t="shared" si="21"/>
        <v>19240.5</v>
      </c>
    </row>
    <row r="167" spans="1:18" ht="12" thickBot="1">
      <c r="A167" s="197" t="s">
        <v>1212</v>
      </c>
      <c r="B167" s="192" t="s">
        <v>163</v>
      </c>
      <c r="C167" s="147" t="s">
        <v>269</v>
      </c>
      <c r="D167" s="192"/>
      <c r="E167" s="303">
        <v>2315</v>
      </c>
      <c r="F167" s="303">
        <v>161592</v>
      </c>
      <c r="G167" s="304">
        <v>51277.25</v>
      </c>
      <c r="H167" s="304">
        <v>59.120000000000005</v>
      </c>
      <c r="I167" s="304">
        <v>0</v>
      </c>
      <c r="J167" s="303">
        <v>2315</v>
      </c>
      <c r="K167" s="303">
        <v>161592</v>
      </c>
      <c r="L167" s="304">
        <v>51277.25</v>
      </c>
      <c r="M167" s="304">
        <v>0</v>
      </c>
      <c r="N167" s="304">
        <v>59.120000000000005</v>
      </c>
      <c r="O167" s="675">
        <f t="shared" si="18"/>
        <v>0</v>
      </c>
      <c r="P167" s="675">
        <f t="shared" si="19"/>
        <v>0</v>
      </c>
      <c r="Q167" s="254">
        <f t="shared" si="20"/>
        <v>0</v>
      </c>
      <c r="R167" s="661">
        <f t="shared" si="21"/>
        <v>51336.37</v>
      </c>
    </row>
    <row r="168" spans="1:18" ht="12" thickBot="1">
      <c r="A168" s="197" t="s">
        <v>1212</v>
      </c>
      <c r="B168" s="192" t="s">
        <v>163</v>
      </c>
      <c r="C168" s="147" t="s">
        <v>393</v>
      </c>
      <c r="D168" s="192"/>
      <c r="E168" s="305">
        <v>17</v>
      </c>
      <c r="F168" s="305">
        <v>6812</v>
      </c>
      <c r="G168" s="306">
        <v>1233.3499999999999</v>
      </c>
      <c r="H168" s="306">
        <v>0</v>
      </c>
      <c r="I168" s="306">
        <v>0</v>
      </c>
      <c r="J168" s="305">
        <v>17</v>
      </c>
      <c r="K168" s="305">
        <v>6812</v>
      </c>
      <c r="L168" s="306">
        <v>1233.3499999999999</v>
      </c>
      <c r="M168" s="306">
        <v>0</v>
      </c>
      <c r="N168" s="306">
        <v>0</v>
      </c>
      <c r="O168" s="675">
        <f t="shared" si="18"/>
        <v>0</v>
      </c>
      <c r="P168" s="675">
        <f t="shared" si="19"/>
        <v>0</v>
      </c>
      <c r="Q168" s="254">
        <f t="shared" si="20"/>
        <v>0</v>
      </c>
      <c r="R168" s="661">
        <f t="shared" si="21"/>
        <v>1233.3499999999999</v>
      </c>
    </row>
    <row r="169" spans="1:18" ht="12" thickBot="1">
      <c r="A169" s="197" t="s">
        <v>1212</v>
      </c>
      <c r="B169" s="192" t="s">
        <v>163</v>
      </c>
      <c r="C169" s="147" t="s">
        <v>394</v>
      </c>
      <c r="D169" s="192"/>
      <c r="E169" s="303">
        <v>11</v>
      </c>
      <c r="F169" s="303">
        <v>4437</v>
      </c>
      <c r="G169" s="304">
        <v>455.73</v>
      </c>
      <c r="H169" s="304">
        <v>0</v>
      </c>
      <c r="I169" s="304">
        <v>0</v>
      </c>
      <c r="J169" s="303">
        <v>11</v>
      </c>
      <c r="K169" s="303">
        <v>4437</v>
      </c>
      <c r="L169" s="304">
        <v>455.73</v>
      </c>
      <c r="M169" s="304">
        <v>0</v>
      </c>
      <c r="N169" s="304">
        <v>0</v>
      </c>
      <c r="O169" s="675">
        <f t="shared" si="18"/>
        <v>0</v>
      </c>
      <c r="P169" s="675">
        <f t="shared" si="19"/>
        <v>0</v>
      </c>
      <c r="Q169" s="254">
        <f t="shared" si="20"/>
        <v>0</v>
      </c>
      <c r="R169" s="661">
        <f t="shared" si="21"/>
        <v>455.73</v>
      </c>
    </row>
    <row r="170" spans="1:18" ht="12" thickBot="1">
      <c r="A170" s="197" t="s">
        <v>1212</v>
      </c>
      <c r="B170" s="192" t="s">
        <v>163</v>
      </c>
      <c r="C170" s="147" t="s">
        <v>398</v>
      </c>
      <c r="D170" s="192"/>
      <c r="E170" s="305">
        <v>46</v>
      </c>
      <c r="F170" s="305">
        <v>1832</v>
      </c>
      <c r="G170" s="306">
        <v>891.48</v>
      </c>
      <c r="H170" s="306">
        <v>735.06000000000006</v>
      </c>
      <c r="I170" s="306">
        <v>0</v>
      </c>
      <c r="J170" s="305">
        <v>46</v>
      </c>
      <c r="K170" s="305">
        <v>1832</v>
      </c>
      <c r="L170" s="306">
        <v>891.48</v>
      </c>
      <c r="M170" s="306">
        <v>0</v>
      </c>
      <c r="N170" s="306">
        <v>735.06000000000006</v>
      </c>
      <c r="O170" s="675">
        <f t="shared" si="18"/>
        <v>0</v>
      </c>
      <c r="P170" s="675">
        <f t="shared" si="19"/>
        <v>0</v>
      </c>
      <c r="Q170" s="254">
        <f t="shared" si="20"/>
        <v>0</v>
      </c>
      <c r="R170" s="661">
        <f t="shared" si="21"/>
        <v>1626.54</v>
      </c>
    </row>
    <row r="171" spans="1:18" ht="12" thickBot="1">
      <c r="A171" s="197" t="s">
        <v>1212</v>
      </c>
      <c r="B171" s="192" t="s">
        <v>163</v>
      </c>
      <c r="C171" s="147" t="s">
        <v>395</v>
      </c>
      <c r="D171" s="192"/>
      <c r="E171" s="303">
        <v>247</v>
      </c>
      <c r="F171" s="303">
        <v>12493</v>
      </c>
      <c r="G171" s="304">
        <v>5026.45</v>
      </c>
      <c r="H171" s="304">
        <v>3805.3799999999997</v>
      </c>
      <c r="I171" s="304">
        <v>0</v>
      </c>
      <c r="J171" s="303">
        <v>247</v>
      </c>
      <c r="K171" s="303">
        <v>12493</v>
      </c>
      <c r="L171" s="304">
        <v>5026.45</v>
      </c>
      <c r="M171" s="304">
        <v>0</v>
      </c>
      <c r="N171" s="304">
        <v>3805.3799999999997</v>
      </c>
      <c r="O171" s="675">
        <f t="shared" si="18"/>
        <v>0</v>
      </c>
      <c r="P171" s="675">
        <f t="shared" si="19"/>
        <v>0</v>
      </c>
      <c r="Q171" s="254">
        <f t="shared" si="20"/>
        <v>0</v>
      </c>
      <c r="R171" s="661">
        <f t="shared" si="21"/>
        <v>8831.83</v>
      </c>
    </row>
    <row r="172" spans="1:18" ht="12" thickBot="1">
      <c r="A172" s="197" t="s">
        <v>1212</v>
      </c>
      <c r="B172" s="192" t="s">
        <v>163</v>
      </c>
      <c r="C172" s="147" t="s">
        <v>396</v>
      </c>
      <c r="D172" s="192"/>
      <c r="E172" s="305">
        <v>106</v>
      </c>
      <c r="F172" s="305">
        <v>4157</v>
      </c>
      <c r="G172" s="306">
        <v>2070.1799999999998</v>
      </c>
      <c r="H172" s="306">
        <v>989.6099999999999</v>
      </c>
      <c r="I172" s="306">
        <v>0</v>
      </c>
      <c r="J172" s="305">
        <v>106</v>
      </c>
      <c r="K172" s="305">
        <v>4157</v>
      </c>
      <c r="L172" s="306">
        <v>2070.1799999999998</v>
      </c>
      <c r="M172" s="306">
        <v>0</v>
      </c>
      <c r="N172" s="306">
        <v>989.6099999999999</v>
      </c>
      <c r="O172" s="675">
        <f t="shared" si="18"/>
        <v>0</v>
      </c>
      <c r="P172" s="675">
        <f t="shared" si="19"/>
        <v>0</v>
      </c>
      <c r="Q172" s="254">
        <f t="shared" si="20"/>
        <v>0</v>
      </c>
      <c r="R172" s="661">
        <f t="shared" si="21"/>
        <v>3059.79</v>
      </c>
    </row>
    <row r="173" spans="1:18" ht="12" thickBot="1">
      <c r="A173" s="197" t="s">
        <v>1212</v>
      </c>
      <c r="B173" s="192" t="s">
        <v>163</v>
      </c>
      <c r="C173" s="147" t="s">
        <v>397</v>
      </c>
      <c r="D173" s="192"/>
      <c r="E173" s="303">
        <v>82</v>
      </c>
      <c r="F173" s="303">
        <v>3960</v>
      </c>
      <c r="G173" s="304">
        <v>1707.24</v>
      </c>
      <c r="H173" s="304">
        <v>1287.7700000000002</v>
      </c>
      <c r="I173" s="304">
        <v>0</v>
      </c>
      <c r="J173" s="303">
        <v>82</v>
      </c>
      <c r="K173" s="303">
        <v>3960</v>
      </c>
      <c r="L173" s="304">
        <v>1707.24</v>
      </c>
      <c r="M173" s="304">
        <v>0</v>
      </c>
      <c r="N173" s="304">
        <v>1287.7700000000002</v>
      </c>
      <c r="O173" s="675">
        <f t="shared" si="18"/>
        <v>0</v>
      </c>
      <c r="P173" s="675">
        <f t="shared" si="19"/>
        <v>0</v>
      </c>
      <c r="Q173" s="254">
        <f t="shared" si="20"/>
        <v>0</v>
      </c>
      <c r="R173" s="661">
        <f t="shared" si="21"/>
        <v>2995.01</v>
      </c>
    </row>
    <row r="174" spans="1:18" ht="12" thickBot="1">
      <c r="A174" s="197" t="s">
        <v>1212</v>
      </c>
      <c r="B174" s="192" t="s">
        <v>163</v>
      </c>
      <c r="C174" s="147" t="s">
        <v>287</v>
      </c>
      <c r="D174" s="192"/>
      <c r="E174" s="305">
        <v>497</v>
      </c>
      <c r="F174" s="305">
        <v>48433</v>
      </c>
      <c r="G174" s="306">
        <v>9542.4000000000015</v>
      </c>
      <c r="H174" s="306">
        <v>0</v>
      </c>
      <c r="I174" s="306">
        <v>-114.53000000000065</v>
      </c>
      <c r="J174" s="305">
        <v>497</v>
      </c>
      <c r="K174" s="305">
        <v>48433</v>
      </c>
      <c r="L174" s="306">
        <v>9542.4000000000015</v>
      </c>
      <c r="M174" s="306">
        <v>-114.53000000000065</v>
      </c>
      <c r="N174" s="306">
        <v>0</v>
      </c>
      <c r="O174" s="675">
        <f t="shared" si="18"/>
        <v>0</v>
      </c>
      <c r="P174" s="675">
        <f t="shared" si="19"/>
        <v>0</v>
      </c>
      <c r="Q174" s="254">
        <f t="shared" si="20"/>
        <v>0</v>
      </c>
      <c r="R174" s="661">
        <f t="shared" si="21"/>
        <v>9427.8700000000008</v>
      </c>
    </row>
    <row r="175" spans="1:18" ht="12" thickBot="1">
      <c r="A175" s="197" t="s">
        <v>1212</v>
      </c>
      <c r="B175" s="192" t="s">
        <v>163</v>
      </c>
      <c r="C175" s="147" t="s">
        <v>288</v>
      </c>
      <c r="D175" s="192"/>
      <c r="E175" s="303">
        <v>523</v>
      </c>
      <c r="F175" s="303">
        <v>78689</v>
      </c>
      <c r="G175" s="304">
        <v>12002.85</v>
      </c>
      <c r="H175" s="304">
        <v>0</v>
      </c>
      <c r="I175" s="304">
        <v>-12.659999999999854</v>
      </c>
      <c r="J175" s="303">
        <v>523</v>
      </c>
      <c r="K175" s="303">
        <v>78689</v>
      </c>
      <c r="L175" s="304">
        <v>12002.85</v>
      </c>
      <c r="M175" s="304">
        <v>-12.659999999999854</v>
      </c>
      <c r="N175" s="304">
        <v>0</v>
      </c>
      <c r="O175" s="675">
        <f t="shared" si="18"/>
        <v>0</v>
      </c>
      <c r="P175" s="675">
        <f t="shared" si="19"/>
        <v>0</v>
      </c>
      <c r="Q175" s="254">
        <f t="shared" si="20"/>
        <v>0</v>
      </c>
      <c r="R175" s="661">
        <f t="shared" si="21"/>
        <v>11990.19</v>
      </c>
    </row>
    <row r="176" spans="1:18" ht="12" thickBot="1">
      <c r="A176" s="197" t="s">
        <v>1212</v>
      </c>
      <c r="B176" s="192" t="s">
        <v>163</v>
      </c>
      <c r="C176" s="147" t="s">
        <v>291</v>
      </c>
      <c r="D176" s="192"/>
      <c r="E176" s="305">
        <v>54</v>
      </c>
      <c r="F176" s="305">
        <v>3693</v>
      </c>
      <c r="G176" s="306">
        <v>940.68</v>
      </c>
      <c r="H176" s="306">
        <v>0</v>
      </c>
      <c r="I176" s="306">
        <v>0</v>
      </c>
      <c r="J176" s="305">
        <v>54</v>
      </c>
      <c r="K176" s="305">
        <v>3693</v>
      </c>
      <c r="L176" s="306">
        <v>940.68</v>
      </c>
      <c r="M176" s="306">
        <v>0</v>
      </c>
      <c r="N176" s="306">
        <v>0</v>
      </c>
      <c r="O176" s="675">
        <f t="shared" si="18"/>
        <v>0</v>
      </c>
      <c r="P176" s="675">
        <f t="shared" si="19"/>
        <v>0</v>
      </c>
      <c r="Q176" s="254">
        <f t="shared" si="20"/>
        <v>0</v>
      </c>
      <c r="R176" s="661">
        <f t="shared" si="21"/>
        <v>940.68</v>
      </c>
    </row>
    <row r="177" spans="1:18" ht="12" thickBot="1">
      <c r="A177" s="197" t="s">
        <v>1212</v>
      </c>
      <c r="B177" s="192" t="s">
        <v>163</v>
      </c>
      <c r="C177" s="147" t="s">
        <v>297</v>
      </c>
      <c r="D177" s="192"/>
      <c r="E177" s="303">
        <v>40</v>
      </c>
      <c r="F177" s="303">
        <v>3909</v>
      </c>
      <c r="G177" s="304">
        <v>524.79999999999995</v>
      </c>
      <c r="H177" s="304">
        <v>0</v>
      </c>
      <c r="I177" s="304">
        <v>0</v>
      </c>
      <c r="J177" s="303">
        <v>40</v>
      </c>
      <c r="K177" s="303">
        <v>3909</v>
      </c>
      <c r="L177" s="304">
        <v>524.79999999999995</v>
      </c>
      <c r="M177" s="304">
        <v>0</v>
      </c>
      <c r="N177" s="304">
        <v>0</v>
      </c>
      <c r="O177" s="675">
        <f t="shared" si="18"/>
        <v>0</v>
      </c>
      <c r="P177" s="675">
        <f t="shared" si="19"/>
        <v>0</v>
      </c>
      <c r="Q177" s="254">
        <f t="shared" si="20"/>
        <v>0</v>
      </c>
      <c r="R177" s="661">
        <f t="shared" si="21"/>
        <v>524.79999999999995</v>
      </c>
    </row>
    <row r="178" spans="1:18" ht="12" thickBot="1">
      <c r="A178" s="197" t="s">
        <v>1212</v>
      </c>
      <c r="B178" s="192" t="s">
        <v>163</v>
      </c>
      <c r="C178" s="147" t="s">
        <v>299</v>
      </c>
      <c r="D178" s="192"/>
      <c r="E178" s="305">
        <v>17</v>
      </c>
      <c r="F178" s="305">
        <v>554</v>
      </c>
      <c r="G178" s="306">
        <v>153.34</v>
      </c>
      <c r="H178" s="306">
        <v>0</v>
      </c>
      <c r="I178" s="306">
        <v>0</v>
      </c>
      <c r="J178" s="305">
        <v>17</v>
      </c>
      <c r="K178" s="305">
        <v>554</v>
      </c>
      <c r="L178" s="306">
        <v>153.34</v>
      </c>
      <c r="M178" s="306">
        <v>0</v>
      </c>
      <c r="N178" s="306">
        <v>0</v>
      </c>
      <c r="O178" s="675">
        <f t="shared" si="18"/>
        <v>0</v>
      </c>
      <c r="P178" s="675">
        <f t="shared" si="19"/>
        <v>0</v>
      </c>
      <c r="Q178" s="254">
        <f t="shared" si="20"/>
        <v>0</v>
      </c>
      <c r="R178" s="661">
        <f t="shared" si="21"/>
        <v>153.34</v>
      </c>
    </row>
    <row r="179" spans="1:18" ht="12" thickBot="1">
      <c r="A179" s="197" t="s">
        <v>1212</v>
      </c>
      <c r="B179" s="192" t="s">
        <v>163</v>
      </c>
      <c r="C179" s="147" t="s">
        <v>377</v>
      </c>
      <c r="D179" s="192"/>
      <c r="E179" s="303">
        <v>33</v>
      </c>
      <c r="F179" s="303">
        <v>583</v>
      </c>
      <c r="G179" s="304">
        <v>788.37</v>
      </c>
      <c r="H179" s="304">
        <v>53.4</v>
      </c>
      <c r="I179" s="304">
        <v>0</v>
      </c>
      <c r="J179" s="303">
        <v>33</v>
      </c>
      <c r="K179" s="303">
        <v>583</v>
      </c>
      <c r="L179" s="304">
        <v>788.37</v>
      </c>
      <c r="M179" s="304">
        <v>0</v>
      </c>
      <c r="N179" s="304">
        <v>53.4</v>
      </c>
      <c r="O179" s="675">
        <f t="shared" si="18"/>
        <v>0</v>
      </c>
      <c r="P179" s="675">
        <f t="shared" si="19"/>
        <v>0</v>
      </c>
      <c r="Q179" s="254">
        <f t="shared" si="20"/>
        <v>0</v>
      </c>
      <c r="R179" s="661">
        <f t="shared" si="21"/>
        <v>841.77</v>
      </c>
    </row>
    <row r="180" spans="1:18" ht="12" thickBot="1">
      <c r="A180" s="197" t="s">
        <v>1212</v>
      </c>
      <c r="B180" s="192" t="s">
        <v>163</v>
      </c>
      <c r="C180" s="147" t="s">
        <v>737</v>
      </c>
      <c r="D180" s="192"/>
      <c r="E180" s="305">
        <v>4</v>
      </c>
      <c r="F180" s="305">
        <v>141</v>
      </c>
      <c r="G180" s="306">
        <v>99.6</v>
      </c>
      <c r="H180" s="306">
        <v>0</v>
      </c>
      <c r="I180" s="306">
        <v>0</v>
      </c>
      <c r="J180" s="305">
        <v>4</v>
      </c>
      <c r="K180" s="305">
        <v>141</v>
      </c>
      <c r="L180" s="306">
        <v>99.6</v>
      </c>
      <c r="M180" s="306">
        <v>0</v>
      </c>
      <c r="N180" s="306">
        <v>0</v>
      </c>
      <c r="O180" s="675">
        <f t="shared" si="18"/>
        <v>0</v>
      </c>
      <c r="P180" s="675">
        <f t="shared" si="19"/>
        <v>0</v>
      </c>
      <c r="Q180" s="254">
        <f t="shared" si="20"/>
        <v>0</v>
      </c>
      <c r="R180" s="661">
        <f t="shared" si="21"/>
        <v>99.6</v>
      </c>
    </row>
    <row r="181" spans="1:18" ht="12" thickBot="1">
      <c r="A181" s="197" t="s">
        <v>1212</v>
      </c>
      <c r="B181" s="192" t="s">
        <v>163</v>
      </c>
      <c r="C181" s="147" t="s">
        <v>329</v>
      </c>
      <c r="D181" s="192"/>
      <c r="E181" s="303">
        <v>226</v>
      </c>
      <c r="F181" s="303">
        <v>6723</v>
      </c>
      <c r="G181" s="304">
        <v>4472.54</v>
      </c>
      <c r="H181" s="304">
        <v>0</v>
      </c>
      <c r="I181" s="304">
        <v>0</v>
      </c>
      <c r="J181" s="303">
        <v>226</v>
      </c>
      <c r="K181" s="303">
        <v>6723</v>
      </c>
      <c r="L181" s="304">
        <v>4472.54</v>
      </c>
      <c r="M181" s="304">
        <v>0</v>
      </c>
      <c r="N181" s="304">
        <v>0</v>
      </c>
      <c r="O181" s="675">
        <f t="shared" si="18"/>
        <v>0</v>
      </c>
      <c r="P181" s="675">
        <f t="shared" si="19"/>
        <v>0</v>
      </c>
      <c r="Q181" s="254">
        <f t="shared" si="20"/>
        <v>0</v>
      </c>
      <c r="R181" s="661">
        <f t="shared" si="21"/>
        <v>4472.54</v>
      </c>
    </row>
    <row r="182" spans="1:18" ht="12" thickBot="1">
      <c r="A182" s="197" t="s">
        <v>1212</v>
      </c>
      <c r="B182" s="192" t="s">
        <v>163</v>
      </c>
      <c r="C182" s="147" t="s">
        <v>330</v>
      </c>
      <c r="D182" s="192"/>
      <c r="E182" s="305">
        <v>2077</v>
      </c>
      <c r="F182" s="305">
        <v>85134</v>
      </c>
      <c r="G182" s="306">
        <v>42557.73</v>
      </c>
      <c r="H182" s="306">
        <v>11.31</v>
      </c>
      <c r="I182" s="306">
        <v>39.549999999997056</v>
      </c>
      <c r="J182" s="305">
        <v>2077</v>
      </c>
      <c r="K182" s="305">
        <v>85134</v>
      </c>
      <c r="L182" s="306">
        <v>42557.73</v>
      </c>
      <c r="M182" s="306">
        <v>39.549999999997056</v>
      </c>
      <c r="N182" s="306">
        <v>11.31</v>
      </c>
      <c r="O182" s="675">
        <f t="shared" si="18"/>
        <v>0</v>
      </c>
      <c r="P182" s="675">
        <f t="shared" si="19"/>
        <v>0</v>
      </c>
      <c r="Q182" s="254">
        <f t="shared" si="20"/>
        <v>0</v>
      </c>
      <c r="R182" s="661">
        <f t="shared" si="21"/>
        <v>42608.59</v>
      </c>
    </row>
    <row r="183" spans="1:18" ht="12" thickBot="1">
      <c r="A183" s="197" t="s">
        <v>1212</v>
      </c>
      <c r="B183" s="192" t="s">
        <v>163</v>
      </c>
      <c r="C183" s="147" t="s">
        <v>332</v>
      </c>
      <c r="D183" s="192"/>
      <c r="E183" s="303">
        <v>32</v>
      </c>
      <c r="F183" s="303">
        <v>929</v>
      </c>
      <c r="G183" s="304">
        <v>645.76</v>
      </c>
      <c r="H183" s="304">
        <v>0</v>
      </c>
      <c r="I183" s="304">
        <v>0</v>
      </c>
      <c r="J183" s="303">
        <v>32</v>
      </c>
      <c r="K183" s="303">
        <v>929</v>
      </c>
      <c r="L183" s="304">
        <v>645.76</v>
      </c>
      <c r="M183" s="304">
        <v>0</v>
      </c>
      <c r="N183" s="304">
        <v>0</v>
      </c>
      <c r="O183" s="675">
        <f t="shared" si="18"/>
        <v>0</v>
      </c>
      <c r="P183" s="675">
        <f t="shared" si="19"/>
        <v>0</v>
      </c>
      <c r="Q183" s="254">
        <f t="shared" si="20"/>
        <v>0</v>
      </c>
      <c r="R183" s="661">
        <f t="shared" si="21"/>
        <v>645.76</v>
      </c>
    </row>
    <row r="184" spans="1:18" ht="12" thickBot="1">
      <c r="A184" s="197" t="s">
        <v>1212</v>
      </c>
      <c r="B184" s="192" t="s">
        <v>163</v>
      </c>
      <c r="C184" s="309" t="s">
        <v>333</v>
      </c>
      <c r="D184" s="192"/>
      <c r="E184" s="305">
        <v>1881</v>
      </c>
      <c r="F184" s="305">
        <v>77326</v>
      </c>
      <c r="G184" s="306">
        <v>42435.360000000001</v>
      </c>
      <c r="H184" s="306">
        <v>19.55</v>
      </c>
      <c r="I184" s="306">
        <v>-473.37999999999738</v>
      </c>
      <c r="J184" s="305">
        <v>1881</v>
      </c>
      <c r="K184" s="305">
        <v>77326</v>
      </c>
      <c r="L184" s="306">
        <v>42435.360000000001</v>
      </c>
      <c r="M184" s="306">
        <v>-473.37999999999738</v>
      </c>
      <c r="N184" s="306">
        <v>19.55</v>
      </c>
      <c r="O184" s="675">
        <f t="shared" si="18"/>
        <v>0</v>
      </c>
      <c r="P184" s="675">
        <f t="shared" si="19"/>
        <v>0</v>
      </c>
      <c r="Q184" s="254">
        <f t="shared" si="20"/>
        <v>0</v>
      </c>
      <c r="R184" s="661">
        <f t="shared" si="21"/>
        <v>41981.530000000006</v>
      </c>
    </row>
    <row r="185" spans="1:18" ht="12" thickBot="1">
      <c r="A185" s="197" t="s">
        <v>1212</v>
      </c>
      <c r="B185" s="192" t="s">
        <v>163</v>
      </c>
      <c r="C185" s="147" t="s">
        <v>334</v>
      </c>
      <c r="D185" s="192"/>
      <c r="E185" s="303">
        <v>36</v>
      </c>
      <c r="F185" s="303">
        <v>1447</v>
      </c>
      <c r="G185" s="304">
        <v>852.48</v>
      </c>
      <c r="H185" s="304">
        <v>0</v>
      </c>
      <c r="I185" s="304">
        <v>0</v>
      </c>
      <c r="J185" s="303">
        <v>36</v>
      </c>
      <c r="K185" s="303">
        <v>1447</v>
      </c>
      <c r="L185" s="304">
        <v>852.48</v>
      </c>
      <c r="M185" s="304">
        <v>0</v>
      </c>
      <c r="N185" s="304">
        <v>0</v>
      </c>
      <c r="O185" s="675">
        <f t="shared" si="18"/>
        <v>0</v>
      </c>
      <c r="P185" s="675">
        <f t="shared" si="19"/>
        <v>0</v>
      </c>
      <c r="Q185" s="254">
        <f t="shared" si="20"/>
        <v>0</v>
      </c>
      <c r="R185" s="661">
        <f t="shared" si="21"/>
        <v>852.48</v>
      </c>
    </row>
    <row r="186" spans="1:18" ht="12" thickBot="1">
      <c r="A186" s="197" t="s">
        <v>1212</v>
      </c>
      <c r="B186" s="192" t="s">
        <v>163</v>
      </c>
      <c r="C186" s="147" t="s">
        <v>336</v>
      </c>
      <c r="D186" s="192"/>
      <c r="E186" s="305">
        <v>113</v>
      </c>
      <c r="F186" s="305">
        <v>7515</v>
      </c>
      <c r="G186" s="306">
        <v>2799.01</v>
      </c>
      <c r="H186" s="306">
        <v>0</v>
      </c>
      <c r="I186" s="306">
        <v>0</v>
      </c>
      <c r="J186" s="305">
        <v>113</v>
      </c>
      <c r="K186" s="305">
        <v>7515</v>
      </c>
      <c r="L186" s="306">
        <v>2799.01</v>
      </c>
      <c r="M186" s="306">
        <v>0</v>
      </c>
      <c r="N186" s="306">
        <v>0</v>
      </c>
      <c r="O186" s="675">
        <f t="shared" si="18"/>
        <v>0</v>
      </c>
      <c r="P186" s="675">
        <f t="shared" si="19"/>
        <v>0</v>
      </c>
      <c r="Q186" s="254">
        <f t="shared" si="20"/>
        <v>0</v>
      </c>
      <c r="R186" s="661">
        <f t="shared" si="21"/>
        <v>2799.01</v>
      </c>
    </row>
    <row r="187" spans="1:18" ht="12" thickBot="1">
      <c r="A187" s="197" t="s">
        <v>1212</v>
      </c>
      <c r="B187" s="192" t="s">
        <v>163</v>
      </c>
      <c r="C187" s="309" t="s">
        <v>337</v>
      </c>
      <c r="D187" s="192"/>
      <c r="E187" s="303">
        <v>60</v>
      </c>
      <c r="F187" s="303">
        <v>4028</v>
      </c>
      <c r="G187" s="304">
        <v>1793.3999999999999</v>
      </c>
      <c r="H187" s="304">
        <v>0</v>
      </c>
      <c r="I187" s="304">
        <v>0</v>
      </c>
      <c r="J187" s="303">
        <v>60</v>
      </c>
      <c r="K187" s="303">
        <v>4028</v>
      </c>
      <c r="L187" s="304">
        <v>1793.3999999999999</v>
      </c>
      <c r="M187" s="304">
        <v>0</v>
      </c>
      <c r="N187" s="304">
        <v>0</v>
      </c>
      <c r="O187" s="675">
        <f t="shared" si="18"/>
        <v>0</v>
      </c>
      <c r="P187" s="675">
        <f t="shared" si="19"/>
        <v>0</v>
      </c>
      <c r="Q187" s="254">
        <f t="shared" si="20"/>
        <v>0</v>
      </c>
      <c r="R187" s="661">
        <f t="shared" si="21"/>
        <v>1793.3999999999999</v>
      </c>
    </row>
    <row r="188" spans="1:18" ht="12" thickBot="1">
      <c r="A188" s="197" t="s">
        <v>1212</v>
      </c>
      <c r="B188" s="192" t="s">
        <v>163</v>
      </c>
      <c r="C188" s="147" t="s">
        <v>338</v>
      </c>
      <c r="D188" s="192"/>
      <c r="E188" s="305">
        <v>179</v>
      </c>
      <c r="F188" s="305">
        <v>18278</v>
      </c>
      <c r="G188" s="306">
        <v>5881.94</v>
      </c>
      <c r="H188" s="306">
        <v>0</v>
      </c>
      <c r="I188" s="306">
        <v>0</v>
      </c>
      <c r="J188" s="305">
        <v>179</v>
      </c>
      <c r="K188" s="305">
        <v>18278</v>
      </c>
      <c r="L188" s="306">
        <v>5881.94</v>
      </c>
      <c r="M188" s="306">
        <v>0</v>
      </c>
      <c r="N188" s="306">
        <v>0</v>
      </c>
      <c r="O188" s="675">
        <f t="shared" si="18"/>
        <v>0</v>
      </c>
      <c r="P188" s="675">
        <f t="shared" si="19"/>
        <v>0</v>
      </c>
      <c r="Q188" s="254">
        <f t="shared" si="20"/>
        <v>0</v>
      </c>
      <c r="R188" s="661">
        <f t="shared" si="21"/>
        <v>5881.94</v>
      </c>
    </row>
    <row r="189" spans="1:18" ht="12" thickBot="1">
      <c r="A189" s="197" t="s">
        <v>1212</v>
      </c>
      <c r="B189" s="192" t="s">
        <v>163</v>
      </c>
      <c r="C189" s="147" t="s">
        <v>339</v>
      </c>
      <c r="D189" s="192"/>
      <c r="E189" s="303">
        <v>434</v>
      </c>
      <c r="F189" s="303">
        <v>72281</v>
      </c>
      <c r="G189" s="304">
        <v>16661.259999999998</v>
      </c>
      <c r="H189" s="304">
        <v>0</v>
      </c>
      <c r="I189" s="304">
        <v>-120.06</v>
      </c>
      <c r="J189" s="303">
        <v>434</v>
      </c>
      <c r="K189" s="303">
        <v>72281</v>
      </c>
      <c r="L189" s="304">
        <v>16661.259999999998</v>
      </c>
      <c r="M189" s="304">
        <v>-120.06</v>
      </c>
      <c r="N189" s="304">
        <v>0</v>
      </c>
      <c r="O189" s="675">
        <f t="shared" si="18"/>
        <v>0</v>
      </c>
      <c r="P189" s="675">
        <f t="shared" si="19"/>
        <v>0</v>
      </c>
      <c r="Q189" s="254">
        <f t="shared" si="20"/>
        <v>0</v>
      </c>
      <c r="R189" s="661">
        <f t="shared" si="21"/>
        <v>16541.199999999997</v>
      </c>
    </row>
    <row r="190" spans="1:18" ht="12" thickBot="1">
      <c r="A190" s="197" t="s">
        <v>1212</v>
      </c>
      <c r="B190" s="192" t="s">
        <v>163</v>
      </c>
      <c r="C190" s="309" t="s">
        <v>340</v>
      </c>
      <c r="D190" s="192"/>
      <c r="E190" s="305">
        <v>17</v>
      </c>
      <c r="F190" s="305">
        <v>1073</v>
      </c>
      <c r="G190" s="306">
        <v>447.95</v>
      </c>
      <c r="H190" s="306">
        <v>0</v>
      </c>
      <c r="I190" s="306">
        <v>0</v>
      </c>
      <c r="J190" s="305">
        <v>17</v>
      </c>
      <c r="K190" s="305">
        <v>1073</v>
      </c>
      <c r="L190" s="306">
        <v>447.95</v>
      </c>
      <c r="M190" s="306">
        <v>0</v>
      </c>
      <c r="N190" s="306">
        <v>0</v>
      </c>
      <c r="O190" s="675">
        <f t="shared" si="18"/>
        <v>0</v>
      </c>
      <c r="P190" s="675">
        <f t="shared" si="19"/>
        <v>0</v>
      </c>
      <c r="Q190" s="254">
        <f t="shared" si="20"/>
        <v>0</v>
      </c>
      <c r="R190" s="661">
        <f t="shared" si="21"/>
        <v>447.95</v>
      </c>
    </row>
    <row r="191" spans="1:18" ht="12" thickBot="1">
      <c r="A191" s="197" t="s">
        <v>1212</v>
      </c>
      <c r="B191" s="192" t="s">
        <v>163</v>
      </c>
      <c r="C191" s="147" t="s">
        <v>341</v>
      </c>
      <c r="D191" s="192"/>
      <c r="E191" s="303">
        <v>394</v>
      </c>
      <c r="F191" s="303">
        <v>38530</v>
      </c>
      <c r="G191" s="304">
        <v>11209.3</v>
      </c>
      <c r="H191" s="304">
        <v>0</v>
      </c>
      <c r="I191" s="304">
        <v>196.20000000000073</v>
      </c>
      <c r="J191" s="303">
        <v>394</v>
      </c>
      <c r="K191" s="303">
        <v>38530</v>
      </c>
      <c r="L191" s="304">
        <v>11209.3</v>
      </c>
      <c r="M191" s="304">
        <v>196.20000000000073</v>
      </c>
      <c r="N191" s="304">
        <v>0</v>
      </c>
      <c r="O191" s="675">
        <f t="shared" si="18"/>
        <v>0</v>
      </c>
      <c r="P191" s="675">
        <f t="shared" si="19"/>
        <v>0</v>
      </c>
      <c r="Q191" s="254">
        <f t="shared" si="20"/>
        <v>0</v>
      </c>
      <c r="R191" s="661">
        <f t="shared" si="21"/>
        <v>11405.5</v>
      </c>
    </row>
    <row r="192" spans="1:18" ht="12" thickBot="1">
      <c r="A192" s="197" t="s">
        <v>1212</v>
      </c>
      <c r="B192" s="192" t="s">
        <v>163</v>
      </c>
      <c r="C192" s="147" t="s">
        <v>342</v>
      </c>
      <c r="D192" s="192"/>
      <c r="E192" s="305">
        <v>35</v>
      </c>
      <c r="F192" s="305">
        <v>5706</v>
      </c>
      <c r="G192" s="306">
        <v>1191.05</v>
      </c>
      <c r="H192" s="306">
        <v>0</v>
      </c>
      <c r="I192" s="306">
        <v>0</v>
      </c>
      <c r="J192" s="305">
        <v>35</v>
      </c>
      <c r="K192" s="305">
        <v>5706</v>
      </c>
      <c r="L192" s="306">
        <v>1191.05</v>
      </c>
      <c r="M192" s="306">
        <v>0</v>
      </c>
      <c r="N192" s="306">
        <v>0</v>
      </c>
      <c r="O192" s="675">
        <f t="shared" si="18"/>
        <v>0</v>
      </c>
      <c r="P192" s="675">
        <f t="shared" si="19"/>
        <v>0</v>
      </c>
      <c r="Q192" s="254">
        <f t="shared" si="20"/>
        <v>0</v>
      </c>
      <c r="R192" s="661">
        <f t="shared" si="21"/>
        <v>1191.05</v>
      </c>
    </row>
    <row r="193" spans="1:18" ht="12" thickBot="1">
      <c r="A193" s="197" t="s">
        <v>1212</v>
      </c>
      <c r="B193" s="192" t="s">
        <v>163</v>
      </c>
      <c r="C193" s="309" t="s">
        <v>343</v>
      </c>
      <c r="D193" s="192"/>
      <c r="E193" s="303">
        <v>41</v>
      </c>
      <c r="F193" s="303">
        <v>1210</v>
      </c>
      <c r="G193" s="304">
        <v>1362.02</v>
      </c>
      <c r="H193" s="304">
        <v>21.36</v>
      </c>
      <c r="I193" s="304">
        <v>0</v>
      </c>
      <c r="J193" s="303">
        <v>41</v>
      </c>
      <c r="K193" s="303">
        <v>1210</v>
      </c>
      <c r="L193" s="304">
        <v>1362.02</v>
      </c>
      <c r="M193" s="304">
        <v>0</v>
      </c>
      <c r="N193" s="304">
        <v>21.36</v>
      </c>
      <c r="O193" s="675">
        <f t="shared" si="18"/>
        <v>0</v>
      </c>
      <c r="P193" s="675">
        <f t="shared" si="19"/>
        <v>0</v>
      </c>
      <c r="Q193" s="254">
        <f t="shared" si="20"/>
        <v>0</v>
      </c>
      <c r="R193" s="661">
        <f t="shared" si="21"/>
        <v>1383.3799999999999</v>
      </c>
    </row>
    <row r="194" spans="1:18" ht="12" thickBot="1">
      <c r="A194" s="197" t="s">
        <v>1212</v>
      </c>
      <c r="B194" s="192" t="s">
        <v>163</v>
      </c>
      <c r="C194" s="147" t="s">
        <v>344</v>
      </c>
      <c r="D194" s="192"/>
      <c r="E194" s="305">
        <v>53</v>
      </c>
      <c r="F194" s="305">
        <v>1564</v>
      </c>
      <c r="G194" s="306">
        <v>1865.6</v>
      </c>
      <c r="H194" s="306">
        <v>50.86</v>
      </c>
      <c r="I194" s="306">
        <v>0</v>
      </c>
      <c r="J194" s="305">
        <v>53</v>
      </c>
      <c r="K194" s="305">
        <v>1564</v>
      </c>
      <c r="L194" s="306">
        <v>1865.6</v>
      </c>
      <c r="M194" s="306">
        <v>0</v>
      </c>
      <c r="N194" s="306">
        <v>50.86</v>
      </c>
      <c r="O194" s="675">
        <f t="shared" si="18"/>
        <v>0</v>
      </c>
      <c r="P194" s="675">
        <f t="shared" si="19"/>
        <v>0</v>
      </c>
      <c r="Q194" s="254">
        <f t="shared" si="20"/>
        <v>0</v>
      </c>
      <c r="R194" s="661">
        <f t="shared" si="21"/>
        <v>1916.4599999999998</v>
      </c>
    </row>
    <row r="195" spans="1:18" ht="12" thickBot="1">
      <c r="A195" s="197" t="s">
        <v>1212</v>
      </c>
      <c r="B195" s="192" t="s">
        <v>163</v>
      </c>
      <c r="C195" s="147" t="s">
        <v>345</v>
      </c>
      <c r="D195" s="192"/>
      <c r="E195" s="303">
        <v>208</v>
      </c>
      <c r="F195" s="303">
        <v>8519</v>
      </c>
      <c r="G195" s="304">
        <v>7090.72</v>
      </c>
      <c r="H195" s="304">
        <v>266.27000000000004</v>
      </c>
      <c r="I195" s="304">
        <v>0</v>
      </c>
      <c r="J195" s="303">
        <v>208</v>
      </c>
      <c r="K195" s="303">
        <v>8519</v>
      </c>
      <c r="L195" s="304">
        <v>7090.72</v>
      </c>
      <c r="M195" s="304">
        <v>0</v>
      </c>
      <c r="N195" s="304">
        <v>266.27000000000004</v>
      </c>
      <c r="O195" s="675">
        <f t="shared" si="18"/>
        <v>0</v>
      </c>
      <c r="P195" s="675">
        <f t="shared" si="19"/>
        <v>0</v>
      </c>
      <c r="Q195" s="254">
        <f t="shared" si="20"/>
        <v>0</v>
      </c>
      <c r="R195" s="661">
        <f t="shared" si="21"/>
        <v>7356.9900000000007</v>
      </c>
    </row>
    <row r="196" spans="1:18" ht="12" thickBot="1">
      <c r="A196" s="197" t="s">
        <v>1212</v>
      </c>
      <c r="B196" s="192" t="s">
        <v>163</v>
      </c>
      <c r="C196" s="309" t="s">
        <v>346</v>
      </c>
      <c r="D196" s="192"/>
      <c r="E196" s="305">
        <v>193</v>
      </c>
      <c r="F196" s="305">
        <v>7505</v>
      </c>
      <c r="G196" s="306">
        <v>6961.51</v>
      </c>
      <c r="H196" s="306">
        <v>635.57000000000005</v>
      </c>
      <c r="I196" s="306">
        <v>0</v>
      </c>
      <c r="J196" s="305">
        <v>193</v>
      </c>
      <c r="K196" s="305">
        <v>7505</v>
      </c>
      <c r="L196" s="306">
        <v>6961.51</v>
      </c>
      <c r="M196" s="306">
        <v>0</v>
      </c>
      <c r="N196" s="306">
        <v>635.57000000000005</v>
      </c>
      <c r="O196" s="675">
        <f t="shared" si="18"/>
        <v>0</v>
      </c>
      <c r="P196" s="675">
        <f t="shared" si="19"/>
        <v>0</v>
      </c>
      <c r="Q196" s="254">
        <f t="shared" si="20"/>
        <v>0</v>
      </c>
      <c r="R196" s="661">
        <f t="shared" si="21"/>
        <v>7597.08</v>
      </c>
    </row>
    <row r="197" spans="1:18" ht="12" thickBot="1">
      <c r="A197" s="197" t="s">
        <v>1212</v>
      </c>
      <c r="B197" s="192" t="s">
        <v>163</v>
      </c>
      <c r="C197" s="147" t="s">
        <v>347</v>
      </c>
      <c r="D197" s="192"/>
      <c r="E197" s="303">
        <v>13</v>
      </c>
      <c r="F197" s="303">
        <v>356</v>
      </c>
      <c r="G197" s="304">
        <v>419.38</v>
      </c>
      <c r="H197" s="304">
        <v>0</v>
      </c>
      <c r="I197" s="304">
        <v>0</v>
      </c>
      <c r="J197" s="303">
        <v>13</v>
      </c>
      <c r="K197" s="303">
        <v>356</v>
      </c>
      <c r="L197" s="304">
        <v>419.38</v>
      </c>
      <c r="M197" s="304">
        <v>0</v>
      </c>
      <c r="N197" s="304">
        <v>0</v>
      </c>
      <c r="O197" s="675">
        <f t="shared" si="18"/>
        <v>0</v>
      </c>
      <c r="P197" s="675">
        <f t="shared" si="19"/>
        <v>0</v>
      </c>
      <c r="Q197" s="254">
        <f t="shared" si="20"/>
        <v>0</v>
      </c>
      <c r="R197" s="661">
        <f t="shared" si="21"/>
        <v>419.38</v>
      </c>
    </row>
    <row r="198" spans="1:18" ht="12" thickBot="1">
      <c r="A198" s="197" t="s">
        <v>1212</v>
      </c>
      <c r="B198" s="192" t="s">
        <v>163</v>
      </c>
      <c r="C198" s="147" t="s">
        <v>348</v>
      </c>
      <c r="D198" s="192"/>
      <c r="E198" s="305">
        <v>45</v>
      </c>
      <c r="F198" s="305">
        <v>1337</v>
      </c>
      <c r="G198" s="306">
        <v>1481.85</v>
      </c>
      <c r="H198" s="306">
        <v>165.98</v>
      </c>
      <c r="I198" s="306">
        <v>0</v>
      </c>
      <c r="J198" s="305">
        <v>45</v>
      </c>
      <c r="K198" s="305">
        <v>1337</v>
      </c>
      <c r="L198" s="306">
        <v>1481.85</v>
      </c>
      <c r="M198" s="306">
        <v>0</v>
      </c>
      <c r="N198" s="306">
        <v>165.98</v>
      </c>
      <c r="O198" s="675">
        <f t="shared" si="18"/>
        <v>0</v>
      </c>
      <c r="P198" s="675">
        <f t="shared" si="19"/>
        <v>0</v>
      </c>
      <c r="Q198" s="254">
        <f t="shared" si="20"/>
        <v>0</v>
      </c>
      <c r="R198" s="661">
        <f t="shared" si="21"/>
        <v>1647.83</v>
      </c>
    </row>
    <row r="199" spans="1:18" ht="12" thickBot="1">
      <c r="A199" s="197" t="s">
        <v>1212</v>
      </c>
      <c r="B199" s="192" t="s">
        <v>163</v>
      </c>
      <c r="C199" s="309" t="s">
        <v>376</v>
      </c>
      <c r="D199" s="192"/>
      <c r="E199" s="303">
        <v>10</v>
      </c>
      <c r="F199" s="303">
        <v>443</v>
      </c>
      <c r="G199" s="304">
        <v>343.3</v>
      </c>
      <c r="H199" s="304">
        <v>3.47</v>
      </c>
      <c r="I199" s="304">
        <v>0</v>
      </c>
      <c r="J199" s="303">
        <v>10</v>
      </c>
      <c r="K199" s="303">
        <v>443</v>
      </c>
      <c r="L199" s="304">
        <v>343.3</v>
      </c>
      <c r="M199" s="304">
        <v>0</v>
      </c>
      <c r="N199" s="304">
        <v>3.47</v>
      </c>
      <c r="O199" s="675">
        <f t="shared" si="18"/>
        <v>0</v>
      </c>
      <c r="P199" s="675">
        <f t="shared" si="19"/>
        <v>0</v>
      </c>
      <c r="Q199" s="254">
        <f t="shared" si="20"/>
        <v>0</v>
      </c>
      <c r="R199" s="661">
        <f t="shared" si="21"/>
        <v>346.77000000000004</v>
      </c>
    </row>
    <row r="200" spans="1:18" ht="12" thickBot="1">
      <c r="A200" s="197" t="s">
        <v>1212</v>
      </c>
      <c r="B200" s="192" t="s">
        <v>163</v>
      </c>
      <c r="C200" s="147" t="s">
        <v>349</v>
      </c>
      <c r="D200" s="192"/>
      <c r="E200" s="305">
        <v>195</v>
      </c>
      <c r="F200" s="305">
        <v>7654</v>
      </c>
      <c r="G200" s="306">
        <v>6823.05</v>
      </c>
      <c r="H200" s="306">
        <v>932.68999999999994</v>
      </c>
      <c r="I200" s="306">
        <v>0</v>
      </c>
      <c r="J200" s="305">
        <v>195</v>
      </c>
      <c r="K200" s="305">
        <v>7654</v>
      </c>
      <c r="L200" s="306">
        <v>6823.05</v>
      </c>
      <c r="M200" s="306">
        <v>0</v>
      </c>
      <c r="N200" s="306">
        <v>932.68999999999994</v>
      </c>
      <c r="O200" s="675">
        <f t="shared" si="18"/>
        <v>0</v>
      </c>
      <c r="P200" s="675">
        <f t="shared" si="19"/>
        <v>0</v>
      </c>
      <c r="Q200" s="254">
        <f t="shared" si="20"/>
        <v>0</v>
      </c>
      <c r="R200" s="661">
        <f t="shared" si="21"/>
        <v>7755.74</v>
      </c>
    </row>
    <row r="201" spans="1:18" ht="12" thickBot="1">
      <c r="A201" s="197" t="s">
        <v>1212</v>
      </c>
      <c r="B201" s="192" t="s">
        <v>163</v>
      </c>
      <c r="C201" s="147" t="s">
        <v>730</v>
      </c>
      <c r="D201" s="192"/>
      <c r="E201" s="303">
        <v>2</v>
      </c>
      <c r="F201" s="303">
        <v>208</v>
      </c>
      <c r="G201" s="304">
        <v>36.56</v>
      </c>
      <c r="H201" s="304">
        <v>0</v>
      </c>
      <c r="I201" s="304">
        <v>0</v>
      </c>
      <c r="J201" s="303">
        <v>2</v>
      </c>
      <c r="K201" s="303">
        <v>208</v>
      </c>
      <c r="L201" s="304">
        <v>36.56</v>
      </c>
      <c r="M201" s="304">
        <v>0</v>
      </c>
      <c r="N201" s="304">
        <v>0</v>
      </c>
      <c r="O201" s="675">
        <f t="shared" si="18"/>
        <v>0</v>
      </c>
      <c r="P201" s="675">
        <f t="shared" si="19"/>
        <v>0</v>
      </c>
      <c r="Q201" s="254">
        <f t="shared" si="20"/>
        <v>0</v>
      </c>
      <c r="R201" s="661">
        <f t="shared" si="21"/>
        <v>36.56</v>
      </c>
    </row>
    <row r="202" spans="1:18" ht="12" thickBot="1">
      <c r="A202" s="197" t="s">
        <v>1212</v>
      </c>
      <c r="B202" s="192" t="s">
        <v>163</v>
      </c>
      <c r="C202" s="147" t="s">
        <v>378</v>
      </c>
      <c r="D202" s="192"/>
      <c r="E202" s="305">
        <v>14</v>
      </c>
      <c r="F202" s="305">
        <v>2314</v>
      </c>
      <c r="G202" s="306">
        <v>312.48</v>
      </c>
      <c r="H202" s="306">
        <v>0</v>
      </c>
      <c r="I202" s="306">
        <v>0</v>
      </c>
      <c r="J202" s="305">
        <v>14</v>
      </c>
      <c r="K202" s="305">
        <v>2314</v>
      </c>
      <c r="L202" s="306">
        <v>312.48</v>
      </c>
      <c r="M202" s="306">
        <v>0</v>
      </c>
      <c r="N202" s="306">
        <v>0</v>
      </c>
      <c r="O202" s="675">
        <f t="shared" si="18"/>
        <v>0</v>
      </c>
      <c r="P202" s="675">
        <f t="shared" si="19"/>
        <v>0</v>
      </c>
      <c r="Q202" s="254">
        <f t="shared" si="20"/>
        <v>0</v>
      </c>
      <c r="R202" s="661">
        <f t="shared" si="21"/>
        <v>312.48</v>
      </c>
    </row>
    <row r="203" spans="1:18" ht="12" thickBot="1">
      <c r="A203" s="197" t="s">
        <v>1212</v>
      </c>
      <c r="B203" s="192" t="s">
        <v>163</v>
      </c>
      <c r="C203" s="309" t="s">
        <v>354</v>
      </c>
      <c r="D203" s="192"/>
      <c r="E203" s="303">
        <v>6288</v>
      </c>
      <c r="F203" s="303">
        <v>389758</v>
      </c>
      <c r="G203" s="304">
        <v>80612.160000000003</v>
      </c>
      <c r="H203" s="304">
        <v>1130.54</v>
      </c>
      <c r="I203" s="304">
        <v>30.980000000002892</v>
      </c>
      <c r="J203" s="303">
        <v>6286</v>
      </c>
      <c r="K203" s="303">
        <v>389652</v>
      </c>
      <c r="L203" s="304">
        <v>80586.52</v>
      </c>
      <c r="M203" s="304">
        <v>32.060000000002894</v>
      </c>
      <c r="N203" s="304">
        <v>1130.54</v>
      </c>
      <c r="O203" s="675">
        <f t="shared" si="18"/>
        <v>-2</v>
      </c>
      <c r="P203" s="675">
        <f t="shared" si="19"/>
        <v>-106</v>
      </c>
      <c r="Q203" s="254">
        <f t="shared" si="20"/>
        <v>24.559999999997672</v>
      </c>
      <c r="R203" s="661">
        <f t="shared" si="21"/>
        <v>81773.679999999993</v>
      </c>
    </row>
    <row r="204" spans="1:18" ht="12" thickBot="1">
      <c r="A204" s="197" t="s">
        <v>1212</v>
      </c>
      <c r="B204" s="192" t="s">
        <v>163</v>
      </c>
      <c r="C204" s="147" t="s">
        <v>355</v>
      </c>
      <c r="D204" s="192"/>
      <c r="E204" s="305">
        <v>8856</v>
      </c>
      <c r="F204" s="305">
        <v>867017</v>
      </c>
      <c r="G204" s="306">
        <v>133548.48000000001</v>
      </c>
      <c r="H204" s="306">
        <v>1116.3699999999999</v>
      </c>
      <c r="I204" s="306">
        <v>422.88000000001165</v>
      </c>
      <c r="J204" s="305">
        <v>8856</v>
      </c>
      <c r="K204" s="305">
        <v>867017</v>
      </c>
      <c r="L204" s="306">
        <v>133548.48000000001</v>
      </c>
      <c r="M204" s="306">
        <v>422.88000000001165</v>
      </c>
      <c r="N204" s="306">
        <v>1116.3699999999999</v>
      </c>
      <c r="O204" s="675">
        <f t="shared" si="18"/>
        <v>0</v>
      </c>
      <c r="P204" s="675">
        <f t="shared" si="19"/>
        <v>0</v>
      </c>
      <c r="Q204" s="254">
        <f t="shared" si="20"/>
        <v>0</v>
      </c>
      <c r="R204" s="661">
        <f t="shared" si="21"/>
        <v>135087.73000000001</v>
      </c>
    </row>
    <row r="205" spans="1:18" ht="12" thickBot="1">
      <c r="A205" s="197" t="s">
        <v>1212</v>
      </c>
      <c r="B205" s="192" t="s">
        <v>163</v>
      </c>
      <c r="C205" s="147" t="s">
        <v>356</v>
      </c>
      <c r="D205" s="192"/>
      <c r="E205" s="303">
        <v>5591</v>
      </c>
      <c r="F205" s="303">
        <v>901658</v>
      </c>
      <c r="G205" s="304">
        <v>97171.58</v>
      </c>
      <c r="H205" s="304">
        <v>2846.7799999999997</v>
      </c>
      <c r="I205" s="304">
        <v>-114.15000000000509</v>
      </c>
      <c r="J205" s="303">
        <v>5591</v>
      </c>
      <c r="K205" s="303">
        <v>901658</v>
      </c>
      <c r="L205" s="304">
        <v>97171.58</v>
      </c>
      <c r="M205" s="304">
        <v>-114.15000000000509</v>
      </c>
      <c r="N205" s="304">
        <v>2846.7799999999997</v>
      </c>
      <c r="O205" s="675">
        <f t="shared" si="18"/>
        <v>0</v>
      </c>
      <c r="P205" s="675">
        <f t="shared" si="19"/>
        <v>0</v>
      </c>
      <c r="Q205" s="254">
        <f t="shared" si="20"/>
        <v>0</v>
      </c>
      <c r="R205" s="661">
        <f t="shared" si="21"/>
        <v>99904.209999999992</v>
      </c>
    </row>
    <row r="206" spans="1:18" ht="12" thickBot="1">
      <c r="A206" s="197" t="s">
        <v>1212</v>
      </c>
      <c r="B206" s="192" t="s">
        <v>163</v>
      </c>
      <c r="C206" s="147" t="s">
        <v>357</v>
      </c>
      <c r="D206" s="192"/>
      <c r="E206" s="305">
        <v>421</v>
      </c>
      <c r="F206" s="305">
        <v>26863</v>
      </c>
      <c r="G206" s="306">
        <v>5797.17</v>
      </c>
      <c r="H206" s="306">
        <v>214.07999999999998</v>
      </c>
      <c r="I206" s="306">
        <v>-70.679999999999779</v>
      </c>
      <c r="J206" s="305">
        <v>421</v>
      </c>
      <c r="K206" s="305">
        <v>26863</v>
      </c>
      <c r="L206" s="306">
        <v>5797.17</v>
      </c>
      <c r="M206" s="306">
        <v>-70.679999999999779</v>
      </c>
      <c r="N206" s="306">
        <v>214.07999999999998</v>
      </c>
      <c r="O206" s="675">
        <f t="shared" si="18"/>
        <v>0</v>
      </c>
      <c r="P206" s="675">
        <f t="shared" si="19"/>
        <v>0</v>
      </c>
      <c r="Q206" s="254">
        <f t="shared" si="20"/>
        <v>0</v>
      </c>
      <c r="R206" s="661">
        <f t="shared" si="21"/>
        <v>5940.5700000000006</v>
      </c>
    </row>
    <row r="207" spans="1:18" ht="12" thickBot="1">
      <c r="A207" s="197" t="s">
        <v>1212</v>
      </c>
      <c r="B207" s="192" t="s">
        <v>163</v>
      </c>
      <c r="C207" s="309" t="s">
        <v>358</v>
      </c>
      <c r="D207" s="192"/>
      <c r="E207" s="303">
        <v>13177</v>
      </c>
      <c r="F207" s="303">
        <v>2212760</v>
      </c>
      <c r="G207" s="304">
        <v>239953.17</v>
      </c>
      <c r="H207" s="304">
        <v>7883.0700000000006</v>
      </c>
      <c r="I207" s="304">
        <v>-603.7700000000217</v>
      </c>
      <c r="J207" s="303">
        <v>13177</v>
      </c>
      <c r="K207" s="303">
        <v>2212760</v>
      </c>
      <c r="L207" s="304">
        <v>239953.17</v>
      </c>
      <c r="M207" s="304">
        <v>-603.7700000000217</v>
      </c>
      <c r="N207" s="304">
        <v>7883.0700000000006</v>
      </c>
      <c r="O207" s="675">
        <f t="shared" si="18"/>
        <v>0</v>
      </c>
      <c r="P207" s="675">
        <f t="shared" si="19"/>
        <v>0</v>
      </c>
      <c r="Q207" s="254">
        <f t="shared" si="20"/>
        <v>0</v>
      </c>
      <c r="R207" s="661">
        <f t="shared" si="21"/>
        <v>247232.47</v>
      </c>
    </row>
    <row r="208" spans="1:18" ht="12" thickBot="1">
      <c r="A208" s="197" t="s">
        <v>1212</v>
      </c>
      <c r="B208" s="192" t="s">
        <v>163</v>
      </c>
      <c r="C208" s="147" t="s">
        <v>359</v>
      </c>
      <c r="D208" s="192"/>
      <c r="E208" s="305">
        <v>3361</v>
      </c>
      <c r="F208" s="305">
        <v>139706</v>
      </c>
      <c r="G208" s="306">
        <v>36500.460000000006</v>
      </c>
      <c r="H208" s="306">
        <v>1662.74</v>
      </c>
      <c r="I208" s="306">
        <v>-184.0200000000026</v>
      </c>
      <c r="J208" s="305">
        <v>3361</v>
      </c>
      <c r="K208" s="305">
        <v>139706</v>
      </c>
      <c r="L208" s="306">
        <v>36500.460000000006</v>
      </c>
      <c r="M208" s="306">
        <v>-184.0200000000026</v>
      </c>
      <c r="N208" s="306">
        <v>1662.74</v>
      </c>
      <c r="O208" s="675">
        <f t="shared" si="18"/>
        <v>0</v>
      </c>
      <c r="P208" s="675">
        <f t="shared" si="19"/>
        <v>0</v>
      </c>
      <c r="Q208" s="254">
        <f t="shared" si="20"/>
        <v>0</v>
      </c>
      <c r="R208" s="661">
        <f t="shared" si="21"/>
        <v>37979.18</v>
      </c>
    </row>
    <row r="209" spans="1:18" ht="12" thickBot="1">
      <c r="A209" s="197" t="s">
        <v>1212</v>
      </c>
      <c r="B209" s="192" t="s">
        <v>163</v>
      </c>
      <c r="C209" s="147" t="s">
        <v>360</v>
      </c>
      <c r="D209" s="192"/>
      <c r="E209" s="303">
        <v>5</v>
      </c>
      <c r="F209" s="303">
        <v>362</v>
      </c>
      <c r="G209" s="304">
        <v>55.65</v>
      </c>
      <c r="H209" s="304">
        <v>0</v>
      </c>
      <c r="I209" s="304">
        <v>0</v>
      </c>
      <c r="J209" s="303">
        <v>5</v>
      </c>
      <c r="K209" s="303">
        <v>362</v>
      </c>
      <c r="L209" s="304">
        <v>55.65</v>
      </c>
      <c r="M209" s="304">
        <v>0</v>
      </c>
      <c r="N209" s="304">
        <v>0</v>
      </c>
      <c r="O209" s="675">
        <f t="shared" si="18"/>
        <v>0</v>
      </c>
      <c r="P209" s="675">
        <f t="shared" si="19"/>
        <v>0</v>
      </c>
      <c r="Q209" s="254">
        <f t="shared" si="20"/>
        <v>0</v>
      </c>
      <c r="R209" s="661">
        <f t="shared" si="21"/>
        <v>55.65</v>
      </c>
    </row>
    <row r="210" spans="1:18" ht="12" thickBot="1">
      <c r="A210" s="197" t="s">
        <v>1212</v>
      </c>
      <c r="B210" s="192" t="s">
        <v>163</v>
      </c>
      <c r="C210" s="147" t="s">
        <v>365</v>
      </c>
      <c r="D210" s="192"/>
      <c r="E210" s="305">
        <v>22</v>
      </c>
      <c r="F210" s="305">
        <v>1187</v>
      </c>
      <c r="G210" s="306">
        <v>281.38</v>
      </c>
      <c r="H210" s="306">
        <v>4.12</v>
      </c>
      <c r="I210" s="306">
        <v>0</v>
      </c>
      <c r="J210" s="305">
        <v>22</v>
      </c>
      <c r="K210" s="305">
        <v>1187</v>
      </c>
      <c r="L210" s="306">
        <v>281.38</v>
      </c>
      <c r="M210" s="306">
        <v>0</v>
      </c>
      <c r="N210" s="306">
        <v>4.12</v>
      </c>
      <c r="O210" s="675">
        <f t="shared" si="18"/>
        <v>0</v>
      </c>
      <c r="P210" s="675">
        <f t="shared" si="19"/>
        <v>0</v>
      </c>
      <c r="Q210" s="254">
        <f t="shared" si="20"/>
        <v>0</v>
      </c>
      <c r="R210" s="661">
        <f t="shared" si="21"/>
        <v>285.5</v>
      </c>
    </row>
    <row r="211" spans="1:18" ht="12" thickBot="1">
      <c r="A211" s="197" t="s">
        <v>1212</v>
      </c>
      <c r="B211" s="192" t="s">
        <v>163</v>
      </c>
      <c r="C211" s="147" t="s">
        <v>366</v>
      </c>
      <c r="D211" s="192"/>
      <c r="E211" s="303">
        <v>2</v>
      </c>
      <c r="F211" s="303">
        <v>107</v>
      </c>
      <c r="G211" s="304">
        <v>30.14</v>
      </c>
      <c r="H211" s="304">
        <v>0</v>
      </c>
      <c r="I211" s="304">
        <v>0</v>
      </c>
      <c r="J211" s="303">
        <v>2</v>
      </c>
      <c r="K211" s="303">
        <v>107</v>
      </c>
      <c r="L211" s="304">
        <v>30.14</v>
      </c>
      <c r="M211" s="304">
        <v>0</v>
      </c>
      <c r="N211" s="304">
        <v>0</v>
      </c>
      <c r="O211" s="675">
        <f t="shared" si="18"/>
        <v>0</v>
      </c>
      <c r="P211" s="675">
        <f t="shared" si="19"/>
        <v>0</v>
      </c>
      <c r="Q211" s="254">
        <f t="shared" si="20"/>
        <v>0</v>
      </c>
      <c r="R211" s="661">
        <f t="shared" si="21"/>
        <v>30.14</v>
      </c>
    </row>
    <row r="212" spans="1:18" ht="12" thickBot="1">
      <c r="A212" s="197" t="s">
        <v>1212</v>
      </c>
      <c r="B212" s="192" t="s">
        <v>163</v>
      </c>
      <c r="C212" s="147" t="s">
        <v>367</v>
      </c>
      <c r="D212" s="192"/>
      <c r="E212" s="305">
        <v>338</v>
      </c>
      <c r="F212" s="305">
        <v>40966</v>
      </c>
      <c r="G212" s="306">
        <v>6313.84</v>
      </c>
      <c r="H212" s="306">
        <v>80.22</v>
      </c>
      <c r="I212" s="306">
        <v>-171.83999999999997</v>
      </c>
      <c r="J212" s="305">
        <v>338</v>
      </c>
      <c r="K212" s="305">
        <v>40966</v>
      </c>
      <c r="L212" s="306">
        <v>6313.84</v>
      </c>
      <c r="M212" s="306">
        <v>-171.83999999999997</v>
      </c>
      <c r="N212" s="306">
        <v>80.22</v>
      </c>
      <c r="O212" s="675">
        <f t="shared" si="18"/>
        <v>0</v>
      </c>
      <c r="P212" s="675">
        <f t="shared" si="19"/>
        <v>0</v>
      </c>
      <c r="Q212" s="254">
        <f t="shared" si="20"/>
        <v>0</v>
      </c>
      <c r="R212" s="661">
        <f t="shared" si="21"/>
        <v>6222.22</v>
      </c>
    </row>
    <row r="213" spans="1:18" ht="12" thickBot="1">
      <c r="A213" s="197" t="s">
        <v>1212</v>
      </c>
      <c r="B213" s="192" t="s">
        <v>163</v>
      </c>
      <c r="C213" s="309" t="s">
        <v>368</v>
      </c>
      <c r="D213" s="192"/>
      <c r="E213" s="303">
        <v>54</v>
      </c>
      <c r="F213" s="303">
        <v>6762</v>
      </c>
      <c r="G213" s="304">
        <v>1132.3800000000001</v>
      </c>
      <c r="H213" s="304">
        <v>26.74</v>
      </c>
      <c r="I213" s="304">
        <v>0</v>
      </c>
      <c r="J213" s="303">
        <v>54</v>
      </c>
      <c r="K213" s="303">
        <v>6762</v>
      </c>
      <c r="L213" s="304">
        <v>1132.3800000000001</v>
      </c>
      <c r="M213" s="304">
        <v>0</v>
      </c>
      <c r="N213" s="304">
        <v>26.740000000000002</v>
      </c>
      <c r="O213" s="675">
        <f t="shared" ref="O213:O222" si="22">J213-E213</f>
        <v>0</v>
      </c>
      <c r="P213" s="675">
        <f t="shared" ref="P213:P222" si="23">K213-F213</f>
        <v>0</v>
      </c>
      <c r="Q213" s="254">
        <f t="shared" ref="Q213:Q222" si="24">(G213+I213)-(L213+M213)</f>
        <v>0</v>
      </c>
      <c r="R213" s="661">
        <f t="shared" ref="R213:R222" si="25">SUM(G213:I213)</f>
        <v>1159.1200000000001</v>
      </c>
    </row>
    <row r="214" spans="1:18" ht="12" thickBot="1">
      <c r="A214" s="197" t="s">
        <v>1212</v>
      </c>
      <c r="B214" s="192" t="s">
        <v>163</v>
      </c>
      <c r="C214" s="147" t="s">
        <v>369</v>
      </c>
      <c r="D214" s="192"/>
      <c r="E214" s="305">
        <v>2</v>
      </c>
      <c r="F214" s="305">
        <v>246</v>
      </c>
      <c r="G214" s="306">
        <v>56.84</v>
      </c>
      <c r="H214" s="306">
        <v>0</v>
      </c>
      <c r="I214" s="306">
        <v>0</v>
      </c>
      <c r="J214" s="305">
        <v>2</v>
      </c>
      <c r="K214" s="305">
        <v>246</v>
      </c>
      <c r="L214" s="306">
        <v>56.84</v>
      </c>
      <c r="M214" s="306">
        <v>0</v>
      </c>
      <c r="N214" s="306">
        <v>0</v>
      </c>
      <c r="O214" s="675">
        <f t="shared" si="22"/>
        <v>0</v>
      </c>
      <c r="P214" s="675">
        <f t="shared" si="23"/>
        <v>0</v>
      </c>
      <c r="Q214" s="254">
        <f t="shared" si="24"/>
        <v>0</v>
      </c>
      <c r="R214" s="661">
        <f t="shared" si="25"/>
        <v>56.84</v>
      </c>
    </row>
    <row r="215" spans="1:18" ht="12" thickBot="1">
      <c r="A215" s="197" t="s">
        <v>1212</v>
      </c>
      <c r="B215" s="192" t="s">
        <v>163</v>
      </c>
      <c r="C215" s="147" t="s">
        <v>370</v>
      </c>
      <c r="D215" s="192"/>
      <c r="E215" s="303">
        <v>400</v>
      </c>
      <c r="F215" s="303">
        <v>153794</v>
      </c>
      <c r="G215" s="304">
        <v>15840</v>
      </c>
      <c r="H215" s="304">
        <v>119.28</v>
      </c>
      <c r="I215" s="304">
        <v>-42.630000000000067</v>
      </c>
      <c r="J215" s="303">
        <v>400</v>
      </c>
      <c r="K215" s="303">
        <v>153794</v>
      </c>
      <c r="L215" s="304">
        <v>15840</v>
      </c>
      <c r="M215" s="304">
        <v>-42.630000000000067</v>
      </c>
      <c r="N215" s="304">
        <v>119.28</v>
      </c>
      <c r="O215" s="675">
        <f t="shared" si="22"/>
        <v>0</v>
      </c>
      <c r="P215" s="675">
        <f t="shared" si="23"/>
        <v>0</v>
      </c>
      <c r="Q215" s="254">
        <f t="shared" si="24"/>
        <v>0</v>
      </c>
      <c r="R215" s="661">
        <f t="shared" si="25"/>
        <v>15916.650000000001</v>
      </c>
    </row>
    <row r="216" spans="1:18" ht="12" thickBot="1">
      <c r="A216" s="197" t="s">
        <v>1212</v>
      </c>
      <c r="B216" s="192" t="s">
        <v>163</v>
      </c>
      <c r="C216" s="147" t="s">
        <v>371</v>
      </c>
      <c r="D216" s="192"/>
      <c r="E216" s="305">
        <v>61</v>
      </c>
      <c r="F216" s="305">
        <v>23054</v>
      </c>
      <c r="G216" s="306">
        <v>2609.58</v>
      </c>
      <c r="H216" s="306">
        <v>33.93</v>
      </c>
      <c r="I216" s="306">
        <v>0</v>
      </c>
      <c r="J216" s="305">
        <v>61</v>
      </c>
      <c r="K216" s="305">
        <v>23054</v>
      </c>
      <c r="L216" s="306">
        <v>2609.58</v>
      </c>
      <c r="M216" s="306">
        <v>0</v>
      </c>
      <c r="N216" s="306">
        <v>33.93</v>
      </c>
      <c r="O216" s="675">
        <f t="shared" si="22"/>
        <v>0</v>
      </c>
      <c r="P216" s="675">
        <f t="shared" si="23"/>
        <v>0</v>
      </c>
      <c r="Q216" s="254">
        <f t="shared" si="24"/>
        <v>0</v>
      </c>
      <c r="R216" s="661">
        <f t="shared" si="25"/>
        <v>2643.5099999999998</v>
      </c>
    </row>
    <row r="217" spans="1:18" ht="12" thickBot="1">
      <c r="A217" s="197" t="s">
        <v>1212</v>
      </c>
      <c r="B217" s="192" t="s">
        <v>163</v>
      </c>
      <c r="C217" s="147" t="s">
        <v>655</v>
      </c>
      <c r="D217" s="192"/>
      <c r="E217" s="303">
        <v>0</v>
      </c>
      <c r="F217" s="303">
        <v>0</v>
      </c>
      <c r="G217" s="304">
        <v>0</v>
      </c>
      <c r="H217" s="304">
        <v>0</v>
      </c>
      <c r="I217" s="304">
        <v>0</v>
      </c>
      <c r="J217" s="303">
        <v>0</v>
      </c>
      <c r="K217" s="303">
        <v>0</v>
      </c>
      <c r="L217" s="304">
        <v>0</v>
      </c>
      <c r="M217" s="304">
        <v>0</v>
      </c>
      <c r="N217" s="304">
        <v>0</v>
      </c>
      <c r="O217" s="675">
        <f t="shared" si="22"/>
        <v>0</v>
      </c>
      <c r="P217" s="675">
        <f t="shared" si="23"/>
        <v>0</v>
      </c>
      <c r="Q217" s="254">
        <f t="shared" si="24"/>
        <v>0</v>
      </c>
      <c r="R217" s="661">
        <f t="shared" si="25"/>
        <v>0</v>
      </c>
    </row>
    <row r="218" spans="1:18" ht="12" thickBot="1">
      <c r="A218" s="197" t="s">
        <v>1212</v>
      </c>
      <c r="B218" s="192" t="s">
        <v>163</v>
      </c>
      <c r="C218" s="147" t="s">
        <v>659</v>
      </c>
      <c r="D218" s="192"/>
      <c r="E218" s="305">
        <v>18</v>
      </c>
      <c r="F218" s="305">
        <v>888</v>
      </c>
      <c r="G218" s="306">
        <v>428.94</v>
      </c>
      <c r="H218" s="306">
        <v>0</v>
      </c>
      <c r="I218" s="306">
        <v>0</v>
      </c>
      <c r="J218" s="305">
        <v>18</v>
      </c>
      <c r="K218" s="305">
        <v>888</v>
      </c>
      <c r="L218" s="306">
        <v>428.94</v>
      </c>
      <c r="M218" s="306">
        <v>0</v>
      </c>
      <c r="N218" s="306">
        <v>0</v>
      </c>
      <c r="O218" s="675">
        <f t="shared" si="22"/>
        <v>0</v>
      </c>
      <c r="P218" s="675">
        <f t="shared" si="23"/>
        <v>0</v>
      </c>
      <c r="Q218" s="254">
        <f t="shared" si="24"/>
        <v>0</v>
      </c>
      <c r="R218" s="661">
        <f t="shared" si="25"/>
        <v>428.94</v>
      </c>
    </row>
    <row r="219" spans="1:18" ht="12" thickBot="1">
      <c r="A219" s="197" t="s">
        <v>1212</v>
      </c>
      <c r="B219" s="192" t="s">
        <v>163</v>
      </c>
      <c r="C219" s="147" t="s">
        <v>399</v>
      </c>
      <c r="D219" s="192"/>
      <c r="E219" s="303">
        <v>4</v>
      </c>
      <c r="F219" s="303">
        <v>507</v>
      </c>
      <c r="G219" s="304">
        <v>81.84</v>
      </c>
      <c r="H219" s="304">
        <v>0</v>
      </c>
      <c r="I219" s="304">
        <v>0</v>
      </c>
      <c r="J219" s="303">
        <v>4</v>
      </c>
      <c r="K219" s="303">
        <v>507</v>
      </c>
      <c r="L219" s="304">
        <v>81.84</v>
      </c>
      <c r="M219" s="304">
        <v>0</v>
      </c>
      <c r="N219" s="304">
        <v>0</v>
      </c>
      <c r="O219" s="675">
        <f t="shared" si="22"/>
        <v>0</v>
      </c>
      <c r="P219" s="675">
        <f t="shared" si="23"/>
        <v>0</v>
      </c>
      <c r="Q219" s="254">
        <f t="shared" si="24"/>
        <v>0</v>
      </c>
      <c r="R219" s="661">
        <f t="shared" si="25"/>
        <v>81.84</v>
      </c>
    </row>
    <row r="220" spans="1:18" ht="12" thickBot="1">
      <c r="A220" s="197" t="s">
        <v>1212</v>
      </c>
      <c r="B220" s="192" t="s">
        <v>163</v>
      </c>
      <c r="C220" s="147" t="s">
        <v>372</v>
      </c>
      <c r="D220" s="192"/>
      <c r="E220" s="305">
        <v>42</v>
      </c>
      <c r="F220" s="305">
        <v>5275</v>
      </c>
      <c r="G220" s="306">
        <v>1268.82</v>
      </c>
      <c r="H220" s="306">
        <v>0</v>
      </c>
      <c r="I220" s="306">
        <v>0</v>
      </c>
      <c r="J220" s="305">
        <v>42</v>
      </c>
      <c r="K220" s="305">
        <v>5275</v>
      </c>
      <c r="L220" s="306">
        <v>1268.82</v>
      </c>
      <c r="M220" s="306">
        <v>0</v>
      </c>
      <c r="N220" s="306">
        <v>0</v>
      </c>
      <c r="O220" s="675">
        <f t="shared" si="22"/>
        <v>0</v>
      </c>
      <c r="P220" s="675">
        <f t="shared" si="23"/>
        <v>0</v>
      </c>
      <c r="Q220" s="254">
        <f t="shared" si="24"/>
        <v>0</v>
      </c>
      <c r="R220" s="661">
        <f t="shared" si="25"/>
        <v>1268.82</v>
      </c>
    </row>
    <row r="221" spans="1:18" ht="12" thickBot="1">
      <c r="A221" s="197" t="s">
        <v>1212</v>
      </c>
      <c r="B221" s="192" t="s">
        <v>163</v>
      </c>
      <c r="C221" s="147" t="s">
        <v>373</v>
      </c>
      <c r="D221" s="192"/>
      <c r="E221" s="303">
        <v>2</v>
      </c>
      <c r="F221" s="303">
        <v>766</v>
      </c>
      <c r="G221" s="304">
        <v>85.12</v>
      </c>
      <c r="H221" s="304">
        <v>0</v>
      </c>
      <c r="I221" s="304">
        <v>0</v>
      </c>
      <c r="J221" s="303">
        <v>2</v>
      </c>
      <c r="K221" s="303">
        <v>766</v>
      </c>
      <c r="L221" s="304">
        <v>85.12</v>
      </c>
      <c r="M221" s="304">
        <v>0</v>
      </c>
      <c r="N221" s="304">
        <v>0</v>
      </c>
      <c r="O221" s="675">
        <f t="shared" si="22"/>
        <v>0</v>
      </c>
      <c r="P221" s="675">
        <f t="shared" si="23"/>
        <v>0</v>
      </c>
      <c r="Q221" s="254">
        <f t="shared" si="24"/>
        <v>0</v>
      </c>
      <c r="R221" s="661">
        <f t="shared" si="25"/>
        <v>85.12</v>
      </c>
    </row>
    <row r="222" spans="1:18" ht="12" thickBot="1">
      <c r="A222" s="197" t="s">
        <v>1212</v>
      </c>
      <c r="B222" s="192" t="s">
        <v>163</v>
      </c>
      <c r="C222" s="309" t="s">
        <v>374</v>
      </c>
      <c r="D222" s="192"/>
      <c r="E222" s="305">
        <v>13</v>
      </c>
      <c r="F222" s="305">
        <v>4930</v>
      </c>
      <c r="G222" s="306">
        <v>680.03</v>
      </c>
      <c r="H222" s="306">
        <v>0</v>
      </c>
      <c r="I222" s="306">
        <v>0</v>
      </c>
      <c r="J222" s="305">
        <v>13</v>
      </c>
      <c r="K222" s="305">
        <v>4930</v>
      </c>
      <c r="L222" s="306">
        <v>680.03</v>
      </c>
      <c r="M222" s="306">
        <v>0</v>
      </c>
      <c r="N222" s="306">
        <v>0</v>
      </c>
      <c r="O222" s="675">
        <f t="shared" si="22"/>
        <v>0</v>
      </c>
      <c r="P222" s="675">
        <f t="shared" si="23"/>
        <v>0</v>
      </c>
      <c r="Q222" s="254">
        <f t="shared" si="24"/>
        <v>0</v>
      </c>
      <c r="R222" s="661">
        <f t="shared" si="25"/>
        <v>680.03</v>
      </c>
    </row>
    <row r="223" spans="1:18" ht="12" thickBot="1">
      <c r="A223" s="197" t="s">
        <v>1212</v>
      </c>
      <c r="B223" s="192" t="s">
        <v>163</v>
      </c>
      <c r="C223" s="200" t="s">
        <v>7</v>
      </c>
      <c r="D223" s="201"/>
      <c r="E223" s="193"/>
      <c r="F223" s="193"/>
      <c r="G223" s="193"/>
      <c r="H223" s="193"/>
      <c r="I223" s="193"/>
      <c r="J223" s="193"/>
      <c r="K223" s="193"/>
      <c r="L223" s="193"/>
      <c r="M223" s="193"/>
      <c r="N223" s="193"/>
      <c r="Q223" s="198"/>
    </row>
    <row r="224" spans="1:18" ht="12" thickBot="1">
      <c r="A224" s="202"/>
      <c r="B224" s="202"/>
      <c r="C224" s="200" t="s">
        <v>1040</v>
      </c>
      <c r="D224" s="201"/>
      <c r="E224" s="194" t="s">
        <v>1012</v>
      </c>
      <c r="F224" s="203" t="s">
        <v>874</v>
      </c>
      <c r="G224" s="194" t="s">
        <v>1013</v>
      </c>
      <c r="H224" s="194" t="s">
        <v>1014</v>
      </c>
      <c r="I224" s="194" t="s">
        <v>1015</v>
      </c>
      <c r="J224" s="194" t="s">
        <v>1016</v>
      </c>
      <c r="K224" s="194" t="s">
        <v>1026</v>
      </c>
      <c r="L224" s="194" t="s">
        <v>1017</v>
      </c>
      <c r="M224" s="194" t="s">
        <v>1018</v>
      </c>
      <c r="N224" s="194" t="s">
        <v>1019</v>
      </c>
      <c r="O224" s="674" t="s">
        <v>1020</v>
      </c>
      <c r="P224" s="674" t="s">
        <v>1027</v>
      </c>
      <c r="Q224" s="204" t="s">
        <v>1021</v>
      </c>
      <c r="R224" s="674" t="s">
        <v>1022</v>
      </c>
    </row>
    <row r="225" spans="1:18" ht="12" thickBot="1">
      <c r="A225" s="197" t="s">
        <v>1213</v>
      </c>
      <c r="B225" s="192" t="s">
        <v>163</v>
      </c>
      <c r="C225" s="147" t="s">
        <v>379</v>
      </c>
      <c r="D225" s="205"/>
      <c r="E225" s="307">
        <v>79</v>
      </c>
      <c r="F225" s="307">
        <v>3175</v>
      </c>
      <c r="G225" s="308">
        <v>643.05999999999995</v>
      </c>
      <c r="H225" s="308">
        <v>32.96</v>
      </c>
      <c r="I225" s="308">
        <v>0</v>
      </c>
      <c r="J225" s="307">
        <v>79</v>
      </c>
      <c r="K225" s="307">
        <v>3175</v>
      </c>
      <c r="L225" s="308">
        <v>643.05999999999995</v>
      </c>
      <c r="M225" s="308">
        <v>0</v>
      </c>
      <c r="N225" s="308">
        <v>32.96</v>
      </c>
      <c r="O225" s="675">
        <f>J225-E225</f>
        <v>0</v>
      </c>
      <c r="P225" s="675">
        <f>K225-F225</f>
        <v>0</v>
      </c>
      <c r="Q225" s="206">
        <f t="shared" ref="Q225" si="26">G225-L225+I225-M225</f>
        <v>0</v>
      </c>
      <c r="R225" s="683">
        <f>SUM(G225:I225)</f>
        <v>676.02</v>
      </c>
    </row>
    <row r="226" spans="1:18" ht="12" thickBot="1">
      <c r="A226" s="197" t="s">
        <v>1213</v>
      </c>
      <c r="B226" s="192" t="s">
        <v>163</v>
      </c>
      <c r="C226" s="147" t="s">
        <v>241</v>
      </c>
      <c r="D226" s="205"/>
      <c r="E226" s="307">
        <v>3822</v>
      </c>
      <c r="F226" s="307">
        <v>366748</v>
      </c>
      <c r="G226" s="308">
        <v>41889.119999999995</v>
      </c>
      <c r="H226" s="308">
        <v>502.09000000000003</v>
      </c>
      <c r="I226" s="308">
        <v>-319.41999999999814</v>
      </c>
      <c r="J226" s="307">
        <v>3822</v>
      </c>
      <c r="K226" s="307">
        <v>366748</v>
      </c>
      <c r="L226" s="308">
        <v>41889.119999999995</v>
      </c>
      <c r="M226" s="308">
        <v>-319.41999999999814</v>
      </c>
      <c r="N226" s="308">
        <v>502.09000000000003</v>
      </c>
      <c r="O226" s="675">
        <f t="shared" ref="O226:O285" si="27">J226-E226</f>
        <v>0</v>
      </c>
      <c r="P226" s="675">
        <f t="shared" ref="P226:P285" si="28">K226-F226</f>
        <v>0</v>
      </c>
      <c r="Q226" s="206">
        <f t="shared" ref="Q226:Q286" si="29">G226-L226+I226-M226</f>
        <v>0</v>
      </c>
      <c r="R226" s="683">
        <f t="shared" ref="R226:R285" si="30">SUM(G226:I226)</f>
        <v>42071.789999999994</v>
      </c>
    </row>
    <row r="227" spans="1:18" ht="12" thickBot="1">
      <c r="A227" s="197" t="s">
        <v>1213</v>
      </c>
      <c r="B227" s="192" t="s">
        <v>163</v>
      </c>
      <c r="C227" s="147" t="s">
        <v>242</v>
      </c>
      <c r="D227" s="205"/>
      <c r="E227" s="307">
        <v>3828</v>
      </c>
      <c r="F227" s="307">
        <v>568896</v>
      </c>
      <c r="G227" s="308">
        <v>51716.28</v>
      </c>
      <c r="H227" s="308">
        <v>763.12</v>
      </c>
      <c r="I227" s="308">
        <v>-241.73000000000093</v>
      </c>
      <c r="J227" s="307">
        <v>3828</v>
      </c>
      <c r="K227" s="307">
        <v>568896</v>
      </c>
      <c r="L227" s="308">
        <v>51716.28</v>
      </c>
      <c r="M227" s="308">
        <v>-241.73000000000093</v>
      </c>
      <c r="N227" s="308">
        <v>763.12</v>
      </c>
      <c r="O227" s="675">
        <f t="shared" si="27"/>
        <v>0</v>
      </c>
      <c r="P227" s="675">
        <f t="shared" si="28"/>
        <v>0</v>
      </c>
      <c r="Q227" s="206">
        <f>G227-L227+I227-M227</f>
        <v>0</v>
      </c>
      <c r="R227" s="683">
        <f t="shared" si="30"/>
        <v>52237.67</v>
      </c>
    </row>
    <row r="228" spans="1:18" ht="12" thickBot="1">
      <c r="A228" s="197" t="s">
        <v>1213</v>
      </c>
      <c r="B228" s="192" t="s">
        <v>163</v>
      </c>
      <c r="C228" s="147" t="s">
        <v>243</v>
      </c>
      <c r="D228" s="205"/>
      <c r="E228" s="307">
        <v>99</v>
      </c>
      <c r="F228" s="307">
        <v>3927</v>
      </c>
      <c r="G228" s="308">
        <v>1232.55</v>
      </c>
      <c r="H228" s="308">
        <v>0</v>
      </c>
      <c r="I228" s="308">
        <v>-10.849999999999909</v>
      </c>
      <c r="J228" s="307">
        <v>99</v>
      </c>
      <c r="K228" s="307">
        <v>3927</v>
      </c>
      <c r="L228" s="308">
        <v>1232.55</v>
      </c>
      <c r="M228" s="308">
        <v>-10.849999999999909</v>
      </c>
      <c r="N228" s="308">
        <v>0</v>
      </c>
      <c r="O228" s="675">
        <f t="shared" si="27"/>
        <v>0</v>
      </c>
      <c r="P228" s="675">
        <f t="shared" si="28"/>
        <v>0</v>
      </c>
      <c r="Q228" s="206">
        <f t="shared" si="29"/>
        <v>0</v>
      </c>
      <c r="R228" s="683">
        <f t="shared" si="30"/>
        <v>1221.7</v>
      </c>
    </row>
    <row r="229" spans="1:18" ht="12" thickBot="1">
      <c r="A229" s="197" t="s">
        <v>1213</v>
      </c>
      <c r="B229" s="192" t="s">
        <v>163</v>
      </c>
      <c r="C229" s="147" t="s">
        <v>244</v>
      </c>
      <c r="D229" s="205"/>
      <c r="E229" s="307">
        <v>743</v>
      </c>
      <c r="F229" s="307">
        <v>108848</v>
      </c>
      <c r="G229" s="308">
        <v>11546.220000000001</v>
      </c>
      <c r="H229" s="308">
        <v>527.98</v>
      </c>
      <c r="I229" s="308">
        <v>-35.360000000000582</v>
      </c>
      <c r="J229" s="307">
        <v>743</v>
      </c>
      <c r="K229" s="307">
        <v>108848</v>
      </c>
      <c r="L229" s="308">
        <v>11546.220000000001</v>
      </c>
      <c r="M229" s="308">
        <v>-35.360000000000582</v>
      </c>
      <c r="N229" s="308">
        <v>527.98</v>
      </c>
      <c r="O229" s="675">
        <f t="shared" si="27"/>
        <v>0</v>
      </c>
      <c r="P229" s="675">
        <f t="shared" si="28"/>
        <v>0</v>
      </c>
      <c r="Q229" s="206">
        <f t="shared" si="29"/>
        <v>0</v>
      </c>
      <c r="R229" s="683">
        <f t="shared" si="30"/>
        <v>12038.84</v>
      </c>
    </row>
    <row r="230" spans="1:18" ht="12" thickBot="1">
      <c r="A230" s="197" t="s">
        <v>1213</v>
      </c>
      <c r="B230" s="192" t="s">
        <v>163</v>
      </c>
      <c r="C230" s="147" t="s">
        <v>245</v>
      </c>
      <c r="D230" s="205"/>
      <c r="E230" s="307">
        <v>1429</v>
      </c>
      <c r="F230" s="307">
        <v>95071</v>
      </c>
      <c r="G230" s="308">
        <v>20348.96</v>
      </c>
      <c r="H230" s="308">
        <v>0</v>
      </c>
      <c r="I230" s="308">
        <v>-45.569999999999709</v>
      </c>
      <c r="J230" s="307">
        <v>1429</v>
      </c>
      <c r="K230" s="307">
        <v>95071</v>
      </c>
      <c r="L230" s="308">
        <v>20348.96</v>
      </c>
      <c r="M230" s="308">
        <v>-45.569999999999709</v>
      </c>
      <c r="N230" s="308">
        <v>0</v>
      </c>
      <c r="O230" s="675">
        <f t="shared" si="27"/>
        <v>0</v>
      </c>
      <c r="P230" s="675">
        <f t="shared" si="28"/>
        <v>0</v>
      </c>
      <c r="Q230" s="206">
        <f t="shared" si="29"/>
        <v>0</v>
      </c>
      <c r="R230" s="683">
        <f t="shared" si="30"/>
        <v>20303.39</v>
      </c>
    </row>
    <row r="231" spans="1:18" ht="12" thickBot="1">
      <c r="A231" s="197" t="s">
        <v>1213</v>
      </c>
      <c r="B231" s="192" t="s">
        <v>163</v>
      </c>
      <c r="C231" s="147" t="s">
        <v>381</v>
      </c>
      <c r="D231" s="205"/>
      <c r="E231" s="307">
        <v>46</v>
      </c>
      <c r="F231" s="307">
        <v>15824</v>
      </c>
      <c r="G231" s="308">
        <v>1273.74</v>
      </c>
      <c r="H231" s="308">
        <v>49.440000000000005</v>
      </c>
      <c r="I231" s="308">
        <v>-25.779999999999973</v>
      </c>
      <c r="J231" s="307">
        <v>46</v>
      </c>
      <c r="K231" s="307">
        <v>15824</v>
      </c>
      <c r="L231" s="308">
        <v>1273.74</v>
      </c>
      <c r="M231" s="308">
        <v>-25.779999999999973</v>
      </c>
      <c r="N231" s="308">
        <v>49.440000000000005</v>
      </c>
      <c r="O231" s="675">
        <f t="shared" si="27"/>
        <v>0</v>
      </c>
      <c r="P231" s="675">
        <f t="shared" si="28"/>
        <v>0</v>
      </c>
      <c r="Q231" s="206">
        <f t="shared" si="29"/>
        <v>0</v>
      </c>
      <c r="R231" s="683">
        <f t="shared" si="30"/>
        <v>1297.4000000000001</v>
      </c>
    </row>
    <row r="232" spans="1:18" ht="12" thickBot="1">
      <c r="A232" s="197" t="s">
        <v>1213</v>
      </c>
      <c r="B232" s="192" t="s">
        <v>163</v>
      </c>
      <c r="C232" s="147" t="s">
        <v>246</v>
      </c>
      <c r="D232" s="205"/>
      <c r="E232" s="307">
        <v>354</v>
      </c>
      <c r="F232" s="307">
        <v>122625</v>
      </c>
      <c r="G232" s="308">
        <v>10227.060000000001</v>
      </c>
      <c r="H232" s="308">
        <v>203.94</v>
      </c>
      <c r="I232" s="308">
        <v>-69.740000000001601</v>
      </c>
      <c r="J232" s="307">
        <v>354</v>
      </c>
      <c r="K232" s="307">
        <v>122625</v>
      </c>
      <c r="L232" s="308">
        <v>10227.060000000001</v>
      </c>
      <c r="M232" s="308">
        <v>-69.740000000001601</v>
      </c>
      <c r="N232" s="308">
        <v>203.94</v>
      </c>
      <c r="O232" s="675">
        <f t="shared" si="27"/>
        <v>0</v>
      </c>
      <c r="P232" s="675">
        <f t="shared" si="28"/>
        <v>0</v>
      </c>
      <c r="Q232" s="206">
        <f t="shared" si="29"/>
        <v>0</v>
      </c>
      <c r="R232" s="683">
        <f t="shared" si="30"/>
        <v>10361.26</v>
      </c>
    </row>
    <row r="233" spans="1:18" ht="12" thickBot="1">
      <c r="A233" s="197" t="s">
        <v>1213</v>
      </c>
      <c r="B233" s="192" t="s">
        <v>163</v>
      </c>
      <c r="C233" s="147" t="s">
        <v>252</v>
      </c>
      <c r="D233" s="205"/>
      <c r="E233" s="307">
        <v>4051</v>
      </c>
      <c r="F233" s="307">
        <v>272490</v>
      </c>
      <c r="G233" s="308">
        <v>38768.07</v>
      </c>
      <c r="H233" s="308">
        <v>1548.98</v>
      </c>
      <c r="I233" s="308">
        <v>-153.30000000000291</v>
      </c>
      <c r="J233" s="307">
        <v>4051</v>
      </c>
      <c r="K233" s="307">
        <v>272490</v>
      </c>
      <c r="L233" s="308">
        <v>38768.07</v>
      </c>
      <c r="M233" s="308">
        <v>-153.30000000000291</v>
      </c>
      <c r="N233" s="308">
        <v>1548.98</v>
      </c>
      <c r="O233" s="675">
        <f t="shared" si="27"/>
        <v>0</v>
      </c>
      <c r="P233" s="675">
        <f t="shared" si="28"/>
        <v>0</v>
      </c>
      <c r="Q233" s="206">
        <f t="shared" si="29"/>
        <v>0</v>
      </c>
      <c r="R233" s="683">
        <f t="shared" si="30"/>
        <v>40163.75</v>
      </c>
    </row>
    <row r="234" spans="1:18" ht="12" thickBot="1">
      <c r="A234" s="197" t="s">
        <v>1213</v>
      </c>
      <c r="B234" s="192" t="s">
        <v>163</v>
      </c>
      <c r="C234" s="147" t="s">
        <v>263</v>
      </c>
      <c r="D234" s="205"/>
      <c r="E234" s="307">
        <v>2066</v>
      </c>
      <c r="F234" s="307">
        <v>208194</v>
      </c>
      <c r="G234" s="308">
        <v>56484.439999999995</v>
      </c>
      <c r="H234" s="308">
        <v>0</v>
      </c>
      <c r="I234" s="308">
        <v>-16.399999999994179</v>
      </c>
      <c r="J234" s="307">
        <v>2066</v>
      </c>
      <c r="K234" s="307">
        <v>208194</v>
      </c>
      <c r="L234" s="308">
        <v>56484.439999999995</v>
      </c>
      <c r="M234" s="308">
        <v>-16.399999999994179</v>
      </c>
      <c r="N234" s="308">
        <v>0</v>
      </c>
      <c r="O234" s="675">
        <f t="shared" si="27"/>
        <v>0</v>
      </c>
      <c r="P234" s="675">
        <f t="shared" si="28"/>
        <v>0</v>
      </c>
      <c r="Q234" s="206">
        <f t="shared" si="29"/>
        <v>0</v>
      </c>
      <c r="R234" s="683">
        <f t="shared" si="30"/>
        <v>56468.04</v>
      </c>
    </row>
    <row r="235" spans="1:18" ht="12" thickBot="1">
      <c r="A235" s="197" t="s">
        <v>1213</v>
      </c>
      <c r="B235" s="192" t="s">
        <v>163</v>
      </c>
      <c r="C235" s="147" t="s">
        <v>264</v>
      </c>
      <c r="D235" s="205"/>
      <c r="E235" s="307">
        <v>2264</v>
      </c>
      <c r="F235" s="307">
        <v>357954</v>
      </c>
      <c r="G235" s="308">
        <v>71089.600000000006</v>
      </c>
      <c r="H235" s="308">
        <v>0</v>
      </c>
      <c r="I235" s="308">
        <v>-104.67000000001281</v>
      </c>
      <c r="J235" s="307">
        <v>2264</v>
      </c>
      <c r="K235" s="307">
        <v>357954</v>
      </c>
      <c r="L235" s="308">
        <v>71089.600000000006</v>
      </c>
      <c r="M235" s="308">
        <v>-104.67000000001281</v>
      </c>
      <c r="N235" s="308">
        <v>0</v>
      </c>
      <c r="O235" s="675">
        <f t="shared" si="27"/>
        <v>0</v>
      </c>
      <c r="P235" s="675">
        <f t="shared" si="28"/>
        <v>0</v>
      </c>
      <c r="Q235" s="206">
        <f t="shared" si="29"/>
        <v>0</v>
      </c>
      <c r="R235" s="683">
        <f t="shared" si="30"/>
        <v>70984.929999999993</v>
      </c>
    </row>
    <row r="236" spans="1:18" ht="12" thickBot="1">
      <c r="A236" s="197" t="s">
        <v>1213</v>
      </c>
      <c r="B236" s="192" t="s">
        <v>163</v>
      </c>
      <c r="C236" s="147" t="s">
        <v>267</v>
      </c>
      <c r="D236" s="205"/>
      <c r="E236" s="307">
        <v>17157</v>
      </c>
      <c r="F236" s="307">
        <v>790009</v>
      </c>
      <c r="G236" s="308">
        <v>294928.83</v>
      </c>
      <c r="H236" s="308">
        <v>2.06</v>
      </c>
      <c r="I236" s="308">
        <v>-199.88000000003498</v>
      </c>
      <c r="J236" s="307">
        <v>17159</v>
      </c>
      <c r="K236" s="307">
        <v>790054</v>
      </c>
      <c r="L236" s="308">
        <v>294963.21000000002</v>
      </c>
      <c r="M236" s="308">
        <v>-192.69000000003498</v>
      </c>
      <c r="N236" s="308">
        <v>2.06</v>
      </c>
      <c r="O236" s="675">
        <f t="shared" si="27"/>
        <v>2</v>
      </c>
      <c r="P236" s="675">
        <f t="shared" si="28"/>
        <v>45</v>
      </c>
      <c r="Q236" s="206">
        <f t="shared" si="29"/>
        <v>-41.570000000004654</v>
      </c>
      <c r="R236" s="683">
        <f t="shared" si="30"/>
        <v>294731.00999999995</v>
      </c>
    </row>
    <row r="237" spans="1:18" ht="12" thickBot="1">
      <c r="A237" s="197" t="s">
        <v>1213</v>
      </c>
      <c r="B237" s="192" t="s">
        <v>163</v>
      </c>
      <c r="C237" s="147" t="s">
        <v>392</v>
      </c>
      <c r="D237" s="205"/>
      <c r="E237" s="307">
        <v>519</v>
      </c>
      <c r="F237" s="307">
        <v>33533</v>
      </c>
      <c r="G237" s="308">
        <v>12917.91</v>
      </c>
      <c r="H237" s="308">
        <v>0</v>
      </c>
      <c r="I237" s="308">
        <v>0</v>
      </c>
      <c r="J237" s="307">
        <v>519</v>
      </c>
      <c r="K237" s="307">
        <v>33533</v>
      </c>
      <c r="L237" s="308">
        <v>12917.91</v>
      </c>
      <c r="M237" s="308">
        <v>0</v>
      </c>
      <c r="N237" s="308">
        <v>0</v>
      </c>
      <c r="O237" s="675">
        <f t="shared" si="27"/>
        <v>0</v>
      </c>
      <c r="P237" s="675">
        <f t="shared" si="28"/>
        <v>0</v>
      </c>
      <c r="Q237" s="206">
        <f t="shared" si="29"/>
        <v>0</v>
      </c>
      <c r="R237" s="683">
        <f t="shared" si="30"/>
        <v>12917.91</v>
      </c>
    </row>
    <row r="238" spans="1:18" ht="12" thickBot="1">
      <c r="A238" s="197" t="s">
        <v>1213</v>
      </c>
      <c r="B238" s="192" t="s">
        <v>163</v>
      </c>
      <c r="C238" s="147" t="s">
        <v>268</v>
      </c>
      <c r="D238" s="205"/>
      <c r="E238" s="307">
        <v>1356</v>
      </c>
      <c r="F238" s="307">
        <v>47649</v>
      </c>
      <c r="G238" s="308">
        <v>19214.52</v>
      </c>
      <c r="H238" s="308">
        <v>0</v>
      </c>
      <c r="I238" s="308">
        <v>-58.100000000002183</v>
      </c>
      <c r="J238" s="307">
        <v>1356</v>
      </c>
      <c r="K238" s="307">
        <v>47649</v>
      </c>
      <c r="L238" s="308">
        <v>19214.52</v>
      </c>
      <c r="M238" s="308">
        <v>-58.100000000002183</v>
      </c>
      <c r="N238" s="308">
        <v>0</v>
      </c>
      <c r="O238" s="675">
        <f t="shared" si="27"/>
        <v>0</v>
      </c>
      <c r="P238" s="675">
        <f t="shared" si="28"/>
        <v>0</v>
      </c>
      <c r="Q238" s="206">
        <f t="shared" si="29"/>
        <v>0</v>
      </c>
      <c r="R238" s="683">
        <f t="shared" si="30"/>
        <v>19156.419999999998</v>
      </c>
    </row>
    <row r="239" spans="1:18" ht="12" thickBot="1">
      <c r="A239" s="197" t="s">
        <v>1213</v>
      </c>
      <c r="B239" s="192" t="s">
        <v>163</v>
      </c>
      <c r="C239" s="147" t="s">
        <v>269</v>
      </c>
      <c r="D239" s="205"/>
      <c r="E239" s="307">
        <v>2310</v>
      </c>
      <c r="F239" s="307">
        <v>146672</v>
      </c>
      <c r="G239" s="308">
        <v>51166.5</v>
      </c>
      <c r="H239" s="308">
        <v>59.120000000000005</v>
      </c>
      <c r="I239" s="308">
        <v>117.63000000000466</v>
      </c>
      <c r="J239" s="307">
        <v>2310</v>
      </c>
      <c r="K239" s="307">
        <v>146672</v>
      </c>
      <c r="L239" s="308">
        <v>51166.5</v>
      </c>
      <c r="M239" s="308">
        <v>117.63000000000466</v>
      </c>
      <c r="N239" s="308">
        <v>59.120000000000005</v>
      </c>
      <c r="O239" s="675">
        <f t="shared" si="27"/>
        <v>0</v>
      </c>
      <c r="P239" s="675">
        <f t="shared" si="28"/>
        <v>0</v>
      </c>
      <c r="Q239" s="206">
        <f t="shared" si="29"/>
        <v>0</v>
      </c>
      <c r="R239" s="683">
        <f t="shared" si="30"/>
        <v>51343.250000000007</v>
      </c>
    </row>
    <row r="240" spans="1:18" ht="12" thickBot="1">
      <c r="A240" s="197" t="s">
        <v>1213</v>
      </c>
      <c r="B240" s="192" t="s">
        <v>163</v>
      </c>
      <c r="C240" s="147" t="s">
        <v>393</v>
      </c>
      <c r="D240" s="205"/>
      <c r="E240" s="307">
        <v>17</v>
      </c>
      <c r="F240" s="307">
        <v>5956</v>
      </c>
      <c r="G240" s="308">
        <v>1233.3499999999999</v>
      </c>
      <c r="H240" s="308">
        <v>0</v>
      </c>
      <c r="I240" s="308">
        <v>0</v>
      </c>
      <c r="J240" s="307">
        <v>17</v>
      </c>
      <c r="K240" s="307">
        <v>5956</v>
      </c>
      <c r="L240" s="308">
        <v>1233.3499999999999</v>
      </c>
      <c r="M240" s="308">
        <v>0</v>
      </c>
      <c r="N240" s="308">
        <v>0</v>
      </c>
      <c r="O240" s="675">
        <f t="shared" si="27"/>
        <v>0</v>
      </c>
      <c r="P240" s="675">
        <f t="shared" si="28"/>
        <v>0</v>
      </c>
      <c r="Q240" s="206">
        <f t="shared" si="29"/>
        <v>0</v>
      </c>
      <c r="R240" s="683">
        <f t="shared" si="30"/>
        <v>1233.3499999999999</v>
      </c>
    </row>
    <row r="241" spans="1:18" ht="12" thickBot="1">
      <c r="A241" s="197" t="s">
        <v>1213</v>
      </c>
      <c r="B241" s="192" t="s">
        <v>163</v>
      </c>
      <c r="C241" s="147" t="s">
        <v>394</v>
      </c>
      <c r="D241" s="205"/>
      <c r="E241" s="307">
        <v>11</v>
      </c>
      <c r="F241" s="307">
        <v>3777</v>
      </c>
      <c r="G241" s="308">
        <v>455.73</v>
      </c>
      <c r="H241" s="308">
        <v>0</v>
      </c>
      <c r="I241" s="308">
        <v>0</v>
      </c>
      <c r="J241" s="307">
        <v>11</v>
      </c>
      <c r="K241" s="307">
        <v>3777</v>
      </c>
      <c r="L241" s="308">
        <v>455.73</v>
      </c>
      <c r="M241" s="308">
        <v>0</v>
      </c>
      <c r="N241" s="308">
        <v>0</v>
      </c>
      <c r="O241" s="675">
        <f t="shared" si="27"/>
        <v>0</v>
      </c>
      <c r="P241" s="675">
        <f t="shared" si="28"/>
        <v>0</v>
      </c>
      <c r="Q241" s="206">
        <f t="shared" si="29"/>
        <v>0</v>
      </c>
      <c r="R241" s="683">
        <f t="shared" si="30"/>
        <v>455.73</v>
      </c>
    </row>
    <row r="242" spans="1:18" ht="12" thickBot="1">
      <c r="A242" s="197" t="s">
        <v>1213</v>
      </c>
      <c r="B242" s="192" t="s">
        <v>163</v>
      </c>
      <c r="C242" s="309" t="s">
        <v>398</v>
      </c>
      <c r="D242" s="205"/>
      <c r="E242" s="307">
        <v>46</v>
      </c>
      <c r="F242" s="307">
        <v>1588</v>
      </c>
      <c r="G242" s="308">
        <v>891.48</v>
      </c>
      <c r="H242" s="308">
        <v>735.06000000000006</v>
      </c>
      <c r="I242" s="308">
        <v>0</v>
      </c>
      <c r="J242" s="307">
        <v>46</v>
      </c>
      <c r="K242" s="307">
        <v>1588</v>
      </c>
      <c r="L242" s="308">
        <v>891.48</v>
      </c>
      <c r="M242" s="308">
        <v>0</v>
      </c>
      <c r="N242" s="308">
        <v>735.06000000000006</v>
      </c>
      <c r="O242" s="675">
        <f t="shared" si="27"/>
        <v>0</v>
      </c>
      <c r="P242" s="675">
        <f t="shared" si="28"/>
        <v>0</v>
      </c>
      <c r="Q242" s="206">
        <f t="shared" si="29"/>
        <v>0</v>
      </c>
      <c r="R242" s="683">
        <f t="shared" si="30"/>
        <v>1626.54</v>
      </c>
    </row>
    <row r="243" spans="1:18" ht="12" thickBot="1">
      <c r="A243" s="197" t="s">
        <v>1213</v>
      </c>
      <c r="B243" s="192" t="s">
        <v>163</v>
      </c>
      <c r="C243" s="147" t="s">
        <v>395</v>
      </c>
      <c r="D243" s="205"/>
      <c r="E243" s="307">
        <v>247</v>
      </c>
      <c r="F243" s="307">
        <v>11169</v>
      </c>
      <c r="G243" s="308">
        <v>5026.45</v>
      </c>
      <c r="H243" s="308">
        <v>3805.3799999999997</v>
      </c>
      <c r="I243" s="308">
        <v>0</v>
      </c>
      <c r="J243" s="307">
        <v>247</v>
      </c>
      <c r="K243" s="307">
        <v>11169</v>
      </c>
      <c r="L243" s="308">
        <v>5026.45</v>
      </c>
      <c r="M243" s="308">
        <v>0</v>
      </c>
      <c r="N243" s="308">
        <v>3805.3799999999997</v>
      </c>
      <c r="O243" s="675">
        <f t="shared" si="27"/>
        <v>0</v>
      </c>
      <c r="P243" s="675">
        <f t="shared" si="28"/>
        <v>0</v>
      </c>
      <c r="Q243" s="206">
        <f t="shared" si="29"/>
        <v>0</v>
      </c>
      <c r="R243" s="683">
        <f t="shared" si="30"/>
        <v>8831.83</v>
      </c>
    </row>
    <row r="244" spans="1:18" ht="12" thickBot="1">
      <c r="A244" s="197" t="s">
        <v>1213</v>
      </c>
      <c r="B244" s="192" t="s">
        <v>163</v>
      </c>
      <c r="C244" s="147" t="s">
        <v>396</v>
      </c>
      <c r="D244" s="205"/>
      <c r="E244" s="307">
        <v>106</v>
      </c>
      <c r="F244" s="307">
        <v>3622</v>
      </c>
      <c r="G244" s="308">
        <v>2070.1799999999998</v>
      </c>
      <c r="H244" s="308">
        <v>989.6099999999999</v>
      </c>
      <c r="I244" s="308">
        <v>0</v>
      </c>
      <c r="J244" s="307">
        <v>106</v>
      </c>
      <c r="K244" s="307">
        <v>3622</v>
      </c>
      <c r="L244" s="308">
        <v>2070.1799999999998</v>
      </c>
      <c r="M244" s="308">
        <v>0</v>
      </c>
      <c r="N244" s="308">
        <v>989.6099999999999</v>
      </c>
      <c r="O244" s="675">
        <f t="shared" si="27"/>
        <v>0</v>
      </c>
      <c r="P244" s="675">
        <f t="shared" si="28"/>
        <v>0</v>
      </c>
      <c r="Q244" s="206">
        <f t="shared" si="29"/>
        <v>0</v>
      </c>
      <c r="R244" s="683">
        <f t="shared" si="30"/>
        <v>3059.79</v>
      </c>
    </row>
    <row r="245" spans="1:18" ht="12" thickBot="1">
      <c r="A245" s="197" t="s">
        <v>1213</v>
      </c>
      <c r="B245" s="192" t="s">
        <v>163</v>
      </c>
      <c r="C245" s="309" t="s">
        <v>397</v>
      </c>
      <c r="D245" s="205"/>
      <c r="E245" s="307">
        <v>82</v>
      </c>
      <c r="F245" s="307">
        <v>3810</v>
      </c>
      <c r="G245" s="308">
        <v>1707.24</v>
      </c>
      <c r="H245" s="308">
        <v>1287.7700000000002</v>
      </c>
      <c r="I245" s="308">
        <v>0</v>
      </c>
      <c r="J245" s="307">
        <v>82</v>
      </c>
      <c r="K245" s="307">
        <v>3810</v>
      </c>
      <c r="L245" s="308">
        <v>1707.24</v>
      </c>
      <c r="M245" s="308">
        <v>0</v>
      </c>
      <c r="N245" s="308">
        <v>1287.7700000000002</v>
      </c>
      <c r="O245" s="675">
        <f t="shared" si="27"/>
        <v>0</v>
      </c>
      <c r="P245" s="675">
        <f t="shared" si="28"/>
        <v>0</v>
      </c>
      <c r="Q245" s="206">
        <f t="shared" si="29"/>
        <v>0</v>
      </c>
      <c r="R245" s="683">
        <f t="shared" si="30"/>
        <v>2995.01</v>
      </c>
    </row>
    <row r="246" spans="1:18" ht="12" thickBot="1">
      <c r="A246" s="197" t="s">
        <v>1213</v>
      </c>
      <c r="B246" s="192" t="s">
        <v>163</v>
      </c>
      <c r="C246" s="147" t="s">
        <v>287</v>
      </c>
      <c r="D246" s="205"/>
      <c r="E246" s="307">
        <v>533</v>
      </c>
      <c r="F246" s="307">
        <v>51328</v>
      </c>
      <c r="G246" s="308">
        <v>10233.6</v>
      </c>
      <c r="H246" s="308">
        <v>0</v>
      </c>
      <c r="I246" s="308">
        <v>-31.199999999998909</v>
      </c>
      <c r="J246" s="307">
        <v>533</v>
      </c>
      <c r="K246" s="307">
        <v>51328</v>
      </c>
      <c r="L246" s="308">
        <v>10233.6</v>
      </c>
      <c r="M246" s="308">
        <v>-31.199999999998909</v>
      </c>
      <c r="N246" s="308">
        <v>0</v>
      </c>
      <c r="O246" s="675">
        <f t="shared" si="27"/>
        <v>0</v>
      </c>
      <c r="P246" s="675">
        <f t="shared" si="28"/>
        <v>0</v>
      </c>
      <c r="Q246" s="206">
        <f t="shared" si="29"/>
        <v>0</v>
      </c>
      <c r="R246" s="683">
        <f t="shared" si="30"/>
        <v>10202.400000000001</v>
      </c>
    </row>
    <row r="247" spans="1:18" ht="12" thickBot="1">
      <c r="A247" s="197" t="s">
        <v>1213</v>
      </c>
      <c r="B247" s="192" t="s">
        <v>163</v>
      </c>
      <c r="C247" s="147" t="s">
        <v>288</v>
      </c>
      <c r="D247" s="205"/>
      <c r="E247" s="307">
        <v>520</v>
      </c>
      <c r="F247" s="307">
        <v>76919</v>
      </c>
      <c r="G247" s="308">
        <v>11934</v>
      </c>
      <c r="H247" s="308">
        <v>0</v>
      </c>
      <c r="I247" s="308">
        <v>-135.54999999999927</v>
      </c>
      <c r="J247" s="307">
        <v>520</v>
      </c>
      <c r="K247" s="307">
        <v>76919</v>
      </c>
      <c r="L247" s="308">
        <v>11934</v>
      </c>
      <c r="M247" s="308">
        <v>-135.54999999999927</v>
      </c>
      <c r="N247" s="308">
        <v>0</v>
      </c>
      <c r="O247" s="675">
        <f t="shared" si="27"/>
        <v>0</v>
      </c>
      <c r="P247" s="675">
        <f t="shared" si="28"/>
        <v>0</v>
      </c>
      <c r="Q247" s="206">
        <f t="shared" si="29"/>
        <v>0</v>
      </c>
      <c r="R247" s="683">
        <f t="shared" si="30"/>
        <v>11798.45</v>
      </c>
    </row>
    <row r="248" spans="1:18" ht="12" thickBot="1">
      <c r="A248" s="197" t="s">
        <v>1213</v>
      </c>
      <c r="B248" s="192" t="s">
        <v>163</v>
      </c>
      <c r="C248" s="309" t="s">
        <v>291</v>
      </c>
      <c r="D248" s="205"/>
      <c r="E248" s="307">
        <v>54</v>
      </c>
      <c r="F248" s="307">
        <v>3678</v>
      </c>
      <c r="G248" s="308">
        <v>940.68</v>
      </c>
      <c r="H248" s="308">
        <v>0</v>
      </c>
      <c r="I248" s="308">
        <v>0</v>
      </c>
      <c r="J248" s="307">
        <v>54</v>
      </c>
      <c r="K248" s="307">
        <v>3678</v>
      </c>
      <c r="L248" s="308">
        <v>940.68</v>
      </c>
      <c r="M248" s="308">
        <v>0</v>
      </c>
      <c r="N248" s="308">
        <v>0</v>
      </c>
      <c r="O248" s="675">
        <f t="shared" si="27"/>
        <v>0</v>
      </c>
      <c r="P248" s="675">
        <f t="shared" si="28"/>
        <v>0</v>
      </c>
      <c r="Q248" s="206">
        <f t="shared" si="29"/>
        <v>0</v>
      </c>
      <c r="R248" s="683">
        <f t="shared" si="30"/>
        <v>940.68</v>
      </c>
    </row>
    <row r="249" spans="1:18" ht="12" thickBot="1">
      <c r="A249" s="197" t="s">
        <v>1213</v>
      </c>
      <c r="B249" s="192" t="s">
        <v>163</v>
      </c>
      <c r="C249" s="147" t="s">
        <v>297</v>
      </c>
      <c r="D249" s="205"/>
      <c r="E249" s="307">
        <v>40</v>
      </c>
      <c r="F249" s="307">
        <v>3896</v>
      </c>
      <c r="G249" s="308">
        <v>524.79999999999995</v>
      </c>
      <c r="H249" s="308">
        <v>0</v>
      </c>
      <c r="I249" s="308">
        <v>0</v>
      </c>
      <c r="J249" s="307">
        <v>40</v>
      </c>
      <c r="K249" s="307">
        <v>3896</v>
      </c>
      <c r="L249" s="308">
        <v>524.79999999999995</v>
      </c>
      <c r="M249" s="308">
        <v>0</v>
      </c>
      <c r="N249" s="308">
        <v>0</v>
      </c>
      <c r="O249" s="675">
        <f t="shared" si="27"/>
        <v>0</v>
      </c>
      <c r="P249" s="675">
        <f t="shared" si="28"/>
        <v>0</v>
      </c>
      <c r="Q249" s="206">
        <f t="shared" si="29"/>
        <v>0</v>
      </c>
      <c r="R249" s="683">
        <f t="shared" si="30"/>
        <v>524.79999999999995</v>
      </c>
    </row>
    <row r="250" spans="1:18" ht="12" thickBot="1">
      <c r="A250" s="197" t="s">
        <v>1213</v>
      </c>
      <c r="B250" s="192" t="s">
        <v>163</v>
      </c>
      <c r="C250" s="147" t="s">
        <v>299</v>
      </c>
      <c r="D250" s="205"/>
      <c r="E250" s="307">
        <v>17</v>
      </c>
      <c r="F250" s="307">
        <v>552</v>
      </c>
      <c r="G250" s="308">
        <v>153.34</v>
      </c>
      <c r="H250" s="308">
        <v>0</v>
      </c>
      <c r="I250" s="308">
        <v>0</v>
      </c>
      <c r="J250" s="307">
        <v>17</v>
      </c>
      <c r="K250" s="307">
        <v>552</v>
      </c>
      <c r="L250" s="308">
        <v>153.34</v>
      </c>
      <c r="M250" s="308">
        <v>0</v>
      </c>
      <c r="N250" s="308">
        <v>0</v>
      </c>
      <c r="O250" s="675">
        <f t="shared" si="27"/>
        <v>0</v>
      </c>
      <c r="P250" s="675">
        <f t="shared" si="28"/>
        <v>0</v>
      </c>
      <c r="Q250" s="206">
        <f t="shared" si="29"/>
        <v>0</v>
      </c>
      <c r="R250" s="683">
        <f t="shared" si="30"/>
        <v>153.34</v>
      </c>
    </row>
    <row r="251" spans="1:18" ht="12" thickBot="1">
      <c r="A251" s="197" t="s">
        <v>1213</v>
      </c>
      <c r="B251" s="192" t="s">
        <v>163</v>
      </c>
      <c r="C251" s="147" t="s">
        <v>377</v>
      </c>
      <c r="D251" s="205"/>
      <c r="E251" s="307">
        <v>36</v>
      </c>
      <c r="F251" s="307">
        <v>574</v>
      </c>
      <c r="G251" s="308">
        <v>860.04</v>
      </c>
      <c r="H251" s="308">
        <v>53.4</v>
      </c>
      <c r="I251" s="308">
        <v>0</v>
      </c>
      <c r="J251" s="307">
        <v>36</v>
      </c>
      <c r="K251" s="307">
        <v>574</v>
      </c>
      <c r="L251" s="308">
        <v>860.04</v>
      </c>
      <c r="M251" s="308">
        <v>0</v>
      </c>
      <c r="N251" s="308">
        <v>53.4</v>
      </c>
      <c r="O251" s="675">
        <f t="shared" si="27"/>
        <v>0</v>
      </c>
      <c r="P251" s="675">
        <f t="shared" si="28"/>
        <v>0</v>
      </c>
      <c r="Q251" s="206">
        <f t="shared" si="29"/>
        <v>0</v>
      </c>
      <c r="R251" s="683">
        <f t="shared" si="30"/>
        <v>913.43999999999994</v>
      </c>
    </row>
    <row r="252" spans="1:18" ht="12" thickBot="1">
      <c r="A252" s="197" t="s">
        <v>1213</v>
      </c>
      <c r="B252" s="192" t="s">
        <v>163</v>
      </c>
      <c r="C252" s="147" t="s">
        <v>737</v>
      </c>
      <c r="D252" s="205"/>
      <c r="E252" s="307">
        <v>4</v>
      </c>
      <c r="F252" s="307">
        <v>132</v>
      </c>
      <c r="G252" s="308">
        <v>99.6</v>
      </c>
      <c r="H252" s="308">
        <v>0</v>
      </c>
      <c r="I252" s="308">
        <v>0</v>
      </c>
      <c r="J252" s="307">
        <v>4</v>
      </c>
      <c r="K252" s="307">
        <v>132</v>
      </c>
      <c r="L252" s="308">
        <v>99.6</v>
      </c>
      <c r="M252" s="308">
        <v>0</v>
      </c>
      <c r="N252" s="308">
        <v>0</v>
      </c>
      <c r="O252" s="675">
        <f t="shared" si="27"/>
        <v>0</v>
      </c>
      <c r="P252" s="675">
        <f t="shared" si="28"/>
        <v>0</v>
      </c>
      <c r="Q252" s="206">
        <f t="shared" si="29"/>
        <v>0</v>
      </c>
      <c r="R252" s="683">
        <f t="shared" si="30"/>
        <v>99.6</v>
      </c>
    </row>
    <row r="253" spans="1:18" ht="12" thickBot="1">
      <c r="A253" s="197" t="s">
        <v>1213</v>
      </c>
      <c r="B253" s="192" t="s">
        <v>163</v>
      </c>
      <c r="C253" s="309" t="s">
        <v>329</v>
      </c>
      <c r="D253" s="205"/>
      <c r="E253" s="307">
        <v>226</v>
      </c>
      <c r="F253" s="307">
        <v>6050</v>
      </c>
      <c r="G253" s="308">
        <v>4472.54</v>
      </c>
      <c r="H253" s="308">
        <v>0</v>
      </c>
      <c r="I253" s="308">
        <v>0</v>
      </c>
      <c r="J253" s="307">
        <v>226</v>
      </c>
      <c r="K253" s="307">
        <v>6050</v>
      </c>
      <c r="L253" s="308">
        <v>4472.54</v>
      </c>
      <c r="M253" s="308">
        <v>0</v>
      </c>
      <c r="N253" s="308">
        <v>0</v>
      </c>
      <c r="O253" s="675">
        <f t="shared" si="27"/>
        <v>0</v>
      </c>
      <c r="P253" s="675">
        <f t="shared" si="28"/>
        <v>0</v>
      </c>
      <c r="Q253" s="206">
        <f t="shared" si="29"/>
        <v>0</v>
      </c>
      <c r="R253" s="683">
        <f t="shared" si="30"/>
        <v>4472.54</v>
      </c>
    </row>
    <row r="254" spans="1:18" ht="12" thickBot="1">
      <c r="A254" s="197" t="s">
        <v>1213</v>
      </c>
      <c r="B254" s="192" t="s">
        <v>163</v>
      </c>
      <c r="C254" s="147" t="s">
        <v>330</v>
      </c>
      <c r="D254" s="205"/>
      <c r="E254" s="307">
        <v>2095</v>
      </c>
      <c r="F254" s="307">
        <v>78570</v>
      </c>
      <c r="G254" s="308">
        <v>42926.549999999996</v>
      </c>
      <c r="H254" s="308">
        <v>11.31</v>
      </c>
      <c r="I254" s="308">
        <v>-6.1299999999973807</v>
      </c>
      <c r="J254" s="307">
        <v>2095</v>
      </c>
      <c r="K254" s="307">
        <v>78570</v>
      </c>
      <c r="L254" s="308">
        <v>42926.549999999996</v>
      </c>
      <c r="M254" s="308">
        <v>-6.1299999999973807</v>
      </c>
      <c r="N254" s="308">
        <v>11.31</v>
      </c>
      <c r="O254" s="675">
        <f t="shared" si="27"/>
        <v>0</v>
      </c>
      <c r="P254" s="675">
        <f t="shared" si="28"/>
        <v>0</v>
      </c>
      <c r="Q254" s="206">
        <f t="shared" si="29"/>
        <v>0</v>
      </c>
      <c r="R254" s="683">
        <f t="shared" si="30"/>
        <v>42931.729999999996</v>
      </c>
    </row>
    <row r="255" spans="1:18" ht="12" thickBot="1">
      <c r="A255" s="197" t="s">
        <v>1213</v>
      </c>
      <c r="B255" s="192" t="s">
        <v>163</v>
      </c>
      <c r="C255" s="147" t="s">
        <v>332</v>
      </c>
      <c r="D255" s="205"/>
      <c r="E255" s="307">
        <v>40</v>
      </c>
      <c r="F255" s="307">
        <v>961</v>
      </c>
      <c r="G255" s="308">
        <v>807.2</v>
      </c>
      <c r="H255" s="308">
        <v>0</v>
      </c>
      <c r="I255" s="308">
        <v>-67.27</v>
      </c>
      <c r="J255" s="307">
        <v>40</v>
      </c>
      <c r="K255" s="307">
        <v>961</v>
      </c>
      <c r="L255" s="308">
        <v>807.2</v>
      </c>
      <c r="M255" s="308">
        <v>-67.27</v>
      </c>
      <c r="N255" s="308">
        <v>0</v>
      </c>
      <c r="O255" s="675">
        <f t="shared" si="27"/>
        <v>0</v>
      </c>
      <c r="P255" s="675">
        <f t="shared" si="28"/>
        <v>0</v>
      </c>
      <c r="Q255" s="206">
        <f t="shared" si="29"/>
        <v>0</v>
      </c>
      <c r="R255" s="683">
        <f t="shared" si="30"/>
        <v>739.93000000000006</v>
      </c>
    </row>
    <row r="256" spans="1:18" ht="12" thickBot="1">
      <c r="A256" s="197" t="s">
        <v>1213</v>
      </c>
      <c r="B256" s="192" t="s">
        <v>163</v>
      </c>
      <c r="C256" s="147" t="s">
        <v>333</v>
      </c>
      <c r="D256" s="205"/>
      <c r="E256" s="307">
        <v>1848</v>
      </c>
      <c r="F256" s="307">
        <v>68475</v>
      </c>
      <c r="G256" s="308">
        <v>41690.879999999997</v>
      </c>
      <c r="H256" s="308">
        <v>19.55</v>
      </c>
      <c r="I256" s="308">
        <v>-417.36000000000058</v>
      </c>
      <c r="J256" s="307">
        <v>1848</v>
      </c>
      <c r="K256" s="307">
        <v>68475</v>
      </c>
      <c r="L256" s="308">
        <v>41690.879999999997</v>
      </c>
      <c r="M256" s="308">
        <v>-417.36000000000058</v>
      </c>
      <c r="N256" s="308">
        <v>19.55</v>
      </c>
      <c r="O256" s="675">
        <f t="shared" si="27"/>
        <v>0</v>
      </c>
      <c r="P256" s="675">
        <f t="shared" si="28"/>
        <v>0</v>
      </c>
      <c r="Q256" s="206">
        <f t="shared" si="29"/>
        <v>0</v>
      </c>
      <c r="R256" s="683">
        <f t="shared" si="30"/>
        <v>41293.07</v>
      </c>
    </row>
    <row r="257" spans="1:18" ht="12" thickBot="1">
      <c r="A257" s="197" t="s">
        <v>1213</v>
      </c>
      <c r="B257" s="192" t="s">
        <v>163</v>
      </c>
      <c r="C257" s="147" t="s">
        <v>334</v>
      </c>
      <c r="D257" s="205"/>
      <c r="E257" s="307">
        <v>40</v>
      </c>
      <c r="F257" s="307">
        <v>1478</v>
      </c>
      <c r="G257" s="308">
        <v>947.2</v>
      </c>
      <c r="H257" s="308">
        <v>0</v>
      </c>
      <c r="I257" s="308">
        <v>0</v>
      </c>
      <c r="J257" s="307">
        <v>40</v>
      </c>
      <c r="K257" s="307">
        <v>1478</v>
      </c>
      <c r="L257" s="308">
        <v>947.2</v>
      </c>
      <c r="M257" s="308">
        <v>0</v>
      </c>
      <c r="N257" s="308">
        <v>0</v>
      </c>
      <c r="O257" s="675">
        <f t="shared" si="27"/>
        <v>0</v>
      </c>
      <c r="P257" s="675">
        <f t="shared" si="28"/>
        <v>0</v>
      </c>
      <c r="Q257" s="206">
        <f t="shared" si="29"/>
        <v>0</v>
      </c>
      <c r="R257" s="683">
        <f t="shared" si="30"/>
        <v>947.2</v>
      </c>
    </row>
    <row r="258" spans="1:18" ht="12" thickBot="1">
      <c r="A258" s="197" t="s">
        <v>1213</v>
      </c>
      <c r="B258" s="192" t="s">
        <v>163</v>
      </c>
      <c r="C258" s="147" t="s">
        <v>336</v>
      </c>
      <c r="D258" s="205"/>
      <c r="E258" s="307">
        <v>113</v>
      </c>
      <c r="F258" s="307">
        <v>6422</v>
      </c>
      <c r="G258" s="308">
        <v>2799.01</v>
      </c>
      <c r="H258" s="308">
        <v>0</v>
      </c>
      <c r="I258" s="308">
        <v>0</v>
      </c>
      <c r="J258" s="307">
        <v>113</v>
      </c>
      <c r="K258" s="307">
        <v>6422</v>
      </c>
      <c r="L258" s="308">
        <v>2799.01</v>
      </c>
      <c r="M258" s="308">
        <v>0</v>
      </c>
      <c r="N258" s="308">
        <v>0</v>
      </c>
      <c r="O258" s="675">
        <f t="shared" si="27"/>
        <v>0</v>
      </c>
      <c r="P258" s="675">
        <f t="shared" si="28"/>
        <v>0</v>
      </c>
      <c r="Q258" s="206">
        <f t="shared" si="29"/>
        <v>0</v>
      </c>
      <c r="R258" s="683">
        <f t="shared" si="30"/>
        <v>2799.01</v>
      </c>
    </row>
    <row r="259" spans="1:18" ht="12" thickBot="1">
      <c r="A259" s="197" t="s">
        <v>1213</v>
      </c>
      <c r="B259" s="192" t="s">
        <v>163</v>
      </c>
      <c r="C259" s="147" t="s">
        <v>337</v>
      </c>
      <c r="D259" s="205"/>
      <c r="E259" s="307">
        <v>54</v>
      </c>
      <c r="F259" s="307">
        <v>3094</v>
      </c>
      <c r="G259" s="308">
        <v>1614.06</v>
      </c>
      <c r="H259" s="308">
        <v>0</v>
      </c>
      <c r="I259" s="308">
        <v>0</v>
      </c>
      <c r="J259" s="307">
        <v>54</v>
      </c>
      <c r="K259" s="307">
        <v>3094</v>
      </c>
      <c r="L259" s="308">
        <v>1614.06</v>
      </c>
      <c r="M259" s="308">
        <v>0</v>
      </c>
      <c r="N259" s="308">
        <v>0</v>
      </c>
      <c r="O259" s="675">
        <f t="shared" si="27"/>
        <v>0</v>
      </c>
      <c r="P259" s="675">
        <f t="shared" si="28"/>
        <v>0</v>
      </c>
      <c r="Q259" s="206">
        <f t="shared" si="29"/>
        <v>0</v>
      </c>
      <c r="R259" s="683">
        <f t="shared" si="30"/>
        <v>1614.06</v>
      </c>
    </row>
    <row r="260" spans="1:18" ht="12" thickBot="1">
      <c r="A260" s="197" t="s">
        <v>1213</v>
      </c>
      <c r="B260" s="192" t="s">
        <v>163</v>
      </c>
      <c r="C260" s="147" t="s">
        <v>338</v>
      </c>
      <c r="D260" s="205"/>
      <c r="E260" s="307">
        <v>185</v>
      </c>
      <c r="F260" s="307">
        <v>17471</v>
      </c>
      <c r="G260" s="308">
        <v>6079.1</v>
      </c>
      <c r="H260" s="308">
        <v>0</v>
      </c>
      <c r="I260" s="308">
        <v>-50.39</v>
      </c>
      <c r="J260" s="307">
        <v>185</v>
      </c>
      <c r="K260" s="307">
        <v>17471</v>
      </c>
      <c r="L260" s="308">
        <v>6079.1</v>
      </c>
      <c r="M260" s="308">
        <v>-50.39</v>
      </c>
      <c r="N260" s="308">
        <v>0</v>
      </c>
      <c r="O260" s="675">
        <f t="shared" si="27"/>
        <v>0</v>
      </c>
      <c r="P260" s="675">
        <f t="shared" si="28"/>
        <v>0</v>
      </c>
      <c r="Q260" s="206">
        <f t="shared" si="29"/>
        <v>0</v>
      </c>
      <c r="R260" s="683">
        <f t="shared" si="30"/>
        <v>6028.71</v>
      </c>
    </row>
    <row r="261" spans="1:18" ht="12" thickBot="1">
      <c r="A261" s="197" t="s">
        <v>1213</v>
      </c>
      <c r="B261" s="192" t="s">
        <v>163</v>
      </c>
      <c r="C261" s="147" t="s">
        <v>339</v>
      </c>
      <c r="D261" s="205"/>
      <c r="E261" s="307">
        <v>398</v>
      </c>
      <c r="F261" s="307">
        <v>59541</v>
      </c>
      <c r="G261" s="308">
        <v>15279.22</v>
      </c>
      <c r="H261" s="308">
        <v>0</v>
      </c>
      <c r="I261" s="308">
        <v>-39.670000000000073</v>
      </c>
      <c r="J261" s="307">
        <v>398</v>
      </c>
      <c r="K261" s="307">
        <v>59541</v>
      </c>
      <c r="L261" s="308">
        <v>15279.22</v>
      </c>
      <c r="M261" s="308">
        <v>-39.670000000000073</v>
      </c>
      <c r="N261" s="308">
        <v>0</v>
      </c>
      <c r="O261" s="675">
        <f t="shared" si="27"/>
        <v>0</v>
      </c>
      <c r="P261" s="675">
        <f t="shared" si="28"/>
        <v>0</v>
      </c>
      <c r="Q261" s="206">
        <f t="shared" si="29"/>
        <v>0</v>
      </c>
      <c r="R261" s="683">
        <f t="shared" si="30"/>
        <v>15239.55</v>
      </c>
    </row>
    <row r="262" spans="1:18" ht="12" thickBot="1">
      <c r="A262" s="197" t="s">
        <v>1213</v>
      </c>
      <c r="B262" s="192" t="s">
        <v>163</v>
      </c>
      <c r="C262" s="147" t="s">
        <v>340</v>
      </c>
      <c r="D262" s="205"/>
      <c r="E262" s="307">
        <v>17</v>
      </c>
      <c r="F262" s="307">
        <v>990</v>
      </c>
      <c r="G262" s="308">
        <v>447.95</v>
      </c>
      <c r="H262" s="308">
        <v>0</v>
      </c>
      <c r="I262" s="308">
        <v>0</v>
      </c>
      <c r="J262" s="307">
        <v>17</v>
      </c>
      <c r="K262" s="307">
        <v>990</v>
      </c>
      <c r="L262" s="308">
        <v>447.95</v>
      </c>
      <c r="M262" s="308">
        <v>0</v>
      </c>
      <c r="N262" s="308">
        <v>0</v>
      </c>
      <c r="O262" s="675">
        <f t="shared" si="27"/>
        <v>0</v>
      </c>
      <c r="P262" s="675">
        <f t="shared" si="28"/>
        <v>0</v>
      </c>
      <c r="Q262" s="206">
        <f t="shared" si="29"/>
        <v>0</v>
      </c>
      <c r="R262" s="683">
        <f t="shared" si="30"/>
        <v>447.95</v>
      </c>
    </row>
    <row r="263" spans="1:18" ht="12" thickBot="1">
      <c r="A263" s="197" t="s">
        <v>1213</v>
      </c>
      <c r="B263" s="192" t="s">
        <v>163</v>
      </c>
      <c r="C263" s="147" t="s">
        <v>341</v>
      </c>
      <c r="D263" s="205"/>
      <c r="E263" s="307">
        <v>439</v>
      </c>
      <c r="F263" s="307">
        <v>42565</v>
      </c>
      <c r="G263" s="308">
        <v>12489.55</v>
      </c>
      <c r="H263" s="308">
        <v>0</v>
      </c>
      <c r="I263" s="308">
        <v>214.25</v>
      </c>
      <c r="J263" s="307">
        <v>439</v>
      </c>
      <c r="K263" s="307">
        <v>42565</v>
      </c>
      <c r="L263" s="308">
        <v>12489.55</v>
      </c>
      <c r="M263" s="308">
        <v>214.25</v>
      </c>
      <c r="N263" s="308">
        <v>0</v>
      </c>
      <c r="O263" s="675">
        <f t="shared" si="27"/>
        <v>0</v>
      </c>
      <c r="P263" s="675">
        <f t="shared" si="28"/>
        <v>0</v>
      </c>
      <c r="Q263" s="206">
        <f t="shared" si="29"/>
        <v>0</v>
      </c>
      <c r="R263" s="683">
        <f t="shared" si="30"/>
        <v>12703.8</v>
      </c>
    </row>
    <row r="264" spans="1:18" ht="12" thickBot="1">
      <c r="A264" s="197" t="s">
        <v>1213</v>
      </c>
      <c r="B264" s="192" t="s">
        <v>163</v>
      </c>
      <c r="C264" s="147" t="s">
        <v>342</v>
      </c>
      <c r="D264" s="205"/>
      <c r="E264" s="307">
        <v>35</v>
      </c>
      <c r="F264" s="307">
        <v>5288</v>
      </c>
      <c r="G264" s="308">
        <v>1191.05</v>
      </c>
      <c r="H264" s="308">
        <v>0</v>
      </c>
      <c r="I264" s="308">
        <v>0</v>
      </c>
      <c r="J264" s="307">
        <v>35</v>
      </c>
      <c r="K264" s="307">
        <v>5288</v>
      </c>
      <c r="L264" s="308">
        <v>1191.05</v>
      </c>
      <c r="M264" s="308">
        <v>0</v>
      </c>
      <c r="N264" s="308">
        <v>0</v>
      </c>
      <c r="O264" s="675">
        <f t="shared" si="27"/>
        <v>0</v>
      </c>
      <c r="P264" s="675">
        <f t="shared" si="28"/>
        <v>0</v>
      </c>
      <c r="Q264" s="206">
        <f t="shared" si="29"/>
        <v>0</v>
      </c>
      <c r="R264" s="683">
        <f t="shared" si="30"/>
        <v>1191.05</v>
      </c>
    </row>
    <row r="265" spans="1:18" ht="12" thickBot="1">
      <c r="A265" s="197" t="s">
        <v>1213</v>
      </c>
      <c r="B265" s="192" t="s">
        <v>163</v>
      </c>
      <c r="C265" s="309" t="s">
        <v>343</v>
      </c>
      <c r="D265" s="205"/>
      <c r="E265" s="307">
        <v>41</v>
      </c>
      <c r="F265" s="307">
        <v>1065</v>
      </c>
      <c r="G265" s="308">
        <v>1362.02</v>
      </c>
      <c r="H265" s="308">
        <v>21.36</v>
      </c>
      <c r="I265" s="308">
        <v>0</v>
      </c>
      <c r="J265" s="307">
        <v>41</v>
      </c>
      <c r="K265" s="307">
        <v>1065</v>
      </c>
      <c r="L265" s="308">
        <v>1362.02</v>
      </c>
      <c r="M265" s="308">
        <v>0</v>
      </c>
      <c r="N265" s="308">
        <v>21.36</v>
      </c>
      <c r="O265" s="675">
        <f t="shared" si="27"/>
        <v>0</v>
      </c>
      <c r="P265" s="675">
        <f t="shared" si="28"/>
        <v>0</v>
      </c>
      <c r="Q265" s="206">
        <f t="shared" si="29"/>
        <v>0</v>
      </c>
      <c r="R265" s="683">
        <f t="shared" si="30"/>
        <v>1383.3799999999999</v>
      </c>
    </row>
    <row r="266" spans="1:18" ht="12" thickBot="1">
      <c r="A266" s="197" t="s">
        <v>1213</v>
      </c>
      <c r="B266" s="192" t="s">
        <v>163</v>
      </c>
      <c r="C266" s="147" t="s">
        <v>344</v>
      </c>
      <c r="D266" s="205"/>
      <c r="E266" s="307">
        <v>53</v>
      </c>
      <c r="F266" s="307">
        <v>1376</v>
      </c>
      <c r="G266" s="308">
        <v>1865.6</v>
      </c>
      <c r="H266" s="308">
        <v>50.86</v>
      </c>
      <c r="I266" s="308">
        <v>0</v>
      </c>
      <c r="J266" s="307">
        <v>53</v>
      </c>
      <c r="K266" s="307">
        <v>1376</v>
      </c>
      <c r="L266" s="308">
        <v>1865.6</v>
      </c>
      <c r="M266" s="308">
        <v>0</v>
      </c>
      <c r="N266" s="308">
        <v>50.86</v>
      </c>
      <c r="O266" s="675">
        <f t="shared" si="27"/>
        <v>0</v>
      </c>
      <c r="P266" s="675">
        <f t="shared" si="28"/>
        <v>0</v>
      </c>
      <c r="Q266" s="206">
        <f t="shared" si="29"/>
        <v>0</v>
      </c>
      <c r="R266" s="683">
        <f t="shared" si="30"/>
        <v>1916.4599999999998</v>
      </c>
    </row>
    <row r="267" spans="1:18" ht="12" thickBot="1">
      <c r="A267" s="197" t="s">
        <v>1213</v>
      </c>
      <c r="B267" s="192" t="s">
        <v>163</v>
      </c>
      <c r="C267" s="147" t="s">
        <v>345</v>
      </c>
      <c r="D267" s="205"/>
      <c r="E267" s="307">
        <v>208</v>
      </c>
      <c r="F267" s="307">
        <v>7638</v>
      </c>
      <c r="G267" s="308">
        <v>7090.72</v>
      </c>
      <c r="H267" s="308">
        <v>266.27000000000004</v>
      </c>
      <c r="I267" s="308">
        <v>0</v>
      </c>
      <c r="J267" s="307">
        <v>208</v>
      </c>
      <c r="K267" s="307">
        <v>7638</v>
      </c>
      <c r="L267" s="308">
        <v>7090.72</v>
      </c>
      <c r="M267" s="308">
        <v>0</v>
      </c>
      <c r="N267" s="308">
        <v>266.27000000000004</v>
      </c>
      <c r="O267" s="675">
        <f t="shared" si="27"/>
        <v>0</v>
      </c>
      <c r="P267" s="675">
        <f t="shared" si="28"/>
        <v>0</v>
      </c>
      <c r="Q267" s="206">
        <f t="shared" si="29"/>
        <v>0</v>
      </c>
      <c r="R267" s="683">
        <f t="shared" si="30"/>
        <v>7356.9900000000007</v>
      </c>
    </row>
    <row r="268" spans="1:18" ht="12" thickBot="1">
      <c r="A268" s="197" t="s">
        <v>1213</v>
      </c>
      <c r="B268" s="192" t="s">
        <v>163</v>
      </c>
      <c r="C268" s="147" t="s">
        <v>346</v>
      </c>
      <c r="D268" s="205"/>
      <c r="E268" s="307">
        <v>225</v>
      </c>
      <c r="F268" s="307">
        <v>7121</v>
      </c>
      <c r="G268" s="308">
        <v>8115.75</v>
      </c>
      <c r="H268" s="308">
        <v>669.75</v>
      </c>
      <c r="I268" s="308">
        <v>-807.96</v>
      </c>
      <c r="J268" s="307">
        <v>225</v>
      </c>
      <c r="K268" s="307">
        <v>7121</v>
      </c>
      <c r="L268" s="308">
        <v>8115.75</v>
      </c>
      <c r="M268" s="308">
        <v>-807.96</v>
      </c>
      <c r="N268" s="308">
        <v>669.75</v>
      </c>
      <c r="O268" s="675">
        <f t="shared" si="27"/>
        <v>0</v>
      </c>
      <c r="P268" s="675">
        <f t="shared" si="28"/>
        <v>0</v>
      </c>
      <c r="Q268" s="206">
        <f t="shared" si="29"/>
        <v>0</v>
      </c>
      <c r="R268" s="683">
        <f t="shared" si="30"/>
        <v>7977.54</v>
      </c>
    </row>
    <row r="269" spans="1:18" ht="12" thickBot="1">
      <c r="A269" s="197" t="s">
        <v>1213</v>
      </c>
      <c r="B269" s="192" t="s">
        <v>163</v>
      </c>
      <c r="C269" s="147" t="s">
        <v>347</v>
      </c>
      <c r="D269" s="205"/>
      <c r="E269" s="307">
        <v>13</v>
      </c>
      <c r="F269" s="307">
        <v>349</v>
      </c>
      <c r="G269" s="308">
        <v>419.38</v>
      </c>
      <c r="H269" s="308">
        <v>0</v>
      </c>
      <c r="I269" s="308">
        <v>0</v>
      </c>
      <c r="J269" s="307">
        <v>13</v>
      </c>
      <c r="K269" s="307">
        <v>349</v>
      </c>
      <c r="L269" s="308">
        <v>419.38</v>
      </c>
      <c r="M269" s="308">
        <v>0</v>
      </c>
      <c r="N269" s="308">
        <v>0</v>
      </c>
      <c r="O269" s="675">
        <f t="shared" si="27"/>
        <v>0</v>
      </c>
      <c r="P269" s="675">
        <f t="shared" si="28"/>
        <v>0</v>
      </c>
      <c r="Q269" s="206">
        <f t="shared" si="29"/>
        <v>0</v>
      </c>
      <c r="R269" s="683">
        <f t="shared" si="30"/>
        <v>419.38</v>
      </c>
    </row>
    <row r="270" spans="1:18" ht="12" thickBot="1">
      <c r="A270" s="197" t="s">
        <v>1213</v>
      </c>
      <c r="B270" s="192" t="s">
        <v>163</v>
      </c>
      <c r="C270" s="147" t="s">
        <v>348</v>
      </c>
      <c r="D270" s="205"/>
      <c r="E270" s="307">
        <v>45</v>
      </c>
      <c r="F270" s="307">
        <v>1195</v>
      </c>
      <c r="G270" s="308">
        <v>1481.85</v>
      </c>
      <c r="H270" s="308">
        <v>165.98</v>
      </c>
      <c r="I270" s="308">
        <v>0</v>
      </c>
      <c r="J270" s="307">
        <v>45</v>
      </c>
      <c r="K270" s="307">
        <v>1195</v>
      </c>
      <c r="L270" s="308">
        <v>1481.85</v>
      </c>
      <c r="M270" s="308">
        <v>0</v>
      </c>
      <c r="N270" s="308">
        <v>165.98</v>
      </c>
      <c r="O270" s="675">
        <f t="shared" si="27"/>
        <v>0</v>
      </c>
      <c r="P270" s="675">
        <f t="shared" si="28"/>
        <v>0</v>
      </c>
      <c r="Q270" s="206">
        <f t="shared" si="29"/>
        <v>0</v>
      </c>
      <c r="R270" s="683">
        <f t="shared" si="30"/>
        <v>1647.83</v>
      </c>
    </row>
    <row r="271" spans="1:18" ht="12" thickBot="1">
      <c r="A271" s="197" t="s">
        <v>1213</v>
      </c>
      <c r="B271" s="192" t="s">
        <v>163</v>
      </c>
      <c r="C271" s="147" t="s">
        <v>376</v>
      </c>
      <c r="D271" s="205"/>
      <c r="E271" s="307">
        <v>10</v>
      </c>
      <c r="F271" s="307">
        <v>369</v>
      </c>
      <c r="G271" s="308">
        <v>343.3</v>
      </c>
      <c r="H271" s="308">
        <v>3.47</v>
      </c>
      <c r="I271" s="308">
        <v>0</v>
      </c>
      <c r="J271" s="307">
        <v>10</v>
      </c>
      <c r="K271" s="307">
        <v>369</v>
      </c>
      <c r="L271" s="308">
        <v>343.3</v>
      </c>
      <c r="M271" s="308">
        <v>0</v>
      </c>
      <c r="N271" s="308">
        <v>3.47</v>
      </c>
      <c r="O271" s="675">
        <f t="shared" si="27"/>
        <v>0</v>
      </c>
      <c r="P271" s="675">
        <f t="shared" si="28"/>
        <v>0</v>
      </c>
      <c r="Q271" s="206">
        <f t="shared" si="29"/>
        <v>0</v>
      </c>
      <c r="R271" s="683">
        <f t="shared" si="30"/>
        <v>346.77000000000004</v>
      </c>
    </row>
    <row r="272" spans="1:18" ht="12" thickBot="1">
      <c r="A272" s="197" t="s">
        <v>1213</v>
      </c>
      <c r="B272" s="192" t="s">
        <v>163</v>
      </c>
      <c r="C272" s="147" t="s">
        <v>349</v>
      </c>
      <c r="D272" s="205"/>
      <c r="E272" s="307">
        <v>195</v>
      </c>
      <c r="F272" s="307">
        <v>7371</v>
      </c>
      <c r="G272" s="308">
        <v>6823.05</v>
      </c>
      <c r="H272" s="308">
        <v>932.68999999999994</v>
      </c>
      <c r="I272" s="308">
        <v>0</v>
      </c>
      <c r="J272" s="307">
        <v>195</v>
      </c>
      <c r="K272" s="307">
        <v>7371</v>
      </c>
      <c r="L272" s="308">
        <v>6823.05</v>
      </c>
      <c r="M272" s="308">
        <v>0</v>
      </c>
      <c r="N272" s="308">
        <v>932.68999999999994</v>
      </c>
      <c r="O272" s="675">
        <f t="shared" si="27"/>
        <v>0</v>
      </c>
      <c r="P272" s="675">
        <f t="shared" si="28"/>
        <v>0</v>
      </c>
      <c r="Q272" s="206">
        <f t="shared" si="29"/>
        <v>0</v>
      </c>
      <c r="R272" s="683">
        <f t="shared" si="30"/>
        <v>7755.74</v>
      </c>
    </row>
    <row r="273" spans="1:18" ht="12" thickBot="1">
      <c r="A273" s="197" t="s">
        <v>1213</v>
      </c>
      <c r="B273" s="192" t="s">
        <v>163</v>
      </c>
      <c r="C273" s="147" t="s">
        <v>730</v>
      </c>
      <c r="D273" s="205"/>
      <c r="E273" s="307">
        <v>2</v>
      </c>
      <c r="F273" s="307">
        <v>188</v>
      </c>
      <c r="G273" s="308">
        <v>36.56</v>
      </c>
      <c r="H273" s="308">
        <v>0</v>
      </c>
      <c r="I273" s="308">
        <v>0</v>
      </c>
      <c r="J273" s="307">
        <v>2</v>
      </c>
      <c r="K273" s="307">
        <v>188</v>
      </c>
      <c r="L273" s="308">
        <v>36.56</v>
      </c>
      <c r="M273" s="308">
        <v>0</v>
      </c>
      <c r="N273" s="308">
        <v>0</v>
      </c>
      <c r="O273" s="675">
        <f t="shared" si="27"/>
        <v>0</v>
      </c>
      <c r="P273" s="675">
        <f t="shared" si="28"/>
        <v>0</v>
      </c>
      <c r="Q273" s="206">
        <f t="shared" si="29"/>
        <v>0</v>
      </c>
      <c r="R273" s="683">
        <f t="shared" si="30"/>
        <v>36.56</v>
      </c>
    </row>
    <row r="274" spans="1:18" ht="12" thickBot="1">
      <c r="A274" s="197" t="s">
        <v>1213</v>
      </c>
      <c r="B274" s="192" t="s">
        <v>163</v>
      </c>
      <c r="C274" s="147" t="s">
        <v>378</v>
      </c>
      <c r="D274" s="205"/>
      <c r="E274" s="307">
        <v>14</v>
      </c>
      <c r="F274" s="307">
        <v>2010</v>
      </c>
      <c r="G274" s="308">
        <v>312.48</v>
      </c>
      <c r="H274" s="308">
        <v>0</v>
      </c>
      <c r="I274" s="308">
        <v>-14.14</v>
      </c>
      <c r="J274" s="307">
        <v>14</v>
      </c>
      <c r="K274" s="307">
        <v>2010</v>
      </c>
      <c r="L274" s="308">
        <v>312.48</v>
      </c>
      <c r="M274" s="308">
        <v>-14.14</v>
      </c>
      <c r="N274" s="308">
        <v>0</v>
      </c>
      <c r="O274" s="675">
        <f t="shared" si="27"/>
        <v>0</v>
      </c>
      <c r="P274" s="675">
        <f t="shared" si="28"/>
        <v>0</v>
      </c>
      <c r="Q274" s="206">
        <f t="shared" si="29"/>
        <v>0</v>
      </c>
      <c r="R274" s="683">
        <f t="shared" si="30"/>
        <v>298.34000000000003</v>
      </c>
    </row>
    <row r="275" spans="1:18" ht="12" thickBot="1">
      <c r="A275" s="197" t="s">
        <v>1213</v>
      </c>
      <c r="B275" s="192" t="s">
        <v>163</v>
      </c>
      <c r="C275" s="309" t="s">
        <v>354</v>
      </c>
      <c r="D275" s="205"/>
      <c r="E275" s="307">
        <v>6609</v>
      </c>
      <c r="F275" s="307">
        <v>384941</v>
      </c>
      <c r="G275" s="308">
        <v>84727.37999999999</v>
      </c>
      <c r="H275" s="308">
        <v>1142.32</v>
      </c>
      <c r="I275" s="308">
        <v>-92.099999999996712</v>
      </c>
      <c r="J275" s="307">
        <v>6609</v>
      </c>
      <c r="K275" s="307">
        <v>384941</v>
      </c>
      <c r="L275" s="308">
        <v>84727.37999999999</v>
      </c>
      <c r="M275" s="308">
        <v>-92.099999999996712</v>
      </c>
      <c r="N275" s="308">
        <v>1142.32</v>
      </c>
      <c r="O275" s="675">
        <f t="shared" si="27"/>
        <v>0</v>
      </c>
      <c r="P275" s="675">
        <f t="shared" si="28"/>
        <v>0</v>
      </c>
      <c r="Q275" s="206">
        <f t="shared" si="29"/>
        <v>0</v>
      </c>
      <c r="R275" s="683">
        <f t="shared" si="30"/>
        <v>85777.600000000006</v>
      </c>
    </row>
    <row r="276" spans="1:18" ht="12" thickBot="1">
      <c r="A276" s="197" t="s">
        <v>1213</v>
      </c>
      <c r="B276" s="192" t="s">
        <v>163</v>
      </c>
      <c r="C276" s="147" t="s">
        <v>355</v>
      </c>
      <c r="D276" s="205"/>
      <c r="E276" s="307">
        <v>9302</v>
      </c>
      <c r="F276" s="307">
        <v>887221</v>
      </c>
      <c r="G276" s="308">
        <v>140274.16</v>
      </c>
      <c r="H276" s="308">
        <v>1123.08</v>
      </c>
      <c r="I276" s="308">
        <v>370.42999999999392</v>
      </c>
      <c r="J276" s="307">
        <v>9302</v>
      </c>
      <c r="K276" s="307">
        <v>887221</v>
      </c>
      <c r="L276" s="308">
        <v>140274.16</v>
      </c>
      <c r="M276" s="308">
        <v>370.42999999999392</v>
      </c>
      <c r="N276" s="308">
        <v>1123.08</v>
      </c>
      <c r="O276" s="675">
        <f t="shared" si="27"/>
        <v>0</v>
      </c>
      <c r="P276" s="675">
        <f t="shared" si="28"/>
        <v>0</v>
      </c>
      <c r="Q276" s="206">
        <f t="shared" si="29"/>
        <v>0</v>
      </c>
      <c r="R276" s="683">
        <f t="shared" si="30"/>
        <v>141767.66999999998</v>
      </c>
    </row>
    <row r="277" spans="1:18" ht="12" thickBot="1">
      <c r="A277" s="197" t="s">
        <v>1213</v>
      </c>
      <c r="B277" s="192" t="s">
        <v>163</v>
      </c>
      <c r="C277" s="147" t="s">
        <v>356</v>
      </c>
      <c r="D277" s="205"/>
      <c r="E277" s="307">
        <v>5593</v>
      </c>
      <c r="F277" s="307">
        <v>842859</v>
      </c>
      <c r="G277" s="308">
        <v>97206.34</v>
      </c>
      <c r="H277" s="308">
        <v>2816.9000000000005</v>
      </c>
      <c r="I277" s="308">
        <v>-98.800000000004729</v>
      </c>
      <c r="J277" s="307">
        <v>5593</v>
      </c>
      <c r="K277" s="307">
        <v>842859</v>
      </c>
      <c r="L277" s="308">
        <v>97206.34</v>
      </c>
      <c r="M277" s="308">
        <v>-98.800000000004729</v>
      </c>
      <c r="N277" s="308">
        <v>2816.9000000000005</v>
      </c>
      <c r="O277" s="675">
        <f t="shared" si="27"/>
        <v>0</v>
      </c>
      <c r="P277" s="675">
        <f t="shared" si="28"/>
        <v>0</v>
      </c>
      <c r="Q277" s="206">
        <f t="shared" si="29"/>
        <v>0</v>
      </c>
      <c r="R277" s="683">
        <f t="shared" si="30"/>
        <v>99924.439999999988</v>
      </c>
    </row>
    <row r="278" spans="1:18" ht="12" thickBot="1">
      <c r="A278" s="197" t="s">
        <v>1213</v>
      </c>
      <c r="B278" s="192" t="s">
        <v>163</v>
      </c>
      <c r="C278" s="147" t="s">
        <v>357</v>
      </c>
      <c r="D278" s="205"/>
      <c r="E278" s="307">
        <v>409</v>
      </c>
      <c r="F278" s="307">
        <v>23448</v>
      </c>
      <c r="G278" s="308">
        <v>5631.93</v>
      </c>
      <c r="H278" s="308">
        <v>206.94</v>
      </c>
      <c r="I278" s="308">
        <v>-41.770000000000181</v>
      </c>
      <c r="J278" s="307">
        <v>409</v>
      </c>
      <c r="K278" s="307">
        <v>23448</v>
      </c>
      <c r="L278" s="308">
        <v>5631.93</v>
      </c>
      <c r="M278" s="308">
        <v>-41.770000000000181</v>
      </c>
      <c r="N278" s="308">
        <v>206.94</v>
      </c>
      <c r="O278" s="675">
        <f t="shared" si="27"/>
        <v>0</v>
      </c>
      <c r="P278" s="675">
        <f t="shared" si="28"/>
        <v>0</v>
      </c>
      <c r="Q278" s="206">
        <f t="shared" si="29"/>
        <v>0</v>
      </c>
      <c r="R278" s="683">
        <f t="shared" si="30"/>
        <v>5797.0999999999995</v>
      </c>
    </row>
    <row r="279" spans="1:18" ht="12" thickBot="1">
      <c r="A279" s="197" t="s">
        <v>1213</v>
      </c>
      <c r="B279" s="192" t="s">
        <v>163</v>
      </c>
      <c r="C279" s="147" t="s">
        <v>358</v>
      </c>
      <c r="D279" s="205"/>
      <c r="E279" s="307">
        <v>13048</v>
      </c>
      <c r="F279" s="307">
        <v>1952909</v>
      </c>
      <c r="G279" s="308">
        <v>237604.08</v>
      </c>
      <c r="H279" s="308">
        <v>7769.41</v>
      </c>
      <c r="I279" s="308">
        <v>-567.72999999999388</v>
      </c>
      <c r="J279" s="307">
        <v>13048</v>
      </c>
      <c r="K279" s="307">
        <v>1952909</v>
      </c>
      <c r="L279" s="308">
        <v>237604.08</v>
      </c>
      <c r="M279" s="308">
        <v>-567.72999999999388</v>
      </c>
      <c r="N279" s="308">
        <v>7769.41</v>
      </c>
      <c r="O279" s="675">
        <f t="shared" si="27"/>
        <v>0</v>
      </c>
      <c r="P279" s="675">
        <f t="shared" si="28"/>
        <v>0</v>
      </c>
      <c r="Q279" s="206">
        <f t="shared" si="29"/>
        <v>0</v>
      </c>
      <c r="R279" s="683">
        <f t="shared" si="30"/>
        <v>244805.76000000001</v>
      </c>
    </row>
    <row r="280" spans="1:18" ht="12" thickBot="1">
      <c r="A280" s="197" t="s">
        <v>1213</v>
      </c>
      <c r="B280" s="192" t="s">
        <v>163</v>
      </c>
      <c r="C280" s="147" t="s">
        <v>359</v>
      </c>
      <c r="D280" s="205"/>
      <c r="E280" s="307">
        <v>3359</v>
      </c>
      <c r="F280" s="307">
        <v>125104</v>
      </c>
      <c r="G280" s="308">
        <v>36478.74</v>
      </c>
      <c r="H280" s="308">
        <v>1646.53</v>
      </c>
      <c r="I280" s="308">
        <v>-85.819999999995929</v>
      </c>
      <c r="J280" s="307">
        <v>3359</v>
      </c>
      <c r="K280" s="307">
        <v>125104</v>
      </c>
      <c r="L280" s="308">
        <v>36478.74</v>
      </c>
      <c r="M280" s="308">
        <v>-85.819999999995929</v>
      </c>
      <c r="N280" s="308">
        <v>1646.53</v>
      </c>
      <c r="O280" s="675">
        <f t="shared" si="27"/>
        <v>0</v>
      </c>
      <c r="P280" s="675">
        <f t="shared" si="28"/>
        <v>0</v>
      </c>
      <c r="Q280" s="206">
        <f t="shared" si="29"/>
        <v>0</v>
      </c>
      <c r="R280" s="683">
        <f t="shared" si="30"/>
        <v>38039.450000000004</v>
      </c>
    </row>
    <row r="281" spans="1:18" ht="12" thickBot="1">
      <c r="A281" s="197" t="s">
        <v>1213</v>
      </c>
      <c r="B281" s="192" t="s">
        <v>163</v>
      </c>
      <c r="C281" s="147" t="s">
        <v>360</v>
      </c>
      <c r="D281" s="205"/>
      <c r="E281" s="307">
        <v>5</v>
      </c>
      <c r="F281" s="307">
        <v>343</v>
      </c>
      <c r="G281" s="308">
        <v>55.65</v>
      </c>
      <c r="H281" s="308">
        <v>0</v>
      </c>
      <c r="I281" s="308">
        <v>0</v>
      </c>
      <c r="J281" s="307">
        <v>5</v>
      </c>
      <c r="K281" s="307">
        <v>343</v>
      </c>
      <c r="L281" s="308">
        <v>55.65</v>
      </c>
      <c r="M281" s="308">
        <v>0</v>
      </c>
      <c r="N281" s="308">
        <v>0</v>
      </c>
      <c r="O281" s="675">
        <f t="shared" si="27"/>
        <v>0</v>
      </c>
      <c r="P281" s="675">
        <f t="shared" si="28"/>
        <v>0</v>
      </c>
      <c r="Q281" s="206">
        <f t="shared" si="29"/>
        <v>0</v>
      </c>
      <c r="R281" s="683">
        <f t="shared" si="30"/>
        <v>55.65</v>
      </c>
    </row>
    <row r="282" spans="1:18" ht="12" thickBot="1">
      <c r="A282" s="197" t="s">
        <v>1213</v>
      </c>
      <c r="B282" s="192" t="s">
        <v>163</v>
      </c>
      <c r="C282" s="147" t="s">
        <v>365</v>
      </c>
      <c r="D282" s="205"/>
      <c r="E282" s="307">
        <v>22</v>
      </c>
      <c r="F282" s="307">
        <v>1039</v>
      </c>
      <c r="G282" s="308">
        <v>281.38</v>
      </c>
      <c r="H282" s="308">
        <v>4.12</v>
      </c>
      <c r="I282" s="308">
        <v>0</v>
      </c>
      <c r="J282" s="307">
        <v>22</v>
      </c>
      <c r="K282" s="307">
        <v>1039</v>
      </c>
      <c r="L282" s="308">
        <v>281.38</v>
      </c>
      <c r="M282" s="308">
        <v>0</v>
      </c>
      <c r="N282" s="308">
        <v>4.12</v>
      </c>
      <c r="O282" s="675">
        <f t="shared" si="27"/>
        <v>0</v>
      </c>
      <c r="P282" s="675">
        <f t="shared" si="28"/>
        <v>0</v>
      </c>
      <c r="Q282" s="206">
        <f t="shared" si="29"/>
        <v>0</v>
      </c>
      <c r="R282" s="683">
        <f t="shared" si="30"/>
        <v>285.5</v>
      </c>
    </row>
    <row r="283" spans="1:18" ht="12" thickBot="1">
      <c r="A283" s="197" t="s">
        <v>1213</v>
      </c>
      <c r="B283" s="192" t="s">
        <v>163</v>
      </c>
      <c r="C283" s="147" t="s">
        <v>366</v>
      </c>
      <c r="D283" s="205"/>
      <c r="E283" s="307">
        <v>2</v>
      </c>
      <c r="F283" s="307">
        <v>98</v>
      </c>
      <c r="G283" s="308">
        <v>30.14</v>
      </c>
      <c r="H283" s="308">
        <v>0</v>
      </c>
      <c r="I283" s="308">
        <v>0</v>
      </c>
      <c r="J283" s="307">
        <v>2</v>
      </c>
      <c r="K283" s="307">
        <v>98</v>
      </c>
      <c r="L283" s="308">
        <v>30.14</v>
      </c>
      <c r="M283" s="308">
        <v>0</v>
      </c>
      <c r="N283" s="308">
        <v>0</v>
      </c>
      <c r="O283" s="675">
        <f t="shared" si="27"/>
        <v>0</v>
      </c>
      <c r="P283" s="675">
        <f t="shared" si="28"/>
        <v>0</v>
      </c>
      <c r="Q283" s="206">
        <f t="shared" si="29"/>
        <v>0</v>
      </c>
      <c r="R283" s="683">
        <f t="shared" si="30"/>
        <v>30.14</v>
      </c>
    </row>
    <row r="284" spans="1:18" ht="12" thickBot="1">
      <c r="A284" s="197" t="s">
        <v>1213</v>
      </c>
      <c r="B284" s="192" t="s">
        <v>163</v>
      </c>
      <c r="C284" s="147" t="s">
        <v>367</v>
      </c>
      <c r="D284" s="205"/>
      <c r="E284" s="307">
        <v>510</v>
      </c>
      <c r="F284" s="307">
        <v>58271</v>
      </c>
      <c r="G284" s="308">
        <v>9526.8000000000011</v>
      </c>
      <c r="H284" s="308">
        <v>80.22</v>
      </c>
      <c r="I284" s="308">
        <v>-105.33000000000069</v>
      </c>
      <c r="J284" s="307">
        <v>510</v>
      </c>
      <c r="K284" s="307">
        <v>58271</v>
      </c>
      <c r="L284" s="308">
        <v>9526.8000000000011</v>
      </c>
      <c r="M284" s="308">
        <v>-105.33000000000069</v>
      </c>
      <c r="N284" s="308">
        <v>80.22</v>
      </c>
      <c r="O284" s="675">
        <f t="shared" si="27"/>
        <v>0</v>
      </c>
      <c r="P284" s="675">
        <f t="shared" si="28"/>
        <v>0</v>
      </c>
      <c r="Q284" s="206">
        <f t="shared" si="29"/>
        <v>0</v>
      </c>
      <c r="R284" s="683">
        <f t="shared" si="30"/>
        <v>9501.69</v>
      </c>
    </row>
    <row r="285" spans="1:18" ht="12" thickBot="1">
      <c r="A285" s="197" t="s">
        <v>1213</v>
      </c>
      <c r="B285" s="192" t="s">
        <v>163</v>
      </c>
      <c r="C285" s="147" t="s">
        <v>368</v>
      </c>
      <c r="D285" s="205"/>
      <c r="E285" s="307">
        <v>56</v>
      </c>
      <c r="F285" s="307">
        <v>6055</v>
      </c>
      <c r="G285" s="308">
        <v>1174.32</v>
      </c>
      <c r="H285" s="308">
        <v>26.740000000000002</v>
      </c>
      <c r="I285" s="308">
        <v>-29.3599999999999</v>
      </c>
      <c r="J285" s="307">
        <v>56</v>
      </c>
      <c r="K285" s="307">
        <v>6055</v>
      </c>
      <c r="L285" s="308">
        <v>1174.32</v>
      </c>
      <c r="M285" s="308">
        <v>-29.3599999999999</v>
      </c>
      <c r="N285" s="308">
        <v>26.740000000000002</v>
      </c>
      <c r="O285" s="675">
        <f t="shared" si="27"/>
        <v>0</v>
      </c>
      <c r="P285" s="675">
        <f t="shared" si="28"/>
        <v>0</v>
      </c>
      <c r="Q285" s="206">
        <f t="shared" si="29"/>
        <v>0</v>
      </c>
      <c r="R285" s="683">
        <f t="shared" si="30"/>
        <v>1171.7</v>
      </c>
    </row>
    <row r="286" spans="1:18" ht="12" thickBot="1">
      <c r="A286" s="197" t="s">
        <v>1213</v>
      </c>
      <c r="B286" s="192" t="s">
        <v>163</v>
      </c>
      <c r="C286" s="147" t="s">
        <v>369</v>
      </c>
      <c r="D286" s="205"/>
      <c r="E286" s="307">
        <v>2</v>
      </c>
      <c r="F286" s="307">
        <v>215</v>
      </c>
      <c r="G286" s="308">
        <v>56.84</v>
      </c>
      <c r="H286" s="308">
        <v>0</v>
      </c>
      <c r="I286" s="308">
        <v>0</v>
      </c>
      <c r="J286" s="307">
        <v>2</v>
      </c>
      <c r="K286" s="307">
        <v>215</v>
      </c>
      <c r="L286" s="308">
        <v>56.84</v>
      </c>
      <c r="M286" s="308">
        <v>0</v>
      </c>
      <c r="N286" s="308">
        <v>0</v>
      </c>
      <c r="O286" s="675">
        <f t="shared" ref="O286:O293" si="31">J286-E286</f>
        <v>0</v>
      </c>
      <c r="P286" s="675">
        <f t="shared" ref="P286:P293" si="32">K286-F286</f>
        <v>0</v>
      </c>
      <c r="Q286" s="206">
        <f t="shared" si="29"/>
        <v>0</v>
      </c>
      <c r="R286" s="683">
        <f t="shared" ref="R286:R293" si="33">SUM(G286:I286)</f>
        <v>56.84</v>
      </c>
    </row>
    <row r="287" spans="1:18" ht="12" thickBot="1">
      <c r="A287" s="197" t="s">
        <v>1213</v>
      </c>
      <c r="B287" s="192" t="s">
        <v>163</v>
      </c>
      <c r="C287" s="147" t="s">
        <v>370</v>
      </c>
      <c r="D287" s="205"/>
      <c r="E287" s="307">
        <v>391</v>
      </c>
      <c r="F287" s="307">
        <v>134495</v>
      </c>
      <c r="G287" s="308">
        <v>15483.6</v>
      </c>
      <c r="H287" s="308">
        <v>119.28</v>
      </c>
      <c r="I287" s="308">
        <v>-16.570000000000618</v>
      </c>
      <c r="J287" s="307">
        <v>391</v>
      </c>
      <c r="K287" s="307">
        <v>134495</v>
      </c>
      <c r="L287" s="308">
        <v>15483.6</v>
      </c>
      <c r="M287" s="308">
        <v>-16.570000000000618</v>
      </c>
      <c r="N287" s="308">
        <v>119.28</v>
      </c>
      <c r="O287" s="675">
        <f t="shared" si="31"/>
        <v>0</v>
      </c>
      <c r="P287" s="675">
        <f t="shared" si="32"/>
        <v>0</v>
      </c>
      <c r="Q287" s="206">
        <f t="shared" ref="Q287:Q293" si="34">G287-L287+I287-M287</f>
        <v>0</v>
      </c>
      <c r="R287" s="683">
        <f t="shared" si="33"/>
        <v>15586.310000000001</v>
      </c>
    </row>
    <row r="288" spans="1:18" ht="12" thickBot="1">
      <c r="A288" s="197" t="s">
        <v>1213</v>
      </c>
      <c r="B288" s="192" t="s">
        <v>163</v>
      </c>
      <c r="C288" s="147" t="s">
        <v>371</v>
      </c>
      <c r="D288" s="205"/>
      <c r="E288" s="307">
        <v>59</v>
      </c>
      <c r="F288" s="307">
        <v>20562</v>
      </c>
      <c r="G288" s="308">
        <v>2524.02</v>
      </c>
      <c r="H288" s="308">
        <v>33.93</v>
      </c>
      <c r="I288" s="308">
        <v>0</v>
      </c>
      <c r="J288" s="307">
        <v>59</v>
      </c>
      <c r="K288" s="307">
        <v>20562</v>
      </c>
      <c r="L288" s="308">
        <v>2524.02</v>
      </c>
      <c r="M288" s="308">
        <v>0</v>
      </c>
      <c r="N288" s="308">
        <v>33.93</v>
      </c>
      <c r="O288" s="675">
        <f t="shared" si="31"/>
        <v>0</v>
      </c>
      <c r="P288" s="675">
        <f t="shared" si="32"/>
        <v>0</v>
      </c>
      <c r="Q288" s="206">
        <f t="shared" si="34"/>
        <v>0</v>
      </c>
      <c r="R288" s="683">
        <f t="shared" si="33"/>
        <v>2557.9499999999998</v>
      </c>
    </row>
    <row r="289" spans="1:18" ht="12" thickBot="1">
      <c r="A289" s="197" t="s">
        <v>1213</v>
      </c>
      <c r="B289" s="192" t="s">
        <v>163</v>
      </c>
      <c r="C289" s="147" t="s">
        <v>659</v>
      </c>
      <c r="D289" s="205"/>
      <c r="E289" s="307">
        <v>18</v>
      </c>
      <c r="F289" s="307">
        <v>831</v>
      </c>
      <c r="G289" s="308">
        <v>428.94</v>
      </c>
      <c r="H289" s="308">
        <v>0</v>
      </c>
      <c r="I289" s="308">
        <v>0</v>
      </c>
      <c r="J289" s="307">
        <v>18</v>
      </c>
      <c r="K289" s="307">
        <v>831</v>
      </c>
      <c r="L289" s="308">
        <v>428.94</v>
      </c>
      <c r="M289" s="308">
        <v>0</v>
      </c>
      <c r="N289" s="308">
        <v>0</v>
      </c>
      <c r="O289" s="675">
        <f t="shared" si="31"/>
        <v>0</v>
      </c>
      <c r="P289" s="675">
        <f t="shared" si="32"/>
        <v>0</v>
      </c>
      <c r="Q289" s="206">
        <f t="shared" si="34"/>
        <v>0</v>
      </c>
      <c r="R289" s="683">
        <f t="shared" si="33"/>
        <v>428.94</v>
      </c>
    </row>
    <row r="290" spans="1:18" ht="12" thickBot="1">
      <c r="A290" s="197" t="s">
        <v>1213</v>
      </c>
      <c r="B290" s="192" t="s">
        <v>163</v>
      </c>
      <c r="C290" s="147" t="s">
        <v>399</v>
      </c>
      <c r="D290" s="205"/>
      <c r="E290" s="307">
        <v>4</v>
      </c>
      <c r="F290" s="307">
        <v>462</v>
      </c>
      <c r="G290" s="308">
        <v>81.84</v>
      </c>
      <c r="H290" s="308">
        <v>0</v>
      </c>
      <c r="I290" s="308">
        <v>0</v>
      </c>
      <c r="J290" s="307">
        <v>4</v>
      </c>
      <c r="K290" s="307">
        <v>462</v>
      </c>
      <c r="L290" s="308">
        <v>81.84</v>
      </c>
      <c r="M290" s="308">
        <v>0</v>
      </c>
      <c r="N290" s="308">
        <v>0</v>
      </c>
      <c r="O290" s="675">
        <f t="shared" si="31"/>
        <v>0</v>
      </c>
      <c r="P290" s="675">
        <f t="shared" si="32"/>
        <v>0</v>
      </c>
      <c r="Q290" s="206">
        <f t="shared" si="34"/>
        <v>0</v>
      </c>
      <c r="R290" s="683">
        <f t="shared" si="33"/>
        <v>81.84</v>
      </c>
    </row>
    <row r="291" spans="1:18" ht="12" thickBot="1">
      <c r="A291" s="197" t="s">
        <v>1213</v>
      </c>
      <c r="B291" s="192" t="s">
        <v>163</v>
      </c>
      <c r="C291" s="147" t="s">
        <v>372</v>
      </c>
      <c r="D291" s="205"/>
      <c r="E291" s="307">
        <v>41</v>
      </c>
      <c r="F291" s="307">
        <v>4655</v>
      </c>
      <c r="G291" s="308">
        <v>1238.6099999999999</v>
      </c>
      <c r="H291" s="308">
        <v>0</v>
      </c>
      <c r="I291" s="308">
        <v>0</v>
      </c>
      <c r="J291" s="307">
        <v>41</v>
      </c>
      <c r="K291" s="307">
        <v>4655</v>
      </c>
      <c r="L291" s="308">
        <v>1238.6099999999999</v>
      </c>
      <c r="M291" s="308">
        <v>0</v>
      </c>
      <c r="N291" s="308">
        <v>0</v>
      </c>
      <c r="O291" s="675">
        <f t="shared" si="31"/>
        <v>0</v>
      </c>
      <c r="P291" s="675">
        <f t="shared" si="32"/>
        <v>0</v>
      </c>
      <c r="Q291" s="206">
        <f t="shared" si="34"/>
        <v>0</v>
      </c>
      <c r="R291" s="683">
        <f t="shared" si="33"/>
        <v>1238.6099999999999</v>
      </c>
    </row>
    <row r="292" spans="1:18" ht="12" thickBot="1">
      <c r="A292" s="197" t="s">
        <v>1213</v>
      </c>
      <c r="B292" s="192" t="s">
        <v>163</v>
      </c>
      <c r="C292" s="147" t="s">
        <v>373</v>
      </c>
      <c r="D292" s="205"/>
      <c r="E292" s="307">
        <v>2</v>
      </c>
      <c r="F292" s="307">
        <v>674</v>
      </c>
      <c r="G292" s="308">
        <v>85.12</v>
      </c>
      <c r="H292" s="308">
        <v>0</v>
      </c>
      <c r="I292" s="308">
        <v>0</v>
      </c>
      <c r="J292" s="307">
        <v>2</v>
      </c>
      <c r="K292" s="307">
        <v>674</v>
      </c>
      <c r="L292" s="308">
        <v>85.12</v>
      </c>
      <c r="M292" s="308">
        <v>0</v>
      </c>
      <c r="N292" s="308">
        <v>0</v>
      </c>
      <c r="O292" s="675">
        <f t="shared" si="31"/>
        <v>0</v>
      </c>
      <c r="P292" s="675">
        <f t="shared" si="32"/>
        <v>0</v>
      </c>
      <c r="Q292" s="206">
        <f t="shared" si="34"/>
        <v>0</v>
      </c>
      <c r="R292" s="683">
        <f t="shared" si="33"/>
        <v>85.12</v>
      </c>
    </row>
    <row r="293" spans="1:18" ht="12" thickBot="1">
      <c r="A293" s="197" t="s">
        <v>1213</v>
      </c>
      <c r="B293" s="192" t="s">
        <v>163</v>
      </c>
      <c r="C293" s="147" t="s">
        <v>374</v>
      </c>
      <c r="D293" s="205"/>
      <c r="E293" s="307">
        <v>13</v>
      </c>
      <c r="F293" s="307">
        <v>4422</v>
      </c>
      <c r="G293" s="308">
        <v>680.03</v>
      </c>
      <c r="H293" s="308">
        <v>0</v>
      </c>
      <c r="I293" s="308">
        <v>0</v>
      </c>
      <c r="J293" s="307">
        <v>13</v>
      </c>
      <c r="K293" s="307">
        <v>4422</v>
      </c>
      <c r="L293" s="308">
        <v>680.03</v>
      </c>
      <c r="M293" s="308">
        <v>0</v>
      </c>
      <c r="N293" s="308">
        <v>0</v>
      </c>
      <c r="O293" s="675">
        <f t="shared" si="31"/>
        <v>0</v>
      </c>
      <c r="P293" s="675">
        <f t="shared" si="32"/>
        <v>0</v>
      </c>
      <c r="Q293" s="206">
        <f t="shared" si="34"/>
        <v>0</v>
      </c>
      <c r="R293" s="683">
        <f t="shared" si="33"/>
        <v>680.03</v>
      </c>
    </row>
    <row r="294" spans="1:18" ht="12" thickBot="1">
      <c r="A294" s="207"/>
      <c r="B294" s="202"/>
      <c r="C294" s="199"/>
      <c r="D294" s="208"/>
      <c r="E294" s="195"/>
      <c r="F294" s="195"/>
      <c r="G294" s="195"/>
      <c r="H294" s="195"/>
      <c r="I294" s="195"/>
      <c r="J294" s="195"/>
      <c r="K294" s="195"/>
      <c r="L294" s="195"/>
      <c r="M294" s="195"/>
      <c r="N294" s="195"/>
      <c r="O294" s="674"/>
      <c r="P294" s="674"/>
      <c r="Q294" s="209"/>
      <c r="R294" s="684"/>
    </row>
    <row r="295" spans="1:18" ht="12" thickBot="1">
      <c r="A295" s="202"/>
      <c r="B295" s="202"/>
      <c r="C295" s="200" t="s">
        <v>1040</v>
      </c>
      <c r="D295" s="201"/>
      <c r="E295" s="194" t="s">
        <v>1012</v>
      </c>
      <c r="F295" s="203" t="s">
        <v>874</v>
      </c>
      <c r="G295" s="194" t="s">
        <v>1013</v>
      </c>
      <c r="H295" s="194" t="s">
        <v>1014</v>
      </c>
      <c r="I295" s="194" t="s">
        <v>1015</v>
      </c>
      <c r="J295" s="194" t="s">
        <v>1016</v>
      </c>
      <c r="K295" s="194" t="s">
        <v>1026</v>
      </c>
      <c r="L295" s="194" t="s">
        <v>1017</v>
      </c>
      <c r="M295" s="194" t="s">
        <v>1018</v>
      </c>
      <c r="N295" s="194" t="s">
        <v>1019</v>
      </c>
      <c r="O295" s="674" t="s">
        <v>1020</v>
      </c>
      <c r="P295" s="674" t="s">
        <v>1027</v>
      </c>
      <c r="Q295" s="204" t="s">
        <v>1021</v>
      </c>
      <c r="R295" s="674" t="s">
        <v>1022</v>
      </c>
    </row>
    <row r="296" spans="1:18" ht="12" thickBot="1">
      <c r="A296" s="197" t="s">
        <v>1214</v>
      </c>
      <c r="B296" s="192" t="s">
        <v>163</v>
      </c>
      <c r="C296" s="147" t="s">
        <v>379</v>
      </c>
      <c r="D296" s="205"/>
      <c r="E296" s="307">
        <v>56</v>
      </c>
      <c r="F296" s="307">
        <v>1801</v>
      </c>
      <c r="G296" s="308">
        <v>455.84000000000003</v>
      </c>
      <c r="H296" s="308">
        <v>33.78</v>
      </c>
      <c r="I296" s="308">
        <v>-0.60999999999999144</v>
      </c>
      <c r="J296" s="307">
        <v>69</v>
      </c>
      <c r="K296" s="307">
        <v>2329</v>
      </c>
      <c r="L296" s="308">
        <v>561.66</v>
      </c>
      <c r="M296" s="308">
        <v>-3.9799999999999978</v>
      </c>
      <c r="N296" s="308">
        <v>33.78</v>
      </c>
      <c r="O296" s="675">
        <f t="shared" ref="O296:O352" si="35">J296-E296</f>
        <v>13</v>
      </c>
      <c r="P296" s="675">
        <f t="shared" ref="P296:P352" si="36">K296-F296</f>
        <v>528</v>
      </c>
      <c r="Q296" s="206">
        <f t="shared" ref="Q296:Q303" si="37">(G296+H296+I296)-(L296+M296+N296)</f>
        <v>-102.44999999999993</v>
      </c>
      <c r="R296" s="683">
        <f t="shared" ref="R296:R352" si="38">SUM(G296:I296)</f>
        <v>489.01</v>
      </c>
    </row>
    <row r="297" spans="1:18" ht="12" thickBot="1">
      <c r="A297" s="197" t="s">
        <v>1214</v>
      </c>
      <c r="B297" s="192" t="s">
        <v>163</v>
      </c>
      <c r="C297" s="147" t="s">
        <v>241</v>
      </c>
      <c r="D297" s="205"/>
      <c r="E297" s="307">
        <v>1968</v>
      </c>
      <c r="F297" s="307">
        <v>171786</v>
      </c>
      <c r="G297" s="308">
        <v>21569.280000000002</v>
      </c>
      <c r="H297" s="308">
        <v>512.93999999999994</v>
      </c>
      <c r="I297" s="308">
        <v>-56.940000000001874</v>
      </c>
      <c r="J297" s="307">
        <v>1968</v>
      </c>
      <c r="K297" s="307">
        <v>171786</v>
      </c>
      <c r="L297" s="308">
        <v>21569.280000000002</v>
      </c>
      <c r="M297" s="308">
        <v>-56.940000000001874</v>
      </c>
      <c r="N297" s="308">
        <v>512.93999999999994</v>
      </c>
      <c r="O297" s="675">
        <f t="shared" si="35"/>
        <v>0</v>
      </c>
      <c r="P297" s="675">
        <f t="shared" si="36"/>
        <v>0</v>
      </c>
      <c r="Q297" s="206">
        <f t="shared" si="37"/>
        <v>0</v>
      </c>
      <c r="R297" s="683">
        <f t="shared" si="38"/>
        <v>22025.279999999999</v>
      </c>
    </row>
    <row r="298" spans="1:18" ht="12" thickBot="1">
      <c r="A298" s="197" t="s">
        <v>1214</v>
      </c>
      <c r="B298" s="192" t="s">
        <v>163</v>
      </c>
      <c r="C298" s="147" t="s">
        <v>242</v>
      </c>
      <c r="D298" s="205"/>
      <c r="E298" s="307">
        <v>984</v>
      </c>
      <c r="F298" s="307">
        <v>132274</v>
      </c>
      <c r="G298" s="308">
        <v>13293.84</v>
      </c>
      <c r="H298" s="308">
        <v>773.97</v>
      </c>
      <c r="I298" s="308">
        <v>-58.999999999998863</v>
      </c>
      <c r="J298" s="307">
        <v>984</v>
      </c>
      <c r="K298" s="307">
        <v>132274</v>
      </c>
      <c r="L298" s="308">
        <v>13293.84</v>
      </c>
      <c r="M298" s="308">
        <v>-58.999999999998863</v>
      </c>
      <c r="N298" s="308">
        <v>773.97</v>
      </c>
      <c r="O298" s="675">
        <f t="shared" si="35"/>
        <v>0</v>
      </c>
      <c r="P298" s="675">
        <f t="shared" si="36"/>
        <v>0</v>
      </c>
      <c r="Q298" s="206">
        <f t="shared" si="37"/>
        <v>0</v>
      </c>
      <c r="R298" s="683">
        <f t="shared" si="38"/>
        <v>14008.810000000001</v>
      </c>
    </row>
    <row r="299" spans="1:18" ht="12" thickBot="1">
      <c r="A299" s="197" t="s">
        <v>1214</v>
      </c>
      <c r="B299" s="192" t="s">
        <v>163</v>
      </c>
      <c r="C299" s="147" t="s">
        <v>243</v>
      </c>
      <c r="D299" s="205"/>
      <c r="E299" s="307">
        <v>98</v>
      </c>
      <c r="F299" s="307">
        <v>3521</v>
      </c>
      <c r="G299" s="308">
        <v>1220.0999999999999</v>
      </c>
      <c r="H299" s="308">
        <v>0</v>
      </c>
      <c r="I299" s="308">
        <v>-3.7300000000000182</v>
      </c>
      <c r="J299" s="307">
        <v>98</v>
      </c>
      <c r="K299" s="307">
        <v>3521</v>
      </c>
      <c r="L299" s="308">
        <v>1220.0999999999999</v>
      </c>
      <c r="M299" s="308">
        <v>-3.7300000000000182</v>
      </c>
      <c r="N299" s="308">
        <v>0</v>
      </c>
      <c r="O299" s="675">
        <f t="shared" si="35"/>
        <v>0</v>
      </c>
      <c r="P299" s="675">
        <f t="shared" si="36"/>
        <v>0</v>
      </c>
      <c r="Q299" s="206">
        <f t="shared" si="37"/>
        <v>0</v>
      </c>
      <c r="R299" s="683">
        <f t="shared" si="38"/>
        <v>1216.3699999999999</v>
      </c>
    </row>
    <row r="300" spans="1:18" ht="12" thickBot="1">
      <c r="A300" s="197" t="s">
        <v>1214</v>
      </c>
      <c r="B300" s="192" t="s">
        <v>163</v>
      </c>
      <c r="C300" s="147" t="s">
        <v>244</v>
      </c>
      <c r="D300" s="205"/>
      <c r="E300" s="307">
        <v>782</v>
      </c>
      <c r="F300" s="307">
        <v>104653</v>
      </c>
      <c r="G300" s="308">
        <v>12152.28</v>
      </c>
      <c r="H300" s="308">
        <v>586.03</v>
      </c>
      <c r="I300" s="308">
        <v>-48.170000000000982</v>
      </c>
      <c r="J300" s="307">
        <v>782</v>
      </c>
      <c r="K300" s="307">
        <v>104653</v>
      </c>
      <c r="L300" s="308">
        <v>12152.28</v>
      </c>
      <c r="M300" s="308">
        <v>-48.170000000000982</v>
      </c>
      <c r="N300" s="308">
        <v>586.03</v>
      </c>
      <c r="O300" s="675">
        <f t="shared" si="35"/>
        <v>0</v>
      </c>
      <c r="P300" s="675">
        <f t="shared" si="36"/>
        <v>0</v>
      </c>
      <c r="Q300" s="206">
        <f t="shared" si="37"/>
        <v>0</v>
      </c>
      <c r="R300" s="683">
        <f t="shared" si="38"/>
        <v>12690.14</v>
      </c>
    </row>
    <row r="301" spans="1:18" ht="12" thickBot="1">
      <c r="A301" s="197" t="s">
        <v>1214</v>
      </c>
      <c r="B301" s="192" t="s">
        <v>163</v>
      </c>
      <c r="C301" s="147" t="s">
        <v>245</v>
      </c>
      <c r="D301" s="205"/>
      <c r="E301" s="307">
        <v>1045</v>
      </c>
      <c r="F301" s="307">
        <v>63206</v>
      </c>
      <c r="G301" s="308">
        <v>14880.8</v>
      </c>
      <c r="H301" s="308">
        <v>0</v>
      </c>
      <c r="I301" s="308">
        <v>-9.9699999999993452</v>
      </c>
      <c r="J301" s="307">
        <v>1045</v>
      </c>
      <c r="K301" s="307">
        <v>63206</v>
      </c>
      <c r="L301" s="308">
        <v>14880.8</v>
      </c>
      <c r="M301" s="308">
        <v>-9.9699999999993452</v>
      </c>
      <c r="N301" s="308">
        <v>0</v>
      </c>
      <c r="O301" s="675">
        <f t="shared" si="35"/>
        <v>0</v>
      </c>
      <c r="P301" s="675">
        <f t="shared" si="36"/>
        <v>0</v>
      </c>
      <c r="Q301" s="206">
        <f t="shared" si="37"/>
        <v>0</v>
      </c>
      <c r="R301" s="683">
        <f t="shared" si="38"/>
        <v>14870.83</v>
      </c>
    </row>
    <row r="302" spans="1:18" ht="12" thickBot="1">
      <c r="A302" s="197" t="s">
        <v>1214</v>
      </c>
      <c r="B302" s="192" t="s">
        <v>163</v>
      </c>
      <c r="C302" s="147" t="s">
        <v>381</v>
      </c>
      <c r="D302" s="205"/>
      <c r="E302" s="307">
        <v>43</v>
      </c>
      <c r="F302" s="307">
        <v>13849</v>
      </c>
      <c r="G302" s="308">
        <v>1190.67</v>
      </c>
      <c r="H302" s="308">
        <v>49.440000000000005</v>
      </c>
      <c r="I302" s="308">
        <v>0</v>
      </c>
      <c r="J302" s="307">
        <v>43</v>
      </c>
      <c r="K302" s="307">
        <v>13849</v>
      </c>
      <c r="L302" s="308">
        <v>1190.67</v>
      </c>
      <c r="M302" s="308">
        <v>0</v>
      </c>
      <c r="N302" s="308">
        <v>49.440000000000005</v>
      </c>
      <c r="O302" s="675">
        <f t="shared" si="35"/>
        <v>0</v>
      </c>
      <c r="P302" s="675">
        <f t="shared" si="36"/>
        <v>0</v>
      </c>
      <c r="Q302" s="206">
        <f t="shared" si="37"/>
        <v>0</v>
      </c>
      <c r="R302" s="683">
        <f t="shared" si="38"/>
        <v>1240.1100000000001</v>
      </c>
    </row>
    <row r="303" spans="1:18" ht="12" thickBot="1">
      <c r="A303" s="197" t="s">
        <v>1214</v>
      </c>
      <c r="B303" s="192" t="s">
        <v>163</v>
      </c>
      <c r="C303" s="147" t="s">
        <v>246</v>
      </c>
      <c r="D303" s="205"/>
      <c r="E303" s="307">
        <v>375</v>
      </c>
      <c r="F303" s="307">
        <v>118014</v>
      </c>
      <c r="G303" s="308">
        <v>10833.75</v>
      </c>
      <c r="H303" s="308">
        <v>208.06</v>
      </c>
      <c r="I303" s="308">
        <v>-221.49000000000058</v>
      </c>
      <c r="J303" s="307">
        <v>375</v>
      </c>
      <c r="K303" s="307">
        <v>118014</v>
      </c>
      <c r="L303" s="308">
        <v>10833.75</v>
      </c>
      <c r="M303" s="308">
        <v>-221.49000000000058</v>
      </c>
      <c r="N303" s="308">
        <v>208.06</v>
      </c>
      <c r="O303" s="675">
        <f t="shared" si="35"/>
        <v>0</v>
      </c>
      <c r="P303" s="675">
        <f t="shared" si="36"/>
        <v>0</v>
      </c>
      <c r="Q303" s="206">
        <f t="shared" si="37"/>
        <v>0</v>
      </c>
      <c r="R303" s="683">
        <f t="shared" si="38"/>
        <v>10820.32</v>
      </c>
    </row>
    <row r="304" spans="1:18" ht="12" thickBot="1">
      <c r="A304" s="197" t="s">
        <v>1214</v>
      </c>
      <c r="B304" s="192" t="s">
        <v>163</v>
      </c>
      <c r="C304" s="147" t="s">
        <v>252</v>
      </c>
      <c r="D304" s="205"/>
      <c r="E304" s="307">
        <v>3057</v>
      </c>
      <c r="F304" s="307">
        <v>188679</v>
      </c>
      <c r="G304" s="308">
        <v>29255.489999999998</v>
      </c>
      <c r="H304" s="308">
        <v>1556.47</v>
      </c>
      <c r="I304" s="308">
        <v>-123.68999999999789</v>
      </c>
      <c r="J304" s="307">
        <v>3057</v>
      </c>
      <c r="K304" s="307">
        <v>188679</v>
      </c>
      <c r="L304" s="308">
        <v>29255.489999999998</v>
      </c>
      <c r="M304" s="308">
        <v>-123.68999999999789</v>
      </c>
      <c r="N304" s="308">
        <v>1556.47</v>
      </c>
      <c r="O304" s="675">
        <f t="shared" si="35"/>
        <v>0</v>
      </c>
      <c r="P304" s="675">
        <f t="shared" si="36"/>
        <v>0</v>
      </c>
      <c r="Q304" s="206">
        <f>(G304+H304+I304)-(L304+M304+N304)</f>
        <v>0</v>
      </c>
      <c r="R304" s="683">
        <f t="shared" si="38"/>
        <v>30688.27</v>
      </c>
    </row>
    <row r="305" spans="1:18" ht="12" thickBot="1">
      <c r="A305" s="197" t="s">
        <v>1214</v>
      </c>
      <c r="B305" s="192" t="s">
        <v>163</v>
      </c>
      <c r="C305" s="147" t="s">
        <v>263</v>
      </c>
      <c r="D305" s="205"/>
      <c r="E305" s="307">
        <v>816</v>
      </c>
      <c r="F305" s="307">
        <v>75161</v>
      </c>
      <c r="G305" s="308">
        <v>22309.439999999999</v>
      </c>
      <c r="H305" s="308">
        <v>0</v>
      </c>
      <c r="I305" s="308">
        <v>-266.79000000000087</v>
      </c>
      <c r="J305" s="307">
        <v>816</v>
      </c>
      <c r="K305" s="307">
        <v>75161</v>
      </c>
      <c r="L305" s="308">
        <v>22309.439999999999</v>
      </c>
      <c r="M305" s="308">
        <v>-266.79000000000087</v>
      </c>
      <c r="N305" s="308">
        <v>0</v>
      </c>
      <c r="O305" s="675">
        <f t="shared" si="35"/>
        <v>0</v>
      </c>
      <c r="P305" s="675">
        <f t="shared" si="36"/>
        <v>0</v>
      </c>
      <c r="Q305" s="206">
        <f t="shared" ref="Q305:Q362" si="39">(G305+H305+I305)-(L305+M305+N305)</f>
        <v>0</v>
      </c>
      <c r="R305" s="683">
        <f t="shared" si="38"/>
        <v>22042.649999999998</v>
      </c>
    </row>
    <row r="306" spans="1:18" ht="12" thickBot="1">
      <c r="A306" s="197" t="s">
        <v>1214</v>
      </c>
      <c r="B306" s="192" t="s">
        <v>163</v>
      </c>
      <c r="C306" s="147" t="s">
        <v>264</v>
      </c>
      <c r="D306" s="205"/>
      <c r="E306" s="307">
        <v>1795</v>
      </c>
      <c r="F306" s="307">
        <v>259578</v>
      </c>
      <c r="G306" s="308">
        <v>57744.6</v>
      </c>
      <c r="H306" s="308">
        <v>0</v>
      </c>
      <c r="I306" s="368">
        <f>62.37-1246.39+19.24</f>
        <v>-1164.7800000000002</v>
      </c>
      <c r="J306" s="307">
        <v>1891</v>
      </c>
      <c r="K306" s="307">
        <v>275491</v>
      </c>
      <c r="L306" s="308">
        <v>59377.4</v>
      </c>
      <c r="M306" s="308">
        <v>3.2399999999999949</v>
      </c>
      <c r="N306" s="308">
        <v>0</v>
      </c>
      <c r="O306" s="675">
        <f t="shared" si="35"/>
        <v>96</v>
      </c>
      <c r="P306" s="675">
        <f t="shared" si="36"/>
        <v>15913</v>
      </c>
      <c r="Q306" s="206">
        <f t="shared" si="39"/>
        <v>-2800.8199999999997</v>
      </c>
      <c r="R306" s="683">
        <f t="shared" si="38"/>
        <v>56579.82</v>
      </c>
    </row>
    <row r="307" spans="1:18" ht="12" thickBot="1">
      <c r="A307" s="197" t="s">
        <v>1214</v>
      </c>
      <c r="B307" s="192" t="s">
        <v>163</v>
      </c>
      <c r="C307" s="147" t="s">
        <v>267</v>
      </c>
      <c r="D307" s="205"/>
      <c r="E307" s="307">
        <v>16664</v>
      </c>
      <c r="F307" s="307">
        <v>710811</v>
      </c>
      <c r="G307" s="308">
        <v>286454.16000000003</v>
      </c>
      <c r="H307" s="308">
        <v>2.06</v>
      </c>
      <c r="I307" s="308">
        <v>586.28000000001407</v>
      </c>
      <c r="J307" s="307">
        <v>16664</v>
      </c>
      <c r="K307" s="307">
        <v>710811</v>
      </c>
      <c r="L307" s="308">
        <v>286454.16000000003</v>
      </c>
      <c r="M307" s="308">
        <v>586.28000000001407</v>
      </c>
      <c r="N307" s="308">
        <v>2.06</v>
      </c>
      <c r="O307" s="675">
        <f t="shared" si="35"/>
        <v>0</v>
      </c>
      <c r="P307" s="675">
        <f t="shared" si="36"/>
        <v>0</v>
      </c>
      <c r="Q307" s="206">
        <f t="shared" si="39"/>
        <v>0</v>
      </c>
      <c r="R307" s="683">
        <f t="shared" si="38"/>
        <v>287042.50000000006</v>
      </c>
    </row>
    <row r="308" spans="1:18" ht="12" thickBot="1">
      <c r="A308" s="197" t="s">
        <v>1214</v>
      </c>
      <c r="B308" s="192" t="s">
        <v>163</v>
      </c>
      <c r="C308" s="147" t="s">
        <v>392</v>
      </c>
      <c r="D308" s="205"/>
      <c r="E308" s="307">
        <v>471</v>
      </c>
      <c r="F308" s="307">
        <v>27752</v>
      </c>
      <c r="G308" s="308">
        <v>11723.19</v>
      </c>
      <c r="H308" s="308">
        <v>0</v>
      </c>
      <c r="I308" s="308">
        <v>0</v>
      </c>
      <c r="J308" s="307">
        <v>471</v>
      </c>
      <c r="K308" s="307">
        <v>27752</v>
      </c>
      <c r="L308" s="308">
        <v>11723.19</v>
      </c>
      <c r="M308" s="308">
        <v>0</v>
      </c>
      <c r="N308" s="308">
        <v>0</v>
      </c>
      <c r="O308" s="675">
        <f t="shared" si="35"/>
        <v>0</v>
      </c>
      <c r="P308" s="675">
        <f t="shared" si="36"/>
        <v>0</v>
      </c>
      <c r="Q308" s="206">
        <f t="shared" si="39"/>
        <v>0</v>
      </c>
      <c r="R308" s="683">
        <f t="shared" si="38"/>
        <v>11723.19</v>
      </c>
    </row>
    <row r="309" spans="1:18" ht="12" thickBot="1">
      <c r="A309" s="197" t="s">
        <v>1214</v>
      </c>
      <c r="B309" s="192" t="s">
        <v>163</v>
      </c>
      <c r="C309" s="147" t="s">
        <v>268</v>
      </c>
      <c r="D309" s="205"/>
      <c r="E309" s="307">
        <v>1352</v>
      </c>
      <c r="F309" s="307">
        <v>42781</v>
      </c>
      <c r="G309" s="308">
        <v>19157.84</v>
      </c>
      <c r="H309" s="308">
        <v>0</v>
      </c>
      <c r="I309" s="308">
        <v>-54.789999999997235</v>
      </c>
      <c r="J309" s="307">
        <v>1352</v>
      </c>
      <c r="K309" s="307">
        <v>42781</v>
      </c>
      <c r="L309" s="308">
        <v>19157.84</v>
      </c>
      <c r="M309" s="308">
        <v>-54.789999999997235</v>
      </c>
      <c r="N309" s="308">
        <v>0</v>
      </c>
      <c r="O309" s="675">
        <f t="shared" si="35"/>
        <v>0</v>
      </c>
      <c r="P309" s="675">
        <f t="shared" si="36"/>
        <v>0</v>
      </c>
      <c r="Q309" s="206">
        <f t="shared" si="39"/>
        <v>0</v>
      </c>
      <c r="R309" s="683">
        <f t="shared" si="38"/>
        <v>19103.050000000003</v>
      </c>
    </row>
    <row r="310" spans="1:18" ht="12" thickBot="1">
      <c r="A310" s="197" t="s">
        <v>1214</v>
      </c>
      <c r="B310" s="192" t="s">
        <v>163</v>
      </c>
      <c r="C310" s="147" t="s">
        <v>269</v>
      </c>
      <c r="D310" s="205"/>
      <c r="E310" s="307">
        <v>2075</v>
      </c>
      <c r="F310" s="307">
        <v>121133</v>
      </c>
      <c r="G310" s="308">
        <v>45961.25</v>
      </c>
      <c r="H310" s="308">
        <v>59.120000000000005</v>
      </c>
      <c r="I310" s="308">
        <v>0</v>
      </c>
      <c r="J310" s="307">
        <v>2075</v>
      </c>
      <c r="K310" s="307">
        <v>121133</v>
      </c>
      <c r="L310" s="308">
        <v>45961.25</v>
      </c>
      <c r="M310" s="308">
        <v>0</v>
      </c>
      <c r="N310" s="308">
        <v>59.120000000000005</v>
      </c>
      <c r="O310" s="675">
        <f t="shared" si="35"/>
        <v>0</v>
      </c>
      <c r="P310" s="675">
        <f t="shared" si="36"/>
        <v>0</v>
      </c>
      <c r="Q310" s="206">
        <f t="shared" si="39"/>
        <v>0</v>
      </c>
      <c r="R310" s="683">
        <f t="shared" si="38"/>
        <v>46020.37</v>
      </c>
    </row>
    <row r="311" spans="1:18" ht="12" thickBot="1">
      <c r="A311" s="197" t="s">
        <v>1214</v>
      </c>
      <c r="B311" s="192" t="s">
        <v>163</v>
      </c>
      <c r="C311" s="147" t="s">
        <v>393</v>
      </c>
      <c r="D311" s="205"/>
      <c r="E311" s="307">
        <v>17</v>
      </c>
      <c r="F311" s="307">
        <v>5388</v>
      </c>
      <c r="G311" s="308">
        <v>1233.3499999999999</v>
      </c>
      <c r="H311" s="308">
        <v>0</v>
      </c>
      <c r="I311" s="308">
        <v>0</v>
      </c>
      <c r="J311" s="307">
        <v>17</v>
      </c>
      <c r="K311" s="307">
        <v>5388</v>
      </c>
      <c r="L311" s="308">
        <v>1233.3499999999999</v>
      </c>
      <c r="M311" s="308">
        <v>0</v>
      </c>
      <c r="N311" s="308">
        <v>0</v>
      </c>
      <c r="O311" s="675">
        <f t="shared" si="35"/>
        <v>0</v>
      </c>
      <c r="P311" s="675">
        <f t="shared" si="36"/>
        <v>0</v>
      </c>
      <c r="Q311" s="206">
        <f t="shared" si="39"/>
        <v>0</v>
      </c>
      <c r="R311" s="683">
        <f t="shared" si="38"/>
        <v>1233.3499999999999</v>
      </c>
    </row>
    <row r="312" spans="1:18" ht="12" thickBot="1">
      <c r="A312" s="197" t="s">
        <v>1214</v>
      </c>
      <c r="B312" s="192" t="s">
        <v>163</v>
      </c>
      <c r="C312" s="147" t="s">
        <v>394</v>
      </c>
      <c r="D312" s="205"/>
      <c r="E312" s="307">
        <v>11</v>
      </c>
      <c r="F312" s="307">
        <v>3495</v>
      </c>
      <c r="G312" s="308">
        <v>455.73</v>
      </c>
      <c r="H312" s="308">
        <v>0</v>
      </c>
      <c r="I312" s="308">
        <v>0</v>
      </c>
      <c r="J312" s="307">
        <v>11</v>
      </c>
      <c r="K312" s="307">
        <v>3495</v>
      </c>
      <c r="L312" s="308">
        <v>455.73</v>
      </c>
      <c r="M312" s="308">
        <v>0</v>
      </c>
      <c r="N312" s="308">
        <v>0</v>
      </c>
      <c r="O312" s="675">
        <f t="shared" si="35"/>
        <v>0</v>
      </c>
      <c r="P312" s="675">
        <f t="shared" si="36"/>
        <v>0</v>
      </c>
      <c r="Q312" s="206">
        <f t="shared" si="39"/>
        <v>0</v>
      </c>
      <c r="R312" s="683">
        <f t="shared" si="38"/>
        <v>455.73</v>
      </c>
    </row>
    <row r="313" spans="1:18" ht="12" thickBot="1">
      <c r="A313" s="197" t="s">
        <v>1214</v>
      </c>
      <c r="B313" s="192" t="s">
        <v>163</v>
      </c>
      <c r="C313" s="309" t="s">
        <v>398</v>
      </c>
      <c r="D313" s="205"/>
      <c r="E313" s="307">
        <v>46</v>
      </c>
      <c r="F313" s="307">
        <v>1547</v>
      </c>
      <c r="G313" s="308">
        <v>891.48</v>
      </c>
      <c r="H313" s="308">
        <v>735.06000000000006</v>
      </c>
      <c r="I313" s="308">
        <v>0</v>
      </c>
      <c r="J313" s="307">
        <v>46</v>
      </c>
      <c r="K313" s="307">
        <v>1547</v>
      </c>
      <c r="L313" s="308">
        <v>891.48</v>
      </c>
      <c r="M313" s="308">
        <v>0</v>
      </c>
      <c r="N313" s="308">
        <v>735.06000000000006</v>
      </c>
      <c r="O313" s="675">
        <f t="shared" si="35"/>
        <v>0</v>
      </c>
      <c r="P313" s="675">
        <f t="shared" si="36"/>
        <v>0</v>
      </c>
      <c r="Q313" s="206">
        <f t="shared" si="39"/>
        <v>0</v>
      </c>
      <c r="R313" s="683">
        <f t="shared" si="38"/>
        <v>1626.54</v>
      </c>
    </row>
    <row r="314" spans="1:18" ht="12" thickBot="1">
      <c r="A314" s="197" t="s">
        <v>1214</v>
      </c>
      <c r="B314" s="192" t="s">
        <v>163</v>
      </c>
      <c r="C314" s="147" t="s">
        <v>395</v>
      </c>
      <c r="D314" s="205"/>
      <c r="E314" s="307">
        <v>247</v>
      </c>
      <c r="F314" s="307">
        <v>10448</v>
      </c>
      <c r="G314" s="308">
        <v>5026.45</v>
      </c>
      <c r="H314" s="308">
        <v>3805.3799999999997</v>
      </c>
      <c r="I314" s="308">
        <v>0</v>
      </c>
      <c r="J314" s="307">
        <v>247</v>
      </c>
      <c r="K314" s="307">
        <v>10448</v>
      </c>
      <c r="L314" s="308">
        <v>5026.45</v>
      </c>
      <c r="M314" s="308">
        <v>0</v>
      </c>
      <c r="N314" s="308">
        <v>3805.3799999999997</v>
      </c>
      <c r="O314" s="675">
        <f t="shared" si="35"/>
        <v>0</v>
      </c>
      <c r="P314" s="675">
        <f t="shared" si="36"/>
        <v>0</v>
      </c>
      <c r="Q314" s="206">
        <f t="shared" si="39"/>
        <v>0</v>
      </c>
      <c r="R314" s="683">
        <f t="shared" si="38"/>
        <v>8831.83</v>
      </c>
    </row>
    <row r="315" spans="1:18" ht="12" thickBot="1">
      <c r="A315" s="197" t="s">
        <v>1214</v>
      </c>
      <c r="B315" s="192" t="s">
        <v>163</v>
      </c>
      <c r="C315" s="147" t="s">
        <v>396</v>
      </c>
      <c r="D315" s="205"/>
      <c r="E315" s="307">
        <v>106</v>
      </c>
      <c r="F315" s="307">
        <v>3434</v>
      </c>
      <c r="G315" s="308">
        <v>2070.1799999999998</v>
      </c>
      <c r="H315" s="308">
        <v>989.6099999999999</v>
      </c>
      <c r="I315" s="308">
        <v>0</v>
      </c>
      <c r="J315" s="307">
        <v>106</v>
      </c>
      <c r="K315" s="307">
        <v>3434</v>
      </c>
      <c r="L315" s="308">
        <v>2070.1799999999998</v>
      </c>
      <c r="M315" s="308">
        <v>0</v>
      </c>
      <c r="N315" s="308">
        <v>989.6099999999999</v>
      </c>
      <c r="O315" s="675">
        <f t="shared" si="35"/>
        <v>0</v>
      </c>
      <c r="P315" s="675">
        <f t="shared" si="36"/>
        <v>0</v>
      </c>
      <c r="Q315" s="206">
        <f t="shared" si="39"/>
        <v>0</v>
      </c>
      <c r="R315" s="683">
        <f t="shared" si="38"/>
        <v>3059.79</v>
      </c>
    </row>
    <row r="316" spans="1:18" ht="12" thickBot="1">
      <c r="A316" s="197" t="s">
        <v>1214</v>
      </c>
      <c r="B316" s="192" t="s">
        <v>163</v>
      </c>
      <c r="C316" s="309" t="s">
        <v>397</v>
      </c>
      <c r="D316" s="205"/>
      <c r="E316" s="307">
        <v>82</v>
      </c>
      <c r="F316" s="307">
        <v>3367</v>
      </c>
      <c r="G316" s="308">
        <v>1707.24</v>
      </c>
      <c r="H316" s="308">
        <v>1287.7700000000002</v>
      </c>
      <c r="I316" s="308">
        <v>0</v>
      </c>
      <c r="J316" s="307">
        <v>82</v>
      </c>
      <c r="K316" s="307">
        <v>3367</v>
      </c>
      <c r="L316" s="308">
        <v>1707.24</v>
      </c>
      <c r="M316" s="308">
        <v>0</v>
      </c>
      <c r="N316" s="308">
        <v>1287.7700000000002</v>
      </c>
      <c r="O316" s="675">
        <f t="shared" si="35"/>
        <v>0</v>
      </c>
      <c r="P316" s="675">
        <f t="shared" si="36"/>
        <v>0</v>
      </c>
      <c r="Q316" s="206">
        <f t="shared" si="39"/>
        <v>0</v>
      </c>
      <c r="R316" s="683">
        <f>SUM(G316:I316)</f>
        <v>2995.01</v>
      </c>
    </row>
    <row r="317" spans="1:18" ht="12" thickBot="1">
      <c r="A317" s="197" t="s">
        <v>1214</v>
      </c>
      <c r="B317" s="192" t="s">
        <v>163</v>
      </c>
      <c r="C317" s="147" t="s">
        <v>287</v>
      </c>
      <c r="D317" s="205"/>
      <c r="E317" s="307">
        <v>106</v>
      </c>
      <c r="F317" s="307">
        <v>9800</v>
      </c>
      <c r="G317" s="308">
        <v>2035.2</v>
      </c>
      <c r="H317" s="308">
        <v>0</v>
      </c>
      <c r="I317" s="308">
        <v>0</v>
      </c>
      <c r="J317" s="307">
        <v>106</v>
      </c>
      <c r="K317" s="307">
        <v>9800</v>
      </c>
      <c r="L317" s="308">
        <v>2035.2</v>
      </c>
      <c r="M317" s="308">
        <v>0</v>
      </c>
      <c r="N317" s="308">
        <v>0</v>
      </c>
      <c r="O317" s="675">
        <f t="shared" si="35"/>
        <v>0</v>
      </c>
      <c r="P317" s="675">
        <f t="shared" si="36"/>
        <v>0</v>
      </c>
      <c r="Q317" s="206">
        <f t="shared" si="39"/>
        <v>0</v>
      </c>
      <c r="R317" s="683">
        <f t="shared" si="38"/>
        <v>2035.2</v>
      </c>
    </row>
    <row r="318" spans="1:18" ht="12" thickBot="1">
      <c r="A318" s="197" t="s">
        <v>1214</v>
      </c>
      <c r="B318" s="192" t="s">
        <v>163</v>
      </c>
      <c r="C318" s="147" t="s">
        <v>288</v>
      </c>
      <c r="D318" s="205"/>
      <c r="E318" s="307">
        <v>25</v>
      </c>
      <c r="F318" s="307">
        <v>3347</v>
      </c>
      <c r="G318" s="308">
        <v>573.75</v>
      </c>
      <c r="H318" s="308">
        <v>0</v>
      </c>
      <c r="I318" s="308">
        <v>0</v>
      </c>
      <c r="J318" s="307">
        <v>25</v>
      </c>
      <c r="K318" s="307">
        <v>3347</v>
      </c>
      <c r="L318" s="308">
        <v>573.75</v>
      </c>
      <c r="M318" s="308">
        <v>0</v>
      </c>
      <c r="N318" s="308">
        <v>0</v>
      </c>
      <c r="O318" s="675">
        <f t="shared" si="35"/>
        <v>0</v>
      </c>
      <c r="P318" s="675">
        <f t="shared" si="36"/>
        <v>0</v>
      </c>
      <c r="Q318" s="206">
        <f t="shared" si="39"/>
        <v>0</v>
      </c>
      <c r="R318" s="683">
        <f t="shared" si="38"/>
        <v>573.75</v>
      </c>
    </row>
    <row r="319" spans="1:18" ht="12" thickBot="1">
      <c r="A319" s="197" t="s">
        <v>1214</v>
      </c>
      <c r="B319" s="192" t="s">
        <v>163</v>
      </c>
      <c r="C319" s="147" t="s">
        <v>377</v>
      </c>
      <c r="D319" s="205"/>
      <c r="E319" s="307">
        <v>36</v>
      </c>
      <c r="F319" s="307">
        <v>525</v>
      </c>
      <c r="G319" s="308">
        <v>860.04</v>
      </c>
      <c r="H319" s="308">
        <v>53.4</v>
      </c>
      <c r="I319" s="308">
        <v>0</v>
      </c>
      <c r="J319" s="307">
        <v>36</v>
      </c>
      <c r="K319" s="307">
        <v>525</v>
      </c>
      <c r="L319" s="308">
        <v>860.04</v>
      </c>
      <c r="M319" s="308">
        <v>0</v>
      </c>
      <c r="N319" s="308">
        <v>53.4</v>
      </c>
      <c r="O319" s="675">
        <f t="shared" si="35"/>
        <v>0</v>
      </c>
      <c r="P319" s="675">
        <f t="shared" si="36"/>
        <v>0</v>
      </c>
      <c r="Q319" s="206">
        <f t="shared" si="39"/>
        <v>0</v>
      </c>
      <c r="R319" s="683">
        <f t="shared" si="38"/>
        <v>913.43999999999994</v>
      </c>
    </row>
    <row r="320" spans="1:18" ht="12" thickBot="1">
      <c r="A320" s="197" t="s">
        <v>1214</v>
      </c>
      <c r="B320" s="192" t="s">
        <v>163</v>
      </c>
      <c r="C320" s="147" t="s">
        <v>737</v>
      </c>
      <c r="D320" s="205"/>
      <c r="E320" s="307">
        <v>4</v>
      </c>
      <c r="F320" s="307">
        <v>115</v>
      </c>
      <c r="G320" s="308">
        <v>99.6</v>
      </c>
      <c r="H320" s="308">
        <v>0</v>
      </c>
      <c r="I320" s="308">
        <v>0</v>
      </c>
      <c r="J320" s="307">
        <v>4</v>
      </c>
      <c r="K320" s="307">
        <v>115</v>
      </c>
      <c r="L320" s="308">
        <v>99.6</v>
      </c>
      <c r="M320" s="308">
        <v>0</v>
      </c>
      <c r="N320" s="308">
        <v>0</v>
      </c>
      <c r="O320" s="675">
        <f t="shared" si="35"/>
        <v>0</v>
      </c>
      <c r="P320" s="675">
        <f t="shared" si="36"/>
        <v>0</v>
      </c>
      <c r="Q320" s="206">
        <f t="shared" si="39"/>
        <v>0</v>
      </c>
      <c r="R320" s="683">
        <f t="shared" si="38"/>
        <v>99.6</v>
      </c>
    </row>
    <row r="321" spans="1:18" ht="12" thickBot="1">
      <c r="A321" s="197" t="s">
        <v>1214</v>
      </c>
      <c r="B321" s="192" t="s">
        <v>163</v>
      </c>
      <c r="C321" s="309" t="s">
        <v>329</v>
      </c>
      <c r="D321" s="205"/>
      <c r="E321" s="307">
        <v>227</v>
      </c>
      <c r="F321" s="307">
        <v>5359</v>
      </c>
      <c r="G321" s="308">
        <v>4492.33</v>
      </c>
      <c r="H321" s="308">
        <v>0</v>
      </c>
      <c r="I321" s="308">
        <v>-15.170000000000073</v>
      </c>
      <c r="J321" s="307">
        <v>227</v>
      </c>
      <c r="K321" s="307">
        <v>5359</v>
      </c>
      <c r="L321" s="308">
        <v>4492.33</v>
      </c>
      <c r="M321" s="308">
        <v>-15.170000000000073</v>
      </c>
      <c r="N321" s="308">
        <v>0</v>
      </c>
      <c r="O321" s="675">
        <f t="shared" si="35"/>
        <v>0</v>
      </c>
      <c r="P321" s="675">
        <f t="shared" si="36"/>
        <v>0</v>
      </c>
      <c r="Q321" s="206">
        <f t="shared" si="39"/>
        <v>0</v>
      </c>
      <c r="R321" s="683">
        <f t="shared" si="38"/>
        <v>4477.16</v>
      </c>
    </row>
    <row r="322" spans="1:18" ht="12" thickBot="1">
      <c r="A322" s="197" t="s">
        <v>1214</v>
      </c>
      <c r="B322" s="192" t="s">
        <v>163</v>
      </c>
      <c r="C322" s="147" t="s">
        <v>330</v>
      </c>
      <c r="D322" s="205"/>
      <c r="E322" s="307">
        <v>2056</v>
      </c>
      <c r="F322" s="307">
        <v>69903</v>
      </c>
      <c r="G322" s="308">
        <v>42127.44</v>
      </c>
      <c r="H322" s="308">
        <v>11.31</v>
      </c>
      <c r="I322" s="308">
        <v>-33.680000000000291</v>
      </c>
      <c r="J322" s="307">
        <v>2056</v>
      </c>
      <c r="K322" s="307">
        <v>69903</v>
      </c>
      <c r="L322" s="308">
        <v>42127.44</v>
      </c>
      <c r="M322" s="308">
        <v>-33.680000000000291</v>
      </c>
      <c r="N322" s="308">
        <v>11.31</v>
      </c>
      <c r="O322" s="675">
        <f t="shared" si="35"/>
        <v>0</v>
      </c>
      <c r="P322" s="675">
        <f t="shared" si="36"/>
        <v>0</v>
      </c>
      <c r="Q322" s="206">
        <f t="shared" si="39"/>
        <v>0</v>
      </c>
      <c r="R322" s="683">
        <f t="shared" si="38"/>
        <v>42105.07</v>
      </c>
    </row>
    <row r="323" spans="1:18" ht="12" thickBot="1">
      <c r="A323" s="197" t="s">
        <v>1214</v>
      </c>
      <c r="B323" s="192" t="s">
        <v>163</v>
      </c>
      <c r="C323" s="147" t="s">
        <v>332</v>
      </c>
      <c r="D323" s="205"/>
      <c r="E323" s="307">
        <v>38</v>
      </c>
      <c r="F323" s="307">
        <v>942</v>
      </c>
      <c r="G323" s="308">
        <v>766.83999999999992</v>
      </c>
      <c r="H323" s="308">
        <v>0</v>
      </c>
      <c r="I323" s="308">
        <v>0</v>
      </c>
      <c r="J323" s="307">
        <v>38</v>
      </c>
      <c r="K323" s="307">
        <v>942</v>
      </c>
      <c r="L323" s="308">
        <v>766.83999999999992</v>
      </c>
      <c r="M323" s="308">
        <v>0</v>
      </c>
      <c r="N323" s="308">
        <v>0</v>
      </c>
      <c r="O323" s="675">
        <f t="shared" si="35"/>
        <v>0</v>
      </c>
      <c r="P323" s="675">
        <f t="shared" si="36"/>
        <v>0</v>
      </c>
      <c r="Q323" s="206">
        <f t="shared" si="39"/>
        <v>0</v>
      </c>
      <c r="R323" s="683">
        <f t="shared" si="38"/>
        <v>766.83999999999992</v>
      </c>
    </row>
    <row r="324" spans="1:18" ht="12" thickBot="1">
      <c r="A324" s="197" t="s">
        <v>1214</v>
      </c>
      <c r="B324" s="192" t="s">
        <v>163</v>
      </c>
      <c r="C324" s="147" t="s">
        <v>333</v>
      </c>
      <c r="D324" s="205"/>
      <c r="E324" s="307">
        <v>1864</v>
      </c>
      <c r="F324" s="307">
        <v>63796</v>
      </c>
      <c r="G324" s="308">
        <v>42051.840000000004</v>
      </c>
      <c r="H324" s="308">
        <v>19.55</v>
      </c>
      <c r="I324" s="308">
        <v>-248.91000000000349</v>
      </c>
      <c r="J324" s="307">
        <v>1864</v>
      </c>
      <c r="K324" s="307">
        <v>63796</v>
      </c>
      <c r="L324" s="308">
        <v>42051.840000000004</v>
      </c>
      <c r="M324" s="308">
        <v>-248.91000000000349</v>
      </c>
      <c r="N324" s="308">
        <v>19.55</v>
      </c>
      <c r="O324" s="675">
        <f t="shared" si="35"/>
        <v>0</v>
      </c>
      <c r="P324" s="675">
        <f t="shared" si="36"/>
        <v>0</v>
      </c>
      <c r="Q324" s="206">
        <f t="shared" si="39"/>
        <v>0</v>
      </c>
      <c r="R324" s="683">
        <f t="shared" si="38"/>
        <v>41822.480000000003</v>
      </c>
    </row>
    <row r="325" spans="1:18" ht="12" thickBot="1">
      <c r="A325" s="197" t="s">
        <v>1214</v>
      </c>
      <c r="B325" s="192" t="s">
        <v>163</v>
      </c>
      <c r="C325" s="147" t="s">
        <v>334</v>
      </c>
      <c r="D325" s="205"/>
      <c r="E325" s="307">
        <v>40</v>
      </c>
      <c r="F325" s="307">
        <v>1350</v>
      </c>
      <c r="G325" s="308">
        <v>947.2</v>
      </c>
      <c r="H325" s="308">
        <v>0</v>
      </c>
      <c r="I325" s="308">
        <v>0</v>
      </c>
      <c r="J325" s="307">
        <v>40</v>
      </c>
      <c r="K325" s="307">
        <v>1350</v>
      </c>
      <c r="L325" s="308">
        <v>947.2</v>
      </c>
      <c r="M325" s="308">
        <v>0</v>
      </c>
      <c r="N325" s="308">
        <v>0</v>
      </c>
      <c r="O325" s="675">
        <f t="shared" si="35"/>
        <v>0</v>
      </c>
      <c r="P325" s="675">
        <f t="shared" si="36"/>
        <v>0</v>
      </c>
      <c r="Q325" s="206">
        <f t="shared" si="39"/>
        <v>0</v>
      </c>
      <c r="R325" s="683">
        <f t="shared" si="38"/>
        <v>947.2</v>
      </c>
    </row>
    <row r="326" spans="1:18" ht="12" thickBot="1">
      <c r="A326" s="197" t="s">
        <v>1214</v>
      </c>
      <c r="B326" s="192" t="s">
        <v>163</v>
      </c>
      <c r="C326" s="147" t="s">
        <v>336</v>
      </c>
      <c r="D326" s="205"/>
      <c r="E326" s="307">
        <v>113</v>
      </c>
      <c r="F326" s="307">
        <v>6131</v>
      </c>
      <c r="G326" s="308">
        <v>2799.01</v>
      </c>
      <c r="H326" s="308">
        <v>0</v>
      </c>
      <c r="I326" s="308">
        <v>0</v>
      </c>
      <c r="J326" s="307">
        <v>113</v>
      </c>
      <c r="K326" s="307">
        <v>6131</v>
      </c>
      <c r="L326" s="308">
        <v>2799.01</v>
      </c>
      <c r="M326" s="308">
        <v>0</v>
      </c>
      <c r="N326" s="308">
        <v>0</v>
      </c>
      <c r="O326" s="675">
        <f t="shared" si="35"/>
        <v>0</v>
      </c>
      <c r="P326" s="675">
        <f t="shared" si="36"/>
        <v>0</v>
      </c>
      <c r="Q326" s="206">
        <f t="shared" si="39"/>
        <v>0</v>
      </c>
      <c r="R326" s="683">
        <f t="shared" si="38"/>
        <v>2799.01</v>
      </c>
    </row>
    <row r="327" spans="1:18" ht="12" thickBot="1">
      <c r="A327" s="197" t="s">
        <v>1214</v>
      </c>
      <c r="B327" s="192" t="s">
        <v>163</v>
      </c>
      <c r="C327" s="147" t="s">
        <v>337</v>
      </c>
      <c r="D327" s="205"/>
      <c r="E327" s="307">
        <v>54</v>
      </c>
      <c r="F327" s="307">
        <v>2833</v>
      </c>
      <c r="G327" s="308">
        <v>1614.06</v>
      </c>
      <c r="H327" s="308">
        <v>0</v>
      </c>
      <c r="I327" s="308">
        <v>0</v>
      </c>
      <c r="J327" s="307">
        <v>54</v>
      </c>
      <c r="K327" s="307">
        <v>2833</v>
      </c>
      <c r="L327" s="308">
        <v>1614.06</v>
      </c>
      <c r="M327" s="308">
        <v>0</v>
      </c>
      <c r="N327" s="308">
        <v>0</v>
      </c>
      <c r="O327" s="675">
        <f t="shared" si="35"/>
        <v>0</v>
      </c>
      <c r="P327" s="675">
        <f t="shared" si="36"/>
        <v>0</v>
      </c>
      <c r="Q327" s="206">
        <f t="shared" si="39"/>
        <v>0</v>
      </c>
      <c r="R327" s="683">
        <f t="shared" si="38"/>
        <v>1614.06</v>
      </c>
    </row>
    <row r="328" spans="1:18" ht="12" thickBot="1">
      <c r="A328" s="197" t="s">
        <v>1214</v>
      </c>
      <c r="B328" s="192" t="s">
        <v>163</v>
      </c>
      <c r="C328" s="147" t="s">
        <v>338</v>
      </c>
      <c r="D328" s="205"/>
      <c r="E328" s="307">
        <v>176</v>
      </c>
      <c r="F328" s="307">
        <v>14856</v>
      </c>
      <c r="G328" s="308">
        <v>5783.36</v>
      </c>
      <c r="H328" s="308">
        <v>0</v>
      </c>
      <c r="I328" s="308">
        <v>0</v>
      </c>
      <c r="J328" s="307">
        <v>176</v>
      </c>
      <c r="K328" s="307">
        <v>14856</v>
      </c>
      <c r="L328" s="308">
        <v>5783.36</v>
      </c>
      <c r="M328" s="308">
        <v>0</v>
      </c>
      <c r="N328" s="308">
        <v>0</v>
      </c>
      <c r="O328" s="675">
        <f t="shared" si="35"/>
        <v>0</v>
      </c>
      <c r="P328" s="675">
        <f t="shared" si="36"/>
        <v>0</v>
      </c>
      <c r="Q328" s="206">
        <f t="shared" si="39"/>
        <v>0</v>
      </c>
      <c r="R328" s="683">
        <f t="shared" si="38"/>
        <v>5783.36</v>
      </c>
    </row>
    <row r="329" spans="1:18" ht="12" thickBot="1">
      <c r="A329" s="197" t="s">
        <v>1214</v>
      </c>
      <c r="B329" s="192" t="s">
        <v>163</v>
      </c>
      <c r="C329" s="147" t="s">
        <v>339</v>
      </c>
      <c r="D329" s="205"/>
      <c r="E329" s="307">
        <v>391</v>
      </c>
      <c r="F329" s="307">
        <v>54304</v>
      </c>
      <c r="G329" s="308">
        <v>15010.49</v>
      </c>
      <c r="H329" s="308">
        <v>0</v>
      </c>
      <c r="I329" s="308">
        <v>-63.670000000000073</v>
      </c>
      <c r="J329" s="307">
        <v>391</v>
      </c>
      <c r="K329" s="307">
        <v>54304</v>
      </c>
      <c r="L329" s="308">
        <v>15010.49</v>
      </c>
      <c r="M329" s="308">
        <v>-63.670000000000073</v>
      </c>
      <c r="N329" s="308">
        <v>0</v>
      </c>
      <c r="O329" s="675">
        <f t="shared" si="35"/>
        <v>0</v>
      </c>
      <c r="P329" s="675">
        <f t="shared" si="36"/>
        <v>0</v>
      </c>
      <c r="Q329" s="206">
        <f t="shared" si="39"/>
        <v>0</v>
      </c>
      <c r="R329" s="683">
        <f t="shared" si="38"/>
        <v>14946.82</v>
      </c>
    </row>
    <row r="330" spans="1:18" ht="12" thickBot="1">
      <c r="A330" s="197" t="s">
        <v>1214</v>
      </c>
      <c r="B330" s="192" t="s">
        <v>163</v>
      </c>
      <c r="C330" s="147" t="s">
        <v>340</v>
      </c>
      <c r="D330" s="205"/>
      <c r="E330" s="307">
        <v>13</v>
      </c>
      <c r="F330" s="307">
        <v>681</v>
      </c>
      <c r="G330" s="308">
        <v>342.55</v>
      </c>
      <c r="H330" s="308">
        <v>0</v>
      </c>
      <c r="I330" s="308">
        <v>0</v>
      </c>
      <c r="J330" s="307">
        <v>13</v>
      </c>
      <c r="K330" s="307">
        <v>681</v>
      </c>
      <c r="L330" s="308">
        <v>342.55</v>
      </c>
      <c r="M330" s="308">
        <v>0</v>
      </c>
      <c r="N330" s="308">
        <v>0</v>
      </c>
      <c r="O330" s="675">
        <f t="shared" si="35"/>
        <v>0</v>
      </c>
      <c r="P330" s="675">
        <f t="shared" si="36"/>
        <v>0</v>
      </c>
      <c r="Q330" s="206">
        <f t="shared" si="39"/>
        <v>0</v>
      </c>
      <c r="R330" s="683">
        <f t="shared" si="38"/>
        <v>342.55</v>
      </c>
    </row>
    <row r="331" spans="1:18" ht="12" thickBot="1">
      <c r="A331" s="197" t="s">
        <v>1214</v>
      </c>
      <c r="B331" s="192" t="s">
        <v>163</v>
      </c>
      <c r="C331" s="147" t="s">
        <v>341</v>
      </c>
      <c r="D331" s="205"/>
      <c r="E331" s="307">
        <v>40</v>
      </c>
      <c r="F331" s="307">
        <v>3707</v>
      </c>
      <c r="G331" s="308">
        <v>1138</v>
      </c>
      <c r="H331" s="308">
        <v>0</v>
      </c>
      <c r="I331" s="308">
        <v>0</v>
      </c>
      <c r="J331" s="307">
        <v>40</v>
      </c>
      <c r="K331" s="307">
        <v>3707</v>
      </c>
      <c r="L331" s="308">
        <v>1138</v>
      </c>
      <c r="M331" s="308">
        <v>0</v>
      </c>
      <c r="N331" s="308">
        <v>0</v>
      </c>
      <c r="O331" s="675">
        <f t="shared" si="35"/>
        <v>0</v>
      </c>
      <c r="P331" s="675">
        <f t="shared" si="36"/>
        <v>0</v>
      </c>
      <c r="Q331" s="206">
        <f t="shared" si="39"/>
        <v>0</v>
      </c>
      <c r="R331" s="683">
        <f t="shared" si="38"/>
        <v>1138</v>
      </c>
    </row>
    <row r="332" spans="1:18" ht="12" thickBot="1">
      <c r="A332" s="197" t="s">
        <v>1214</v>
      </c>
      <c r="B332" s="192" t="s">
        <v>163</v>
      </c>
      <c r="C332" s="147" t="s">
        <v>342</v>
      </c>
      <c r="D332" s="205"/>
      <c r="E332" s="307">
        <v>27</v>
      </c>
      <c r="F332" s="307">
        <v>3753</v>
      </c>
      <c r="G332" s="308">
        <v>918.81000000000006</v>
      </c>
      <c r="H332" s="308">
        <v>0</v>
      </c>
      <c r="I332" s="308">
        <v>0</v>
      </c>
      <c r="J332" s="307">
        <v>27</v>
      </c>
      <c r="K332" s="307">
        <v>3753</v>
      </c>
      <c r="L332" s="308">
        <v>918.81000000000006</v>
      </c>
      <c r="M332" s="308">
        <v>0</v>
      </c>
      <c r="N332" s="308">
        <v>0</v>
      </c>
      <c r="O332" s="675">
        <f t="shared" si="35"/>
        <v>0</v>
      </c>
      <c r="P332" s="675">
        <f t="shared" si="36"/>
        <v>0</v>
      </c>
      <c r="Q332" s="206">
        <f t="shared" si="39"/>
        <v>0</v>
      </c>
      <c r="R332" s="683">
        <f t="shared" si="38"/>
        <v>918.81000000000006</v>
      </c>
    </row>
    <row r="333" spans="1:18" ht="12" thickBot="1">
      <c r="A333" s="197" t="s">
        <v>1214</v>
      </c>
      <c r="B333" s="192" t="s">
        <v>163</v>
      </c>
      <c r="C333" s="309" t="s">
        <v>343</v>
      </c>
      <c r="D333" s="205"/>
      <c r="E333" s="307">
        <v>41</v>
      </c>
      <c r="F333" s="307">
        <v>1053</v>
      </c>
      <c r="G333" s="308">
        <v>1362.02</v>
      </c>
      <c r="H333" s="308">
        <v>21.36</v>
      </c>
      <c r="I333" s="308">
        <v>0</v>
      </c>
      <c r="J333" s="307">
        <v>41</v>
      </c>
      <c r="K333" s="307">
        <v>1053</v>
      </c>
      <c r="L333" s="308">
        <v>1362.02</v>
      </c>
      <c r="M333" s="308">
        <v>0</v>
      </c>
      <c r="N333" s="308">
        <v>21.36</v>
      </c>
      <c r="O333" s="675">
        <f t="shared" si="35"/>
        <v>0</v>
      </c>
      <c r="P333" s="675">
        <f t="shared" si="36"/>
        <v>0</v>
      </c>
      <c r="Q333" s="206">
        <f t="shared" si="39"/>
        <v>0</v>
      </c>
      <c r="R333" s="683">
        <f t="shared" si="38"/>
        <v>1383.3799999999999</v>
      </c>
    </row>
    <row r="334" spans="1:18" ht="12" thickBot="1">
      <c r="A334" s="197" t="s">
        <v>1214</v>
      </c>
      <c r="B334" s="192" t="s">
        <v>163</v>
      </c>
      <c r="C334" s="147" t="s">
        <v>344</v>
      </c>
      <c r="D334" s="205"/>
      <c r="E334" s="307">
        <v>51</v>
      </c>
      <c r="F334" s="307">
        <v>1289</v>
      </c>
      <c r="G334" s="308">
        <v>1795.2</v>
      </c>
      <c r="H334" s="308">
        <v>43.4</v>
      </c>
      <c r="I334" s="308">
        <v>0</v>
      </c>
      <c r="J334" s="307">
        <v>51</v>
      </c>
      <c r="K334" s="307">
        <v>1289</v>
      </c>
      <c r="L334" s="308">
        <v>1795.2</v>
      </c>
      <c r="M334" s="308">
        <v>0</v>
      </c>
      <c r="N334" s="308">
        <v>43.4</v>
      </c>
      <c r="O334" s="675">
        <f t="shared" si="35"/>
        <v>0</v>
      </c>
      <c r="P334" s="675">
        <f t="shared" si="36"/>
        <v>0</v>
      </c>
      <c r="Q334" s="206">
        <f t="shared" si="39"/>
        <v>0</v>
      </c>
      <c r="R334" s="683">
        <f t="shared" si="38"/>
        <v>1838.6000000000001</v>
      </c>
    </row>
    <row r="335" spans="1:18" ht="12" thickBot="1">
      <c r="A335" s="197" t="s">
        <v>1214</v>
      </c>
      <c r="B335" s="192" t="s">
        <v>163</v>
      </c>
      <c r="C335" s="147" t="s">
        <v>345</v>
      </c>
      <c r="D335" s="205"/>
      <c r="E335" s="307">
        <v>208</v>
      </c>
      <c r="F335" s="307">
        <v>7401</v>
      </c>
      <c r="G335" s="308">
        <v>7090.72</v>
      </c>
      <c r="H335" s="308">
        <v>266.27000000000004</v>
      </c>
      <c r="I335" s="308">
        <v>0</v>
      </c>
      <c r="J335" s="307">
        <v>208</v>
      </c>
      <c r="K335" s="307">
        <v>7401</v>
      </c>
      <c r="L335" s="308">
        <v>7090.72</v>
      </c>
      <c r="M335" s="308">
        <v>0</v>
      </c>
      <c r="N335" s="308">
        <v>266.27000000000004</v>
      </c>
      <c r="O335" s="675">
        <f t="shared" si="35"/>
        <v>0</v>
      </c>
      <c r="P335" s="675">
        <f t="shared" si="36"/>
        <v>0</v>
      </c>
      <c r="Q335" s="206">
        <f t="shared" si="39"/>
        <v>0</v>
      </c>
      <c r="R335" s="683">
        <f t="shared" si="38"/>
        <v>7356.9900000000007</v>
      </c>
    </row>
    <row r="336" spans="1:18" ht="12" thickBot="1">
      <c r="A336" s="197" t="s">
        <v>1214</v>
      </c>
      <c r="B336" s="192" t="s">
        <v>163</v>
      </c>
      <c r="C336" s="147" t="s">
        <v>346</v>
      </c>
      <c r="D336" s="205"/>
      <c r="E336" s="307">
        <v>196</v>
      </c>
      <c r="F336" s="307">
        <v>6943</v>
      </c>
      <c r="G336" s="308">
        <v>7069.7199999999993</v>
      </c>
      <c r="H336" s="308">
        <v>635.57000000000005</v>
      </c>
      <c r="I336" s="308">
        <v>0</v>
      </c>
      <c r="J336" s="307">
        <v>196</v>
      </c>
      <c r="K336" s="307">
        <v>6943</v>
      </c>
      <c r="L336" s="308">
        <v>7069.7199999999993</v>
      </c>
      <c r="M336" s="308">
        <v>0</v>
      </c>
      <c r="N336" s="308">
        <v>635.57000000000005</v>
      </c>
      <c r="O336" s="675">
        <f t="shared" si="35"/>
        <v>0</v>
      </c>
      <c r="P336" s="675">
        <f t="shared" si="36"/>
        <v>0</v>
      </c>
      <c r="Q336" s="206">
        <f t="shared" si="39"/>
        <v>0</v>
      </c>
      <c r="R336" s="683">
        <f t="shared" si="38"/>
        <v>7705.2899999999991</v>
      </c>
    </row>
    <row r="337" spans="1:18" ht="12" thickBot="1">
      <c r="A337" s="197" t="s">
        <v>1214</v>
      </c>
      <c r="B337" s="192" t="s">
        <v>163</v>
      </c>
      <c r="C337" s="147" t="s">
        <v>347</v>
      </c>
      <c r="D337" s="205"/>
      <c r="E337" s="307">
        <v>1</v>
      </c>
      <c r="F337" s="307">
        <v>24</v>
      </c>
      <c r="G337" s="308">
        <v>32.26</v>
      </c>
      <c r="H337" s="308">
        <v>0</v>
      </c>
      <c r="I337" s="308">
        <v>0</v>
      </c>
      <c r="J337" s="307">
        <v>1</v>
      </c>
      <c r="K337" s="307">
        <v>24</v>
      </c>
      <c r="L337" s="308">
        <v>32.26</v>
      </c>
      <c r="M337" s="308">
        <v>0</v>
      </c>
      <c r="N337" s="308">
        <v>0</v>
      </c>
      <c r="O337" s="675">
        <f t="shared" si="35"/>
        <v>0</v>
      </c>
      <c r="P337" s="675">
        <f t="shared" si="36"/>
        <v>0</v>
      </c>
      <c r="Q337" s="206">
        <f t="shared" si="39"/>
        <v>0</v>
      </c>
      <c r="R337" s="683">
        <f t="shared" si="38"/>
        <v>32.26</v>
      </c>
    </row>
    <row r="338" spans="1:18" ht="12" thickBot="1">
      <c r="A338" s="197" t="s">
        <v>1214</v>
      </c>
      <c r="B338" s="192" t="s">
        <v>163</v>
      </c>
      <c r="C338" s="147" t="s">
        <v>348</v>
      </c>
      <c r="D338" s="205"/>
      <c r="E338" s="307">
        <v>45</v>
      </c>
      <c r="F338" s="307">
        <v>1119</v>
      </c>
      <c r="G338" s="308">
        <v>1481.85</v>
      </c>
      <c r="H338" s="308">
        <v>165.98</v>
      </c>
      <c r="I338" s="308">
        <v>0</v>
      </c>
      <c r="J338" s="307">
        <v>45</v>
      </c>
      <c r="K338" s="307">
        <v>1119</v>
      </c>
      <c r="L338" s="308">
        <v>1481.85</v>
      </c>
      <c r="M338" s="308">
        <v>0</v>
      </c>
      <c r="N338" s="308">
        <v>165.98</v>
      </c>
      <c r="O338" s="675">
        <f t="shared" si="35"/>
        <v>0</v>
      </c>
      <c r="P338" s="675">
        <f t="shared" si="36"/>
        <v>0</v>
      </c>
      <c r="Q338" s="206">
        <f t="shared" si="39"/>
        <v>0</v>
      </c>
      <c r="R338" s="683">
        <f t="shared" si="38"/>
        <v>1647.83</v>
      </c>
    </row>
    <row r="339" spans="1:18" ht="12" thickBot="1">
      <c r="A339" s="197" t="s">
        <v>1214</v>
      </c>
      <c r="B339" s="192" t="s">
        <v>163</v>
      </c>
      <c r="C339" s="147" t="s">
        <v>376</v>
      </c>
      <c r="D339" s="205"/>
      <c r="E339" s="307">
        <v>10</v>
      </c>
      <c r="F339" s="307">
        <v>345</v>
      </c>
      <c r="G339" s="308">
        <v>343.3</v>
      </c>
      <c r="H339" s="308">
        <v>3.47</v>
      </c>
      <c r="I339" s="308">
        <v>0</v>
      </c>
      <c r="J339" s="307">
        <v>10</v>
      </c>
      <c r="K339" s="307">
        <v>345</v>
      </c>
      <c r="L339" s="308">
        <v>343.3</v>
      </c>
      <c r="M339" s="308">
        <v>0</v>
      </c>
      <c r="N339" s="308">
        <v>3.47</v>
      </c>
      <c r="O339" s="675">
        <f t="shared" si="35"/>
        <v>0</v>
      </c>
      <c r="P339" s="675">
        <f t="shared" si="36"/>
        <v>0</v>
      </c>
      <c r="Q339" s="206">
        <f t="shared" si="39"/>
        <v>0</v>
      </c>
      <c r="R339" s="683">
        <f t="shared" si="38"/>
        <v>346.77000000000004</v>
      </c>
    </row>
    <row r="340" spans="1:18" ht="12" thickBot="1">
      <c r="A340" s="197" t="s">
        <v>1214</v>
      </c>
      <c r="B340" s="192" t="s">
        <v>163</v>
      </c>
      <c r="C340" s="147" t="s">
        <v>349</v>
      </c>
      <c r="D340" s="205"/>
      <c r="E340" s="307">
        <v>195</v>
      </c>
      <c r="F340" s="307">
        <v>6489</v>
      </c>
      <c r="G340" s="308">
        <v>6823.05</v>
      </c>
      <c r="H340" s="308">
        <v>932.68999999999994</v>
      </c>
      <c r="I340" s="308">
        <v>0</v>
      </c>
      <c r="J340" s="307">
        <v>195</v>
      </c>
      <c r="K340" s="307">
        <v>6489</v>
      </c>
      <c r="L340" s="308">
        <v>6823.05</v>
      </c>
      <c r="M340" s="308">
        <v>0</v>
      </c>
      <c r="N340" s="308">
        <v>932.68999999999994</v>
      </c>
      <c r="O340" s="675">
        <f t="shared" si="35"/>
        <v>0</v>
      </c>
      <c r="P340" s="675">
        <f t="shared" si="36"/>
        <v>0</v>
      </c>
      <c r="Q340" s="206">
        <f t="shared" si="39"/>
        <v>0</v>
      </c>
      <c r="R340" s="683">
        <f t="shared" si="38"/>
        <v>7755.74</v>
      </c>
    </row>
    <row r="341" spans="1:18" ht="12" thickBot="1">
      <c r="A341" s="197" t="s">
        <v>1214</v>
      </c>
      <c r="B341" s="192" t="s">
        <v>163</v>
      </c>
      <c r="C341" s="147" t="s">
        <v>730</v>
      </c>
      <c r="D341" s="205"/>
      <c r="E341" s="307">
        <v>2</v>
      </c>
      <c r="F341" s="307">
        <v>164</v>
      </c>
      <c r="G341" s="308">
        <v>36.56</v>
      </c>
      <c r="H341" s="308">
        <v>0</v>
      </c>
      <c r="I341" s="308">
        <v>0</v>
      </c>
      <c r="J341" s="307">
        <v>2</v>
      </c>
      <c r="K341" s="307">
        <v>164</v>
      </c>
      <c r="L341" s="308">
        <v>36.56</v>
      </c>
      <c r="M341" s="308">
        <v>0</v>
      </c>
      <c r="N341" s="308">
        <v>0</v>
      </c>
      <c r="O341" s="675">
        <f t="shared" si="35"/>
        <v>0</v>
      </c>
      <c r="P341" s="675">
        <f t="shared" si="36"/>
        <v>0</v>
      </c>
      <c r="Q341" s="206">
        <f t="shared" si="39"/>
        <v>0</v>
      </c>
      <c r="R341" s="683">
        <f t="shared" si="38"/>
        <v>36.56</v>
      </c>
    </row>
    <row r="342" spans="1:18" ht="12" thickBot="1">
      <c r="A342" s="197" t="s">
        <v>1214</v>
      </c>
      <c r="B342" s="192" t="s">
        <v>163</v>
      </c>
      <c r="C342" s="147" t="s">
        <v>378</v>
      </c>
      <c r="D342" s="205"/>
      <c r="E342" s="307">
        <v>15</v>
      </c>
      <c r="F342" s="307">
        <v>2065</v>
      </c>
      <c r="G342" s="308">
        <v>334.8</v>
      </c>
      <c r="H342" s="308">
        <v>0</v>
      </c>
      <c r="I342" s="308">
        <v>0</v>
      </c>
      <c r="J342" s="307">
        <v>15</v>
      </c>
      <c r="K342" s="307">
        <v>2065</v>
      </c>
      <c r="L342" s="308">
        <v>334.8</v>
      </c>
      <c r="M342" s="308">
        <v>0</v>
      </c>
      <c r="N342" s="308">
        <v>0</v>
      </c>
      <c r="O342" s="675">
        <f t="shared" si="35"/>
        <v>0</v>
      </c>
      <c r="P342" s="675">
        <f t="shared" si="36"/>
        <v>0</v>
      </c>
      <c r="Q342" s="206">
        <f t="shared" si="39"/>
        <v>0</v>
      </c>
      <c r="R342" s="683">
        <f t="shared" si="38"/>
        <v>334.8</v>
      </c>
    </row>
    <row r="343" spans="1:18" ht="12" thickBot="1">
      <c r="A343" s="197" t="s">
        <v>1214</v>
      </c>
      <c r="B343" s="192" t="s">
        <v>163</v>
      </c>
      <c r="C343" s="309" t="s">
        <v>354</v>
      </c>
      <c r="D343" s="205"/>
      <c r="E343" s="307">
        <v>3412</v>
      </c>
      <c r="F343" s="307">
        <v>179674</v>
      </c>
      <c r="G343" s="308">
        <v>43741.840000000004</v>
      </c>
      <c r="H343" s="308">
        <v>1137.06</v>
      </c>
      <c r="I343" s="308">
        <v>-129.32999999999856</v>
      </c>
      <c r="J343" s="307">
        <v>3412</v>
      </c>
      <c r="K343" s="307">
        <v>179674</v>
      </c>
      <c r="L343" s="308">
        <v>43741.840000000004</v>
      </c>
      <c r="M343" s="308">
        <v>-129.32999999999856</v>
      </c>
      <c r="N343" s="308">
        <v>1137.06</v>
      </c>
      <c r="O343" s="675">
        <f t="shared" si="35"/>
        <v>0</v>
      </c>
      <c r="P343" s="675">
        <f t="shared" si="36"/>
        <v>0</v>
      </c>
      <c r="Q343" s="206">
        <f t="shared" si="39"/>
        <v>0</v>
      </c>
      <c r="R343" s="683">
        <f t="shared" si="38"/>
        <v>44749.57</v>
      </c>
    </row>
    <row r="344" spans="1:18" ht="12" thickBot="1">
      <c r="A344" s="197" t="s">
        <v>1214</v>
      </c>
      <c r="B344" s="192" t="s">
        <v>163</v>
      </c>
      <c r="C344" s="147" t="s">
        <v>355</v>
      </c>
      <c r="D344" s="205"/>
      <c r="E344" s="307">
        <v>2227</v>
      </c>
      <c r="F344" s="307">
        <v>193689</v>
      </c>
      <c r="G344" s="308">
        <v>33583.160000000003</v>
      </c>
      <c r="H344" s="308">
        <v>1122.04</v>
      </c>
      <c r="I344" s="308">
        <v>15.280000000000655</v>
      </c>
      <c r="J344" s="307">
        <v>2227</v>
      </c>
      <c r="K344" s="307">
        <v>193689</v>
      </c>
      <c r="L344" s="308">
        <v>33583.160000000003</v>
      </c>
      <c r="M344" s="308">
        <v>15.280000000000655</v>
      </c>
      <c r="N344" s="308">
        <v>1122.04</v>
      </c>
      <c r="O344" s="675">
        <f t="shared" si="35"/>
        <v>0</v>
      </c>
      <c r="P344" s="675">
        <f t="shared" si="36"/>
        <v>0</v>
      </c>
      <c r="Q344" s="206">
        <f t="shared" si="39"/>
        <v>0</v>
      </c>
      <c r="R344" s="683">
        <f t="shared" si="38"/>
        <v>34720.480000000003</v>
      </c>
    </row>
    <row r="345" spans="1:18" ht="12" thickBot="1">
      <c r="A345" s="197" t="s">
        <v>1214</v>
      </c>
      <c r="B345" s="192" t="s">
        <v>163</v>
      </c>
      <c r="C345" s="147" t="s">
        <v>356</v>
      </c>
      <c r="D345" s="205"/>
      <c r="E345" s="307">
        <v>3492</v>
      </c>
      <c r="F345" s="307">
        <v>477507</v>
      </c>
      <c r="G345" s="308">
        <v>60690.96</v>
      </c>
      <c r="H345" s="308">
        <v>2843.6</v>
      </c>
      <c r="I345" s="308">
        <v>-86.899999999999181</v>
      </c>
      <c r="J345" s="307">
        <v>3492</v>
      </c>
      <c r="K345" s="307">
        <v>477507</v>
      </c>
      <c r="L345" s="308">
        <v>60690.96</v>
      </c>
      <c r="M345" s="308">
        <v>-86.899999999999181</v>
      </c>
      <c r="N345" s="308">
        <v>2843.6</v>
      </c>
      <c r="O345" s="675">
        <f t="shared" si="35"/>
        <v>0</v>
      </c>
      <c r="P345" s="675">
        <f t="shared" si="36"/>
        <v>0</v>
      </c>
      <c r="Q345" s="206">
        <f t="shared" si="39"/>
        <v>0</v>
      </c>
      <c r="R345" s="683">
        <f t="shared" si="38"/>
        <v>63447.659999999996</v>
      </c>
    </row>
    <row r="346" spans="1:18" ht="12" thickBot="1">
      <c r="A346" s="197" t="s">
        <v>1214</v>
      </c>
      <c r="B346" s="192" t="s">
        <v>163</v>
      </c>
      <c r="C346" s="147" t="s">
        <v>357</v>
      </c>
      <c r="D346" s="205"/>
      <c r="E346" s="307">
        <v>418</v>
      </c>
      <c r="F346" s="307">
        <v>21893</v>
      </c>
      <c r="G346" s="308">
        <v>5755.8600000000006</v>
      </c>
      <c r="H346" s="308">
        <v>226.44</v>
      </c>
      <c r="I346" s="308">
        <v>-11.470000000000255</v>
      </c>
      <c r="J346" s="307">
        <v>418</v>
      </c>
      <c r="K346" s="307">
        <v>21893</v>
      </c>
      <c r="L346" s="308">
        <v>5755.8600000000006</v>
      </c>
      <c r="M346" s="308">
        <v>-11.470000000000255</v>
      </c>
      <c r="N346" s="308">
        <v>226.44</v>
      </c>
      <c r="O346" s="675">
        <f t="shared" si="35"/>
        <v>0</v>
      </c>
      <c r="P346" s="675">
        <f t="shared" si="36"/>
        <v>0</v>
      </c>
      <c r="Q346" s="206">
        <f t="shared" si="39"/>
        <v>0</v>
      </c>
      <c r="R346" s="683">
        <f t="shared" si="38"/>
        <v>5970.83</v>
      </c>
    </row>
    <row r="347" spans="1:18" ht="12" thickBot="1">
      <c r="A347" s="197" t="s">
        <v>1214</v>
      </c>
      <c r="B347" s="192" t="s">
        <v>163</v>
      </c>
      <c r="C347" s="147" t="s">
        <v>358</v>
      </c>
      <c r="D347" s="205"/>
      <c r="E347" s="307">
        <v>13198</v>
      </c>
      <c r="F347" s="307">
        <v>1803728</v>
      </c>
      <c r="G347" s="308">
        <v>240335.58000000002</v>
      </c>
      <c r="H347" s="308">
        <v>7929.76</v>
      </c>
      <c r="I347" s="308">
        <v>-744.78000000000611</v>
      </c>
      <c r="J347" s="307">
        <v>13198</v>
      </c>
      <c r="K347" s="307">
        <v>1803728</v>
      </c>
      <c r="L347" s="308">
        <v>240335.58000000002</v>
      </c>
      <c r="M347" s="308">
        <v>-744.78000000000611</v>
      </c>
      <c r="N347" s="308">
        <v>7929.76</v>
      </c>
      <c r="O347" s="675">
        <f t="shared" si="35"/>
        <v>0</v>
      </c>
      <c r="P347" s="675">
        <f t="shared" si="36"/>
        <v>0</v>
      </c>
      <c r="Q347" s="206">
        <f t="shared" si="39"/>
        <v>0</v>
      </c>
      <c r="R347" s="683">
        <f t="shared" si="38"/>
        <v>247520.56000000003</v>
      </c>
    </row>
    <row r="348" spans="1:18" ht="12" thickBot="1">
      <c r="A348" s="197" t="s">
        <v>1214</v>
      </c>
      <c r="B348" s="192" t="s">
        <v>163</v>
      </c>
      <c r="C348" s="147" t="s">
        <v>359</v>
      </c>
      <c r="D348" s="205"/>
      <c r="E348" s="307">
        <v>3375</v>
      </c>
      <c r="F348" s="307">
        <v>114937</v>
      </c>
      <c r="G348" s="308">
        <v>36652.5</v>
      </c>
      <c r="H348" s="308">
        <v>1657.25</v>
      </c>
      <c r="I348" s="308">
        <v>-133.91000000000412</v>
      </c>
      <c r="J348" s="307">
        <v>3375</v>
      </c>
      <c r="K348" s="307">
        <v>114937</v>
      </c>
      <c r="L348" s="308">
        <v>36652.5</v>
      </c>
      <c r="M348" s="308">
        <v>-133.91000000000412</v>
      </c>
      <c r="N348" s="308">
        <v>1657.25</v>
      </c>
      <c r="O348" s="675">
        <f t="shared" si="35"/>
        <v>0</v>
      </c>
      <c r="P348" s="675">
        <f t="shared" si="36"/>
        <v>0</v>
      </c>
      <c r="Q348" s="206">
        <f t="shared" si="39"/>
        <v>0</v>
      </c>
      <c r="R348" s="683">
        <f t="shared" si="38"/>
        <v>38175.839999999997</v>
      </c>
    </row>
    <row r="349" spans="1:18" ht="12" thickBot="1">
      <c r="A349" s="197" t="s">
        <v>1214</v>
      </c>
      <c r="B349" s="192" t="s">
        <v>163</v>
      </c>
      <c r="C349" s="147" t="s">
        <v>360</v>
      </c>
      <c r="D349" s="205"/>
      <c r="E349" s="307">
        <v>4</v>
      </c>
      <c r="F349" s="307">
        <v>238</v>
      </c>
      <c r="G349" s="308">
        <v>44.52</v>
      </c>
      <c r="H349" s="308">
        <v>0</v>
      </c>
      <c r="I349" s="308">
        <v>0</v>
      </c>
      <c r="J349" s="307">
        <v>4</v>
      </c>
      <c r="K349" s="307">
        <v>238</v>
      </c>
      <c r="L349" s="308">
        <v>44.52</v>
      </c>
      <c r="M349" s="308">
        <v>0</v>
      </c>
      <c r="N349" s="308">
        <v>0</v>
      </c>
      <c r="O349" s="675">
        <f t="shared" si="35"/>
        <v>0</v>
      </c>
      <c r="P349" s="675">
        <f t="shared" si="36"/>
        <v>0</v>
      </c>
      <c r="Q349" s="206">
        <f t="shared" si="39"/>
        <v>0</v>
      </c>
      <c r="R349" s="683">
        <f t="shared" si="38"/>
        <v>44.52</v>
      </c>
    </row>
    <row r="350" spans="1:18" ht="12" thickBot="1">
      <c r="A350" s="197" t="s">
        <v>1214</v>
      </c>
      <c r="B350" s="192" t="s">
        <v>163</v>
      </c>
      <c r="C350" s="147" t="s">
        <v>365</v>
      </c>
      <c r="D350" s="205"/>
      <c r="E350" s="307">
        <v>24</v>
      </c>
      <c r="F350" s="307">
        <v>1065</v>
      </c>
      <c r="G350" s="308">
        <v>306.95999999999998</v>
      </c>
      <c r="H350" s="308">
        <v>4.12</v>
      </c>
      <c r="I350" s="308">
        <v>0</v>
      </c>
      <c r="J350" s="307">
        <v>24</v>
      </c>
      <c r="K350" s="307">
        <v>1065</v>
      </c>
      <c r="L350" s="308">
        <v>306.95999999999998</v>
      </c>
      <c r="M350" s="308">
        <v>0</v>
      </c>
      <c r="N350" s="308">
        <v>4.12</v>
      </c>
      <c r="O350" s="675">
        <f t="shared" si="35"/>
        <v>0</v>
      </c>
      <c r="P350" s="675">
        <f t="shared" si="36"/>
        <v>0</v>
      </c>
      <c r="Q350" s="206">
        <f t="shared" si="39"/>
        <v>0</v>
      </c>
      <c r="R350" s="683">
        <f t="shared" si="38"/>
        <v>311.08</v>
      </c>
    </row>
    <row r="351" spans="1:18" ht="12" thickBot="1">
      <c r="A351" s="197" t="s">
        <v>1214</v>
      </c>
      <c r="B351" s="192" t="s">
        <v>163</v>
      </c>
      <c r="C351" s="147" t="s">
        <v>366</v>
      </c>
      <c r="D351" s="205"/>
      <c r="E351" s="307">
        <v>2</v>
      </c>
      <c r="F351" s="307">
        <v>90</v>
      </c>
      <c r="G351" s="308">
        <v>30.14</v>
      </c>
      <c r="H351" s="308">
        <v>0</v>
      </c>
      <c r="I351" s="308">
        <v>0</v>
      </c>
      <c r="J351" s="307">
        <v>2</v>
      </c>
      <c r="K351" s="307">
        <v>90</v>
      </c>
      <c r="L351" s="308">
        <v>30.14</v>
      </c>
      <c r="M351" s="308">
        <v>0</v>
      </c>
      <c r="N351" s="308">
        <v>0</v>
      </c>
      <c r="O351" s="675">
        <f t="shared" si="35"/>
        <v>0</v>
      </c>
      <c r="P351" s="675">
        <f t="shared" si="36"/>
        <v>0</v>
      </c>
      <c r="Q351" s="206">
        <f t="shared" si="39"/>
        <v>0</v>
      </c>
      <c r="R351" s="683">
        <f t="shared" si="38"/>
        <v>30.14</v>
      </c>
    </row>
    <row r="352" spans="1:18" ht="12" thickBot="1">
      <c r="A352" s="197" t="s">
        <v>1214</v>
      </c>
      <c r="B352" s="192" t="s">
        <v>163</v>
      </c>
      <c r="C352" s="147" t="s">
        <v>367</v>
      </c>
      <c r="D352" s="205"/>
      <c r="E352" s="307">
        <v>416</v>
      </c>
      <c r="F352" s="307">
        <v>42195</v>
      </c>
      <c r="G352" s="308">
        <v>7770.88</v>
      </c>
      <c r="H352" s="308">
        <v>80.22</v>
      </c>
      <c r="I352" s="308">
        <v>-136.83999999999972</v>
      </c>
      <c r="J352" s="307">
        <v>416</v>
      </c>
      <c r="K352" s="307">
        <v>42195</v>
      </c>
      <c r="L352" s="308">
        <v>7770.88</v>
      </c>
      <c r="M352" s="308">
        <v>-136.83999999999972</v>
      </c>
      <c r="N352" s="308">
        <v>80.22</v>
      </c>
      <c r="O352" s="675">
        <f t="shared" si="35"/>
        <v>0</v>
      </c>
      <c r="P352" s="675">
        <f t="shared" si="36"/>
        <v>0</v>
      </c>
      <c r="Q352" s="206">
        <f t="shared" si="39"/>
        <v>0</v>
      </c>
      <c r="R352" s="683">
        <f t="shared" si="38"/>
        <v>7714.26</v>
      </c>
    </row>
    <row r="353" spans="1:18" ht="12" thickBot="1">
      <c r="A353" s="197" t="s">
        <v>1214</v>
      </c>
      <c r="B353" s="192" t="s">
        <v>163</v>
      </c>
      <c r="C353" s="147" t="s">
        <v>368</v>
      </c>
      <c r="D353" s="205"/>
      <c r="E353" s="307">
        <v>54</v>
      </c>
      <c r="F353" s="307">
        <v>5362</v>
      </c>
      <c r="G353" s="308">
        <v>1132.3800000000001</v>
      </c>
      <c r="H353" s="308">
        <v>26.740000000000002</v>
      </c>
      <c r="I353" s="308">
        <v>0</v>
      </c>
      <c r="J353" s="307">
        <v>54</v>
      </c>
      <c r="K353" s="307">
        <v>5362</v>
      </c>
      <c r="L353" s="308">
        <v>1132.3800000000001</v>
      </c>
      <c r="M353" s="308">
        <v>0</v>
      </c>
      <c r="N353" s="308">
        <v>26.740000000000002</v>
      </c>
      <c r="O353" s="675">
        <f t="shared" ref="O353:O361" si="40">J353-E353</f>
        <v>0</v>
      </c>
      <c r="P353" s="675">
        <f t="shared" ref="P353:P412" si="41">K353-F353</f>
        <v>0</v>
      </c>
      <c r="Q353" s="206">
        <f t="shared" si="39"/>
        <v>0</v>
      </c>
      <c r="R353" s="683">
        <f t="shared" ref="R353:R361" si="42">SUM(G353:I353)</f>
        <v>1159.1200000000001</v>
      </c>
    </row>
    <row r="354" spans="1:18" ht="12" thickBot="1">
      <c r="A354" s="197" t="s">
        <v>1214</v>
      </c>
      <c r="B354" s="192" t="s">
        <v>163</v>
      </c>
      <c r="C354" s="147" t="s">
        <v>369</v>
      </c>
      <c r="D354" s="205"/>
      <c r="E354" s="307">
        <v>2</v>
      </c>
      <c r="F354" s="307">
        <v>194</v>
      </c>
      <c r="G354" s="308">
        <v>56.84</v>
      </c>
      <c r="H354" s="308">
        <v>0</v>
      </c>
      <c r="I354" s="308">
        <v>0</v>
      </c>
      <c r="J354" s="307">
        <v>2</v>
      </c>
      <c r="K354" s="307">
        <v>194</v>
      </c>
      <c r="L354" s="308">
        <v>56.84</v>
      </c>
      <c r="M354" s="308">
        <v>0</v>
      </c>
      <c r="N354" s="308">
        <v>0</v>
      </c>
      <c r="O354" s="675">
        <f t="shared" si="40"/>
        <v>0</v>
      </c>
      <c r="P354" s="675">
        <f t="shared" si="41"/>
        <v>0</v>
      </c>
      <c r="Q354" s="206">
        <f t="shared" si="39"/>
        <v>0</v>
      </c>
      <c r="R354" s="683">
        <f t="shared" si="42"/>
        <v>56.84</v>
      </c>
    </row>
    <row r="355" spans="1:18" ht="12" thickBot="1">
      <c r="A355" s="197" t="s">
        <v>1214</v>
      </c>
      <c r="B355" s="192" t="s">
        <v>163</v>
      </c>
      <c r="C355" s="147" t="s">
        <v>370</v>
      </c>
      <c r="D355" s="205"/>
      <c r="E355" s="307">
        <v>451</v>
      </c>
      <c r="F355" s="307">
        <v>145716</v>
      </c>
      <c r="G355" s="308">
        <v>17859.599999999999</v>
      </c>
      <c r="H355" s="308">
        <v>119.28</v>
      </c>
      <c r="I355" s="308">
        <v>-21.630000000001161</v>
      </c>
      <c r="J355" s="307">
        <v>451</v>
      </c>
      <c r="K355" s="307">
        <v>145716</v>
      </c>
      <c r="L355" s="308">
        <v>17859.599999999999</v>
      </c>
      <c r="M355" s="308">
        <v>-21.630000000001161</v>
      </c>
      <c r="N355" s="308">
        <v>119.28</v>
      </c>
      <c r="O355" s="675">
        <f t="shared" si="40"/>
        <v>0</v>
      </c>
      <c r="P355" s="675">
        <f t="shared" si="41"/>
        <v>0</v>
      </c>
      <c r="Q355" s="206">
        <f t="shared" si="39"/>
        <v>0</v>
      </c>
      <c r="R355" s="683">
        <f t="shared" si="42"/>
        <v>17957.249999999996</v>
      </c>
    </row>
    <row r="356" spans="1:18" ht="12" thickBot="1">
      <c r="A356" s="197" t="s">
        <v>1214</v>
      </c>
      <c r="B356" s="192" t="s">
        <v>163</v>
      </c>
      <c r="C356" s="147" t="s">
        <v>371</v>
      </c>
      <c r="D356" s="205"/>
      <c r="E356" s="307">
        <v>63</v>
      </c>
      <c r="F356" s="307">
        <v>19632</v>
      </c>
      <c r="G356" s="308">
        <v>2695.14</v>
      </c>
      <c r="H356" s="308">
        <v>33.93</v>
      </c>
      <c r="I356" s="308">
        <v>0</v>
      </c>
      <c r="J356" s="307">
        <v>63</v>
      </c>
      <c r="K356" s="307">
        <v>19632</v>
      </c>
      <c r="L356" s="308">
        <v>2695.14</v>
      </c>
      <c r="M356" s="308">
        <v>0</v>
      </c>
      <c r="N356" s="308">
        <v>33.93</v>
      </c>
      <c r="O356" s="675">
        <f t="shared" si="40"/>
        <v>0</v>
      </c>
      <c r="P356" s="675">
        <f t="shared" si="41"/>
        <v>0</v>
      </c>
      <c r="Q356" s="206">
        <f t="shared" si="39"/>
        <v>0</v>
      </c>
      <c r="R356" s="683">
        <f t="shared" si="42"/>
        <v>2729.0699999999997</v>
      </c>
    </row>
    <row r="357" spans="1:18" ht="12" thickBot="1">
      <c r="A357" s="197" t="s">
        <v>1214</v>
      </c>
      <c r="B357" s="192" t="s">
        <v>163</v>
      </c>
      <c r="C357" s="147" t="s">
        <v>659</v>
      </c>
      <c r="D357" s="205"/>
      <c r="E357" s="307">
        <v>18</v>
      </c>
      <c r="F357" s="307">
        <v>725</v>
      </c>
      <c r="G357" s="308">
        <v>428.94</v>
      </c>
      <c r="H357" s="308">
        <v>0</v>
      </c>
      <c r="I357" s="308">
        <v>0</v>
      </c>
      <c r="J357" s="307">
        <v>18</v>
      </c>
      <c r="K357" s="307">
        <v>725</v>
      </c>
      <c r="L357" s="308">
        <v>428.94</v>
      </c>
      <c r="M357" s="308">
        <v>0</v>
      </c>
      <c r="N357" s="308">
        <v>0</v>
      </c>
      <c r="O357" s="675">
        <f t="shared" si="40"/>
        <v>0</v>
      </c>
      <c r="P357" s="675">
        <f t="shared" si="41"/>
        <v>0</v>
      </c>
      <c r="Q357" s="206">
        <f t="shared" si="39"/>
        <v>0</v>
      </c>
      <c r="R357" s="683">
        <f t="shared" si="42"/>
        <v>428.94</v>
      </c>
    </row>
    <row r="358" spans="1:18" ht="12" thickBot="1">
      <c r="A358" s="197" t="s">
        <v>1214</v>
      </c>
      <c r="B358" s="192" t="s">
        <v>163</v>
      </c>
      <c r="C358" s="147" t="s">
        <v>399</v>
      </c>
      <c r="D358" s="205"/>
      <c r="E358" s="307">
        <v>4</v>
      </c>
      <c r="F358" s="307">
        <v>427</v>
      </c>
      <c r="G358" s="308">
        <v>81.84</v>
      </c>
      <c r="H358" s="308">
        <v>0</v>
      </c>
      <c r="I358" s="308">
        <v>0</v>
      </c>
      <c r="J358" s="307">
        <v>4</v>
      </c>
      <c r="K358" s="307">
        <v>427</v>
      </c>
      <c r="L358" s="308">
        <v>81.84</v>
      </c>
      <c r="M358" s="308">
        <v>0</v>
      </c>
      <c r="N358" s="308">
        <v>0</v>
      </c>
      <c r="O358" s="675">
        <f t="shared" si="40"/>
        <v>0</v>
      </c>
      <c r="P358" s="675">
        <f t="shared" si="41"/>
        <v>0</v>
      </c>
      <c r="Q358" s="206">
        <f t="shared" si="39"/>
        <v>0</v>
      </c>
      <c r="R358" s="683">
        <f t="shared" si="42"/>
        <v>81.84</v>
      </c>
    </row>
    <row r="359" spans="1:18" ht="12" thickBot="1">
      <c r="A359" s="197" t="s">
        <v>1214</v>
      </c>
      <c r="B359" s="192" t="s">
        <v>163</v>
      </c>
      <c r="C359" s="147" t="s">
        <v>372</v>
      </c>
      <c r="D359" s="205"/>
      <c r="E359" s="307">
        <v>41</v>
      </c>
      <c r="F359" s="307">
        <v>4281</v>
      </c>
      <c r="G359" s="308">
        <v>1238.6099999999999</v>
      </c>
      <c r="H359" s="308">
        <v>0</v>
      </c>
      <c r="I359" s="308">
        <v>22.920000000000073</v>
      </c>
      <c r="J359" s="307">
        <v>41</v>
      </c>
      <c r="K359" s="307">
        <v>4281</v>
      </c>
      <c r="L359" s="308">
        <v>1238.6099999999999</v>
      </c>
      <c r="M359" s="308">
        <v>22.920000000000073</v>
      </c>
      <c r="N359" s="308">
        <v>0</v>
      </c>
      <c r="O359" s="675">
        <f t="shared" si="40"/>
        <v>0</v>
      </c>
      <c r="P359" s="675">
        <f t="shared" si="41"/>
        <v>0</v>
      </c>
      <c r="Q359" s="206">
        <f t="shared" si="39"/>
        <v>0</v>
      </c>
      <c r="R359" s="683">
        <f t="shared" si="42"/>
        <v>1261.53</v>
      </c>
    </row>
    <row r="360" spans="1:18" ht="12" thickBot="1">
      <c r="A360" s="197" t="s">
        <v>1214</v>
      </c>
      <c r="B360" s="192" t="s">
        <v>163</v>
      </c>
      <c r="C360" s="147" t="s">
        <v>373</v>
      </c>
      <c r="D360" s="205"/>
      <c r="E360" s="307">
        <v>2</v>
      </c>
      <c r="F360" s="307">
        <v>666</v>
      </c>
      <c r="G360" s="308">
        <v>85.12</v>
      </c>
      <c r="H360" s="308">
        <v>0</v>
      </c>
      <c r="I360" s="308">
        <v>0</v>
      </c>
      <c r="J360" s="307">
        <v>2</v>
      </c>
      <c r="K360" s="307">
        <v>666</v>
      </c>
      <c r="L360" s="308">
        <v>85.12</v>
      </c>
      <c r="M360" s="308">
        <v>0</v>
      </c>
      <c r="N360" s="308">
        <v>0</v>
      </c>
      <c r="O360" s="675">
        <f t="shared" si="40"/>
        <v>0</v>
      </c>
      <c r="P360" s="675">
        <f t="shared" si="41"/>
        <v>0</v>
      </c>
      <c r="Q360" s="206">
        <f t="shared" si="39"/>
        <v>0</v>
      </c>
      <c r="R360" s="683">
        <f t="shared" si="42"/>
        <v>85.12</v>
      </c>
    </row>
    <row r="361" spans="1:18" ht="12" thickBot="1">
      <c r="A361" s="197" t="s">
        <v>1214</v>
      </c>
      <c r="B361" s="192" t="s">
        <v>163</v>
      </c>
      <c r="C361" s="147" t="s">
        <v>374</v>
      </c>
      <c r="D361" s="205"/>
      <c r="E361" s="307">
        <v>13</v>
      </c>
      <c r="F361" s="307">
        <v>4248</v>
      </c>
      <c r="G361" s="308">
        <v>680.03</v>
      </c>
      <c r="H361" s="308">
        <v>0</v>
      </c>
      <c r="I361" s="308">
        <v>0</v>
      </c>
      <c r="J361" s="307">
        <v>13</v>
      </c>
      <c r="K361" s="307">
        <v>4248</v>
      </c>
      <c r="L361" s="308">
        <v>680.03</v>
      </c>
      <c r="M361" s="308">
        <v>0</v>
      </c>
      <c r="N361" s="308">
        <v>0</v>
      </c>
      <c r="O361" s="675">
        <f t="shared" si="40"/>
        <v>0</v>
      </c>
      <c r="P361" s="675">
        <f t="shared" si="41"/>
        <v>0</v>
      </c>
      <c r="Q361" s="206">
        <f t="shared" si="39"/>
        <v>0</v>
      </c>
      <c r="R361" s="683">
        <f t="shared" si="42"/>
        <v>680.03</v>
      </c>
    </row>
    <row r="362" spans="1:18" ht="12" thickBot="1">
      <c r="A362" s="197" t="s">
        <v>1214</v>
      </c>
      <c r="B362" s="192" t="s">
        <v>163</v>
      </c>
      <c r="C362" s="200" t="s">
        <v>7</v>
      </c>
      <c r="D362" s="210"/>
      <c r="E362" s="195">
        <f t="shared" ref="E362:P362" si="43">SUM(E296:E361)</f>
        <v>65280</v>
      </c>
      <c r="F362" s="195">
        <f t="shared" si="43"/>
        <v>5347239</v>
      </c>
      <c r="G362" s="195">
        <f t="shared" si="43"/>
        <v>1160687.8599999999</v>
      </c>
      <c r="H362" s="247">
        <f t="shared" si="43"/>
        <v>27933.129999999997</v>
      </c>
      <c r="I362" s="247">
        <f t="shared" si="43"/>
        <v>-3011.7699999999959</v>
      </c>
      <c r="J362" s="247">
        <f t="shared" si="43"/>
        <v>65389</v>
      </c>
      <c r="K362" s="247">
        <f t="shared" si="43"/>
        <v>5363680</v>
      </c>
      <c r="L362" s="247">
        <f t="shared" si="43"/>
        <v>1162426.48</v>
      </c>
      <c r="M362" s="247">
        <f t="shared" si="43"/>
        <v>-1847.119999999996</v>
      </c>
      <c r="N362" s="247">
        <f t="shared" si="43"/>
        <v>27933.129999999997</v>
      </c>
      <c r="O362" s="247">
        <f t="shared" si="43"/>
        <v>109</v>
      </c>
      <c r="P362" s="247">
        <f t="shared" si="43"/>
        <v>16441</v>
      </c>
      <c r="Q362" s="247">
        <f t="shared" si="39"/>
        <v>-2903.2700000000186</v>
      </c>
      <c r="R362" s="247">
        <f>SUM(R296:R361)</f>
        <v>1185609.2200000004</v>
      </c>
    </row>
    <row r="363" spans="1:18" ht="12" thickBot="1">
      <c r="A363" s="202"/>
      <c r="B363" s="202"/>
      <c r="C363" s="200" t="s">
        <v>1040</v>
      </c>
      <c r="D363" s="201"/>
      <c r="E363" s="194" t="s">
        <v>1012</v>
      </c>
      <c r="F363" s="203" t="s">
        <v>874</v>
      </c>
      <c r="G363" s="194" t="s">
        <v>1013</v>
      </c>
      <c r="H363" s="194" t="s">
        <v>1014</v>
      </c>
      <c r="I363" s="194" t="s">
        <v>1015</v>
      </c>
      <c r="J363" s="194" t="s">
        <v>1016</v>
      </c>
      <c r="K363" s="194" t="s">
        <v>1026</v>
      </c>
      <c r="L363" s="194" t="s">
        <v>1017</v>
      </c>
      <c r="M363" s="194" t="s">
        <v>1018</v>
      </c>
      <c r="N363" s="194" t="s">
        <v>1019</v>
      </c>
      <c r="O363" s="674" t="s">
        <v>1020</v>
      </c>
      <c r="P363" s="674" t="s">
        <v>1027</v>
      </c>
      <c r="Q363" s="204" t="s">
        <v>1021</v>
      </c>
      <c r="R363" s="674" t="s">
        <v>1022</v>
      </c>
    </row>
    <row r="364" spans="1:18" ht="12" thickBot="1">
      <c r="A364" s="197" t="s">
        <v>1220</v>
      </c>
      <c r="B364" s="192" t="s">
        <v>163</v>
      </c>
      <c r="C364" s="147" t="s">
        <v>379</v>
      </c>
      <c r="D364" s="211"/>
      <c r="E364" s="650">
        <v>79</v>
      </c>
      <c r="F364" s="650">
        <v>2580</v>
      </c>
      <c r="G364" s="661">
        <v>643.05999999999995</v>
      </c>
      <c r="H364" s="661">
        <v>32.96</v>
      </c>
      <c r="I364" s="661">
        <v>-7.5999999999999091</v>
      </c>
      <c r="J364" s="650">
        <v>79</v>
      </c>
      <c r="K364" s="650">
        <v>2580</v>
      </c>
      <c r="L364" s="661">
        <v>643.05999999999995</v>
      </c>
      <c r="M364" s="661">
        <v>-7.5999999999999091</v>
      </c>
      <c r="N364" s="661">
        <v>32.96</v>
      </c>
      <c r="O364" s="675">
        <f>J364-E364</f>
        <v>0</v>
      </c>
      <c r="P364" s="675">
        <f>K364-F364</f>
        <v>0</v>
      </c>
      <c r="Q364" s="671">
        <f>(G364+I364)-(L364+M364)</f>
        <v>0</v>
      </c>
      <c r="R364" s="683">
        <f t="shared" ref="R364:R423" si="44">SUM(G364:I364)</f>
        <v>668.42000000000007</v>
      </c>
    </row>
    <row r="365" spans="1:18" ht="12" thickBot="1">
      <c r="A365" s="197" t="s">
        <v>1220</v>
      </c>
      <c r="B365" s="192" t="s">
        <v>163</v>
      </c>
      <c r="C365" s="147" t="s">
        <v>241</v>
      </c>
      <c r="D365" s="205"/>
      <c r="E365" s="650">
        <v>5834</v>
      </c>
      <c r="F365" s="650">
        <v>456740</v>
      </c>
      <c r="G365" s="661">
        <v>63940.639999999999</v>
      </c>
      <c r="H365" s="661">
        <v>504.7</v>
      </c>
      <c r="I365" s="661">
        <v>-287.59999999999519</v>
      </c>
      <c r="J365" s="650">
        <v>5834</v>
      </c>
      <c r="K365" s="650">
        <v>456740</v>
      </c>
      <c r="L365" s="661">
        <v>63940.639999999999</v>
      </c>
      <c r="M365" s="661">
        <v>-287.59999999999519</v>
      </c>
      <c r="N365" s="661">
        <v>504.7</v>
      </c>
      <c r="O365" s="675">
        <f t="shared" ref="O365:O423" si="45">J365-E365</f>
        <v>0</v>
      </c>
      <c r="P365" s="675">
        <f t="shared" si="41"/>
        <v>0</v>
      </c>
      <c r="Q365" s="671">
        <f t="shared" ref="Q365:Q424" si="46">(G365+I365)-(L365+M365)</f>
        <v>0</v>
      </c>
      <c r="R365" s="683">
        <f t="shared" si="44"/>
        <v>64157.74</v>
      </c>
    </row>
    <row r="366" spans="1:18" ht="12" thickBot="1">
      <c r="A366" s="197" t="s">
        <v>1220</v>
      </c>
      <c r="B366" s="192" t="s">
        <v>163</v>
      </c>
      <c r="C366" s="147" t="s">
        <v>242</v>
      </c>
      <c r="D366" s="205"/>
      <c r="E366" s="650">
        <v>6683</v>
      </c>
      <c r="F366" s="650">
        <v>809575</v>
      </c>
      <c r="G366" s="661">
        <v>90287.33</v>
      </c>
      <c r="H366" s="661">
        <v>771.64</v>
      </c>
      <c r="I366" s="661">
        <v>-180.83000000000175</v>
      </c>
      <c r="J366" s="650">
        <v>6683</v>
      </c>
      <c r="K366" s="650">
        <v>809575</v>
      </c>
      <c r="L366" s="661">
        <v>90287.33</v>
      </c>
      <c r="M366" s="661">
        <v>-180.83000000000175</v>
      </c>
      <c r="N366" s="661">
        <v>771.64</v>
      </c>
      <c r="O366" s="675">
        <f t="shared" si="45"/>
        <v>0</v>
      </c>
      <c r="P366" s="675">
        <f t="shared" si="41"/>
        <v>0</v>
      </c>
      <c r="Q366" s="671">
        <f t="shared" si="46"/>
        <v>0</v>
      </c>
      <c r="R366" s="683">
        <f t="shared" si="44"/>
        <v>90878.14</v>
      </c>
    </row>
    <row r="367" spans="1:18" ht="12" thickBot="1">
      <c r="A367" s="197" t="s">
        <v>1220</v>
      </c>
      <c r="B367" s="192" t="s">
        <v>163</v>
      </c>
      <c r="C367" s="147" t="s">
        <v>243</v>
      </c>
      <c r="D367" s="205"/>
      <c r="E367" s="650">
        <v>95</v>
      </c>
      <c r="F367" s="650">
        <v>3124</v>
      </c>
      <c r="G367" s="661">
        <v>1182.75</v>
      </c>
      <c r="H367" s="661">
        <v>0</v>
      </c>
      <c r="I367" s="661">
        <v>-6.2200000000000273</v>
      </c>
      <c r="J367" s="650">
        <v>95</v>
      </c>
      <c r="K367" s="650">
        <v>3124</v>
      </c>
      <c r="L367" s="661">
        <v>1182.75</v>
      </c>
      <c r="M367" s="661">
        <v>-6.2200000000000273</v>
      </c>
      <c r="N367" s="661">
        <v>0</v>
      </c>
      <c r="O367" s="675">
        <f t="shared" si="45"/>
        <v>0</v>
      </c>
      <c r="P367" s="675">
        <f t="shared" si="41"/>
        <v>0</v>
      </c>
      <c r="Q367" s="671">
        <f t="shared" si="46"/>
        <v>0</v>
      </c>
      <c r="R367" s="683">
        <f t="shared" si="44"/>
        <v>1176.53</v>
      </c>
    </row>
    <row r="368" spans="1:18" ht="12" thickBot="1">
      <c r="A368" s="197" t="s">
        <v>1220</v>
      </c>
      <c r="B368" s="192" t="s">
        <v>163</v>
      </c>
      <c r="C368" s="147" t="s">
        <v>244</v>
      </c>
      <c r="D368" s="205"/>
      <c r="E368" s="650">
        <v>783</v>
      </c>
      <c r="F368" s="650">
        <v>98715</v>
      </c>
      <c r="G368" s="661">
        <v>12167.82</v>
      </c>
      <c r="H368" s="661">
        <v>556.7299999999999</v>
      </c>
      <c r="I368" s="661">
        <v>-45.070000000000618</v>
      </c>
      <c r="J368" s="650">
        <v>783</v>
      </c>
      <c r="K368" s="650">
        <v>98715</v>
      </c>
      <c r="L368" s="661">
        <v>12167.82</v>
      </c>
      <c r="M368" s="661">
        <v>-45.070000000000618</v>
      </c>
      <c r="N368" s="661">
        <v>556.7299999999999</v>
      </c>
      <c r="O368" s="675">
        <f t="shared" si="45"/>
        <v>0</v>
      </c>
      <c r="P368" s="675">
        <f t="shared" si="41"/>
        <v>0</v>
      </c>
      <c r="Q368" s="671">
        <f t="shared" si="46"/>
        <v>0</v>
      </c>
      <c r="R368" s="683">
        <f t="shared" si="44"/>
        <v>12679.48</v>
      </c>
    </row>
    <row r="369" spans="1:18" ht="12" thickBot="1">
      <c r="A369" s="197" t="s">
        <v>1220</v>
      </c>
      <c r="B369" s="192" t="s">
        <v>163</v>
      </c>
      <c r="C369" s="147" t="s">
        <v>245</v>
      </c>
      <c r="D369" s="205"/>
      <c r="E369" s="650">
        <v>1801</v>
      </c>
      <c r="F369" s="650">
        <v>99596</v>
      </c>
      <c r="G369" s="661">
        <v>25646.239999999998</v>
      </c>
      <c r="H369" s="661">
        <v>0</v>
      </c>
      <c r="I369" s="661">
        <v>-13.909999999999854</v>
      </c>
      <c r="J369" s="650">
        <v>1801</v>
      </c>
      <c r="K369" s="650">
        <v>99596</v>
      </c>
      <c r="L369" s="661">
        <v>25646.239999999998</v>
      </c>
      <c r="M369" s="661">
        <v>-13.909999999999854</v>
      </c>
      <c r="N369" s="661">
        <v>0</v>
      </c>
      <c r="O369" s="675">
        <f t="shared" si="45"/>
        <v>0</v>
      </c>
      <c r="P369" s="675">
        <f t="shared" si="41"/>
        <v>0</v>
      </c>
      <c r="Q369" s="671">
        <f t="shared" si="46"/>
        <v>0</v>
      </c>
      <c r="R369" s="683">
        <f t="shared" si="44"/>
        <v>25632.329999999998</v>
      </c>
    </row>
    <row r="370" spans="1:18" ht="12" thickBot="1">
      <c r="A370" s="197" t="s">
        <v>1220</v>
      </c>
      <c r="B370" s="192" t="s">
        <v>163</v>
      </c>
      <c r="C370" s="147" t="s">
        <v>381</v>
      </c>
      <c r="D370" s="205"/>
      <c r="E370" s="650">
        <v>45</v>
      </c>
      <c r="F370" s="650">
        <v>13605</v>
      </c>
      <c r="G370" s="661">
        <v>1246.0500000000002</v>
      </c>
      <c r="H370" s="661">
        <v>49.440000000000005</v>
      </c>
      <c r="I370" s="661">
        <v>0</v>
      </c>
      <c r="J370" s="650">
        <v>45</v>
      </c>
      <c r="K370" s="650">
        <v>13605</v>
      </c>
      <c r="L370" s="661">
        <v>1246.0500000000002</v>
      </c>
      <c r="M370" s="661">
        <v>0</v>
      </c>
      <c r="N370" s="661">
        <v>49.440000000000005</v>
      </c>
      <c r="O370" s="675">
        <f t="shared" si="45"/>
        <v>0</v>
      </c>
      <c r="P370" s="675">
        <f t="shared" si="41"/>
        <v>0</v>
      </c>
      <c r="Q370" s="671">
        <f t="shared" si="46"/>
        <v>0</v>
      </c>
      <c r="R370" s="683">
        <f t="shared" si="44"/>
        <v>1295.4900000000002</v>
      </c>
    </row>
    <row r="371" spans="1:18" ht="12" thickBot="1">
      <c r="A371" s="197" t="s">
        <v>1220</v>
      </c>
      <c r="B371" s="192" t="s">
        <v>163</v>
      </c>
      <c r="C371" s="147" t="s">
        <v>246</v>
      </c>
      <c r="D371" s="205"/>
      <c r="E371" s="650">
        <v>352</v>
      </c>
      <c r="F371" s="650">
        <v>106324</v>
      </c>
      <c r="G371" s="661">
        <v>10169.279999999999</v>
      </c>
      <c r="H371" s="661">
        <v>197.76000000000002</v>
      </c>
      <c r="I371" s="661">
        <v>0</v>
      </c>
      <c r="J371" s="650">
        <v>352</v>
      </c>
      <c r="K371" s="650">
        <v>106324</v>
      </c>
      <c r="L371" s="661">
        <v>10169.279999999999</v>
      </c>
      <c r="M371" s="661">
        <v>0</v>
      </c>
      <c r="N371" s="661">
        <v>197.76000000000002</v>
      </c>
      <c r="O371" s="675">
        <f t="shared" si="45"/>
        <v>0</v>
      </c>
      <c r="P371" s="675">
        <f t="shared" si="41"/>
        <v>0</v>
      </c>
      <c r="Q371" s="671">
        <f t="shared" si="46"/>
        <v>0</v>
      </c>
      <c r="R371" s="683">
        <f t="shared" si="44"/>
        <v>10367.039999999999</v>
      </c>
    </row>
    <row r="372" spans="1:18" ht="12" thickBot="1">
      <c r="A372" s="197" t="s">
        <v>1220</v>
      </c>
      <c r="B372" s="192" t="s">
        <v>163</v>
      </c>
      <c r="C372" s="147" t="s">
        <v>252</v>
      </c>
      <c r="D372" s="205"/>
      <c r="E372" s="650">
        <v>5100</v>
      </c>
      <c r="F372" s="650">
        <v>285968</v>
      </c>
      <c r="G372" s="661">
        <v>48807</v>
      </c>
      <c r="H372" s="661">
        <v>1538.21</v>
      </c>
      <c r="I372" s="661">
        <v>-238.98999999999847</v>
      </c>
      <c r="J372" s="650">
        <v>5100</v>
      </c>
      <c r="K372" s="650">
        <v>285968</v>
      </c>
      <c r="L372" s="661">
        <v>48807</v>
      </c>
      <c r="M372" s="661">
        <v>-238.98999999999847</v>
      </c>
      <c r="N372" s="661">
        <v>1538.21</v>
      </c>
      <c r="O372" s="675">
        <f t="shared" si="45"/>
        <v>0</v>
      </c>
      <c r="P372" s="675">
        <f t="shared" si="41"/>
        <v>0</v>
      </c>
      <c r="Q372" s="671">
        <f t="shared" si="46"/>
        <v>0</v>
      </c>
      <c r="R372" s="683">
        <f t="shared" si="44"/>
        <v>50106.22</v>
      </c>
    </row>
    <row r="373" spans="1:18" ht="12" thickBot="1">
      <c r="A373" s="197" t="s">
        <v>1220</v>
      </c>
      <c r="B373" s="192" t="s">
        <v>163</v>
      </c>
      <c r="C373" s="147" t="s">
        <v>263</v>
      </c>
      <c r="D373" s="205"/>
      <c r="E373" s="650">
        <v>3395</v>
      </c>
      <c r="F373" s="650">
        <v>278047</v>
      </c>
      <c r="G373" s="661">
        <v>92819.299999999988</v>
      </c>
      <c r="H373" s="661">
        <v>0</v>
      </c>
      <c r="I373" s="661">
        <v>-54.680000000000291</v>
      </c>
      <c r="J373" s="650">
        <v>3395</v>
      </c>
      <c r="K373" s="650">
        <v>278047</v>
      </c>
      <c r="L373" s="661">
        <v>92819.299999999988</v>
      </c>
      <c r="M373" s="661">
        <v>-54.680000000000291</v>
      </c>
      <c r="N373" s="661">
        <v>0</v>
      </c>
      <c r="O373" s="675">
        <f t="shared" si="45"/>
        <v>0</v>
      </c>
      <c r="P373" s="675">
        <f t="shared" si="41"/>
        <v>0</v>
      </c>
      <c r="Q373" s="671">
        <f t="shared" si="46"/>
        <v>0</v>
      </c>
      <c r="R373" s="683">
        <f t="shared" si="44"/>
        <v>92764.62</v>
      </c>
    </row>
    <row r="374" spans="1:18" ht="12" thickBot="1">
      <c r="A374" s="197" t="s">
        <v>1220</v>
      </c>
      <c r="B374" s="192" t="s">
        <v>163</v>
      </c>
      <c r="C374" s="147" t="s">
        <v>264</v>
      </c>
      <c r="D374" s="205"/>
      <c r="E374" s="650">
        <v>2769</v>
      </c>
      <c r="F374" s="650">
        <v>364700</v>
      </c>
      <c r="G374" s="661">
        <v>86946.6</v>
      </c>
      <c r="H374" s="661">
        <v>0</v>
      </c>
      <c r="I374" s="661">
        <v>-24.910000000003492</v>
      </c>
      <c r="J374" s="650">
        <v>2769</v>
      </c>
      <c r="K374" s="650">
        <v>364700</v>
      </c>
      <c r="L374" s="661">
        <v>86946.6</v>
      </c>
      <c r="M374" s="661">
        <v>-24.910000000003492</v>
      </c>
      <c r="N374" s="661">
        <v>0</v>
      </c>
      <c r="O374" s="675">
        <f t="shared" si="45"/>
        <v>0</v>
      </c>
      <c r="P374" s="675">
        <f t="shared" si="41"/>
        <v>0</v>
      </c>
      <c r="Q374" s="671">
        <f t="shared" si="46"/>
        <v>0</v>
      </c>
      <c r="R374" s="683">
        <f t="shared" si="44"/>
        <v>86921.69</v>
      </c>
    </row>
    <row r="375" spans="1:18" ht="12" thickBot="1">
      <c r="A375" s="197" t="s">
        <v>1220</v>
      </c>
      <c r="B375" s="192" t="s">
        <v>163</v>
      </c>
      <c r="C375" s="147" t="s">
        <v>267</v>
      </c>
      <c r="D375" s="205"/>
      <c r="E375" s="650">
        <v>17705</v>
      </c>
      <c r="F375" s="650">
        <v>682605</v>
      </c>
      <c r="G375" s="661">
        <v>304348.95</v>
      </c>
      <c r="H375" s="661">
        <v>2.06</v>
      </c>
      <c r="I375" s="661">
        <v>-343.88000000003672</v>
      </c>
      <c r="J375" s="650">
        <v>17705</v>
      </c>
      <c r="K375" s="650">
        <v>682605</v>
      </c>
      <c r="L375" s="661">
        <v>304348.95</v>
      </c>
      <c r="M375" s="661">
        <v>-343.88000000003672</v>
      </c>
      <c r="N375" s="661">
        <v>2.06</v>
      </c>
      <c r="O375" s="675">
        <f t="shared" si="45"/>
        <v>0</v>
      </c>
      <c r="P375" s="675">
        <f t="shared" si="41"/>
        <v>0</v>
      </c>
      <c r="Q375" s="671">
        <f t="shared" si="46"/>
        <v>0</v>
      </c>
      <c r="R375" s="683">
        <f t="shared" si="44"/>
        <v>304007.12999999995</v>
      </c>
    </row>
    <row r="376" spans="1:18" ht="12" thickBot="1">
      <c r="A376" s="197" t="s">
        <v>1220</v>
      </c>
      <c r="B376" s="192" t="s">
        <v>163</v>
      </c>
      <c r="C376" s="147" t="s">
        <v>392</v>
      </c>
      <c r="D376" s="205"/>
      <c r="E376" s="650">
        <v>605</v>
      </c>
      <c r="F376" s="650">
        <v>33140</v>
      </c>
      <c r="G376" s="661">
        <v>15058.45</v>
      </c>
      <c r="H376" s="661">
        <v>0</v>
      </c>
      <c r="I376" s="661">
        <v>0</v>
      </c>
      <c r="J376" s="650">
        <v>605</v>
      </c>
      <c r="K376" s="650">
        <v>33140</v>
      </c>
      <c r="L376" s="661">
        <v>15058.45</v>
      </c>
      <c r="M376" s="661">
        <v>0</v>
      </c>
      <c r="N376" s="661">
        <v>0</v>
      </c>
      <c r="O376" s="675">
        <f t="shared" si="45"/>
        <v>0</v>
      </c>
      <c r="P376" s="675">
        <f t="shared" si="41"/>
        <v>0</v>
      </c>
      <c r="Q376" s="671">
        <f t="shared" si="46"/>
        <v>0</v>
      </c>
      <c r="R376" s="683">
        <f t="shared" si="44"/>
        <v>15058.45</v>
      </c>
    </row>
    <row r="377" spans="1:18" ht="12" thickBot="1">
      <c r="A377" s="197" t="s">
        <v>1220</v>
      </c>
      <c r="B377" s="192" t="s">
        <v>163</v>
      </c>
      <c r="C377" s="147" t="s">
        <v>268</v>
      </c>
      <c r="D377" s="205"/>
      <c r="E377" s="650">
        <v>1370</v>
      </c>
      <c r="F377" s="650">
        <v>39634</v>
      </c>
      <c r="G377" s="661">
        <v>19412.900000000001</v>
      </c>
      <c r="H377" s="661">
        <v>0</v>
      </c>
      <c r="I377" s="661">
        <v>-188.08000000000175</v>
      </c>
      <c r="J377" s="650">
        <v>1370</v>
      </c>
      <c r="K377" s="650">
        <v>39634</v>
      </c>
      <c r="L377" s="661">
        <v>19412.900000000001</v>
      </c>
      <c r="M377" s="661">
        <v>-188.08000000000175</v>
      </c>
      <c r="N377" s="661">
        <v>0</v>
      </c>
      <c r="O377" s="675">
        <f t="shared" si="45"/>
        <v>0</v>
      </c>
      <c r="P377" s="675">
        <f t="shared" si="41"/>
        <v>0</v>
      </c>
      <c r="Q377" s="671">
        <f t="shared" si="46"/>
        <v>0</v>
      </c>
      <c r="R377" s="683">
        <f t="shared" si="44"/>
        <v>19224.82</v>
      </c>
    </row>
    <row r="378" spans="1:18" ht="12" thickBot="1">
      <c r="A378" s="197" t="s">
        <v>1220</v>
      </c>
      <c r="B378" s="192" t="s">
        <v>163</v>
      </c>
      <c r="C378" s="147" t="s">
        <v>269</v>
      </c>
      <c r="D378" s="205"/>
      <c r="E378" s="650">
        <v>2549</v>
      </c>
      <c r="F378" s="650">
        <v>135188</v>
      </c>
      <c r="G378" s="661">
        <v>56460.350000000006</v>
      </c>
      <c r="H378" s="661">
        <v>59.120000000000005</v>
      </c>
      <c r="I378" s="661">
        <v>-149.14000000000553</v>
      </c>
      <c r="J378" s="650">
        <v>2549</v>
      </c>
      <c r="K378" s="650">
        <v>135188</v>
      </c>
      <c r="L378" s="661">
        <v>56460.350000000006</v>
      </c>
      <c r="M378" s="661">
        <v>-149.14000000000553</v>
      </c>
      <c r="N378" s="661">
        <v>59.120000000000005</v>
      </c>
      <c r="O378" s="675">
        <f t="shared" si="45"/>
        <v>0</v>
      </c>
      <c r="P378" s="675">
        <f t="shared" si="41"/>
        <v>0</v>
      </c>
      <c r="Q378" s="671">
        <f t="shared" si="46"/>
        <v>0</v>
      </c>
      <c r="R378" s="683">
        <f t="shared" si="44"/>
        <v>56370.33</v>
      </c>
    </row>
    <row r="379" spans="1:18" ht="12" thickBot="1">
      <c r="A379" s="197" t="s">
        <v>1220</v>
      </c>
      <c r="B379" s="192" t="s">
        <v>163</v>
      </c>
      <c r="C379" s="147" t="s">
        <v>393</v>
      </c>
      <c r="D379" s="205"/>
      <c r="E379" s="650">
        <v>17</v>
      </c>
      <c r="F379" s="650">
        <v>5191</v>
      </c>
      <c r="G379" s="661">
        <v>1233.3499999999999</v>
      </c>
      <c r="H379" s="661">
        <v>0</v>
      </c>
      <c r="I379" s="661">
        <v>0</v>
      </c>
      <c r="J379" s="650">
        <v>17</v>
      </c>
      <c r="K379" s="650">
        <v>5191</v>
      </c>
      <c r="L379" s="661">
        <v>1233.3499999999999</v>
      </c>
      <c r="M379" s="661">
        <v>0</v>
      </c>
      <c r="N379" s="661">
        <v>0</v>
      </c>
      <c r="O379" s="675">
        <f t="shared" si="45"/>
        <v>0</v>
      </c>
      <c r="P379" s="675">
        <f t="shared" si="41"/>
        <v>0</v>
      </c>
      <c r="Q379" s="671">
        <f t="shared" si="46"/>
        <v>0</v>
      </c>
      <c r="R379" s="683">
        <f t="shared" si="44"/>
        <v>1233.3499999999999</v>
      </c>
    </row>
    <row r="380" spans="1:18" ht="12" thickBot="1">
      <c r="A380" s="197" t="s">
        <v>1220</v>
      </c>
      <c r="B380" s="192" t="s">
        <v>163</v>
      </c>
      <c r="C380" s="147" t="s">
        <v>394</v>
      </c>
      <c r="D380" s="205"/>
      <c r="E380" s="650">
        <v>11</v>
      </c>
      <c r="F380" s="650">
        <v>3390</v>
      </c>
      <c r="G380" s="661">
        <v>455.73</v>
      </c>
      <c r="H380" s="661">
        <v>0</v>
      </c>
      <c r="I380" s="661">
        <v>0</v>
      </c>
      <c r="J380" s="650">
        <v>11</v>
      </c>
      <c r="K380" s="650">
        <v>3390</v>
      </c>
      <c r="L380" s="661">
        <v>455.73</v>
      </c>
      <c r="M380" s="661">
        <v>0</v>
      </c>
      <c r="N380" s="661">
        <v>0</v>
      </c>
      <c r="O380" s="675">
        <f t="shared" si="45"/>
        <v>0</v>
      </c>
      <c r="P380" s="675">
        <f t="shared" si="41"/>
        <v>0</v>
      </c>
      <c r="Q380" s="671">
        <f t="shared" si="46"/>
        <v>0</v>
      </c>
      <c r="R380" s="683">
        <f t="shared" si="44"/>
        <v>455.73</v>
      </c>
    </row>
    <row r="381" spans="1:18" ht="12" thickBot="1">
      <c r="A381" s="197" t="s">
        <v>1220</v>
      </c>
      <c r="B381" s="192" t="s">
        <v>163</v>
      </c>
      <c r="C381" s="309" t="s">
        <v>398</v>
      </c>
      <c r="D381" s="205"/>
      <c r="E381" s="650">
        <v>46</v>
      </c>
      <c r="F381" s="650">
        <v>1372</v>
      </c>
      <c r="G381" s="661">
        <v>891.48</v>
      </c>
      <c r="H381" s="661">
        <v>735.06000000000006</v>
      </c>
      <c r="I381" s="661">
        <v>0</v>
      </c>
      <c r="J381" s="650">
        <v>46</v>
      </c>
      <c r="K381" s="650">
        <v>1372</v>
      </c>
      <c r="L381" s="661">
        <v>891.48</v>
      </c>
      <c r="M381" s="661">
        <v>0</v>
      </c>
      <c r="N381" s="661">
        <v>735.06000000000006</v>
      </c>
      <c r="O381" s="675">
        <f t="shared" si="45"/>
        <v>0</v>
      </c>
      <c r="P381" s="675">
        <f t="shared" si="41"/>
        <v>0</v>
      </c>
      <c r="Q381" s="671">
        <f t="shared" si="46"/>
        <v>0</v>
      </c>
      <c r="R381" s="683">
        <f t="shared" si="44"/>
        <v>1626.54</v>
      </c>
    </row>
    <row r="382" spans="1:18" ht="12" thickBot="1">
      <c r="A382" s="197" t="s">
        <v>1220</v>
      </c>
      <c r="B382" s="192" t="s">
        <v>163</v>
      </c>
      <c r="C382" s="147" t="s">
        <v>395</v>
      </c>
      <c r="D382" s="205"/>
      <c r="E382" s="650">
        <v>245</v>
      </c>
      <c r="F382" s="650">
        <v>9535</v>
      </c>
      <c r="G382" s="661">
        <v>4985.75</v>
      </c>
      <c r="H382" s="661">
        <v>3776.82</v>
      </c>
      <c r="I382" s="661">
        <v>0</v>
      </c>
      <c r="J382" s="650">
        <v>245</v>
      </c>
      <c r="K382" s="650">
        <v>9535</v>
      </c>
      <c r="L382" s="661">
        <v>4985.75</v>
      </c>
      <c r="M382" s="661">
        <v>0</v>
      </c>
      <c r="N382" s="661">
        <v>3776.82</v>
      </c>
      <c r="O382" s="675">
        <f t="shared" si="45"/>
        <v>0</v>
      </c>
      <c r="P382" s="675">
        <f t="shared" si="41"/>
        <v>0</v>
      </c>
      <c r="Q382" s="671">
        <f t="shared" si="46"/>
        <v>0</v>
      </c>
      <c r="R382" s="683">
        <f t="shared" si="44"/>
        <v>8762.57</v>
      </c>
    </row>
    <row r="383" spans="1:18" ht="12" thickBot="1">
      <c r="A383" s="197" t="s">
        <v>1220</v>
      </c>
      <c r="B383" s="192" t="s">
        <v>163</v>
      </c>
      <c r="C383" s="147" t="s">
        <v>396</v>
      </c>
      <c r="D383" s="205"/>
      <c r="E383" s="650">
        <v>106</v>
      </c>
      <c r="F383" s="650">
        <v>3154</v>
      </c>
      <c r="G383" s="661">
        <v>2070.1799999999998</v>
      </c>
      <c r="H383" s="661">
        <v>989.6099999999999</v>
      </c>
      <c r="I383" s="661">
        <v>0</v>
      </c>
      <c r="J383" s="650">
        <v>106</v>
      </c>
      <c r="K383" s="650">
        <v>3154</v>
      </c>
      <c r="L383" s="661">
        <v>2070.1799999999998</v>
      </c>
      <c r="M383" s="661">
        <v>0</v>
      </c>
      <c r="N383" s="661">
        <v>989.6099999999999</v>
      </c>
      <c r="O383" s="675">
        <f t="shared" si="45"/>
        <v>0</v>
      </c>
      <c r="P383" s="675">
        <f t="shared" si="41"/>
        <v>0</v>
      </c>
      <c r="Q383" s="671">
        <f t="shared" si="46"/>
        <v>0</v>
      </c>
      <c r="R383" s="683">
        <f t="shared" si="44"/>
        <v>3059.79</v>
      </c>
    </row>
    <row r="384" spans="1:18" ht="12" thickBot="1">
      <c r="A384" s="197" t="s">
        <v>1220</v>
      </c>
      <c r="B384" s="192" t="s">
        <v>163</v>
      </c>
      <c r="C384" s="309" t="s">
        <v>397</v>
      </c>
      <c r="D384" s="205"/>
      <c r="E384" s="650">
        <v>82</v>
      </c>
      <c r="F384" s="650">
        <v>3038</v>
      </c>
      <c r="G384" s="661">
        <v>1707.24</v>
      </c>
      <c r="H384" s="661">
        <v>1287.7700000000002</v>
      </c>
      <c r="I384" s="661">
        <v>0</v>
      </c>
      <c r="J384" s="650">
        <v>82</v>
      </c>
      <c r="K384" s="650">
        <v>3038</v>
      </c>
      <c r="L384" s="661">
        <v>1707.24</v>
      </c>
      <c r="M384" s="661">
        <v>0</v>
      </c>
      <c r="N384" s="661">
        <v>1287.7700000000002</v>
      </c>
      <c r="O384" s="675">
        <f t="shared" si="45"/>
        <v>0</v>
      </c>
      <c r="P384" s="675">
        <f t="shared" si="41"/>
        <v>0</v>
      </c>
      <c r="Q384" s="671">
        <f t="shared" si="46"/>
        <v>0</v>
      </c>
      <c r="R384" s="683">
        <f t="shared" si="44"/>
        <v>2995.01</v>
      </c>
    </row>
    <row r="385" spans="1:18" ht="12" thickBot="1">
      <c r="A385" s="197" t="s">
        <v>1220</v>
      </c>
      <c r="B385" s="192" t="s">
        <v>163</v>
      </c>
      <c r="C385" s="147" t="s">
        <v>287</v>
      </c>
      <c r="D385" s="205"/>
      <c r="E385" s="650">
        <v>998</v>
      </c>
      <c r="F385" s="650">
        <v>77991</v>
      </c>
      <c r="G385" s="661">
        <v>19161.599999999999</v>
      </c>
      <c r="H385" s="661">
        <v>0</v>
      </c>
      <c r="I385" s="661">
        <v>-35.599999999998545</v>
      </c>
      <c r="J385" s="650">
        <v>998</v>
      </c>
      <c r="K385" s="650">
        <v>77991</v>
      </c>
      <c r="L385" s="661">
        <v>19161.599999999999</v>
      </c>
      <c r="M385" s="661">
        <v>-35.599999999998545</v>
      </c>
      <c r="N385" s="661">
        <v>0</v>
      </c>
      <c r="O385" s="675">
        <f t="shared" si="45"/>
        <v>0</v>
      </c>
      <c r="P385" s="675">
        <f t="shared" si="41"/>
        <v>0</v>
      </c>
      <c r="Q385" s="671">
        <f t="shared" si="46"/>
        <v>0</v>
      </c>
      <c r="R385" s="683">
        <f t="shared" si="44"/>
        <v>19126</v>
      </c>
    </row>
    <row r="386" spans="1:18" ht="12" thickBot="1">
      <c r="A386" s="197" t="s">
        <v>1220</v>
      </c>
      <c r="B386" s="192" t="s">
        <v>163</v>
      </c>
      <c r="C386" s="147" t="s">
        <v>288</v>
      </c>
      <c r="D386" s="205"/>
      <c r="E386" s="650">
        <v>997</v>
      </c>
      <c r="F386" s="650">
        <v>120284</v>
      </c>
      <c r="G386" s="661">
        <v>22881.15</v>
      </c>
      <c r="H386" s="661">
        <v>0</v>
      </c>
      <c r="I386" s="661">
        <v>0</v>
      </c>
      <c r="J386" s="650">
        <v>997</v>
      </c>
      <c r="K386" s="650">
        <v>120284</v>
      </c>
      <c r="L386" s="661">
        <v>22881.15</v>
      </c>
      <c r="M386" s="661">
        <v>0</v>
      </c>
      <c r="N386" s="661">
        <v>0</v>
      </c>
      <c r="O386" s="675">
        <f t="shared" si="45"/>
        <v>0</v>
      </c>
      <c r="P386" s="675">
        <f t="shared" si="41"/>
        <v>0</v>
      </c>
      <c r="Q386" s="671">
        <f t="shared" si="46"/>
        <v>0</v>
      </c>
      <c r="R386" s="683">
        <f t="shared" si="44"/>
        <v>22881.15</v>
      </c>
    </row>
    <row r="387" spans="1:18" ht="12" thickBot="1">
      <c r="A387" s="197" t="s">
        <v>1220</v>
      </c>
      <c r="B387" s="192" t="s">
        <v>163</v>
      </c>
      <c r="C387" s="309" t="s">
        <v>291</v>
      </c>
      <c r="D387" s="205"/>
      <c r="E387" s="650">
        <v>108</v>
      </c>
      <c r="F387" s="650">
        <v>5922</v>
      </c>
      <c r="G387" s="661">
        <v>1881.36</v>
      </c>
      <c r="H387" s="661">
        <v>0</v>
      </c>
      <c r="I387" s="661">
        <v>0</v>
      </c>
      <c r="J387" s="650">
        <v>108</v>
      </c>
      <c r="K387" s="650">
        <v>5922</v>
      </c>
      <c r="L387" s="661">
        <v>1881.36</v>
      </c>
      <c r="M387" s="661">
        <v>0</v>
      </c>
      <c r="N387" s="661">
        <v>0</v>
      </c>
      <c r="O387" s="675">
        <f t="shared" si="45"/>
        <v>0</v>
      </c>
      <c r="P387" s="675">
        <f t="shared" si="41"/>
        <v>0</v>
      </c>
      <c r="Q387" s="671">
        <f t="shared" si="46"/>
        <v>0</v>
      </c>
      <c r="R387" s="683">
        <f t="shared" si="44"/>
        <v>1881.36</v>
      </c>
    </row>
    <row r="388" spans="1:18" ht="12" thickBot="1">
      <c r="A388" s="197" t="s">
        <v>1220</v>
      </c>
      <c r="B388" s="192" t="s">
        <v>163</v>
      </c>
      <c r="C388" s="147" t="s">
        <v>297</v>
      </c>
      <c r="D388" s="205"/>
      <c r="E388" s="650">
        <v>80</v>
      </c>
      <c r="F388" s="650">
        <v>6269</v>
      </c>
      <c r="G388" s="661">
        <v>1049.5999999999999</v>
      </c>
      <c r="H388" s="661">
        <v>0</v>
      </c>
      <c r="I388" s="661">
        <v>0</v>
      </c>
      <c r="J388" s="650">
        <v>80</v>
      </c>
      <c r="K388" s="650">
        <v>6269</v>
      </c>
      <c r="L388" s="661">
        <v>1049.5999999999999</v>
      </c>
      <c r="M388" s="661">
        <v>0</v>
      </c>
      <c r="N388" s="661">
        <v>0</v>
      </c>
      <c r="O388" s="675">
        <f t="shared" si="45"/>
        <v>0</v>
      </c>
      <c r="P388" s="675">
        <f t="shared" si="41"/>
        <v>0</v>
      </c>
      <c r="Q388" s="671">
        <f t="shared" si="46"/>
        <v>0</v>
      </c>
      <c r="R388" s="683">
        <f t="shared" si="44"/>
        <v>1049.5999999999999</v>
      </c>
    </row>
    <row r="389" spans="1:18" ht="12" thickBot="1">
      <c r="A389" s="197" t="s">
        <v>1220</v>
      </c>
      <c r="B389" s="192" t="s">
        <v>163</v>
      </c>
      <c r="C389" s="147" t="s">
        <v>299</v>
      </c>
      <c r="D389" s="205"/>
      <c r="E389" s="650">
        <v>34</v>
      </c>
      <c r="F389" s="650">
        <v>888</v>
      </c>
      <c r="G389" s="661">
        <v>306.68</v>
      </c>
      <c r="H389" s="661">
        <v>0</v>
      </c>
      <c r="I389" s="661">
        <v>0</v>
      </c>
      <c r="J389" s="650">
        <v>34</v>
      </c>
      <c r="K389" s="650">
        <v>888</v>
      </c>
      <c r="L389" s="661">
        <v>306.68</v>
      </c>
      <c r="M389" s="661">
        <v>0</v>
      </c>
      <c r="N389" s="661">
        <v>0</v>
      </c>
      <c r="O389" s="675">
        <f t="shared" si="45"/>
        <v>0</v>
      </c>
      <c r="P389" s="675">
        <f t="shared" si="41"/>
        <v>0</v>
      </c>
      <c r="Q389" s="671">
        <f t="shared" si="46"/>
        <v>0</v>
      </c>
      <c r="R389" s="683">
        <f t="shared" si="44"/>
        <v>306.68</v>
      </c>
    </row>
    <row r="390" spans="1:18" ht="12" thickBot="1">
      <c r="A390" s="197" t="s">
        <v>1220</v>
      </c>
      <c r="B390" s="192" t="s">
        <v>163</v>
      </c>
      <c r="C390" s="147" t="s">
        <v>377</v>
      </c>
      <c r="D390" s="205"/>
      <c r="E390" s="650">
        <v>36</v>
      </c>
      <c r="F390" s="650">
        <v>479</v>
      </c>
      <c r="G390" s="661">
        <v>860.04</v>
      </c>
      <c r="H390" s="661">
        <v>53.4</v>
      </c>
      <c r="I390" s="661">
        <v>0</v>
      </c>
      <c r="J390" s="650">
        <v>36</v>
      </c>
      <c r="K390" s="650">
        <v>479</v>
      </c>
      <c r="L390" s="661">
        <v>860.04</v>
      </c>
      <c r="M390" s="661">
        <v>0</v>
      </c>
      <c r="N390" s="661">
        <v>53.4</v>
      </c>
      <c r="O390" s="675">
        <f t="shared" si="45"/>
        <v>0</v>
      </c>
      <c r="P390" s="675">
        <f t="shared" si="41"/>
        <v>0</v>
      </c>
      <c r="Q390" s="671">
        <f t="shared" si="46"/>
        <v>0</v>
      </c>
      <c r="R390" s="683">
        <f t="shared" si="44"/>
        <v>913.43999999999994</v>
      </c>
    </row>
    <row r="391" spans="1:18" ht="12" thickBot="1">
      <c r="A391" s="197" t="s">
        <v>1220</v>
      </c>
      <c r="B391" s="192" t="s">
        <v>163</v>
      </c>
      <c r="C391" s="147" t="s">
        <v>737</v>
      </c>
      <c r="D391" s="205"/>
      <c r="E391" s="650">
        <v>4</v>
      </c>
      <c r="F391" s="650">
        <v>106</v>
      </c>
      <c r="G391" s="661">
        <v>99.6</v>
      </c>
      <c r="H391" s="661">
        <v>0</v>
      </c>
      <c r="I391" s="661">
        <v>0</v>
      </c>
      <c r="J391" s="650">
        <v>4</v>
      </c>
      <c r="K391" s="650">
        <v>106</v>
      </c>
      <c r="L391" s="661">
        <v>99.6</v>
      </c>
      <c r="M391" s="661">
        <v>0</v>
      </c>
      <c r="N391" s="661">
        <v>0</v>
      </c>
      <c r="O391" s="675">
        <f t="shared" si="45"/>
        <v>0</v>
      </c>
      <c r="P391" s="675">
        <f t="shared" si="41"/>
        <v>0</v>
      </c>
      <c r="Q391" s="671">
        <f t="shared" si="46"/>
        <v>0</v>
      </c>
      <c r="R391" s="683">
        <f t="shared" si="44"/>
        <v>99.6</v>
      </c>
    </row>
    <row r="392" spans="1:18" ht="12" thickBot="1">
      <c r="A392" s="197" t="s">
        <v>1220</v>
      </c>
      <c r="B392" s="192" t="s">
        <v>163</v>
      </c>
      <c r="C392" s="309" t="s">
        <v>329</v>
      </c>
      <c r="D392" s="205"/>
      <c r="E392" s="650">
        <v>223</v>
      </c>
      <c r="F392" s="650">
        <v>4981</v>
      </c>
      <c r="G392" s="661">
        <v>4413.17</v>
      </c>
      <c r="H392" s="661">
        <v>0</v>
      </c>
      <c r="I392" s="661">
        <v>-52.109999999999779</v>
      </c>
      <c r="J392" s="650">
        <v>223</v>
      </c>
      <c r="K392" s="650">
        <v>4981</v>
      </c>
      <c r="L392" s="661">
        <v>4413.17</v>
      </c>
      <c r="M392" s="661">
        <v>-52.109999999999779</v>
      </c>
      <c r="N392" s="661">
        <v>0</v>
      </c>
      <c r="O392" s="675">
        <f t="shared" si="45"/>
        <v>0</v>
      </c>
      <c r="P392" s="675">
        <f t="shared" si="41"/>
        <v>0</v>
      </c>
      <c r="Q392" s="671">
        <f t="shared" si="46"/>
        <v>0</v>
      </c>
      <c r="R392" s="683">
        <f t="shared" si="44"/>
        <v>4361.0600000000004</v>
      </c>
    </row>
    <row r="393" spans="1:18" ht="12" thickBot="1">
      <c r="A393" s="197" t="s">
        <v>1220</v>
      </c>
      <c r="B393" s="192" t="s">
        <v>163</v>
      </c>
      <c r="C393" s="147" t="s">
        <v>330</v>
      </c>
      <c r="D393" s="205"/>
      <c r="E393" s="650">
        <v>2190</v>
      </c>
      <c r="F393" s="650">
        <v>67690</v>
      </c>
      <c r="G393" s="661">
        <v>44873.1</v>
      </c>
      <c r="H393" s="661">
        <v>11.31</v>
      </c>
      <c r="I393" s="661">
        <v>-384.40999999999485</v>
      </c>
      <c r="J393" s="650">
        <v>2190</v>
      </c>
      <c r="K393" s="650">
        <v>67690</v>
      </c>
      <c r="L393" s="661">
        <v>44873.1</v>
      </c>
      <c r="M393" s="661">
        <v>-384.40999999999485</v>
      </c>
      <c r="N393" s="661">
        <v>11.31</v>
      </c>
      <c r="O393" s="675">
        <f t="shared" si="45"/>
        <v>0</v>
      </c>
      <c r="P393" s="675">
        <f t="shared" si="41"/>
        <v>0</v>
      </c>
      <c r="Q393" s="671">
        <f t="shared" si="46"/>
        <v>0</v>
      </c>
      <c r="R393" s="683">
        <f t="shared" si="44"/>
        <v>44500</v>
      </c>
    </row>
    <row r="394" spans="1:18" ht="12" thickBot="1">
      <c r="A394" s="197" t="s">
        <v>1220</v>
      </c>
      <c r="B394" s="192" t="s">
        <v>163</v>
      </c>
      <c r="C394" s="147" t="s">
        <v>332</v>
      </c>
      <c r="D394" s="205"/>
      <c r="E394" s="650">
        <v>39</v>
      </c>
      <c r="F394" s="650">
        <v>830</v>
      </c>
      <c r="G394" s="661">
        <v>787.02</v>
      </c>
      <c r="H394" s="661">
        <v>0</v>
      </c>
      <c r="I394" s="661">
        <v>-26.909999999999968</v>
      </c>
      <c r="J394" s="650">
        <v>39</v>
      </c>
      <c r="K394" s="650">
        <v>830</v>
      </c>
      <c r="L394" s="661">
        <v>787.02</v>
      </c>
      <c r="M394" s="661">
        <v>-26.909999999999968</v>
      </c>
      <c r="N394" s="661">
        <v>0</v>
      </c>
      <c r="O394" s="675">
        <f t="shared" si="45"/>
        <v>0</v>
      </c>
      <c r="P394" s="675">
        <f t="shared" si="41"/>
        <v>0</v>
      </c>
      <c r="Q394" s="671">
        <f t="shared" si="46"/>
        <v>0</v>
      </c>
      <c r="R394" s="683">
        <f t="shared" si="44"/>
        <v>760.11</v>
      </c>
    </row>
    <row r="395" spans="1:18" ht="12" thickBot="1">
      <c r="A395" s="197" t="s">
        <v>1220</v>
      </c>
      <c r="B395" s="192" t="s">
        <v>163</v>
      </c>
      <c r="C395" s="147" t="s">
        <v>333</v>
      </c>
      <c r="D395" s="205"/>
      <c r="E395" s="650">
        <v>1837</v>
      </c>
      <c r="F395" s="650">
        <v>60238</v>
      </c>
      <c r="G395" s="661">
        <v>41442.720000000001</v>
      </c>
      <c r="H395" s="661">
        <v>19.55</v>
      </c>
      <c r="I395" s="661">
        <v>1500.6100000000029</v>
      </c>
      <c r="J395" s="650">
        <v>1837</v>
      </c>
      <c r="K395" s="650">
        <v>60238</v>
      </c>
      <c r="L395" s="661">
        <v>41442.720000000001</v>
      </c>
      <c r="M395" s="661">
        <v>1500.6100000000029</v>
      </c>
      <c r="N395" s="661">
        <v>19.55</v>
      </c>
      <c r="O395" s="675">
        <f t="shared" si="45"/>
        <v>0</v>
      </c>
      <c r="P395" s="675">
        <f t="shared" si="41"/>
        <v>0</v>
      </c>
      <c r="Q395" s="671">
        <f t="shared" si="46"/>
        <v>0</v>
      </c>
      <c r="R395" s="683">
        <f t="shared" si="44"/>
        <v>42962.880000000005</v>
      </c>
    </row>
    <row r="396" spans="1:18" ht="12" thickBot="1">
      <c r="A396" s="197" t="s">
        <v>1220</v>
      </c>
      <c r="B396" s="192" t="s">
        <v>163</v>
      </c>
      <c r="C396" s="147" t="s">
        <v>334</v>
      </c>
      <c r="D396" s="205"/>
      <c r="E396" s="650">
        <v>40</v>
      </c>
      <c r="F396" s="650">
        <v>1238</v>
      </c>
      <c r="G396" s="661">
        <v>947.2</v>
      </c>
      <c r="H396" s="661">
        <v>0</v>
      </c>
      <c r="I396" s="661">
        <v>0</v>
      </c>
      <c r="J396" s="650">
        <v>40</v>
      </c>
      <c r="K396" s="650">
        <v>1238</v>
      </c>
      <c r="L396" s="661">
        <v>947.2</v>
      </c>
      <c r="M396" s="661">
        <v>0</v>
      </c>
      <c r="N396" s="661">
        <v>0</v>
      </c>
      <c r="O396" s="675">
        <f t="shared" si="45"/>
        <v>0</v>
      </c>
      <c r="P396" s="675">
        <f t="shared" si="41"/>
        <v>0</v>
      </c>
      <c r="Q396" s="671">
        <f t="shared" si="46"/>
        <v>0</v>
      </c>
      <c r="R396" s="683">
        <f t="shared" si="44"/>
        <v>947.2</v>
      </c>
    </row>
    <row r="397" spans="1:18" ht="12" thickBot="1">
      <c r="A397" s="197" t="s">
        <v>1220</v>
      </c>
      <c r="B397" s="192" t="s">
        <v>163</v>
      </c>
      <c r="C397" s="147" t="s">
        <v>336</v>
      </c>
      <c r="D397" s="205"/>
      <c r="E397" s="650">
        <v>113</v>
      </c>
      <c r="F397" s="650">
        <v>5634</v>
      </c>
      <c r="G397" s="661">
        <v>2799.01</v>
      </c>
      <c r="H397" s="661">
        <v>0</v>
      </c>
      <c r="I397" s="661">
        <v>0</v>
      </c>
      <c r="J397" s="650">
        <v>113</v>
      </c>
      <c r="K397" s="650">
        <v>5634</v>
      </c>
      <c r="L397" s="661">
        <v>2799.01</v>
      </c>
      <c r="M397" s="661">
        <v>0</v>
      </c>
      <c r="N397" s="661">
        <v>0</v>
      </c>
      <c r="O397" s="675">
        <f t="shared" si="45"/>
        <v>0</v>
      </c>
      <c r="P397" s="675">
        <f t="shared" si="41"/>
        <v>0</v>
      </c>
      <c r="Q397" s="671">
        <f t="shared" si="46"/>
        <v>0</v>
      </c>
      <c r="R397" s="683">
        <f t="shared" si="44"/>
        <v>2799.01</v>
      </c>
    </row>
    <row r="398" spans="1:18" ht="12" thickBot="1">
      <c r="A398" s="197" t="s">
        <v>1220</v>
      </c>
      <c r="B398" s="192" t="s">
        <v>163</v>
      </c>
      <c r="C398" s="147" t="s">
        <v>337</v>
      </c>
      <c r="D398" s="205"/>
      <c r="E398" s="650">
        <v>54</v>
      </c>
      <c r="F398" s="650">
        <v>2739</v>
      </c>
      <c r="G398" s="661">
        <v>1614.06</v>
      </c>
      <c r="H398" s="661">
        <v>0</v>
      </c>
      <c r="I398" s="661">
        <v>0</v>
      </c>
      <c r="J398" s="650">
        <v>54</v>
      </c>
      <c r="K398" s="650">
        <v>2739</v>
      </c>
      <c r="L398" s="661">
        <v>1614.06</v>
      </c>
      <c r="M398" s="661">
        <v>0</v>
      </c>
      <c r="N398" s="661">
        <v>0</v>
      </c>
      <c r="O398" s="675">
        <f t="shared" si="45"/>
        <v>0</v>
      </c>
      <c r="P398" s="675">
        <f t="shared" si="41"/>
        <v>0</v>
      </c>
      <c r="Q398" s="671">
        <f t="shared" si="46"/>
        <v>0</v>
      </c>
      <c r="R398" s="683">
        <f t="shared" si="44"/>
        <v>1614.06</v>
      </c>
    </row>
    <row r="399" spans="1:18" ht="12" thickBot="1">
      <c r="A399" s="197" t="s">
        <v>1220</v>
      </c>
      <c r="B399" s="192" t="s">
        <v>163</v>
      </c>
      <c r="C399" s="147" t="s">
        <v>338</v>
      </c>
      <c r="D399" s="205"/>
      <c r="E399" s="650">
        <v>186</v>
      </c>
      <c r="F399" s="650">
        <v>14564</v>
      </c>
      <c r="G399" s="661">
        <v>6111.96</v>
      </c>
      <c r="H399" s="661">
        <v>0</v>
      </c>
      <c r="I399" s="661">
        <v>0</v>
      </c>
      <c r="J399" s="650">
        <v>186</v>
      </c>
      <c r="K399" s="650">
        <v>14564</v>
      </c>
      <c r="L399" s="661">
        <v>6111.96</v>
      </c>
      <c r="M399" s="661">
        <v>0</v>
      </c>
      <c r="N399" s="661">
        <v>0</v>
      </c>
      <c r="O399" s="675">
        <f t="shared" si="45"/>
        <v>0</v>
      </c>
      <c r="P399" s="675">
        <f t="shared" si="41"/>
        <v>0</v>
      </c>
      <c r="Q399" s="671">
        <f t="shared" si="46"/>
        <v>0</v>
      </c>
      <c r="R399" s="683">
        <f t="shared" si="44"/>
        <v>6111.96</v>
      </c>
    </row>
    <row r="400" spans="1:18" ht="12" thickBot="1">
      <c r="A400" s="197" t="s">
        <v>1220</v>
      </c>
      <c r="B400" s="192" t="s">
        <v>163</v>
      </c>
      <c r="C400" s="147" t="s">
        <v>339</v>
      </c>
      <c r="D400" s="205"/>
      <c r="E400" s="650">
        <v>380</v>
      </c>
      <c r="F400" s="650">
        <v>48288</v>
      </c>
      <c r="G400" s="661">
        <v>14588.199999999999</v>
      </c>
      <c r="H400" s="661">
        <v>0</v>
      </c>
      <c r="I400" s="661">
        <v>0</v>
      </c>
      <c r="J400" s="650">
        <v>380</v>
      </c>
      <c r="K400" s="650">
        <v>48288</v>
      </c>
      <c r="L400" s="661">
        <v>14588.199999999999</v>
      </c>
      <c r="M400" s="661">
        <v>0</v>
      </c>
      <c r="N400" s="661">
        <v>0</v>
      </c>
      <c r="O400" s="675">
        <f t="shared" si="45"/>
        <v>0</v>
      </c>
      <c r="P400" s="675">
        <f t="shared" si="41"/>
        <v>0</v>
      </c>
      <c r="Q400" s="671">
        <f t="shared" si="46"/>
        <v>0</v>
      </c>
      <c r="R400" s="683">
        <f t="shared" si="44"/>
        <v>14588.199999999999</v>
      </c>
    </row>
    <row r="401" spans="1:18" ht="12" thickBot="1">
      <c r="A401" s="197" t="s">
        <v>1220</v>
      </c>
      <c r="B401" s="192" t="s">
        <v>163</v>
      </c>
      <c r="C401" s="147" t="s">
        <v>340</v>
      </c>
      <c r="D401" s="205"/>
      <c r="E401" s="650">
        <v>29</v>
      </c>
      <c r="F401" s="650">
        <v>1397</v>
      </c>
      <c r="G401" s="661">
        <v>764.15000000000009</v>
      </c>
      <c r="H401" s="661">
        <v>0</v>
      </c>
      <c r="I401" s="661">
        <v>0</v>
      </c>
      <c r="J401" s="650">
        <v>29</v>
      </c>
      <c r="K401" s="650">
        <v>1397</v>
      </c>
      <c r="L401" s="661">
        <v>764.15000000000009</v>
      </c>
      <c r="M401" s="661">
        <v>0</v>
      </c>
      <c r="N401" s="661">
        <v>0</v>
      </c>
      <c r="O401" s="675">
        <f t="shared" si="45"/>
        <v>0</v>
      </c>
      <c r="P401" s="675">
        <f t="shared" si="41"/>
        <v>0</v>
      </c>
      <c r="Q401" s="671">
        <f t="shared" si="46"/>
        <v>0</v>
      </c>
      <c r="R401" s="683">
        <f t="shared" si="44"/>
        <v>764.15000000000009</v>
      </c>
    </row>
    <row r="402" spans="1:18" ht="12" thickBot="1">
      <c r="A402" s="197" t="s">
        <v>1220</v>
      </c>
      <c r="B402" s="192" t="s">
        <v>163</v>
      </c>
      <c r="C402" s="147" t="s">
        <v>341</v>
      </c>
      <c r="D402" s="205"/>
      <c r="E402" s="650">
        <v>895</v>
      </c>
      <c r="F402" s="650">
        <v>68962</v>
      </c>
      <c r="G402" s="661">
        <v>25462.75</v>
      </c>
      <c r="H402" s="661">
        <v>0</v>
      </c>
      <c r="I402" s="661">
        <v>75.309999999999491</v>
      </c>
      <c r="J402" s="650">
        <v>895</v>
      </c>
      <c r="K402" s="650">
        <v>68962</v>
      </c>
      <c r="L402" s="661">
        <v>25462.75</v>
      </c>
      <c r="M402" s="661">
        <v>75.309999999999491</v>
      </c>
      <c r="N402" s="661">
        <v>0</v>
      </c>
      <c r="O402" s="675">
        <f t="shared" si="45"/>
        <v>0</v>
      </c>
      <c r="P402" s="675">
        <f t="shared" si="41"/>
        <v>0</v>
      </c>
      <c r="Q402" s="671">
        <f t="shared" si="46"/>
        <v>0</v>
      </c>
      <c r="R402" s="683">
        <f t="shared" si="44"/>
        <v>25538.059999999998</v>
      </c>
    </row>
    <row r="403" spans="1:18" ht="12" thickBot="1">
      <c r="A403" s="197" t="s">
        <v>1220</v>
      </c>
      <c r="B403" s="192" t="s">
        <v>163</v>
      </c>
      <c r="C403" s="147" t="s">
        <v>342</v>
      </c>
      <c r="D403" s="205"/>
      <c r="E403" s="650">
        <v>43</v>
      </c>
      <c r="F403" s="650">
        <v>5407</v>
      </c>
      <c r="G403" s="661">
        <v>1463.29</v>
      </c>
      <c r="H403" s="661">
        <v>0</v>
      </c>
      <c r="I403" s="661">
        <v>0</v>
      </c>
      <c r="J403" s="650">
        <v>43</v>
      </c>
      <c r="K403" s="650">
        <v>5407</v>
      </c>
      <c r="L403" s="661">
        <v>1463.29</v>
      </c>
      <c r="M403" s="661">
        <v>0</v>
      </c>
      <c r="N403" s="661">
        <v>0</v>
      </c>
      <c r="O403" s="675">
        <f t="shared" si="45"/>
        <v>0</v>
      </c>
      <c r="P403" s="675">
        <f t="shared" si="41"/>
        <v>0</v>
      </c>
      <c r="Q403" s="671">
        <f t="shared" si="46"/>
        <v>0</v>
      </c>
      <c r="R403" s="683">
        <f t="shared" si="44"/>
        <v>1463.29</v>
      </c>
    </row>
    <row r="404" spans="1:18" ht="12" thickBot="1">
      <c r="A404" s="197" t="s">
        <v>1220</v>
      </c>
      <c r="B404" s="192" t="s">
        <v>163</v>
      </c>
      <c r="C404" s="309" t="s">
        <v>343</v>
      </c>
      <c r="D404" s="205"/>
      <c r="E404" s="650">
        <v>41</v>
      </c>
      <c r="F404" s="650">
        <v>907</v>
      </c>
      <c r="G404" s="661">
        <v>1362.02</v>
      </c>
      <c r="H404" s="661">
        <v>21.36</v>
      </c>
      <c r="I404" s="661">
        <v>0</v>
      </c>
      <c r="J404" s="650">
        <v>41</v>
      </c>
      <c r="K404" s="650">
        <v>907</v>
      </c>
      <c r="L404" s="661">
        <v>1362.02</v>
      </c>
      <c r="M404" s="661">
        <v>0</v>
      </c>
      <c r="N404" s="661">
        <v>21.36</v>
      </c>
      <c r="O404" s="675">
        <f t="shared" si="45"/>
        <v>0</v>
      </c>
      <c r="P404" s="675">
        <f t="shared" si="41"/>
        <v>0</v>
      </c>
      <c r="Q404" s="671">
        <f t="shared" si="46"/>
        <v>0</v>
      </c>
      <c r="R404" s="683">
        <f t="shared" si="44"/>
        <v>1383.3799999999999</v>
      </c>
    </row>
    <row r="405" spans="1:18" ht="12" thickBot="1">
      <c r="A405" s="197" t="s">
        <v>1220</v>
      </c>
      <c r="B405" s="192" t="s">
        <v>163</v>
      </c>
      <c r="C405" s="147" t="s">
        <v>344</v>
      </c>
      <c r="D405" s="205"/>
      <c r="E405" s="650">
        <v>55</v>
      </c>
      <c r="F405" s="650">
        <v>1222</v>
      </c>
      <c r="G405" s="661">
        <v>1936</v>
      </c>
      <c r="H405" s="661">
        <v>58.32</v>
      </c>
      <c r="I405" s="661">
        <v>0</v>
      </c>
      <c r="J405" s="650">
        <v>55</v>
      </c>
      <c r="K405" s="650">
        <v>1222</v>
      </c>
      <c r="L405" s="661">
        <v>1936</v>
      </c>
      <c r="M405" s="661">
        <v>0</v>
      </c>
      <c r="N405" s="661">
        <v>58.32</v>
      </c>
      <c r="O405" s="675">
        <f t="shared" si="45"/>
        <v>0</v>
      </c>
      <c r="P405" s="675">
        <f t="shared" si="41"/>
        <v>0</v>
      </c>
      <c r="Q405" s="671">
        <f t="shared" si="46"/>
        <v>0</v>
      </c>
      <c r="R405" s="683">
        <f t="shared" si="44"/>
        <v>1994.32</v>
      </c>
    </row>
    <row r="406" spans="1:18" ht="12" thickBot="1">
      <c r="A406" s="197" t="s">
        <v>1220</v>
      </c>
      <c r="B406" s="192" t="s">
        <v>163</v>
      </c>
      <c r="C406" s="147" t="s">
        <v>345</v>
      </c>
      <c r="D406" s="205"/>
      <c r="E406" s="650">
        <v>294</v>
      </c>
      <c r="F406" s="650">
        <v>10107</v>
      </c>
      <c r="G406" s="661">
        <v>10020.779999999999</v>
      </c>
      <c r="H406" s="661">
        <v>266.27000000000004</v>
      </c>
      <c r="I406" s="661">
        <v>80.840000000000032</v>
      </c>
      <c r="J406" s="650">
        <v>294</v>
      </c>
      <c r="K406" s="650">
        <v>10107</v>
      </c>
      <c r="L406" s="661">
        <v>10022.459999999999</v>
      </c>
      <c r="M406" s="661">
        <v>79.16</v>
      </c>
      <c r="N406" s="661">
        <v>266.27000000000004</v>
      </c>
      <c r="O406" s="675">
        <f t="shared" si="45"/>
        <v>0</v>
      </c>
      <c r="P406" s="675">
        <f t="shared" si="41"/>
        <v>0</v>
      </c>
      <c r="Q406" s="671">
        <f t="shared" si="46"/>
        <v>0</v>
      </c>
      <c r="R406" s="683">
        <f t="shared" si="44"/>
        <v>10367.89</v>
      </c>
    </row>
    <row r="407" spans="1:18" ht="12" thickBot="1">
      <c r="A407" s="197" t="s">
        <v>1220</v>
      </c>
      <c r="B407" s="192" t="s">
        <v>163</v>
      </c>
      <c r="C407" s="147" t="s">
        <v>346</v>
      </c>
      <c r="D407" s="205"/>
      <c r="E407" s="650">
        <v>197</v>
      </c>
      <c r="F407" s="650">
        <v>6028</v>
      </c>
      <c r="G407" s="661">
        <v>7105.79</v>
      </c>
      <c r="H407" s="661">
        <v>635.57000000000005</v>
      </c>
      <c r="I407" s="661">
        <v>0</v>
      </c>
      <c r="J407" s="650">
        <v>197</v>
      </c>
      <c r="K407" s="650">
        <v>6028</v>
      </c>
      <c r="L407" s="661">
        <v>7105.79</v>
      </c>
      <c r="M407" s="661">
        <v>0</v>
      </c>
      <c r="N407" s="661">
        <v>635.57000000000005</v>
      </c>
      <c r="O407" s="675">
        <f t="shared" si="45"/>
        <v>0</v>
      </c>
      <c r="P407" s="675">
        <f t="shared" si="41"/>
        <v>0</v>
      </c>
      <c r="Q407" s="671">
        <f t="shared" si="46"/>
        <v>0</v>
      </c>
      <c r="R407" s="683">
        <f t="shared" si="44"/>
        <v>7741.36</v>
      </c>
    </row>
    <row r="408" spans="1:18" ht="12" thickBot="1">
      <c r="A408" s="197" t="s">
        <v>1220</v>
      </c>
      <c r="B408" s="192" t="s">
        <v>163</v>
      </c>
      <c r="C408" s="147" t="s">
        <v>347</v>
      </c>
      <c r="D408" s="205"/>
      <c r="E408" s="650">
        <v>25</v>
      </c>
      <c r="F408" s="650">
        <v>544</v>
      </c>
      <c r="G408" s="661">
        <v>806.5</v>
      </c>
      <c r="H408" s="661">
        <v>0</v>
      </c>
      <c r="I408" s="661">
        <v>0</v>
      </c>
      <c r="J408" s="650">
        <v>25</v>
      </c>
      <c r="K408" s="650">
        <v>544</v>
      </c>
      <c r="L408" s="661">
        <v>806.5</v>
      </c>
      <c r="M408" s="661">
        <v>0</v>
      </c>
      <c r="N408" s="661">
        <v>0</v>
      </c>
      <c r="O408" s="675">
        <f t="shared" si="45"/>
        <v>0</v>
      </c>
      <c r="P408" s="675">
        <f t="shared" si="41"/>
        <v>0</v>
      </c>
      <c r="Q408" s="671">
        <f t="shared" si="46"/>
        <v>0</v>
      </c>
      <c r="R408" s="683">
        <f t="shared" si="44"/>
        <v>806.5</v>
      </c>
    </row>
    <row r="409" spans="1:18" ht="12" thickBot="1">
      <c r="A409" s="197" t="s">
        <v>1220</v>
      </c>
      <c r="B409" s="192" t="s">
        <v>163</v>
      </c>
      <c r="C409" s="147" t="s">
        <v>348</v>
      </c>
      <c r="D409" s="205"/>
      <c r="E409" s="650">
        <v>45</v>
      </c>
      <c r="F409" s="650">
        <v>1010</v>
      </c>
      <c r="G409" s="661">
        <v>1481.85</v>
      </c>
      <c r="H409" s="661">
        <v>165.98</v>
      </c>
      <c r="I409" s="661">
        <v>0</v>
      </c>
      <c r="J409" s="650">
        <v>45</v>
      </c>
      <c r="K409" s="650">
        <v>1010</v>
      </c>
      <c r="L409" s="661">
        <v>1481.85</v>
      </c>
      <c r="M409" s="661">
        <v>0</v>
      </c>
      <c r="N409" s="661">
        <v>165.98</v>
      </c>
      <c r="O409" s="675">
        <f t="shared" si="45"/>
        <v>0</v>
      </c>
      <c r="P409" s="675">
        <f t="shared" si="41"/>
        <v>0</v>
      </c>
      <c r="Q409" s="671">
        <f t="shared" si="46"/>
        <v>0</v>
      </c>
      <c r="R409" s="683">
        <f t="shared" si="44"/>
        <v>1647.83</v>
      </c>
    </row>
    <row r="410" spans="1:18" ht="12" thickBot="1">
      <c r="A410" s="197" t="s">
        <v>1220</v>
      </c>
      <c r="B410" s="192" t="s">
        <v>163</v>
      </c>
      <c r="C410" s="147" t="s">
        <v>376</v>
      </c>
      <c r="D410" s="205"/>
      <c r="E410" s="650">
        <v>10</v>
      </c>
      <c r="F410" s="650">
        <v>332</v>
      </c>
      <c r="G410" s="661">
        <v>343.3</v>
      </c>
      <c r="H410" s="661">
        <v>3.47</v>
      </c>
      <c r="I410" s="661">
        <v>0</v>
      </c>
      <c r="J410" s="650">
        <v>10</v>
      </c>
      <c r="K410" s="650">
        <v>332</v>
      </c>
      <c r="L410" s="661">
        <v>343.3</v>
      </c>
      <c r="M410" s="661">
        <v>0</v>
      </c>
      <c r="N410" s="661">
        <v>3.47</v>
      </c>
      <c r="O410" s="675">
        <f t="shared" si="45"/>
        <v>0</v>
      </c>
      <c r="P410" s="675">
        <f t="shared" si="41"/>
        <v>0</v>
      </c>
      <c r="Q410" s="671">
        <f t="shared" si="46"/>
        <v>0</v>
      </c>
      <c r="R410" s="683">
        <f t="shared" si="44"/>
        <v>346.77000000000004</v>
      </c>
    </row>
    <row r="411" spans="1:18" ht="12" thickBot="1">
      <c r="A411" s="197" t="s">
        <v>1220</v>
      </c>
      <c r="B411" s="192" t="s">
        <v>163</v>
      </c>
      <c r="C411" s="147" t="s">
        <v>349</v>
      </c>
      <c r="D411" s="205"/>
      <c r="E411" s="650">
        <v>195</v>
      </c>
      <c r="F411" s="650">
        <v>5826</v>
      </c>
      <c r="G411" s="661">
        <v>6823.05</v>
      </c>
      <c r="H411" s="661">
        <v>932.68999999999994</v>
      </c>
      <c r="I411" s="661">
        <v>0</v>
      </c>
      <c r="J411" s="650">
        <v>195</v>
      </c>
      <c r="K411" s="650">
        <v>5826</v>
      </c>
      <c r="L411" s="661">
        <v>6823.05</v>
      </c>
      <c r="M411" s="661">
        <v>0</v>
      </c>
      <c r="N411" s="661">
        <v>932.68999999999994</v>
      </c>
      <c r="O411" s="675">
        <f t="shared" si="45"/>
        <v>0</v>
      </c>
      <c r="P411" s="675">
        <f t="shared" si="41"/>
        <v>0</v>
      </c>
      <c r="Q411" s="671">
        <f t="shared" si="46"/>
        <v>0</v>
      </c>
      <c r="R411" s="683">
        <f t="shared" si="44"/>
        <v>7755.74</v>
      </c>
    </row>
    <row r="412" spans="1:18" ht="12" thickBot="1">
      <c r="A412" s="197" t="s">
        <v>1220</v>
      </c>
      <c r="B412" s="192" t="s">
        <v>163</v>
      </c>
      <c r="C412" s="147" t="s">
        <v>730</v>
      </c>
      <c r="D412" s="205"/>
      <c r="E412" s="650">
        <v>2</v>
      </c>
      <c r="F412" s="650">
        <v>160</v>
      </c>
      <c r="G412" s="661">
        <v>36.56</v>
      </c>
      <c r="H412" s="661">
        <v>0</v>
      </c>
      <c r="I412" s="661">
        <v>0</v>
      </c>
      <c r="J412" s="650">
        <v>2</v>
      </c>
      <c r="K412" s="650">
        <v>160</v>
      </c>
      <c r="L412" s="661">
        <v>36.56</v>
      </c>
      <c r="M412" s="661">
        <v>0</v>
      </c>
      <c r="N412" s="661">
        <v>0</v>
      </c>
      <c r="O412" s="675">
        <f t="shared" si="45"/>
        <v>0</v>
      </c>
      <c r="P412" s="675">
        <f t="shared" si="41"/>
        <v>0</v>
      </c>
      <c r="Q412" s="671">
        <f t="shared" si="46"/>
        <v>0</v>
      </c>
      <c r="R412" s="683">
        <f t="shared" si="44"/>
        <v>36.56</v>
      </c>
    </row>
    <row r="413" spans="1:18" ht="12" thickBot="1">
      <c r="A413" s="197" t="s">
        <v>1220</v>
      </c>
      <c r="B413" s="192" t="s">
        <v>163</v>
      </c>
      <c r="C413" s="147" t="s">
        <v>378</v>
      </c>
      <c r="D413" s="205"/>
      <c r="E413" s="650">
        <v>18</v>
      </c>
      <c r="F413" s="650">
        <v>2228</v>
      </c>
      <c r="G413" s="661">
        <v>401.76</v>
      </c>
      <c r="H413" s="661">
        <v>0</v>
      </c>
      <c r="I413" s="661">
        <v>0</v>
      </c>
      <c r="J413" s="650">
        <v>18</v>
      </c>
      <c r="K413" s="650">
        <v>2228</v>
      </c>
      <c r="L413" s="661">
        <v>401.76</v>
      </c>
      <c r="M413" s="661">
        <v>0</v>
      </c>
      <c r="N413" s="661">
        <v>0</v>
      </c>
      <c r="O413" s="675">
        <f t="shared" si="45"/>
        <v>0</v>
      </c>
      <c r="P413" s="675">
        <f t="shared" ref="P413:P424" si="47">K413-F413</f>
        <v>0</v>
      </c>
      <c r="Q413" s="671">
        <f t="shared" si="46"/>
        <v>0</v>
      </c>
      <c r="R413" s="683">
        <f t="shared" si="44"/>
        <v>401.76</v>
      </c>
    </row>
    <row r="414" spans="1:18" ht="12" thickBot="1">
      <c r="A414" s="197" t="s">
        <v>1220</v>
      </c>
      <c r="B414" s="192" t="s">
        <v>163</v>
      </c>
      <c r="C414" s="309" t="s">
        <v>354</v>
      </c>
      <c r="D414" s="205"/>
      <c r="E414" s="650">
        <v>9881</v>
      </c>
      <c r="F414" s="650">
        <v>473559</v>
      </c>
      <c r="G414" s="661">
        <v>126674.42</v>
      </c>
      <c r="H414" s="661">
        <v>1124.8599999999999</v>
      </c>
      <c r="I414" s="661">
        <v>-56.060000000004948</v>
      </c>
      <c r="J414" s="650">
        <v>9881</v>
      </c>
      <c r="K414" s="650">
        <v>473559</v>
      </c>
      <c r="L414" s="661">
        <v>126674.42</v>
      </c>
      <c r="M414" s="661">
        <v>-56.060000000004948</v>
      </c>
      <c r="N414" s="661">
        <v>1124.8599999999999</v>
      </c>
      <c r="O414" s="675">
        <f t="shared" si="45"/>
        <v>0</v>
      </c>
      <c r="P414" s="675">
        <f t="shared" si="47"/>
        <v>0</v>
      </c>
      <c r="Q414" s="671">
        <f t="shared" si="46"/>
        <v>0</v>
      </c>
      <c r="R414" s="683">
        <f t="shared" si="44"/>
        <v>127743.22</v>
      </c>
    </row>
    <row r="415" spans="1:18" ht="12" thickBot="1">
      <c r="A415" s="197" t="s">
        <v>1220</v>
      </c>
      <c r="B415" s="192" t="s">
        <v>163</v>
      </c>
      <c r="C415" s="147" t="s">
        <v>355</v>
      </c>
      <c r="D415" s="205"/>
      <c r="E415" s="650">
        <v>16840</v>
      </c>
      <c r="F415" s="650">
        <v>1298842</v>
      </c>
      <c r="G415" s="661">
        <v>253947.2</v>
      </c>
      <c r="H415" s="661">
        <v>1128.3</v>
      </c>
      <c r="I415" s="661">
        <v>119.52999999998836</v>
      </c>
      <c r="J415" s="650">
        <v>16840</v>
      </c>
      <c r="K415" s="650">
        <v>1298842</v>
      </c>
      <c r="L415" s="661">
        <v>253947.2</v>
      </c>
      <c r="M415" s="661">
        <v>119.52999999998836</v>
      </c>
      <c r="N415" s="661">
        <v>1128.3</v>
      </c>
      <c r="O415" s="675">
        <f t="shared" si="45"/>
        <v>0</v>
      </c>
      <c r="P415" s="675">
        <f t="shared" si="47"/>
        <v>0</v>
      </c>
      <c r="Q415" s="671">
        <f t="shared" si="46"/>
        <v>0</v>
      </c>
      <c r="R415" s="683">
        <f t="shared" si="44"/>
        <v>255195.03</v>
      </c>
    </row>
    <row r="416" spans="1:18" ht="12" thickBot="1">
      <c r="A416" s="197" t="s">
        <v>1220</v>
      </c>
      <c r="B416" s="192" t="s">
        <v>163</v>
      </c>
      <c r="C416" s="147" t="s">
        <v>356</v>
      </c>
      <c r="D416" s="205"/>
      <c r="E416" s="650">
        <v>7802</v>
      </c>
      <c r="F416" s="650">
        <v>973031</v>
      </c>
      <c r="G416" s="661">
        <v>135598.76</v>
      </c>
      <c r="H416" s="661">
        <v>2826.59</v>
      </c>
      <c r="I416" s="661">
        <v>-201.92999999999302</v>
      </c>
      <c r="J416" s="650">
        <v>7802</v>
      </c>
      <c r="K416" s="650">
        <v>973031</v>
      </c>
      <c r="L416" s="661">
        <v>135598.76</v>
      </c>
      <c r="M416" s="661">
        <v>-201.92999999999302</v>
      </c>
      <c r="N416" s="661">
        <v>2826.59</v>
      </c>
      <c r="O416" s="675">
        <f t="shared" si="45"/>
        <v>0</v>
      </c>
      <c r="P416" s="675">
        <f t="shared" si="47"/>
        <v>0</v>
      </c>
      <c r="Q416" s="671">
        <f t="shared" si="46"/>
        <v>0</v>
      </c>
      <c r="R416" s="683">
        <f t="shared" si="44"/>
        <v>138223.42000000001</v>
      </c>
    </row>
    <row r="417" spans="1:18" ht="12" thickBot="1">
      <c r="A417" s="197" t="s">
        <v>1220</v>
      </c>
      <c r="B417" s="192" t="s">
        <v>163</v>
      </c>
      <c r="C417" s="147" t="s">
        <v>357</v>
      </c>
      <c r="D417" s="205"/>
      <c r="E417" s="650">
        <v>415</v>
      </c>
      <c r="F417" s="650">
        <v>20372</v>
      </c>
      <c r="G417" s="661">
        <v>5714.55</v>
      </c>
      <c r="H417" s="661">
        <v>218.2</v>
      </c>
      <c r="I417" s="661">
        <v>-11.019999999999996</v>
      </c>
      <c r="J417" s="650">
        <v>415</v>
      </c>
      <c r="K417" s="650">
        <v>20372</v>
      </c>
      <c r="L417" s="661">
        <v>5714.55</v>
      </c>
      <c r="M417" s="661">
        <v>-11.019999999999996</v>
      </c>
      <c r="N417" s="661">
        <v>218.2</v>
      </c>
      <c r="O417" s="675">
        <f t="shared" si="45"/>
        <v>0</v>
      </c>
      <c r="P417" s="675">
        <f t="shared" si="47"/>
        <v>0</v>
      </c>
      <c r="Q417" s="671">
        <f t="shared" si="46"/>
        <v>0</v>
      </c>
      <c r="R417" s="683">
        <f t="shared" si="44"/>
        <v>5921.73</v>
      </c>
    </row>
    <row r="418" spans="1:18" ht="12" thickBot="1">
      <c r="A418" s="197" t="s">
        <v>1220</v>
      </c>
      <c r="B418" s="192" t="s">
        <v>163</v>
      </c>
      <c r="C418" s="147" t="s">
        <v>358</v>
      </c>
      <c r="D418" s="205"/>
      <c r="E418" s="650">
        <v>13175</v>
      </c>
      <c r="F418" s="650">
        <v>1691043</v>
      </c>
      <c r="G418" s="661">
        <v>239916.75</v>
      </c>
      <c r="H418" s="661">
        <v>7855.78</v>
      </c>
      <c r="I418" s="661">
        <v>-345.13000000000375</v>
      </c>
      <c r="J418" s="650">
        <v>13175</v>
      </c>
      <c r="K418" s="650">
        <v>1691043</v>
      </c>
      <c r="L418" s="661">
        <v>239916.75</v>
      </c>
      <c r="M418" s="661">
        <v>-345.13000000000375</v>
      </c>
      <c r="N418" s="661">
        <v>7855.78</v>
      </c>
      <c r="O418" s="675">
        <f t="shared" si="45"/>
        <v>0</v>
      </c>
      <c r="P418" s="675">
        <f t="shared" si="47"/>
        <v>0</v>
      </c>
      <c r="Q418" s="671">
        <f t="shared" si="46"/>
        <v>0</v>
      </c>
      <c r="R418" s="683">
        <f t="shared" si="44"/>
        <v>247427.4</v>
      </c>
    </row>
    <row r="419" spans="1:18" ht="12" thickBot="1">
      <c r="A419" s="197" t="s">
        <v>1220</v>
      </c>
      <c r="B419" s="192" t="s">
        <v>163</v>
      </c>
      <c r="C419" s="147" t="s">
        <v>359</v>
      </c>
      <c r="D419" s="205"/>
      <c r="E419" s="650">
        <v>3419</v>
      </c>
      <c r="F419" s="650">
        <v>107771</v>
      </c>
      <c r="G419" s="661">
        <v>37130.340000000004</v>
      </c>
      <c r="H419" s="661">
        <v>1663.87</v>
      </c>
      <c r="I419" s="661">
        <v>-267.02999999999975</v>
      </c>
      <c r="J419" s="650">
        <v>3419</v>
      </c>
      <c r="K419" s="650">
        <v>107771</v>
      </c>
      <c r="L419" s="661">
        <v>37130.340000000004</v>
      </c>
      <c r="M419" s="661">
        <v>-267.02999999999975</v>
      </c>
      <c r="N419" s="661">
        <v>1663.87</v>
      </c>
      <c r="O419" s="675">
        <f t="shared" si="45"/>
        <v>0</v>
      </c>
      <c r="P419" s="675">
        <f t="shared" si="47"/>
        <v>0</v>
      </c>
      <c r="Q419" s="671">
        <f t="shared" si="46"/>
        <v>0</v>
      </c>
      <c r="R419" s="683">
        <f t="shared" si="44"/>
        <v>38527.180000000008</v>
      </c>
    </row>
    <row r="420" spans="1:18" ht="12" thickBot="1">
      <c r="A420" s="197" t="s">
        <v>1220</v>
      </c>
      <c r="B420" s="192" t="s">
        <v>163</v>
      </c>
      <c r="C420" s="147" t="s">
        <v>360</v>
      </c>
      <c r="D420" s="205"/>
      <c r="E420" s="650">
        <v>6</v>
      </c>
      <c r="F420" s="650">
        <v>332</v>
      </c>
      <c r="G420" s="661">
        <v>66.78</v>
      </c>
      <c r="H420" s="661">
        <v>0</v>
      </c>
      <c r="I420" s="661">
        <v>0</v>
      </c>
      <c r="J420" s="650">
        <v>6</v>
      </c>
      <c r="K420" s="650">
        <v>332</v>
      </c>
      <c r="L420" s="661">
        <v>66.78</v>
      </c>
      <c r="M420" s="661">
        <v>0</v>
      </c>
      <c r="N420" s="661">
        <v>0</v>
      </c>
      <c r="O420" s="675">
        <f t="shared" si="45"/>
        <v>0</v>
      </c>
      <c r="P420" s="675">
        <f t="shared" si="47"/>
        <v>0</v>
      </c>
      <c r="Q420" s="671">
        <f t="shared" si="46"/>
        <v>0</v>
      </c>
      <c r="R420" s="683">
        <f t="shared" si="44"/>
        <v>66.78</v>
      </c>
    </row>
    <row r="421" spans="1:18" ht="12" thickBot="1">
      <c r="A421" s="197" t="s">
        <v>1220</v>
      </c>
      <c r="B421" s="192" t="s">
        <v>163</v>
      </c>
      <c r="C421" s="147" t="s">
        <v>365</v>
      </c>
      <c r="D421" s="205"/>
      <c r="E421" s="650">
        <v>24</v>
      </c>
      <c r="F421" s="650">
        <v>991</v>
      </c>
      <c r="G421" s="661">
        <v>306.95999999999998</v>
      </c>
      <c r="H421" s="661">
        <v>4.12</v>
      </c>
      <c r="I421" s="661">
        <v>0</v>
      </c>
      <c r="J421" s="650">
        <v>24</v>
      </c>
      <c r="K421" s="650">
        <v>991</v>
      </c>
      <c r="L421" s="661">
        <v>306.95999999999998</v>
      </c>
      <c r="M421" s="661">
        <v>0</v>
      </c>
      <c r="N421" s="661">
        <v>4.12</v>
      </c>
      <c r="O421" s="675">
        <f t="shared" si="45"/>
        <v>0</v>
      </c>
      <c r="P421" s="675">
        <f t="shared" si="47"/>
        <v>0</v>
      </c>
      <c r="Q421" s="671">
        <f t="shared" si="46"/>
        <v>0</v>
      </c>
      <c r="R421" s="683">
        <f t="shared" si="44"/>
        <v>311.08</v>
      </c>
    </row>
    <row r="422" spans="1:18" ht="12" thickBot="1">
      <c r="A422" s="197" t="s">
        <v>1220</v>
      </c>
      <c r="B422" s="192" t="s">
        <v>163</v>
      </c>
      <c r="C422" s="147" t="s">
        <v>366</v>
      </c>
      <c r="D422" s="205"/>
      <c r="E422" s="650">
        <v>2</v>
      </c>
      <c r="F422" s="650">
        <v>81</v>
      </c>
      <c r="G422" s="661">
        <v>30.14</v>
      </c>
      <c r="H422" s="661">
        <v>0</v>
      </c>
      <c r="I422" s="661">
        <v>0</v>
      </c>
      <c r="J422" s="650">
        <v>2</v>
      </c>
      <c r="K422" s="650">
        <v>81</v>
      </c>
      <c r="L422" s="661">
        <v>30.14</v>
      </c>
      <c r="M422" s="661">
        <v>0</v>
      </c>
      <c r="N422" s="661">
        <v>0</v>
      </c>
      <c r="O422" s="675">
        <f t="shared" si="45"/>
        <v>0</v>
      </c>
      <c r="P422" s="675">
        <f t="shared" si="47"/>
        <v>0</v>
      </c>
      <c r="Q422" s="671">
        <f t="shared" si="46"/>
        <v>0</v>
      </c>
      <c r="R422" s="683">
        <f t="shared" si="44"/>
        <v>30.14</v>
      </c>
    </row>
    <row r="423" spans="1:18" ht="12" thickBot="1">
      <c r="A423" s="197" t="s">
        <v>1220</v>
      </c>
      <c r="B423" s="192" t="s">
        <v>163</v>
      </c>
      <c r="C423" s="147" t="s">
        <v>367</v>
      </c>
      <c r="D423" s="205"/>
      <c r="E423" s="650">
        <v>414</v>
      </c>
      <c r="F423" s="650">
        <v>40343</v>
      </c>
      <c r="G423" s="661">
        <v>7733.52</v>
      </c>
      <c r="H423" s="661">
        <v>80.22</v>
      </c>
      <c r="I423" s="661">
        <v>146.94999999999968</v>
      </c>
      <c r="J423" s="650">
        <v>414</v>
      </c>
      <c r="K423" s="650">
        <v>40343</v>
      </c>
      <c r="L423" s="661">
        <v>7733.52</v>
      </c>
      <c r="M423" s="661">
        <v>146.94999999999968</v>
      </c>
      <c r="N423" s="661">
        <v>80.22</v>
      </c>
      <c r="O423" s="675">
        <f t="shared" si="45"/>
        <v>0</v>
      </c>
      <c r="P423" s="675">
        <f t="shared" si="47"/>
        <v>0</v>
      </c>
      <c r="Q423" s="671">
        <f t="shared" si="46"/>
        <v>0</v>
      </c>
      <c r="R423" s="683">
        <f t="shared" si="44"/>
        <v>7960.6900000000005</v>
      </c>
    </row>
    <row r="424" spans="1:18" ht="12" thickBot="1">
      <c r="A424" s="197" t="s">
        <v>1220</v>
      </c>
      <c r="B424" s="192" t="s">
        <v>163</v>
      </c>
      <c r="C424" s="147" t="s">
        <v>368</v>
      </c>
      <c r="D424" s="205"/>
      <c r="E424" s="650">
        <v>54</v>
      </c>
      <c r="F424" s="650">
        <v>5224</v>
      </c>
      <c r="G424" s="661">
        <v>1132.3800000000001</v>
      </c>
      <c r="H424" s="661">
        <v>26.740000000000002</v>
      </c>
      <c r="I424" s="661">
        <v>0</v>
      </c>
      <c r="J424" s="650">
        <v>54</v>
      </c>
      <c r="K424" s="650">
        <v>5224</v>
      </c>
      <c r="L424" s="661">
        <v>1132.3800000000001</v>
      </c>
      <c r="M424" s="661">
        <v>0</v>
      </c>
      <c r="N424" s="661">
        <v>26.740000000000002</v>
      </c>
      <c r="O424" s="675">
        <f t="shared" ref="O424:O432" si="48">J424-E424</f>
        <v>0</v>
      </c>
      <c r="P424" s="675">
        <f t="shared" si="47"/>
        <v>0</v>
      </c>
      <c r="Q424" s="671">
        <f t="shared" si="46"/>
        <v>0</v>
      </c>
      <c r="R424" s="683">
        <f t="shared" ref="R424:R432" si="49">SUM(G424:I424)</f>
        <v>1159.1200000000001</v>
      </c>
    </row>
    <row r="425" spans="1:18" ht="12" thickBot="1">
      <c r="A425" s="197" t="s">
        <v>1220</v>
      </c>
      <c r="B425" s="192" t="s">
        <v>163</v>
      </c>
      <c r="C425" s="147" t="s">
        <v>369</v>
      </c>
      <c r="D425" s="205"/>
      <c r="E425" s="650">
        <v>2</v>
      </c>
      <c r="F425" s="650">
        <v>196</v>
      </c>
      <c r="G425" s="661">
        <v>56.84</v>
      </c>
      <c r="H425" s="661">
        <v>0</v>
      </c>
      <c r="I425" s="661">
        <v>0</v>
      </c>
      <c r="J425" s="650">
        <v>2</v>
      </c>
      <c r="K425" s="650">
        <v>196</v>
      </c>
      <c r="L425" s="661">
        <v>56.84</v>
      </c>
      <c r="M425" s="661">
        <v>0</v>
      </c>
      <c r="N425" s="661">
        <v>0</v>
      </c>
      <c r="O425" s="675">
        <f t="shared" si="48"/>
        <v>0</v>
      </c>
      <c r="P425" s="675">
        <f t="shared" ref="P425:P432" si="50">K425-F425</f>
        <v>0</v>
      </c>
      <c r="Q425" s="671">
        <f t="shared" ref="Q425:Q435" si="51">(G425+I425)-(L425+M425)</f>
        <v>0</v>
      </c>
      <c r="R425" s="683">
        <f t="shared" si="49"/>
        <v>56.84</v>
      </c>
    </row>
    <row r="426" spans="1:18" ht="12" thickBot="1">
      <c r="A426" s="197" t="s">
        <v>1220</v>
      </c>
      <c r="B426" s="192" t="s">
        <v>163</v>
      </c>
      <c r="C426" s="147" t="s">
        <v>370</v>
      </c>
      <c r="D426" s="205"/>
      <c r="E426" s="650">
        <v>405</v>
      </c>
      <c r="F426" s="650">
        <v>118301</v>
      </c>
      <c r="G426" s="661">
        <v>16038</v>
      </c>
      <c r="H426" s="661">
        <v>125.46</v>
      </c>
      <c r="I426" s="661">
        <v>0</v>
      </c>
      <c r="J426" s="650">
        <v>405</v>
      </c>
      <c r="K426" s="650">
        <v>118301</v>
      </c>
      <c r="L426" s="661">
        <v>16038</v>
      </c>
      <c r="M426" s="661">
        <v>0</v>
      </c>
      <c r="N426" s="661">
        <v>125.46</v>
      </c>
      <c r="O426" s="675">
        <f t="shared" si="48"/>
        <v>0</v>
      </c>
      <c r="P426" s="675">
        <f t="shared" si="50"/>
        <v>0</v>
      </c>
      <c r="Q426" s="671">
        <f t="shared" si="51"/>
        <v>0</v>
      </c>
      <c r="R426" s="683">
        <f t="shared" si="49"/>
        <v>16163.46</v>
      </c>
    </row>
    <row r="427" spans="1:18" ht="12" thickBot="1">
      <c r="A427" s="197" t="s">
        <v>1220</v>
      </c>
      <c r="B427" s="192" t="s">
        <v>163</v>
      </c>
      <c r="C427" s="147" t="s">
        <v>371</v>
      </c>
      <c r="D427" s="205"/>
      <c r="E427" s="650">
        <v>61</v>
      </c>
      <c r="F427" s="650">
        <v>17788</v>
      </c>
      <c r="G427" s="661">
        <v>2609.58</v>
      </c>
      <c r="H427" s="661">
        <v>33.93</v>
      </c>
      <c r="I427" s="661">
        <v>0</v>
      </c>
      <c r="J427" s="650">
        <v>61</v>
      </c>
      <c r="K427" s="650">
        <v>17788</v>
      </c>
      <c r="L427" s="661">
        <v>2609.58</v>
      </c>
      <c r="M427" s="661">
        <v>0</v>
      </c>
      <c r="N427" s="661">
        <v>33.93</v>
      </c>
      <c r="O427" s="675">
        <f t="shared" si="48"/>
        <v>0</v>
      </c>
      <c r="P427" s="675">
        <f t="shared" si="50"/>
        <v>0</v>
      </c>
      <c r="Q427" s="671">
        <f t="shared" si="51"/>
        <v>0</v>
      </c>
      <c r="R427" s="683">
        <f t="shared" si="49"/>
        <v>2643.5099999999998</v>
      </c>
    </row>
    <row r="428" spans="1:18" ht="12" thickBot="1">
      <c r="A428" s="197" t="s">
        <v>1220</v>
      </c>
      <c r="B428" s="192" t="s">
        <v>163</v>
      </c>
      <c r="C428" s="147" t="s">
        <v>659</v>
      </c>
      <c r="D428" s="205"/>
      <c r="E428" s="650">
        <v>18</v>
      </c>
      <c r="F428" s="650">
        <v>751</v>
      </c>
      <c r="G428" s="661">
        <v>428.94</v>
      </c>
      <c r="H428" s="661">
        <v>0</v>
      </c>
      <c r="I428" s="661">
        <v>0</v>
      </c>
      <c r="J428" s="650">
        <v>18</v>
      </c>
      <c r="K428" s="650">
        <v>751</v>
      </c>
      <c r="L428" s="661">
        <v>428.94</v>
      </c>
      <c r="M428" s="661">
        <v>0</v>
      </c>
      <c r="N428" s="661">
        <v>0</v>
      </c>
      <c r="O428" s="675">
        <f t="shared" si="48"/>
        <v>0</v>
      </c>
      <c r="P428" s="675">
        <f t="shared" si="50"/>
        <v>0</v>
      </c>
      <c r="Q428" s="671">
        <f t="shared" si="51"/>
        <v>0</v>
      </c>
      <c r="R428" s="683">
        <f t="shared" si="49"/>
        <v>428.94</v>
      </c>
    </row>
    <row r="429" spans="1:18" ht="12" thickBot="1">
      <c r="A429" s="197" t="s">
        <v>1220</v>
      </c>
      <c r="B429" s="192" t="s">
        <v>163</v>
      </c>
      <c r="C429" s="147" t="s">
        <v>399</v>
      </c>
      <c r="D429" s="205"/>
      <c r="E429" s="650">
        <v>4</v>
      </c>
      <c r="F429" s="650">
        <v>377</v>
      </c>
      <c r="G429" s="661">
        <v>81.84</v>
      </c>
      <c r="H429" s="661">
        <v>0</v>
      </c>
      <c r="I429" s="661">
        <v>0</v>
      </c>
      <c r="J429" s="650">
        <v>4</v>
      </c>
      <c r="K429" s="650">
        <v>377</v>
      </c>
      <c r="L429" s="661">
        <v>81.84</v>
      </c>
      <c r="M429" s="661">
        <v>0</v>
      </c>
      <c r="N429" s="661">
        <v>0</v>
      </c>
      <c r="O429" s="675">
        <f t="shared" si="48"/>
        <v>0</v>
      </c>
      <c r="P429" s="675">
        <f t="shared" si="50"/>
        <v>0</v>
      </c>
      <c r="Q429" s="671">
        <f t="shared" si="51"/>
        <v>0</v>
      </c>
      <c r="R429" s="683">
        <f t="shared" si="49"/>
        <v>81.84</v>
      </c>
    </row>
    <row r="430" spans="1:18" ht="12" thickBot="1">
      <c r="A430" s="197" t="s">
        <v>1220</v>
      </c>
      <c r="B430" s="192" t="s">
        <v>163</v>
      </c>
      <c r="C430" s="147" t="s">
        <v>372</v>
      </c>
      <c r="D430" s="205"/>
      <c r="E430" s="650">
        <v>46</v>
      </c>
      <c r="F430" s="650">
        <v>4188</v>
      </c>
      <c r="G430" s="661">
        <v>1389.66</v>
      </c>
      <c r="H430" s="661">
        <v>0</v>
      </c>
      <c r="I430" s="661">
        <v>-60.419999999999987</v>
      </c>
      <c r="J430" s="650">
        <v>46</v>
      </c>
      <c r="K430" s="650">
        <v>4188</v>
      </c>
      <c r="L430" s="661">
        <v>1389.66</v>
      </c>
      <c r="M430" s="661">
        <v>-60.419999999999987</v>
      </c>
      <c r="N430" s="661">
        <v>0</v>
      </c>
      <c r="O430" s="675">
        <f t="shared" si="48"/>
        <v>0</v>
      </c>
      <c r="P430" s="675">
        <f t="shared" si="50"/>
        <v>0</v>
      </c>
      <c r="Q430" s="671">
        <f t="shared" si="51"/>
        <v>0</v>
      </c>
      <c r="R430" s="683">
        <f t="shared" si="49"/>
        <v>1329.24</v>
      </c>
    </row>
    <row r="431" spans="1:18" ht="12" thickBot="1">
      <c r="A431" s="197" t="s">
        <v>1220</v>
      </c>
      <c r="B431" s="192" t="s">
        <v>163</v>
      </c>
      <c r="C431" s="147" t="s">
        <v>373</v>
      </c>
      <c r="D431" s="205"/>
      <c r="E431" s="650">
        <v>2</v>
      </c>
      <c r="F431" s="650">
        <v>575</v>
      </c>
      <c r="G431" s="661">
        <v>85.12</v>
      </c>
      <c r="H431" s="661">
        <v>0</v>
      </c>
      <c r="I431" s="661">
        <v>0</v>
      </c>
      <c r="J431" s="650">
        <v>2</v>
      </c>
      <c r="K431" s="650">
        <v>575</v>
      </c>
      <c r="L431" s="661">
        <v>85.12</v>
      </c>
      <c r="M431" s="661">
        <v>0</v>
      </c>
      <c r="N431" s="661">
        <v>0</v>
      </c>
      <c r="O431" s="675">
        <f t="shared" si="48"/>
        <v>0</v>
      </c>
      <c r="P431" s="675">
        <f t="shared" si="50"/>
        <v>0</v>
      </c>
      <c r="Q431" s="671">
        <f t="shared" si="51"/>
        <v>0</v>
      </c>
      <c r="R431" s="683">
        <f t="shared" si="49"/>
        <v>85.12</v>
      </c>
    </row>
    <row r="432" spans="1:18" ht="12" thickBot="1">
      <c r="A432" s="197" t="s">
        <v>1220</v>
      </c>
      <c r="B432" s="192" t="s">
        <v>163</v>
      </c>
      <c r="C432" s="147" t="s">
        <v>374</v>
      </c>
      <c r="D432" s="205"/>
      <c r="E432" s="650">
        <v>13</v>
      </c>
      <c r="F432" s="650">
        <v>3726</v>
      </c>
      <c r="G432" s="661">
        <v>680.03</v>
      </c>
      <c r="H432" s="661">
        <v>0</v>
      </c>
      <c r="I432" s="661">
        <v>0</v>
      </c>
      <c r="J432" s="650">
        <v>13</v>
      </c>
      <c r="K432" s="650">
        <v>3726</v>
      </c>
      <c r="L432" s="661">
        <v>680.03</v>
      </c>
      <c r="M432" s="661">
        <v>0</v>
      </c>
      <c r="N432" s="661">
        <v>0</v>
      </c>
      <c r="O432" s="675">
        <f t="shared" si="48"/>
        <v>0</v>
      </c>
      <c r="P432" s="675">
        <f t="shared" si="50"/>
        <v>0</v>
      </c>
      <c r="Q432" s="671">
        <f t="shared" si="51"/>
        <v>0</v>
      </c>
      <c r="R432" s="683">
        <f t="shared" si="49"/>
        <v>680.03</v>
      </c>
    </row>
    <row r="433" spans="1:18" ht="12" thickBot="1">
      <c r="A433" s="197" t="s">
        <v>1220</v>
      </c>
      <c r="B433" s="192" t="s">
        <v>163</v>
      </c>
      <c r="C433" s="199" t="s">
        <v>7</v>
      </c>
      <c r="D433" s="208"/>
      <c r="E433" s="252">
        <f t="shared" ref="E433:P433" si="52">SUM(E364:E432)</f>
        <v>111423</v>
      </c>
      <c r="F433" s="252">
        <f t="shared" si="52"/>
        <v>8714983</v>
      </c>
      <c r="G433" s="253">
        <f t="shared" si="52"/>
        <v>1891926.5300000003</v>
      </c>
      <c r="H433" s="253">
        <f t="shared" si="52"/>
        <v>27757.87</v>
      </c>
      <c r="I433" s="253">
        <f t="shared" si="52"/>
        <v>-1058.2900000000473</v>
      </c>
      <c r="J433" s="252">
        <f t="shared" si="52"/>
        <v>111423</v>
      </c>
      <c r="K433" s="252">
        <f t="shared" si="52"/>
        <v>8714983</v>
      </c>
      <c r="L433" s="253">
        <f t="shared" si="52"/>
        <v>1891928.2100000002</v>
      </c>
      <c r="M433" s="253">
        <f t="shared" si="52"/>
        <v>-1059.9700000000475</v>
      </c>
      <c r="N433" s="253">
        <f t="shared" si="52"/>
        <v>27757.87</v>
      </c>
      <c r="O433" s="252">
        <f t="shared" si="52"/>
        <v>0</v>
      </c>
      <c r="P433" s="252">
        <f t="shared" si="52"/>
        <v>0</v>
      </c>
      <c r="Q433" s="671">
        <f t="shared" si="51"/>
        <v>0</v>
      </c>
      <c r="R433" s="253">
        <f>SUM(R364:R432)</f>
        <v>1918626.1099999999</v>
      </c>
    </row>
    <row r="434" spans="1:18" ht="12" thickBot="1">
      <c r="A434" s="202"/>
      <c r="B434" s="202"/>
      <c r="C434" s="200" t="s">
        <v>1040</v>
      </c>
      <c r="D434" s="201"/>
      <c r="E434" s="194" t="s">
        <v>1012</v>
      </c>
      <c r="F434" s="203" t="s">
        <v>874</v>
      </c>
      <c r="G434" s="194" t="s">
        <v>1013</v>
      </c>
      <c r="H434" s="194" t="s">
        <v>1014</v>
      </c>
      <c r="I434" s="194" t="s">
        <v>1015</v>
      </c>
      <c r="J434" s="194" t="s">
        <v>1016</v>
      </c>
      <c r="K434" s="194" t="s">
        <v>1026</v>
      </c>
      <c r="L434" s="194" t="s">
        <v>1017</v>
      </c>
      <c r="M434" s="194" t="s">
        <v>1018</v>
      </c>
      <c r="N434" s="194" t="s">
        <v>1019</v>
      </c>
      <c r="O434" s="674" t="s">
        <v>1020</v>
      </c>
      <c r="P434" s="674" t="s">
        <v>1027</v>
      </c>
      <c r="Q434" s="671" t="e">
        <f t="shared" si="51"/>
        <v>#VALUE!</v>
      </c>
      <c r="R434" s="674" t="s">
        <v>1022</v>
      </c>
    </row>
    <row r="435" spans="1:18" ht="12" thickBot="1">
      <c r="A435" s="197" t="s">
        <v>1221</v>
      </c>
      <c r="B435" s="192" t="s">
        <v>163</v>
      </c>
      <c r="C435" s="147" t="s">
        <v>379</v>
      </c>
      <c r="D435" s="685"/>
      <c r="E435" s="307">
        <v>77</v>
      </c>
      <c r="F435" s="307">
        <v>2587</v>
      </c>
      <c r="G435" s="308">
        <v>626.78</v>
      </c>
      <c r="H435" s="308">
        <v>32.96</v>
      </c>
      <c r="I435" s="308">
        <v>0</v>
      </c>
      <c r="J435" s="307">
        <v>77</v>
      </c>
      <c r="K435" s="307">
        <v>2587</v>
      </c>
      <c r="L435" s="308">
        <v>626.78</v>
      </c>
      <c r="M435" s="308">
        <v>0</v>
      </c>
      <c r="N435" s="308">
        <v>32.96</v>
      </c>
      <c r="O435" s="675">
        <f t="shared" ref="O435:O493" si="53">J435-E435</f>
        <v>0</v>
      </c>
      <c r="P435" s="675">
        <f t="shared" ref="P435:P493" si="54">K435-F435</f>
        <v>0</v>
      </c>
      <c r="Q435" s="671">
        <f t="shared" si="51"/>
        <v>0</v>
      </c>
      <c r="R435" s="683">
        <f t="shared" ref="R435:R493" si="55">SUM(G435:I435)</f>
        <v>659.74</v>
      </c>
    </row>
    <row r="436" spans="1:18" ht="12" thickBot="1">
      <c r="A436" s="197" t="s">
        <v>1221</v>
      </c>
      <c r="B436" s="192" t="s">
        <v>163</v>
      </c>
      <c r="C436" s="147" t="s">
        <v>241</v>
      </c>
      <c r="D436" s="205"/>
      <c r="E436" s="307">
        <v>3738</v>
      </c>
      <c r="F436" s="307">
        <v>306517</v>
      </c>
      <c r="G436" s="308">
        <v>40968.480000000003</v>
      </c>
      <c r="H436" s="308">
        <v>506.76</v>
      </c>
      <c r="I436" s="308">
        <v>-40.4</v>
      </c>
      <c r="J436" s="307">
        <v>3692</v>
      </c>
      <c r="K436" s="307">
        <v>303105</v>
      </c>
      <c r="L436" s="308">
        <v>40464.32</v>
      </c>
      <c r="M436" s="308">
        <v>-38.690000000002328</v>
      </c>
      <c r="N436" s="308">
        <v>506.76</v>
      </c>
      <c r="O436" s="675">
        <f t="shared" si="53"/>
        <v>-46</v>
      </c>
      <c r="P436" s="675">
        <f t="shared" si="54"/>
        <v>-3412</v>
      </c>
      <c r="Q436" s="671">
        <f>SUM(G436:I436)-SUM(L436:N436)</f>
        <v>502.45000000000437</v>
      </c>
      <c r="R436" s="683">
        <f t="shared" si="55"/>
        <v>41434.840000000004</v>
      </c>
    </row>
    <row r="437" spans="1:18" ht="12" thickBot="1">
      <c r="A437" s="197" t="s">
        <v>1221</v>
      </c>
      <c r="B437" s="192" t="s">
        <v>163</v>
      </c>
      <c r="C437" s="147" t="s">
        <v>242</v>
      </c>
      <c r="D437" s="205"/>
      <c r="E437" s="307">
        <v>3775</v>
      </c>
      <c r="F437" s="307">
        <v>482372</v>
      </c>
      <c r="G437" s="308">
        <v>51000.25</v>
      </c>
      <c r="H437" s="308">
        <v>772.45999999999992</v>
      </c>
      <c r="I437" s="308">
        <v>-172.27</v>
      </c>
      <c r="J437" s="307">
        <v>3746</v>
      </c>
      <c r="K437" s="307">
        <v>479038</v>
      </c>
      <c r="L437" s="308">
        <v>50608.46</v>
      </c>
      <c r="M437" s="308">
        <v>-160.55999999999767</v>
      </c>
      <c r="N437" s="308">
        <v>772.45999999999992</v>
      </c>
      <c r="O437" s="675">
        <f t="shared" si="53"/>
        <v>-29</v>
      </c>
      <c r="P437" s="675">
        <f t="shared" si="54"/>
        <v>-3334</v>
      </c>
      <c r="Q437" s="671">
        <f>SUM(G437:I437)-SUM(L437:N437)</f>
        <v>380.08000000000175</v>
      </c>
      <c r="R437" s="683">
        <f t="shared" si="55"/>
        <v>51600.44</v>
      </c>
    </row>
    <row r="438" spans="1:18" ht="12" thickBot="1">
      <c r="A438" s="197" t="s">
        <v>1221</v>
      </c>
      <c r="B438" s="192" t="s">
        <v>163</v>
      </c>
      <c r="C438" s="147" t="s">
        <v>243</v>
      </c>
      <c r="D438" s="205"/>
      <c r="E438" s="307">
        <v>94</v>
      </c>
      <c r="F438" s="307">
        <v>3201</v>
      </c>
      <c r="G438" s="308">
        <v>1170.3</v>
      </c>
      <c r="H438" s="308">
        <v>0</v>
      </c>
      <c r="I438" s="308">
        <v>0</v>
      </c>
      <c r="J438" s="307">
        <v>94</v>
      </c>
      <c r="K438" s="307">
        <v>3201</v>
      </c>
      <c r="L438" s="308">
        <v>1170.3</v>
      </c>
      <c r="M438" s="308">
        <v>0</v>
      </c>
      <c r="N438" s="308">
        <v>0</v>
      </c>
      <c r="O438" s="675">
        <f t="shared" si="53"/>
        <v>0</v>
      </c>
      <c r="P438" s="675">
        <f t="shared" si="54"/>
        <v>0</v>
      </c>
      <c r="Q438" s="671">
        <f t="shared" ref="Q438:Q496" si="56">SUM(G438:I438)-SUM(L438:N438)</f>
        <v>0</v>
      </c>
      <c r="R438" s="683">
        <f t="shared" si="55"/>
        <v>1170.3</v>
      </c>
    </row>
    <row r="439" spans="1:18" ht="12" thickBot="1">
      <c r="A439" s="197" t="s">
        <v>1221</v>
      </c>
      <c r="B439" s="192" t="s">
        <v>163</v>
      </c>
      <c r="C439" s="147" t="s">
        <v>244</v>
      </c>
      <c r="D439" s="205"/>
      <c r="E439" s="307">
        <v>762</v>
      </c>
      <c r="F439" s="307">
        <v>92751</v>
      </c>
      <c r="G439" s="308">
        <v>11841.48</v>
      </c>
      <c r="H439" s="308">
        <v>552.61</v>
      </c>
      <c r="I439" s="308">
        <v>-43.02</v>
      </c>
      <c r="J439" s="307">
        <v>720</v>
      </c>
      <c r="K439" s="307">
        <v>87757</v>
      </c>
      <c r="L439" s="308">
        <v>11188.8</v>
      </c>
      <c r="M439" s="308">
        <v>-29.549999999999272</v>
      </c>
      <c r="N439" s="308">
        <v>552.61</v>
      </c>
      <c r="O439" s="675">
        <f t="shared" si="53"/>
        <v>-42</v>
      </c>
      <c r="P439" s="675">
        <f t="shared" si="54"/>
        <v>-4994</v>
      </c>
      <c r="Q439" s="671">
        <f t="shared" si="56"/>
        <v>639.20999999999913</v>
      </c>
      <c r="R439" s="683">
        <f t="shared" si="55"/>
        <v>12351.07</v>
      </c>
    </row>
    <row r="440" spans="1:18" ht="12" thickBot="1">
      <c r="A440" s="197" t="s">
        <v>1221</v>
      </c>
      <c r="B440" s="192" t="s">
        <v>163</v>
      </c>
      <c r="C440" s="309" t="s">
        <v>245</v>
      </c>
      <c r="D440" s="205"/>
      <c r="E440" s="307">
        <v>1421</v>
      </c>
      <c r="F440" s="307">
        <v>80614</v>
      </c>
      <c r="G440" s="308">
        <v>20235.04</v>
      </c>
      <c r="H440" s="308">
        <v>0</v>
      </c>
      <c r="I440" s="308">
        <v>0</v>
      </c>
      <c r="J440" s="307">
        <v>1417</v>
      </c>
      <c r="K440" s="307">
        <v>80404</v>
      </c>
      <c r="L440" s="308">
        <v>20178.080000000002</v>
      </c>
      <c r="M440" s="308">
        <v>0</v>
      </c>
      <c r="N440" s="308">
        <v>0</v>
      </c>
      <c r="O440" s="675">
        <f t="shared" si="53"/>
        <v>-4</v>
      </c>
      <c r="P440" s="675">
        <f t="shared" si="54"/>
        <v>-210</v>
      </c>
      <c r="Q440" s="671">
        <f t="shared" si="56"/>
        <v>56.959999999999127</v>
      </c>
      <c r="R440" s="683">
        <f t="shared" si="55"/>
        <v>20235.04</v>
      </c>
    </row>
    <row r="441" spans="1:18" ht="12" thickBot="1">
      <c r="A441" s="197" t="s">
        <v>1221</v>
      </c>
      <c r="B441" s="192" t="s">
        <v>163</v>
      </c>
      <c r="C441" s="147" t="s">
        <v>381</v>
      </c>
      <c r="D441" s="205"/>
      <c r="E441" s="307">
        <v>44</v>
      </c>
      <c r="F441" s="307">
        <v>12764</v>
      </c>
      <c r="G441" s="308">
        <v>1218.3600000000001</v>
      </c>
      <c r="H441" s="308">
        <v>49.440000000000005</v>
      </c>
      <c r="I441" s="308">
        <v>0</v>
      </c>
      <c r="J441" s="307">
        <v>43</v>
      </c>
      <c r="K441" s="307">
        <v>12489</v>
      </c>
      <c r="L441" s="308">
        <v>1190.67</v>
      </c>
      <c r="M441" s="308">
        <v>0</v>
      </c>
      <c r="N441" s="308">
        <v>49.440000000000005</v>
      </c>
      <c r="O441" s="675">
        <f t="shared" si="53"/>
        <v>-1</v>
      </c>
      <c r="P441" s="675">
        <f t="shared" si="54"/>
        <v>-275</v>
      </c>
      <c r="Q441" s="671">
        <f t="shared" si="56"/>
        <v>27.690000000000055</v>
      </c>
      <c r="R441" s="683">
        <f t="shared" si="55"/>
        <v>1267.8000000000002</v>
      </c>
    </row>
    <row r="442" spans="1:18" ht="12" thickBot="1">
      <c r="A442" s="197" t="s">
        <v>1221</v>
      </c>
      <c r="B442" s="192" t="s">
        <v>163</v>
      </c>
      <c r="C442" s="147" t="s">
        <v>246</v>
      </c>
      <c r="D442" s="205"/>
      <c r="E442" s="307">
        <v>337</v>
      </c>
      <c r="F442" s="307">
        <v>96953</v>
      </c>
      <c r="G442" s="308">
        <v>9735.93</v>
      </c>
      <c r="H442" s="308">
        <v>191.58</v>
      </c>
      <c r="I442" s="308">
        <v>-27.93</v>
      </c>
      <c r="J442" s="307">
        <v>325</v>
      </c>
      <c r="K442" s="307">
        <v>93644</v>
      </c>
      <c r="L442" s="308">
        <v>9389.25</v>
      </c>
      <c r="M442" s="308">
        <v>-27.930000000000291</v>
      </c>
      <c r="N442" s="308">
        <v>191.58</v>
      </c>
      <c r="O442" s="675">
        <f t="shared" si="53"/>
        <v>-12</v>
      </c>
      <c r="P442" s="675">
        <f t="shared" si="54"/>
        <v>-3309</v>
      </c>
      <c r="Q442" s="671">
        <f t="shared" si="56"/>
        <v>346.68000000000029</v>
      </c>
      <c r="R442" s="683">
        <f t="shared" si="55"/>
        <v>9899.58</v>
      </c>
    </row>
    <row r="443" spans="1:18" ht="12" thickBot="1">
      <c r="A443" s="197" t="s">
        <v>1221</v>
      </c>
      <c r="B443" s="192" t="s">
        <v>163</v>
      </c>
      <c r="C443" s="147" t="s">
        <v>252</v>
      </c>
      <c r="D443" s="205"/>
      <c r="E443" s="307">
        <v>4006</v>
      </c>
      <c r="F443" s="307">
        <v>224337</v>
      </c>
      <c r="G443" s="308">
        <v>38337.420000000006</v>
      </c>
      <c r="H443" s="308">
        <v>1544.73</v>
      </c>
      <c r="I443" s="308">
        <v>-134.75</v>
      </c>
      <c r="J443" s="307">
        <v>3563</v>
      </c>
      <c r="K443" s="307">
        <v>201051</v>
      </c>
      <c r="L443" s="308">
        <v>34097.910000000003</v>
      </c>
      <c r="M443" s="308">
        <v>-122.38000000000466</v>
      </c>
      <c r="N443" s="308">
        <v>1544.73</v>
      </c>
      <c r="O443" s="675">
        <f t="shared" si="53"/>
        <v>-443</v>
      </c>
      <c r="P443" s="675">
        <f t="shared" si="54"/>
        <v>-23286</v>
      </c>
      <c r="Q443" s="671">
        <f t="shared" si="56"/>
        <v>4227.1400000000067</v>
      </c>
      <c r="R443" s="683">
        <f t="shared" si="55"/>
        <v>39747.400000000009</v>
      </c>
    </row>
    <row r="444" spans="1:18" ht="12" thickBot="1">
      <c r="A444" s="197" t="s">
        <v>1221</v>
      </c>
      <c r="B444" s="192" t="s">
        <v>163</v>
      </c>
      <c r="C444" s="147" t="s">
        <v>263</v>
      </c>
      <c r="D444" s="205"/>
      <c r="E444" s="307">
        <v>2086</v>
      </c>
      <c r="F444" s="307">
        <v>178607</v>
      </c>
      <c r="G444" s="308">
        <v>57031.24</v>
      </c>
      <c r="H444" s="308">
        <v>0</v>
      </c>
      <c r="I444" s="308">
        <v>-280.69</v>
      </c>
      <c r="J444" s="307">
        <v>1971</v>
      </c>
      <c r="K444" s="307">
        <v>169640</v>
      </c>
      <c r="L444" s="308">
        <v>53887.14</v>
      </c>
      <c r="M444" s="308">
        <v>-280.69000000000233</v>
      </c>
      <c r="N444" s="308">
        <v>0</v>
      </c>
      <c r="O444" s="675">
        <f t="shared" si="53"/>
        <v>-115</v>
      </c>
      <c r="P444" s="675">
        <f t="shared" si="54"/>
        <v>-8967</v>
      </c>
      <c r="Q444" s="671">
        <f t="shared" si="56"/>
        <v>3144.0999999999985</v>
      </c>
      <c r="R444" s="683">
        <f t="shared" si="55"/>
        <v>56750.549999999996</v>
      </c>
    </row>
    <row r="445" spans="1:18" ht="12" thickBot="1">
      <c r="A445" s="197" t="s">
        <v>1221</v>
      </c>
      <c r="B445" s="192" t="s">
        <v>163</v>
      </c>
      <c r="C445" s="147" t="s">
        <v>264</v>
      </c>
      <c r="D445" s="205"/>
      <c r="E445" s="307">
        <v>2330</v>
      </c>
      <c r="F445" s="307">
        <v>308205</v>
      </c>
      <c r="G445" s="308">
        <v>73162</v>
      </c>
      <c r="H445" s="308">
        <v>0</v>
      </c>
      <c r="I445" s="308">
        <v>-439.6</v>
      </c>
      <c r="J445" s="307">
        <v>2278</v>
      </c>
      <c r="K445" s="307">
        <v>301595</v>
      </c>
      <c r="L445" s="308">
        <v>71529.2</v>
      </c>
      <c r="M445" s="308">
        <v>-439.59999999999127</v>
      </c>
      <c r="N445" s="308">
        <v>0</v>
      </c>
      <c r="O445" s="675">
        <f t="shared" si="53"/>
        <v>-52</v>
      </c>
      <c r="P445" s="675">
        <f t="shared" si="54"/>
        <v>-6610</v>
      </c>
      <c r="Q445" s="671">
        <f t="shared" si="56"/>
        <v>1632.7999999999884</v>
      </c>
      <c r="R445" s="683">
        <f t="shared" si="55"/>
        <v>72722.399999999994</v>
      </c>
    </row>
    <row r="446" spans="1:18" ht="12" thickBot="1">
      <c r="A446" s="197" t="s">
        <v>1221</v>
      </c>
      <c r="B446" s="192" t="s">
        <v>163</v>
      </c>
      <c r="C446" s="309" t="s">
        <v>267</v>
      </c>
      <c r="D446" s="205"/>
      <c r="E446" s="307">
        <v>17156</v>
      </c>
      <c r="F446" s="307">
        <v>665127</v>
      </c>
      <c r="G446" s="308">
        <v>294911.64</v>
      </c>
      <c r="H446" s="308">
        <v>13.370000000000001</v>
      </c>
      <c r="I446" s="308">
        <v>-222.65</v>
      </c>
      <c r="J446" s="307">
        <v>16798</v>
      </c>
      <c r="K446" s="307">
        <v>652010</v>
      </c>
      <c r="L446" s="308">
        <v>288757.62</v>
      </c>
      <c r="M446" s="308">
        <v>-199.4199999999837</v>
      </c>
      <c r="N446" s="308">
        <v>13.370000000000001</v>
      </c>
      <c r="O446" s="675">
        <f t="shared" si="53"/>
        <v>-358</v>
      </c>
      <c r="P446" s="675">
        <f t="shared" si="54"/>
        <v>-13117</v>
      </c>
      <c r="Q446" s="671">
        <f t="shared" si="56"/>
        <v>6130.789999999979</v>
      </c>
      <c r="R446" s="683">
        <f t="shared" si="55"/>
        <v>294702.36</v>
      </c>
    </row>
    <row r="447" spans="1:18" ht="12" thickBot="1">
      <c r="A447" s="197" t="s">
        <v>1221</v>
      </c>
      <c r="B447" s="192" t="s">
        <v>163</v>
      </c>
      <c r="C447" s="147" t="s">
        <v>392</v>
      </c>
      <c r="D447" s="205"/>
      <c r="E447" s="307">
        <v>529</v>
      </c>
      <c r="F447" s="307">
        <v>28416</v>
      </c>
      <c r="G447" s="308">
        <v>13166.810000000001</v>
      </c>
      <c r="H447" s="308">
        <v>0</v>
      </c>
      <c r="I447" s="308">
        <v>0</v>
      </c>
      <c r="J447" s="307">
        <v>436</v>
      </c>
      <c r="K447" s="307">
        <v>23323</v>
      </c>
      <c r="L447" s="308">
        <v>10852.04</v>
      </c>
      <c r="M447" s="308">
        <v>0</v>
      </c>
      <c r="N447" s="308">
        <v>0</v>
      </c>
      <c r="O447" s="675">
        <f t="shared" si="53"/>
        <v>-93</v>
      </c>
      <c r="P447" s="675">
        <f t="shared" si="54"/>
        <v>-5093</v>
      </c>
      <c r="Q447" s="671">
        <f t="shared" si="56"/>
        <v>2314.7700000000004</v>
      </c>
      <c r="R447" s="683">
        <f t="shared" si="55"/>
        <v>13166.810000000001</v>
      </c>
    </row>
    <row r="448" spans="1:18" ht="12" thickBot="1">
      <c r="A448" s="197" t="s">
        <v>1221</v>
      </c>
      <c r="B448" s="192" t="s">
        <v>163</v>
      </c>
      <c r="C448" s="147" t="s">
        <v>268</v>
      </c>
      <c r="D448" s="205"/>
      <c r="E448" s="307">
        <v>1353</v>
      </c>
      <c r="F448" s="307">
        <v>40060</v>
      </c>
      <c r="G448" s="308">
        <v>19172.010000000002</v>
      </c>
      <c r="H448" s="308">
        <v>0</v>
      </c>
      <c r="I448" s="308">
        <v>-13.34</v>
      </c>
      <c r="J448" s="307">
        <v>1329</v>
      </c>
      <c r="K448" s="307">
        <v>39334</v>
      </c>
      <c r="L448" s="308">
        <v>18831.93</v>
      </c>
      <c r="M448" s="308">
        <v>-25.979999999999563</v>
      </c>
      <c r="N448" s="308">
        <v>0</v>
      </c>
      <c r="O448" s="675">
        <f t="shared" si="53"/>
        <v>-24</v>
      </c>
      <c r="P448" s="675">
        <f t="shared" si="54"/>
        <v>-726</v>
      </c>
      <c r="Q448" s="671">
        <f t="shared" si="56"/>
        <v>352.72000000000116</v>
      </c>
      <c r="R448" s="683">
        <f t="shared" si="55"/>
        <v>19158.670000000002</v>
      </c>
    </row>
    <row r="449" spans="1:18" ht="12" thickBot="1">
      <c r="A449" s="197" t="s">
        <v>1221</v>
      </c>
      <c r="B449" s="192" t="s">
        <v>163</v>
      </c>
      <c r="C449" s="147" t="s">
        <v>269</v>
      </c>
      <c r="D449" s="205"/>
      <c r="E449" s="307">
        <v>2348</v>
      </c>
      <c r="F449" s="307">
        <v>123641</v>
      </c>
      <c r="G449" s="308">
        <v>52008.200000000004</v>
      </c>
      <c r="H449" s="308">
        <v>59.120000000000005</v>
      </c>
      <c r="I449" s="308">
        <v>-979.03</v>
      </c>
      <c r="J449" s="307">
        <v>2331</v>
      </c>
      <c r="K449" s="307">
        <v>122779</v>
      </c>
      <c r="L449" s="308">
        <v>51631.65</v>
      </c>
      <c r="M449" s="308">
        <v>-979.02999999999884</v>
      </c>
      <c r="N449" s="308">
        <v>59.120000000000005</v>
      </c>
      <c r="O449" s="675">
        <f t="shared" si="53"/>
        <v>-17</v>
      </c>
      <c r="P449" s="675">
        <f t="shared" si="54"/>
        <v>-862</v>
      </c>
      <c r="Q449" s="671">
        <f t="shared" si="56"/>
        <v>376.55000000000291</v>
      </c>
      <c r="R449" s="683">
        <f t="shared" si="55"/>
        <v>51088.290000000008</v>
      </c>
    </row>
    <row r="450" spans="1:18" ht="12" thickBot="1">
      <c r="A450" s="197" t="s">
        <v>1221</v>
      </c>
      <c r="B450" s="192" t="s">
        <v>163</v>
      </c>
      <c r="C450" s="309" t="s">
        <v>393</v>
      </c>
      <c r="D450" s="205"/>
      <c r="E450" s="307">
        <v>17</v>
      </c>
      <c r="F450" s="307">
        <v>4958</v>
      </c>
      <c r="G450" s="308">
        <v>1233.3499999999999</v>
      </c>
      <c r="H450" s="308">
        <v>0</v>
      </c>
      <c r="I450" s="308">
        <v>0</v>
      </c>
      <c r="J450" s="307">
        <v>17</v>
      </c>
      <c r="K450" s="307">
        <v>4958</v>
      </c>
      <c r="L450" s="308">
        <v>1233.3499999999999</v>
      </c>
      <c r="M450" s="308">
        <v>0</v>
      </c>
      <c r="N450" s="308">
        <v>0</v>
      </c>
      <c r="O450" s="675">
        <f t="shared" si="53"/>
        <v>0</v>
      </c>
      <c r="P450" s="675">
        <f t="shared" si="54"/>
        <v>0</v>
      </c>
      <c r="Q450" s="671">
        <f t="shared" si="56"/>
        <v>0</v>
      </c>
      <c r="R450" s="683">
        <f t="shared" si="55"/>
        <v>1233.3499999999999</v>
      </c>
    </row>
    <row r="451" spans="1:18" ht="12" thickBot="1">
      <c r="A451" s="197" t="s">
        <v>1221</v>
      </c>
      <c r="B451" s="192" t="s">
        <v>163</v>
      </c>
      <c r="C451" s="147" t="s">
        <v>394</v>
      </c>
      <c r="D451" s="205"/>
      <c r="E451" s="307">
        <v>11</v>
      </c>
      <c r="F451" s="307">
        <v>3161</v>
      </c>
      <c r="G451" s="308">
        <v>455.73</v>
      </c>
      <c r="H451" s="308">
        <v>0</v>
      </c>
      <c r="I451" s="308">
        <v>0</v>
      </c>
      <c r="J451" s="307">
        <v>11</v>
      </c>
      <c r="K451" s="307">
        <v>3161</v>
      </c>
      <c r="L451" s="308">
        <v>455.73</v>
      </c>
      <c r="M451" s="308">
        <v>0</v>
      </c>
      <c r="N451" s="308">
        <v>0</v>
      </c>
      <c r="O451" s="675">
        <f t="shared" si="53"/>
        <v>0</v>
      </c>
      <c r="P451" s="675">
        <f t="shared" si="54"/>
        <v>0</v>
      </c>
      <c r="Q451" s="671">
        <f t="shared" si="56"/>
        <v>0</v>
      </c>
      <c r="R451" s="683">
        <f t="shared" si="55"/>
        <v>455.73</v>
      </c>
    </row>
    <row r="452" spans="1:18" ht="12" thickBot="1">
      <c r="A452" s="197" t="s">
        <v>1221</v>
      </c>
      <c r="B452" s="192" t="s">
        <v>163</v>
      </c>
      <c r="C452" s="147" t="s">
        <v>398</v>
      </c>
      <c r="D452" s="205"/>
      <c r="E452" s="307">
        <v>46</v>
      </c>
      <c r="F452" s="307">
        <v>1381</v>
      </c>
      <c r="G452" s="308">
        <v>891.48</v>
      </c>
      <c r="H452" s="308">
        <v>735.06000000000006</v>
      </c>
      <c r="I452" s="308">
        <v>0</v>
      </c>
      <c r="J452" s="307">
        <v>46</v>
      </c>
      <c r="K452" s="307">
        <v>1381</v>
      </c>
      <c r="L452" s="308">
        <v>891.48</v>
      </c>
      <c r="M452" s="308">
        <v>0</v>
      </c>
      <c r="N452" s="308">
        <v>735.06000000000006</v>
      </c>
      <c r="O452" s="675">
        <f t="shared" si="53"/>
        <v>0</v>
      </c>
      <c r="P452" s="675">
        <f t="shared" si="54"/>
        <v>0</v>
      </c>
      <c r="Q452" s="671">
        <f t="shared" si="56"/>
        <v>0</v>
      </c>
      <c r="R452" s="683">
        <f t="shared" si="55"/>
        <v>1626.54</v>
      </c>
    </row>
    <row r="453" spans="1:18" ht="12" thickBot="1">
      <c r="A453" s="197" t="s">
        <v>1221</v>
      </c>
      <c r="B453" s="192" t="s">
        <v>163</v>
      </c>
      <c r="C453" s="147" t="s">
        <v>395</v>
      </c>
      <c r="D453" s="205"/>
      <c r="E453" s="307">
        <v>245</v>
      </c>
      <c r="F453" s="307">
        <v>9463</v>
      </c>
      <c r="G453" s="308">
        <v>4985.75</v>
      </c>
      <c r="H453" s="308">
        <v>3776.82</v>
      </c>
      <c r="I453" s="308">
        <v>0</v>
      </c>
      <c r="J453" s="307">
        <v>245</v>
      </c>
      <c r="K453" s="307">
        <v>9463</v>
      </c>
      <c r="L453" s="308">
        <v>4985.75</v>
      </c>
      <c r="M453" s="308">
        <v>0</v>
      </c>
      <c r="N453" s="308">
        <v>3776.82</v>
      </c>
      <c r="O453" s="675">
        <f t="shared" si="53"/>
        <v>0</v>
      </c>
      <c r="P453" s="675">
        <f t="shared" si="54"/>
        <v>0</v>
      </c>
      <c r="Q453" s="671">
        <f t="shared" si="56"/>
        <v>0</v>
      </c>
      <c r="R453" s="683">
        <f t="shared" si="55"/>
        <v>8762.57</v>
      </c>
    </row>
    <row r="454" spans="1:18" ht="12" thickBot="1">
      <c r="A454" s="197" t="s">
        <v>1221</v>
      </c>
      <c r="B454" s="192" t="s">
        <v>163</v>
      </c>
      <c r="C454" s="309" t="s">
        <v>396</v>
      </c>
      <c r="D454" s="205"/>
      <c r="E454" s="307">
        <v>106</v>
      </c>
      <c r="F454" s="307">
        <v>3127</v>
      </c>
      <c r="G454" s="308">
        <v>2070.1799999999998</v>
      </c>
      <c r="H454" s="308">
        <v>989.6099999999999</v>
      </c>
      <c r="I454" s="308">
        <v>0</v>
      </c>
      <c r="J454" s="307">
        <v>106</v>
      </c>
      <c r="K454" s="307">
        <v>3127</v>
      </c>
      <c r="L454" s="308">
        <v>2070.1799999999998</v>
      </c>
      <c r="M454" s="308">
        <v>0</v>
      </c>
      <c r="N454" s="308">
        <v>989.6099999999999</v>
      </c>
      <c r="O454" s="675">
        <f t="shared" si="53"/>
        <v>0</v>
      </c>
      <c r="P454" s="675">
        <f t="shared" si="54"/>
        <v>0</v>
      </c>
      <c r="Q454" s="671">
        <f t="shared" si="56"/>
        <v>0</v>
      </c>
      <c r="R454" s="683">
        <f t="shared" si="55"/>
        <v>3059.79</v>
      </c>
    </row>
    <row r="455" spans="1:18" ht="12" thickBot="1">
      <c r="A455" s="197" t="s">
        <v>1221</v>
      </c>
      <c r="B455" s="192" t="s">
        <v>163</v>
      </c>
      <c r="C455" s="147" t="s">
        <v>397</v>
      </c>
      <c r="D455" s="205"/>
      <c r="E455" s="307">
        <v>82</v>
      </c>
      <c r="F455" s="307">
        <v>3279</v>
      </c>
      <c r="G455" s="308">
        <v>1707.24</v>
      </c>
      <c r="H455" s="308">
        <v>1287.7700000000002</v>
      </c>
      <c r="I455" s="308">
        <v>0</v>
      </c>
      <c r="J455" s="307">
        <v>82</v>
      </c>
      <c r="K455" s="307">
        <v>3279</v>
      </c>
      <c r="L455" s="308">
        <v>1707.24</v>
      </c>
      <c r="M455" s="308">
        <v>0</v>
      </c>
      <c r="N455" s="308">
        <v>1287.7700000000002</v>
      </c>
      <c r="O455" s="675">
        <f t="shared" si="53"/>
        <v>0</v>
      </c>
      <c r="P455" s="675">
        <f t="shared" si="54"/>
        <v>0</v>
      </c>
      <c r="Q455" s="671">
        <f t="shared" si="56"/>
        <v>0</v>
      </c>
      <c r="R455" s="683">
        <f t="shared" si="55"/>
        <v>2995.01</v>
      </c>
    </row>
    <row r="456" spans="1:18" ht="12" thickBot="1">
      <c r="A456" s="197" t="s">
        <v>1221</v>
      </c>
      <c r="B456" s="192" t="s">
        <v>163</v>
      </c>
      <c r="C456" s="147" t="s">
        <v>287</v>
      </c>
      <c r="D456" s="205"/>
      <c r="E456" s="307">
        <v>524</v>
      </c>
      <c r="F456" s="307">
        <v>43190</v>
      </c>
      <c r="G456" s="308">
        <v>10060.800000000001</v>
      </c>
      <c r="H456" s="308">
        <v>0</v>
      </c>
      <c r="I456" s="308">
        <v>-67.599999999999994</v>
      </c>
      <c r="J456" s="307">
        <v>503</v>
      </c>
      <c r="K456" s="307">
        <v>41623</v>
      </c>
      <c r="L456" s="308">
        <v>9657.6</v>
      </c>
      <c r="M456" s="308">
        <v>-67.600000000000364</v>
      </c>
      <c r="N456" s="308">
        <v>0</v>
      </c>
      <c r="O456" s="675">
        <f t="shared" si="53"/>
        <v>-21</v>
      </c>
      <c r="P456" s="675">
        <f t="shared" si="54"/>
        <v>-1567</v>
      </c>
      <c r="Q456" s="671">
        <f t="shared" si="56"/>
        <v>403.20000000000073</v>
      </c>
      <c r="R456" s="683">
        <f t="shared" si="55"/>
        <v>9993.2000000000007</v>
      </c>
    </row>
    <row r="457" spans="1:18" ht="12" thickBot="1">
      <c r="A457" s="197" t="s">
        <v>1221</v>
      </c>
      <c r="B457" s="192" t="s">
        <v>163</v>
      </c>
      <c r="C457" s="147" t="s">
        <v>288</v>
      </c>
      <c r="D457" s="205"/>
      <c r="E457" s="307">
        <v>509</v>
      </c>
      <c r="F457" s="307">
        <v>65827</v>
      </c>
      <c r="G457" s="308">
        <v>11681.550000000001</v>
      </c>
      <c r="H457" s="308">
        <v>0</v>
      </c>
      <c r="I457" s="308">
        <v>-10.75</v>
      </c>
      <c r="J457" s="307">
        <v>508</v>
      </c>
      <c r="K457" s="307">
        <v>65705</v>
      </c>
      <c r="L457" s="308">
        <v>11658.6</v>
      </c>
      <c r="M457" s="308">
        <v>-10.75</v>
      </c>
      <c r="N457" s="308">
        <v>0</v>
      </c>
      <c r="O457" s="675">
        <f t="shared" si="53"/>
        <v>-1</v>
      </c>
      <c r="P457" s="675">
        <f t="shared" si="54"/>
        <v>-122</v>
      </c>
      <c r="Q457" s="671">
        <f t="shared" si="56"/>
        <v>22.950000000000728</v>
      </c>
      <c r="R457" s="683">
        <f t="shared" si="55"/>
        <v>11670.800000000001</v>
      </c>
    </row>
    <row r="458" spans="1:18" ht="12" thickBot="1">
      <c r="A458" s="197" t="s">
        <v>1221</v>
      </c>
      <c r="B458" s="192" t="s">
        <v>163</v>
      </c>
      <c r="C458" s="309" t="s">
        <v>291</v>
      </c>
      <c r="D458" s="205"/>
      <c r="E458" s="307">
        <v>54</v>
      </c>
      <c r="F458" s="307">
        <v>3187</v>
      </c>
      <c r="G458" s="308">
        <v>940.68</v>
      </c>
      <c r="H458" s="308">
        <v>0</v>
      </c>
      <c r="I458" s="308">
        <v>0</v>
      </c>
      <c r="J458" s="307">
        <v>54</v>
      </c>
      <c r="K458" s="307">
        <v>3187</v>
      </c>
      <c r="L458" s="308">
        <v>940.68</v>
      </c>
      <c r="M458" s="308">
        <v>0</v>
      </c>
      <c r="N458" s="308">
        <v>0</v>
      </c>
      <c r="O458" s="675">
        <f t="shared" si="53"/>
        <v>0</v>
      </c>
      <c r="P458" s="675">
        <f t="shared" si="54"/>
        <v>0</v>
      </c>
      <c r="Q458" s="671">
        <f t="shared" si="56"/>
        <v>0</v>
      </c>
      <c r="R458" s="683">
        <f t="shared" si="55"/>
        <v>940.68</v>
      </c>
    </row>
    <row r="459" spans="1:18" ht="12" thickBot="1">
      <c r="A459" s="197" t="s">
        <v>1221</v>
      </c>
      <c r="B459" s="192" t="s">
        <v>163</v>
      </c>
      <c r="C459" s="147" t="s">
        <v>297</v>
      </c>
      <c r="D459" s="205"/>
      <c r="E459" s="307">
        <v>40</v>
      </c>
      <c r="F459" s="307">
        <v>3374</v>
      </c>
      <c r="G459" s="308">
        <v>524.79999999999995</v>
      </c>
      <c r="H459" s="308">
        <v>0</v>
      </c>
      <c r="I459" s="308">
        <v>0</v>
      </c>
      <c r="J459" s="307">
        <v>40</v>
      </c>
      <c r="K459" s="307">
        <v>3374</v>
      </c>
      <c r="L459" s="308">
        <v>524.79999999999995</v>
      </c>
      <c r="M459" s="308">
        <v>0</v>
      </c>
      <c r="N459" s="308">
        <v>0</v>
      </c>
      <c r="O459" s="675">
        <f t="shared" si="53"/>
        <v>0</v>
      </c>
      <c r="P459" s="675">
        <f t="shared" si="54"/>
        <v>0</v>
      </c>
      <c r="Q459" s="671">
        <f t="shared" si="56"/>
        <v>0</v>
      </c>
      <c r="R459" s="683">
        <f t="shared" si="55"/>
        <v>524.79999999999995</v>
      </c>
    </row>
    <row r="460" spans="1:18" ht="12" thickBot="1">
      <c r="A460" s="197" t="s">
        <v>1221</v>
      </c>
      <c r="B460" s="192" t="s">
        <v>163</v>
      </c>
      <c r="C460" s="147" t="s">
        <v>299</v>
      </c>
      <c r="D460" s="205"/>
      <c r="E460" s="307">
        <v>17</v>
      </c>
      <c r="F460" s="307">
        <v>478</v>
      </c>
      <c r="G460" s="308">
        <v>153.34</v>
      </c>
      <c r="H460" s="308">
        <v>0</v>
      </c>
      <c r="I460" s="308">
        <v>0</v>
      </c>
      <c r="J460" s="307">
        <v>17</v>
      </c>
      <c r="K460" s="307">
        <v>478</v>
      </c>
      <c r="L460" s="308">
        <v>153.34</v>
      </c>
      <c r="M460" s="308">
        <v>0</v>
      </c>
      <c r="N460" s="308">
        <v>0</v>
      </c>
      <c r="O460" s="675">
        <f t="shared" si="53"/>
        <v>0</v>
      </c>
      <c r="P460" s="675">
        <f t="shared" si="54"/>
        <v>0</v>
      </c>
      <c r="Q460" s="671">
        <f t="shared" si="56"/>
        <v>0</v>
      </c>
      <c r="R460" s="683">
        <f t="shared" si="55"/>
        <v>153.34</v>
      </c>
    </row>
    <row r="461" spans="1:18" ht="12" thickBot="1">
      <c r="A461" s="197" t="s">
        <v>1221</v>
      </c>
      <c r="B461" s="192" t="s">
        <v>163</v>
      </c>
      <c r="C461" s="147" t="s">
        <v>377</v>
      </c>
      <c r="D461" s="205"/>
      <c r="E461" s="307">
        <v>36</v>
      </c>
      <c r="F461" s="307">
        <v>500</v>
      </c>
      <c r="G461" s="308">
        <v>860.04</v>
      </c>
      <c r="H461" s="308">
        <v>53.4</v>
      </c>
      <c r="I461" s="308">
        <v>0</v>
      </c>
      <c r="J461" s="307">
        <v>36</v>
      </c>
      <c r="K461" s="307">
        <v>500</v>
      </c>
      <c r="L461" s="308">
        <v>860.04</v>
      </c>
      <c r="M461" s="308">
        <v>0</v>
      </c>
      <c r="N461" s="308">
        <v>53.4</v>
      </c>
      <c r="O461" s="675">
        <f t="shared" si="53"/>
        <v>0</v>
      </c>
      <c r="P461" s="675">
        <f t="shared" si="54"/>
        <v>0</v>
      </c>
      <c r="Q461" s="671">
        <f t="shared" si="56"/>
        <v>0</v>
      </c>
      <c r="R461" s="683">
        <f t="shared" si="55"/>
        <v>913.43999999999994</v>
      </c>
    </row>
    <row r="462" spans="1:18" ht="12" thickBot="1">
      <c r="A462" s="197" t="s">
        <v>1221</v>
      </c>
      <c r="B462" s="192" t="s">
        <v>163</v>
      </c>
      <c r="C462" s="309" t="s">
        <v>737</v>
      </c>
      <c r="D462" s="205"/>
      <c r="E462" s="307">
        <v>4</v>
      </c>
      <c r="F462" s="307">
        <v>111</v>
      </c>
      <c r="G462" s="308">
        <v>99.6</v>
      </c>
      <c r="H462" s="308">
        <v>0</v>
      </c>
      <c r="I462" s="308">
        <v>0</v>
      </c>
      <c r="J462" s="307">
        <v>4</v>
      </c>
      <c r="K462" s="307">
        <v>111</v>
      </c>
      <c r="L462" s="308">
        <v>99.6</v>
      </c>
      <c r="M462" s="308">
        <v>0</v>
      </c>
      <c r="N462" s="308">
        <v>0</v>
      </c>
      <c r="O462" s="675">
        <f t="shared" si="53"/>
        <v>0</v>
      </c>
      <c r="P462" s="675">
        <f t="shared" si="54"/>
        <v>0</v>
      </c>
      <c r="Q462" s="671">
        <f t="shared" si="56"/>
        <v>0</v>
      </c>
      <c r="R462" s="683">
        <f t="shared" si="55"/>
        <v>99.6</v>
      </c>
    </row>
    <row r="463" spans="1:18" ht="12" thickBot="1">
      <c r="A463" s="197" t="s">
        <v>1221</v>
      </c>
      <c r="B463" s="192" t="s">
        <v>163</v>
      </c>
      <c r="C463" s="147" t="s">
        <v>329</v>
      </c>
      <c r="D463" s="205"/>
      <c r="E463" s="307">
        <v>224</v>
      </c>
      <c r="F463" s="307">
        <v>5011</v>
      </c>
      <c r="G463" s="308">
        <v>4432.96</v>
      </c>
      <c r="H463" s="308">
        <v>0</v>
      </c>
      <c r="I463" s="308">
        <v>0</v>
      </c>
      <c r="J463" s="307">
        <v>223</v>
      </c>
      <c r="K463" s="307">
        <v>4990</v>
      </c>
      <c r="L463" s="308">
        <v>4413.17</v>
      </c>
      <c r="M463" s="308">
        <v>0</v>
      </c>
      <c r="N463" s="308">
        <v>0</v>
      </c>
      <c r="O463" s="675">
        <f t="shared" si="53"/>
        <v>-1</v>
      </c>
      <c r="P463" s="675">
        <f t="shared" si="54"/>
        <v>-21</v>
      </c>
      <c r="Q463" s="671">
        <f t="shared" si="56"/>
        <v>19.789999999999964</v>
      </c>
      <c r="R463" s="683">
        <f t="shared" si="55"/>
        <v>4432.96</v>
      </c>
    </row>
    <row r="464" spans="1:18" ht="12" thickBot="1">
      <c r="A464" s="197" t="s">
        <v>1221</v>
      </c>
      <c r="B464" s="192" t="s">
        <v>163</v>
      </c>
      <c r="C464" s="147" t="s">
        <v>330</v>
      </c>
      <c r="D464" s="205"/>
      <c r="E464" s="307">
        <v>2139</v>
      </c>
      <c r="F464" s="307">
        <v>67108</v>
      </c>
      <c r="G464" s="308">
        <v>43828.11</v>
      </c>
      <c r="H464" s="308">
        <v>11.31</v>
      </c>
      <c r="I464" s="308">
        <v>-130.44999999999999</v>
      </c>
      <c r="J464" s="307">
        <v>2126</v>
      </c>
      <c r="K464" s="307">
        <v>66722</v>
      </c>
      <c r="L464" s="308">
        <v>43561.74</v>
      </c>
      <c r="M464" s="308">
        <v>-130.44999999999709</v>
      </c>
      <c r="N464" s="308">
        <v>11.31</v>
      </c>
      <c r="O464" s="675">
        <f t="shared" si="53"/>
        <v>-13</v>
      </c>
      <c r="P464" s="675">
        <f t="shared" si="54"/>
        <v>-386</v>
      </c>
      <c r="Q464" s="671">
        <f t="shared" si="56"/>
        <v>266.37000000000262</v>
      </c>
      <c r="R464" s="683">
        <f t="shared" si="55"/>
        <v>43708.97</v>
      </c>
    </row>
    <row r="465" spans="1:18" ht="12" thickBot="1">
      <c r="A465" s="197" t="s">
        <v>1221</v>
      </c>
      <c r="B465" s="192" t="s">
        <v>163</v>
      </c>
      <c r="C465" s="147" t="s">
        <v>332</v>
      </c>
      <c r="D465" s="205"/>
      <c r="E465" s="307">
        <v>38</v>
      </c>
      <c r="F465" s="307">
        <v>848</v>
      </c>
      <c r="G465" s="308">
        <v>766.84</v>
      </c>
      <c r="H465" s="308">
        <v>0</v>
      </c>
      <c r="I465" s="308">
        <v>0</v>
      </c>
      <c r="J465" s="307">
        <v>38</v>
      </c>
      <c r="K465" s="307">
        <v>848</v>
      </c>
      <c r="L465" s="308">
        <v>766.84</v>
      </c>
      <c r="M465" s="308">
        <v>0</v>
      </c>
      <c r="N465" s="308">
        <v>0</v>
      </c>
      <c r="O465" s="675">
        <f t="shared" si="53"/>
        <v>0</v>
      </c>
      <c r="P465" s="675">
        <f t="shared" si="54"/>
        <v>0</v>
      </c>
      <c r="Q465" s="671">
        <f t="shared" si="56"/>
        <v>0</v>
      </c>
      <c r="R465" s="683">
        <f t="shared" si="55"/>
        <v>766.84</v>
      </c>
    </row>
    <row r="466" spans="1:18" ht="12" thickBot="1">
      <c r="A466" s="197" t="s">
        <v>1221</v>
      </c>
      <c r="B466" s="192" t="s">
        <v>163</v>
      </c>
      <c r="C466" s="309" t="s">
        <v>333</v>
      </c>
      <c r="D466" s="205"/>
      <c r="E466" s="307">
        <v>1880</v>
      </c>
      <c r="F466" s="307">
        <v>58805</v>
      </c>
      <c r="G466" s="308">
        <v>42412.800000000003</v>
      </c>
      <c r="H466" s="308">
        <v>19.55</v>
      </c>
      <c r="I466" s="308">
        <v>-141.37</v>
      </c>
      <c r="J466" s="307">
        <v>1880</v>
      </c>
      <c r="K466" s="307">
        <v>58805</v>
      </c>
      <c r="L466" s="308">
        <v>42412.800000000003</v>
      </c>
      <c r="M466" s="308">
        <v>-141.37000000000262</v>
      </c>
      <c r="N466" s="308">
        <v>19.55</v>
      </c>
      <c r="O466" s="675">
        <f t="shared" si="53"/>
        <v>0</v>
      </c>
      <c r="P466" s="675">
        <f t="shared" si="54"/>
        <v>0</v>
      </c>
      <c r="Q466" s="671">
        <f t="shared" si="56"/>
        <v>0</v>
      </c>
      <c r="R466" s="683">
        <f t="shared" si="55"/>
        <v>42290.98</v>
      </c>
    </row>
    <row r="467" spans="1:18" ht="12" thickBot="1">
      <c r="A467" s="197" t="s">
        <v>1221</v>
      </c>
      <c r="B467" s="192" t="s">
        <v>163</v>
      </c>
      <c r="C467" s="147" t="s">
        <v>334</v>
      </c>
      <c r="D467" s="205"/>
      <c r="E467" s="307">
        <v>40</v>
      </c>
      <c r="F467" s="307">
        <v>1260</v>
      </c>
      <c r="G467" s="308">
        <v>947.2</v>
      </c>
      <c r="H467" s="308">
        <v>0</v>
      </c>
      <c r="I467" s="308">
        <v>0</v>
      </c>
      <c r="J467" s="307">
        <v>40</v>
      </c>
      <c r="K467" s="307">
        <v>1260</v>
      </c>
      <c r="L467" s="308">
        <v>947.2</v>
      </c>
      <c r="M467" s="308">
        <v>0</v>
      </c>
      <c r="N467" s="308">
        <v>0</v>
      </c>
      <c r="O467" s="675">
        <f t="shared" si="53"/>
        <v>0</v>
      </c>
      <c r="P467" s="675">
        <f t="shared" si="54"/>
        <v>0</v>
      </c>
      <c r="Q467" s="671">
        <f t="shared" si="56"/>
        <v>0</v>
      </c>
      <c r="R467" s="683">
        <f t="shared" si="55"/>
        <v>947.2</v>
      </c>
    </row>
    <row r="468" spans="1:18" ht="12" thickBot="1">
      <c r="A468" s="197" t="s">
        <v>1221</v>
      </c>
      <c r="B468" s="192" t="s">
        <v>163</v>
      </c>
      <c r="C468" s="147" t="s">
        <v>336</v>
      </c>
      <c r="D468" s="205"/>
      <c r="E468" s="307">
        <v>113</v>
      </c>
      <c r="F468" s="307">
        <v>5253</v>
      </c>
      <c r="G468" s="308">
        <v>2799.01</v>
      </c>
      <c r="H468" s="308">
        <v>0</v>
      </c>
      <c r="I468" s="308">
        <v>0</v>
      </c>
      <c r="J468" s="307">
        <v>113</v>
      </c>
      <c r="K468" s="307">
        <v>5253</v>
      </c>
      <c r="L468" s="308">
        <v>2799.01</v>
      </c>
      <c r="M468" s="308">
        <v>0</v>
      </c>
      <c r="N468" s="308">
        <v>0</v>
      </c>
      <c r="O468" s="675">
        <f t="shared" si="53"/>
        <v>0</v>
      </c>
      <c r="P468" s="675">
        <f t="shared" si="54"/>
        <v>0</v>
      </c>
      <c r="Q468" s="671">
        <f t="shared" si="56"/>
        <v>0</v>
      </c>
      <c r="R468" s="683">
        <f t="shared" si="55"/>
        <v>2799.01</v>
      </c>
    </row>
    <row r="469" spans="1:18" ht="12" thickBot="1">
      <c r="A469" s="197" t="s">
        <v>1221</v>
      </c>
      <c r="B469" s="192" t="s">
        <v>163</v>
      </c>
      <c r="C469" s="147" t="s">
        <v>337</v>
      </c>
      <c r="D469" s="205"/>
      <c r="E469" s="307">
        <v>54</v>
      </c>
      <c r="F469" s="307">
        <v>2578</v>
      </c>
      <c r="G469" s="308">
        <v>1614.06</v>
      </c>
      <c r="H469" s="308">
        <v>0</v>
      </c>
      <c r="I469" s="308">
        <v>0</v>
      </c>
      <c r="J469" s="307">
        <v>54</v>
      </c>
      <c r="K469" s="307">
        <v>2578</v>
      </c>
      <c r="L469" s="308">
        <v>1614.06</v>
      </c>
      <c r="M469" s="308">
        <v>0</v>
      </c>
      <c r="N469" s="308">
        <v>0</v>
      </c>
      <c r="O469" s="675">
        <f t="shared" si="53"/>
        <v>0</v>
      </c>
      <c r="P469" s="675">
        <f t="shared" si="54"/>
        <v>0</v>
      </c>
      <c r="Q469" s="671">
        <f t="shared" si="56"/>
        <v>0</v>
      </c>
      <c r="R469" s="683">
        <f t="shared" si="55"/>
        <v>1614.06</v>
      </c>
    </row>
    <row r="470" spans="1:18" ht="12" thickBot="1">
      <c r="A470" s="197" t="s">
        <v>1221</v>
      </c>
      <c r="B470" s="192" t="s">
        <v>163</v>
      </c>
      <c r="C470" s="309" t="s">
        <v>338</v>
      </c>
      <c r="D470" s="205"/>
      <c r="E470" s="307">
        <v>181</v>
      </c>
      <c r="F470" s="307">
        <v>14401</v>
      </c>
      <c r="G470" s="308">
        <v>5947.66</v>
      </c>
      <c r="H470" s="308">
        <v>0</v>
      </c>
      <c r="I470" s="308">
        <v>0</v>
      </c>
      <c r="J470" s="307">
        <v>180</v>
      </c>
      <c r="K470" s="307">
        <v>14324</v>
      </c>
      <c r="L470" s="308">
        <v>5914.8</v>
      </c>
      <c r="M470" s="308">
        <v>0</v>
      </c>
      <c r="N470" s="308">
        <v>0</v>
      </c>
      <c r="O470" s="675">
        <f t="shared" si="53"/>
        <v>-1</v>
      </c>
      <c r="P470" s="675">
        <f t="shared" si="54"/>
        <v>-77</v>
      </c>
      <c r="Q470" s="671">
        <f t="shared" si="56"/>
        <v>32.859999999999673</v>
      </c>
      <c r="R470" s="683">
        <f t="shared" si="55"/>
        <v>5947.66</v>
      </c>
    </row>
    <row r="471" spans="1:18" ht="12" thickBot="1">
      <c r="A471" s="197" t="s">
        <v>1221</v>
      </c>
      <c r="B471" s="192" t="s">
        <v>163</v>
      </c>
      <c r="C471" s="147" t="s">
        <v>339</v>
      </c>
      <c r="D471" s="205"/>
      <c r="E471" s="307">
        <v>397</v>
      </c>
      <c r="F471" s="307">
        <v>48376</v>
      </c>
      <c r="G471" s="308">
        <v>15240.83</v>
      </c>
      <c r="H471" s="308">
        <v>0</v>
      </c>
      <c r="I471" s="308">
        <v>-222.66</v>
      </c>
      <c r="J471" s="307">
        <v>384</v>
      </c>
      <c r="K471" s="307">
        <v>47529</v>
      </c>
      <c r="L471" s="308">
        <v>14741.76</v>
      </c>
      <c r="M471" s="308">
        <v>0</v>
      </c>
      <c r="N471" s="308">
        <v>0</v>
      </c>
      <c r="O471" s="675">
        <f t="shared" si="53"/>
        <v>-13</v>
      </c>
      <c r="P471" s="675">
        <f t="shared" si="54"/>
        <v>-847</v>
      </c>
      <c r="Q471" s="671">
        <f t="shared" si="56"/>
        <v>276.40999999999985</v>
      </c>
      <c r="R471" s="683">
        <f t="shared" si="55"/>
        <v>15018.17</v>
      </c>
    </row>
    <row r="472" spans="1:18" ht="12" thickBot="1">
      <c r="A472" s="197" t="s">
        <v>1221</v>
      </c>
      <c r="B472" s="192" t="s">
        <v>163</v>
      </c>
      <c r="C472" s="147" t="s">
        <v>340</v>
      </c>
      <c r="D472" s="205"/>
      <c r="E472" s="307">
        <v>21</v>
      </c>
      <c r="F472" s="307">
        <v>1054</v>
      </c>
      <c r="G472" s="308">
        <v>553.35</v>
      </c>
      <c r="H472" s="308">
        <v>0</v>
      </c>
      <c r="I472" s="308">
        <v>8.7899999999999991</v>
      </c>
      <c r="J472" s="307">
        <v>21</v>
      </c>
      <c r="K472" s="307">
        <v>1054</v>
      </c>
      <c r="L472" s="308">
        <v>553.35</v>
      </c>
      <c r="M472" s="308">
        <v>8.7899999999999636</v>
      </c>
      <c r="N472" s="308">
        <v>0</v>
      </c>
      <c r="O472" s="675">
        <f t="shared" si="53"/>
        <v>0</v>
      </c>
      <c r="P472" s="675">
        <f t="shared" si="54"/>
        <v>0</v>
      </c>
      <c r="Q472" s="671">
        <f t="shared" si="56"/>
        <v>0</v>
      </c>
      <c r="R472" s="683">
        <f t="shared" si="55"/>
        <v>562.14</v>
      </c>
    </row>
    <row r="473" spans="1:18" ht="12" thickBot="1">
      <c r="A473" s="197" t="s">
        <v>1221</v>
      </c>
      <c r="B473" s="192" t="s">
        <v>163</v>
      </c>
      <c r="C473" s="147" t="s">
        <v>341</v>
      </c>
      <c r="D473" s="205"/>
      <c r="E473" s="307">
        <v>459</v>
      </c>
      <c r="F473" s="307">
        <v>38147</v>
      </c>
      <c r="G473" s="308">
        <v>13058.55</v>
      </c>
      <c r="H473" s="308">
        <v>0</v>
      </c>
      <c r="I473" s="308">
        <v>104.02</v>
      </c>
      <c r="J473" s="307">
        <v>459</v>
      </c>
      <c r="K473" s="307">
        <v>38147</v>
      </c>
      <c r="L473" s="308">
        <v>13058.55</v>
      </c>
      <c r="M473" s="308">
        <v>104.02000000000044</v>
      </c>
      <c r="N473" s="308">
        <v>0</v>
      </c>
      <c r="O473" s="675">
        <f t="shared" si="53"/>
        <v>0</v>
      </c>
      <c r="P473" s="675">
        <f t="shared" si="54"/>
        <v>0</v>
      </c>
      <c r="Q473" s="671">
        <f t="shared" si="56"/>
        <v>0</v>
      </c>
      <c r="R473" s="683">
        <f t="shared" si="55"/>
        <v>13162.57</v>
      </c>
    </row>
    <row r="474" spans="1:18" ht="12" thickBot="1">
      <c r="A474" s="197" t="s">
        <v>1221</v>
      </c>
      <c r="B474" s="192" t="s">
        <v>163</v>
      </c>
      <c r="C474" s="309" t="s">
        <v>342</v>
      </c>
      <c r="D474" s="205"/>
      <c r="E474" s="307">
        <v>35</v>
      </c>
      <c r="F474" s="307">
        <v>4437</v>
      </c>
      <c r="G474" s="308">
        <v>1191.05</v>
      </c>
      <c r="H474" s="308">
        <v>0</v>
      </c>
      <c r="I474" s="308">
        <v>0</v>
      </c>
      <c r="J474" s="307">
        <v>32</v>
      </c>
      <c r="K474" s="307">
        <v>4084</v>
      </c>
      <c r="L474" s="308">
        <v>1088.96</v>
      </c>
      <c r="M474" s="308">
        <v>0</v>
      </c>
      <c r="N474" s="308">
        <v>0</v>
      </c>
      <c r="O474" s="675">
        <f t="shared" si="53"/>
        <v>-3</v>
      </c>
      <c r="P474" s="675">
        <f t="shared" si="54"/>
        <v>-353</v>
      </c>
      <c r="Q474" s="671">
        <f t="shared" si="56"/>
        <v>102.08999999999992</v>
      </c>
      <c r="R474" s="683">
        <f t="shared" si="55"/>
        <v>1191.05</v>
      </c>
    </row>
    <row r="475" spans="1:18" ht="12" thickBot="1">
      <c r="A475" s="197" t="s">
        <v>1221</v>
      </c>
      <c r="B475" s="192" t="s">
        <v>163</v>
      </c>
      <c r="C475" s="147" t="s">
        <v>343</v>
      </c>
      <c r="D475" s="205"/>
      <c r="E475" s="307">
        <v>41</v>
      </c>
      <c r="F475" s="307">
        <v>883</v>
      </c>
      <c r="G475" s="308">
        <v>1362.02</v>
      </c>
      <c r="H475" s="308">
        <v>21.36</v>
      </c>
      <c r="I475" s="308">
        <v>0</v>
      </c>
      <c r="J475" s="307">
        <v>41</v>
      </c>
      <c r="K475" s="307">
        <v>883</v>
      </c>
      <c r="L475" s="308">
        <v>1362.02</v>
      </c>
      <c r="M475" s="308">
        <v>0</v>
      </c>
      <c r="N475" s="308">
        <v>21.36</v>
      </c>
      <c r="O475" s="675">
        <f t="shared" si="53"/>
        <v>0</v>
      </c>
      <c r="P475" s="675">
        <f t="shared" si="54"/>
        <v>0</v>
      </c>
      <c r="Q475" s="671">
        <f t="shared" si="56"/>
        <v>0</v>
      </c>
      <c r="R475" s="683">
        <f t="shared" si="55"/>
        <v>1383.3799999999999</v>
      </c>
    </row>
    <row r="476" spans="1:18" ht="12" thickBot="1">
      <c r="A476" s="197" t="s">
        <v>1221</v>
      </c>
      <c r="B476" s="192" t="s">
        <v>163</v>
      </c>
      <c r="C476" s="147" t="s">
        <v>344</v>
      </c>
      <c r="D476" s="205"/>
      <c r="E476" s="307">
        <v>53</v>
      </c>
      <c r="F476" s="307">
        <v>1155</v>
      </c>
      <c r="G476" s="308">
        <v>1865.6</v>
      </c>
      <c r="H476" s="308">
        <v>50.86</v>
      </c>
      <c r="I476" s="308">
        <v>0</v>
      </c>
      <c r="J476" s="307">
        <v>53</v>
      </c>
      <c r="K476" s="307">
        <v>1155</v>
      </c>
      <c r="L476" s="308">
        <v>1865.6</v>
      </c>
      <c r="M476" s="308">
        <v>0</v>
      </c>
      <c r="N476" s="308">
        <v>50.86</v>
      </c>
      <c r="O476" s="675">
        <f t="shared" si="53"/>
        <v>0</v>
      </c>
      <c r="P476" s="675">
        <f t="shared" si="54"/>
        <v>0</v>
      </c>
      <c r="Q476" s="671">
        <f t="shared" si="56"/>
        <v>0</v>
      </c>
      <c r="R476" s="683">
        <f t="shared" si="55"/>
        <v>1916.4599999999998</v>
      </c>
    </row>
    <row r="477" spans="1:18" ht="12" thickBot="1">
      <c r="A477" s="197" t="s">
        <v>1221</v>
      </c>
      <c r="B477" s="192" t="s">
        <v>163</v>
      </c>
      <c r="C477" s="147" t="s">
        <v>345</v>
      </c>
      <c r="D477" s="205"/>
      <c r="E477" s="307">
        <v>221</v>
      </c>
      <c r="F477" s="307">
        <v>6768</v>
      </c>
      <c r="G477" s="308">
        <v>7533.89</v>
      </c>
      <c r="H477" s="308">
        <v>266.27000000000004</v>
      </c>
      <c r="I477" s="308">
        <v>-22.73</v>
      </c>
      <c r="J477" s="307">
        <v>221</v>
      </c>
      <c r="K477" s="307">
        <v>6768</v>
      </c>
      <c r="L477" s="308">
        <v>7533.89</v>
      </c>
      <c r="M477" s="308">
        <v>-22.730000000000473</v>
      </c>
      <c r="N477" s="308">
        <v>266.27000000000004</v>
      </c>
      <c r="O477" s="675">
        <f t="shared" si="53"/>
        <v>0</v>
      </c>
      <c r="P477" s="675">
        <f t="shared" si="54"/>
        <v>0</v>
      </c>
      <c r="Q477" s="671">
        <f t="shared" si="56"/>
        <v>0</v>
      </c>
      <c r="R477" s="683">
        <f t="shared" si="55"/>
        <v>7777.4300000000012</v>
      </c>
    </row>
    <row r="478" spans="1:18" ht="12" thickBot="1">
      <c r="A478" s="197" t="s">
        <v>1221</v>
      </c>
      <c r="B478" s="192" t="s">
        <v>163</v>
      </c>
      <c r="C478" s="309" t="s">
        <v>346</v>
      </c>
      <c r="D478" s="205"/>
      <c r="E478" s="307">
        <v>198</v>
      </c>
      <c r="F478" s="307">
        <v>5796</v>
      </c>
      <c r="G478" s="308">
        <v>7141.8600000000006</v>
      </c>
      <c r="H478" s="308">
        <v>648.86</v>
      </c>
      <c r="I478" s="308">
        <v>-370.32</v>
      </c>
      <c r="J478" s="307">
        <v>159</v>
      </c>
      <c r="K478" s="307">
        <v>4656</v>
      </c>
      <c r="L478" s="308">
        <v>5735.13</v>
      </c>
      <c r="M478" s="308">
        <v>-370.31999999999971</v>
      </c>
      <c r="N478" s="308">
        <v>648.86</v>
      </c>
      <c r="O478" s="675">
        <f t="shared" si="53"/>
        <v>-39</v>
      </c>
      <c r="P478" s="675">
        <f t="shared" si="54"/>
        <v>-1140</v>
      </c>
      <c r="Q478" s="671">
        <f t="shared" si="56"/>
        <v>1406.7300000000005</v>
      </c>
      <c r="R478" s="683">
        <f t="shared" si="55"/>
        <v>7420.4000000000005</v>
      </c>
    </row>
    <row r="479" spans="1:18" ht="12" thickBot="1">
      <c r="A479" s="197" t="s">
        <v>1221</v>
      </c>
      <c r="B479" s="192" t="s">
        <v>163</v>
      </c>
      <c r="C479" s="147" t="s">
        <v>347</v>
      </c>
      <c r="D479" s="205"/>
      <c r="E479" s="307">
        <v>13</v>
      </c>
      <c r="F479" s="307">
        <v>301</v>
      </c>
      <c r="G479" s="308">
        <v>419.38</v>
      </c>
      <c r="H479" s="308">
        <v>0</v>
      </c>
      <c r="I479" s="308">
        <v>0</v>
      </c>
      <c r="J479" s="307">
        <v>13</v>
      </c>
      <c r="K479" s="307">
        <v>301</v>
      </c>
      <c r="L479" s="308">
        <v>419.38</v>
      </c>
      <c r="M479" s="308">
        <v>0</v>
      </c>
      <c r="N479" s="308">
        <v>0</v>
      </c>
      <c r="O479" s="675">
        <f t="shared" si="53"/>
        <v>0</v>
      </c>
      <c r="P479" s="675">
        <f t="shared" si="54"/>
        <v>0</v>
      </c>
      <c r="Q479" s="671">
        <f t="shared" si="56"/>
        <v>0</v>
      </c>
      <c r="R479" s="683">
        <f t="shared" si="55"/>
        <v>419.38</v>
      </c>
    </row>
    <row r="480" spans="1:18" ht="12" thickBot="1">
      <c r="A480" s="197" t="s">
        <v>1221</v>
      </c>
      <c r="B480" s="192" t="s">
        <v>163</v>
      </c>
      <c r="C480" s="147" t="s">
        <v>348</v>
      </c>
      <c r="D480" s="205"/>
      <c r="E480" s="307">
        <v>45</v>
      </c>
      <c r="F480" s="307">
        <v>1022</v>
      </c>
      <c r="G480" s="308">
        <v>1481.85</v>
      </c>
      <c r="H480" s="308">
        <v>165.98</v>
      </c>
      <c r="I480" s="308">
        <v>0</v>
      </c>
      <c r="J480" s="307">
        <v>45</v>
      </c>
      <c r="K480" s="307">
        <v>1022</v>
      </c>
      <c r="L480" s="308">
        <v>1481.85</v>
      </c>
      <c r="M480" s="308">
        <v>0</v>
      </c>
      <c r="N480" s="308">
        <v>165.98</v>
      </c>
      <c r="O480" s="675">
        <f t="shared" si="53"/>
        <v>0</v>
      </c>
      <c r="P480" s="675">
        <f t="shared" si="54"/>
        <v>0</v>
      </c>
      <c r="Q480" s="671">
        <f t="shared" si="56"/>
        <v>0</v>
      </c>
      <c r="R480" s="683">
        <f t="shared" si="55"/>
        <v>1647.83</v>
      </c>
    </row>
    <row r="481" spans="1:18" ht="12" thickBot="1">
      <c r="A481" s="197" t="s">
        <v>1221</v>
      </c>
      <c r="B481" s="192" t="s">
        <v>163</v>
      </c>
      <c r="C481" s="147" t="s">
        <v>376</v>
      </c>
      <c r="D481" s="205"/>
      <c r="E481" s="307">
        <v>10</v>
      </c>
      <c r="F481" s="307">
        <v>305</v>
      </c>
      <c r="G481" s="308">
        <v>343.3</v>
      </c>
      <c r="H481" s="308">
        <v>3.47</v>
      </c>
      <c r="I481" s="308">
        <v>0</v>
      </c>
      <c r="J481" s="307">
        <v>10</v>
      </c>
      <c r="K481" s="307">
        <v>305</v>
      </c>
      <c r="L481" s="308">
        <v>343.3</v>
      </c>
      <c r="M481" s="308">
        <v>0</v>
      </c>
      <c r="N481" s="308">
        <v>3.47</v>
      </c>
      <c r="O481" s="675">
        <f t="shared" si="53"/>
        <v>0</v>
      </c>
      <c r="P481" s="675">
        <f t="shared" si="54"/>
        <v>0</v>
      </c>
      <c r="Q481" s="671">
        <f t="shared" si="56"/>
        <v>0</v>
      </c>
      <c r="R481" s="683">
        <f t="shared" si="55"/>
        <v>346.77000000000004</v>
      </c>
    </row>
    <row r="482" spans="1:18" ht="12" thickBot="1">
      <c r="A482" s="197" t="s">
        <v>1221</v>
      </c>
      <c r="B482" s="192" t="s">
        <v>163</v>
      </c>
      <c r="C482" s="309" t="s">
        <v>349</v>
      </c>
      <c r="D482" s="205"/>
      <c r="E482" s="307">
        <v>196</v>
      </c>
      <c r="F482" s="307">
        <v>6350</v>
      </c>
      <c r="G482" s="308">
        <v>6858.04</v>
      </c>
      <c r="H482" s="308">
        <v>933.4</v>
      </c>
      <c r="I482" s="308">
        <v>-27.99</v>
      </c>
      <c r="J482" s="307">
        <v>192</v>
      </c>
      <c r="K482" s="307">
        <v>6233</v>
      </c>
      <c r="L482" s="308">
        <v>6718.08</v>
      </c>
      <c r="M482" s="308">
        <v>-27.989999999999782</v>
      </c>
      <c r="N482" s="308">
        <v>933.4</v>
      </c>
      <c r="O482" s="675">
        <f t="shared" si="53"/>
        <v>-4</v>
      </c>
      <c r="P482" s="675">
        <f t="shared" si="54"/>
        <v>-117</v>
      </c>
      <c r="Q482" s="671">
        <f t="shared" si="56"/>
        <v>139.96000000000004</v>
      </c>
      <c r="R482" s="683">
        <f t="shared" si="55"/>
        <v>7763.45</v>
      </c>
    </row>
    <row r="483" spans="1:18" ht="12" thickBot="1">
      <c r="A483" s="197" t="s">
        <v>1221</v>
      </c>
      <c r="B483" s="192" t="s">
        <v>163</v>
      </c>
      <c r="C483" s="147" t="s">
        <v>730</v>
      </c>
      <c r="D483" s="205"/>
      <c r="E483" s="307">
        <v>2</v>
      </c>
      <c r="F483" s="307">
        <v>159</v>
      </c>
      <c r="G483" s="308">
        <v>36.56</v>
      </c>
      <c r="H483" s="308">
        <v>0</v>
      </c>
      <c r="I483" s="308">
        <v>0</v>
      </c>
      <c r="J483" s="307">
        <v>2</v>
      </c>
      <c r="K483" s="307">
        <v>159</v>
      </c>
      <c r="L483" s="308">
        <v>36.56</v>
      </c>
      <c r="M483" s="308">
        <v>0</v>
      </c>
      <c r="N483" s="308">
        <v>0</v>
      </c>
      <c r="O483" s="675">
        <f t="shared" si="53"/>
        <v>0</v>
      </c>
      <c r="P483" s="675">
        <f t="shared" si="54"/>
        <v>0</v>
      </c>
      <c r="Q483" s="671">
        <f t="shared" si="56"/>
        <v>0</v>
      </c>
      <c r="R483" s="683">
        <f t="shared" si="55"/>
        <v>36.56</v>
      </c>
    </row>
    <row r="484" spans="1:18" ht="12" thickBot="1">
      <c r="A484" s="197" t="s">
        <v>1221</v>
      </c>
      <c r="B484" s="192" t="s">
        <v>163</v>
      </c>
      <c r="C484" s="147" t="s">
        <v>378</v>
      </c>
      <c r="D484" s="205"/>
      <c r="E484" s="307">
        <v>17</v>
      </c>
      <c r="F484" s="307">
        <v>2129</v>
      </c>
      <c r="G484" s="308">
        <v>379.44</v>
      </c>
      <c r="H484" s="308">
        <v>0</v>
      </c>
      <c r="I484" s="308">
        <v>0</v>
      </c>
      <c r="J484" s="307">
        <v>17</v>
      </c>
      <c r="K484" s="307">
        <v>2129</v>
      </c>
      <c r="L484" s="308">
        <v>379.44</v>
      </c>
      <c r="M484" s="308">
        <v>0</v>
      </c>
      <c r="N484" s="308">
        <v>0</v>
      </c>
      <c r="O484" s="675">
        <f t="shared" si="53"/>
        <v>0</v>
      </c>
      <c r="P484" s="675">
        <f t="shared" si="54"/>
        <v>0</v>
      </c>
      <c r="Q484" s="671">
        <f t="shared" si="56"/>
        <v>0</v>
      </c>
      <c r="R484" s="683">
        <f t="shared" si="55"/>
        <v>379.44</v>
      </c>
    </row>
    <row r="485" spans="1:18" ht="12" thickBot="1">
      <c r="A485" s="197" t="s">
        <v>1221</v>
      </c>
      <c r="B485" s="192" t="s">
        <v>163</v>
      </c>
      <c r="C485" s="147" t="s">
        <v>354</v>
      </c>
      <c r="D485" s="205"/>
      <c r="E485" s="307">
        <v>6602</v>
      </c>
      <c r="F485" s="307">
        <v>325705</v>
      </c>
      <c r="G485" s="308">
        <v>84637.64</v>
      </c>
      <c r="H485" s="308">
        <v>1139.8100000000002</v>
      </c>
      <c r="I485" s="308">
        <v>-156.31</v>
      </c>
      <c r="J485" s="307">
        <v>6566</v>
      </c>
      <c r="K485" s="307">
        <v>324374</v>
      </c>
      <c r="L485" s="308">
        <v>84176.12</v>
      </c>
      <c r="M485" s="308">
        <v>-73.69999999999709</v>
      </c>
      <c r="N485" s="308">
        <v>1139.8100000000002</v>
      </c>
      <c r="O485" s="675">
        <f t="shared" si="53"/>
        <v>-36</v>
      </c>
      <c r="P485" s="675">
        <f t="shared" si="54"/>
        <v>-1331</v>
      </c>
      <c r="Q485" s="671">
        <f t="shared" si="56"/>
        <v>378.91000000000349</v>
      </c>
      <c r="R485" s="683">
        <f t="shared" si="55"/>
        <v>85621.14</v>
      </c>
    </row>
    <row r="486" spans="1:18" ht="12" thickBot="1">
      <c r="A486" s="197" t="s">
        <v>1221</v>
      </c>
      <c r="B486" s="192" t="s">
        <v>163</v>
      </c>
      <c r="C486" s="147" t="s">
        <v>355</v>
      </c>
      <c r="D486" s="205"/>
      <c r="E486" s="307">
        <v>9416</v>
      </c>
      <c r="F486" s="307">
        <v>769571</v>
      </c>
      <c r="G486" s="308">
        <v>141993.28</v>
      </c>
      <c r="H486" s="308">
        <v>1128</v>
      </c>
      <c r="I486" s="308">
        <v>67.02</v>
      </c>
      <c r="J486" s="307">
        <v>9379</v>
      </c>
      <c r="K486" s="307">
        <v>766874</v>
      </c>
      <c r="L486" s="308">
        <v>141435.32</v>
      </c>
      <c r="M486" s="308">
        <v>85.619999999995343</v>
      </c>
      <c r="N486" s="308">
        <v>1128</v>
      </c>
      <c r="O486" s="675">
        <f t="shared" si="53"/>
        <v>-37</v>
      </c>
      <c r="P486" s="675">
        <f t="shared" si="54"/>
        <v>-2697</v>
      </c>
      <c r="Q486" s="671">
        <f t="shared" si="56"/>
        <v>539.35999999998603</v>
      </c>
      <c r="R486" s="683">
        <f t="shared" si="55"/>
        <v>143188.29999999999</v>
      </c>
    </row>
    <row r="487" spans="1:18" ht="12" thickBot="1">
      <c r="A487" s="197" t="s">
        <v>1221</v>
      </c>
      <c r="B487" s="192" t="s">
        <v>163</v>
      </c>
      <c r="C487" s="147" t="s">
        <v>356</v>
      </c>
      <c r="D487" s="205"/>
      <c r="E487" s="307">
        <v>5620</v>
      </c>
      <c r="F487" s="307">
        <v>715784</v>
      </c>
      <c r="G487" s="308">
        <v>97675.599999999991</v>
      </c>
      <c r="H487" s="308">
        <v>2866.89</v>
      </c>
      <c r="I487" s="308">
        <v>-284.2</v>
      </c>
      <c r="J487" s="307">
        <v>5524</v>
      </c>
      <c r="K487" s="307">
        <v>704652</v>
      </c>
      <c r="L487" s="308">
        <v>96007.12</v>
      </c>
      <c r="M487" s="308">
        <v>-192.66999999999825</v>
      </c>
      <c r="N487" s="308">
        <v>2866.89</v>
      </c>
      <c r="O487" s="675">
        <f t="shared" si="53"/>
        <v>-96</v>
      </c>
      <c r="P487" s="675">
        <f t="shared" si="54"/>
        <v>-11132</v>
      </c>
      <c r="Q487" s="671">
        <f t="shared" si="56"/>
        <v>1576.9499999999971</v>
      </c>
      <c r="R487" s="683">
        <f t="shared" si="55"/>
        <v>100258.29</v>
      </c>
    </row>
    <row r="488" spans="1:18" ht="12" thickBot="1">
      <c r="A488" s="197" t="s">
        <v>1221</v>
      </c>
      <c r="B488" s="192" t="s">
        <v>163</v>
      </c>
      <c r="C488" s="147" t="s">
        <v>357</v>
      </c>
      <c r="D488" s="205"/>
      <c r="E488" s="307">
        <v>419</v>
      </c>
      <c r="F488" s="307">
        <v>20014</v>
      </c>
      <c r="G488" s="308">
        <v>5769.63</v>
      </c>
      <c r="H488" s="308">
        <v>218.2</v>
      </c>
      <c r="I488" s="308">
        <v>-16.52</v>
      </c>
      <c r="J488" s="307">
        <v>409</v>
      </c>
      <c r="K488" s="307">
        <v>19627</v>
      </c>
      <c r="L488" s="308">
        <v>5631.93</v>
      </c>
      <c r="M488" s="308">
        <v>0</v>
      </c>
      <c r="N488" s="308">
        <v>218.2</v>
      </c>
      <c r="O488" s="675">
        <f t="shared" si="53"/>
        <v>-10</v>
      </c>
      <c r="P488" s="675">
        <f t="shared" si="54"/>
        <v>-387</v>
      </c>
      <c r="Q488" s="671">
        <f t="shared" si="56"/>
        <v>121.17999999999938</v>
      </c>
      <c r="R488" s="683">
        <f t="shared" si="55"/>
        <v>5971.3099999999995</v>
      </c>
    </row>
    <row r="489" spans="1:18" ht="12" thickBot="1">
      <c r="A489" s="197" t="s">
        <v>1221</v>
      </c>
      <c r="B489" s="192" t="s">
        <v>163</v>
      </c>
      <c r="C489" s="147" t="s">
        <v>358</v>
      </c>
      <c r="D489" s="205"/>
      <c r="E489" s="307">
        <v>13248</v>
      </c>
      <c r="F489" s="307">
        <v>1649875</v>
      </c>
      <c r="G489" s="308">
        <v>241246.07999999999</v>
      </c>
      <c r="H489" s="308">
        <v>7864.55</v>
      </c>
      <c r="I489" s="308">
        <v>-992.4</v>
      </c>
      <c r="J489" s="307">
        <v>12886</v>
      </c>
      <c r="K489" s="307">
        <v>1607391</v>
      </c>
      <c r="L489" s="308">
        <v>234654.06</v>
      </c>
      <c r="M489" s="308">
        <v>-622.73000000001048</v>
      </c>
      <c r="N489" s="308">
        <v>7864.55</v>
      </c>
      <c r="O489" s="675">
        <f t="shared" si="53"/>
        <v>-362</v>
      </c>
      <c r="P489" s="675">
        <f t="shared" si="54"/>
        <v>-42484</v>
      </c>
      <c r="Q489" s="671">
        <f t="shared" si="56"/>
        <v>6222.3500000000058</v>
      </c>
      <c r="R489" s="683">
        <f t="shared" si="55"/>
        <v>248118.22999999998</v>
      </c>
    </row>
    <row r="490" spans="1:18" ht="12" thickBot="1">
      <c r="A490" s="197" t="s">
        <v>1221</v>
      </c>
      <c r="B490" s="192" t="s">
        <v>163</v>
      </c>
      <c r="C490" s="309" t="s">
        <v>359</v>
      </c>
      <c r="D490" s="205"/>
      <c r="E490" s="307">
        <v>3397</v>
      </c>
      <c r="F490" s="307">
        <v>104236</v>
      </c>
      <c r="G490" s="308">
        <v>36891.420000000006</v>
      </c>
      <c r="H490" s="308">
        <v>1670.74</v>
      </c>
      <c r="I490" s="308">
        <v>-100.87</v>
      </c>
      <c r="J490" s="307">
        <v>3368</v>
      </c>
      <c r="K490" s="307">
        <v>103475</v>
      </c>
      <c r="L490" s="308">
        <v>36576.480000000003</v>
      </c>
      <c r="M490" s="308">
        <v>-75.890000000006694</v>
      </c>
      <c r="N490" s="308">
        <v>1670.74</v>
      </c>
      <c r="O490" s="675">
        <f t="shared" si="53"/>
        <v>-29</v>
      </c>
      <c r="P490" s="675">
        <f t="shared" si="54"/>
        <v>-761</v>
      </c>
      <c r="Q490" s="671">
        <f t="shared" si="56"/>
        <v>289.9600000000064</v>
      </c>
      <c r="R490" s="683">
        <f t="shared" si="55"/>
        <v>38461.29</v>
      </c>
    </row>
    <row r="491" spans="1:18" ht="12" thickBot="1">
      <c r="A491" s="197" t="s">
        <v>1221</v>
      </c>
      <c r="B491" s="192" t="s">
        <v>163</v>
      </c>
      <c r="C491" s="147" t="s">
        <v>360</v>
      </c>
      <c r="D491" s="205"/>
      <c r="E491" s="307">
        <v>5</v>
      </c>
      <c r="F491" s="307">
        <v>289</v>
      </c>
      <c r="G491" s="308">
        <v>55.65</v>
      </c>
      <c r="H491" s="308">
        <v>0</v>
      </c>
      <c r="I491" s="308">
        <v>0</v>
      </c>
      <c r="J491" s="307">
        <v>5</v>
      </c>
      <c r="K491" s="307">
        <v>289</v>
      </c>
      <c r="L491" s="308">
        <v>55.65</v>
      </c>
      <c r="M491" s="308">
        <v>0</v>
      </c>
      <c r="N491" s="308">
        <v>0</v>
      </c>
      <c r="O491" s="675">
        <f t="shared" si="53"/>
        <v>0</v>
      </c>
      <c r="P491" s="675">
        <f t="shared" si="54"/>
        <v>0</v>
      </c>
      <c r="Q491" s="671">
        <f t="shared" si="56"/>
        <v>0</v>
      </c>
      <c r="R491" s="683">
        <f t="shared" si="55"/>
        <v>55.65</v>
      </c>
    </row>
    <row r="492" spans="1:18" ht="12" thickBot="1">
      <c r="A492" s="197" t="s">
        <v>1221</v>
      </c>
      <c r="B492" s="192" t="s">
        <v>163</v>
      </c>
      <c r="C492" s="147" t="s">
        <v>365</v>
      </c>
      <c r="D492" s="205"/>
      <c r="E492" s="307">
        <v>24</v>
      </c>
      <c r="F492" s="307">
        <v>945</v>
      </c>
      <c r="G492" s="308">
        <v>306.95999999999998</v>
      </c>
      <c r="H492" s="308">
        <v>4.12</v>
      </c>
      <c r="I492" s="308">
        <v>0</v>
      </c>
      <c r="J492" s="307">
        <v>24</v>
      </c>
      <c r="K492" s="307">
        <v>945</v>
      </c>
      <c r="L492" s="308">
        <v>306.95999999999998</v>
      </c>
      <c r="M492" s="308">
        <v>0</v>
      </c>
      <c r="N492" s="308">
        <v>4.12</v>
      </c>
      <c r="O492" s="675">
        <f t="shared" si="53"/>
        <v>0</v>
      </c>
      <c r="P492" s="675">
        <f t="shared" si="54"/>
        <v>0</v>
      </c>
      <c r="Q492" s="671">
        <f t="shared" si="56"/>
        <v>0</v>
      </c>
      <c r="R492" s="683">
        <f t="shared" si="55"/>
        <v>311.08</v>
      </c>
    </row>
    <row r="493" spans="1:18" ht="12" thickBot="1">
      <c r="A493" s="197" t="s">
        <v>1221</v>
      </c>
      <c r="B493" s="192" t="s">
        <v>163</v>
      </c>
      <c r="C493" s="147" t="s">
        <v>366</v>
      </c>
      <c r="D493" s="205"/>
      <c r="E493" s="307">
        <v>2</v>
      </c>
      <c r="F493" s="307">
        <v>79</v>
      </c>
      <c r="G493" s="308">
        <v>30.14</v>
      </c>
      <c r="H493" s="308">
        <v>0</v>
      </c>
      <c r="I493" s="308">
        <v>0</v>
      </c>
      <c r="J493" s="307">
        <v>2</v>
      </c>
      <c r="K493" s="307">
        <v>79</v>
      </c>
      <c r="L493" s="308">
        <v>30.14</v>
      </c>
      <c r="M493" s="308">
        <v>0</v>
      </c>
      <c r="N493" s="308">
        <v>0</v>
      </c>
      <c r="O493" s="675">
        <f t="shared" si="53"/>
        <v>0</v>
      </c>
      <c r="P493" s="675">
        <f t="shared" si="54"/>
        <v>0</v>
      </c>
      <c r="Q493" s="671">
        <f t="shared" si="56"/>
        <v>0</v>
      </c>
      <c r="R493" s="683">
        <f t="shared" si="55"/>
        <v>30.14</v>
      </c>
    </row>
    <row r="494" spans="1:18" ht="12" thickBot="1">
      <c r="A494" s="197" t="s">
        <v>1221</v>
      </c>
      <c r="B494" s="192" t="s">
        <v>163</v>
      </c>
      <c r="C494" s="147" t="s">
        <v>367</v>
      </c>
      <c r="D494" s="205"/>
      <c r="E494" s="307">
        <v>442</v>
      </c>
      <c r="F494" s="307">
        <v>40561</v>
      </c>
      <c r="G494" s="308">
        <v>8256.56</v>
      </c>
      <c r="H494" s="308">
        <v>80.22</v>
      </c>
      <c r="I494" s="308">
        <v>-80.95</v>
      </c>
      <c r="J494" s="307">
        <v>426</v>
      </c>
      <c r="K494" s="307">
        <v>39232</v>
      </c>
      <c r="L494" s="308">
        <v>7957.68</v>
      </c>
      <c r="M494" s="308">
        <v>-46.700000000000728</v>
      </c>
      <c r="N494" s="308">
        <v>80.22</v>
      </c>
      <c r="O494" s="675">
        <f t="shared" ref="O494:O503" si="57">J494-E494</f>
        <v>-16</v>
      </c>
      <c r="P494" s="675">
        <f t="shared" ref="P494:P503" si="58">K494-F494</f>
        <v>-1329</v>
      </c>
      <c r="Q494" s="671">
        <f t="shared" si="56"/>
        <v>264.62999999999829</v>
      </c>
      <c r="R494" s="683">
        <f t="shared" ref="R494:R503" si="59">SUM(G494:I494)</f>
        <v>8255.8299999999981</v>
      </c>
    </row>
    <row r="495" spans="1:18" ht="12" thickBot="1">
      <c r="A495" s="197" t="s">
        <v>1221</v>
      </c>
      <c r="B495" s="192" t="s">
        <v>163</v>
      </c>
      <c r="C495" s="309" t="s">
        <v>368</v>
      </c>
      <c r="D495" s="205"/>
      <c r="E495" s="307">
        <v>55</v>
      </c>
      <c r="F495" s="307">
        <v>4993</v>
      </c>
      <c r="G495" s="308">
        <v>1153.3499999999999</v>
      </c>
      <c r="H495" s="308">
        <v>26.740000000000002</v>
      </c>
      <c r="I495" s="308">
        <v>-19.57</v>
      </c>
      <c r="J495" s="307">
        <v>55</v>
      </c>
      <c r="K495" s="307">
        <v>4993</v>
      </c>
      <c r="L495" s="308">
        <v>1153.3499999999999</v>
      </c>
      <c r="M495" s="308">
        <v>-19.569999999999936</v>
      </c>
      <c r="N495" s="308">
        <v>26.740000000000002</v>
      </c>
      <c r="O495" s="675">
        <f t="shared" si="57"/>
        <v>0</v>
      </c>
      <c r="P495" s="675">
        <f t="shared" si="58"/>
        <v>0</v>
      </c>
      <c r="Q495" s="671">
        <f t="shared" si="56"/>
        <v>0</v>
      </c>
      <c r="R495" s="683">
        <f t="shared" si="59"/>
        <v>1160.52</v>
      </c>
    </row>
    <row r="496" spans="1:18" ht="12" thickBot="1">
      <c r="A496" s="197" t="s">
        <v>1221</v>
      </c>
      <c r="B496" s="192" t="s">
        <v>163</v>
      </c>
      <c r="C496" s="147" t="s">
        <v>369</v>
      </c>
      <c r="D496" s="205"/>
      <c r="E496" s="307">
        <v>2</v>
      </c>
      <c r="F496" s="307">
        <v>183</v>
      </c>
      <c r="G496" s="308">
        <v>56.84</v>
      </c>
      <c r="H496" s="308">
        <v>0</v>
      </c>
      <c r="I496" s="308">
        <v>0</v>
      </c>
      <c r="J496" s="307">
        <v>2</v>
      </c>
      <c r="K496" s="307">
        <v>183</v>
      </c>
      <c r="L496" s="308">
        <v>56.84</v>
      </c>
      <c r="M496" s="308">
        <v>0</v>
      </c>
      <c r="N496" s="308">
        <v>0</v>
      </c>
      <c r="O496" s="675">
        <f t="shared" si="57"/>
        <v>0</v>
      </c>
      <c r="P496" s="675">
        <f t="shared" si="58"/>
        <v>0</v>
      </c>
      <c r="Q496" s="671">
        <f t="shared" si="56"/>
        <v>0</v>
      </c>
      <c r="R496" s="683">
        <f t="shared" si="59"/>
        <v>56.84</v>
      </c>
    </row>
    <row r="497" spans="1:27" ht="12" thickBot="1">
      <c r="A497" s="197" t="s">
        <v>1221</v>
      </c>
      <c r="B497" s="192" t="s">
        <v>163</v>
      </c>
      <c r="C497" s="147" t="s">
        <v>370</v>
      </c>
      <c r="D497" s="205"/>
      <c r="E497" s="307">
        <v>409</v>
      </c>
      <c r="F497" s="307">
        <v>118264</v>
      </c>
      <c r="G497" s="308">
        <v>16196.4</v>
      </c>
      <c r="H497" s="308">
        <v>125.46</v>
      </c>
      <c r="I497" s="308">
        <v>-13.2</v>
      </c>
      <c r="J497" s="307">
        <v>399</v>
      </c>
      <c r="K497" s="307">
        <v>115479</v>
      </c>
      <c r="L497" s="308">
        <v>15800.4</v>
      </c>
      <c r="M497" s="308">
        <v>0</v>
      </c>
      <c r="N497" s="308">
        <v>125.46</v>
      </c>
      <c r="O497" s="675">
        <f t="shared" si="57"/>
        <v>-10</v>
      </c>
      <c r="P497" s="675">
        <f t="shared" si="58"/>
        <v>-2785</v>
      </c>
      <c r="Q497" s="671">
        <f t="shared" ref="Q497:Q552" si="60">SUM(G497:I497)-SUM(L497:N497)</f>
        <v>382.79999999999927</v>
      </c>
      <c r="R497" s="683">
        <f t="shared" si="59"/>
        <v>16308.659999999998</v>
      </c>
    </row>
    <row r="498" spans="1:27" ht="12" thickBot="1">
      <c r="A498" s="197" t="s">
        <v>1221</v>
      </c>
      <c r="B498" s="192" t="s">
        <v>163</v>
      </c>
      <c r="C498" s="147" t="s">
        <v>371</v>
      </c>
      <c r="D498" s="205"/>
      <c r="E498" s="307">
        <v>59</v>
      </c>
      <c r="F498" s="307">
        <v>17251</v>
      </c>
      <c r="G498" s="308">
        <v>2524.02</v>
      </c>
      <c r="H498" s="308">
        <v>33.93</v>
      </c>
      <c r="I498" s="308">
        <v>0</v>
      </c>
      <c r="J498" s="307">
        <v>59</v>
      </c>
      <c r="K498" s="307">
        <v>17251</v>
      </c>
      <c r="L498" s="308">
        <v>2524.02</v>
      </c>
      <c r="M498" s="308">
        <v>0</v>
      </c>
      <c r="N498" s="308">
        <v>33.93</v>
      </c>
      <c r="O498" s="675">
        <f t="shared" si="57"/>
        <v>0</v>
      </c>
      <c r="P498" s="675">
        <f t="shared" si="58"/>
        <v>0</v>
      </c>
      <c r="Q498" s="671">
        <f t="shared" si="60"/>
        <v>0</v>
      </c>
      <c r="R498" s="683">
        <f t="shared" si="59"/>
        <v>2557.9499999999998</v>
      </c>
    </row>
    <row r="499" spans="1:27" ht="12" thickBot="1">
      <c r="A499" s="197" t="s">
        <v>1221</v>
      </c>
      <c r="B499" s="192" t="s">
        <v>163</v>
      </c>
      <c r="C499" s="309" t="s">
        <v>659</v>
      </c>
      <c r="D499" s="205"/>
      <c r="E499" s="307">
        <v>18</v>
      </c>
      <c r="F499" s="307">
        <v>710</v>
      </c>
      <c r="G499" s="308">
        <v>428.94</v>
      </c>
      <c r="H499" s="308">
        <v>0</v>
      </c>
      <c r="I499" s="308">
        <v>0</v>
      </c>
      <c r="J499" s="307">
        <v>18</v>
      </c>
      <c r="K499" s="307">
        <v>710</v>
      </c>
      <c r="L499" s="308">
        <v>428.94</v>
      </c>
      <c r="M499" s="308">
        <v>0</v>
      </c>
      <c r="N499" s="308">
        <v>0</v>
      </c>
      <c r="O499" s="675">
        <f t="shared" si="57"/>
        <v>0</v>
      </c>
      <c r="P499" s="675">
        <f t="shared" si="58"/>
        <v>0</v>
      </c>
      <c r="Q499" s="671">
        <f t="shared" si="60"/>
        <v>0</v>
      </c>
      <c r="R499" s="683">
        <f t="shared" si="59"/>
        <v>428.94</v>
      </c>
    </row>
    <row r="500" spans="1:27" ht="12" thickBot="1">
      <c r="A500" s="197" t="s">
        <v>1221</v>
      </c>
      <c r="B500" s="192" t="s">
        <v>163</v>
      </c>
      <c r="C500" s="147" t="s">
        <v>399</v>
      </c>
      <c r="D500" s="205"/>
      <c r="E500" s="307">
        <v>4</v>
      </c>
      <c r="F500" s="307">
        <v>367</v>
      </c>
      <c r="G500" s="308">
        <v>81.84</v>
      </c>
      <c r="H500" s="308">
        <v>0</v>
      </c>
      <c r="I500" s="308">
        <v>0</v>
      </c>
      <c r="J500" s="307">
        <v>4</v>
      </c>
      <c r="K500" s="307">
        <v>367</v>
      </c>
      <c r="L500" s="308">
        <v>81.84</v>
      </c>
      <c r="M500" s="308">
        <v>0</v>
      </c>
      <c r="N500" s="308">
        <v>0</v>
      </c>
      <c r="O500" s="675">
        <f t="shared" si="57"/>
        <v>0</v>
      </c>
      <c r="P500" s="675">
        <f t="shared" si="58"/>
        <v>0</v>
      </c>
      <c r="Q500" s="671">
        <f t="shared" si="60"/>
        <v>0</v>
      </c>
      <c r="R500" s="683">
        <f t="shared" si="59"/>
        <v>81.84</v>
      </c>
    </row>
    <row r="501" spans="1:27" ht="12" thickBot="1">
      <c r="A501" s="197" t="s">
        <v>1221</v>
      </c>
      <c r="B501" s="192" t="s">
        <v>163</v>
      </c>
      <c r="C501" s="147" t="s">
        <v>372</v>
      </c>
      <c r="D501" s="205"/>
      <c r="E501" s="307">
        <v>44</v>
      </c>
      <c r="F501" s="307">
        <v>4078</v>
      </c>
      <c r="G501" s="308">
        <v>1329.24</v>
      </c>
      <c r="H501" s="308">
        <v>0</v>
      </c>
      <c r="I501" s="308">
        <v>0</v>
      </c>
      <c r="J501" s="307">
        <v>44</v>
      </c>
      <c r="K501" s="307">
        <v>4078</v>
      </c>
      <c r="L501" s="308">
        <v>1329.24</v>
      </c>
      <c r="M501" s="308">
        <v>0</v>
      </c>
      <c r="N501" s="308">
        <v>0</v>
      </c>
      <c r="O501" s="675">
        <f t="shared" si="57"/>
        <v>0</v>
      </c>
      <c r="P501" s="675">
        <f t="shared" si="58"/>
        <v>0</v>
      </c>
      <c r="Q501" s="671">
        <f t="shared" si="60"/>
        <v>0</v>
      </c>
      <c r="R501" s="683">
        <f t="shared" si="59"/>
        <v>1329.24</v>
      </c>
    </row>
    <row r="502" spans="1:27" ht="12" thickBot="1">
      <c r="A502" s="197" t="s">
        <v>1221</v>
      </c>
      <c r="B502" s="192" t="s">
        <v>163</v>
      </c>
      <c r="C502" s="147" t="s">
        <v>373</v>
      </c>
      <c r="D502" s="205"/>
      <c r="E502" s="307">
        <v>2</v>
      </c>
      <c r="F502" s="307">
        <v>599</v>
      </c>
      <c r="G502" s="308">
        <v>85.12</v>
      </c>
      <c r="H502" s="308">
        <v>0</v>
      </c>
      <c r="I502" s="308">
        <v>0</v>
      </c>
      <c r="J502" s="307">
        <v>2</v>
      </c>
      <c r="K502" s="307">
        <v>599</v>
      </c>
      <c r="L502" s="308">
        <v>85.12</v>
      </c>
      <c r="M502" s="308">
        <v>0</v>
      </c>
      <c r="N502" s="308">
        <v>0</v>
      </c>
      <c r="O502" s="675">
        <f t="shared" si="57"/>
        <v>0</v>
      </c>
      <c r="P502" s="675">
        <f t="shared" si="58"/>
        <v>0</v>
      </c>
      <c r="Q502" s="671">
        <f t="shared" si="60"/>
        <v>0</v>
      </c>
      <c r="R502" s="683">
        <f t="shared" si="59"/>
        <v>85.12</v>
      </c>
    </row>
    <row r="503" spans="1:27" ht="12" thickBot="1">
      <c r="A503" s="197" t="s">
        <v>1221</v>
      </c>
      <c r="B503" s="192" t="s">
        <v>163</v>
      </c>
      <c r="C503" s="147" t="s">
        <v>374</v>
      </c>
      <c r="D503" s="205"/>
      <c r="E503" s="307">
        <v>13</v>
      </c>
      <c r="F503" s="307">
        <v>3900</v>
      </c>
      <c r="G503" s="308">
        <v>680.03</v>
      </c>
      <c r="H503" s="308">
        <v>0</v>
      </c>
      <c r="I503" s="308">
        <v>0</v>
      </c>
      <c r="J503" s="307">
        <v>13</v>
      </c>
      <c r="K503" s="307">
        <v>3900</v>
      </c>
      <c r="L503" s="308">
        <v>680.03</v>
      </c>
      <c r="M503" s="308">
        <v>0</v>
      </c>
      <c r="N503" s="308">
        <v>0</v>
      </c>
      <c r="O503" s="675">
        <f t="shared" si="57"/>
        <v>0</v>
      </c>
      <c r="P503" s="675">
        <f t="shared" si="58"/>
        <v>0</v>
      </c>
      <c r="Q503" s="671">
        <f t="shared" si="60"/>
        <v>0</v>
      </c>
      <c r="R503" s="683">
        <f t="shared" si="59"/>
        <v>680.03</v>
      </c>
    </row>
    <row r="504" spans="1:27" ht="12" thickBot="1">
      <c r="A504" s="197" t="s">
        <v>1221</v>
      </c>
      <c r="B504" s="192" t="s">
        <v>163</v>
      </c>
      <c r="C504" s="199" t="s">
        <v>7</v>
      </c>
      <c r="D504" s="208"/>
      <c r="E504" s="252">
        <f t="shared" ref="E504:P504" si="61">SUM(E435:E503)</f>
        <v>87905</v>
      </c>
      <c r="F504" s="252">
        <f t="shared" si="61"/>
        <v>6837738</v>
      </c>
      <c r="G504" s="253">
        <f t="shared" si="61"/>
        <v>1519863.5800000003</v>
      </c>
      <c r="H504" s="253">
        <f t="shared" si="61"/>
        <v>27845.410000000003</v>
      </c>
      <c r="I504" s="253">
        <f t="shared" si="61"/>
        <v>-4831.739999999998</v>
      </c>
      <c r="J504" s="252">
        <f t="shared" si="61"/>
        <v>85977</v>
      </c>
      <c r="K504" s="252">
        <f t="shared" si="61"/>
        <v>6696007</v>
      </c>
      <c r="L504" s="253">
        <f t="shared" si="61"/>
        <v>1486361.2700000003</v>
      </c>
      <c r="M504" s="253">
        <f t="shared" si="61"/>
        <v>-3907.8699999999972</v>
      </c>
      <c r="N504" s="253">
        <f t="shared" si="61"/>
        <v>27845.410000000003</v>
      </c>
      <c r="O504" s="252">
        <f t="shared" si="61"/>
        <v>-1928</v>
      </c>
      <c r="P504" s="252">
        <f t="shared" si="61"/>
        <v>-141731</v>
      </c>
      <c r="Q504" s="671">
        <f t="shared" si="60"/>
        <v>32578.440000000177</v>
      </c>
      <c r="R504" s="253">
        <f>SUM(R435:R503)</f>
        <v>1542877.2500000002</v>
      </c>
    </row>
    <row r="505" spans="1:27" ht="12" thickBot="1">
      <c r="A505" s="202"/>
      <c r="B505" s="202"/>
      <c r="C505" s="200" t="s">
        <v>1040</v>
      </c>
      <c r="D505" s="201"/>
      <c r="E505" s="194" t="s">
        <v>1012</v>
      </c>
      <c r="F505" s="203" t="s">
        <v>874</v>
      </c>
      <c r="G505" s="194" t="s">
        <v>1013</v>
      </c>
      <c r="H505" s="194" t="s">
        <v>1014</v>
      </c>
      <c r="I505" s="194" t="s">
        <v>1015</v>
      </c>
      <c r="J505" s="194" t="s">
        <v>1016</v>
      </c>
      <c r="K505" s="194" t="s">
        <v>1026</v>
      </c>
      <c r="L505" s="194" t="s">
        <v>1017</v>
      </c>
      <c r="M505" s="194" t="s">
        <v>1018</v>
      </c>
      <c r="N505" s="194" t="s">
        <v>1019</v>
      </c>
      <c r="O505" s="674" t="s">
        <v>1020</v>
      </c>
      <c r="P505" s="674" t="s">
        <v>1027</v>
      </c>
      <c r="Q505" s="671">
        <f t="shared" si="60"/>
        <v>0</v>
      </c>
      <c r="R505" s="674" t="s">
        <v>1022</v>
      </c>
    </row>
    <row r="506" spans="1:27" ht="12" thickBot="1">
      <c r="A506" s="197" t="s">
        <v>1222</v>
      </c>
      <c r="B506" s="147" t="s">
        <v>379</v>
      </c>
      <c r="C506" s="147" t="s">
        <v>379</v>
      </c>
      <c r="D506" s="205"/>
      <c r="E506" s="307">
        <v>77</v>
      </c>
      <c r="F506" s="307">
        <v>2606</v>
      </c>
      <c r="G506" s="308">
        <v>626.78</v>
      </c>
      <c r="H506" s="308">
        <v>32.96</v>
      </c>
      <c r="I506" s="308">
        <v>0</v>
      </c>
      <c r="J506" s="307">
        <v>77</v>
      </c>
      <c r="K506" s="307">
        <v>2606</v>
      </c>
      <c r="L506" s="308">
        <v>626.78</v>
      </c>
      <c r="M506" s="308">
        <v>0</v>
      </c>
      <c r="N506" s="308">
        <v>32.96</v>
      </c>
      <c r="O506" s="675">
        <f>J506-E506</f>
        <v>0</v>
      </c>
      <c r="P506" s="675">
        <f>K506-F506</f>
        <v>0</v>
      </c>
      <c r="Q506" s="671">
        <f t="shared" si="60"/>
        <v>0</v>
      </c>
      <c r="R506" s="683">
        <f t="shared" ref="R506:R561" si="62">SUM(G506:I506)</f>
        <v>659.74</v>
      </c>
      <c r="W506" s="686"/>
      <c r="X506" s="686"/>
      <c r="Y506" s="686"/>
      <c r="Z506" s="686"/>
      <c r="AA506" s="686"/>
    </row>
    <row r="507" spans="1:27" ht="12" thickBot="1">
      <c r="A507" s="197" t="s">
        <v>1222</v>
      </c>
      <c r="B507" s="147" t="s">
        <v>241</v>
      </c>
      <c r="C507" s="147" t="s">
        <v>241</v>
      </c>
      <c r="D507" s="205"/>
      <c r="E507" s="307">
        <v>3731</v>
      </c>
      <c r="F507" s="307">
        <v>303212</v>
      </c>
      <c r="G507" s="308">
        <v>40891.760000000002</v>
      </c>
      <c r="H507" s="308">
        <v>504.77</v>
      </c>
      <c r="I507" s="308">
        <v>-136.26000000000295</v>
      </c>
      <c r="J507" s="307">
        <v>3731</v>
      </c>
      <c r="K507" s="307">
        <v>303212</v>
      </c>
      <c r="L507" s="308">
        <v>40891.760000000002</v>
      </c>
      <c r="M507" s="308">
        <v>-136.26000000000295</v>
      </c>
      <c r="N507" s="308">
        <v>504.77</v>
      </c>
      <c r="O507" s="675">
        <f t="shared" ref="O507:O561" si="63">J507-E507</f>
        <v>0</v>
      </c>
      <c r="P507" s="675">
        <f t="shared" ref="P507:P561" si="64">K507-F507</f>
        <v>0</v>
      </c>
      <c r="Q507" s="671">
        <f t="shared" si="60"/>
        <v>0</v>
      </c>
      <c r="R507" s="683">
        <f t="shared" si="62"/>
        <v>41260.269999999997</v>
      </c>
      <c r="W507" s="686"/>
      <c r="X507" s="686"/>
      <c r="Y507" s="686"/>
      <c r="Z507" s="686"/>
      <c r="AA507" s="686"/>
    </row>
    <row r="508" spans="1:27" ht="12" thickBot="1">
      <c r="A508" s="197" t="s">
        <v>1222</v>
      </c>
      <c r="B508" s="147" t="s">
        <v>242</v>
      </c>
      <c r="C508" s="147" t="s">
        <v>242</v>
      </c>
      <c r="D508" s="205"/>
      <c r="E508" s="307">
        <v>3757</v>
      </c>
      <c r="F508" s="307">
        <v>478369</v>
      </c>
      <c r="G508" s="308">
        <v>50757.07</v>
      </c>
      <c r="H508" s="308">
        <v>775.55000000000007</v>
      </c>
      <c r="I508" s="308">
        <v>-111.70999999999941</v>
      </c>
      <c r="J508" s="307">
        <v>3757</v>
      </c>
      <c r="K508" s="307">
        <v>478369</v>
      </c>
      <c r="L508" s="308">
        <v>50757.07</v>
      </c>
      <c r="M508" s="308">
        <v>-111.70999999999941</v>
      </c>
      <c r="N508" s="308">
        <v>775.55000000000007</v>
      </c>
      <c r="O508" s="675">
        <f t="shared" si="63"/>
        <v>0</v>
      </c>
      <c r="P508" s="675">
        <f t="shared" si="64"/>
        <v>0</v>
      </c>
      <c r="Q508" s="671">
        <f t="shared" si="60"/>
        <v>0</v>
      </c>
      <c r="R508" s="683">
        <f t="shared" si="62"/>
        <v>51420.91</v>
      </c>
      <c r="W508" s="686"/>
      <c r="X508" s="686"/>
      <c r="Y508" s="686"/>
      <c r="Z508" s="686"/>
      <c r="AA508" s="686"/>
    </row>
    <row r="509" spans="1:27" ht="12" thickBot="1">
      <c r="A509" s="197" t="s">
        <v>1222</v>
      </c>
      <c r="B509" s="147" t="s">
        <v>243</v>
      </c>
      <c r="C509" s="147" t="s">
        <v>243</v>
      </c>
      <c r="D509" s="205"/>
      <c r="E509" s="307">
        <v>94</v>
      </c>
      <c r="F509" s="307">
        <v>3101</v>
      </c>
      <c r="G509" s="308">
        <v>1170.3</v>
      </c>
      <c r="H509" s="308">
        <v>0</v>
      </c>
      <c r="I509" s="308">
        <v>-3.8599999999999</v>
      </c>
      <c r="J509" s="307">
        <v>94</v>
      </c>
      <c r="K509" s="307">
        <v>3101</v>
      </c>
      <c r="L509" s="308">
        <v>1170.3</v>
      </c>
      <c r="M509" s="308">
        <v>-3.8599999999999</v>
      </c>
      <c r="N509" s="308">
        <v>0</v>
      </c>
      <c r="O509" s="675">
        <f t="shared" si="63"/>
        <v>0</v>
      </c>
      <c r="P509" s="675">
        <f t="shared" si="64"/>
        <v>0</v>
      </c>
      <c r="Q509" s="671">
        <f t="shared" si="60"/>
        <v>0</v>
      </c>
      <c r="R509" s="683">
        <f t="shared" si="62"/>
        <v>1166.44</v>
      </c>
      <c r="W509" s="686"/>
      <c r="X509" s="686"/>
      <c r="Y509" s="686"/>
      <c r="Z509" s="686"/>
      <c r="AA509" s="686"/>
    </row>
    <row r="510" spans="1:27" ht="12" thickBot="1">
      <c r="A510" s="197" t="s">
        <v>1222</v>
      </c>
      <c r="B510" s="147" t="s">
        <v>244</v>
      </c>
      <c r="C510" s="147" t="s">
        <v>244</v>
      </c>
      <c r="D510" s="205"/>
      <c r="E510" s="307">
        <v>744</v>
      </c>
      <c r="F510" s="307">
        <v>92271</v>
      </c>
      <c r="G510" s="308">
        <v>11561.76</v>
      </c>
      <c r="H510" s="308">
        <v>556.7299999999999</v>
      </c>
      <c r="I510" s="308">
        <v>-19.010000000000442</v>
      </c>
      <c r="J510" s="307">
        <v>754</v>
      </c>
      <c r="K510" s="307">
        <v>93814</v>
      </c>
      <c r="L510" s="308">
        <v>11717.159999999996</v>
      </c>
      <c r="M510" s="308">
        <v>-22.270000000000437</v>
      </c>
      <c r="N510" s="308">
        <v>556.7299999999999</v>
      </c>
      <c r="O510" s="675">
        <f t="shared" si="63"/>
        <v>10</v>
      </c>
      <c r="P510" s="675">
        <f t="shared" si="64"/>
        <v>1543</v>
      </c>
      <c r="Q510" s="671">
        <f t="shared" si="60"/>
        <v>-152.13999999999578</v>
      </c>
      <c r="R510" s="683">
        <f t="shared" si="62"/>
        <v>12099.48</v>
      </c>
      <c r="W510" s="686"/>
      <c r="X510" s="686"/>
      <c r="Y510" s="686"/>
      <c r="Z510" s="686"/>
      <c r="AA510" s="686"/>
    </row>
    <row r="511" spans="1:27" ht="12" thickBot="1">
      <c r="A511" s="197" t="s">
        <v>1222</v>
      </c>
      <c r="B511" s="147" t="s">
        <v>245</v>
      </c>
      <c r="C511" s="147" t="s">
        <v>245</v>
      </c>
      <c r="D511" s="205"/>
      <c r="E511" s="307">
        <v>1421</v>
      </c>
      <c r="F511" s="307">
        <v>82035</v>
      </c>
      <c r="G511" s="308">
        <v>20235.04</v>
      </c>
      <c r="H511" s="308">
        <v>0</v>
      </c>
      <c r="I511" s="308">
        <v>0</v>
      </c>
      <c r="J511" s="307">
        <v>1421</v>
      </c>
      <c r="K511" s="307">
        <v>82035</v>
      </c>
      <c r="L511" s="308">
        <v>20235.04</v>
      </c>
      <c r="M511" s="308">
        <v>0</v>
      </c>
      <c r="N511" s="308">
        <v>0</v>
      </c>
      <c r="O511" s="675">
        <f t="shared" si="63"/>
        <v>0</v>
      </c>
      <c r="P511" s="675">
        <f t="shared" si="64"/>
        <v>0</v>
      </c>
      <c r="Q511" s="671">
        <f t="shared" si="60"/>
        <v>0</v>
      </c>
      <c r="R511" s="683">
        <f t="shared" si="62"/>
        <v>20235.04</v>
      </c>
      <c r="W511" s="686"/>
      <c r="X511" s="686"/>
      <c r="Y511" s="686"/>
      <c r="Z511" s="686"/>
      <c r="AA511" s="686"/>
    </row>
    <row r="512" spans="1:27" ht="12" thickBot="1">
      <c r="A512" s="197" t="s">
        <v>1222</v>
      </c>
      <c r="B512" s="147" t="s">
        <v>381</v>
      </c>
      <c r="C512" s="147" t="s">
        <v>381</v>
      </c>
      <c r="D512" s="205"/>
      <c r="E512" s="307">
        <v>43</v>
      </c>
      <c r="F512" s="307">
        <v>12804</v>
      </c>
      <c r="G512" s="308">
        <v>1190.67</v>
      </c>
      <c r="H512" s="308">
        <v>49.440000000000005</v>
      </c>
      <c r="I512" s="308">
        <v>0</v>
      </c>
      <c r="J512" s="307">
        <v>43</v>
      </c>
      <c r="K512" s="307">
        <v>12804</v>
      </c>
      <c r="L512" s="308">
        <v>1190.67</v>
      </c>
      <c r="M512" s="308">
        <v>0</v>
      </c>
      <c r="N512" s="308">
        <v>49.440000000000005</v>
      </c>
      <c r="O512" s="675">
        <f t="shared" si="63"/>
        <v>0</v>
      </c>
      <c r="P512" s="675">
        <f t="shared" si="64"/>
        <v>0</v>
      </c>
      <c r="Q512" s="671">
        <f t="shared" si="60"/>
        <v>0</v>
      </c>
      <c r="R512" s="683">
        <f t="shared" si="62"/>
        <v>1240.1100000000001</v>
      </c>
      <c r="W512" s="686"/>
      <c r="X512" s="686"/>
      <c r="Y512" s="686"/>
      <c r="Z512" s="686"/>
      <c r="AA512" s="686"/>
    </row>
    <row r="513" spans="1:27" ht="12" thickBot="1">
      <c r="A513" s="197" t="s">
        <v>1222</v>
      </c>
      <c r="B513" s="309" t="s">
        <v>246</v>
      </c>
      <c r="C513" s="309" t="s">
        <v>246</v>
      </c>
      <c r="D513" s="205"/>
      <c r="E513" s="307">
        <v>333</v>
      </c>
      <c r="F513" s="307">
        <v>96959</v>
      </c>
      <c r="G513" s="308">
        <v>9620.3700000000008</v>
      </c>
      <c r="H513" s="308">
        <v>208.06</v>
      </c>
      <c r="I513" s="308">
        <v>0.33999999999950603</v>
      </c>
      <c r="J513" s="307">
        <v>353</v>
      </c>
      <c r="K513" s="307">
        <v>104341</v>
      </c>
      <c r="L513" s="308">
        <v>10198.169999999998</v>
      </c>
      <c r="M513" s="308">
        <v>-13.940000000000509</v>
      </c>
      <c r="N513" s="308">
        <v>208.06</v>
      </c>
      <c r="O513" s="675">
        <f t="shared" si="63"/>
        <v>20</v>
      </c>
      <c r="P513" s="675">
        <f t="shared" si="64"/>
        <v>7382</v>
      </c>
      <c r="Q513" s="671">
        <f t="shared" si="60"/>
        <v>-563.5199999999968</v>
      </c>
      <c r="R513" s="683">
        <f t="shared" si="62"/>
        <v>9828.77</v>
      </c>
      <c r="W513" s="686"/>
      <c r="X513" s="686"/>
      <c r="Y513" s="686"/>
      <c r="Z513" s="686"/>
      <c r="AA513" s="686"/>
    </row>
    <row r="514" spans="1:27" ht="12" thickBot="1">
      <c r="A514" s="197" t="s">
        <v>1222</v>
      </c>
      <c r="B514" s="147" t="s">
        <v>252</v>
      </c>
      <c r="C514" s="147" t="s">
        <v>252</v>
      </c>
      <c r="D514" s="205"/>
      <c r="E514" s="307">
        <v>3993</v>
      </c>
      <c r="F514" s="307">
        <v>228038</v>
      </c>
      <c r="G514" s="308">
        <v>38213.01</v>
      </c>
      <c r="H514" s="308">
        <v>1538.8899999999999</v>
      </c>
      <c r="I514" s="308">
        <v>-161.04999999999885</v>
      </c>
      <c r="J514" s="307">
        <v>3998</v>
      </c>
      <c r="K514" s="307">
        <v>228156</v>
      </c>
      <c r="L514" s="308">
        <v>38260.86</v>
      </c>
      <c r="M514" s="308">
        <v>-195.81999999999883</v>
      </c>
      <c r="N514" s="308">
        <v>1538.8899999999999</v>
      </c>
      <c r="O514" s="675">
        <f t="shared" si="63"/>
        <v>5</v>
      </c>
      <c r="P514" s="675">
        <f t="shared" si="64"/>
        <v>118</v>
      </c>
      <c r="Q514" s="671">
        <f t="shared" si="60"/>
        <v>-13.07999999999447</v>
      </c>
      <c r="R514" s="683">
        <f t="shared" si="62"/>
        <v>39590.850000000006</v>
      </c>
      <c r="W514" s="686"/>
      <c r="X514" s="686"/>
      <c r="Y514" s="686"/>
      <c r="Z514" s="686"/>
      <c r="AA514" s="686"/>
    </row>
    <row r="515" spans="1:27" ht="12" thickBot="1">
      <c r="A515" s="197" t="s">
        <v>1222</v>
      </c>
      <c r="B515" s="147" t="s">
        <v>263</v>
      </c>
      <c r="C515" s="147" t="s">
        <v>263</v>
      </c>
      <c r="D515" s="205"/>
      <c r="E515" s="307">
        <v>2066</v>
      </c>
      <c r="F515" s="307">
        <v>177333</v>
      </c>
      <c r="G515" s="308">
        <v>56484.44</v>
      </c>
      <c r="H515" s="308">
        <v>0</v>
      </c>
      <c r="I515" s="308">
        <v>-123.94000000000058</v>
      </c>
      <c r="J515" s="307">
        <v>2066</v>
      </c>
      <c r="K515" s="307">
        <v>177333</v>
      </c>
      <c r="L515" s="308">
        <v>56484.44</v>
      </c>
      <c r="M515" s="308">
        <v>-123.94000000000058</v>
      </c>
      <c r="N515" s="308">
        <v>0</v>
      </c>
      <c r="O515" s="675">
        <f t="shared" si="63"/>
        <v>0</v>
      </c>
      <c r="P515" s="675">
        <f t="shared" si="64"/>
        <v>0</v>
      </c>
      <c r="Q515" s="671">
        <f t="shared" si="60"/>
        <v>0</v>
      </c>
      <c r="R515" s="683">
        <f t="shared" si="62"/>
        <v>56360.5</v>
      </c>
      <c r="W515" s="686"/>
      <c r="X515" s="686"/>
      <c r="Y515" s="686"/>
      <c r="Z515" s="686"/>
      <c r="AA515" s="686"/>
    </row>
    <row r="516" spans="1:27" ht="12" thickBot="1">
      <c r="A516" s="197" t="s">
        <v>1222</v>
      </c>
      <c r="B516" s="147" t="s">
        <v>264</v>
      </c>
      <c r="C516" s="147" t="s">
        <v>264</v>
      </c>
      <c r="D516" s="205"/>
      <c r="E516" s="307">
        <v>2318</v>
      </c>
      <c r="F516" s="307">
        <v>314860</v>
      </c>
      <c r="G516" s="308">
        <v>72785.2</v>
      </c>
      <c r="H516" s="308">
        <v>0</v>
      </c>
      <c r="I516" s="308">
        <v>-100.47999999999593</v>
      </c>
      <c r="J516" s="307">
        <v>2318</v>
      </c>
      <c r="K516" s="307">
        <v>314860</v>
      </c>
      <c r="L516" s="308">
        <v>72785.2</v>
      </c>
      <c r="M516" s="308">
        <v>-100.47999999999593</v>
      </c>
      <c r="N516" s="308">
        <v>0</v>
      </c>
      <c r="O516" s="675">
        <f t="shared" si="63"/>
        <v>0</v>
      </c>
      <c r="P516" s="675">
        <f t="shared" si="64"/>
        <v>0</v>
      </c>
      <c r="Q516" s="671">
        <f t="shared" si="60"/>
        <v>0</v>
      </c>
      <c r="R516" s="683">
        <f t="shared" si="62"/>
        <v>72684.72</v>
      </c>
      <c r="W516" s="686"/>
      <c r="X516" s="686"/>
      <c r="Y516" s="686"/>
      <c r="Z516" s="686"/>
      <c r="AA516" s="686"/>
    </row>
    <row r="517" spans="1:27" ht="12" thickBot="1">
      <c r="A517" s="197" t="s">
        <v>1222</v>
      </c>
      <c r="B517" s="147" t="s">
        <v>267</v>
      </c>
      <c r="C517" s="147" t="s">
        <v>267</v>
      </c>
      <c r="D517" s="205"/>
      <c r="E517" s="307">
        <v>17140</v>
      </c>
      <c r="F517" s="307">
        <v>683445</v>
      </c>
      <c r="G517" s="308">
        <v>294636.60000000003</v>
      </c>
      <c r="H517" s="308">
        <v>13.370000000000001</v>
      </c>
      <c r="I517" s="308">
        <v>-106.00000000003729</v>
      </c>
      <c r="J517" s="307">
        <v>17140</v>
      </c>
      <c r="K517" s="307">
        <v>683445</v>
      </c>
      <c r="L517" s="308">
        <v>294636.60000000003</v>
      </c>
      <c r="M517" s="308">
        <v>-106.00000000003729</v>
      </c>
      <c r="N517" s="308">
        <v>13.370000000000001</v>
      </c>
      <c r="O517" s="675">
        <f t="shared" si="63"/>
        <v>0</v>
      </c>
      <c r="P517" s="675">
        <f t="shared" si="64"/>
        <v>0</v>
      </c>
      <c r="Q517" s="671">
        <f t="shared" si="60"/>
        <v>0</v>
      </c>
      <c r="R517" s="683">
        <f t="shared" si="62"/>
        <v>294543.96999999997</v>
      </c>
      <c r="W517" s="686"/>
      <c r="X517" s="686"/>
      <c r="Y517" s="686"/>
      <c r="Z517" s="686"/>
      <c r="AA517" s="686"/>
    </row>
    <row r="518" spans="1:27" ht="12" thickBot="1">
      <c r="A518" s="197" t="s">
        <v>1222</v>
      </c>
      <c r="B518" s="147" t="s">
        <v>392</v>
      </c>
      <c r="C518" s="147" t="s">
        <v>392</v>
      </c>
      <c r="D518" s="205"/>
      <c r="E518" s="307">
        <v>529</v>
      </c>
      <c r="F518" s="307">
        <v>28377</v>
      </c>
      <c r="G518" s="308">
        <v>13166.810000000001</v>
      </c>
      <c r="H518" s="308">
        <v>0</v>
      </c>
      <c r="I518" s="308">
        <v>0</v>
      </c>
      <c r="J518" s="307">
        <v>529</v>
      </c>
      <c r="K518" s="307">
        <v>28377</v>
      </c>
      <c r="L518" s="308">
        <v>13166.810000000001</v>
      </c>
      <c r="M518" s="308">
        <v>0</v>
      </c>
      <c r="N518" s="308">
        <v>0</v>
      </c>
      <c r="O518" s="675">
        <f t="shared" si="63"/>
        <v>0</v>
      </c>
      <c r="P518" s="675">
        <f t="shared" si="64"/>
        <v>0</v>
      </c>
      <c r="Q518" s="671">
        <f t="shared" si="60"/>
        <v>0</v>
      </c>
      <c r="R518" s="683">
        <f t="shared" si="62"/>
        <v>13166.810000000001</v>
      </c>
      <c r="W518" s="686"/>
      <c r="X518" s="686"/>
      <c r="Y518" s="686"/>
      <c r="Z518" s="686"/>
      <c r="AA518" s="686"/>
    </row>
    <row r="519" spans="1:27" ht="12" thickBot="1">
      <c r="A519" s="197" t="s">
        <v>1222</v>
      </c>
      <c r="B519" s="147" t="s">
        <v>268</v>
      </c>
      <c r="C519" s="147" t="s">
        <v>268</v>
      </c>
      <c r="D519" s="205"/>
      <c r="E519" s="307">
        <v>1316</v>
      </c>
      <c r="F519" s="307">
        <v>39265</v>
      </c>
      <c r="G519" s="308">
        <v>18647.72</v>
      </c>
      <c r="H519" s="308">
        <v>0</v>
      </c>
      <c r="I519" s="308">
        <v>-58.250000000001307</v>
      </c>
      <c r="J519" s="307">
        <v>1336</v>
      </c>
      <c r="K519" s="307">
        <v>40001</v>
      </c>
      <c r="L519" s="308">
        <v>18931.12</v>
      </c>
      <c r="M519" s="308">
        <v>-62.81000000000131</v>
      </c>
      <c r="N519" s="308">
        <v>0</v>
      </c>
      <c r="O519" s="675">
        <f t="shared" si="63"/>
        <v>20</v>
      </c>
      <c r="P519" s="675">
        <f t="shared" si="64"/>
        <v>736</v>
      </c>
      <c r="Q519" s="671">
        <f t="shared" si="60"/>
        <v>-278.83999999999651</v>
      </c>
      <c r="R519" s="683">
        <f t="shared" si="62"/>
        <v>18589.47</v>
      </c>
      <c r="W519" s="686"/>
      <c r="X519" s="686"/>
      <c r="Y519" s="686"/>
      <c r="Z519" s="686"/>
      <c r="AA519" s="686"/>
    </row>
    <row r="520" spans="1:27" ht="12" thickBot="1">
      <c r="A520" s="197" t="s">
        <v>1222</v>
      </c>
      <c r="B520" s="147" t="s">
        <v>269</v>
      </c>
      <c r="C520" s="147" t="s">
        <v>269</v>
      </c>
      <c r="D520" s="205"/>
      <c r="E520" s="307">
        <v>2298</v>
      </c>
      <c r="F520" s="307">
        <v>126370</v>
      </c>
      <c r="G520" s="308">
        <v>50900.700000000004</v>
      </c>
      <c r="H520" s="308">
        <v>59.120000000000005</v>
      </c>
      <c r="I520" s="308">
        <v>5.3099999999979559</v>
      </c>
      <c r="J520" s="307">
        <v>2298</v>
      </c>
      <c r="K520" s="307">
        <v>126370</v>
      </c>
      <c r="L520" s="308">
        <v>50900.700000000004</v>
      </c>
      <c r="M520" s="308">
        <v>5.3099999999979559</v>
      </c>
      <c r="N520" s="308">
        <v>59.120000000000005</v>
      </c>
      <c r="O520" s="675">
        <f t="shared" si="63"/>
        <v>0</v>
      </c>
      <c r="P520" s="675">
        <f t="shared" si="64"/>
        <v>0</v>
      </c>
      <c r="Q520" s="671">
        <f t="shared" si="60"/>
        <v>0</v>
      </c>
      <c r="R520" s="683">
        <f t="shared" si="62"/>
        <v>50965.130000000005</v>
      </c>
      <c r="W520" s="686"/>
      <c r="X520" s="686"/>
      <c r="Y520" s="686"/>
      <c r="Z520" s="686"/>
      <c r="AA520" s="686"/>
    </row>
    <row r="521" spans="1:27" ht="12" thickBot="1">
      <c r="A521" s="197" t="s">
        <v>1222</v>
      </c>
      <c r="B521" s="147" t="s">
        <v>393</v>
      </c>
      <c r="C521" s="147" t="s">
        <v>393</v>
      </c>
      <c r="D521" s="205"/>
      <c r="E521" s="307">
        <v>17</v>
      </c>
      <c r="F521" s="307">
        <v>5023</v>
      </c>
      <c r="G521" s="308">
        <v>1233.3499999999999</v>
      </c>
      <c r="H521" s="308">
        <v>0</v>
      </c>
      <c r="I521" s="308">
        <v>0</v>
      </c>
      <c r="J521" s="307">
        <v>17</v>
      </c>
      <c r="K521" s="307">
        <v>5023</v>
      </c>
      <c r="L521" s="308">
        <v>1233.3499999999999</v>
      </c>
      <c r="M521" s="308">
        <v>0</v>
      </c>
      <c r="N521" s="308">
        <v>0</v>
      </c>
      <c r="O521" s="675">
        <f t="shared" si="63"/>
        <v>0</v>
      </c>
      <c r="P521" s="675">
        <f t="shared" si="64"/>
        <v>0</v>
      </c>
      <c r="Q521" s="671">
        <f t="shared" si="60"/>
        <v>0</v>
      </c>
      <c r="R521" s="683">
        <f t="shared" si="62"/>
        <v>1233.3499999999999</v>
      </c>
      <c r="W521" s="686"/>
      <c r="X521" s="686"/>
      <c r="Y521" s="686"/>
      <c r="Z521" s="686"/>
      <c r="AA521" s="686"/>
    </row>
    <row r="522" spans="1:27" ht="12" thickBot="1">
      <c r="A522" s="197" t="s">
        <v>1222</v>
      </c>
      <c r="B522" s="309" t="s">
        <v>394</v>
      </c>
      <c r="C522" s="309" t="s">
        <v>394</v>
      </c>
      <c r="D522" s="205"/>
      <c r="E522" s="307">
        <v>11</v>
      </c>
      <c r="F522" s="307">
        <v>3271</v>
      </c>
      <c r="G522" s="308">
        <v>455.73</v>
      </c>
      <c r="H522" s="308">
        <v>0</v>
      </c>
      <c r="I522" s="308">
        <v>0</v>
      </c>
      <c r="J522" s="307">
        <v>11</v>
      </c>
      <c r="K522" s="307">
        <v>3271</v>
      </c>
      <c r="L522" s="308">
        <v>455.73</v>
      </c>
      <c r="M522" s="308">
        <v>0</v>
      </c>
      <c r="N522" s="308">
        <v>0</v>
      </c>
      <c r="O522" s="675">
        <f t="shared" si="63"/>
        <v>0</v>
      </c>
      <c r="P522" s="675">
        <f t="shared" si="64"/>
        <v>0</v>
      </c>
      <c r="Q522" s="671">
        <f t="shared" si="60"/>
        <v>0</v>
      </c>
      <c r="R522" s="683">
        <f t="shared" si="62"/>
        <v>455.73</v>
      </c>
      <c r="W522" s="686"/>
      <c r="X522" s="686"/>
      <c r="Y522" s="686"/>
      <c r="Z522" s="686"/>
      <c r="AA522" s="686"/>
    </row>
    <row r="523" spans="1:27" ht="12" thickBot="1">
      <c r="A523" s="197" t="s">
        <v>1222</v>
      </c>
      <c r="B523" s="147" t="s">
        <v>398</v>
      </c>
      <c r="C523" s="147" t="s">
        <v>398</v>
      </c>
      <c r="D523" s="205"/>
      <c r="E523" s="307">
        <v>46</v>
      </c>
      <c r="F523" s="307">
        <v>1334</v>
      </c>
      <c r="G523" s="308">
        <v>891.48</v>
      </c>
      <c r="H523" s="308">
        <v>735.06000000000006</v>
      </c>
      <c r="I523" s="308">
        <v>0</v>
      </c>
      <c r="J523" s="307">
        <v>46</v>
      </c>
      <c r="K523" s="307">
        <v>1334</v>
      </c>
      <c r="L523" s="308">
        <v>891.48</v>
      </c>
      <c r="M523" s="308">
        <v>0</v>
      </c>
      <c r="N523" s="308">
        <v>735.06000000000006</v>
      </c>
      <c r="O523" s="675">
        <f t="shared" si="63"/>
        <v>0</v>
      </c>
      <c r="P523" s="675">
        <f t="shared" si="64"/>
        <v>0</v>
      </c>
      <c r="Q523" s="671">
        <f t="shared" si="60"/>
        <v>0</v>
      </c>
      <c r="R523" s="683">
        <f t="shared" si="62"/>
        <v>1626.54</v>
      </c>
      <c r="W523" s="686"/>
      <c r="X523" s="686"/>
      <c r="Y523" s="686"/>
      <c r="Z523" s="686"/>
      <c r="AA523" s="686"/>
    </row>
    <row r="524" spans="1:27" ht="12" thickBot="1">
      <c r="A524" s="197" t="s">
        <v>1222</v>
      </c>
      <c r="B524" s="147" t="s">
        <v>395</v>
      </c>
      <c r="C524" s="147" t="s">
        <v>395</v>
      </c>
      <c r="D524" s="205"/>
      <c r="E524" s="307">
        <v>245</v>
      </c>
      <c r="F524" s="307">
        <v>9769</v>
      </c>
      <c r="G524" s="308">
        <v>4985.75</v>
      </c>
      <c r="H524" s="308">
        <v>3776.82</v>
      </c>
      <c r="I524" s="308">
        <v>0</v>
      </c>
      <c r="J524" s="307">
        <v>245</v>
      </c>
      <c r="K524" s="307">
        <v>9769</v>
      </c>
      <c r="L524" s="308">
        <v>4985.75</v>
      </c>
      <c r="M524" s="308">
        <v>0</v>
      </c>
      <c r="N524" s="308">
        <v>3776.82</v>
      </c>
      <c r="O524" s="675">
        <f t="shared" si="63"/>
        <v>0</v>
      </c>
      <c r="P524" s="675">
        <f t="shared" si="64"/>
        <v>0</v>
      </c>
      <c r="Q524" s="671">
        <f t="shared" si="60"/>
        <v>0</v>
      </c>
      <c r="R524" s="683">
        <f t="shared" si="62"/>
        <v>8762.57</v>
      </c>
      <c r="W524" s="686"/>
      <c r="X524" s="686"/>
      <c r="Y524" s="686"/>
      <c r="Z524" s="686"/>
      <c r="AA524" s="686"/>
    </row>
    <row r="525" spans="1:27" ht="12" thickBot="1">
      <c r="A525" s="197" t="s">
        <v>1222</v>
      </c>
      <c r="B525" s="147" t="s">
        <v>396</v>
      </c>
      <c r="C525" s="147" t="s">
        <v>396</v>
      </c>
      <c r="D525" s="205"/>
      <c r="E525" s="307">
        <v>106</v>
      </c>
      <c r="F525" s="307">
        <v>3164</v>
      </c>
      <c r="G525" s="308">
        <v>2070.1799999999998</v>
      </c>
      <c r="H525" s="308">
        <v>989.6099999999999</v>
      </c>
      <c r="I525" s="308">
        <v>0</v>
      </c>
      <c r="J525" s="307">
        <v>106</v>
      </c>
      <c r="K525" s="307">
        <v>3164</v>
      </c>
      <c r="L525" s="308">
        <v>2070.1799999999998</v>
      </c>
      <c r="M525" s="308">
        <v>0</v>
      </c>
      <c r="N525" s="308">
        <v>989.6099999999999</v>
      </c>
      <c r="O525" s="675">
        <f t="shared" si="63"/>
        <v>0</v>
      </c>
      <c r="P525" s="675">
        <f t="shared" si="64"/>
        <v>0</v>
      </c>
      <c r="Q525" s="671">
        <f t="shared" si="60"/>
        <v>0</v>
      </c>
      <c r="R525" s="683">
        <f t="shared" si="62"/>
        <v>3059.79</v>
      </c>
      <c r="W525" s="686"/>
      <c r="X525" s="686"/>
      <c r="Y525" s="686"/>
      <c r="Z525" s="686"/>
      <c r="AA525" s="686"/>
    </row>
    <row r="526" spans="1:27" ht="12" thickBot="1">
      <c r="A526" s="197" t="s">
        <v>1222</v>
      </c>
      <c r="B526" s="147" t="s">
        <v>397</v>
      </c>
      <c r="C526" s="147" t="s">
        <v>397</v>
      </c>
      <c r="D526" s="205"/>
      <c r="E526" s="307">
        <v>82</v>
      </c>
      <c r="F526" s="307">
        <v>3306</v>
      </c>
      <c r="G526" s="308">
        <v>1707.24</v>
      </c>
      <c r="H526" s="308">
        <v>1287.7700000000002</v>
      </c>
      <c r="I526" s="308">
        <v>0</v>
      </c>
      <c r="J526" s="307">
        <v>82</v>
      </c>
      <c r="K526" s="307">
        <v>3306</v>
      </c>
      <c r="L526" s="308">
        <v>1707.24</v>
      </c>
      <c r="M526" s="308">
        <v>0</v>
      </c>
      <c r="N526" s="308">
        <v>1287.7700000000002</v>
      </c>
      <c r="O526" s="675">
        <f t="shared" si="63"/>
        <v>0</v>
      </c>
      <c r="P526" s="675">
        <f t="shared" si="64"/>
        <v>0</v>
      </c>
      <c r="Q526" s="671">
        <f t="shared" si="60"/>
        <v>0</v>
      </c>
      <c r="R526" s="683">
        <f t="shared" si="62"/>
        <v>2995.01</v>
      </c>
      <c r="W526" s="686"/>
      <c r="X526" s="686"/>
      <c r="Y526" s="686"/>
      <c r="Z526" s="686"/>
      <c r="AA526" s="686"/>
    </row>
    <row r="527" spans="1:27" ht="12" thickBot="1">
      <c r="A527" s="197" t="s">
        <v>1222</v>
      </c>
      <c r="B527" s="147" t="s">
        <v>287</v>
      </c>
      <c r="C527" s="147" t="s">
        <v>287</v>
      </c>
      <c r="D527" s="205"/>
      <c r="E527" s="307">
        <v>518</v>
      </c>
      <c r="F527" s="307">
        <v>42479</v>
      </c>
      <c r="G527" s="308">
        <v>9945.6</v>
      </c>
      <c r="H527" s="308">
        <v>0</v>
      </c>
      <c r="I527" s="308">
        <v>-43.039999999999054</v>
      </c>
      <c r="J527" s="307">
        <v>518</v>
      </c>
      <c r="K527" s="307">
        <v>42479</v>
      </c>
      <c r="L527" s="308">
        <v>9945.6</v>
      </c>
      <c r="M527" s="308">
        <v>-43.039999999999054</v>
      </c>
      <c r="N527" s="308">
        <v>0</v>
      </c>
      <c r="O527" s="675">
        <f t="shared" si="63"/>
        <v>0</v>
      </c>
      <c r="P527" s="675">
        <f t="shared" si="64"/>
        <v>0</v>
      </c>
      <c r="Q527" s="671">
        <f t="shared" si="60"/>
        <v>0</v>
      </c>
      <c r="R527" s="683">
        <f t="shared" si="62"/>
        <v>9902.5600000000013</v>
      </c>
      <c r="W527" s="686"/>
      <c r="X527" s="686"/>
      <c r="Y527" s="686"/>
      <c r="Z527" s="686"/>
      <c r="AA527" s="686"/>
    </row>
    <row r="528" spans="1:27" ht="12" thickBot="1">
      <c r="A528" s="197" t="s">
        <v>1222</v>
      </c>
      <c r="B528" s="309" t="s">
        <v>288</v>
      </c>
      <c r="C528" s="309" t="s">
        <v>288</v>
      </c>
      <c r="D528" s="205"/>
      <c r="E528" s="307">
        <v>508</v>
      </c>
      <c r="F528" s="307">
        <v>65359</v>
      </c>
      <c r="G528" s="308">
        <v>11658.6</v>
      </c>
      <c r="H528" s="308">
        <v>0</v>
      </c>
      <c r="I528" s="308">
        <v>0</v>
      </c>
      <c r="J528" s="307">
        <v>508</v>
      </c>
      <c r="K528" s="307">
        <v>65359</v>
      </c>
      <c r="L528" s="308">
        <v>11658.6</v>
      </c>
      <c r="M528" s="308">
        <v>0</v>
      </c>
      <c r="N528" s="308">
        <v>0</v>
      </c>
      <c r="O528" s="675">
        <f t="shared" si="63"/>
        <v>0</v>
      </c>
      <c r="P528" s="675">
        <f t="shared" si="64"/>
        <v>0</v>
      </c>
      <c r="Q528" s="671">
        <f t="shared" si="60"/>
        <v>0</v>
      </c>
      <c r="R528" s="683">
        <f t="shared" si="62"/>
        <v>11658.6</v>
      </c>
      <c r="W528" s="686"/>
      <c r="X528" s="686"/>
      <c r="Y528" s="686"/>
      <c r="Z528" s="686"/>
      <c r="AA528" s="686"/>
    </row>
    <row r="529" spans="1:27" ht="12" thickBot="1">
      <c r="A529" s="197" t="s">
        <v>1222</v>
      </c>
      <c r="B529" s="147" t="s">
        <v>291</v>
      </c>
      <c r="C529" s="147" t="s">
        <v>291</v>
      </c>
      <c r="D529" s="205"/>
      <c r="E529" s="307">
        <v>54</v>
      </c>
      <c r="F529" s="307">
        <v>3151</v>
      </c>
      <c r="G529" s="308">
        <v>940.68</v>
      </c>
      <c r="H529" s="308">
        <v>0</v>
      </c>
      <c r="I529" s="308">
        <v>0</v>
      </c>
      <c r="J529" s="307">
        <v>54</v>
      </c>
      <c r="K529" s="307">
        <v>3151</v>
      </c>
      <c r="L529" s="308">
        <v>940.68</v>
      </c>
      <c r="M529" s="308">
        <v>0</v>
      </c>
      <c r="N529" s="308">
        <v>0</v>
      </c>
      <c r="O529" s="675">
        <f t="shared" si="63"/>
        <v>0</v>
      </c>
      <c r="P529" s="675">
        <f t="shared" si="64"/>
        <v>0</v>
      </c>
      <c r="Q529" s="671">
        <f t="shared" si="60"/>
        <v>0</v>
      </c>
      <c r="R529" s="683">
        <f t="shared" si="62"/>
        <v>940.68</v>
      </c>
      <c r="W529" s="686"/>
      <c r="X529" s="686"/>
      <c r="Y529" s="686"/>
      <c r="Z529" s="686"/>
      <c r="AA529" s="686"/>
    </row>
    <row r="530" spans="1:27" ht="12" thickBot="1">
      <c r="A530" s="197" t="s">
        <v>1222</v>
      </c>
      <c r="B530" s="147" t="s">
        <v>297</v>
      </c>
      <c r="C530" s="147" t="s">
        <v>297</v>
      </c>
      <c r="D530" s="205"/>
      <c r="E530" s="307">
        <v>40</v>
      </c>
      <c r="F530" s="307">
        <v>3336</v>
      </c>
      <c r="G530" s="308">
        <v>524.79999999999995</v>
      </c>
      <c r="H530" s="308">
        <v>0</v>
      </c>
      <c r="I530" s="308">
        <v>0</v>
      </c>
      <c r="J530" s="307">
        <v>40</v>
      </c>
      <c r="K530" s="307">
        <v>3336</v>
      </c>
      <c r="L530" s="308">
        <v>524.79999999999995</v>
      </c>
      <c r="M530" s="308">
        <v>0</v>
      </c>
      <c r="N530" s="308">
        <v>0</v>
      </c>
      <c r="O530" s="675">
        <f t="shared" si="63"/>
        <v>0</v>
      </c>
      <c r="P530" s="675">
        <f t="shared" si="64"/>
        <v>0</v>
      </c>
      <c r="Q530" s="671">
        <f t="shared" si="60"/>
        <v>0</v>
      </c>
      <c r="R530" s="683">
        <f t="shared" si="62"/>
        <v>524.79999999999995</v>
      </c>
      <c r="W530" s="686"/>
      <c r="X530" s="686"/>
      <c r="Y530" s="686"/>
      <c r="Z530" s="686"/>
      <c r="AA530" s="686"/>
    </row>
    <row r="531" spans="1:27" ht="12" thickBot="1">
      <c r="A531" s="197" t="s">
        <v>1222</v>
      </c>
      <c r="B531" s="147" t="s">
        <v>299</v>
      </c>
      <c r="C531" s="147" t="s">
        <v>299</v>
      </c>
      <c r="D531" s="205"/>
      <c r="E531" s="307">
        <v>17</v>
      </c>
      <c r="F531" s="307">
        <v>473</v>
      </c>
      <c r="G531" s="308">
        <v>153.34</v>
      </c>
      <c r="H531" s="308">
        <v>0</v>
      </c>
      <c r="I531" s="308">
        <v>0</v>
      </c>
      <c r="J531" s="307">
        <v>17</v>
      </c>
      <c r="K531" s="307">
        <v>473</v>
      </c>
      <c r="L531" s="308">
        <v>153.34</v>
      </c>
      <c r="M531" s="308">
        <v>0</v>
      </c>
      <c r="N531" s="308">
        <v>0</v>
      </c>
      <c r="O531" s="675">
        <f t="shared" si="63"/>
        <v>0</v>
      </c>
      <c r="P531" s="675">
        <f t="shared" si="64"/>
        <v>0</v>
      </c>
      <c r="Q531" s="671">
        <f t="shared" si="60"/>
        <v>0</v>
      </c>
      <c r="R531" s="683">
        <f t="shared" si="62"/>
        <v>153.34</v>
      </c>
      <c r="W531" s="686"/>
      <c r="X531" s="686"/>
      <c r="Y531" s="686"/>
      <c r="Z531" s="686"/>
      <c r="AA531" s="686"/>
    </row>
    <row r="532" spans="1:27" ht="12" thickBot="1">
      <c r="A532" s="197" t="s">
        <v>1222</v>
      </c>
      <c r="B532" s="147" t="s">
        <v>377</v>
      </c>
      <c r="C532" s="147" t="s">
        <v>377</v>
      </c>
      <c r="D532" s="205"/>
      <c r="E532" s="307">
        <v>36</v>
      </c>
      <c r="F532" s="307">
        <v>479</v>
      </c>
      <c r="G532" s="308">
        <v>860.04</v>
      </c>
      <c r="H532" s="308">
        <v>53.4</v>
      </c>
      <c r="I532" s="308">
        <v>0</v>
      </c>
      <c r="J532" s="307">
        <v>36</v>
      </c>
      <c r="K532" s="307">
        <v>479</v>
      </c>
      <c r="L532" s="308">
        <v>860.04</v>
      </c>
      <c r="M532" s="308">
        <v>0</v>
      </c>
      <c r="N532" s="308">
        <v>53.4</v>
      </c>
      <c r="O532" s="675">
        <f t="shared" si="63"/>
        <v>0</v>
      </c>
      <c r="P532" s="675">
        <f t="shared" si="64"/>
        <v>0</v>
      </c>
      <c r="Q532" s="671">
        <f t="shared" si="60"/>
        <v>0</v>
      </c>
      <c r="R532" s="683">
        <f t="shared" si="62"/>
        <v>913.43999999999994</v>
      </c>
      <c r="W532" s="686"/>
      <c r="X532" s="686"/>
      <c r="Y532" s="686"/>
      <c r="Z532" s="686"/>
      <c r="AA532" s="686"/>
    </row>
    <row r="533" spans="1:27" ht="12" thickBot="1">
      <c r="A533" s="197" t="s">
        <v>1222</v>
      </c>
      <c r="B533" s="309" t="s">
        <v>737</v>
      </c>
      <c r="C533" s="309" t="s">
        <v>737</v>
      </c>
      <c r="D533" s="205"/>
      <c r="E533" s="307">
        <v>4</v>
      </c>
      <c r="F533" s="307">
        <v>107</v>
      </c>
      <c r="G533" s="308">
        <v>99.6</v>
      </c>
      <c r="H533" s="308">
        <v>0</v>
      </c>
      <c r="I533" s="308">
        <v>0</v>
      </c>
      <c r="J533" s="307">
        <v>4</v>
      </c>
      <c r="K533" s="307">
        <v>107</v>
      </c>
      <c r="L533" s="308">
        <v>99.6</v>
      </c>
      <c r="M533" s="308">
        <v>0</v>
      </c>
      <c r="N533" s="308">
        <v>0</v>
      </c>
      <c r="O533" s="675">
        <f t="shared" si="63"/>
        <v>0</v>
      </c>
      <c r="P533" s="675">
        <f t="shared" si="64"/>
        <v>0</v>
      </c>
      <c r="Q533" s="671">
        <f t="shared" si="60"/>
        <v>0</v>
      </c>
      <c r="R533" s="683">
        <f t="shared" si="62"/>
        <v>99.6</v>
      </c>
      <c r="W533" s="686"/>
      <c r="X533" s="686"/>
      <c r="Y533" s="686"/>
      <c r="Z533" s="686"/>
      <c r="AA533" s="686"/>
    </row>
    <row r="534" spans="1:27" ht="12" thickBot="1">
      <c r="A534" s="197" t="s">
        <v>1222</v>
      </c>
      <c r="B534" s="147" t="s">
        <v>329</v>
      </c>
      <c r="C534" s="147" t="s">
        <v>329</v>
      </c>
      <c r="D534" s="205"/>
      <c r="E534" s="307">
        <v>244</v>
      </c>
      <c r="F534" s="307">
        <v>5329</v>
      </c>
      <c r="G534" s="308">
        <v>4828.76</v>
      </c>
      <c r="H534" s="308">
        <v>0</v>
      </c>
      <c r="I534" s="308">
        <v>-133.75</v>
      </c>
      <c r="J534" s="307">
        <v>241</v>
      </c>
      <c r="K534" s="307">
        <v>5237</v>
      </c>
      <c r="L534" s="308">
        <v>4769.3899999999994</v>
      </c>
      <c r="M534" s="308">
        <v>-133.75</v>
      </c>
      <c r="N534" s="308">
        <v>0</v>
      </c>
      <c r="O534" s="675">
        <f t="shared" si="63"/>
        <v>-3</v>
      </c>
      <c r="P534" s="675">
        <f t="shared" si="64"/>
        <v>-92</v>
      </c>
      <c r="Q534" s="671">
        <f t="shared" si="60"/>
        <v>59.3700000000008</v>
      </c>
      <c r="R534" s="683">
        <f t="shared" si="62"/>
        <v>4695.01</v>
      </c>
      <c r="W534" s="686"/>
      <c r="X534" s="686"/>
      <c r="Y534" s="686"/>
      <c r="Z534" s="686"/>
      <c r="AA534" s="686"/>
    </row>
    <row r="535" spans="1:27" ht="12" thickBot="1">
      <c r="A535" s="197" t="s">
        <v>1222</v>
      </c>
      <c r="B535" s="147" t="s">
        <v>330</v>
      </c>
      <c r="C535" s="147" t="s">
        <v>330</v>
      </c>
      <c r="D535" s="205"/>
      <c r="E535" s="307">
        <v>2196</v>
      </c>
      <c r="F535" s="307">
        <v>69754</v>
      </c>
      <c r="G535" s="308">
        <v>44996.04</v>
      </c>
      <c r="H535" s="308">
        <v>11.31</v>
      </c>
      <c r="I535" s="308">
        <v>-353.80000000000058</v>
      </c>
      <c r="J535" s="307">
        <v>2196</v>
      </c>
      <c r="K535" s="307">
        <v>69754</v>
      </c>
      <c r="L535" s="308">
        <v>44996.040000000008</v>
      </c>
      <c r="M535" s="308">
        <v>-353.80000000000058</v>
      </c>
      <c r="N535" s="308">
        <v>11.31</v>
      </c>
      <c r="O535" s="675">
        <f t="shared" si="63"/>
        <v>0</v>
      </c>
      <c r="P535" s="675">
        <f t="shared" si="64"/>
        <v>0</v>
      </c>
      <c r="Q535" s="671">
        <f t="shared" si="60"/>
        <v>0</v>
      </c>
      <c r="R535" s="683">
        <f t="shared" si="62"/>
        <v>44653.549999999996</v>
      </c>
      <c r="W535" s="686"/>
      <c r="X535" s="686"/>
      <c r="Y535" s="686"/>
      <c r="Z535" s="686"/>
      <c r="AA535" s="686"/>
    </row>
    <row r="536" spans="1:27" ht="12" thickBot="1">
      <c r="A536" s="197" t="s">
        <v>1222</v>
      </c>
      <c r="B536" s="147" t="s">
        <v>332</v>
      </c>
      <c r="C536" s="147" t="s">
        <v>332</v>
      </c>
      <c r="D536" s="205"/>
      <c r="E536" s="307">
        <v>38</v>
      </c>
      <c r="F536" s="307">
        <v>869</v>
      </c>
      <c r="G536" s="308">
        <v>766.84</v>
      </c>
      <c r="H536" s="308">
        <v>0</v>
      </c>
      <c r="I536" s="308">
        <v>0</v>
      </c>
      <c r="J536" s="307">
        <v>38</v>
      </c>
      <c r="K536" s="307">
        <v>869</v>
      </c>
      <c r="L536" s="308">
        <v>766.84</v>
      </c>
      <c r="M536" s="308">
        <v>0</v>
      </c>
      <c r="N536" s="308">
        <v>0</v>
      </c>
      <c r="O536" s="675">
        <f t="shared" si="63"/>
        <v>0</v>
      </c>
      <c r="P536" s="675">
        <f t="shared" si="64"/>
        <v>0</v>
      </c>
      <c r="Q536" s="671">
        <f t="shared" si="60"/>
        <v>0</v>
      </c>
      <c r="R536" s="683">
        <f t="shared" si="62"/>
        <v>766.84</v>
      </c>
      <c r="W536" s="686"/>
      <c r="X536" s="686"/>
      <c r="Y536" s="686"/>
      <c r="Z536" s="686"/>
      <c r="AA536" s="686"/>
    </row>
    <row r="537" spans="1:27" ht="12" thickBot="1">
      <c r="A537" s="197" t="s">
        <v>1222</v>
      </c>
      <c r="B537" s="147" t="s">
        <v>333</v>
      </c>
      <c r="C537" s="147" t="s">
        <v>333</v>
      </c>
      <c r="D537" s="205"/>
      <c r="E537" s="307">
        <v>1886</v>
      </c>
      <c r="F537" s="307">
        <v>59568</v>
      </c>
      <c r="G537" s="308">
        <v>42548.159999999996</v>
      </c>
      <c r="H537" s="308">
        <v>19.55</v>
      </c>
      <c r="I537" s="308">
        <v>-42.870000000000005</v>
      </c>
      <c r="J537" s="307">
        <v>1886</v>
      </c>
      <c r="K537" s="307">
        <v>59568</v>
      </c>
      <c r="L537" s="308">
        <v>42548.160000000003</v>
      </c>
      <c r="M537" s="308">
        <v>-42.870000000000005</v>
      </c>
      <c r="N537" s="308">
        <v>19.55</v>
      </c>
      <c r="O537" s="675">
        <f t="shared" si="63"/>
        <v>0</v>
      </c>
      <c r="P537" s="675">
        <f t="shared" si="64"/>
        <v>0</v>
      </c>
      <c r="Q537" s="671">
        <f t="shared" si="60"/>
        <v>0</v>
      </c>
      <c r="R537" s="683">
        <f t="shared" si="62"/>
        <v>42524.84</v>
      </c>
      <c r="W537" s="686"/>
      <c r="X537" s="686"/>
      <c r="Y537" s="686"/>
      <c r="Z537" s="686"/>
      <c r="AA537" s="686"/>
    </row>
    <row r="538" spans="1:27" ht="12" thickBot="1">
      <c r="A538" s="197" t="s">
        <v>1222</v>
      </c>
      <c r="B538" s="147" t="s">
        <v>334</v>
      </c>
      <c r="C538" s="147" t="s">
        <v>334</v>
      </c>
      <c r="D538" s="205"/>
      <c r="E538" s="307">
        <v>40</v>
      </c>
      <c r="F538" s="307">
        <v>1301</v>
      </c>
      <c r="G538" s="308">
        <v>947.2</v>
      </c>
      <c r="H538" s="308">
        <v>0</v>
      </c>
      <c r="I538" s="308">
        <v>0</v>
      </c>
      <c r="J538" s="307">
        <v>40</v>
      </c>
      <c r="K538" s="307">
        <v>1301</v>
      </c>
      <c r="L538" s="308">
        <v>947.2</v>
      </c>
      <c r="M538" s="308">
        <v>0</v>
      </c>
      <c r="N538" s="308">
        <v>0</v>
      </c>
      <c r="O538" s="675">
        <f t="shared" si="63"/>
        <v>0</v>
      </c>
      <c r="P538" s="675">
        <f t="shared" si="64"/>
        <v>0</v>
      </c>
      <c r="Q538" s="671">
        <f t="shared" si="60"/>
        <v>0</v>
      </c>
      <c r="R538" s="683">
        <f t="shared" si="62"/>
        <v>947.2</v>
      </c>
      <c r="W538" s="686"/>
      <c r="X538" s="686"/>
      <c r="Y538" s="686"/>
      <c r="Z538" s="686"/>
      <c r="AA538" s="686"/>
    </row>
    <row r="539" spans="1:27" ht="12" thickBot="1">
      <c r="A539" s="197" t="s">
        <v>1222</v>
      </c>
      <c r="B539" s="147" t="s">
        <v>336</v>
      </c>
      <c r="C539" s="147" t="s">
        <v>336</v>
      </c>
      <c r="D539" s="205"/>
      <c r="E539" s="307">
        <v>110</v>
      </c>
      <c r="F539" s="307">
        <v>5580</v>
      </c>
      <c r="G539" s="308">
        <v>2724.7</v>
      </c>
      <c r="H539" s="308">
        <v>0</v>
      </c>
      <c r="I539" s="308">
        <v>47.330000000000055</v>
      </c>
      <c r="J539" s="307">
        <v>110</v>
      </c>
      <c r="K539" s="307">
        <v>5580</v>
      </c>
      <c r="L539" s="308">
        <v>2724.7</v>
      </c>
      <c r="M539" s="308">
        <v>47.330000000000055</v>
      </c>
      <c r="N539" s="308">
        <v>0</v>
      </c>
      <c r="O539" s="675">
        <f t="shared" si="63"/>
        <v>0</v>
      </c>
      <c r="P539" s="675">
        <f t="shared" si="64"/>
        <v>0</v>
      </c>
      <c r="Q539" s="671">
        <f t="shared" si="60"/>
        <v>0</v>
      </c>
      <c r="R539" s="683">
        <f t="shared" si="62"/>
        <v>2772.0299999999997</v>
      </c>
      <c r="W539" s="686"/>
      <c r="X539" s="686"/>
      <c r="Y539" s="686"/>
      <c r="Z539" s="686"/>
      <c r="AA539" s="686"/>
    </row>
    <row r="540" spans="1:27" ht="12" thickBot="1">
      <c r="A540" s="197" t="s">
        <v>1222</v>
      </c>
      <c r="B540" s="309" t="s">
        <v>337</v>
      </c>
      <c r="C540" s="309" t="s">
        <v>337</v>
      </c>
      <c r="D540" s="205"/>
      <c r="E540" s="307">
        <v>54</v>
      </c>
      <c r="F540" s="307">
        <v>2580</v>
      </c>
      <c r="G540" s="308">
        <v>1614.06</v>
      </c>
      <c r="H540" s="308">
        <v>0</v>
      </c>
      <c r="I540" s="308">
        <v>0</v>
      </c>
      <c r="J540" s="307">
        <v>54</v>
      </c>
      <c r="K540" s="307">
        <v>2580</v>
      </c>
      <c r="L540" s="308">
        <v>1614.06</v>
      </c>
      <c r="M540" s="308">
        <v>0</v>
      </c>
      <c r="N540" s="308">
        <v>0</v>
      </c>
      <c r="O540" s="675">
        <f t="shared" si="63"/>
        <v>0</v>
      </c>
      <c r="P540" s="675">
        <f t="shared" si="64"/>
        <v>0</v>
      </c>
      <c r="Q540" s="671">
        <f t="shared" si="60"/>
        <v>0</v>
      </c>
      <c r="R540" s="683">
        <f t="shared" si="62"/>
        <v>1614.06</v>
      </c>
      <c r="W540" s="686"/>
      <c r="X540" s="686"/>
      <c r="Y540" s="686"/>
      <c r="Z540" s="686"/>
      <c r="AA540" s="686"/>
    </row>
    <row r="541" spans="1:27" ht="12" thickBot="1">
      <c r="A541" s="197" t="s">
        <v>1222</v>
      </c>
      <c r="B541" s="147" t="s">
        <v>338</v>
      </c>
      <c r="C541" s="147" t="s">
        <v>338</v>
      </c>
      <c r="D541" s="205"/>
      <c r="E541" s="307">
        <v>181</v>
      </c>
      <c r="F541" s="307">
        <v>14529</v>
      </c>
      <c r="G541" s="308">
        <v>5947.66</v>
      </c>
      <c r="H541" s="308">
        <v>0</v>
      </c>
      <c r="I541" s="308">
        <v>0</v>
      </c>
      <c r="J541" s="307">
        <v>181</v>
      </c>
      <c r="K541" s="307">
        <v>14529</v>
      </c>
      <c r="L541" s="308">
        <v>5947.66</v>
      </c>
      <c r="M541" s="308">
        <v>0</v>
      </c>
      <c r="N541" s="308">
        <v>0</v>
      </c>
      <c r="O541" s="675">
        <f t="shared" si="63"/>
        <v>0</v>
      </c>
      <c r="P541" s="675">
        <f t="shared" si="64"/>
        <v>0</v>
      </c>
      <c r="Q541" s="671">
        <f t="shared" si="60"/>
        <v>0</v>
      </c>
      <c r="R541" s="683">
        <f t="shared" si="62"/>
        <v>5947.66</v>
      </c>
      <c r="W541" s="686"/>
      <c r="X541" s="686"/>
      <c r="Y541" s="686"/>
      <c r="Z541" s="686"/>
      <c r="AA541" s="686"/>
    </row>
    <row r="542" spans="1:27" ht="12" thickBot="1">
      <c r="A542" s="197" t="s">
        <v>1222</v>
      </c>
      <c r="B542" s="147" t="s">
        <v>339</v>
      </c>
      <c r="C542" s="147" t="s">
        <v>339</v>
      </c>
      <c r="D542" s="205"/>
      <c r="E542" s="307">
        <v>387</v>
      </c>
      <c r="F542" s="307">
        <v>50046</v>
      </c>
      <c r="G542" s="308">
        <v>14856.93</v>
      </c>
      <c r="H542" s="308">
        <v>0</v>
      </c>
      <c r="I542" s="308">
        <v>0</v>
      </c>
      <c r="J542" s="307">
        <v>387</v>
      </c>
      <c r="K542" s="307">
        <v>50046</v>
      </c>
      <c r="L542" s="308">
        <v>14856.93</v>
      </c>
      <c r="M542" s="308">
        <v>0</v>
      </c>
      <c r="N542" s="308">
        <v>0</v>
      </c>
      <c r="O542" s="675">
        <f t="shared" si="63"/>
        <v>0</v>
      </c>
      <c r="P542" s="675">
        <f t="shared" si="64"/>
        <v>0</v>
      </c>
      <c r="Q542" s="671">
        <f t="shared" si="60"/>
        <v>0</v>
      </c>
      <c r="R542" s="683">
        <f t="shared" si="62"/>
        <v>14856.93</v>
      </c>
      <c r="W542" s="686"/>
      <c r="X542" s="686"/>
      <c r="Y542" s="686"/>
      <c r="Z542" s="686"/>
      <c r="AA542" s="686"/>
    </row>
    <row r="543" spans="1:27" ht="12" thickBot="1">
      <c r="A543" s="197" t="s">
        <v>1222</v>
      </c>
      <c r="B543" s="147" t="s">
        <v>340</v>
      </c>
      <c r="C543" s="147" t="s">
        <v>340</v>
      </c>
      <c r="D543" s="205"/>
      <c r="E543" s="307">
        <v>22</v>
      </c>
      <c r="F543" s="307">
        <v>1075</v>
      </c>
      <c r="G543" s="308">
        <v>579.70000000000005</v>
      </c>
      <c r="H543" s="308">
        <v>0</v>
      </c>
      <c r="I543" s="308">
        <v>0</v>
      </c>
      <c r="J543" s="307">
        <v>22</v>
      </c>
      <c r="K543" s="307">
        <v>1075</v>
      </c>
      <c r="L543" s="308">
        <v>579.70000000000005</v>
      </c>
      <c r="M543" s="308">
        <v>0</v>
      </c>
      <c r="N543" s="308">
        <v>0</v>
      </c>
      <c r="O543" s="675">
        <f t="shared" si="63"/>
        <v>0</v>
      </c>
      <c r="P543" s="675">
        <f t="shared" si="64"/>
        <v>0</v>
      </c>
      <c r="Q543" s="671">
        <f t="shared" si="60"/>
        <v>0</v>
      </c>
      <c r="R543" s="683">
        <f t="shared" si="62"/>
        <v>579.70000000000005</v>
      </c>
      <c r="W543" s="686"/>
      <c r="X543" s="686"/>
      <c r="Y543" s="686"/>
      <c r="Z543" s="686"/>
      <c r="AA543" s="686"/>
    </row>
    <row r="544" spans="1:27" ht="12" thickBot="1">
      <c r="A544" s="197" t="s">
        <v>1222</v>
      </c>
      <c r="B544" s="147" t="s">
        <v>341</v>
      </c>
      <c r="C544" s="147" t="s">
        <v>341</v>
      </c>
      <c r="D544" s="205"/>
      <c r="E544" s="307">
        <v>465</v>
      </c>
      <c r="F544" s="307">
        <v>38174</v>
      </c>
      <c r="G544" s="308">
        <v>13229.25</v>
      </c>
      <c r="H544" s="308">
        <v>0</v>
      </c>
      <c r="I544" s="308">
        <v>63.770000000000437</v>
      </c>
      <c r="J544" s="307">
        <v>465</v>
      </c>
      <c r="K544" s="307">
        <v>38174</v>
      </c>
      <c r="L544" s="308">
        <v>13229.25</v>
      </c>
      <c r="M544" s="308">
        <v>63.770000000000437</v>
      </c>
      <c r="N544" s="308">
        <v>0</v>
      </c>
      <c r="O544" s="675">
        <f t="shared" si="63"/>
        <v>0</v>
      </c>
      <c r="P544" s="675">
        <f t="shared" si="64"/>
        <v>0</v>
      </c>
      <c r="Q544" s="671">
        <f t="shared" si="60"/>
        <v>0</v>
      </c>
      <c r="R544" s="683">
        <f t="shared" si="62"/>
        <v>13293.02</v>
      </c>
      <c r="W544" s="686"/>
      <c r="X544" s="686"/>
      <c r="Y544" s="686"/>
      <c r="Z544" s="686"/>
      <c r="AA544" s="686"/>
    </row>
    <row r="545" spans="1:27" ht="12" thickBot="1">
      <c r="A545" s="197" t="s">
        <v>1222</v>
      </c>
      <c r="B545" s="147" t="s">
        <v>342</v>
      </c>
      <c r="C545" s="147" t="s">
        <v>342</v>
      </c>
      <c r="D545" s="205"/>
      <c r="E545" s="307">
        <v>35</v>
      </c>
      <c r="F545" s="307">
        <v>4502</v>
      </c>
      <c r="G545" s="308">
        <v>1191.05</v>
      </c>
      <c r="H545" s="308">
        <v>0</v>
      </c>
      <c r="I545" s="308">
        <v>0</v>
      </c>
      <c r="J545" s="307">
        <v>35</v>
      </c>
      <c r="K545" s="307">
        <v>4502</v>
      </c>
      <c r="L545" s="308">
        <v>1191.05</v>
      </c>
      <c r="M545" s="308">
        <v>0</v>
      </c>
      <c r="N545" s="308">
        <v>0</v>
      </c>
      <c r="O545" s="675">
        <f t="shared" si="63"/>
        <v>0</v>
      </c>
      <c r="P545" s="675">
        <f t="shared" si="64"/>
        <v>0</v>
      </c>
      <c r="Q545" s="671">
        <f t="shared" si="60"/>
        <v>0</v>
      </c>
      <c r="R545" s="683">
        <f t="shared" si="62"/>
        <v>1191.05</v>
      </c>
      <c r="W545" s="686"/>
      <c r="X545" s="686"/>
      <c r="Y545" s="686"/>
      <c r="Z545" s="686"/>
      <c r="AA545" s="686"/>
    </row>
    <row r="546" spans="1:27" ht="12" thickBot="1">
      <c r="A546" s="197" t="s">
        <v>1222</v>
      </c>
      <c r="B546" s="147" t="s">
        <v>343</v>
      </c>
      <c r="C546" s="147" t="s">
        <v>343</v>
      </c>
      <c r="D546" s="205"/>
      <c r="E546" s="307">
        <v>41</v>
      </c>
      <c r="F546" s="307">
        <v>961</v>
      </c>
      <c r="G546" s="308">
        <v>1362.02</v>
      </c>
      <c r="H546" s="308">
        <v>21.36</v>
      </c>
      <c r="I546" s="308">
        <v>0</v>
      </c>
      <c r="J546" s="307">
        <v>41</v>
      </c>
      <c r="K546" s="307">
        <v>961</v>
      </c>
      <c r="L546" s="308">
        <v>1362.02</v>
      </c>
      <c r="M546" s="308">
        <v>0</v>
      </c>
      <c r="N546" s="308">
        <v>21.36</v>
      </c>
      <c r="O546" s="675">
        <f t="shared" si="63"/>
        <v>0</v>
      </c>
      <c r="P546" s="675">
        <f t="shared" si="64"/>
        <v>0</v>
      </c>
      <c r="Q546" s="671">
        <f t="shared" si="60"/>
        <v>0</v>
      </c>
      <c r="R546" s="683">
        <f t="shared" si="62"/>
        <v>1383.3799999999999</v>
      </c>
      <c r="W546" s="686"/>
      <c r="X546" s="686"/>
      <c r="Y546" s="686"/>
      <c r="Z546" s="686"/>
      <c r="AA546" s="686"/>
    </row>
    <row r="547" spans="1:27" ht="12" thickBot="1">
      <c r="A547" s="197" t="s">
        <v>1222</v>
      </c>
      <c r="B547" s="309" t="s">
        <v>344</v>
      </c>
      <c r="C547" s="309" t="s">
        <v>344</v>
      </c>
      <c r="D547" s="205"/>
      <c r="E547" s="307">
        <v>53</v>
      </c>
      <c r="F547" s="307">
        <v>1226</v>
      </c>
      <c r="G547" s="308">
        <v>1865.6</v>
      </c>
      <c r="H547" s="308">
        <v>50.86</v>
      </c>
      <c r="I547" s="308">
        <v>0</v>
      </c>
      <c r="J547" s="307">
        <v>53</v>
      </c>
      <c r="K547" s="307">
        <v>1226</v>
      </c>
      <c r="L547" s="308">
        <v>1865.6</v>
      </c>
      <c r="M547" s="308">
        <v>0</v>
      </c>
      <c r="N547" s="308">
        <v>50.86</v>
      </c>
      <c r="O547" s="675">
        <f t="shared" si="63"/>
        <v>0</v>
      </c>
      <c r="P547" s="675">
        <f t="shared" si="64"/>
        <v>0</v>
      </c>
      <c r="Q547" s="671">
        <f t="shared" si="60"/>
        <v>0</v>
      </c>
      <c r="R547" s="683">
        <f t="shared" si="62"/>
        <v>1916.4599999999998</v>
      </c>
      <c r="W547" s="686"/>
      <c r="X547" s="686"/>
      <c r="Y547" s="686"/>
      <c r="Z547" s="686"/>
      <c r="AA547" s="686"/>
    </row>
    <row r="548" spans="1:27" ht="12" thickBot="1">
      <c r="A548" s="197" t="s">
        <v>1222</v>
      </c>
      <c r="B548" s="147" t="s">
        <v>345</v>
      </c>
      <c r="C548" s="147" t="s">
        <v>345</v>
      </c>
      <c r="D548" s="205"/>
      <c r="E548" s="307">
        <v>221</v>
      </c>
      <c r="F548" s="307">
        <v>7274</v>
      </c>
      <c r="G548" s="308">
        <v>7533.89</v>
      </c>
      <c r="H548" s="308">
        <v>266.27000000000004</v>
      </c>
      <c r="I548" s="308">
        <v>0</v>
      </c>
      <c r="J548" s="307">
        <v>221</v>
      </c>
      <c r="K548" s="307">
        <v>7274</v>
      </c>
      <c r="L548" s="308">
        <v>7533.89</v>
      </c>
      <c r="M548" s="308">
        <v>0</v>
      </c>
      <c r="N548" s="308">
        <v>266.27000000000004</v>
      </c>
      <c r="O548" s="675">
        <f t="shared" si="63"/>
        <v>0</v>
      </c>
      <c r="P548" s="675">
        <f t="shared" si="64"/>
        <v>0</v>
      </c>
      <c r="Q548" s="671">
        <f t="shared" si="60"/>
        <v>0</v>
      </c>
      <c r="R548" s="683">
        <f t="shared" si="62"/>
        <v>7800.1600000000008</v>
      </c>
      <c r="W548" s="686"/>
      <c r="X548" s="686"/>
      <c r="Y548" s="686"/>
      <c r="Z548" s="686"/>
      <c r="AA548" s="686"/>
    </row>
    <row r="549" spans="1:27" ht="12" thickBot="1">
      <c r="A549" s="197" t="s">
        <v>1222</v>
      </c>
      <c r="B549" s="147" t="s">
        <v>346</v>
      </c>
      <c r="C549" s="147" t="s">
        <v>346</v>
      </c>
      <c r="D549" s="205"/>
      <c r="E549" s="307">
        <v>223</v>
      </c>
      <c r="F549" s="307">
        <v>7220</v>
      </c>
      <c r="G549" s="308">
        <v>8043.6100000000006</v>
      </c>
      <c r="H549" s="308">
        <v>610.65</v>
      </c>
      <c r="I549" s="308">
        <v>-126.24000000000069</v>
      </c>
      <c r="J549" s="307">
        <v>223</v>
      </c>
      <c r="K549" s="307">
        <v>7220</v>
      </c>
      <c r="L549" s="308">
        <v>8043.6100000000006</v>
      </c>
      <c r="M549" s="308">
        <v>-126.24000000000069</v>
      </c>
      <c r="N549" s="308">
        <v>610.65</v>
      </c>
      <c r="O549" s="675">
        <f t="shared" si="63"/>
        <v>0</v>
      </c>
      <c r="P549" s="675">
        <f t="shared" si="64"/>
        <v>0</v>
      </c>
      <c r="Q549" s="671">
        <f t="shared" si="60"/>
        <v>0</v>
      </c>
      <c r="R549" s="683">
        <f t="shared" si="62"/>
        <v>8528.02</v>
      </c>
      <c r="W549" s="686"/>
      <c r="X549" s="686"/>
      <c r="Y549" s="686"/>
      <c r="Z549" s="686"/>
      <c r="AA549" s="686"/>
    </row>
    <row r="550" spans="1:27" ht="12" thickBot="1">
      <c r="A550" s="197" t="s">
        <v>1222</v>
      </c>
      <c r="B550" s="147" t="s">
        <v>347</v>
      </c>
      <c r="C550" s="147" t="s">
        <v>347</v>
      </c>
      <c r="D550" s="205"/>
      <c r="E550" s="307">
        <v>13</v>
      </c>
      <c r="F550" s="307">
        <v>299</v>
      </c>
      <c r="G550" s="308">
        <v>419.38</v>
      </c>
      <c r="H550" s="308">
        <v>0</v>
      </c>
      <c r="I550" s="308">
        <v>0</v>
      </c>
      <c r="J550" s="307">
        <v>13</v>
      </c>
      <c r="K550" s="307">
        <v>299</v>
      </c>
      <c r="L550" s="308">
        <v>419.38</v>
      </c>
      <c r="M550" s="308">
        <v>0</v>
      </c>
      <c r="N550" s="308">
        <v>0</v>
      </c>
      <c r="O550" s="675">
        <f t="shared" si="63"/>
        <v>0</v>
      </c>
      <c r="P550" s="675">
        <f t="shared" si="64"/>
        <v>0</v>
      </c>
      <c r="Q550" s="671">
        <f t="shared" si="60"/>
        <v>0</v>
      </c>
      <c r="R550" s="683">
        <f t="shared" si="62"/>
        <v>419.38</v>
      </c>
      <c r="W550" s="686"/>
      <c r="X550" s="686"/>
      <c r="Y550" s="686"/>
      <c r="Z550" s="686"/>
      <c r="AA550" s="686"/>
    </row>
    <row r="551" spans="1:27" ht="12" thickBot="1">
      <c r="A551" s="197" t="s">
        <v>1222</v>
      </c>
      <c r="B551" s="147" t="s">
        <v>348</v>
      </c>
      <c r="C551" s="147" t="s">
        <v>348</v>
      </c>
      <c r="D551" s="205"/>
      <c r="E551" s="307">
        <v>45</v>
      </c>
      <c r="F551" s="307">
        <v>987</v>
      </c>
      <c r="G551" s="308">
        <v>1481.85</v>
      </c>
      <c r="H551" s="308">
        <v>165.98</v>
      </c>
      <c r="I551" s="308">
        <v>0</v>
      </c>
      <c r="J551" s="307">
        <v>45</v>
      </c>
      <c r="K551" s="307">
        <v>987</v>
      </c>
      <c r="L551" s="308">
        <v>1481.85</v>
      </c>
      <c r="M551" s="308">
        <v>0</v>
      </c>
      <c r="N551" s="308">
        <v>165.98</v>
      </c>
      <c r="O551" s="675">
        <f t="shared" si="63"/>
        <v>0</v>
      </c>
      <c r="P551" s="675">
        <f t="shared" si="64"/>
        <v>0</v>
      </c>
      <c r="Q551" s="671">
        <f t="shared" si="60"/>
        <v>0</v>
      </c>
      <c r="R551" s="683">
        <f t="shared" si="62"/>
        <v>1647.83</v>
      </c>
      <c r="W551" s="686"/>
      <c r="X551" s="686"/>
      <c r="Y551" s="686"/>
      <c r="Z551" s="686"/>
      <c r="AA551" s="686"/>
    </row>
    <row r="552" spans="1:27" ht="12" thickBot="1">
      <c r="A552" s="197" t="s">
        <v>1222</v>
      </c>
      <c r="B552" s="147" t="s">
        <v>376</v>
      </c>
      <c r="C552" s="147" t="s">
        <v>376</v>
      </c>
      <c r="D552" s="205"/>
      <c r="E552" s="307">
        <v>10</v>
      </c>
      <c r="F552" s="307">
        <v>306</v>
      </c>
      <c r="G552" s="308">
        <v>343.3</v>
      </c>
      <c r="H552" s="308">
        <v>3.47</v>
      </c>
      <c r="I552" s="308">
        <v>0</v>
      </c>
      <c r="J552" s="307">
        <v>10</v>
      </c>
      <c r="K552" s="307">
        <v>306</v>
      </c>
      <c r="L552" s="308">
        <v>343.3</v>
      </c>
      <c r="M552" s="308">
        <v>0</v>
      </c>
      <c r="N552" s="308">
        <v>3.47</v>
      </c>
      <c r="O552" s="675">
        <f t="shared" si="63"/>
        <v>0</v>
      </c>
      <c r="P552" s="675">
        <f t="shared" si="64"/>
        <v>0</v>
      </c>
      <c r="Q552" s="671">
        <f t="shared" si="60"/>
        <v>0</v>
      </c>
      <c r="R552" s="683">
        <f t="shared" si="62"/>
        <v>346.77000000000004</v>
      </c>
      <c r="W552" s="686"/>
      <c r="X552" s="686"/>
      <c r="Y552" s="686"/>
      <c r="Z552" s="686"/>
      <c r="AA552" s="686"/>
    </row>
    <row r="553" spans="1:27" ht="12" thickBot="1">
      <c r="A553" s="197" t="s">
        <v>1222</v>
      </c>
      <c r="B553" s="147" t="s">
        <v>349</v>
      </c>
      <c r="C553" s="147" t="s">
        <v>349</v>
      </c>
      <c r="D553" s="205"/>
      <c r="E553" s="307">
        <v>195</v>
      </c>
      <c r="F553" s="307">
        <v>6258</v>
      </c>
      <c r="G553" s="308">
        <v>6823.05</v>
      </c>
      <c r="H553" s="308">
        <v>932.68999999999994</v>
      </c>
      <c r="I553" s="308">
        <v>0</v>
      </c>
      <c r="J553" s="307">
        <v>195</v>
      </c>
      <c r="K553" s="307">
        <v>6258</v>
      </c>
      <c r="L553" s="308">
        <v>6823.05</v>
      </c>
      <c r="M553" s="308">
        <v>0</v>
      </c>
      <c r="N553" s="308">
        <v>932.68999999999994</v>
      </c>
      <c r="O553" s="675">
        <f t="shared" si="63"/>
        <v>0</v>
      </c>
      <c r="P553" s="675">
        <f t="shared" si="64"/>
        <v>0</v>
      </c>
      <c r="Q553" s="671">
        <f t="shared" ref="Q553:Q575" si="65">SUM(G553:I553)-SUM(L553:N553)</f>
        <v>0</v>
      </c>
      <c r="R553" s="683">
        <f t="shared" si="62"/>
        <v>7755.74</v>
      </c>
      <c r="W553" s="686"/>
      <c r="X553" s="686"/>
      <c r="Y553" s="686"/>
      <c r="Z553" s="686"/>
      <c r="AA553" s="686"/>
    </row>
    <row r="554" spans="1:27" ht="12" thickBot="1">
      <c r="A554" s="197" t="s">
        <v>1222</v>
      </c>
      <c r="B554" s="147" t="s">
        <v>730</v>
      </c>
      <c r="C554" s="147" t="s">
        <v>730</v>
      </c>
      <c r="D554" s="205"/>
      <c r="E554" s="307">
        <v>2</v>
      </c>
      <c r="F554" s="307">
        <v>158</v>
      </c>
      <c r="G554" s="308">
        <v>36.56</v>
      </c>
      <c r="H554" s="308">
        <v>0</v>
      </c>
      <c r="I554" s="308">
        <v>0</v>
      </c>
      <c r="J554" s="307">
        <v>2</v>
      </c>
      <c r="K554" s="307">
        <v>158</v>
      </c>
      <c r="L554" s="308">
        <v>36.56</v>
      </c>
      <c r="M554" s="308">
        <v>0</v>
      </c>
      <c r="N554" s="308">
        <v>0</v>
      </c>
      <c r="O554" s="675">
        <f t="shared" si="63"/>
        <v>0</v>
      </c>
      <c r="P554" s="675">
        <f t="shared" si="64"/>
        <v>0</v>
      </c>
      <c r="Q554" s="671">
        <f t="shared" si="65"/>
        <v>0</v>
      </c>
      <c r="R554" s="683">
        <f t="shared" si="62"/>
        <v>36.56</v>
      </c>
      <c r="W554" s="686"/>
      <c r="X554" s="686"/>
      <c r="Y554" s="686"/>
      <c r="Z554" s="686"/>
      <c r="AA554" s="686"/>
    </row>
    <row r="555" spans="1:27" ht="12" thickBot="1">
      <c r="A555" s="197" t="s">
        <v>1222</v>
      </c>
      <c r="B555" s="147" t="s">
        <v>378</v>
      </c>
      <c r="C555" s="147" t="s">
        <v>378</v>
      </c>
      <c r="D555" s="205"/>
      <c r="E555" s="307">
        <v>19</v>
      </c>
      <c r="F555" s="307">
        <v>2493</v>
      </c>
      <c r="G555" s="308">
        <v>424.08</v>
      </c>
      <c r="H555" s="308">
        <v>0</v>
      </c>
      <c r="I555" s="308">
        <v>0</v>
      </c>
      <c r="J555" s="307">
        <v>19</v>
      </c>
      <c r="K555" s="307">
        <v>2493</v>
      </c>
      <c r="L555" s="308">
        <v>424.08</v>
      </c>
      <c r="M555" s="308">
        <v>0</v>
      </c>
      <c r="N555" s="308">
        <v>0</v>
      </c>
      <c r="O555" s="675">
        <f t="shared" si="63"/>
        <v>0</v>
      </c>
      <c r="P555" s="675">
        <f t="shared" si="64"/>
        <v>0</v>
      </c>
      <c r="Q555" s="671">
        <f t="shared" si="65"/>
        <v>0</v>
      </c>
      <c r="R555" s="683">
        <f t="shared" si="62"/>
        <v>424.08</v>
      </c>
      <c r="W555" s="686"/>
      <c r="X555" s="686"/>
      <c r="Y555" s="686"/>
      <c r="Z555" s="686"/>
      <c r="AA555" s="686"/>
    </row>
    <row r="556" spans="1:27" ht="12" thickBot="1">
      <c r="A556" s="197" t="s">
        <v>1222</v>
      </c>
      <c r="B556" s="309" t="s">
        <v>354</v>
      </c>
      <c r="C556" s="309" t="s">
        <v>354</v>
      </c>
      <c r="D556" s="205"/>
      <c r="E556" s="307">
        <v>6594</v>
      </c>
      <c r="F556" s="307">
        <v>327093</v>
      </c>
      <c r="G556" s="308">
        <v>84535.08</v>
      </c>
      <c r="H556" s="308">
        <v>1112.17</v>
      </c>
      <c r="I556" s="308">
        <v>31.03999999999769</v>
      </c>
      <c r="J556" s="307">
        <v>6594</v>
      </c>
      <c r="K556" s="307">
        <v>327093</v>
      </c>
      <c r="L556" s="308">
        <v>84535.08</v>
      </c>
      <c r="M556" s="308">
        <v>31.03999999999769</v>
      </c>
      <c r="N556" s="308">
        <v>1112.17</v>
      </c>
      <c r="O556" s="675">
        <f t="shared" si="63"/>
        <v>0</v>
      </c>
      <c r="P556" s="675">
        <f t="shared" si="64"/>
        <v>0</v>
      </c>
      <c r="Q556" s="671">
        <f t="shared" si="65"/>
        <v>0</v>
      </c>
      <c r="R556" s="683">
        <f t="shared" si="62"/>
        <v>85678.29</v>
      </c>
      <c r="W556" s="686"/>
      <c r="X556" s="686"/>
      <c r="Y556" s="686"/>
      <c r="Z556" s="686"/>
      <c r="AA556" s="686"/>
    </row>
    <row r="557" spans="1:27" ht="12" thickBot="1">
      <c r="A557" s="197" t="s">
        <v>1222</v>
      </c>
      <c r="B557" s="147" t="s">
        <v>355</v>
      </c>
      <c r="C557" s="147" t="s">
        <v>355</v>
      </c>
      <c r="D557" s="205"/>
      <c r="E557" s="307">
        <v>9440</v>
      </c>
      <c r="F557" s="307">
        <v>767659</v>
      </c>
      <c r="G557" s="308">
        <v>142355.20000000001</v>
      </c>
      <c r="H557" s="308">
        <v>1127.49</v>
      </c>
      <c r="I557" s="308">
        <v>34.29999999998843</v>
      </c>
      <c r="J557" s="307">
        <v>9440</v>
      </c>
      <c r="K557" s="307">
        <v>767659</v>
      </c>
      <c r="L557" s="308">
        <v>142355.19999999998</v>
      </c>
      <c r="M557" s="308">
        <v>34.29999999998843</v>
      </c>
      <c r="N557" s="308">
        <v>1127.49</v>
      </c>
      <c r="O557" s="675">
        <f t="shared" si="63"/>
        <v>0</v>
      </c>
      <c r="P557" s="675">
        <f t="shared" si="64"/>
        <v>0</v>
      </c>
      <c r="Q557" s="671">
        <f t="shared" si="65"/>
        <v>0</v>
      </c>
      <c r="R557" s="683">
        <f t="shared" si="62"/>
        <v>143516.99</v>
      </c>
      <c r="W557" s="686"/>
      <c r="X557" s="686"/>
      <c r="Y557" s="686"/>
      <c r="Z557" s="686"/>
      <c r="AA557" s="686"/>
    </row>
    <row r="558" spans="1:27" ht="12" thickBot="1">
      <c r="A558" s="197" t="s">
        <v>1222</v>
      </c>
      <c r="B558" s="147" t="s">
        <v>356</v>
      </c>
      <c r="C558" s="147" t="s">
        <v>356</v>
      </c>
      <c r="D558" s="205"/>
      <c r="E558" s="307">
        <v>5583</v>
      </c>
      <c r="F558" s="307">
        <v>717306</v>
      </c>
      <c r="G558" s="308">
        <v>97032.54</v>
      </c>
      <c r="H558" s="308">
        <v>2780.85</v>
      </c>
      <c r="I558" s="308">
        <v>-385.44999999999595</v>
      </c>
      <c r="J558" s="307">
        <v>5583</v>
      </c>
      <c r="K558" s="307">
        <v>717306</v>
      </c>
      <c r="L558" s="308">
        <v>97032.54</v>
      </c>
      <c r="M558" s="308">
        <v>-385.44999999999601</v>
      </c>
      <c r="N558" s="308">
        <v>2780.85</v>
      </c>
      <c r="O558" s="675">
        <f t="shared" si="63"/>
        <v>0</v>
      </c>
      <c r="P558" s="675">
        <f t="shared" si="64"/>
        <v>0</v>
      </c>
      <c r="Q558" s="671">
        <f t="shared" si="65"/>
        <v>0</v>
      </c>
      <c r="R558" s="683">
        <f t="shared" si="62"/>
        <v>99427.94</v>
      </c>
      <c r="W558" s="686"/>
      <c r="X558" s="686"/>
      <c r="Y558" s="686"/>
      <c r="Z558" s="686"/>
      <c r="AA558" s="686"/>
    </row>
    <row r="559" spans="1:27" ht="12" thickBot="1">
      <c r="A559" s="197" t="s">
        <v>1222</v>
      </c>
      <c r="B559" s="147" t="s">
        <v>357</v>
      </c>
      <c r="C559" s="147" t="s">
        <v>357</v>
      </c>
      <c r="D559" s="205"/>
      <c r="E559" s="307">
        <v>406</v>
      </c>
      <c r="F559" s="307">
        <v>19819</v>
      </c>
      <c r="G559" s="308">
        <v>5590.62</v>
      </c>
      <c r="H559" s="308">
        <v>202.54000000000002</v>
      </c>
      <c r="I559" s="308">
        <v>-26.16</v>
      </c>
      <c r="J559" s="307">
        <v>406</v>
      </c>
      <c r="K559" s="307">
        <v>19819</v>
      </c>
      <c r="L559" s="308">
        <v>5590.62</v>
      </c>
      <c r="M559" s="308">
        <v>-26.16</v>
      </c>
      <c r="N559" s="308">
        <v>202.54000000000002</v>
      </c>
      <c r="O559" s="675">
        <f t="shared" si="63"/>
        <v>0</v>
      </c>
      <c r="P559" s="675">
        <f t="shared" si="64"/>
        <v>0</v>
      </c>
      <c r="Q559" s="671">
        <f t="shared" si="65"/>
        <v>0</v>
      </c>
      <c r="R559" s="683">
        <f t="shared" si="62"/>
        <v>5767</v>
      </c>
      <c r="W559" s="686"/>
      <c r="X559" s="686"/>
      <c r="Y559" s="686"/>
      <c r="Z559" s="686"/>
      <c r="AA559" s="686"/>
    </row>
    <row r="560" spans="1:27" ht="12" thickBot="1">
      <c r="A560" s="197" t="s">
        <v>1222</v>
      </c>
      <c r="B560" s="147" t="s">
        <v>358</v>
      </c>
      <c r="C560" s="147" t="s">
        <v>358</v>
      </c>
      <c r="D560" s="205"/>
      <c r="E560" s="307">
        <v>13067</v>
      </c>
      <c r="F560" s="307">
        <v>1648598</v>
      </c>
      <c r="G560" s="308">
        <v>237950.06999999998</v>
      </c>
      <c r="H560" s="308">
        <v>7718.25</v>
      </c>
      <c r="I560" s="308">
        <v>-1566.7899999999988</v>
      </c>
      <c r="J560" s="307">
        <v>13067</v>
      </c>
      <c r="K560" s="307">
        <v>1648598</v>
      </c>
      <c r="L560" s="308">
        <v>237950.06999999998</v>
      </c>
      <c r="M560" s="308">
        <v>-1566.7899999999988</v>
      </c>
      <c r="N560" s="308">
        <v>7718.25</v>
      </c>
      <c r="O560" s="675">
        <f t="shared" si="63"/>
        <v>0</v>
      </c>
      <c r="P560" s="675">
        <f t="shared" si="64"/>
        <v>0</v>
      </c>
      <c r="Q560" s="671">
        <f t="shared" si="65"/>
        <v>0</v>
      </c>
      <c r="R560" s="683">
        <f t="shared" si="62"/>
        <v>244101.52999999997</v>
      </c>
      <c r="W560" s="686"/>
      <c r="X560" s="686"/>
      <c r="Y560" s="686"/>
      <c r="Z560" s="686"/>
      <c r="AA560" s="686"/>
    </row>
    <row r="561" spans="1:27" ht="12" thickBot="1">
      <c r="A561" s="197" t="s">
        <v>1222</v>
      </c>
      <c r="B561" s="309" t="s">
        <v>359</v>
      </c>
      <c r="C561" s="309" t="s">
        <v>359</v>
      </c>
      <c r="D561" s="205"/>
      <c r="E561" s="307">
        <v>3404</v>
      </c>
      <c r="F561" s="307">
        <v>107829</v>
      </c>
      <c r="G561" s="308">
        <v>36967.439999999995</v>
      </c>
      <c r="H561" s="308">
        <v>1666.54</v>
      </c>
      <c r="I561" s="308">
        <v>-215.59999999999502</v>
      </c>
      <c r="J561" s="307">
        <v>3418</v>
      </c>
      <c r="K561" s="307">
        <v>108285</v>
      </c>
      <c r="L561" s="308">
        <v>37119.479999999996</v>
      </c>
      <c r="M561" s="308">
        <v>-247.89999999999503</v>
      </c>
      <c r="N561" s="308">
        <v>1666.54</v>
      </c>
      <c r="O561" s="675">
        <f t="shared" si="63"/>
        <v>14</v>
      </c>
      <c r="P561" s="675">
        <f t="shared" si="64"/>
        <v>456</v>
      </c>
      <c r="Q561" s="671">
        <f t="shared" si="65"/>
        <v>-119.74000000000524</v>
      </c>
      <c r="R561" s="683">
        <f t="shared" si="62"/>
        <v>38418.379999999997</v>
      </c>
      <c r="W561" s="686"/>
      <c r="X561" s="686"/>
      <c r="Y561" s="686"/>
      <c r="Z561" s="686"/>
      <c r="AA561" s="686"/>
    </row>
    <row r="562" spans="1:27" ht="12" thickBot="1">
      <c r="A562" s="197" t="s">
        <v>1222</v>
      </c>
      <c r="B562" s="147" t="s">
        <v>360</v>
      </c>
      <c r="C562" s="147" t="s">
        <v>360</v>
      </c>
      <c r="D562" s="205"/>
      <c r="E562" s="307">
        <v>5</v>
      </c>
      <c r="F562" s="307">
        <v>283</v>
      </c>
      <c r="G562" s="308">
        <v>55.65</v>
      </c>
      <c r="H562" s="308">
        <v>0</v>
      </c>
      <c r="I562" s="308">
        <v>0</v>
      </c>
      <c r="J562" s="307">
        <v>5</v>
      </c>
      <c r="K562" s="307">
        <v>283</v>
      </c>
      <c r="L562" s="308">
        <v>55.65</v>
      </c>
      <c r="M562" s="308">
        <v>0</v>
      </c>
      <c r="N562" s="308">
        <v>0</v>
      </c>
      <c r="O562" s="675">
        <f t="shared" ref="O562:O574" si="66">J562-E562</f>
        <v>0</v>
      </c>
      <c r="P562" s="675">
        <f t="shared" ref="P562:P574" si="67">K562-F562</f>
        <v>0</v>
      </c>
      <c r="Q562" s="671">
        <f t="shared" si="65"/>
        <v>0</v>
      </c>
      <c r="R562" s="683">
        <f t="shared" ref="R562:R574" si="68">SUM(G562:I562)</f>
        <v>55.65</v>
      </c>
      <c r="W562" s="686"/>
      <c r="X562" s="686"/>
      <c r="Y562" s="686"/>
      <c r="Z562" s="686"/>
      <c r="AA562" s="686"/>
    </row>
    <row r="563" spans="1:27" ht="12" thickBot="1">
      <c r="A563" s="197" t="s">
        <v>1222</v>
      </c>
      <c r="B563" s="147" t="s">
        <v>365</v>
      </c>
      <c r="C563" s="147" t="s">
        <v>365</v>
      </c>
      <c r="D563" s="205"/>
      <c r="E563" s="307">
        <v>24</v>
      </c>
      <c r="F563" s="307">
        <v>972</v>
      </c>
      <c r="G563" s="308">
        <v>306.95999999999998</v>
      </c>
      <c r="H563" s="308">
        <v>4.12</v>
      </c>
      <c r="I563" s="308">
        <v>0</v>
      </c>
      <c r="J563" s="307">
        <v>24</v>
      </c>
      <c r="K563" s="307">
        <v>972</v>
      </c>
      <c r="L563" s="308">
        <v>306.95999999999998</v>
      </c>
      <c r="M563" s="308">
        <v>0</v>
      </c>
      <c r="N563" s="308">
        <v>4.12</v>
      </c>
      <c r="O563" s="675">
        <f t="shared" si="66"/>
        <v>0</v>
      </c>
      <c r="P563" s="675">
        <f t="shared" si="67"/>
        <v>0</v>
      </c>
      <c r="Q563" s="671">
        <f t="shared" si="65"/>
        <v>0</v>
      </c>
      <c r="R563" s="683">
        <f t="shared" si="68"/>
        <v>311.08</v>
      </c>
      <c r="W563" s="686"/>
      <c r="X563" s="686"/>
      <c r="Y563" s="686"/>
      <c r="Z563" s="686"/>
      <c r="AA563" s="686"/>
    </row>
    <row r="564" spans="1:27" ht="12" thickBot="1">
      <c r="A564" s="197" t="s">
        <v>1222</v>
      </c>
      <c r="B564" s="147" t="s">
        <v>366</v>
      </c>
      <c r="C564" s="147" t="s">
        <v>366</v>
      </c>
      <c r="D564" s="205"/>
      <c r="E564" s="307">
        <v>2</v>
      </c>
      <c r="F564" s="307">
        <v>83</v>
      </c>
      <c r="G564" s="308">
        <v>30.14</v>
      </c>
      <c r="H564" s="308">
        <v>0</v>
      </c>
      <c r="I564" s="308">
        <v>0</v>
      </c>
      <c r="J564" s="307">
        <v>2</v>
      </c>
      <c r="K564" s="307">
        <v>83</v>
      </c>
      <c r="L564" s="308">
        <v>30.14</v>
      </c>
      <c r="M564" s="308">
        <v>0</v>
      </c>
      <c r="N564" s="308">
        <v>0</v>
      </c>
      <c r="O564" s="675">
        <f t="shared" si="66"/>
        <v>0</v>
      </c>
      <c r="P564" s="675">
        <f t="shared" si="67"/>
        <v>0</v>
      </c>
      <c r="Q564" s="671">
        <f t="shared" si="65"/>
        <v>0</v>
      </c>
      <c r="R564" s="683">
        <f t="shared" si="68"/>
        <v>30.14</v>
      </c>
      <c r="W564" s="686"/>
      <c r="X564" s="686"/>
      <c r="Y564" s="686"/>
      <c r="Z564" s="686"/>
      <c r="AA564" s="686"/>
    </row>
    <row r="565" spans="1:27" ht="12" thickBot="1">
      <c r="A565" s="197" t="s">
        <v>1222</v>
      </c>
      <c r="B565" s="147" t="s">
        <v>367</v>
      </c>
      <c r="C565" s="147" t="s">
        <v>367</v>
      </c>
      <c r="D565" s="205"/>
      <c r="E565" s="307">
        <v>440</v>
      </c>
      <c r="F565" s="307">
        <v>40683</v>
      </c>
      <c r="G565" s="308">
        <v>8219.2000000000007</v>
      </c>
      <c r="H565" s="308">
        <v>80.36</v>
      </c>
      <c r="I565" s="308">
        <v>-108.34000000000057</v>
      </c>
      <c r="J565" s="307">
        <v>440</v>
      </c>
      <c r="K565" s="307">
        <v>40683</v>
      </c>
      <c r="L565" s="308">
        <v>8219.2000000000007</v>
      </c>
      <c r="M565" s="308">
        <v>-108.34000000000057</v>
      </c>
      <c r="N565" s="308">
        <v>80.36</v>
      </c>
      <c r="O565" s="675">
        <f t="shared" si="66"/>
        <v>0</v>
      </c>
      <c r="P565" s="675">
        <f t="shared" si="67"/>
        <v>0</v>
      </c>
      <c r="Q565" s="671">
        <f t="shared" si="65"/>
        <v>0</v>
      </c>
      <c r="R565" s="683">
        <f t="shared" si="68"/>
        <v>8191.2200000000012</v>
      </c>
      <c r="W565" s="686"/>
      <c r="X565" s="686"/>
      <c r="Y565" s="686"/>
      <c r="Z565" s="686"/>
      <c r="AA565" s="686"/>
    </row>
    <row r="566" spans="1:27" ht="12" thickBot="1">
      <c r="A566" s="197" t="s">
        <v>1222</v>
      </c>
      <c r="B566" s="147" t="s">
        <v>368</v>
      </c>
      <c r="C566" s="147" t="s">
        <v>368</v>
      </c>
      <c r="D566" s="205"/>
      <c r="E566" s="307">
        <v>54</v>
      </c>
      <c r="F566" s="307">
        <v>5082</v>
      </c>
      <c r="G566" s="308">
        <v>1132.3800000000001</v>
      </c>
      <c r="H566" s="308">
        <v>26.740000000000002</v>
      </c>
      <c r="I566" s="308">
        <v>0</v>
      </c>
      <c r="J566" s="307">
        <v>54</v>
      </c>
      <c r="K566" s="307">
        <v>5082</v>
      </c>
      <c r="L566" s="308">
        <v>1132.3800000000001</v>
      </c>
      <c r="M566" s="308">
        <v>0</v>
      </c>
      <c r="N566" s="308">
        <v>26.740000000000002</v>
      </c>
      <c r="O566" s="675">
        <f t="shared" si="66"/>
        <v>0</v>
      </c>
      <c r="P566" s="675">
        <f t="shared" si="67"/>
        <v>0</v>
      </c>
      <c r="Q566" s="671">
        <f t="shared" si="65"/>
        <v>0</v>
      </c>
      <c r="R566" s="683">
        <f t="shared" si="68"/>
        <v>1159.1200000000001</v>
      </c>
      <c r="W566" s="686"/>
      <c r="X566" s="686"/>
      <c r="Y566" s="686"/>
      <c r="Z566" s="686"/>
      <c r="AA566" s="686"/>
    </row>
    <row r="567" spans="1:27" ht="12" thickBot="1">
      <c r="A567" s="197" t="s">
        <v>1222</v>
      </c>
      <c r="B567" s="147" t="s">
        <v>369</v>
      </c>
      <c r="C567" s="147" t="s">
        <v>369</v>
      </c>
      <c r="D567" s="205"/>
      <c r="E567" s="307">
        <v>2</v>
      </c>
      <c r="F567" s="307">
        <v>190</v>
      </c>
      <c r="G567" s="308">
        <v>56.84</v>
      </c>
      <c r="H567" s="308">
        <v>0</v>
      </c>
      <c r="I567" s="308">
        <v>0</v>
      </c>
      <c r="J567" s="307">
        <v>2</v>
      </c>
      <c r="K567" s="307">
        <v>190</v>
      </c>
      <c r="L567" s="308">
        <v>56.84</v>
      </c>
      <c r="M567" s="308">
        <v>0</v>
      </c>
      <c r="N567" s="308">
        <v>0</v>
      </c>
      <c r="O567" s="675">
        <f t="shared" si="66"/>
        <v>0</v>
      </c>
      <c r="P567" s="675">
        <f t="shared" si="67"/>
        <v>0</v>
      </c>
      <c r="Q567" s="671">
        <f t="shared" si="65"/>
        <v>0</v>
      </c>
      <c r="R567" s="683">
        <f t="shared" si="68"/>
        <v>56.84</v>
      </c>
      <c r="W567" s="686"/>
      <c r="X567" s="686"/>
      <c r="Y567" s="686"/>
      <c r="Z567" s="686"/>
      <c r="AA567" s="686"/>
    </row>
    <row r="568" spans="1:27" ht="12" thickBot="1">
      <c r="A568" s="197" t="s">
        <v>1222</v>
      </c>
      <c r="B568" s="147" t="s">
        <v>370</v>
      </c>
      <c r="C568" s="147" t="s">
        <v>370</v>
      </c>
      <c r="D568" s="205"/>
      <c r="E568" s="307">
        <v>411</v>
      </c>
      <c r="F568" s="307">
        <v>118439</v>
      </c>
      <c r="G568" s="308">
        <v>16275.6</v>
      </c>
      <c r="H568" s="308">
        <v>125.46</v>
      </c>
      <c r="I568" s="308">
        <v>-179.5199999999997</v>
      </c>
      <c r="J568" s="307">
        <v>411</v>
      </c>
      <c r="K568" s="307">
        <v>118439</v>
      </c>
      <c r="L568" s="308">
        <v>16275.6</v>
      </c>
      <c r="M568" s="308">
        <v>-179.5199999999997</v>
      </c>
      <c r="N568" s="308">
        <v>125.46</v>
      </c>
      <c r="O568" s="675">
        <f t="shared" si="66"/>
        <v>0</v>
      </c>
      <c r="P568" s="675">
        <f t="shared" si="67"/>
        <v>0</v>
      </c>
      <c r="Q568" s="671">
        <f t="shared" si="65"/>
        <v>0</v>
      </c>
      <c r="R568" s="683">
        <f t="shared" si="68"/>
        <v>16221.54</v>
      </c>
      <c r="W568" s="686"/>
      <c r="X568" s="686"/>
      <c r="Y568" s="686"/>
      <c r="Z568" s="686"/>
      <c r="AA568" s="686"/>
    </row>
    <row r="569" spans="1:27" ht="12" thickBot="1">
      <c r="A569" s="197" t="s">
        <v>1222</v>
      </c>
      <c r="B569" s="147" t="s">
        <v>371</v>
      </c>
      <c r="C569" s="147" t="s">
        <v>371</v>
      </c>
      <c r="D569" s="205"/>
      <c r="E569" s="307">
        <v>63</v>
      </c>
      <c r="F569" s="307">
        <v>18286</v>
      </c>
      <c r="G569" s="308">
        <v>2695.14</v>
      </c>
      <c r="H569" s="308">
        <v>33.93</v>
      </c>
      <c r="I569" s="308">
        <v>0</v>
      </c>
      <c r="J569" s="307">
        <v>63</v>
      </c>
      <c r="K569" s="307">
        <v>18286</v>
      </c>
      <c r="L569" s="308">
        <v>2695.14</v>
      </c>
      <c r="M569" s="308">
        <v>0</v>
      </c>
      <c r="N569" s="308">
        <v>33.93</v>
      </c>
      <c r="O569" s="675">
        <f t="shared" si="66"/>
        <v>0</v>
      </c>
      <c r="P569" s="675">
        <f t="shared" si="67"/>
        <v>0</v>
      </c>
      <c r="Q569" s="671">
        <f t="shared" si="65"/>
        <v>0</v>
      </c>
      <c r="R569" s="683">
        <f t="shared" si="68"/>
        <v>2729.0699999999997</v>
      </c>
      <c r="W569" s="686"/>
      <c r="X569" s="686"/>
      <c r="Y569" s="686"/>
      <c r="Z569" s="686"/>
      <c r="AA569" s="686"/>
    </row>
    <row r="570" spans="1:27" ht="12" thickBot="1">
      <c r="A570" s="197" t="s">
        <v>1222</v>
      </c>
      <c r="B570" s="147" t="s">
        <v>659</v>
      </c>
      <c r="C570" s="147" t="s">
        <v>659</v>
      </c>
      <c r="D570" s="205"/>
      <c r="E570" s="307">
        <v>18</v>
      </c>
      <c r="F570" s="307">
        <v>739</v>
      </c>
      <c r="G570" s="308">
        <v>428.94</v>
      </c>
      <c r="H570" s="308">
        <v>0</v>
      </c>
      <c r="I570" s="308">
        <v>0</v>
      </c>
      <c r="J570" s="307">
        <v>18</v>
      </c>
      <c r="K570" s="307">
        <v>739</v>
      </c>
      <c r="L570" s="308">
        <v>428.94</v>
      </c>
      <c r="M570" s="308">
        <v>0</v>
      </c>
      <c r="N570" s="308">
        <v>0</v>
      </c>
      <c r="O570" s="675">
        <f t="shared" si="66"/>
        <v>0</v>
      </c>
      <c r="P570" s="675">
        <f t="shared" si="67"/>
        <v>0</v>
      </c>
      <c r="Q570" s="671">
        <f t="shared" si="65"/>
        <v>0</v>
      </c>
      <c r="R570" s="683">
        <f t="shared" si="68"/>
        <v>428.94</v>
      </c>
      <c r="W570" s="686"/>
      <c r="X570" s="686"/>
      <c r="Y570" s="686"/>
      <c r="Z570" s="686"/>
      <c r="AA570" s="686"/>
    </row>
    <row r="571" spans="1:27" ht="12" thickBot="1">
      <c r="A571" s="197" t="s">
        <v>1222</v>
      </c>
      <c r="B571" s="309" t="s">
        <v>399</v>
      </c>
      <c r="C571" s="309" t="s">
        <v>399</v>
      </c>
      <c r="D571" s="205"/>
      <c r="E571" s="307">
        <v>4</v>
      </c>
      <c r="F571" s="307">
        <v>382</v>
      </c>
      <c r="G571" s="308">
        <v>81.84</v>
      </c>
      <c r="H571" s="308">
        <v>0</v>
      </c>
      <c r="I571" s="308">
        <v>0</v>
      </c>
      <c r="J571" s="307">
        <v>4</v>
      </c>
      <c r="K571" s="307">
        <v>382</v>
      </c>
      <c r="L571" s="308">
        <v>81.84</v>
      </c>
      <c r="M571" s="308">
        <v>0</v>
      </c>
      <c r="N571" s="308">
        <v>0</v>
      </c>
      <c r="O571" s="675">
        <f t="shared" si="66"/>
        <v>0</v>
      </c>
      <c r="P571" s="675">
        <f t="shared" si="67"/>
        <v>0</v>
      </c>
      <c r="Q571" s="671">
        <f t="shared" si="65"/>
        <v>0</v>
      </c>
      <c r="R571" s="683">
        <f t="shared" si="68"/>
        <v>81.84</v>
      </c>
      <c r="W571" s="686"/>
      <c r="X571" s="686"/>
      <c r="Y571" s="686"/>
      <c r="Z571" s="686"/>
      <c r="AA571" s="686"/>
    </row>
    <row r="572" spans="1:27" ht="12" thickBot="1">
      <c r="A572" s="197" t="s">
        <v>1222</v>
      </c>
      <c r="B572" s="147" t="s">
        <v>372</v>
      </c>
      <c r="C572" s="147" t="s">
        <v>372</v>
      </c>
      <c r="D572" s="205"/>
      <c r="E572" s="307">
        <v>44</v>
      </c>
      <c r="F572" s="307">
        <v>4153</v>
      </c>
      <c r="G572" s="308">
        <v>1329.24</v>
      </c>
      <c r="H572" s="308">
        <v>0</v>
      </c>
      <c r="I572" s="308">
        <v>0</v>
      </c>
      <c r="J572" s="307">
        <v>44</v>
      </c>
      <c r="K572" s="307">
        <v>4153</v>
      </c>
      <c r="L572" s="308">
        <v>1329.24</v>
      </c>
      <c r="M572" s="308">
        <v>0</v>
      </c>
      <c r="N572" s="308">
        <v>0</v>
      </c>
      <c r="O572" s="675">
        <f t="shared" si="66"/>
        <v>0</v>
      </c>
      <c r="P572" s="675">
        <f t="shared" si="67"/>
        <v>0</v>
      </c>
      <c r="Q572" s="671">
        <f t="shared" si="65"/>
        <v>0</v>
      </c>
      <c r="R572" s="683">
        <f t="shared" si="68"/>
        <v>1329.24</v>
      </c>
      <c r="W572" s="686"/>
      <c r="X572" s="686"/>
      <c r="Y572" s="686"/>
      <c r="Z572" s="686"/>
      <c r="AA572" s="686"/>
    </row>
    <row r="573" spans="1:27" ht="12" thickBot="1">
      <c r="A573" s="197" t="s">
        <v>1222</v>
      </c>
      <c r="B573" s="147" t="s">
        <v>373</v>
      </c>
      <c r="C573" s="147" t="s">
        <v>373</v>
      </c>
      <c r="D573" s="205"/>
      <c r="E573" s="307">
        <v>2</v>
      </c>
      <c r="F573" s="307">
        <v>573</v>
      </c>
      <c r="G573" s="308">
        <v>85.12</v>
      </c>
      <c r="H573" s="308">
        <v>0</v>
      </c>
      <c r="I573" s="308">
        <v>0</v>
      </c>
      <c r="J573" s="307">
        <v>2</v>
      </c>
      <c r="K573" s="307">
        <v>573</v>
      </c>
      <c r="L573" s="308">
        <v>85.12</v>
      </c>
      <c r="M573" s="308">
        <v>0</v>
      </c>
      <c r="N573" s="308">
        <v>0</v>
      </c>
      <c r="O573" s="675">
        <f t="shared" si="66"/>
        <v>0</v>
      </c>
      <c r="P573" s="675">
        <f t="shared" si="67"/>
        <v>0</v>
      </c>
      <c r="Q573" s="671">
        <f t="shared" si="65"/>
        <v>0</v>
      </c>
      <c r="R573" s="683">
        <f t="shared" si="68"/>
        <v>85.12</v>
      </c>
      <c r="W573" s="686"/>
      <c r="X573" s="686"/>
      <c r="Y573" s="686"/>
      <c r="Z573" s="686"/>
      <c r="AA573" s="686"/>
    </row>
    <row r="574" spans="1:27" ht="12" thickBot="1">
      <c r="A574" s="197" t="s">
        <v>1222</v>
      </c>
      <c r="B574" s="147" t="s">
        <v>374</v>
      </c>
      <c r="C574" s="147" t="s">
        <v>374</v>
      </c>
      <c r="D574" s="205"/>
      <c r="E574" s="307">
        <v>13</v>
      </c>
      <c r="F574" s="307">
        <v>3742</v>
      </c>
      <c r="G574" s="308">
        <v>680.03</v>
      </c>
      <c r="H574" s="308">
        <v>0</v>
      </c>
      <c r="I574" s="308">
        <v>0</v>
      </c>
      <c r="J574" s="307">
        <v>13</v>
      </c>
      <c r="K574" s="307">
        <v>3742</v>
      </c>
      <c r="L574" s="308">
        <v>680.03</v>
      </c>
      <c r="M574" s="308">
        <v>0</v>
      </c>
      <c r="N574" s="308">
        <v>0</v>
      </c>
      <c r="O574" s="675">
        <f t="shared" si="66"/>
        <v>0</v>
      </c>
      <c r="P574" s="675">
        <f t="shared" si="67"/>
        <v>0</v>
      </c>
      <c r="Q574" s="671">
        <f t="shared" si="65"/>
        <v>0</v>
      </c>
      <c r="R574" s="683">
        <f t="shared" si="68"/>
        <v>680.03</v>
      </c>
      <c r="W574" s="686"/>
      <c r="X574" s="686"/>
      <c r="Y574" s="686"/>
      <c r="Z574" s="686"/>
      <c r="AA574" s="686"/>
    </row>
    <row r="575" spans="1:27" ht="12" thickBot="1">
      <c r="A575" s="197" t="s">
        <v>1222</v>
      </c>
      <c r="B575" s="192"/>
      <c r="C575" s="199" t="s">
        <v>7</v>
      </c>
      <c r="D575" s="208"/>
      <c r="E575" s="252">
        <f t="shared" ref="E575:P575" si="69">SUM(E506:E574)</f>
        <v>87600</v>
      </c>
      <c r="F575" s="252">
        <f t="shared" si="69"/>
        <v>6872696</v>
      </c>
      <c r="G575" s="253">
        <f t="shared" si="69"/>
        <v>1514786.34</v>
      </c>
      <c r="H575" s="253">
        <f t="shared" si="69"/>
        <v>27542.140000000003</v>
      </c>
      <c r="I575" s="253">
        <f t="shared" si="69"/>
        <v>-3820.0300000000429</v>
      </c>
      <c r="J575" s="252">
        <f t="shared" si="69"/>
        <v>87666</v>
      </c>
      <c r="K575" s="252">
        <f t="shared" si="69"/>
        <v>6882839</v>
      </c>
      <c r="L575" s="253">
        <f t="shared" si="69"/>
        <v>1515943.4600000002</v>
      </c>
      <c r="M575" s="253">
        <f t="shared" si="69"/>
        <v>-3909.200000000043</v>
      </c>
      <c r="N575" s="253">
        <f t="shared" si="69"/>
        <v>27542.140000000003</v>
      </c>
      <c r="O575" s="252">
        <f t="shared" si="69"/>
        <v>66</v>
      </c>
      <c r="P575" s="252">
        <f t="shared" si="69"/>
        <v>10143</v>
      </c>
      <c r="Q575" s="671">
        <f t="shared" si="65"/>
        <v>-1067.9500000001863</v>
      </c>
      <c r="R575" s="253">
        <f>SUM(R506:R574)</f>
        <v>1538508.4500000004</v>
      </c>
    </row>
    <row r="576" spans="1:27" ht="12" thickBot="1">
      <c r="A576" s="202"/>
      <c r="B576" s="202"/>
      <c r="C576" s="200"/>
      <c r="D576" s="201"/>
      <c r="E576" s="194"/>
      <c r="F576" s="203"/>
      <c r="G576" s="194"/>
      <c r="H576" s="194"/>
      <c r="I576" s="651"/>
      <c r="J576" s="194"/>
      <c r="K576" s="194"/>
      <c r="L576" s="194"/>
      <c r="M576" s="194"/>
      <c r="N576" s="194"/>
      <c r="O576" s="674"/>
      <c r="P576" s="674"/>
      <c r="Q576" s="671"/>
      <c r="R576" s="674"/>
    </row>
    <row r="577" spans="1:23" ht="12" thickBot="1">
      <c r="A577" s="197" t="s">
        <v>1269</v>
      </c>
      <c r="B577" s="147"/>
      <c r="C577" s="147" t="s">
        <v>379</v>
      </c>
      <c r="D577" s="147"/>
      <c r="E577" s="307">
        <v>75</v>
      </c>
      <c r="F577" s="307"/>
      <c r="G577" s="672"/>
      <c r="H577" s="308"/>
      <c r="I577" s="652"/>
      <c r="J577" s="652">
        <v>8.14</v>
      </c>
      <c r="K577" s="661">
        <f>E577*J577</f>
        <v>610.5</v>
      </c>
      <c r="L577" s="652">
        <f>K577/$Q$582*$Q$583</f>
        <v>5.6186184138200429E-5</v>
      </c>
      <c r="M577" s="654">
        <f>ROUND((K577+L577)/J577,0)</f>
        <v>75</v>
      </c>
      <c r="O577" s="679">
        <f>$Q$583/J577</f>
        <v>1.5970515956786398E-2</v>
      </c>
      <c r="P577" s="368"/>
      <c r="Q577" s="678">
        <f>'12MonLights'!$O$660</f>
        <v>1480791</v>
      </c>
      <c r="R577" s="675" t="s">
        <v>1295</v>
      </c>
      <c r="V577" s="671"/>
      <c r="W577" s="671"/>
    </row>
    <row r="578" spans="1:23" ht="12" thickBot="1">
      <c r="A578" s="197" t="s">
        <v>1269</v>
      </c>
      <c r="B578" s="147"/>
      <c r="C578" s="147" t="s">
        <v>241</v>
      </c>
      <c r="D578" s="147"/>
      <c r="E578" s="307">
        <v>3720</v>
      </c>
      <c r="F578" s="307"/>
      <c r="G578" s="308"/>
      <c r="H578" s="308"/>
      <c r="I578" s="652"/>
      <c r="J578" s="652">
        <v>10.959999999999999</v>
      </c>
      <c r="K578" s="661">
        <f t="shared" ref="K578:K641" si="70">E578*J578</f>
        <v>40771.199999999997</v>
      </c>
      <c r="L578" s="652">
        <f t="shared" ref="L578:L641" si="71">K578/$Q$582*$Q$583</f>
        <v>3.7522983632029437E-3</v>
      </c>
      <c r="M578" s="654">
        <f t="shared" ref="M578:M641" si="72">ROUND((K578+L578)/J578,0)</f>
        <v>3720</v>
      </c>
      <c r="O578" s="679">
        <f t="shared" ref="O578:O641" si="73">$Q$583/J578</f>
        <v>1.1861313858416177E-2</v>
      </c>
      <c r="P578" s="368"/>
      <c r="Q578" s="678">
        <f>-Q587</f>
        <v>-40076.44</v>
      </c>
      <c r="R578" s="680" t="s">
        <v>1297</v>
      </c>
      <c r="V578" s="671"/>
      <c r="W578" s="671"/>
    </row>
    <row r="579" spans="1:23" ht="12" thickBot="1">
      <c r="A579" s="197" t="s">
        <v>1269</v>
      </c>
      <c r="B579" s="147"/>
      <c r="C579" s="147" t="s">
        <v>242</v>
      </c>
      <c r="D579" s="147"/>
      <c r="E579" s="307">
        <v>3741</v>
      </c>
      <c r="F579" s="307"/>
      <c r="G579" s="308"/>
      <c r="H579" s="308"/>
      <c r="I579" s="652"/>
      <c r="J579" s="652">
        <v>13.510000000000002</v>
      </c>
      <c r="K579" s="661">
        <f t="shared" si="70"/>
        <v>50540.91</v>
      </c>
      <c r="L579" s="652">
        <f t="shared" si="71"/>
        <v>4.6514346859495752E-3</v>
      </c>
      <c r="M579" s="654">
        <f t="shared" si="72"/>
        <v>3741</v>
      </c>
      <c r="O579" s="679">
        <f t="shared" si="73"/>
        <v>9.622501842208829E-3</v>
      </c>
      <c r="P579" s="368"/>
      <c r="Q579" s="681">
        <f>Q577+Q578</f>
        <v>1440714.56</v>
      </c>
      <c r="R579" s="666" t="s">
        <v>1298</v>
      </c>
      <c r="V579" s="671"/>
      <c r="W579" s="671"/>
    </row>
    <row r="580" spans="1:23" ht="12" thickBot="1">
      <c r="A580" s="197" t="s">
        <v>1269</v>
      </c>
      <c r="B580" s="147"/>
      <c r="C580" s="147" t="s">
        <v>243</v>
      </c>
      <c r="D580" s="147"/>
      <c r="E580" s="307">
        <v>93</v>
      </c>
      <c r="F580" s="307"/>
      <c r="G580" s="308"/>
      <c r="H580" s="308"/>
      <c r="I580" s="652"/>
      <c r="J580" s="652">
        <v>12.450000000000001</v>
      </c>
      <c r="K580" s="661">
        <f t="shared" si="70"/>
        <v>1157.8500000000001</v>
      </c>
      <c r="L580" s="652">
        <f t="shared" si="71"/>
        <v>1.0656048043311282E-4</v>
      </c>
      <c r="M580" s="654">
        <f t="shared" si="72"/>
        <v>93</v>
      </c>
      <c r="O580" s="679">
        <f t="shared" si="73"/>
        <v>1.0441767059296489E-2</v>
      </c>
      <c r="P580" s="368"/>
      <c r="Q580" s="681">
        <v>28178.57</v>
      </c>
      <c r="R580" s="667" t="s">
        <v>1293</v>
      </c>
      <c r="V580" s="671"/>
      <c r="W580" s="671"/>
    </row>
    <row r="581" spans="1:23" ht="12" thickBot="1">
      <c r="A581" s="197" t="s">
        <v>1269</v>
      </c>
      <c r="B581" s="147"/>
      <c r="C581" s="147" t="s">
        <v>244</v>
      </c>
      <c r="D581" s="147"/>
      <c r="E581" s="307">
        <v>727</v>
      </c>
      <c r="F581" s="307"/>
      <c r="G581" s="308"/>
      <c r="H581" s="308"/>
      <c r="I581" s="652"/>
      <c r="J581" s="652">
        <v>15.54</v>
      </c>
      <c r="K581" s="661">
        <f t="shared" si="70"/>
        <v>11297.58</v>
      </c>
      <c r="L581" s="652">
        <f t="shared" si="71"/>
        <v>1.0397508766520072E-3</v>
      </c>
      <c r="M581" s="654">
        <f t="shared" si="72"/>
        <v>727</v>
      </c>
      <c r="O581" s="679">
        <f t="shared" si="73"/>
        <v>8.365508358316686E-3</v>
      </c>
      <c r="P581" s="368"/>
      <c r="Q581" s="681">
        <f>Q579-Q580</f>
        <v>1412535.99</v>
      </c>
      <c r="R581" s="667" t="s">
        <v>1294</v>
      </c>
      <c r="V581" s="671"/>
      <c r="W581" s="671"/>
    </row>
    <row r="582" spans="1:23" ht="12" thickBot="1">
      <c r="A582" s="197" t="s">
        <v>1269</v>
      </c>
      <c r="B582" s="147"/>
      <c r="C582" s="147" t="s">
        <v>245</v>
      </c>
      <c r="D582" s="147"/>
      <c r="E582" s="307">
        <v>1310</v>
      </c>
      <c r="F582" s="307"/>
      <c r="G582" s="308"/>
      <c r="H582" s="308"/>
      <c r="I582" s="652"/>
      <c r="J582" s="652">
        <v>14.24</v>
      </c>
      <c r="K582" s="661">
        <f t="shared" si="70"/>
        <v>18654.400000000001</v>
      </c>
      <c r="L582" s="652">
        <f t="shared" si="71"/>
        <v>1.7168215452705098E-3</v>
      </c>
      <c r="M582" s="654">
        <f t="shared" si="72"/>
        <v>1310</v>
      </c>
      <c r="O582" s="679">
        <f t="shared" si="73"/>
        <v>9.1292134752978434E-3</v>
      </c>
      <c r="P582" s="368"/>
      <c r="Q582" s="681">
        <f>SUM($K$577:$K$645)</f>
        <v>1412535.86</v>
      </c>
      <c r="R582" s="667"/>
      <c r="V582" s="671"/>
      <c r="W582" s="671"/>
    </row>
    <row r="583" spans="1:23" ht="12" thickBot="1">
      <c r="A583" s="197" t="s">
        <v>1269</v>
      </c>
      <c r="B583" s="147"/>
      <c r="C583" s="147" t="s">
        <v>381</v>
      </c>
      <c r="D583" s="147"/>
      <c r="E583" s="307">
        <v>43</v>
      </c>
      <c r="F583" s="307"/>
      <c r="G583" s="308"/>
      <c r="H583" s="308"/>
      <c r="I583" s="652"/>
      <c r="J583" s="652">
        <v>27.69</v>
      </c>
      <c r="K583" s="661">
        <f t="shared" si="70"/>
        <v>1190.67</v>
      </c>
      <c r="L583" s="652">
        <f t="shared" si="71"/>
        <v>1.0958100551651287E-4</v>
      </c>
      <c r="M583" s="654">
        <f t="shared" si="72"/>
        <v>43</v>
      </c>
      <c r="O583" s="679">
        <f t="shared" si="73"/>
        <v>4.6948356767151063E-3</v>
      </c>
      <c r="P583" s="368"/>
      <c r="Q583" s="681">
        <f>Q581-Q582</f>
        <v>0.12999999988824129</v>
      </c>
      <c r="R583" s="667"/>
      <c r="V583" s="671"/>
      <c r="W583" s="671"/>
    </row>
    <row r="584" spans="1:23" ht="12" thickBot="1">
      <c r="A584" s="197" t="s">
        <v>1269</v>
      </c>
      <c r="B584" s="309"/>
      <c r="C584" s="309" t="s">
        <v>246</v>
      </c>
      <c r="D584" s="147"/>
      <c r="E584" s="307">
        <v>370</v>
      </c>
      <c r="F584" s="307"/>
      <c r="G584" s="308"/>
      <c r="H584" s="308"/>
      <c r="I584" s="652"/>
      <c r="J584" s="652">
        <v>28.89</v>
      </c>
      <c r="K584" s="661">
        <f t="shared" si="70"/>
        <v>10689.300000000001</v>
      </c>
      <c r="L584" s="652">
        <f t="shared" si="71"/>
        <v>9.83769005910673E-4</v>
      </c>
      <c r="M584" s="654">
        <f t="shared" si="72"/>
        <v>370</v>
      </c>
      <c r="O584" s="679">
        <f t="shared" si="73"/>
        <v>4.4998269258650497E-3</v>
      </c>
      <c r="P584" s="368"/>
      <c r="Q584" s="681"/>
      <c r="R584" s="667"/>
      <c r="V584" s="671"/>
      <c r="W584" s="671"/>
    </row>
    <row r="585" spans="1:23" ht="12" thickBot="1">
      <c r="A585" s="197" t="s">
        <v>1269</v>
      </c>
      <c r="B585" s="147"/>
      <c r="C585" s="147" t="s">
        <v>252</v>
      </c>
      <c r="D585" s="147"/>
      <c r="E585" s="307">
        <v>3942</v>
      </c>
      <c r="F585" s="307"/>
      <c r="G585" s="308"/>
      <c r="H585" s="308"/>
      <c r="I585" s="652"/>
      <c r="J585" s="652">
        <v>9.57</v>
      </c>
      <c r="K585" s="661">
        <f t="shared" si="70"/>
        <v>37724.94</v>
      </c>
      <c r="L585" s="652">
        <f t="shared" si="71"/>
        <v>3.4719417288166473E-3</v>
      </c>
      <c r="M585" s="654">
        <f t="shared" si="72"/>
        <v>3942</v>
      </c>
      <c r="O585" s="679">
        <f t="shared" si="73"/>
        <v>1.3584117020714869E-2</v>
      </c>
      <c r="P585" s="368"/>
      <c r="Q585" s="659">
        <f>'12MonResults'!$AL$336</f>
        <v>17578.96</v>
      </c>
      <c r="R585" s="667" t="s">
        <v>17</v>
      </c>
      <c r="V585" s="671"/>
      <c r="W585" s="671"/>
    </row>
    <row r="586" spans="1:23" ht="12" thickBot="1">
      <c r="A586" s="197" t="s">
        <v>1269</v>
      </c>
      <c r="B586" s="147"/>
      <c r="C586" s="147" t="s">
        <v>263</v>
      </c>
      <c r="D586" s="147"/>
      <c r="E586" s="307">
        <v>1956</v>
      </c>
      <c r="F586" s="307"/>
      <c r="G586" s="308"/>
      <c r="H586" s="308"/>
      <c r="I586" s="652"/>
      <c r="J586" s="652">
        <v>27.34</v>
      </c>
      <c r="K586" s="661">
        <f t="shared" si="70"/>
        <v>53477.04</v>
      </c>
      <c r="L586" s="652">
        <f t="shared" si="71"/>
        <v>4.9216557192561993E-3</v>
      </c>
      <c r="M586" s="654">
        <f t="shared" si="72"/>
        <v>1956</v>
      </c>
      <c r="O586" s="679">
        <f t="shared" si="73"/>
        <v>4.7549378159561558E-3</v>
      </c>
      <c r="P586" s="368"/>
      <c r="Q586" s="667">
        <f>'12MonResults'!$AL$338</f>
        <v>22497.48</v>
      </c>
      <c r="R586" s="682" t="s">
        <v>18</v>
      </c>
      <c r="V586" s="671"/>
      <c r="W586" s="671"/>
    </row>
    <row r="587" spans="1:23" ht="12" thickBot="1">
      <c r="A587" s="197" t="s">
        <v>1269</v>
      </c>
      <c r="B587" s="147"/>
      <c r="C587" s="147" t="s">
        <v>264</v>
      </c>
      <c r="D587" s="147"/>
      <c r="E587" s="307">
        <v>2153</v>
      </c>
      <c r="F587" s="307"/>
      <c r="G587" s="308"/>
      <c r="H587" s="308"/>
      <c r="I587" s="652"/>
      <c r="J587" s="652">
        <v>31.4</v>
      </c>
      <c r="K587" s="661">
        <f t="shared" si="70"/>
        <v>67604.2</v>
      </c>
      <c r="L587" s="652">
        <f t="shared" si="71"/>
        <v>6.2218215064958711E-3</v>
      </c>
      <c r="M587" s="654">
        <f t="shared" si="72"/>
        <v>2153</v>
      </c>
      <c r="O587" s="679">
        <f t="shared" si="73"/>
        <v>4.1401273849758372E-3</v>
      </c>
      <c r="P587" s="368"/>
      <c r="Q587" s="667">
        <f>Q585+Q586</f>
        <v>40076.44</v>
      </c>
      <c r="R587" s="682"/>
      <c r="V587" s="671"/>
      <c r="W587" s="671"/>
    </row>
    <row r="588" spans="1:23" ht="12" thickBot="1">
      <c r="A588" s="197" t="s">
        <v>1269</v>
      </c>
      <c r="B588" s="147"/>
      <c r="C588" s="147" t="s">
        <v>267</v>
      </c>
      <c r="D588" s="147"/>
      <c r="E588" s="307">
        <v>16123</v>
      </c>
      <c r="F588" s="307"/>
      <c r="G588" s="308"/>
      <c r="H588" s="308"/>
      <c r="I588" s="652"/>
      <c r="J588" s="652">
        <v>17.189999999999998</v>
      </c>
      <c r="K588" s="661">
        <f t="shared" si="70"/>
        <v>277154.36999999994</v>
      </c>
      <c r="L588" s="652">
        <f t="shared" si="71"/>
        <v>2.5507365221174333E-2</v>
      </c>
      <c r="M588" s="654">
        <f t="shared" si="72"/>
        <v>16123</v>
      </c>
      <c r="O588" s="679">
        <f t="shared" si="73"/>
        <v>7.562536351846498E-3</v>
      </c>
      <c r="P588" s="308"/>
      <c r="Q588" s="673"/>
      <c r="R588" s="683"/>
      <c r="V588" s="671"/>
      <c r="W588" s="671"/>
    </row>
    <row r="589" spans="1:23" ht="12" thickBot="1">
      <c r="A589" s="197" t="s">
        <v>1269</v>
      </c>
      <c r="B589" s="147"/>
      <c r="C589" s="147" t="s">
        <v>392</v>
      </c>
      <c r="D589" s="147"/>
      <c r="E589" s="307">
        <v>494</v>
      </c>
      <c r="F589" s="307"/>
      <c r="G589" s="308"/>
      <c r="H589" s="308"/>
      <c r="I589" s="652"/>
      <c r="J589" s="652">
        <v>24.89</v>
      </c>
      <c r="K589" s="661">
        <f t="shared" si="70"/>
        <v>12295.66</v>
      </c>
      <c r="L589" s="652">
        <f t="shared" si="71"/>
        <v>1.1316072348250706E-3</v>
      </c>
      <c r="M589" s="654">
        <f t="shared" si="72"/>
        <v>494</v>
      </c>
      <c r="O589" s="679">
        <f t="shared" si="73"/>
        <v>5.2229811124243188E-3</v>
      </c>
      <c r="P589" s="308"/>
      <c r="Q589" s="673"/>
      <c r="R589" s="683"/>
      <c r="V589" s="671"/>
      <c r="W589" s="671"/>
    </row>
    <row r="590" spans="1:23" ht="12" thickBot="1">
      <c r="A590" s="197" t="s">
        <v>1269</v>
      </c>
      <c r="B590" s="147"/>
      <c r="C590" s="147" t="s">
        <v>268</v>
      </c>
      <c r="D590" s="147"/>
      <c r="E590" s="307">
        <v>1267</v>
      </c>
      <c r="F590" s="307"/>
      <c r="G590" s="308"/>
      <c r="H590" s="308"/>
      <c r="I590" s="652"/>
      <c r="J590" s="652">
        <v>14.17</v>
      </c>
      <c r="K590" s="661">
        <f t="shared" si="70"/>
        <v>17953.39</v>
      </c>
      <c r="L590" s="652">
        <f t="shared" si="71"/>
        <v>1.6523054487222379E-3</v>
      </c>
      <c r="M590" s="654">
        <f t="shared" si="72"/>
        <v>1267</v>
      </c>
      <c r="O590" s="679">
        <f t="shared" si="73"/>
        <v>9.1743119187185102E-3</v>
      </c>
      <c r="P590" s="308"/>
      <c r="Q590" s="673"/>
      <c r="R590" s="683"/>
      <c r="V590" s="671"/>
      <c r="W590" s="671"/>
    </row>
    <row r="591" spans="1:23" ht="12" thickBot="1">
      <c r="A591" s="197" t="s">
        <v>1269</v>
      </c>
      <c r="B591" s="147"/>
      <c r="C591" s="147" t="s">
        <v>269</v>
      </c>
      <c r="D591" s="147"/>
      <c r="E591" s="307">
        <v>2166</v>
      </c>
      <c r="F591" s="307"/>
      <c r="G591" s="308"/>
      <c r="H591" s="308"/>
      <c r="I591" s="652"/>
      <c r="J591" s="652">
        <v>22.15</v>
      </c>
      <c r="K591" s="661">
        <f t="shared" si="70"/>
        <v>47976.899999999994</v>
      </c>
      <c r="L591" s="652">
        <f t="shared" si="71"/>
        <v>4.4154609955446818E-3</v>
      </c>
      <c r="M591" s="654">
        <f t="shared" si="72"/>
        <v>2166</v>
      </c>
      <c r="O591" s="679">
        <f t="shared" si="73"/>
        <v>5.8690744870537829E-3</v>
      </c>
      <c r="P591" s="308"/>
      <c r="Q591" s="673"/>
      <c r="R591" s="683"/>
      <c r="V591" s="671"/>
      <c r="W591" s="671"/>
    </row>
    <row r="592" spans="1:23" ht="12" thickBot="1">
      <c r="A592" s="197" t="s">
        <v>1269</v>
      </c>
      <c r="B592" s="309"/>
      <c r="C592" s="309" t="s">
        <v>393</v>
      </c>
      <c r="D592" s="147"/>
      <c r="E592" s="307">
        <v>16</v>
      </c>
      <c r="F592" s="307"/>
      <c r="G592" s="308"/>
      <c r="H592" s="308"/>
      <c r="I592" s="652"/>
      <c r="J592" s="652">
        <v>72.550000000000011</v>
      </c>
      <c r="K592" s="661">
        <f t="shared" si="70"/>
        <v>1160.8000000000002</v>
      </c>
      <c r="L592" s="652">
        <f t="shared" si="71"/>
        <v>1.0683197796498456E-4</v>
      </c>
      <c r="M592" s="654">
        <f t="shared" si="72"/>
        <v>16</v>
      </c>
      <c r="O592" s="679">
        <f t="shared" si="73"/>
        <v>1.7918676759233808E-3</v>
      </c>
      <c r="P592" s="308"/>
      <c r="Q592" s="673"/>
      <c r="R592" s="683"/>
      <c r="V592" s="671"/>
      <c r="W592" s="671"/>
    </row>
    <row r="593" spans="1:23" ht="12" thickBot="1">
      <c r="A593" s="197" t="s">
        <v>1269</v>
      </c>
      <c r="B593" s="147"/>
      <c r="C593" s="147" t="s">
        <v>394</v>
      </c>
      <c r="D593" s="147"/>
      <c r="E593" s="307">
        <v>11</v>
      </c>
      <c r="F593" s="307"/>
      <c r="G593" s="308"/>
      <c r="H593" s="308"/>
      <c r="I593" s="652"/>
      <c r="J593" s="652">
        <v>41.43</v>
      </c>
      <c r="K593" s="661">
        <f t="shared" si="70"/>
        <v>455.73</v>
      </c>
      <c r="L593" s="652">
        <f t="shared" si="71"/>
        <v>4.1942227186407998E-5</v>
      </c>
      <c r="M593" s="654">
        <f t="shared" si="72"/>
        <v>11</v>
      </c>
      <c r="O593" s="679">
        <f t="shared" si="73"/>
        <v>3.1378228309978588E-3</v>
      </c>
      <c r="P593" s="308"/>
      <c r="Q593" s="673"/>
      <c r="R593" s="683"/>
      <c r="V593" s="671"/>
      <c r="W593" s="671"/>
    </row>
    <row r="594" spans="1:23" ht="12" thickBot="1">
      <c r="A594" s="197" t="s">
        <v>1269</v>
      </c>
      <c r="B594" s="147"/>
      <c r="C594" s="147" t="s">
        <v>398</v>
      </c>
      <c r="D594" s="147"/>
      <c r="E594" s="307">
        <v>44</v>
      </c>
      <c r="F594" s="307"/>
      <c r="G594" s="308"/>
      <c r="H594" s="308"/>
      <c r="I594" s="652"/>
      <c r="J594" s="652">
        <v>19.38</v>
      </c>
      <c r="K594" s="661">
        <f t="shared" si="70"/>
        <v>852.71999999999991</v>
      </c>
      <c r="L594" s="652">
        <f t="shared" si="71"/>
        <v>7.847843233141076E-5</v>
      </c>
      <c r="M594" s="654">
        <f t="shared" si="72"/>
        <v>44</v>
      </c>
      <c r="O594" s="679">
        <f t="shared" si="73"/>
        <v>6.707946330662606E-3</v>
      </c>
      <c r="P594" s="308"/>
      <c r="Q594" s="673"/>
      <c r="R594" s="683"/>
      <c r="V594" s="671"/>
      <c r="W594" s="671"/>
    </row>
    <row r="595" spans="1:23" ht="12" thickBot="1">
      <c r="A595" s="197" t="s">
        <v>1269</v>
      </c>
      <c r="B595" s="147"/>
      <c r="C595" s="147" t="s">
        <v>395</v>
      </c>
      <c r="D595" s="147"/>
      <c r="E595" s="307">
        <v>232</v>
      </c>
      <c r="F595" s="307"/>
      <c r="G595" s="308"/>
      <c r="H595" s="308"/>
      <c r="I595" s="652"/>
      <c r="J595" s="652">
        <v>20.349999999999998</v>
      </c>
      <c r="K595" s="661">
        <f t="shared" si="70"/>
        <v>4721.2</v>
      </c>
      <c r="L595" s="652">
        <f t="shared" si="71"/>
        <v>4.3450649066874996E-4</v>
      </c>
      <c r="M595" s="654">
        <f t="shared" si="72"/>
        <v>232</v>
      </c>
      <c r="O595" s="679">
        <f t="shared" si="73"/>
        <v>6.3882063827145601E-3</v>
      </c>
      <c r="P595" s="308"/>
      <c r="Q595" s="673"/>
      <c r="R595" s="683"/>
      <c r="V595" s="671"/>
      <c r="W595" s="671"/>
    </row>
    <row r="596" spans="1:23" ht="12" thickBot="1">
      <c r="A596" s="197" t="s">
        <v>1269</v>
      </c>
      <c r="B596" s="147"/>
      <c r="C596" s="147" t="s">
        <v>396</v>
      </c>
      <c r="D596" s="147"/>
      <c r="E596" s="307">
        <v>100</v>
      </c>
      <c r="F596" s="307"/>
      <c r="G596" s="308"/>
      <c r="H596" s="308"/>
      <c r="I596" s="652"/>
      <c r="J596" s="652">
        <v>19.53</v>
      </c>
      <c r="K596" s="661">
        <f t="shared" si="70"/>
        <v>1953</v>
      </c>
      <c r="L596" s="652">
        <f t="shared" si="71"/>
        <v>1.7974056940525053E-4</v>
      </c>
      <c r="M596" s="654">
        <f t="shared" si="72"/>
        <v>100</v>
      </c>
      <c r="O596" s="679">
        <f t="shared" si="73"/>
        <v>6.6564260055423088E-3</v>
      </c>
      <c r="P596" s="308"/>
      <c r="Q596" s="673"/>
      <c r="R596" s="683"/>
      <c r="V596" s="671"/>
      <c r="W596" s="671"/>
    </row>
    <row r="597" spans="1:23" ht="12" thickBot="1">
      <c r="A597" s="197" t="s">
        <v>1269</v>
      </c>
      <c r="B597" s="147"/>
      <c r="C597" s="147" t="s">
        <v>397</v>
      </c>
      <c r="D597" s="309"/>
      <c r="E597" s="307">
        <v>76</v>
      </c>
      <c r="F597" s="307"/>
      <c r="G597" s="308"/>
      <c r="H597" s="308"/>
      <c r="I597" s="652"/>
      <c r="J597" s="652">
        <v>20.819999999999997</v>
      </c>
      <c r="K597" s="661">
        <f t="shared" si="70"/>
        <v>1582.3199999999997</v>
      </c>
      <c r="L597" s="652">
        <f t="shared" si="71"/>
        <v>1.4562575411229697E-4</v>
      </c>
      <c r="M597" s="654">
        <f t="shared" si="72"/>
        <v>76</v>
      </c>
      <c r="O597" s="679">
        <f t="shared" si="73"/>
        <v>6.2439961521729738E-3</v>
      </c>
      <c r="P597" s="308"/>
      <c r="Q597" s="673"/>
      <c r="R597" s="683"/>
      <c r="V597" s="671"/>
      <c r="W597" s="671"/>
    </row>
    <row r="598" spans="1:23" ht="12" thickBot="1">
      <c r="A598" s="197" t="s">
        <v>1269</v>
      </c>
      <c r="B598" s="147"/>
      <c r="C598" s="147" t="s">
        <v>287</v>
      </c>
      <c r="D598" s="147"/>
      <c r="E598" s="307">
        <v>541</v>
      </c>
      <c r="F598" s="307"/>
      <c r="G598" s="308"/>
      <c r="H598" s="308"/>
      <c r="I598" s="652"/>
      <c r="J598" s="652">
        <v>19.2</v>
      </c>
      <c r="K598" s="661">
        <f t="shared" si="70"/>
        <v>10387.199999999999</v>
      </c>
      <c r="L598" s="652">
        <f t="shared" si="71"/>
        <v>9.5596581798577463E-4</v>
      </c>
      <c r="M598" s="654">
        <f t="shared" si="72"/>
        <v>541</v>
      </c>
      <c r="O598" s="679">
        <f t="shared" si="73"/>
        <v>6.7708333275125678E-3</v>
      </c>
      <c r="P598" s="308"/>
      <c r="Q598" s="673"/>
      <c r="R598" s="683"/>
      <c r="V598" s="671"/>
      <c r="W598" s="671"/>
    </row>
    <row r="599" spans="1:23" ht="12" thickBot="1">
      <c r="A599" s="197" t="s">
        <v>1269</v>
      </c>
      <c r="B599" s="147"/>
      <c r="C599" s="147" t="s">
        <v>288</v>
      </c>
      <c r="D599" s="147"/>
      <c r="E599" s="307">
        <v>518</v>
      </c>
      <c r="F599" s="307"/>
      <c r="G599" s="308"/>
      <c r="H599" s="308"/>
      <c r="I599" s="652"/>
      <c r="J599" s="652">
        <v>22.949999999999996</v>
      </c>
      <c r="K599" s="661">
        <f t="shared" si="70"/>
        <v>11888.099999999999</v>
      </c>
      <c r="L599" s="652">
        <f t="shared" si="71"/>
        <v>1.0940982402184119E-3</v>
      </c>
      <c r="M599" s="654">
        <f t="shared" si="72"/>
        <v>518</v>
      </c>
      <c r="O599" s="679">
        <f t="shared" si="73"/>
        <v>5.6644880125595347E-3</v>
      </c>
      <c r="P599" s="308"/>
      <c r="Q599" s="673"/>
      <c r="R599" s="683"/>
      <c r="V599" s="671"/>
      <c r="W599" s="671"/>
    </row>
    <row r="600" spans="1:23" ht="12" thickBot="1">
      <c r="A600" s="197" t="s">
        <v>1269</v>
      </c>
      <c r="B600" s="147"/>
      <c r="C600" s="147" t="s">
        <v>291</v>
      </c>
      <c r="D600" s="147"/>
      <c r="E600" s="307">
        <v>53</v>
      </c>
      <c r="F600" s="307"/>
      <c r="G600" s="308"/>
      <c r="H600" s="308"/>
      <c r="I600" s="652"/>
      <c r="J600" s="652">
        <v>17.419999999999998</v>
      </c>
      <c r="K600" s="661">
        <f t="shared" si="70"/>
        <v>923.25999999999988</v>
      </c>
      <c r="L600" s="652">
        <f t="shared" si="71"/>
        <v>8.4970444500302906E-5</v>
      </c>
      <c r="M600" s="654">
        <f t="shared" si="72"/>
        <v>53</v>
      </c>
      <c r="O600" s="679">
        <f t="shared" si="73"/>
        <v>7.4626865607486399E-3</v>
      </c>
      <c r="P600" s="308"/>
      <c r="Q600" s="673"/>
      <c r="R600" s="683"/>
      <c r="V600" s="671"/>
      <c r="W600" s="671"/>
    </row>
    <row r="601" spans="1:23" ht="12" thickBot="1">
      <c r="A601" s="197" t="s">
        <v>1269</v>
      </c>
      <c r="B601" s="309"/>
      <c r="C601" s="309" t="s">
        <v>297</v>
      </c>
      <c r="D601" s="147"/>
      <c r="E601" s="307">
        <v>38</v>
      </c>
      <c r="F601" s="307"/>
      <c r="G601" s="308"/>
      <c r="H601" s="308"/>
      <c r="I601" s="652"/>
      <c r="J601" s="652">
        <v>13.12</v>
      </c>
      <c r="K601" s="661">
        <f t="shared" si="70"/>
        <v>498.55999999999995</v>
      </c>
      <c r="L601" s="652">
        <f t="shared" si="71"/>
        <v>4.5884003216938905E-5</v>
      </c>
      <c r="M601" s="654">
        <f t="shared" si="72"/>
        <v>38</v>
      </c>
      <c r="O601" s="679">
        <f t="shared" si="73"/>
        <v>9.9085365768476607E-3</v>
      </c>
      <c r="P601" s="308"/>
      <c r="Q601" s="673"/>
      <c r="R601" s="683"/>
      <c r="V601" s="671"/>
      <c r="W601" s="671"/>
    </row>
    <row r="602" spans="1:23" ht="12" thickBot="1">
      <c r="A602" s="197" t="s">
        <v>1269</v>
      </c>
      <c r="B602" s="147"/>
      <c r="C602" s="147" t="s">
        <v>299</v>
      </c>
      <c r="D602" s="309"/>
      <c r="E602" s="307">
        <v>16</v>
      </c>
      <c r="F602" s="307"/>
      <c r="G602" s="308"/>
      <c r="H602" s="308"/>
      <c r="I602" s="652"/>
      <c r="J602" s="652">
        <v>9.0200000000000014</v>
      </c>
      <c r="K602" s="661">
        <f t="shared" si="70"/>
        <v>144.32000000000002</v>
      </c>
      <c r="L602" s="652">
        <f t="shared" si="71"/>
        <v>1.3282211457534951E-5</v>
      </c>
      <c r="M602" s="654">
        <f t="shared" si="72"/>
        <v>16</v>
      </c>
      <c r="O602" s="679">
        <f t="shared" si="73"/>
        <v>1.4412416839051138E-2</v>
      </c>
      <c r="P602" s="308"/>
      <c r="Q602" s="673"/>
      <c r="R602" s="683"/>
      <c r="V602" s="671"/>
      <c r="W602" s="671"/>
    </row>
    <row r="603" spans="1:23" ht="12" thickBot="1">
      <c r="A603" s="197" t="s">
        <v>1269</v>
      </c>
      <c r="B603" s="147"/>
      <c r="C603" s="147" t="s">
        <v>377</v>
      </c>
      <c r="D603" s="147"/>
      <c r="E603" s="307">
        <v>31</v>
      </c>
      <c r="F603" s="307"/>
      <c r="G603" s="308"/>
      <c r="H603" s="308"/>
      <c r="I603" s="652"/>
      <c r="J603" s="652">
        <v>23.89</v>
      </c>
      <c r="K603" s="661">
        <f t="shared" si="70"/>
        <v>740.59</v>
      </c>
      <c r="L603" s="652">
        <f t="shared" si="71"/>
        <v>6.815876512843547E-5</v>
      </c>
      <c r="M603" s="654">
        <f t="shared" si="72"/>
        <v>31</v>
      </c>
      <c r="O603" s="679">
        <f t="shared" si="73"/>
        <v>5.4416073624211506E-3</v>
      </c>
      <c r="P603" s="308"/>
      <c r="Q603" s="673"/>
      <c r="R603" s="683"/>
      <c r="V603" s="671"/>
      <c r="W603" s="671"/>
    </row>
    <row r="604" spans="1:23" ht="12" thickBot="1">
      <c r="A604" s="197" t="s">
        <v>1269</v>
      </c>
      <c r="B604" s="147"/>
      <c r="C604" s="147" t="s">
        <v>737</v>
      </c>
      <c r="D604" s="147"/>
      <c r="E604" s="307">
        <v>4</v>
      </c>
      <c r="F604" s="307"/>
      <c r="G604" s="308"/>
      <c r="H604" s="308"/>
      <c r="I604" s="652"/>
      <c r="J604" s="652">
        <v>24.9</v>
      </c>
      <c r="K604" s="661">
        <f t="shared" si="70"/>
        <v>99.6</v>
      </c>
      <c r="L604" s="652">
        <f t="shared" si="71"/>
        <v>9.1664929404828203E-6</v>
      </c>
      <c r="M604" s="654">
        <f t="shared" si="72"/>
        <v>4</v>
      </c>
      <c r="O604" s="679">
        <f t="shared" si="73"/>
        <v>5.2208835296482453E-3</v>
      </c>
      <c r="P604" s="308"/>
      <c r="Q604" s="673"/>
      <c r="R604" s="683"/>
      <c r="V604" s="671"/>
      <c r="W604" s="671"/>
    </row>
    <row r="605" spans="1:23" ht="12" thickBot="1">
      <c r="A605" s="197" t="s">
        <v>1269</v>
      </c>
      <c r="B605" s="147"/>
      <c r="C605" s="147" t="s">
        <v>329</v>
      </c>
      <c r="D605" s="147"/>
      <c r="E605" s="307">
        <v>205</v>
      </c>
      <c r="F605" s="307"/>
      <c r="G605" s="308"/>
      <c r="H605" s="308"/>
      <c r="I605" s="652"/>
      <c r="J605" s="652">
        <v>19.79</v>
      </c>
      <c r="K605" s="661">
        <f t="shared" si="70"/>
        <v>4056.95</v>
      </c>
      <c r="L605" s="652">
        <f t="shared" si="71"/>
        <v>3.7337352946678501E-4</v>
      </c>
      <c r="M605" s="654">
        <f t="shared" si="72"/>
        <v>205</v>
      </c>
      <c r="O605" s="679">
        <f t="shared" si="73"/>
        <v>6.5689742237615614E-3</v>
      </c>
      <c r="P605" s="308"/>
      <c r="Q605" s="673"/>
      <c r="R605" s="683"/>
      <c r="V605" s="671"/>
      <c r="W605" s="671"/>
    </row>
    <row r="606" spans="1:23" ht="12" thickBot="1">
      <c r="A606" s="197" t="s">
        <v>1269</v>
      </c>
      <c r="B606" s="309"/>
      <c r="C606" s="309" t="s">
        <v>330</v>
      </c>
      <c r="D606" s="147"/>
      <c r="E606" s="307">
        <v>1934</v>
      </c>
      <c r="F606" s="307"/>
      <c r="G606" s="308"/>
      <c r="H606" s="308"/>
      <c r="I606" s="652"/>
      <c r="J606" s="652">
        <v>20.49</v>
      </c>
      <c r="K606" s="661">
        <f t="shared" si="70"/>
        <v>39627.659999999996</v>
      </c>
      <c r="L606" s="652">
        <f t="shared" si="71"/>
        <v>3.6470548758820629E-3</v>
      </c>
      <c r="M606" s="654">
        <f t="shared" si="72"/>
        <v>1934</v>
      </c>
      <c r="O606" s="679">
        <f t="shared" si="73"/>
        <v>6.3445583156779553E-3</v>
      </c>
      <c r="P606" s="308"/>
      <c r="Q606" s="673"/>
      <c r="R606" s="683"/>
      <c r="V606" s="671"/>
      <c r="W606" s="671"/>
    </row>
    <row r="607" spans="1:23" ht="12" thickBot="1">
      <c r="A607" s="197" t="s">
        <v>1269</v>
      </c>
      <c r="B607" s="147"/>
      <c r="C607" s="147" t="s">
        <v>332</v>
      </c>
      <c r="D607" s="147"/>
      <c r="E607" s="307">
        <v>26</v>
      </c>
      <c r="F607" s="307"/>
      <c r="G607" s="308"/>
      <c r="H607" s="308"/>
      <c r="I607" s="652"/>
      <c r="J607" s="652">
        <v>20.18</v>
      </c>
      <c r="K607" s="661">
        <f t="shared" si="70"/>
        <v>524.67999999999995</v>
      </c>
      <c r="L607" s="652">
        <f t="shared" si="71"/>
        <v>4.8287906787274365E-5</v>
      </c>
      <c r="M607" s="654">
        <f t="shared" si="72"/>
        <v>26</v>
      </c>
      <c r="O607" s="679">
        <f t="shared" si="73"/>
        <v>6.4420217982280124E-3</v>
      </c>
      <c r="P607" s="308"/>
      <c r="Q607" s="673"/>
      <c r="R607" s="683"/>
      <c r="V607" s="671"/>
      <c r="W607" s="671"/>
    </row>
    <row r="608" spans="1:23" ht="12" thickBot="1">
      <c r="A608" s="197" t="s">
        <v>1269</v>
      </c>
      <c r="B608" s="147"/>
      <c r="C608" s="147" t="s">
        <v>333</v>
      </c>
      <c r="D608" s="147"/>
      <c r="E608" s="307">
        <v>1727</v>
      </c>
      <c r="F608" s="307"/>
      <c r="G608" s="308"/>
      <c r="H608" s="308"/>
      <c r="I608" s="652"/>
      <c r="J608" s="652">
        <v>22.56</v>
      </c>
      <c r="K608" s="661">
        <f t="shared" si="70"/>
        <v>38961.119999999995</v>
      </c>
      <c r="L608" s="652">
        <f t="shared" si="71"/>
        <v>3.5857111589689163E-3</v>
      </c>
      <c r="M608" s="654">
        <f t="shared" si="72"/>
        <v>1727</v>
      </c>
      <c r="O608" s="679">
        <f t="shared" si="73"/>
        <v>5.7624113425638872E-3</v>
      </c>
      <c r="P608" s="308"/>
      <c r="Q608" s="673"/>
      <c r="R608" s="683"/>
      <c r="V608" s="671"/>
      <c r="W608" s="671"/>
    </row>
    <row r="609" spans="1:23" ht="12" thickBot="1">
      <c r="A609" s="197" t="s">
        <v>1269</v>
      </c>
      <c r="B609" s="147"/>
      <c r="C609" s="147" t="s">
        <v>334</v>
      </c>
      <c r="D609" s="147"/>
      <c r="E609" s="307">
        <v>34</v>
      </c>
      <c r="F609" s="307"/>
      <c r="G609" s="308"/>
      <c r="H609" s="308"/>
      <c r="I609" s="652"/>
      <c r="J609" s="652">
        <v>23.68</v>
      </c>
      <c r="K609" s="661">
        <f t="shared" si="70"/>
        <v>805.12</v>
      </c>
      <c r="L609" s="652">
        <f t="shared" si="71"/>
        <v>7.4097658596802507E-5</v>
      </c>
      <c r="M609" s="654">
        <f t="shared" si="72"/>
        <v>34</v>
      </c>
      <c r="O609" s="679">
        <f t="shared" si="73"/>
        <v>5.4898648601453244E-3</v>
      </c>
      <c r="P609" s="308"/>
      <c r="Q609" s="673"/>
      <c r="R609" s="683"/>
      <c r="V609" s="671"/>
      <c r="W609" s="671"/>
    </row>
    <row r="610" spans="1:23" ht="12" thickBot="1">
      <c r="A610" s="197" t="s">
        <v>1269</v>
      </c>
      <c r="B610" s="147"/>
      <c r="C610" s="147" t="s">
        <v>336</v>
      </c>
      <c r="D610" s="147"/>
      <c r="E610" s="307">
        <v>108</v>
      </c>
      <c r="F610" s="307"/>
      <c r="G610" s="308"/>
      <c r="H610" s="308"/>
      <c r="I610" s="652"/>
      <c r="J610" s="652">
        <v>24.77</v>
      </c>
      <c r="K610" s="661">
        <f t="shared" si="70"/>
        <v>2675.16</v>
      </c>
      <c r="L610" s="652">
        <f t="shared" si="71"/>
        <v>2.4620316520745006E-4</v>
      </c>
      <c r="M610" s="654">
        <f t="shared" si="72"/>
        <v>108</v>
      </c>
      <c r="O610" s="679">
        <f t="shared" si="73"/>
        <v>5.2482842102640811E-3</v>
      </c>
      <c r="P610" s="308"/>
      <c r="Q610" s="673"/>
      <c r="R610" s="683"/>
      <c r="V610" s="671"/>
      <c r="W610" s="671"/>
    </row>
    <row r="611" spans="1:23" ht="12" thickBot="1">
      <c r="A611" s="197" t="s">
        <v>1269</v>
      </c>
      <c r="B611" s="147"/>
      <c r="C611" s="147" t="s">
        <v>337</v>
      </c>
      <c r="D611" s="309"/>
      <c r="E611" s="307">
        <v>52</v>
      </c>
      <c r="F611" s="307"/>
      <c r="G611" s="308"/>
      <c r="H611" s="308"/>
      <c r="I611" s="652"/>
      <c r="J611" s="652">
        <v>29.889999999999997</v>
      </c>
      <c r="K611" s="661">
        <f t="shared" si="70"/>
        <v>1554.2799999999997</v>
      </c>
      <c r="L611" s="652">
        <f t="shared" si="71"/>
        <v>1.4304514706359075E-4</v>
      </c>
      <c r="M611" s="654">
        <f t="shared" si="72"/>
        <v>52</v>
      </c>
      <c r="O611" s="679">
        <f t="shared" si="73"/>
        <v>4.3492806921459114E-3</v>
      </c>
      <c r="P611" s="308"/>
      <c r="Q611" s="673"/>
      <c r="R611" s="683"/>
      <c r="V611" s="671"/>
      <c r="W611" s="671"/>
    </row>
    <row r="612" spans="1:23" ht="12" thickBot="1">
      <c r="A612" s="197" t="s">
        <v>1269</v>
      </c>
      <c r="B612" s="147"/>
      <c r="C612" s="147" t="s">
        <v>338</v>
      </c>
      <c r="D612" s="147"/>
      <c r="E612" s="307">
        <v>169</v>
      </c>
      <c r="F612" s="307"/>
      <c r="G612" s="308"/>
      <c r="H612" s="308"/>
      <c r="I612" s="652"/>
      <c r="J612" s="652">
        <v>32.860000000000007</v>
      </c>
      <c r="K612" s="661">
        <f t="shared" si="70"/>
        <v>5553.3400000000011</v>
      </c>
      <c r="L612" s="652">
        <f t="shared" si="71"/>
        <v>5.1109088259137429E-4</v>
      </c>
      <c r="M612" s="654">
        <f t="shared" si="72"/>
        <v>169</v>
      </c>
      <c r="O612" s="679">
        <f t="shared" si="73"/>
        <v>3.956177720275145E-3</v>
      </c>
      <c r="P612" s="308"/>
      <c r="Q612" s="673"/>
      <c r="R612" s="683"/>
      <c r="V612" s="671"/>
      <c r="W612" s="671"/>
    </row>
    <row r="613" spans="1:23" ht="12" thickBot="1">
      <c r="A613" s="197" t="s">
        <v>1269</v>
      </c>
      <c r="B613" s="309"/>
      <c r="C613" s="309" t="s">
        <v>339</v>
      </c>
      <c r="D613" s="147"/>
      <c r="E613" s="307">
        <v>340</v>
      </c>
      <c r="F613" s="307"/>
      <c r="G613" s="308"/>
      <c r="H613" s="308"/>
      <c r="I613" s="652"/>
      <c r="J613" s="652">
        <v>38.389999999999993</v>
      </c>
      <c r="K613" s="661">
        <f t="shared" si="70"/>
        <v>13052.599999999999</v>
      </c>
      <c r="L613" s="652">
        <f t="shared" si="71"/>
        <v>1.2012707405115067E-3</v>
      </c>
      <c r="M613" s="654">
        <f t="shared" si="72"/>
        <v>340</v>
      </c>
      <c r="O613" s="679">
        <f t="shared" si="73"/>
        <v>3.3862985123272026E-3</v>
      </c>
      <c r="P613" s="308"/>
      <c r="Q613" s="673"/>
      <c r="R613" s="683"/>
      <c r="V613" s="671"/>
      <c r="W613" s="671"/>
    </row>
    <row r="614" spans="1:23" ht="12" thickBot="1">
      <c r="A614" s="197" t="s">
        <v>1269</v>
      </c>
      <c r="B614" s="147"/>
      <c r="C614" s="147" t="s">
        <v>340</v>
      </c>
      <c r="D614" s="147"/>
      <c r="E614" s="307">
        <v>17</v>
      </c>
      <c r="F614" s="307"/>
      <c r="G614" s="308"/>
      <c r="H614" s="308"/>
      <c r="I614" s="652"/>
      <c r="J614" s="652">
        <v>26.349999999999998</v>
      </c>
      <c r="K614" s="661">
        <f t="shared" si="70"/>
        <v>447.95</v>
      </c>
      <c r="L614" s="652">
        <f t="shared" si="71"/>
        <v>4.1226209966759841E-5</v>
      </c>
      <c r="M614" s="654">
        <f t="shared" si="72"/>
        <v>17</v>
      </c>
      <c r="O614" s="679">
        <f t="shared" si="73"/>
        <v>4.9335863335195941E-3</v>
      </c>
      <c r="P614" s="308"/>
      <c r="Q614" s="673"/>
      <c r="R614" s="683"/>
      <c r="V614" s="671"/>
      <c r="W614" s="671"/>
    </row>
    <row r="615" spans="1:23" ht="12" thickBot="1">
      <c r="A615" s="197" t="s">
        <v>1269</v>
      </c>
      <c r="B615" s="147"/>
      <c r="C615" s="147" t="s">
        <v>341</v>
      </c>
      <c r="D615" s="147"/>
      <c r="E615" s="307">
        <v>338</v>
      </c>
      <c r="F615" s="307"/>
      <c r="G615" s="308"/>
      <c r="H615" s="308"/>
      <c r="I615" s="652"/>
      <c r="J615" s="652">
        <v>28.45</v>
      </c>
      <c r="K615" s="661">
        <f t="shared" si="70"/>
        <v>9616.1</v>
      </c>
      <c r="L615" s="652">
        <f t="shared" si="71"/>
        <v>8.8499912414635403E-4</v>
      </c>
      <c r="M615" s="654">
        <f t="shared" si="72"/>
        <v>338</v>
      </c>
      <c r="O615" s="679">
        <f t="shared" si="73"/>
        <v>4.5694200312211353E-3</v>
      </c>
      <c r="P615" s="308"/>
      <c r="Q615" s="673"/>
      <c r="R615" s="683"/>
      <c r="V615" s="671"/>
      <c r="W615" s="671"/>
    </row>
    <row r="616" spans="1:23" ht="12" thickBot="1">
      <c r="A616" s="197" t="s">
        <v>1269</v>
      </c>
      <c r="B616" s="147"/>
      <c r="C616" s="147" t="s">
        <v>342</v>
      </c>
      <c r="D616" s="147"/>
      <c r="E616" s="307">
        <v>30</v>
      </c>
      <c r="F616" s="307"/>
      <c r="G616" s="308"/>
      <c r="H616" s="308"/>
      <c r="I616" s="652"/>
      <c r="J616" s="652">
        <v>34.029999999999994</v>
      </c>
      <c r="K616" s="661">
        <f t="shared" si="70"/>
        <v>1020.8999999999999</v>
      </c>
      <c r="L616" s="652">
        <f t="shared" si="71"/>
        <v>9.3956552639948906E-5</v>
      </c>
      <c r="M616" s="654">
        <f t="shared" si="72"/>
        <v>30</v>
      </c>
      <c r="O616" s="679">
        <f t="shared" si="73"/>
        <v>3.8201586802304234E-3</v>
      </c>
      <c r="P616" s="308"/>
      <c r="Q616" s="673"/>
      <c r="R616" s="683"/>
      <c r="V616" s="671"/>
      <c r="W616" s="671"/>
    </row>
    <row r="617" spans="1:23" ht="12" thickBot="1">
      <c r="A617" s="197" t="s">
        <v>1269</v>
      </c>
      <c r="B617" s="147"/>
      <c r="C617" s="147" t="s">
        <v>343</v>
      </c>
      <c r="D617" s="147"/>
      <c r="E617" s="307">
        <v>39</v>
      </c>
      <c r="F617" s="307"/>
      <c r="G617" s="308"/>
      <c r="H617" s="308"/>
      <c r="I617" s="652"/>
      <c r="J617" s="652">
        <v>33.22</v>
      </c>
      <c r="K617" s="661">
        <f t="shared" si="70"/>
        <v>1295.58</v>
      </c>
      <c r="L617" s="652">
        <f t="shared" si="71"/>
        <v>1.1923619401436479E-4</v>
      </c>
      <c r="M617" s="654">
        <f t="shared" si="72"/>
        <v>39</v>
      </c>
      <c r="O617" s="679">
        <f t="shared" si="73"/>
        <v>3.91330523444435E-3</v>
      </c>
      <c r="P617" s="308"/>
      <c r="Q617" s="673"/>
      <c r="R617" s="683"/>
      <c r="V617" s="671"/>
      <c r="W617" s="671"/>
    </row>
    <row r="618" spans="1:23" ht="12" thickBot="1">
      <c r="A618" s="197" t="s">
        <v>1269</v>
      </c>
      <c r="B618" s="147"/>
      <c r="C618" s="147" t="s">
        <v>344</v>
      </c>
      <c r="D618" s="147"/>
      <c r="E618" s="307">
        <v>51</v>
      </c>
      <c r="F618" s="307"/>
      <c r="G618" s="308"/>
      <c r="H618" s="308"/>
      <c r="I618" s="652"/>
      <c r="J618" s="652">
        <v>35.199999999999996</v>
      </c>
      <c r="K618" s="661">
        <f t="shared" si="70"/>
        <v>1795.1999999999998</v>
      </c>
      <c r="L618" s="652">
        <f t="shared" si="71"/>
        <v>1.6521775227665422E-4</v>
      </c>
      <c r="M618" s="654">
        <f t="shared" si="72"/>
        <v>51</v>
      </c>
      <c r="O618" s="679">
        <f t="shared" si="73"/>
        <v>3.6931818150068552E-3</v>
      </c>
      <c r="P618" s="308"/>
      <c r="Q618" s="673"/>
      <c r="R618" s="683"/>
      <c r="V618" s="671"/>
      <c r="W618" s="671"/>
    </row>
    <row r="619" spans="1:23" ht="12" thickBot="1">
      <c r="A619" s="197" t="s">
        <v>1269</v>
      </c>
      <c r="B619" s="147"/>
      <c r="C619" s="147" t="s">
        <v>345</v>
      </c>
      <c r="D619" s="147"/>
      <c r="E619" s="307">
        <v>189</v>
      </c>
      <c r="F619" s="307"/>
      <c r="G619" s="308"/>
      <c r="H619" s="308"/>
      <c r="I619" s="652"/>
      <c r="J619" s="652">
        <v>34.090000000000003</v>
      </c>
      <c r="K619" s="661">
        <f t="shared" si="70"/>
        <v>6443.01</v>
      </c>
      <c r="L619" s="652">
        <f t="shared" si="71"/>
        <v>5.929699365508056E-4</v>
      </c>
      <c r="M619" s="654">
        <f t="shared" si="72"/>
        <v>189</v>
      </c>
      <c r="O619" s="679">
        <f t="shared" si="73"/>
        <v>3.8134350216556551E-3</v>
      </c>
      <c r="P619" s="308"/>
      <c r="Q619" s="673"/>
      <c r="R619" s="683"/>
      <c r="V619" s="671"/>
      <c r="W619" s="671"/>
    </row>
    <row r="620" spans="1:23" ht="12" thickBot="1">
      <c r="A620" s="197" t="s">
        <v>1269</v>
      </c>
      <c r="B620" s="147"/>
      <c r="C620" s="147" t="s">
        <v>346</v>
      </c>
      <c r="D620" s="147"/>
      <c r="E620" s="307">
        <v>183</v>
      </c>
      <c r="F620" s="307"/>
      <c r="G620" s="308"/>
      <c r="H620" s="308"/>
      <c r="I620" s="652"/>
      <c r="J620" s="652">
        <v>36.07</v>
      </c>
      <c r="K620" s="661">
        <f t="shared" si="70"/>
        <v>6600.81</v>
      </c>
      <c r="L620" s="652">
        <f t="shared" si="71"/>
        <v>6.0749275367940172E-4</v>
      </c>
      <c r="M620" s="654">
        <f t="shared" si="72"/>
        <v>183</v>
      </c>
      <c r="O620" s="679">
        <f t="shared" si="73"/>
        <v>3.6041031296989547E-3</v>
      </c>
      <c r="P620" s="308"/>
      <c r="Q620" s="673"/>
      <c r="R620" s="683"/>
      <c r="V620" s="671"/>
      <c r="W620" s="671"/>
    </row>
    <row r="621" spans="1:23" ht="12" thickBot="1">
      <c r="A621" s="197" t="s">
        <v>1269</v>
      </c>
      <c r="B621" s="147"/>
      <c r="C621" s="147" t="s">
        <v>347</v>
      </c>
      <c r="D621" s="147"/>
      <c r="E621" s="307">
        <v>13</v>
      </c>
      <c r="F621" s="307"/>
      <c r="G621" s="308"/>
      <c r="H621" s="308"/>
      <c r="I621" s="652"/>
      <c r="J621" s="652">
        <v>32.26</v>
      </c>
      <c r="K621" s="661">
        <f t="shared" si="70"/>
        <v>419.38</v>
      </c>
      <c r="L621" s="652">
        <f t="shared" si="71"/>
        <v>3.8596825395378376E-5</v>
      </c>
      <c r="M621" s="654">
        <f t="shared" si="72"/>
        <v>13</v>
      </c>
      <c r="O621" s="679">
        <f t="shared" si="73"/>
        <v>4.0297582110428174E-3</v>
      </c>
      <c r="P621" s="308"/>
      <c r="Q621" s="673"/>
      <c r="R621" s="683"/>
      <c r="V621" s="671"/>
      <c r="W621" s="671"/>
    </row>
    <row r="622" spans="1:23" ht="12" thickBot="1">
      <c r="A622" s="197" t="s">
        <v>1269</v>
      </c>
      <c r="B622" s="309"/>
      <c r="C622" s="309" t="s">
        <v>348</v>
      </c>
      <c r="D622" s="309"/>
      <c r="E622" s="307">
        <v>43</v>
      </c>
      <c r="F622" s="307"/>
      <c r="G622" s="308"/>
      <c r="H622" s="308"/>
      <c r="I622" s="652"/>
      <c r="J622" s="652">
        <v>32.93</v>
      </c>
      <c r="K622" s="661">
        <f t="shared" si="70"/>
        <v>1415.99</v>
      </c>
      <c r="L622" s="652">
        <f t="shared" si="71"/>
        <v>1.3031789496781396E-4</v>
      </c>
      <c r="M622" s="654">
        <f t="shared" si="72"/>
        <v>43</v>
      </c>
      <c r="O622" s="679">
        <f t="shared" si="73"/>
        <v>3.9477679893179865E-3</v>
      </c>
      <c r="P622" s="308"/>
      <c r="Q622" s="673"/>
      <c r="R622" s="683"/>
      <c r="V622" s="671"/>
      <c r="W622" s="671"/>
    </row>
    <row r="623" spans="1:23" ht="12" thickBot="1">
      <c r="A623" s="197" t="s">
        <v>1269</v>
      </c>
      <c r="B623" s="147"/>
      <c r="C623" s="147" t="s">
        <v>376</v>
      </c>
      <c r="D623" s="147"/>
      <c r="E623" s="307">
        <v>10</v>
      </c>
      <c r="F623" s="307"/>
      <c r="G623" s="308"/>
      <c r="H623" s="308"/>
      <c r="I623" s="652"/>
      <c r="J623" s="652">
        <v>34.330000000000005</v>
      </c>
      <c r="K623" s="661">
        <f t="shared" si="70"/>
        <v>343.30000000000007</v>
      </c>
      <c r="L623" s="652">
        <f t="shared" si="71"/>
        <v>3.1594950064937281E-5</v>
      </c>
      <c r="M623" s="654">
        <f t="shared" si="72"/>
        <v>10</v>
      </c>
      <c r="O623" s="679">
        <f t="shared" si="73"/>
        <v>3.786775411833419E-3</v>
      </c>
      <c r="P623" s="308"/>
      <c r="Q623" s="673"/>
      <c r="R623" s="683"/>
      <c r="V623" s="671"/>
      <c r="W623" s="671"/>
    </row>
    <row r="624" spans="1:23" ht="12" thickBot="1">
      <c r="A624" s="197" t="s">
        <v>1269</v>
      </c>
      <c r="B624" s="147"/>
      <c r="C624" s="147" t="s">
        <v>349</v>
      </c>
      <c r="D624" s="147"/>
      <c r="E624" s="307">
        <v>185</v>
      </c>
      <c r="F624" s="307"/>
      <c r="G624" s="308"/>
      <c r="H624" s="308"/>
      <c r="I624" s="652"/>
      <c r="J624" s="652">
        <v>34.99</v>
      </c>
      <c r="K624" s="661">
        <f t="shared" si="70"/>
        <v>6473.1500000000005</v>
      </c>
      <c r="L624" s="652">
        <f t="shared" si="71"/>
        <v>5.9574381302897978E-4</v>
      </c>
      <c r="M624" s="654">
        <f t="shared" si="72"/>
        <v>185</v>
      </c>
      <c r="O624" s="679">
        <f t="shared" si="73"/>
        <v>3.715347238875144E-3</v>
      </c>
      <c r="P624" s="308"/>
      <c r="Q624" s="673"/>
      <c r="R624" s="683"/>
      <c r="V624" s="671"/>
      <c r="W624" s="671"/>
    </row>
    <row r="625" spans="1:23" ht="12" thickBot="1">
      <c r="A625" s="197" t="s">
        <v>1269</v>
      </c>
      <c r="B625" s="147"/>
      <c r="C625" s="147" t="s">
        <v>730</v>
      </c>
      <c r="D625" s="147"/>
      <c r="E625" s="307">
        <v>2</v>
      </c>
      <c r="F625" s="307"/>
      <c r="G625" s="308"/>
      <c r="H625" s="308"/>
      <c r="I625" s="652"/>
      <c r="J625" s="652">
        <v>18.279999999999998</v>
      </c>
      <c r="K625" s="661">
        <f t="shared" si="70"/>
        <v>36.559999999999995</v>
      </c>
      <c r="L625" s="652">
        <f t="shared" si="71"/>
        <v>3.3647287339764249E-6</v>
      </c>
      <c r="M625" s="654">
        <f t="shared" si="72"/>
        <v>2</v>
      </c>
      <c r="O625" s="679">
        <f t="shared" si="73"/>
        <v>7.1115973680657167E-3</v>
      </c>
      <c r="P625" s="308"/>
      <c r="Q625" s="673"/>
      <c r="R625" s="683"/>
      <c r="V625" s="671"/>
      <c r="W625" s="671"/>
    </row>
    <row r="626" spans="1:23" ht="12" thickBot="1">
      <c r="A626" s="197" t="s">
        <v>1269</v>
      </c>
      <c r="B626" s="147"/>
      <c r="C626" s="147" t="s">
        <v>378</v>
      </c>
      <c r="D626" s="147"/>
      <c r="E626" s="307">
        <v>12</v>
      </c>
      <c r="F626" s="307"/>
      <c r="G626" s="308"/>
      <c r="H626" s="308"/>
      <c r="I626" s="652"/>
      <c r="J626" s="652">
        <v>22.32</v>
      </c>
      <c r="K626" s="661">
        <f t="shared" si="70"/>
        <v>267.84000000000003</v>
      </c>
      <c r="L626" s="652">
        <f t="shared" si="71"/>
        <v>2.4650135232720075E-5</v>
      </c>
      <c r="M626" s="654">
        <f t="shared" si="72"/>
        <v>12</v>
      </c>
      <c r="O626" s="679">
        <f t="shared" si="73"/>
        <v>5.8243727548495201E-3</v>
      </c>
      <c r="P626" s="308"/>
      <c r="Q626" s="673"/>
      <c r="R626" s="683"/>
      <c r="V626" s="671"/>
      <c r="W626" s="671"/>
    </row>
    <row r="627" spans="1:23" ht="12" thickBot="1">
      <c r="A627" s="197" t="s">
        <v>1269</v>
      </c>
      <c r="B627" s="309"/>
      <c r="C627" s="309" t="s">
        <v>354</v>
      </c>
      <c r="D627" s="147"/>
      <c r="E627" s="307">
        <v>6004</v>
      </c>
      <c r="F627" s="307"/>
      <c r="G627" s="308"/>
      <c r="H627" s="308"/>
      <c r="I627" s="652"/>
      <c r="J627" s="652">
        <v>12.82</v>
      </c>
      <c r="K627" s="661">
        <f t="shared" si="70"/>
        <v>76971.28</v>
      </c>
      <c r="L627" s="652">
        <f t="shared" si="71"/>
        <v>7.0839025576297848E-3</v>
      </c>
      <c r="M627" s="654">
        <f t="shared" si="72"/>
        <v>6004</v>
      </c>
      <c r="O627" s="679">
        <f t="shared" si="73"/>
        <v>1.0140405607507121E-2</v>
      </c>
      <c r="P627" s="308"/>
      <c r="Q627" s="673"/>
      <c r="R627" s="683"/>
      <c r="V627" s="671"/>
      <c r="W627" s="671"/>
    </row>
    <row r="628" spans="1:23" ht="12" thickBot="1">
      <c r="A628" s="197" t="s">
        <v>1269</v>
      </c>
      <c r="B628" s="147"/>
      <c r="C628" s="147" t="s">
        <v>355</v>
      </c>
      <c r="D628" s="147"/>
      <c r="E628" s="307">
        <v>8491</v>
      </c>
      <c r="F628" s="307"/>
      <c r="G628" s="308"/>
      <c r="H628" s="308"/>
      <c r="I628" s="652"/>
      <c r="J628" s="652">
        <v>15.08</v>
      </c>
      <c r="K628" s="661">
        <f t="shared" si="70"/>
        <v>128044.28</v>
      </c>
      <c r="L628" s="652">
        <f t="shared" si="71"/>
        <v>1.1784307115353471E-2</v>
      </c>
      <c r="M628" s="654">
        <f t="shared" si="72"/>
        <v>8491</v>
      </c>
      <c r="O628" s="679">
        <f t="shared" si="73"/>
        <v>8.6206896477613593E-3</v>
      </c>
      <c r="P628" s="308"/>
      <c r="Q628" s="673"/>
      <c r="R628" s="683"/>
      <c r="V628" s="671"/>
      <c r="W628" s="671"/>
    </row>
    <row r="629" spans="1:23" ht="12" thickBot="1">
      <c r="A629" s="197" t="s">
        <v>1269</v>
      </c>
      <c r="B629" s="147"/>
      <c r="C629" s="147" t="s">
        <v>356</v>
      </c>
      <c r="D629" s="147"/>
      <c r="E629" s="307">
        <v>5352</v>
      </c>
      <c r="F629" s="307"/>
      <c r="G629" s="308"/>
      <c r="H629" s="308"/>
      <c r="I629" s="652"/>
      <c r="J629" s="652">
        <v>17.38</v>
      </c>
      <c r="K629" s="661">
        <f t="shared" si="70"/>
        <v>93017.76</v>
      </c>
      <c r="L629" s="652">
        <f t="shared" si="71"/>
        <v>8.5607092407582863E-3</v>
      </c>
      <c r="M629" s="654">
        <f t="shared" si="72"/>
        <v>5352</v>
      </c>
      <c r="O629" s="679">
        <f t="shared" si="73"/>
        <v>7.4798619038113521E-3</v>
      </c>
      <c r="P629" s="308"/>
      <c r="Q629" s="673"/>
      <c r="R629" s="683"/>
      <c r="V629" s="671"/>
      <c r="W629" s="671"/>
    </row>
    <row r="630" spans="1:23" ht="12" thickBot="1">
      <c r="A630" s="197" t="s">
        <v>1269</v>
      </c>
      <c r="B630" s="147"/>
      <c r="C630" s="147" t="s">
        <v>357</v>
      </c>
      <c r="D630" s="309"/>
      <c r="E630" s="307">
        <v>377</v>
      </c>
      <c r="F630" s="307"/>
      <c r="G630" s="308"/>
      <c r="H630" s="308"/>
      <c r="I630" s="652"/>
      <c r="J630" s="652">
        <v>13.77</v>
      </c>
      <c r="K630" s="661">
        <f t="shared" si="70"/>
        <v>5191.29</v>
      </c>
      <c r="L630" s="652">
        <f t="shared" si="71"/>
        <v>4.7777031262047261E-4</v>
      </c>
      <c r="M630" s="654">
        <f t="shared" si="72"/>
        <v>377</v>
      </c>
      <c r="O630" s="679">
        <f t="shared" si="73"/>
        <v>9.4408133542658885E-3</v>
      </c>
      <c r="P630" s="308"/>
      <c r="Q630" s="673"/>
      <c r="R630" s="683"/>
      <c r="V630" s="671"/>
      <c r="W630" s="671"/>
    </row>
    <row r="631" spans="1:23" ht="12" thickBot="1">
      <c r="A631" s="197" t="s">
        <v>1269</v>
      </c>
      <c r="B631" s="147"/>
      <c r="C631" s="147" t="s">
        <v>358</v>
      </c>
      <c r="D631" s="147"/>
      <c r="E631" s="307">
        <v>12386</v>
      </c>
      <c r="F631" s="307"/>
      <c r="G631" s="308"/>
      <c r="H631" s="308"/>
      <c r="I631" s="652"/>
      <c r="J631" s="652">
        <v>18.21</v>
      </c>
      <c r="K631" s="661">
        <f t="shared" si="70"/>
        <v>225549.06</v>
      </c>
      <c r="L631" s="652">
        <f t="shared" si="71"/>
        <v>2.0757970544402975E-2</v>
      </c>
      <c r="M631" s="654">
        <f t="shared" si="72"/>
        <v>12386</v>
      </c>
      <c r="O631" s="679">
        <f t="shared" si="73"/>
        <v>7.1389346451532828E-3</v>
      </c>
      <c r="P631" s="308"/>
      <c r="Q631" s="673"/>
      <c r="R631" s="683"/>
      <c r="V631" s="671"/>
      <c r="W631" s="671"/>
    </row>
    <row r="632" spans="1:23" ht="12" thickBot="1">
      <c r="A632" s="197" t="s">
        <v>1269</v>
      </c>
      <c r="B632" s="147"/>
      <c r="C632" s="147" t="s">
        <v>359</v>
      </c>
      <c r="D632" s="147"/>
      <c r="E632" s="307">
        <v>3052</v>
      </c>
      <c r="F632" s="307"/>
      <c r="G632" s="308"/>
      <c r="H632" s="308"/>
      <c r="I632" s="652"/>
      <c r="J632" s="652">
        <v>10.86</v>
      </c>
      <c r="K632" s="661">
        <f t="shared" si="70"/>
        <v>33144.720000000001</v>
      </c>
      <c r="L632" s="652">
        <f t="shared" si="71"/>
        <v>3.0504100591795162E-3</v>
      </c>
      <c r="M632" s="654">
        <f t="shared" si="72"/>
        <v>3052</v>
      </c>
      <c r="O632" s="679">
        <f t="shared" si="73"/>
        <v>1.1970534059690728E-2</v>
      </c>
      <c r="P632" s="308"/>
      <c r="Q632" s="673"/>
      <c r="R632" s="683"/>
      <c r="V632" s="671"/>
      <c r="W632" s="671"/>
    </row>
    <row r="633" spans="1:23" ht="12" thickBot="1">
      <c r="A633" s="197" t="s">
        <v>1269</v>
      </c>
      <c r="B633" s="147"/>
      <c r="C633" s="147" t="s">
        <v>360</v>
      </c>
      <c r="D633" s="147"/>
      <c r="E633" s="307">
        <v>4</v>
      </c>
      <c r="F633" s="307"/>
      <c r="G633" s="308"/>
      <c r="H633" s="308"/>
      <c r="I633" s="652"/>
      <c r="J633" s="652">
        <v>11.13</v>
      </c>
      <c r="K633" s="661">
        <f t="shared" si="70"/>
        <v>44.52</v>
      </c>
      <c r="L633" s="652">
        <f t="shared" si="71"/>
        <v>4.0973119047218395E-6</v>
      </c>
      <c r="M633" s="654">
        <f t="shared" si="72"/>
        <v>4</v>
      </c>
      <c r="O633" s="679">
        <f t="shared" si="73"/>
        <v>1.168014374557424E-2</v>
      </c>
      <c r="P633" s="308"/>
      <c r="Q633" s="673"/>
      <c r="R633" s="683"/>
      <c r="V633" s="671"/>
      <c r="W633" s="671"/>
    </row>
    <row r="634" spans="1:23" ht="12" thickBot="1">
      <c r="A634" s="197" t="s">
        <v>1269</v>
      </c>
      <c r="B634" s="147"/>
      <c r="C634" s="147" t="s">
        <v>365</v>
      </c>
      <c r="D634" s="147"/>
      <c r="E634" s="307">
        <f>18-2</f>
        <v>16</v>
      </c>
      <c r="F634" s="307"/>
      <c r="G634" s="308"/>
      <c r="H634" s="308"/>
      <c r="I634" s="652"/>
      <c r="J634" s="652">
        <v>12.79</v>
      </c>
      <c r="K634" s="661">
        <f t="shared" si="70"/>
        <v>204.64</v>
      </c>
      <c r="L634" s="652">
        <f t="shared" si="71"/>
        <v>1.8833645736349446E-5</v>
      </c>
      <c r="M634" s="654">
        <f t="shared" si="72"/>
        <v>16</v>
      </c>
      <c r="O634" s="679">
        <f t="shared" si="73"/>
        <v>1.0164190765304245E-2</v>
      </c>
      <c r="P634" s="308"/>
      <c r="Q634" s="673"/>
      <c r="R634" s="683"/>
      <c r="V634" s="671"/>
      <c r="W634" s="671"/>
    </row>
    <row r="635" spans="1:23" ht="12" thickBot="1">
      <c r="A635" s="197" t="s">
        <v>1269</v>
      </c>
      <c r="B635" s="147"/>
      <c r="C635" s="147" t="s">
        <v>366</v>
      </c>
      <c r="D635" s="147"/>
      <c r="E635" s="307">
        <v>2</v>
      </c>
      <c r="F635" s="307"/>
      <c r="G635" s="308"/>
      <c r="H635" s="308"/>
      <c r="I635" s="652"/>
      <c r="J635" s="652">
        <v>15.07</v>
      </c>
      <c r="K635" s="661">
        <f t="shared" si="70"/>
        <v>30.14</v>
      </c>
      <c r="L635" s="652">
        <f t="shared" si="71"/>
        <v>2.7738764781742197E-6</v>
      </c>
      <c r="M635" s="654">
        <f t="shared" si="72"/>
        <v>2</v>
      </c>
      <c r="O635" s="679">
        <f t="shared" si="73"/>
        <v>8.6264100788481287E-3</v>
      </c>
      <c r="P635" s="308"/>
      <c r="Q635" s="673"/>
      <c r="R635" s="683"/>
      <c r="V635" s="671"/>
      <c r="W635" s="671"/>
    </row>
    <row r="636" spans="1:23" ht="12" thickBot="1">
      <c r="A636" s="197" t="s">
        <v>1269</v>
      </c>
      <c r="B636" s="147"/>
      <c r="C636" s="147" t="s">
        <v>367</v>
      </c>
      <c r="D636" s="147"/>
      <c r="E636" s="307">
        <v>252</v>
      </c>
      <c r="F636" s="307"/>
      <c r="G636" s="308"/>
      <c r="H636" s="308"/>
      <c r="I636" s="652"/>
      <c r="J636" s="652">
        <v>18.68</v>
      </c>
      <c r="K636" s="661">
        <f t="shared" si="70"/>
        <v>4707.3599999999997</v>
      </c>
      <c r="L636" s="652">
        <f t="shared" si="71"/>
        <v>4.3323275309549409E-4</v>
      </c>
      <c r="M636" s="654">
        <f t="shared" si="72"/>
        <v>252</v>
      </c>
      <c r="O636" s="679">
        <f t="shared" si="73"/>
        <v>6.959314769177799E-3</v>
      </c>
      <c r="P636" s="308"/>
      <c r="Q636" s="673"/>
      <c r="R636" s="683"/>
      <c r="V636" s="671"/>
      <c r="W636" s="671"/>
    </row>
    <row r="637" spans="1:23" ht="12" thickBot="1">
      <c r="A637" s="197" t="s">
        <v>1269</v>
      </c>
      <c r="B637" s="309"/>
      <c r="C637" s="309" t="s">
        <v>368</v>
      </c>
      <c r="D637" s="147"/>
      <c r="E637" s="307">
        <v>51</v>
      </c>
      <c r="F637" s="307"/>
      <c r="G637" s="308"/>
      <c r="H637" s="308"/>
      <c r="I637" s="652"/>
      <c r="J637" s="652">
        <v>20.970000000000002</v>
      </c>
      <c r="K637" s="661">
        <f t="shared" si="70"/>
        <v>1069.47</v>
      </c>
      <c r="L637" s="652">
        <f t="shared" si="71"/>
        <v>9.8426598444359073E-5</v>
      </c>
      <c r="M637" s="654">
        <f t="shared" si="72"/>
        <v>51</v>
      </c>
      <c r="O637" s="679">
        <f t="shared" si="73"/>
        <v>6.1993323742604326E-3</v>
      </c>
      <c r="P637" s="308"/>
      <c r="Q637" s="673"/>
      <c r="R637" s="683"/>
      <c r="V637" s="671"/>
      <c r="W637" s="671"/>
    </row>
    <row r="638" spans="1:23" ht="12" thickBot="1">
      <c r="A638" s="197" t="s">
        <v>1269</v>
      </c>
      <c r="B638" s="147"/>
      <c r="C638" s="147" t="s">
        <v>369</v>
      </c>
      <c r="D638" s="147"/>
      <c r="E638" s="307">
        <v>2</v>
      </c>
      <c r="F638" s="307"/>
      <c r="G638" s="308"/>
      <c r="H638" s="308"/>
      <c r="I638" s="652"/>
      <c r="J638" s="652">
        <v>28.42</v>
      </c>
      <c r="K638" s="661">
        <f t="shared" si="70"/>
        <v>56.84</v>
      </c>
      <c r="L638" s="652">
        <f t="shared" si="71"/>
        <v>5.231159224267506E-6</v>
      </c>
      <c r="M638" s="654">
        <f t="shared" si="72"/>
        <v>2</v>
      </c>
      <c r="O638" s="679">
        <f t="shared" si="73"/>
        <v>4.5742434865672513E-3</v>
      </c>
      <c r="P638" s="308"/>
      <c r="Q638" s="673"/>
      <c r="R638" s="683"/>
      <c r="V638" s="671"/>
      <c r="W638" s="671"/>
    </row>
    <row r="639" spans="1:23" ht="12" thickBot="1">
      <c r="A639" s="197" t="s">
        <v>1269</v>
      </c>
      <c r="B639" s="147"/>
      <c r="C639" s="147" t="s">
        <v>370</v>
      </c>
      <c r="D639" s="147"/>
      <c r="E639" s="307">
        <v>308</v>
      </c>
      <c r="F639" s="307"/>
      <c r="G639" s="308"/>
      <c r="H639" s="308"/>
      <c r="I639" s="652"/>
      <c r="J639" s="652">
        <v>39.6</v>
      </c>
      <c r="K639" s="661">
        <f t="shared" si="70"/>
        <v>12196.800000000001</v>
      </c>
      <c r="L639" s="652">
        <f t="shared" si="71"/>
        <v>1.1225088463502099E-3</v>
      </c>
      <c r="M639" s="654">
        <f t="shared" si="72"/>
        <v>308</v>
      </c>
      <c r="O639" s="679">
        <f t="shared" si="73"/>
        <v>3.2828282800060932E-3</v>
      </c>
      <c r="P639" s="308"/>
      <c r="Q639" s="673"/>
      <c r="R639" s="683"/>
      <c r="V639" s="671"/>
      <c r="W639" s="671"/>
    </row>
    <row r="640" spans="1:23" ht="12" thickBot="1">
      <c r="A640" s="197" t="s">
        <v>1269</v>
      </c>
      <c r="B640" s="147"/>
      <c r="C640" s="147" t="s">
        <v>371</v>
      </c>
      <c r="D640" s="147"/>
      <c r="E640" s="307">
        <v>57</v>
      </c>
      <c r="F640" s="307"/>
      <c r="G640" s="308"/>
      <c r="H640" s="308"/>
      <c r="I640" s="652"/>
      <c r="J640" s="652">
        <v>42.78</v>
      </c>
      <c r="K640" s="661">
        <f t="shared" si="70"/>
        <v>2438.46</v>
      </c>
      <c r="L640" s="652">
        <f t="shared" si="71"/>
        <v>2.2441893951455566E-4</v>
      </c>
      <c r="M640" s="654">
        <f t="shared" si="72"/>
        <v>57</v>
      </c>
      <c r="O640" s="679">
        <f t="shared" si="73"/>
        <v>3.0388031764432277E-3</v>
      </c>
      <c r="P640" s="308"/>
      <c r="Q640" s="673"/>
      <c r="R640" s="683"/>
      <c r="V640" s="671"/>
      <c r="W640" s="671"/>
    </row>
    <row r="641" spans="1:23" ht="12" thickBot="1">
      <c r="A641" s="197" t="s">
        <v>1269</v>
      </c>
      <c r="B641" s="147"/>
      <c r="C641" s="147" t="s">
        <v>659</v>
      </c>
      <c r="D641" s="147"/>
      <c r="E641" s="307">
        <v>16</v>
      </c>
      <c r="F641" s="307"/>
      <c r="G641" s="308"/>
      <c r="H641" s="308"/>
      <c r="I641" s="652"/>
      <c r="J641" s="652">
        <v>23.83</v>
      </c>
      <c r="K641" s="661">
        <f t="shared" si="70"/>
        <v>381.28</v>
      </c>
      <c r="L641" s="652">
        <f t="shared" si="71"/>
        <v>3.5090365746458731E-5</v>
      </c>
      <c r="M641" s="654">
        <f t="shared" si="72"/>
        <v>16</v>
      </c>
      <c r="O641" s="679">
        <f t="shared" si="73"/>
        <v>5.4553084300562864E-3</v>
      </c>
      <c r="P641" s="308"/>
      <c r="Q641" s="673"/>
      <c r="R641" s="683"/>
      <c r="V641" s="671"/>
      <c r="W641" s="671"/>
    </row>
    <row r="642" spans="1:23" ht="12" thickBot="1">
      <c r="A642" s="197" t="s">
        <v>1269</v>
      </c>
      <c r="B642" s="147"/>
      <c r="C642" s="147" t="s">
        <v>399</v>
      </c>
      <c r="D642" s="147"/>
      <c r="E642" s="307">
        <v>4</v>
      </c>
      <c r="F642" s="307"/>
      <c r="G642" s="308"/>
      <c r="H642" s="308"/>
      <c r="I642" s="652"/>
      <c r="J642" s="652">
        <v>20.46</v>
      </c>
      <c r="K642" s="661">
        <f t="shared" ref="K642:K705" si="74">E642*J642</f>
        <v>81.84</v>
      </c>
      <c r="L642" s="652">
        <f t="shared" ref="L642:L645" si="75">K642/$Q$582*$Q$583</f>
        <v>7.5319857655533556E-6</v>
      </c>
      <c r="M642" s="654">
        <f t="shared" ref="M642:M705" si="76">ROUND((K642+L642)/J642,0)</f>
        <v>4</v>
      </c>
      <c r="O642" s="679">
        <f t="shared" ref="O642:O645" si="77">$Q$583/J642</f>
        <v>6.3538611871085671E-3</v>
      </c>
      <c r="P642" s="308"/>
      <c r="Q642" s="673"/>
      <c r="R642" s="683"/>
      <c r="V642" s="671"/>
      <c r="W642" s="671"/>
    </row>
    <row r="643" spans="1:23" ht="12" thickBot="1">
      <c r="A643" s="197" t="s">
        <v>1269</v>
      </c>
      <c r="B643" s="147"/>
      <c r="C643" s="147" t="s">
        <v>372</v>
      </c>
      <c r="D643" s="147"/>
      <c r="E643" s="307">
        <v>38</v>
      </c>
      <c r="F643" s="307"/>
      <c r="G643" s="308"/>
      <c r="H643" s="308"/>
      <c r="I643" s="652"/>
      <c r="J643" s="652">
        <v>30.21</v>
      </c>
      <c r="K643" s="661">
        <f t="shared" si="74"/>
        <v>1147.98</v>
      </c>
      <c r="L643" s="652">
        <f t="shared" si="75"/>
        <v>1.0565211411461316E-4</v>
      </c>
      <c r="M643" s="654">
        <f t="shared" si="76"/>
        <v>38</v>
      </c>
      <c r="O643" s="679">
        <f t="shared" si="77"/>
        <v>4.3032108536326143E-3</v>
      </c>
      <c r="P643" s="308"/>
      <c r="Q643" s="673"/>
      <c r="R643" s="683"/>
      <c r="V643" s="671"/>
      <c r="W643" s="671"/>
    </row>
    <row r="644" spans="1:23" ht="12" thickBot="1">
      <c r="A644" s="197" t="s">
        <v>1269</v>
      </c>
      <c r="B644" s="147"/>
      <c r="C644" s="147" t="s">
        <v>373</v>
      </c>
      <c r="D644" s="147"/>
      <c r="E644" s="307">
        <v>2</v>
      </c>
      <c r="F644" s="307"/>
      <c r="G644" s="308"/>
      <c r="H644" s="308"/>
      <c r="I644" s="652"/>
      <c r="J644" s="652">
        <v>42.56</v>
      </c>
      <c r="K644" s="661">
        <f t="shared" si="74"/>
        <v>85.12</v>
      </c>
      <c r="L644" s="652">
        <f t="shared" si="75"/>
        <v>7.8338542077700589E-6</v>
      </c>
      <c r="M644" s="654">
        <f t="shared" si="76"/>
        <v>2</v>
      </c>
      <c r="O644" s="679">
        <f t="shared" si="77"/>
        <v>3.0545112755695791E-3</v>
      </c>
      <c r="P644" s="308"/>
      <c r="Q644" s="673"/>
      <c r="R644" s="683"/>
      <c r="V644" s="671"/>
      <c r="W644" s="671"/>
    </row>
    <row r="645" spans="1:23" ht="12" thickBot="1">
      <c r="A645" s="197" t="s">
        <v>1269</v>
      </c>
      <c r="B645" s="147"/>
      <c r="C645" s="147" t="s">
        <v>374</v>
      </c>
      <c r="D645" s="147"/>
      <c r="E645" s="307">
        <v>13</v>
      </c>
      <c r="F645" s="307"/>
      <c r="G645" s="308"/>
      <c r="H645" s="308"/>
      <c r="I645" s="652"/>
      <c r="J645" s="652">
        <v>52.31</v>
      </c>
      <c r="K645" s="661">
        <f t="shared" si="74"/>
        <v>680.03</v>
      </c>
      <c r="L645" s="652">
        <f t="shared" si="75"/>
        <v>6.2585242914824633E-5</v>
      </c>
      <c r="M645" s="654">
        <f t="shared" si="76"/>
        <v>13</v>
      </c>
      <c r="O645" s="679">
        <f t="shared" si="77"/>
        <v>2.48518447501895E-3</v>
      </c>
      <c r="P645" s="308"/>
      <c r="Q645" s="673"/>
      <c r="R645" s="683"/>
      <c r="V645" s="671"/>
      <c r="W645" s="671"/>
    </row>
    <row r="646" spans="1:23" ht="12" thickBot="1">
      <c r="A646" s="202"/>
      <c r="B646" s="202"/>
      <c r="C646" s="202"/>
      <c r="D646" s="202"/>
      <c r="E646" s="202"/>
      <c r="F646" s="202"/>
      <c r="G646" s="202"/>
      <c r="H646" s="202"/>
      <c r="I646" s="207"/>
      <c r="J646" s="202"/>
      <c r="K646" s="202"/>
      <c r="L646" s="652"/>
      <c r="M646" s="652"/>
      <c r="N646" s="652"/>
      <c r="O646" s="677"/>
      <c r="R646" s="682"/>
    </row>
    <row r="647" spans="1:23" ht="12" thickBot="1">
      <c r="A647" s="197" t="s">
        <v>1270</v>
      </c>
      <c r="B647" s="147"/>
      <c r="C647" s="147" t="s">
        <v>379</v>
      </c>
      <c r="D647" s="147"/>
      <c r="E647" s="307">
        <v>74</v>
      </c>
      <c r="F647" s="307"/>
      <c r="G647" s="308"/>
      <c r="H647" s="308"/>
      <c r="I647" s="308"/>
      <c r="J647" s="652">
        <v>8.14</v>
      </c>
      <c r="K647" s="661">
        <f t="shared" si="74"/>
        <v>602.36</v>
      </c>
      <c r="L647" s="654">
        <f>K647/$Q$652*$Q$653</f>
        <v>-4.6569178346273324E-5</v>
      </c>
      <c r="M647" s="654">
        <f t="shared" si="76"/>
        <v>74</v>
      </c>
      <c r="O647" s="679">
        <f>$Q$653/J647</f>
        <v>-1.3513513468892407E-2</v>
      </c>
      <c r="P647" s="368"/>
      <c r="Q647" s="678">
        <f>'12MonLights'!$O$733</f>
        <v>1492426</v>
      </c>
      <c r="R647" s="675" t="s">
        <v>1295</v>
      </c>
    </row>
    <row r="648" spans="1:23" ht="12" thickBot="1">
      <c r="A648" s="197" t="s">
        <v>1270</v>
      </c>
      <c r="B648" s="147"/>
      <c r="C648" s="147" t="s">
        <v>241</v>
      </c>
      <c r="D648" s="147"/>
      <c r="E648" s="307">
        <v>3692</v>
      </c>
      <c r="F648" s="307"/>
      <c r="G648" s="308"/>
      <c r="H648" s="308"/>
      <c r="I648" s="308"/>
      <c r="J648" s="652">
        <v>10.959999999999999</v>
      </c>
      <c r="K648" s="661">
        <f t="shared" si="74"/>
        <v>40464.32</v>
      </c>
      <c r="L648" s="654">
        <f t="shared" ref="L648:L711" si="78">K648/$Q$652*$Q$653</f>
        <v>-3.1283453993304249E-3</v>
      </c>
      <c r="M648" s="654">
        <f t="shared" si="76"/>
        <v>3692</v>
      </c>
      <c r="O648" s="679">
        <f t="shared" ref="O648:O711" si="79">$Q$653/J648</f>
        <v>-1.0036496317224836E-2</v>
      </c>
      <c r="P648" s="368"/>
      <c r="Q648" s="678">
        <f>-Q657</f>
        <v>-40757.240000000005</v>
      </c>
      <c r="R648" s="680" t="s">
        <v>1297</v>
      </c>
    </row>
    <row r="649" spans="1:23" ht="12" thickBot="1">
      <c r="A649" s="197" t="s">
        <v>1270</v>
      </c>
      <c r="B649" s="147"/>
      <c r="C649" s="147" t="s">
        <v>242</v>
      </c>
      <c r="D649" s="147"/>
      <c r="E649" s="307">
        <v>3739</v>
      </c>
      <c r="F649" s="307"/>
      <c r="G649" s="308"/>
      <c r="H649" s="308"/>
      <c r="I649" s="308"/>
      <c r="J649" s="653">
        <v>13.510000000000002</v>
      </c>
      <c r="K649" s="661">
        <f t="shared" si="74"/>
        <v>50513.890000000007</v>
      </c>
      <c r="L649" s="654">
        <f t="shared" si="78"/>
        <v>-3.9052897808188342E-3</v>
      </c>
      <c r="M649" s="654">
        <f t="shared" si="76"/>
        <v>3739</v>
      </c>
      <c r="O649" s="679">
        <f t="shared" si="79"/>
        <v>-8.1421169235221455E-3</v>
      </c>
      <c r="P649" s="368"/>
      <c r="Q649" s="681">
        <f>Q647+Q648</f>
        <v>1451668.76</v>
      </c>
      <c r="R649" s="666" t="s">
        <v>1298</v>
      </c>
    </row>
    <row r="650" spans="1:23" ht="12" thickBot="1">
      <c r="A650" s="197" t="s">
        <v>1270</v>
      </c>
      <c r="B650" s="147"/>
      <c r="C650" s="147" t="s">
        <v>243</v>
      </c>
      <c r="D650" s="147"/>
      <c r="E650" s="307">
        <v>93</v>
      </c>
      <c r="F650" s="307"/>
      <c r="G650" s="308"/>
      <c r="H650" s="308"/>
      <c r="I650" s="652"/>
      <c r="J650" s="308">
        <v>12.450000000000001</v>
      </c>
      <c r="K650" s="661">
        <f t="shared" si="74"/>
        <v>1157.8500000000001</v>
      </c>
      <c r="L650" s="654">
        <f t="shared" si="78"/>
        <v>-8.9514780443974661E-5</v>
      </c>
      <c r="M650" s="654">
        <f t="shared" si="76"/>
        <v>93</v>
      </c>
      <c r="O650" s="679">
        <f t="shared" si="79"/>
        <v>-8.8353413362878865E-3</v>
      </c>
      <c r="P650" s="368"/>
      <c r="Q650" s="681">
        <f>'1051'!$L$256</f>
        <v>28847.980000000003</v>
      </c>
      <c r="R650" s="667" t="s">
        <v>1293</v>
      </c>
    </row>
    <row r="651" spans="1:23" ht="12" thickBot="1">
      <c r="A651" s="197" t="s">
        <v>1270</v>
      </c>
      <c r="B651" s="147"/>
      <c r="C651" s="147" t="s">
        <v>244</v>
      </c>
      <c r="D651" s="147"/>
      <c r="E651" s="307">
        <v>786</v>
      </c>
      <c r="F651" s="307"/>
      <c r="G651" s="308"/>
      <c r="H651" s="308"/>
      <c r="I651" s="308"/>
      <c r="J651" s="308">
        <v>15.54</v>
      </c>
      <c r="K651" s="661">
        <f t="shared" si="74"/>
        <v>12214.439999999999</v>
      </c>
      <c r="L651" s="654">
        <f t="shared" si="78"/>
        <v>-9.4431309310023023E-4</v>
      </c>
      <c r="M651" s="654">
        <f t="shared" si="76"/>
        <v>786</v>
      </c>
      <c r="O651" s="679">
        <f t="shared" si="79"/>
        <v>-7.0785070551341181E-3</v>
      </c>
      <c r="P651" s="368"/>
      <c r="Q651" s="681">
        <f>Q649-Q650</f>
        <v>1422820.78</v>
      </c>
      <c r="R651" s="667" t="s">
        <v>1294</v>
      </c>
    </row>
    <row r="652" spans="1:23" ht="12" thickBot="1">
      <c r="A652" s="197" t="s">
        <v>1270</v>
      </c>
      <c r="B652" s="147"/>
      <c r="C652" s="147" t="s">
        <v>245</v>
      </c>
      <c r="D652" s="309"/>
      <c r="E652" s="307">
        <v>1414</v>
      </c>
      <c r="F652" s="307"/>
      <c r="G652" s="308"/>
      <c r="H652" s="308"/>
      <c r="I652" s="308"/>
      <c r="J652" s="308">
        <v>14.24</v>
      </c>
      <c r="K652" s="661">
        <f t="shared" si="74"/>
        <v>20135.36</v>
      </c>
      <c r="L652" s="654">
        <f t="shared" si="78"/>
        <v>-1.556688974876184E-3</v>
      </c>
      <c r="M652" s="654">
        <f t="shared" si="76"/>
        <v>1414</v>
      </c>
      <c r="O652" s="679">
        <f t="shared" si="79"/>
        <v>-7.7247190756168675E-3</v>
      </c>
      <c r="P652" s="368"/>
      <c r="Q652" s="681">
        <f>SUM($K$647:$K$717)</f>
        <v>1422820.8899999997</v>
      </c>
      <c r="R652" s="667"/>
    </row>
    <row r="653" spans="1:23" ht="12" thickBot="1">
      <c r="A653" s="197" t="s">
        <v>1270</v>
      </c>
      <c r="B653" s="147"/>
      <c r="C653" s="147" t="s">
        <v>381</v>
      </c>
      <c r="D653" s="147"/>
      <c r="E653" s="307">
        <v>44</v>
      </c>
      <c r="F653" s="307"/>
      <c r="G653" s="308"/>
      <c r="H653" s="308"/>
      <c r="I653" s="308"/>
      <c r="J653" s="308">
        <v>27.69</v>
      </c>
      <c r="K653" s="661">
        <f t="shared" si="74"/>
        <v>1218.3600000000001</v>
      </c>
      <c r="L653" s="654">
        <f t="shared" si="78"/>
        <v>-9.4192881549182511E-5</v>
      </c>
      <c r="M653" s="654">
        <f t="shared" si="76"/>
        <v>44</v>
      </c>
      <c r="O653" s="679">
        <f t="shared" si="79"/>
        <v>-3.9725532552106965E-3</v>
      </c>
      <c r="P653" s="368"/>
      <c r="Q653" s="681">
        <f>Q651-Q652</f>
        <v>-0.1099999996367842</v>
      </c>
      <c r="R653" s="667"/>
    </row>
    <row r="654" spans="1:23" ht="12" thickBot="1">
      <c r="A654" s="197" t="s">
        <v>1270</v>
      </c>
      <c r="B654" s="309"/>
      <c r="C654" s="309" t="s">
        <v>246</v>
      </c>
      <c r="D654" s="147"/>
      <c r="E654" s="307">
        <v>352</v>
      </c>
      <c r="F654" s="307"/>
      <c r="G654" s="308"/>
      <c r="H654" s="308"/>
      <c r="I654" s="308"/>
      <c r="J654" s="308">
        <v>28.89</v>
      </c>
      <c r="K654" s="661">
        <f t="shared" si="74"/>
        <v>10169.280000000001</v>
      </c>
      <c r="L654" s="654">
        <f t="shared" si="78"/>
        <v>-7.8619930601831205E-4</v>
      </c>
      <c r="M654" s="654">
        <f t="shared" si="76"/>
        <v>352</v>
      </c>
      <c r="O654" s="679">
        <f t="shared" si="79"/>
        <v>-3.8075458510482586E-3</v>
      </c>
      <c r="P654" s="368"/>
      <c r="Q654" s="681"/>
      <c r="R654" s="667"/>
    </row>
    <row r="655" spans="1:23" ht="12" thickBot="1">
      <c r="A655" s="197" t="s">
        <v>1270</v>
      </c>
      <c r="B655" s="147"/>
      <c r="C655" s="147" t="s">
        <v>252</v>
      </c>
      <c r="D655" s="147"/>
      <c r="E655" s="307">
        <v>3890</v>
      </c>
      <c r="F655" s="307"/>
      <c r="G655" s="308"/>
      <c r="H655" s="308"/>
      <c r="I655" s="308"/>
      <c r="J655" s="308">
        <v>9.57</v>
      </c>
      <c r="K655" s="661">
        <f t="shared" si="74"/>
        <v>37227.300000000003</v>
      </c>
      <c r="L655" s="654">
        <f t="shared" si="78"/>
        <v>-2.8780874776715274E-3</v>
      </c>
      <c r="M655" s="654">
        <f t="shared" si="76"/>
        <v>3890</v>
      </c>
      <c r="O655" s="679">
        <f t="shared" si="79"/>
        <v>-1.1494252835609634E-2</v>
      </c>
      <c r="P655" s="368"/>
      <c r="Q655" s="659">
        <f>'12MonResults'!$AL$374</f>
        <v>18130.79</v>
      </c>
      <c r="R655" s="667" t="s">
        <v>17</v>
      </c>
    </row>
    <row r="656" spans="1:23" ht="12" thickBot="1">
      <c r="A656" s="197" t="s">
        <v>1270</v>
      </c>
      <c r="B656" s="147"/>
      <c r="C656" s="147" t="s">
        <v>263</v>
      </c>
      <c r="D656" s="147"/>
      <c r="E656" s="307">
        <v>1954</v>
      </c>
      <c r="F656" s="307"/>
      <c r="G656" s="308"/>
      <c r="H656" s="308"/>
      <c r="I656" s="308"/>
      <c r="J656" s="308">
        <v>27.34</v>
      </c>
      <c r="K656" s="661">
        <f t="shared" si="74"/>
        <v>53422.36</v>
      </c>
      <c r="L656" s="654">
        <f t="shared" si="78"/>
        <v>-4.1301471055827385E-3</v>
      </c>
      <c r="M656" s="654">
        <f t="shared" si="76"/>
        <v>1954</v>
      </c>
      <c r="O656" s="679">
        <f t="shared" si="79"/>
        <v>-4.0234089113673809E-3</v>
      </c>
      <c r="P656" s="368"/>
      <c r="Q656" s="667">
        <f>'12MonResults'!$AL$376</f>
        <v>22626.45</v>
      </c>
      <c r="R656" s="682" t="s">
        <v>18</v>
      </c>
    </row>
    <row r="657" spans="1:18" ht="12" thickBot="1">
      <c r="A657" s="197" t="s">
        <v>1270</v>
      </c>
      <c r="B657" s="147"/>
      <c r="C657" s="147" t="s">
        <v>264</v>
      </c>
      <c r="D657" s="309"/>
      <c r="E657" s="307">
        <v>2198</v>
      </c>
      <c r="F657" s="307"/>
      <c r="G657" s="308"/>
      <c r="H657" s="308"/>
      <c r="I657" s="308"/>
      <c r="J657" s="308">
        <v>31.4</v>
      </c>
      <c r="K657" s="661">
        <f t="shared" si="74"/>
        <v>69017.2</v>
      </c>
      <c r="L657" s="654">
        <f t="shared" si="78"/>
        <v>-5.3358030011295826E-3</v>
      </c>
      <c r="M657" s="654">
        <f t="shared" si="76"/>
        <v>2198</v>
      </c>
      <c r="O657" s="679">
        <f t="shared" si="79"/>
        <v>-3.5031847018084142E-3</v>
      </c>
      <c r="P657" s="368"/>
      <c r="Q657" s="667">
        <f>Q655+Q656</f>
        <v>40757.240000000005</v>
      </c>
      <c r="R657" s="682"/>
    </row>
    <row r="658" spans="1:18" ht="12" thickBot="1">
      <c r="A658" s="197" t="s">
        <v>1270</v>
      </c>
      <c r="B658" s="309"/>
      <c r="C658" s="147" t="s">
        <v>267</v>
      </c>
      <c r="D658" s="147"/>
      <c r="E658" s="307">
        <v>16140</v>
      </c>
      <c r="F658" s="307"/>
      <c r="G658" s="308"/>
      <c r="H658" s="308"/>
      <c r="I658" s="308"/>
      <c r="J658" s="308">
        <v>17.189999999999998</v>
      </c>
      <c r="K658" s="661">
        <f t="shared" si="74"/>
        <v>277446.59999999998</v>
      </c>
      <c r="L658" s="654">
        <f t="shared" si="78"/>
        <v>-2.1449731384831586E-2</v>
      </c>
      <c r="M658" s="654">
        <f t="shared" si="76"/>
        <v>16140</v>
      </c>
      <c r="O658" s="679">
        <f t="shared" si="79"/>
        <v>-6.3990692051648758E-3</v>
      </c>
      <c r="P658" s="368"/>
      <c r="Q658" s="667"/>
      <c r="R658" s="682"/>
    </row>
    <row r="659" spans="1:18" ht="12" thickBot="1">
      <c r="A659" s="197" t="s">
        <v>1270</v>
      </c>
      <c r="B659" s="147"/>
      <c r="C659" s="147" t="s">
        <v>392</v>
      </c>
      <c r="D659" s="147"/>
      <c r="E659" s="307">
        <v>514</v>
      </c>
      <c r="F659" s="307"/>
      <c r="G659" s="308"/>
      <c r="H659" s="308"/>
      <c r="I659" s="308"/>
      <c r="J659" s="308">
        <v>24.89</v>
      </c>
      <c r="K659" s="661">
        <f t="shared" si="74"/>
        <v>12793.460000000001</v>
      </c>
      <c r="L659" s="654">
        <f t="shared" si="78"/>
        <v>-9.8907782788683514E-4</v>
      </c>
      <c r="M659" s="654">
        <f t="shared" si="76"/>
        <v>514</v>
      </c>
      <c r="O659" s="679">
        <f t="shared" si="79"/>
        <v>-4.4194455458732096E-3</v>
      </c>
      <c r="P659" s="368"/>
      <c r="Q659" s="667"/>
      <c r="R659" s="682"/>
    </row>
    <row r="660" spans="1:18" ht="12" thickBot="1">
      <c r="A660" s="197" t="s">
        <v>1270</v>
      </c>
      <c r="B660" s="147"/>
      <c r="C660" s="147" t="s">
        <v>268</v>
      </c>
      <c r="D660" s="147"/>
      <c r="E660" s="307">
        <v>1245</v>
      </c>
      <c r="F660" s="307"/>
      <c r="G660" s="308"/>
      <c r="H660" s="308"/>
      <c r="I660" s="308"/>
      <c r="J660" s="308">
        <v>14.17</v>
      </c>
      <c r="K660" s="661">
        <f t="shared" si="74"/>
        <v>17641.650000000001</v>
      </c>
      <c r="L660" s="654">
        <f t="shared" si="78"/>
        <v>-1.3638972461194848E-3</v>
      </c>
      <c r="M660" s="654">
        <f t="shared" si="76"/>
        <v>1245</v>
      </c>
      <c r="O660" s="679">
        <f t="shared" si="79"/>
        <v>-7.7628792968796184E-3</v>
      </c>
      <c r="P660" s="368"/>
      <c r="Q660" s="667"/>
      <c r="R660" s="682"/>
    </row>
    <row r="661" spans="1:18" ht="12" thickBot="1">
      <c r="A661" s="197" t="s">
        <v>1270</v>
      </c>
      <c r="B661" s="147"/>
      <c r="C661" s="147" t="s">
        <v>269</v>
      </c>
      <c r="D661" s="147"/>
      <c r="E661" s="307">
        <v>2195</v>
      </c>
      <c r="F661" s="307"/>
      <c r="G661" s="308"/>
      <c r="H661" s="308"/>
      <c r="I661" s="308"/>
      <c r="J661" s="308">
        <v>22.15</v>
      </c>
      <c r="K661" s="661">
        <f t="shared" si="74"/>
        <v>48619.25</v>
      </c>
      <c r="L661" s="654">
        <f t="shared" si="78"/>
        <v>-3.7588128765390291E-3</v>
      </c>
      <c r="M661" s="654">
        <f t="shared" si="76"/>
        <v>2195</v>
      </c>
      <c r="O661" s="679">
        <f t="shared" si="79"/>
        <v>-4.9661399384552688E-3</v>
      </c>
      <c r="P661" s="368"/>
      <c r="Q661" s="667"/>
      <c r="R661" s="682"/>
    </row>
    <row r="662" spans="1:18" ht="12" thickBot="1">
      <c r="A662" s="197" t="s">
        <v>1270</v>
      </c>
      <c r="B662" s="147"/>
      <c r="C662" s="147" t="s">
        <v>393</v>
      </c>
      <c r="D662" s="309"/>
      <c r="E662" s="307">
        <v>16</v>
      </c>
      <c r="F662" s="307"/>
      <c r="G662" s="308"/>
      <c r="H662" s="308"/>
      <c r="I662" s="308"/>
      <c r="J662" s="308">
        <v>72.550000000000011</v>
      </c>
      <c r="K662" s="661">
        <f t="shared" si="74"/>
        <v>1160.8000000000002</v>
      </c>
      <c r="L662" s="654">
        <f t="shared" si="78"/>
        <v>-8.9742848503144451E-5</v>
      </c>
      <c r="M662" s="654">
        <f t="shared" si="76"/>
        <v>16</v>
      </c>
      <c r="O662" s="679">
        <f t="shared" si="79"/>
        <v>-1.5161957220783484E-3</v>
      </c>
      <c r="P662" s="368"/>
      <c r="Q662" s="667"/>
      <c r="R662" s="682"/>
    </row>
    <row r="663" spans="1:18" ht="12" thickBot="1">
      <c r="A663" s="197" t="s">
        <v>1270</v>
      </c>
      <c r="B663" s="147"/>
      <c r="C663" s="309" t="s">
        <v>394</v>
      </c>
      <c r="D663" s="147"/>
      <c r="E663" s="307">
        <v>11</v>
      </c>
      <c r="F663" s="307"/>
      <c r="G663" s="308"/>
      <c r="H663" s="308"/>
      <c r="I663" s="308"/>
      <c r="J663" s="308">
        <v>41.43</v>
      </c>
      <c r="K663" s="661">
        <f t="shared" si="74"/>
        <v>455.73</v>
      </c>
      <c r="L663" s="654">
        <f t="shared" si="78"/>
        <v>-3.5233036137437985E-5</v>
      </c>
      <c r="M663" s="654">
        <f t="shared" si="76"/>
        <v>11</v>
      </c>
      <c r="O663" s="679">
        <f t="shared" si="79"/>
        <v>-2.6550808505137386E-3</v>
      </c>
      <c r="P663" s="368"/>
      <c r="Q663" s="667"/>
      <c r="R663" s="682"/>
    </row>
    <row r="664" spans="1:18" ht="12" thickBot="1">
      <c r="A664" s="197" t="s">
        <v>1270</v>
      </c>
      <c r="B664" s="147"/>
      <c r="C664" s="147" t="s">
        <v>398</v>
      </c>
      <c r="D664" s="147"/>
      <c r="E664" s="307">
        <v>44</v>
      </c>
      <c r="F664" s="307"/>
      <c r="G664" s="308"/>
      <c r="H664" s="308"/>
      <c r="I664" s="308"/>
      <c r="J664" s="308">
        <v>19.38</v>
      </c>
      <c r="K664" s="661">
        <f t="shared" si="74"/>
        <v>852.71999999999991</v>
      </c>
      <c r="L664" s="654">
        <f t="shared" si="78"/>
        <v>-6.5924812005169973E-5</v>
      </c>
      <c r="M664" s="654">
        <f t="shared" si="76"/>
        <v>44</v>
      </c>
      <c r="O664" s="679">
        <f t="shared" si="79"/>
        <v>-5.6759545736214763E-3</v>
      </c>
      <c r="P664" s="368"/>
      <c r="Q664" s="667"/>
      <c r="R664" s="682"/>
    </row>
    <row r="665" spans="1:18" ht="12" thickBot="1">
      <c r="A665" s="197" t="s">
        <v>1270</v>
      </c>
      <c r="B665" s="309"/>
      <c r="C665" s="147" t="s">
        <v>395</v>
      </c>
      <c r="D665" s="147"/>
      <c r="E665" s="307">
        <v>232</v>
      </c>
      <c r="F665" s="307"/>
      <c r="G665" s="308"/>
      <c r="H665" s="308"/>
      <c r="I665" s="308"/>
      <c r="J665" s="308">
        <v>20.349999999999998</v>
      </c>
      <c r="K665" s="661">
        <f t="shared" si="74"/>
        <v>4721.2</v>
      </c>
      <c r="L665" s="654">
        <f t="shared" si="78"/>
        <v>-3.650016681194396E-4</v>
      </c>
      <c r="M665" s="654">
        <f t="shared" si="76"/>
        <v>232</v>
      </c>
      <c r="O665" s="679">
        <f t="shared" si="79"/>
        <v>-5.4054053875569634E-3</v>
      </c>
      <c r="P665" s="368"/>
      <c r="Q665" s="667"/>
      <c r="R665" s="682"/>
    </row>
    <row r="666" spans="1:18" ht="12" thickBot="1">
      <c r="A666" s="197" t="s">
        <v>1270</v>
      </c>
      <c r="B666" s="147"/>
      <c r="C666" s="147" t="s">
        <v>396</v>
      </c>
      <c r="D666" s="147"/>
      <c r="E666" s="307">
        <v>100</v>
      </c>
      <c r="F666" s="307"/>
      <c r="G666" s="308"/>
      <c r="H666" s="308"/>
      <c r="I666" s="308"/>
      <c r="J666" s="308">
        <v>19.53</v>
      </c>
      <c r="K666" s="661">
        <f t="shared" si="74"/>
        <v>1953</v>
      </c>
      <c r="L666" s="654">
        <f t="shared" si="78"/>
        <v>-1.5098878629104159E-4</v>
      </c>
      <c r="M666" s="654">
        <f t="shared" si="76"/>
        <v>100</v>
      </c>
      <c r="O666" s="679">
        <f t="shared" si="79"/>
        <v>-5.6323604524723091E-3</v>
      </c>
      <c r="P666" s="368"/>
      <c r="Q666" s="667"/>
      <c r="R666" s="682"/>
    </row>
    <row r="667" spans="1:18" ht="12" thickBot="1">
      <c r="A667" s="197" t="s">
        <v>1270</v>
      </c>
      <c r="B667" s="147"/>
      <c r="C667" s="147" t="s">
        <v>397</v>
      </c>
      <c r="D667" s="309"/>
      <c r="E667" s="307">
        <v>77</v>
      </c>
      <c r="F667" s="307"/>
      <c r="G667" s="308"/>
      <c r="H667" s="308"/>
      <c r="I667" s="308"/>
      <c r="J667" s="308">
        <v>20.819999999999997</v>
      </c>
      <c r="K667" s="661">
        <f t="shared" si="74"/>
        <v>1603.1399999999996</v>
      </c>
      <c r="L667" s="654">
        <f t="shared" si="78"/>
        <v>-1.2394068758557109E-4</v>
      </c>
      <c r="M667" s="654">
        <f t="shared" si="76"/>
        <v>77</v>
      </c>
      <c r="O667" s="679">
        <f t="shared" si="79"/>
        <v>-5.2833813466274838E-3</v>
      </c>
      <c r="P667" s="368"/>
      <c r="Q667" s="667"/>
      <c r="R667" s="682"/>
    </row>
    <row r="668" spans="1:18" ht="12" thickBot="1">
      <c r="A668" s="197" t="s">
        <v>1270</v>
      </c>
      <c r="B668" s="147"/>
      <c r="C668" s="147" t="s">
        <v>287</v>
      </c>
      <c r="D668" s="147"/>
      <c r="E668" s="307">
        <v>539</v>
      </c>
      <c r="F668" s="307"/>
      <c r="G668" s="308"/>
      <c r="H668" s="308"/>
      <c r="I668" s="308"/>
      <c r="J668" s="308">
        <v>19.2</v>
      </c>
      <c r="K668" s="661">
        <f t="shared" si="74"/>
        <v>10348.799999999999</v>
      </c>
      <c r="L668" s="654">
        <f t="shared" si="78"/>
        <v>-8.0007821380887411E-4</v>
      </c>
      <c r="M668" s="654">
        <f t="shared" si="76"/>
        <v>539</v>
      </c>
      <c r="O668" s="679">
        <f t="shared" si="79"/>
        <v>-5.7291666477491772E-3</v>
      </c>
      <c r="P668" s="368"/>
      <c r="Q668" s="667"/>
      <c r="R668" s="682"/>
    </row>
    <row r="669" spans="1:18" ht="12" thickBot="1">
      <c r="A669" s="197" t="s">
        <v>1270</v>
      </c>
      <c r="B669" s="147"/>
      <c r="C669" s="309" t="s">
        <v>288</v>
      </c>
      <c r="D669" s="147"/>
      <c r="E669" s="307">
        <v>516</v>
      </c>
      <c r="F669" s="307"/>
      <c r="G669" s="308"/>
      <c r="H669" s="308"/>
      <c r="I669" s="308"/>
      <c r="J669" s="308">
        <v>22.949999999999996</v>
      </c>
      <c r="K669" s="661">
        <f t="shared" si="74"/>
        <v>11842.199999999997</v>
      </c>
      <c r="L669" s="654">
        <f t="shared" si="78"/>
        <v>-9.1553476959332924E-4</v>
      </c>
      <c r="M669" s="654">
        <f t="shared" si="76"/>
        <v>516</v>
      </c>
      <c r="O669" s="679">
        <f t="shared" si="79"/>
        <v>-4.7930283066136914E-3</v>
      </c>
      <c r="P669" s="368"/>
      <c r="Q669" s="667"/>
      <c r="R669" s="682"/>
    </row>
    <row r="670" spans="1:18" ht="12" thickBot="1">
      <c r="A670" s="197" t="s">
        <v>1270</v>
      </c>
      <c r="B670" s="147"/>
      <c r="C670" s="147" t="s">
        <v>291</v>
      </c>
      <c r="D670" s="147"/>
      <c r="E670" s="307">
        <v>52</v>
      </c>
      <c r="F670" s="307"/>
      <c r="G670" s="308"/>
      <c r="H670" s="308"/>
      <c r="I670" s="308"/>
      <c r="J670" s="308">
        <v>17.419999999999998</v>
      </c>
      <c r="K670" s="661">
        <f t="shared" si="74"/>
        <v>905.83999999999992</v>
      </c>
      <c r="L670" s="654">
        <f t="shared" si="78"/>
        <v>-7.0031583294355912E-5</v>
      </c>
      <c r="M670" s="654">
        <f t="shared" si="76"/>
        <v>52</v>
      </c>
      <c r="O670" s="679">
        <f t="shared" si="79"/>
        <v>-6.3145809205961082E-3</v>
      </c>
      <c r="P670" s="368"/>
      <c r="Q670" s="667"/>
      <c r="R670" s="682"/>
    </row>
    <row r="671" spans="1:18" ht="12" thickBot="1">
      <c r="A671" s="197" t="s">
        <v>1270</v>
      </c>
      <c r="B671" s="309"/>
      <c r="C671" s="147" t="s">
        <v>297</v>
      </c>
      <c r="D671" s="147"/>
      <c r="E671" s="307">
        <v>38</v>
      </c>
      <c r="F671" s="307"/>
      <c r="G671" s="308"/>
      <c r="H671" s="308"/>
      <c r="I671" s="308"/>
      <c r="J671" s="308">
        <v>13.12</v>
      </c>
      <c r="K671" s="661">
        <f t="shared" si="74"/>
        <v>498.55999999999995</v>
      </c>
      <c r="L671" s="654">
        <f t="shared" si="78"/>
        <v>-3.8544275111757135E-5</v>
      </c>
      <c r="M671" s="654">
        <f t="shared" si="76"/>
        <v>38</v>
      </c>
      <c r="O671" s="679">
        <f t="shared" si="79"/>
        <v>-8.3841463137792841E-3</v>
      </c>
      <c r="P671" s="368"/>
      <c r="Q671" s="667"/>
      <c r="R671" s="682"/>
    </row>
    <row r="672" spans="1:18" ht="12" thickBot="1">
      <c r="A672" s="197" t="s">
        <v>1270</v>
      </c>
      <c r="B672" s="147"/>
      <c r="C672" s="147" t="s">
        <v>299</v>
      </c>
      <c r="D672" s="309"/>
      <c r="E672" s="307">
        <v>16</v>
      </c>
      <c r="F672" s="307"/>
      <c r="G672" s="308"/>
      <c r="H672" s="308"/>
      <c r="I672" s="308"/>
      <c r="J672" s="308">
        <v>9.0200000000000014</v>
      </c>
      <c r="K672" s="661">
        <f t="shared" si="74"/>
        <v>144.32000000000002</v>
      </c>
      <c r="L672" s="654">
        <f t="shared" si="78"/>
        <v>-1.1157553321824435E-5</v>
      </c>
      <c r="M672" s="654">
        <f t="shared" si="76"/>
        <v>16</v>
      </c>
      <c r="O672" s="679">
        <f t="shared" si="79"/>
        <v>-1.2195121910951684E-2</v>
      </c>
      <c r="P672" s="368"/>
      <c r="Q672" s="667"/>
      <c r="R672" s="682"/>
    </row>
    <row r="673" spans="1:18" ht="12" thickBot="1">
      <c r="A673" s="197" t="s">
        <v>1270</v>
      </c>
      <c r="B673" s="147"/>
      <c r="C673" s="147" t="s">
        <v>377</v>
      </c>
      <c r="D673" s="147"/>
      <c r="E673" s="307">
        <v>47</v>
      </c>
      <c r="F673" s="307"/>
      <c r="G673" s="308"/>
      <c r="H673" s="308"/>
      <c r="I673" s="308"/>
      <c r="J673" s="308">
        <v>23.89</v>
      </c>
      <c r="K673" s="661">
        <f t="shared" si="74"/>
        <v>1122.83</v>
      </c>
      <c r="L673" s="654">
        <f t="shared" si="78"/>
        <v>-8.6807341992406654E-5</v>
      </c>
      <c r="M673" s="654">
        <f t="shared" si="76"/>
        <v>47</v>
      </c>
      <c r="O673" s="679">
        <f t="shared" si="79"/>
        <v>-4.6044369877264206E-3</v>
      </c>
      <c r="P673" s="368"/>
      <c r="Q673" s="667"/>
      <c r="R673" s="682"/>
    </row>
    <row r="674" spans="1:18" ht="12" thickBot="1">
      <c r="A674" s="197" t="s">
        <v>1270</v>
      </c>
      <c r="B674" s="147"/>
      <c r="C674" s="309" t="s">
        <v>737</v>
      </c>
      <c r="D674" s="147"/>
      <c r="E674" s="307">
        <v>4</v>
      </c>
      <c r="F674" s="307"/>
      <c r="G674" s="308"/>
      <c r="H674" s="308"/>
      <c r="I674" s="308"/>
      <c r="J674" s="308">
        <v>24.9</v>
      </c>
      <c r="K674" s="661">
        <f t="shared" si="74"/>
        <v>99.6</v>
      </c>
      <c r="L674" s="654">
        <f t="shared" si="78"/>
        <v>-7.7001961672236249E-6</v>
      </c>
      <c r="M674" s="654">
        <f t="shared" si="76"/>
        <v>4</v>
      </c>
      <c r="O674" s="679">
        <f t="shared" si="79"/>
        <v>-4.4176706681439441E-3</v>
      </c>
      <c r="P674" s="368"/>
      <c r="Q674" s="667"/>
      <c r="R674" s="682"/>
    </row>
    <row r="675" spans="1:18" ht="12" thickBot="1">
      <c r="A675" s="197" t="s">
        <v>1270</v>
      </c>
      <c r="B675" s="147"/>
      <c r="C675" s="147" t="s">
        <v>329</v>
      </c>
      <c r="D675" s="147"/>
      <c r="E675" s="307">
        <v>215</v>
      </c>
      <c r="F675" s="307"/>
      <c r="G675" s="308"/>
      <c r="H675" s="308"/>
      <c r="I675" s="308"/>
      <c r="J675" s="308">
        <v>19.79</v>
      </c>
      <c r="K675" s="661">
        <f t="shared" si="74"/>
        <v>4254.8499999999995</v>
      </c>
      <c r="L675" s="654">
        <f t="shared" si="78"/>
        <v>-3.2894758696899035E-4</v>
      </c>
      <c r="M675" s="654">
        <f t="shared" si="76"/>
        <v>215</v>
      </c>
      <c r="O675" s="679">
        <f t="shared" si="79"/>
        <v>-5.5583627911462456E-3</v>
      </c>
      <c r="P675" s="368"/>
      <c r="Q675" s="667"/>
      <c r="R675" s="682"/>
    </row>
    <row r="676" spans="1:18" ht="12" thickBot="1">
      <c r="A676" s="197" t="s">
        <v>1270</v>
      </c>
      <c r="B676" s="309"/>
      <c r="C676" s="147" t="s">
        <v>330</v>
      </c>
      <c r="D676" s="147"/>
      <c r="E676" s="307">
        <v>2015</v>
      </c>
      <c r="F676" s="307"/>
      <c r="G676" s="308"/>
      <c r="H676" s="308"/>
      <c r="I676" s="308"/>
      <c r="J676" s="308">
        <v>20.49</v>
      </c>
      <c r="K676" s="661">
        <f t="shared" si="74"/>
        <v>41287.35</v>
      </c>
      <c r="L676" s="654">
        <f t="shared" si="78"/>
        <v>-3.1919748416146623E-3</v>
      </c>
      <c r="M676" s="654">
        <f t="shared" si="76"/>
        <v>2015</v>
      </c>
      <c r="O676" s="679">
        <f t="shared" si="79"/>
        <v>-5.3684724078469593E-3</v>
      </c>
      <c r="P676" s="368"/>
      <c r="Q676" s="667"/>
      <c r="R676" s="682"/>
    </row>
    <row r="677" spans="1:18" ht="12" thickBot="1">
      <c r="A677" s="197" t="s">
        <v>1270</v>
      </c>
      <c r="B677" s="147"/>
      <c r="C677" s="147" t="s">
        <v>332</v>
      </c>
      <c r="D677" s="309"/>
      <c r="E677" s="307">
        <v>26</v>
      </c>
      <c r="F677" s="307"/>
      <c r="G677" s="308"/>
      <c r="H677" s="308"/>
      <c r="I677" s="308"/>
      <c r="J677" s="308">
        <v>20.18</v>
      </c>
      <c r="K677" s="661">
        <f t="shared" si="74"/>
        <v>524.67999999999995</v>
      </c>
      <c r="L677" s="654">
        <f t="shared" si="78"/>
        <v>-4.0563643825490883E-5</v>
      </c>
      <c r="M677" s="654">
        <f t="shared" si="76"/>
        <v>26</v>
      </c>
      <c r="O677" s="679">
        <f t="shared" si="79"/>
        <v>-5.450941508264826E-3</v>
      </c>
      <c r="P677" s="368"/>
      <c r="Q677" s="667"/>
      <c r="R677" s="682"/>
    </row>
    <row r="678" spans="1:18" ht="12" thickBot="1">
      <c r="A678" s="197" t="s">
        <v>1270</v>
      </c>
      <c r="B678" s="147"/>
      <c r="C678" s="147" t="s">
        <v>333</v>
      </c>
      <c r="D678" s="147"/>
      <c r="E678" s="307">
        <v>1726</v>
      </c>
      <c r="F678" s="307"/>
      <c r="G678" s="308"/>
      <c r="H678" s="308"/>
      <c r="I678" s="308"/>
      <c r="J678" s="308">
        <v>22.56</v>
      </c>
      <c r="K678" s="661">
        <f t="shared" si="74"/>
        <v>38938.559999999998</v>
      </c>
      <c r="L678" s="654">
        <f t="shared" si="78"/>
        <v>-3.0103870529036864E-3</v>
      </c>
      <c r="M678" s="654">
        <f t="shared" si="76"/>
        <v>1726</v>
      </c>
      <c r="O678" s="679">
        <f t="shared" si="79"/>
        <v>-4.875886508722704E-3</v>
      </c>
      <c r="P678" s="368"/>
      <c r="Q678" s="667"/>
      <c r="R678" s="682"/>
    </row>
    <row r="679" spans="1:18" ht="12" thickBot="1">
      <c r="A679" s="197" t="s">
        <v>1270</v>
      </c>
      <c r="B679" s="147"/>
      <c r="C679" s="147" t="s">
        <v>334</v>
      </c>
      <c r="D679" s="147"/>
      <c r="E679" s="307">
        <v>34</v>
      </c>
      <c r="F679" s="307"/>
      <c r="G679" s="308"/>
      <c r="H679" s="308"/>
      <c r="I679" s="308"/>
      <c r="J679" s="308">
        <v>23.68</v>
      </c>
      <c r="K679" s="661">
        <f t="shared" si="74"/>
        <v>805.12</v>
      </c>
      <c r="L679" s="654">
        <f t="shared" si="78"/>
        <v>-6.224479857585427E-5</v>
      </c>
      <c r="M679" s="654">
        <f t="shared" si="76"/>
        <v>34</v>
      </c>
      <c r="O679" s="679">
        <f t="shared" si="79"/>
        <v>-4.6452702549317649E-3</v>
      </c>
      <c r="P679" s="368"/>
      <c r="Q679" s="667"/>
      <c r="R679" s="682"/>
    </row>
    <row r="680" spans="1:18" ht="12" thickBot="1">
      <c r="A680" s="197" t="s">
        <v>1270</v>
      </c>
      <c r="B680" s="147"/>
      <c r="C680" s="147" t="s">
        <v>336</v>
      </c>
      <c r="D680" s="147"/>
      <c r="E680" s="307">
        <v>108</v>
      </c>
      <c r="F680" s="307"/>
      <c r="G680" s="308"/>
      <c r="H680" s="308"/>
      <c r="I680" s="308"/>
      <c r="J680" s="308">
        <v>24.77</v>
      </c>
      <c r="K680" s="661">
        <f t="shared" si="74"/>
        <v>2675.16</v>
      </c>
      <c r="L680" s="654">
        <f t="shared" si="78"/>
        <v>-2.0681984717580275E-4</v>
      </c>
      <c r="M680" s="654">
        <f t="shared" si="76"/>
        <v>108</v>
      </c>
      <c r="O680" s="679">
        <f t="shared" si="79"/>
        <v>-4.4408558593776425E-3</v>
      </c>
      <c r="P680" s="368"/>
      <c r="Q680" s="667"/>
      <c r="R680" s="682"/>
    </row>
    <row r="681" spans="1:18" ht="12" thickBot="1">
      <c r="A681" s="197" t="s">
        <v>1270</v>
      </c>
      <c r="B681" s="147"/>
      <c r="C681" s="309" t="s">
        <v>337</v>
      </c>
      <c r="D681" s="147"/>
      <c r="E681" s="307">
        <v>52</v>
      </c>
      <c r="F681" s="307"/>
      <c r="G681" s="308"/>
      <c r="H681" s="308"/>
      <c r="I681" s="308"/>
      <c r="J681" s="308">
        <v>29.889999999999997</v>
      </c>
      <c r="K681" s="661">
        <f t="shared" si="74"/>
        <v>1554.2799999999997</v>
      </c>
      <c r="L681" s="654">
        <f t="shared" si="78"/>
        <v>-1.2016326203606762E-4</v>
      </c>
      <c r="M681" s="654">
        <f t="shared" si="76"/>
        <v>52</v>
      </c>
      <c r="O681" s="679">
        <f t="shared" si="79"/>
        <v>-3.6801605766739447E-3</v>
      </c>
      <c r="P681" s="368"/>
      <c r="Q681" s="667"/>
      <c r="R681" s="682"/>
    </row>
    <row r="682" spans="1:18" ht="12" thickBot="1">
      <c r="A682" s="197" t="s">
        <v>1270</v>
      </c>
      <c r="B682" s="147"/>
      <c r="C682" s="147" t="s">
        <v>338</v>
      </c>
      <c r="D682" s="309"/>
      <c r="E682" s="307">
        <v>169</v>
      </c>
      <c r="F682" s="307"/>
      <c r="G682" s="308"/>
      <c r="H682" s="308"/>
      <c r="I682" s="308"/>
      <c r="J682" s="308">
        <v>32.860000000000007</v>
      </c>
      <c r="K682" s="661">
        <f t="shared" si="74"/>
        <v>5553.3400000000011</v>
      </c>
      <c r="L682" s="654">
        <f t="shared" si="78"/>
        <v>-4.2933541549487612E-4</v>
      </c>
      <c r="M682" s="654">
        <f t="shared" si="76"/>
        <v>169</v>
      </c>
      <c r="O682" s="679">
        <f t="shared" si="79"/>
        <v>-3.347534985903353E-3</v>
      </c>
      <c r="P682" s="368"/>
      <c r="Q682" s="667"/>
      <c r="R682" s="682"/>
    </row>
    <row r="683" spans="1:18" ht="12" thickBot="1">
      <c r="A683" s="197" t="s">
        <v>1270</v>
      </c>
      <c r="B683" s="309"/>
      <c r="C683" s="147" t="s">
        <v>339</v>
      </c>
      <c r="D683" s="147"/>
      <c r="E683" s="307">
        <v>346</v>
      </c>
      <c r="F683" s="307"/>
      <c r="G683" s="308"/>
      <c r="H683" s="308"/>
      <c r="I683" s="308"/>
      <c r="J683" s="308">
        <v>38.389999999999993</v>
      </c>
      <c r="K683" s="661">
        <f t="shared" si="74"/>
        <v>13282.939999999997</v>
      </c>
      <c r="L683" s="654">
        <f t="shared" si="78"/>
        <v>-1.0269201172435878E-3</v>
      </c>
      <c r="M683" s="654">
        <f t="shared" si="76"/>
        <v>346</v>
      </c>
      <c r="O683" s="679">
        <f t="shared" si="79"/>
        <v>-2.8653295034327744E-3</v>
      </c>
      <c r="P683" s="368"/>
      <c r="Q683" s="667"/>
      <c r="R683" s="682"/>
    </row>
    <row r="684" spans="1:18" ht="12" thickBot="1">
      <c r="A684" s="197" t="s">
        <v>1270</v>
      </c>
      <c r="B684" s="147"/>
      <c r="C684" s="147" t="s">
        <v>340</v>
      </c>
      <c r="D684" s="147"/>
      <c r="E684" s="307">
        <v>17</v>
      </c>
      <c r="F684" s="307"/>
      <c r="G684" s="308"/>
      <c r="H684" s="308"/>
      <c r="I684" s="308"/>
      <c r="J684" s="308">
        <v>26.349999999999998</v>
      </c>
      <c r="K684" s="661">
        <f t="shared" si="74"/>
        <v>447.95</v>
      </c>
      <c r="L684" s="654">
        <f t="shared" si="78"/>
        <v>-3.4631554950881758E-5</v>
      </c>
      <c r="M684" s="654">
        <f t="shared" si="76"/>
        <v>17</v>
      </c>
      <c r="O684" s="679">
        <f t="shared" si="79"/>
        <v>-4.1745730412441825E-3</v>
      </c>
      <c r="P684" s="368"/>
      <c r="Q684" s="667"/>
      <c r="R684" s="682"/>
    </row>
    <row r="685" spans="1:18" ht="12" thickBot="1">
      <c r="A685" s="197" t="s">
        <v>1270</v>
      </c>
      <c r="B685" s="147"/>
      <c r="C685" s="147" t="s">
        <v>341</v>
      </c>
      <c r="D685" s="147"/>
      <c r="E685" s="307">
        <v>343</v>
      </c>
      <c r="F685" s="307"/>
      <c r="G685" s="308"/>
      <c r="H685" s="308"/>
      <c r="I685" s="308"/>
      <c r="J685" s="308">
        <v>28.45</v>
      </c>
      <c r="K685" s="661">
        <f t="shared" si="74"/>
        <v>9758.35</v>
      </c>
      <c r="L685" s="654">
        <f t="shared" si="78"/>
        <v>-7.5442981193199476E-4</v>
      </c>
      <c r="M685" s="654">
        <f t="shared" si="76"/>
        <v>343</v>
      </c>
      <c r="O685" s="679">
        <f t="shared" si="79"/>
        <v>-3.866432324667283E-3</v>
      </c>
      <c r="P685" s="368"/>
      <c r="Q685" s="667"/>
      <c r="R685" s="682"/>
    </row>
    <row r="686" spans="1:18" ht="12" thickBot="1">
      <c r="A686" s="197" t="s">
        <v>1270</v>
      </c>
      <c r="B686" s="147"/>
      <c r="C686" s="147" t="s">
        <v>342</v>
      </c>
      <c r="D686" s="147"/>
      <c r="E686" s="307">
        <v>32</v>
      </c>
      <c r="F686" s="307"/>
      <c r="G686" s="308"/>
      <c r="H686" s="308"/>
      <c r="I686" s="308"/>
      <c r="J686" s="308">
        <v>34.029999999999994</v>
      </c>
      <c r="K686" s="661">
        <f t="shared" si="74"/>
        <v>1088.9599999999998</v>
      </c>
      <c r="L686" s="654">
        <f t="shared" si="78"/>
        <v>-8.4188811428311628E-5</v>
      </c>
      <c r="M686" s="654">
        <f t="shared" si="76"/>
        <v>32</v>
      </c>
      <c r="O686" s="679">
        <f t="shared" si="79"/>
        <v>-3.2324419523004472E-3</v>
      </c>
      <c r="P686" s="368"/>
      <c r="Q686" s="667"/>
      <c r="R686" s="682"/>
    </row>
    <row r="687" spans="1:18" ht="12" thickBot="1">
      <c r="A687" s="197" t="s">
        <v>1270</v>
      </c>
      <c r="B687" s="147"/>
      <c r="C687" s="147" t="s">
        <v>343</v>
      </c>
      <c r="D687" s="309"/>
      <c r="E687" s="307">
        <v>39</v>
      </c>
      <c r="F687" s="307"/>
      <c r="G687" s="308"/>
      <c r="H687" s="308"/>
      <c r="I687" s="308"/>
      <c r="J687" s="308">
        <v>33.22</v>
      </c>
      <c r="K687" s="661">
        <f t="shared" si="74"/>
        <v>1295.58</v>
      </c>
      <c r="L687" s="654">
        <f t="shared" si="78"/>
        <v>-1.0016285291497574E-4</v>
      </c>
      <c r="M687" s="654">
        <f t="shared" si="76"/>
        <v>39</v>
      </c>
      <c r="O687" s="679">
        <f t="shared" si="79"/>
        <v>-3.3112582672120468E-3</v>
      </c>
      <c r="P687" s="368"/>
      <c r="Q687" s="667"/>
      <c r="R687" s="682"/>
    </row>
    <row r="688" spans="1:18" ht="12" thickBot="1">
      <c r="A688" s="197" t="s">
        <v>1270</v>
      </c>
      <c r="B688" s="147"/>
      <c r="C688" s="309" t="s">
        <v>344</v>
      </c>
      <c r="D688" s="147"/>
      <c r="E688" s="307">
        <v>51</v>
      </c>
      <c r="F688" s="307"/>
      <c r="G688" s="308"/>
      <c r="H688" s="308"/>
      <c r="I688" s="308"/>
      <c r="J688" s="308">
        <v>35.199999999999996</v>
      </c>
      <c r="K688" s="661">
        <f t="shared" si="74"/>
        <v>1795.1999999999998</v>
      </c>
      <c r="L688" s="654">
        <f t="shared" si="78"/>
        <v>-1.38789077905621E-4</v>
      </c>
      <c r="M688" s="654">
        <f t="shared" si="76"/>
        <v>51</v>
      </c>
      <c r="O688" s="679">
        <f t="shared" si="79"/>
        <v>-3.1249999896813697E-3</v>
      </c>
      <c r="P688" s="368"/>
      <c r="Q688" s="667"/>
      <c r="R688" s="682"/>
    </row>
    <row r="689" spans="1:18" ht="12" thickBot="1">
      <c r="A689" s="197" t="s">
        <v>1270</v>
      </c>
      <c r="B689" s="147"/>
      <c r="C689" s="147" t="s">
        <v>345</v>
      </c>
      <c r="D689" s="147"/>
      <c r="E689" s="307">
        <v>189</v>
      </c>
      <c r="F689" s="307"/>
      <c r="G689" s="308"/>
      <c r="H689" s="308"/>
      <c r="I689" s="308"/>
      <c r="J689" s="308">
        <v>34.090000000000003</v>
      </c>
      <c r="K689" s="661">
        <f t="shared" si="74"/>
        <v>6443.01</v>
      </c>
      <c r="L689" s="654">
        <f t="shared" si="78"/>
        <v>-4.9811687658015552E-4</v>
      </c>
      <c r="M689" s="654">
        <f t="shared" si="76"/>
        <v>189</v>
      </c>
      <c r="O689" s="679">
        <f t="shared" si="79"/>
        <v>-3.2267527027510759E-3</v>
      </c>
      <c r="P689" s="368"/>
      <c r="Q689" s="667"/>
      <c r="R689" s="682"/>
    </row>
    <row r="690" spans="1:18" ht="12" thickBot="1">
      <c r="A690" s="197" t="s">
        <v>1270</v>
      </c>
      <c r="B690" s="309"/>
      <c r="C690" s="147" t="s">
        <v>346</v>
      </c>
      <c r="D690" s="147"/>
      <c r="E690" s="307">
        <f>183-1</f>
        <v>182</v>
      </c>
      <c r="F690" s="307"/>
      <c r="G690" s="308"/>
      <c r="H690" s="308"/>
      <c r="I690" s="308"/>
      <c r="J690" s="308">
        <v>36.07</v>
      </c>
      <c r="K690" s="661">
        <f t="shared" si="74"/>
        <v>6564.74</v>
      </c>
      <c r="L690" s="654">
        <f t="shared" si="78"/>
        <v>-5.0752796974718503E-4</v>
      </c>
      <c r="M690" s="654">
        <f t="shared" si="76"/>
        <v>182</v>
      </c>
      <c r="O690" s="679">
        <f t="shared" si="79"/>
        <v>-3.0496257176818461E-3</v>
      </c>
      <c r="P690" s="368"/>
      <c r="Q690" s="667"/>
      <c r="R690" s="682"/>
    </row>
    <row r="691" spans="1:18" ht="12" thickBot="1">
      <c r="A691" s="197" t="s">
        <v>1270</v>
      </c>
      <c r="B691" s="147"/>
      <c r="C691" s="147" t="s">
        <v>347</v>
      </c>
      <c r="D691" s="147"/>
      <c r="E691" s="307">
        <v>13</v>
      </c>
      <c r="F691" s="307"/>
      <c r="G691" s="308"/>
      <c r="H691" s="308"/>
      <c r="I691" s="308"/>
      <c r="J691" s="308">
        <v>32.26</v>
      </c>
      <c r="K691" s="661">
        <f t="shared" si="74"/>
        <v>419.38</v>
      </c>
      <c r="L691" s="654">
        <f t="shared" si="78"/>
        <v>-3.2422773781227354E-5</v>
      </c>
      <c r="M691" s="654">
        <f t="shared" si="76"/>
        <v>13</v>
      </c>
      <c r="O691" s="679">
        <f t="shared" si="79"/>
        <v>-3.4097954010162495E-3</v>
      </c>
      <c r="P691" s="368"/>
      <c r="Q691" s="667"/>
      <c r="R691" s="682"/>
    </row>
    <row r="692" spans="1:18" ht="12" thickBot="1">
      <c r="A692" s="197" t="s">
        <v>1270</v>
      </c>
      <c r="B692" s="147"/>
      <c r="C692" s="147" t="s">
        <v>348</v>
      </c>
      <c r="D692" s="309"/>
      <c r="E692" s="307">
        <v>43</v>
      </c>
      <c r="F692" s="307"/>
      <c r="G692" s="308"/>
      <c r="H692" s="308"/>
      <c r="I692" s="308"/>
      <c r="J692" s="308">
        <v>32.93</v>
      </c>
      <c r="K692" s="661">
        <f t="shared" si="74"/>
        <v>1415.99</v>
      </c>
      <c r="L692" s="654">
        <f t="shared" si="78"/>
        <v>-1.0947189528942754E-4</v>
      </c>
      <c r="M692" s="654">
        <f t="shared" si="76"/>
        <v>43</v>
      </c>
      <c r="O692" s="679">
        <f t="shared" si="79"/>
        <v>-3.340419059726213E-3</v>
      </c>
      <c r="P692" s="368"/>
      <c r="Q692" s="667"/>
      <c r="R692" s="682"/>
    </row>
    <row r="693" spans="1:18" ht="12" thickBot="1">
      <c r="A693" s="197" t="s">
        <v>1270</v>
      </c>
      <c r="B693" s="147"/>
      <c r="C693" s="147" t="s">
        <v>376</v>
      </c>
      <c r="D693" s="147"/>
      <c r="E693" s="307">
        <v>10</v>
      </c>
      <c r="F693" s="307"/>
      <c r="G693" s="308"/>
      <c r="H693" s="308"/>
      <c r="I693" s="308"/>
      <c r="J693" s="308">
        <v>34.330000000000005</v>
      </c>
      <c r="K693" s="661">
        <f t="shared" si="74"/>
        <v>343.30000000000007</v>
      </c>
      <c r="L693" s="654">
        <f t="shared" si="78"/>
        <v>-2.6540937190842083E-5</v>
      </c>
      <c r="M693" s="654">
        <f t="shared" si="76"/>
        <v>10</v>
      </c>
      <c r="O693" s="679">
        <f t="shared" si="79"/>
        <v>-3.2041945714181234E-3</v>
      </c>
      <c r="P693" s="368"/>
      <c r="Q693" s="667"/>
      <c r="R693" s="682"/>
    </row>
    <row r="694" spans="1:18" ht="12" thickBot="1">
      <c r="A694" s="197" t="s">
        <v>1270</v>
      </c>
      <c r="B694" s="147"/>
      <c r="C694" s="147" t="s">
        <v>349</v>
      </c>
      <c r="D694" s="147"/>
      <c r="E694" s="307">
        <v>204</v>
      </c>
      <c r="F694" s="307"/>
      <c r="G694" s="308"/>
      <c r="H694" s="308"/>
      <c r="I694" s="308"/>
      <c r="J694" s="308">
        <v>34.99</v>
      </c>
      <c r="K694" s="661">
        <f t="shared" si="74"/>
        <v>7137.96</v>
      </c>
      <c r="L694" s="654">
        <f t="shared" si="78"/>
        <v>-5.5184429953609993E-4</v>
      </c>
      <c r="M694" s="654">
        <f t="shared" si="76"/>
        <v>204</v>
      </c>
      <c r="O694" s="679">
        <f t="shared" si="79"/>
        <v>-3.1437553482933462E-3</v>
      </c>
      <c r="P694" s="368"/>
      <c r="Q694" s="667"/>
      <c r="R694" s="682"/>
    </row>
    <row r="695" spans="1:18" ht="12" thickBot="1">
      <c r="A695" s="197" t="s">
        <v>1270</v>
      </c>
      <c r="B695" s="147"/>
      <c r="C695" s="147" t="s">
        <v>730</v>
      </c>
      <c r="D695" s="147"/>
      <c r="E695" s="307">
        <v>2</v>
      </c>
      <c r="F695" s="307"/>
      <c r="G695" s="308"/>
      <c r="H695" s="308"/>
      <c r="I695" s="308"/>
      <c r="J695" s="308">
        <v>18.279999999999998</v>
      </c>
      <c r="K695" s="661">
        <f t="shared" si="74"/>
        <v>36.559999999999995</v>
      </c>
      <c r="L695" s="654">
        <f t="shared" si="78"/>
        <v>-2.8264977095752586E-6</v>
      </c>
      <c r="M695" s="654">
        <f t="shared" si="76"/>
        <v>2</v>
      </c>
      <c r="O695" s="679">
        <f t="shared" si="79"/>
        <v>-6.0175054505899458E-3</v>
      </c>
      <c r="P695" s="368"/>
      <c r="Q695" s="667"/>
      <c r="R695" s="682"/>
    </row>
    <row r="696" spans="1:18" ht="12" thickBot="1">
      <c r="A696" s="197" t="s">
        <v>1270</v>
      </c>
      <c r="B696" s="147"/>
      <c r="C696" s="147" t="s">
        <v>378</v>
      </c>
      <c r="D696" s="147"/>
      <c r="E696" s="307">
        <v>13</v>
      </c>
      <c r="F696" s="307"/>
      <c r="G696" s="308"/>
      <c r="H696" s="308"/>
      <c r="I696" s="308"/>
      <c r="J696" s="308">
        <v>22.32</v>
      </c>
      <c r="K696" s="661">
        <f t="shared" si="74"/>
        <v>290.16000000000003</v>
      </c>
      <c r="L696" s="654">
        <f t="shared" si="78"/>
        <v>-2.2432619677526182E-5</v>
      </c>
      <c r="M696" s="654">
        <f t="shared" si="76"/>
        <v>13</v>
      </c>
      <c r="O696" s="679">
        <f t="shared" si="79"/>
        <v>-4.92831539591327E-3</v>
      </c>
      <c r="P696" s="368"/>
      <c r="Q696" s="667"/>
      <c r="R696" s="682"/>
    </row>
    <row r="697" spans="1:18" ht="12" thickBot="1">
      <c r="A697" s="197" t="s">
        <v>1270</v>
      </c>
      <c r="B697" s="147"/>
      <c r="C697" s="309" t="s">
        <v>354</v>
      </c>
      <c r="D697" s="309"/>
      <c r="E697" s="307">
        <v>6017</v>
      </c>
      <c r="F697" s="307"/>
      <c r="G697" s="308"/>
      <c r="H697" s="308"/>
      <c r="I697" s="308"/>
      <c r="J697" s="308">
        <v>12.82</v>
      </c>
      <c r="K697" s="661">
        <f t="shared" si="74"/>
        <v>77137.94</v>
      </c>
      <c r="L697" s="654">
        <f t="shared" si="78"/>
        <v>-5.963627208188012E-3</v>
      </c>
      <c r="M697" s="654">
        <f t="shared" si="76"/>
        <v>6017</v>
      </c>
      <c r="O697" s="679">
        <f t="shared" si="79"/>
        <v>-8.5803431853965825E-3</v>
      </c>
      <c r="P697" s="368"/>
      <c r="Q697" s="667"/>
      <c r="R697" s="682"/>
    </row>
    <row r="698" spans="1:18" ht="12" thickBot="1">
      <c r="A698" s="197" t="s">
        <v>1270</v>
      </c>
      <c r="B698" s="147"/>
      <c r="C698" s="147" t="s">
        <v>355</v>
      </c>
      <c r="D698" s="147"/>
      <c r="E698" s="307">
        <v>8515</v>
      </c>
      <c r="F698" s="307"/>
      <c r="G698" s="308"/>
      <c r="H698" s="308"/>
      <c r="I698" s="308"/>
      <c r="J698" s="308">
        <v>15.08</v>
      </c>
      <c r="K698" s="661">
        <f t="shared" si="74"/>
        <v>128406.2</v>
      </c>
      <c r="L698" s="654">
        <f t="shared" si="78"/>
        <v>-9.927238243852915E-3</v>
      </c>
      <c r="M698" s="654">
        <f t="shared" si="76"/>
        <v>8515</v>
      </c>
      <c r="O698" s="679">
        <f t="shared" si="79"/>
        <v>-7.2944296841368833E-3</v>
      </c>
      <c r="P698" s="368"/>
      <c r="Q698" s="667"/>
      <c r="R698" s="682"/>
    </row>
    <row r="699" spans="1:18" ht="12" thickBot="1">
      <c r="A699" s="197" t="s">
        <v>1270</v>
      </c>
      <c r="B699" s="309"/>
      <c r="C699" s="147" t="s">
        <v>356</v>
      </c>
      <c r="D699" s="147"/>
      <c r="E699" s="307">
        <v>5364</v>
      </c>
      <c r="F699" s="307"/>
      <c r="G699" s="308"/>
      <c r="H699" s="308"/>
      <c r="I699" s="308"/>
      <c r="J699" s="308">
        <v>17.38</v>
      </c>
      <c r="K699" s="661">
        <f t="shared" si="74"/>
        <v>93226.319999999992</v>
      </c>
      <c r="L699" s="654">
        <f t="shared" si="78"/>
        <v>-7.2074392765899917E-3</v>
      </c>
      <c r="M699" s="654">
        <f t="shared" si="76"/>
        <v>5364</v>
      </c>
      <c r="O699" s="679">
        <f t="shared" si="79"/>
        <v>-6.3291139031521407E-3</v>
      </c>
      <c r="P699" s="368"/>
      <c r="Q699" s="667"/>
      <c r="R699" s="682"/>
    </row>
    <row r="700" spans="1:18" ht="12" thickBot="1">
      <c r="A700" s="197" t="s">
        <v>1270</v>
      </c>
      <c r="B700" s="147"/>
      <c r="C700" s="147" t="s">
        <v>357</v>
      </c>
      <c r="D700" s="309"/>
      <c r="E700" s="307">
        <v>388</v>
      </c>
      <c r="F700" s="307"/>
      <c r="G700" s="308"/>
      <c r="H700" s="308"/>
      <c r="I700" s="308"/>
      <c r="J700" s="308">
        <v>13.77</v>
      </c>
      <c r="K700" s="661">
        <f t="shared" si="74"/>
        <v>5342.76</v>
      </c>
      <c r="L700" s="654">
        <f t="shared" si="78"/>
        <v>-4.1305522163047895E-4</v>
      </c>
      <c r="M700" s="654">
        <f t="shared" si="76"/>
        <v>388</v>
      </c>
      <c r="O700" s="679">
        <f t="shared" si="79"/>
        <v>-7.9883805110228176E-3</v>
      </c>
      <c r="P700" s="368"/>
      <c r="Q700" s="667"/>
      <c r="R700" s="682"/>
    </row>
    <row r="701" spans="1:18" ht="12" thickBot="1">
      <c r="A701" s="197" t="s">
        <v>1270</v>
      </c>
      <c r="B701" s="147"/>
      <c r="C701" s="147" t="s">
        <v>358</v>
      </c>
      <c r="D701" s="147"/>
      <c r="E701" s="307">
        <v>12437</v>
      </c>
      <c r="F701" s="307"/>
      <c r="G701" s="308"/>
      <c r="H701" s="308"/>
      <c r="I701" s="308"/>
      <c r="J701" s="308">
        <v>18.21</v>
      </c>
      <c r="K701" s="661">
        <f t="shared" si="74"/>
        <v>226477.77000000002</v>
      </c>
      <c r="L701" s="654">
        <f t="shared" si="78"/>
        <v>-1.7509269643728453E-2</v>
      </c>
      <c r="M701" s="654">
        <f t="shared" si="76"/>
        <v>12437</v>
      </c>
      <c r="O701" s="679">
        <f t="shared" si="79"/>
        <v>-6.0406369926844696E-3</v>
      </c>
      <c r="P701" s="368"/>
      <c r="Q701" s="667"/>
      <c r="R701" s="682"/>
    </row>
    <row r="702" spans="1:18" ht="12" thickBot="1">
      <c r="A702" s="197" t="s">
        <v>1270</v>
      </c>
      <c r="B702" s="147"/>
      <c r="C702" s="309" t="s">
        <v>359</v>
      </c>
      <c r="D702" s="147"/>
      <c r="E702" s="307">
        <v>3068</v>
      </c>
      <c r="F702" s="307"/>
      <c r="G702" s="308"/>
      <c r="H702" s="308"/>
      <c r="I702" s="308"/>
      <c r="J702" s="308">
        <v>10.86</v>
      </c>
      <c r="K702" s="661">
        <f t="shared" si="74"/>
        <v>33318.479999999996</v>
      </c>
      <c r="L702" s="654">
        <f t="shared" si="78"/>
        <v>-2.5758918874871184E-3</v>
      </c>
      <c r="M702" s="654">
        <f t="shared" si="76"/>
        <v>3068</v>
      </c>
      <c r="O702" s="679">
        <f t="shared" si="79"/>
        <v>-1.0128913410385286E-2</v>
      </c>
      <c r="P702" s="368"/>
      <c r="Q702" s="667"/>
      <c r="R702" s="682"/>
    </row>
    <row r="703" spans="1:18" ht="12" thickBot="1">
      <c r="A703" s="197" t="s">
        <v>1270</v>
      </c>
      <c r="B703" s="147"/>
      <c r="C703" s="147" t="s">
        <v>360</v>
      </c>
      <c r="D703" s="309"/>
      <c r="E703" s="307">
        <v>5</v>
      </c>
      <c r="F703" s="307"/>
      <c r="G703" s="308"/>
      <c r="H703" s="308"/>
      <c r="I703" s="308"/>
      <c r="J703" s="308">
        <v>11.13</v>
      </c>
      <c r="K703" s="661">
        <f t="shared" si="74"/>
        <v>55.650000000000006</v>
      </c>
      <c r="L703" s="654">
        <f t="shared" si="78"/>
        <v>-4.3023686416264543E-6</v>
      </c>
      <c r="M703" s="654">
        <f t="shared" si="76"/>
        <v>5</v>
      </c>
      <c r="O703" s="679">
        <f t="shared" si="79"/>
        <v>-9.8831985298099001E-3</v>
      </c>
      <c r="P703" s="368"/>
      <c r="Q703" s="667"/>
      <c r="R703" s="682"/>
    </row>
    <row r="704" spans="1:18" ht="12" thickBot="1">
      <c r="A704" s="197" t="s">
        <v>1270</v>
      </c>
      <c r="B704" s="309"/>
      <c r="C704" s="147" t="s">
        <v>365</v>
      </c>
      <c r="D704" s="147"/>
      <c r="E704" s="307">
        <v>17</v>
      </c>
      <c r="F704" s="307"/>
      <c r="G704" s="308"/>
      <c r="H704" s="308"/>
      <c r="I704" s="308"/>
      <c r="J704" s="308">
        <v>12.79</v>
      </c>
      <c r="K704" s="661">
        <f t="shared" si="74"/>
        <v>217.42999999999998</v>
      </c>
      <c r="L704" s="654">
        <f t="shared" si="78"/>
        <v>-1.6809775628909967E-5</v>
      </c>
      <c r="M704" s="654">
        <f t="shared" si="76"/>
        <v>17</v>
      </c>
      <c r="O704" s="679">
        <f t="shared" si="79"/>
        <v>-8.6004690880988437E-3</v>
      </c>
      <c r="P704" s="368"/>
      <c r="Q704" s="667"/>
      <c r="R704" s="682"/>
    </row>
    <row r="705" spans="1:18" ht="12" thickBot="1">
      <c r="A705" s="197" t="s">
        <v>1270</v>
      </c>
      <c r="B705" s="147"/>
      <c r="C705" s="147" t="s">
        <v>366</v>
      </c>
      <c r="D705" s="147"/>
      <c r="E705" s="307">
        <v>2</v>
      </c>
      <c r="F705" s="307"/>
      <c r="G705" s="308"/>
      <c r="H705" s="308"/>
      <c r="I705" s="308"/>
      <c r="J705" s="308">
        <v>15.07</v>
      </c>
      <c r="K705" s="661">
        <f t="shared" si="74"/>
        <v>30.14</v>
      </c>
      <c r="L705" s="654">
        <f t="shared" si="78"/>
        <v>-2.3301597638566273E-6</v>
      </c>
      <c r="M705" s="654">
        <f t="shared" si="76"/>
        <v>2</v>
      </c>
      <c r="O705" s="679">
        <f t="shared" si="79"/>
        <v>-7.2992700488907891E-3</v>
      </c>
      <c r="P705" s="368"/>
      <c r="Q705" s="667"/>
      <c r="R705" s="682"/>
    </row>
    <row r="706" spans="1:18" ht="12" thickBot="1">
      <c r="A706" s="197" t="s">
        <v>1270</v>
      </c>
      <c r="B706" s="147"/>
      <c r="C706" s="147" t="s">
        <v>367</v>
      </c>
      <c r="D706" s="147"/>
      <c r="E706" s="307">
        <v>266</v>
      </c>
      <c r="F706" s="307"/>
      <c r="G706" s="308"/>
      <c r="H706" s="308"/>
      <c r="I706" s="308"/>
      <c r="J706" s="308">
        <v>18.68</v>
      </c>
      <c r="K706" s="661">
        <f t="shared" ref="K706:K715" si="80">E706*J706</f>
        <v>4968.88</v>
      </c>
      <c r="L706" s="654">
        <f t="shared" si="78"/>
        <v>-3.8415010774492099E-4</v>
      </c>
      <c r="M706" s="654">
        <f t="shared" ref="M706:M715" si="81">ROUND((K706+L706)/J706,0)</f>
        <v>266</v>
      </c>
      <c r="O706" s="679">
        <f t="shared" si="79"/>
        <v>-5.8886509441533298E-3</v>
      </c>
      <c r="P706" s="368"/>
      <c r="Q706" s="667"/>
      <c r="R706" s="682"/>
    </row>
    <row r="707" spans="1:18" ht="12" thickBot="1">
      <c r="A707" s="197" t="s">
        <v>1270</v>
      </c>
      <c r="B707" s="147"/>
      <c r="C707" s="147" t="s">
        <v>368</v>
      </c>
      <c r="D707" s="147"/>
      <c r="E707" s="307">
        <v>51</v>
      </c>
      <c r="F707" s="307"/>
      <c r="G707" s="308"/>
      <c r="H707" s="308"/>
      <c r="I707" s="308"/>
      <c r="J707" s="308">
        <v>20.970000000000002</v>
      </c>
      <c r="K707" s="661">
        <f t="shared" si="80"/>
        <v>1069.47</v>
      </c>
      <c r="L707" s="654">
        <f t="shared" si="78"/>
        <v>-8.268201601366116E-5</v>
      </c>
      <c r="M707" s="654">
        <f t="shared" si="81"/>
        <v>51</v>
      </c>
      <c r="O707" s="679">
        <f t="shared" si="79"/>
        <v>-5.2455889192553262E-3</v>
      </c>
      <c r="P707" s="368"/>
      <c r="Q707" s="667"/>
      <c r="R707" s="682"/>
    </row>
    <row r="708" spans="1:18" ht="12" thickBot="1">
      <c r="A708" s="197" t="s">
        <v>1270</v>
      </c>
      <c r="B708" s="147"/>
      <c r="C708" s="147" t="s">
        <v>369</v>
      </c>
      <c r="D708" s="309"/>
      <c r="E708" s="307">
        <v>2</v>
      </c>
      <c r="F708" s="307"/>
      <c r="G708" s="308"/>
      <c r="H708" s="308"/>
      <c r="I708" s="308"/>
      <c r="J708" s="308">
        <v>28.42</v>
      </c>
      <c r="K708" s="661">
        <f t="shared" si="80"/>
        <v>56.84</v>
      </c>
      <c r="L708" s="654">
        <f t="shared" si="78"/>
        <v>-4.3943689773593463E-6</v>
      </c>
      <c r="M708" s="654">
        <f t="shared" si="81"/>
        <v>2</v>
      </c>
      <c r="O708" s="679">
        <f t="shared" si="79"/>
        <v>-3.8705137099501827E-3</v>
      </c>
      <c r="P708" s="368"/>
      <c r="Q708" s="667"/>
      <c r="R708" s="682"/>
    </row>
    <row r="709" spans="1:18" ht="12" thickBot="1">
      <c r="A709" s="197" t="s">
        <v>1270</v>
      </c>
      <c r="B709" s="147"/>
      <c r="C709" s="147" t="s">
        <v>370</v>
      </c>
      <c r="D709" s="147"/>
      <c r="E709" s="307">
        <v>338</v>
      </c>
      <c r="F709" s="307"/>
      <c r="G709" s="308"/>
      <c r="H709" s="308"/>
      <c r="I709" s="308"/>
      <c r="J709" s="308">
        <v>39.6</v>
      </c>
      <c r="K709" s="661">
        <f t="shared" si="80"/>
        <v>13384.800000000001</v>
      </c>
      <c r="L709" s="654">
        <f t="shared" si="78"/>
        <v>-1.0347950367374981E-3</v>
      </c>
      <c r="M709" s="654">
        <f t="shared" si="81"/>
        <v>338</v>
      </c>
      <c r="O709" s="679">
        <f t="shared" si="79"/>
        <v>-2.7777777686056613E-3</v>
      </c>
      <c r="P709" s="368"/>
      <c r="Q709" s="667"/>
      <c r="R709" s="682"/>
    </row>
    <row r="710" spans="1:18" ht="12" thickBot="1">
      <c r="A710" s="197" t="s">
        <v>1270</v>
      </c>
      <c r="B710" s="147"/>
      <c r="C710" s="147" t="s">
        <v>371</v>
      </c>
      <c r="D710" s="147"/>
      <c r="E710" s="307">
        <v>57</v>
      </c>
      <c r="F710" s="307"/>
      <c r="G710" s="308"/>
      <c r="H710" s="308"/>
      <c r="I710" s="308"/>
      <c r="J710" s="308">
        <v>42.78</v>
      </c>
      <c r="K710" s="661">
        <f t="shared" si="80"/>
        <v>2438.46</v>
      </c>
      <c r="L710" s="654">
        <f t="shared" si="78"/>
        <v>-1.8852028459767194E-4</v>
      </c>
      <c r="M710" s="654">
        <f t="shared" si="81"/>
        <v>57</v>
      </c>
      <c r="O710" s="679">
        <f t="shared" si="79"/>
        <v>-2.5712949891721409E-3</v>
      </c>
      <c r="P710" s="368"/>
      <c r="Q710" s="667"/>
      <c r="R710" s="682"/>
    </row>
    <row r="711" spans="1:18" ht="12" thickBot="1">
      <c r="A711" s="197" t="s">
        <v>1270</v>
      </c>
      <c r="B711" s="147"/>
      <c r="C711" s="147" t="s">
        <v>659</v>
      </c>
      <c r="D711" s="147"/>
      <c r="E711" s="307">
        <v>18</v>
      </c>
      <c r="F711" s="307"/>
      <c r="G711" s="308"/>
      <c r="H711" s="308"/>
      <c r="I711" s="308"/>
      <c r="J711" s="308">
        <v>23.83</v>
      </c>
      <c r="K711" s="661">
        <f t="shared" si="80"/>
        <v>428.93999999999994</v>
      </c>
      <c r="L711" s="654">
        <f t="shared" si="78"/>
        <v>-3.3161868915350414E-5</v>
      </c>
      <c r="M711" s="654">
        <f t="shared" si="81"/>
        <v>18</v>
      </c>
      <c r="O711" s="679">
        <f t="shared" si="79"/>
        <v>-4.6160301987739913E-3</v>
      </c>
      <c r="P711" s="368"/>
      <c r="Q711" s="667"/>
      <c r="R711" s="682"/>
    </row>
    <row r="712" spans="1:18" ht="12" thickBot="1">
      <c r="A712" s="197" t="s">
        <v>1270</v>
      </c>
      <c r="B712" s="147"/>
      <c r="C712" s="309" t="s">
        <v>399</v>
      </c>
      <c r="D712" s="147"/>
      <c r="E712" s="307">
        <v>4</v>
      </c>
      <c r="F712" s="307"/>
      <c r="G712" s="308"/>
      <c r="H712" s="308"/>
      <c r="I712" s="308"/>
      <c r="J712" s="308">
        <v>20.46</v>
      </c>
      <c r="K712" s="661">
        <f t="shared" si="80"/>
        <v>81.84</v>
      </c>
      <c r="L712" s="654">
        <f t="shared" ref="L712:L715" si="82">K712/$Q$652*$Q$653</f>
        <v>-6.3271491398150757E-6</v>
      </c>
      <c r="M712" s="654">
        <f t="shared" si="81"/>
        <v>4</v>
      </c>
      <c r="O712" s="679">
        <f t="shared" ref="O712:O715" si="83">$Q$653/J712</f>
        <v>-5.3763440682690223E-3</v>
      </c>
      <c r="P712" s="368"/>
      <c r="Q712" s="667"/>
      <c r="R712" s="682"/>
    </row>
    <row r="713" spans="1:18" ht="12" thickBot="1">
      <c r="A713" s="197" t="s">
        <v>1270</v>
      </c>
      <c r="B713" s="147"/>
      <c r="C713" s="147" t="s">
        <v>372</v>
      </c>
      <c r="D713" s="147"/>
      <c r="E713" s="307">
        <v>38</v>
      </c>
      <c r="F713" s="307"/>
      <c r="G713" s="308"/>
      <c r="H713" s="308"/>
      <c r="I713" s="308"/>
      <c r="J713" s="308">
        <v>30.21</v>
      </c>
      <c r="K713" s="661">
        <f t="shared" si="80"/>
        <v>1147.98</v>
      </c>
      <c r="L713" s="654">
        <f t="shared" si="82"/>
        <v>-8.8751718835837132E-5</v>
      </c>
      <c r="M713" s="654">
        <f t="shared" si="81"/>
        <v>38</v>
      </c>
      <c r="O713" s="679">
        <f t="shared" si="83"/>
        <v>-3.6411784057194369E-3</v>
      </c>
      <c r="P713" s="368"/>
      <c r="Q713" s="667"/>
      <c r="R713" s="682"/>
    </row>
    <row r="714" spans="1:18" ht="12" thickBot="1">
      <c r="A714" s="197" t="s">
        <v>1270</v>
      </c>
      <c r="B714" s="309"/>
      <c r="C714" s="147" t="s">
        <v>373</v>
      </c>
      <c r="D714" s="309"/>
      <c r="E714" s="307">
        <v>2</v>
      </c>
      <c r="F714" s="307"/>
      <c r="G714" s="308"/>
      <c r="H714" s="308"/>
      <c r="I714" s="308"/>
      <c r="J714" s="308">
        <v>42.56</v>
      </c>
      <c r="K714" s="661">
        <f t="shared" si="80"/>
        <v>85.12</v>
      </c>
      <c r="L714" s="654">
        <f t="shared" si="82"/>
        <v>-6.5807298971292681E-6</v>
      </c>
      <c r="M714" s="654">
        <f t="shared" si="81"/>
        <v>2</v>
      </c>
      <c r="O714" s="679">
        <f t="shared" si="83"/>
        <v>-2.5845864576312075E-3</v>
      </c>
      <c r="P714" s="368"/>
      <c r="Q714" s="667"/>
      <c r="R714" s="682"/>
    </row>
    <row r="715" spans="1:18" ht="12" thickBot="1">
      <c r="A715" s="197" t="s">
        <v>1270</v>
      </c>
      <c r="B715" s="147"/>
      <c r="C715" s="147" t="s">
        <v>374</v>
      </c>
      <c r="D715" s="147"/>
      <c r="E715" s="307">
        <v>13</v>
      </c>
      <c r="F715" s="307"/>
      <c r="G715" s="308"/>
      <c r="H715" s="308"/>
      <c r="I715" s="308"/>
      <c r="J715" s="308">
        <v>52.31</v>
      </c>
      <c r="K715" s="661">
        <f t="shared" si="80"/>
        <v>680.03</v>
      </c>
      <c r="L715" s="654">
        <f t="shared" si="82"/>
        <v>-5.2573939754990784E-5</v>
      </c>
      <c r="M715" s="654">
        <f t="shared" si="81"/>
        <v>13</v>
      </c>
      <c r="O715" s="679">
        <f t="shared" si="83"/>
        <v>-2.1028483968033684E-3</v>
      </c>
      <c r="P715" s="368"/>
      <c r="Q715" s="667"/>
      <c r="R715" s="682"/>
    </row>
    <row r="716" spans="1:18" ht="12" thickBot="1">
      <c r="A716" s="197"/>
      <c r="B716" s="147"/>
      <c r="C716" s="147"/>
      <c r="D716" s="147"/>
      <c r="E716" s="655"/>
      <c r="F716" s="307"/>
      <c r="G716" s="308"/>
      <c r="H716" s="308"/>
      <c r="I716" s="308"/>
      <c r="J716" s="307"/>
      <c r="K716" s="307"/>
      <c r="L716" s="308"/>
      <c r="M716" s="308"/>
      <c r="N716" s="308"/>
      <c r="O716" s="677"/>
      <c r="P716" s="677"/>
      <c r="Q716" s="667"/>
      <c r="R716" s="682"/>
    </row>
    <row r="717" spans="1:18" ht="12" thickBot="1">
      <c r="A717" s="197"/>
      <c r="B717" s="147"/>
      <c r="C717" s="147"/>
      <c r="D717" s="309"/>
      <c r="E717" s="655"/>
      <c r="F717" s="307"/>
      <c r="G717" s="308"/>
      <c r="H717" s="308"/>
      <c r="I717" s="308"/>
      <c r="J717" s="307"/>
      <c r="K717" s="307"/>
      <c r="L717" s="308"/>
      <c r="M717" s="308"/>
      <c r="N717" s="308"/>
      <c r="O717" s="677"/>
      <c r="P717" s="677"/>
      <c r="Q717" s="667"/>
      <c r="R717" s="682"/>
    </row>
    <row r="718" spans="1:18" ht="12" thickBot="1">
      <c r="A718" s="202"/>
      <c r="B718" s="202"/>
      <c r="C718" s="202"/>
      <c r="D718" s="202"/>
      <c r="E718" s="656"/>
      <c r="F718" s="202"/>
      <c r="G718" s="202"/>
      <c r="H718" s="657"/>
      <c r="I718" s="657"/>
      <c r="J718" s="307"/>
      <c r="K718" s="307"/>
      <c r="L718" s="308"/>
      <c r="M718" s="308"/>
      <c r="N718" s="308"/>
      <c r="O718" s="655"/>
      <c r="P718" s="677"/>
      <c r="Q718" s="667"/>
      <c r="R718" s="652"/>
    </row>
    <row r="719" spans="1:18" ht="12" thickBot="1">
      <c r="A719" s="197" t="s">
        <v>1271</v>
      </c>
      <c r="B719" s="147"/>
      <c r="C719" s="147" t="s">
        <v>379</v>
      </c>
      <c r="D719" s="147"/>
      <c r="E719" s="307">
        <v>75</v>
      </c>
      <c r="F719" s="307"/>
      <c r="G719" s="308"/>
      <c r="H719" s="652"/>
      <c r="I719" s="308"/>
      <c r="J719" s="652">
        <v>8.14</v>
      </c>
      <c r="K719" s="652">
        <f>E719*J719</f>
        <v>610.5</v>
      </c>
      <c r="L719" s="654">
        <f>K719/$Q$724*$Q$725</f>
        <v>7.1640927119697351E-5</v>
      </c>
      <c r="M719" s="654">
        <f>ROUND((K719+L719)/J719,0)</f>
        <v>75</v>
      </c>
      <c r="O719" s="679">
        <f>$Q$725/J719</f>
        <v>2.0884520818161289E-2</v>
      </c>
      <c r="P719" s="368"/>
      <c r="Q719" s="698">
        <v>1519865</v>
      </c>
      <c r="R719" s="675" t="s">
        <v>1295</v>
      </c>
    </row>
    <row r="720" spans="1:18" ht="12" thickBot="1">
      <c r="A720" s="197" t="s">
        <v>1271</v>
      </c>
      <c r="B720" s="147"/>
      <c r="C720" s="147" t="s">
        <v>241</v>
      </c>
      <c r="D720" s="147"/>
      <c r="E720" s="307">
        <v>4574</v>
      </c>
      <c r="F720" s="307"/>
      <c r="G720" s="308"/>
      <c r="H720" s="308"/>
      <c r="I720" s="308"/>
      <c r="J720" s="652">
        <v>10.959999999999999</v>
      </c>
      <c r="K720" s="652">
        <f t="shared" ref="K720:K783" si="84">E720*J720</f>
        <v>50131.039999999994</v>
      </c>
      <c r="L720" s="654">
        <f t="shared" ref="L720:L783" si="85">K720/$Q$724*$Q$725</f>
        <v>5.8827750746513223E-3</v>
      </c>
      <c r="M720" s="654">
        <f t="shared" ref="M720:M783" si="86">ROUND((K720+L720)/J720,0)</f>
        <v>4574</v>
      </c>
      <c r="O720" s="679">
        <f t="shared" ref="O720:O783" si="87">$Q$725/J720</f>
        <v>1.5510948855824172E-2</v>
      </c>
      <c r="P720" s="368"/>
      <c r="Q720" s="698">
        <f>-Q732</f>
        <v>-43269.39</v>
      </c>
      <c r="R720" s="680" t="s">
        <v>1297</v>
      </c>
    </row>
    <row r="721" spans="1:19" ht="12" thickBot="1">
      <c r="A721" s="197" t="s">
        <v>1271</v>
      </c>
      <c r="B721" s="147"/>
      <c r="C721" s="147" t="s">
        <v>242</v>
      </c>
      <c r="D721" s="147"/>
      <c r="E721" s="307">
        <v>3813</v>
      </c>
      <c r="F721" s="307"/>
      <c r="G721" s="308"/>
      <c r="H721" s="308"/>
      <c r="I721" s="308"/>
      <c r="J721" s="652">
        <v>13.510000000000002</v>
      </c>
      <c r="K721" s="652">
        <f t="shared" si="84"/>
        <v>51513.630000000005</v>
      </c>
      <c r="L721" s="654">
        <f t="shared" si="85"/>
        <v>6.0450191850959139E-3</v>
      </c>
      <c r="M721" s="654">
        <f t="shared" si="86"/>
        <v>3813</v>
      </c>
      <c r="O721" s="679">
        <f t="shared" si="87"/>
        <v>1.2583271610646402E-2</v>
      </c>
      <c r="P721" s="368"/>
      <c r="Q721" s="681">
        <f>Q719+Q720</f>
        <v>1476595.61</v>
      </c>
      <c r="R721" s="666" t="s">
        <v>1298</v>
      </c>
    </row>
    <row r="722" spans="1:19" ht="12" thickBot="1">
      <c r="A722" s="197" t="s">
        <v>1271</v>
      </c>
      <c r="B722" s="147"/>
      <c r="C722" s="147" t="s">
        <v>243</v>
      </c>
      <c r="D722" s="147"/>
      <c r="E722" s="307">
        <v>95</v>
      </c>
      <c r="F722" s="307"/>
      <c r="G722" s="308"/>
      <c r="H722" s="308"/>
      <c r="I722" s="308"/>
      <c r="J722" s="652">
        <v>12.450000000000001</v>
      </c>
      <c r="K722" s="652">
        <f t="shared" si="84"/>
        <v>1182.75</v>
      </c>
      <c r="L722" s="654">
        <f t="shared" si="85"/>
        <v>1.3879329492354141E-4</v>
      </c>
      <c r="M722" s="654">
        <f t="shared" si="86"/>
        <v>95</v>
      </c>
      <c r="O722" s="679">
        <f t="shared" si="87"/>
        <v>1.3654618430508665E-2</v>
      </c>
      <c r="P722" s="368"/>
      <c r="Q722" s="681">
        <v>27912.35</v>
      </c>
      <c r="R722" s="667" t="s">
        <v>1293</v>
      </c>
    </row>
    <row r="723" spans="1:19" ht="12" thickBot="1">
      <c r="A723" s="197" t="s">
        <v>1271</v>
      </c>
      <c r="B723" s="147"/>
      <c r="C723" s="147" t="s">
        <v>244</v>
      </c>
      <c r="D723" s="147"/>
      <c r="E723" s="307">
        <v>756</v>
      </c>
      <c r="F723" s="307"/>
      <c r="G723" s="308"/>
      <c r="H723" s="308"/>
      <c r="I723" s="652"/>
      <c r="J723" s="652">
        <v>15.54</v>
      </c>
      <c r="K723" s="652">
        <f t="shared" si="84"/>
        <v>11748.24</v>
      </c>
      <c r="L723" s="654">
        <f t="shared" si="85"/>
        <v>1.3786319502452303E-3</v>
      </c>
      <c r="M723" s="654">
        <f t="shared" si="86"/>
        <v>756</v>
      </c>
      <c r="O723" s="679">
        <f t="shared" si="87"/>
        <v>1.0939510904751154E-2</v>
      </c>
      <c r="P723" s="368"/>
      <c r="Q723" s="681">
        <f>Q721-Q722</f>
        <v>1448683.26</v>
      </c>
      <c r="R723" s="667" t="s">
        <v>1294</v>
      </c>
    </row>
    <row r="724" spans="1:19" ht="12" thickBot="1">
      <c r="A724" s="197" t="s">
        <v>1271</v>
      </c>
      <c r="B724" s="147"/>
      <c r="C724" s="147" t="s">
        <v>245</v>
      </c>
      <c r="D724" s="309"/>
      <c r="E724" s="307">
        <v>1399</v>
      </c>
      <c r="F724" s="307"/>
      <c r="G724" s="308"/>
      <c r="H724" s="308"/>
      <c r="I724" s="308"/>
      <c r="J724" s="652">
        <v>14.24</v>
      </c>
      <c r="K724" s="652">
        <f t="shared" si="84"/>
        <v>19921.760000000002</v>
      </c>
      <c r="L724" s="654">
        <f t="shared" si="85"/>
        <v>2.3377778153253104E-3</v>
      </c>
      <c r="M724" s="654">
        <f t="shared" si="86"/>
        <v>1399</v>
      </c>
      <c r="O724" s="679">
        <f t="shared" si="87"/>
        <v>1.1938202209257929E-2</v>
      </c>
      <c r="P724" s="368"/>
      <c r="Q724" s="681">
        <f>SUM($K$719:$K$787)</f>
        <v>1448683.0900000005</v>
      </c>
      <c r="R724" s="667"/>
    </row>
    <row r="725" spans="1:19" ht="12" thickBot="1">
      <c r="A725" s="197" t="s">
        <v>1271</v>
      </c>
      <c r="B725" s="147"/>
      <c r="C725" s="147" t="s">
        <v>381</v>
      </c>
      <c r="D725" s="147"/>
      <c r="E725" s="307">
        <v>45</v>
      </c>
      <c r="F725" s="307"/>
      <c r="G725" s="308"/>
      <c r="H725" s="308"/>
      <c r="I725" s="308"/>
      <c r="J725" s="652">
        <v>27.69</v>
      </c>
      <c r="K725" s="652">
        <f t="shared" si="84"/>
        <v>1246.05</v>
      </c>
      <c r="L725" s="654">
        <f t="shared" si="85"/>
        <v>1.4622142053644368E-4</v>
      </c>
      <c r="M725" s="654">
        <f t="shared" si="86"/>
        <v>45</v>
      </c>
      <c r="O725" s="679">
        <f t="shared" si="87"/>
        <v>6.1394004860900291E-3</v>
      </c>
      <c r="P725" s="368"/>
      <c r="Q725" s="681">
        <f>Q723-Q724</f>
        <v>0.16999999945983291</v>
      </c>
      <c r="R725" s="667"/>
    </row>
    <row r="726" spans="1:19" ht="12" thickBot="1">
      <c r="A726" s="197" t="s">
        <v>1271</v>
      </c>
      <c r="B726" s="309"/>
      <c r="C726" s="309" t="s">
        <v>246</v>
      </c>
      <c r="D726" s="147"/>
      <c r="E726" s="307">
        <v>355</v>
      </c>
      <c r="F726" s="307"/>
      <c r="G726" s="308"/>
      <c r="H726" s="308"/>
      <c r="I726" s="308"/>
      <c r="J726" s="652">
        <v>28.89</v>
      </c>
      <c r="K726" s="652">
        <f t="shared" si="84"/>
        <v>10255.950000000001</v>
      </c>
      <c r="L726" s="654">
        <f t="shared" si="85"/>
        <v>1.203514769030729E-3</v>
      </c>
      <c r="M726" s="654">
        <f t="shared" si="86"/>
        <v>355</v>
      </c>
      <c r="O726" s="679">
        <f t="shared" si="87"/>
        <v>5.8843890432617825E-3</v>
      </c>
      <c r="P726" s="368"/>
      <c r="Q726" s="681"/>
      <c r="R726" s="667"/>
    </row>
    <row r="727" spans="1:19" ht="12" thickBot="1">
      <c r="A727" s="197" t="s">
        <v>1271</v>
      </c>
      <c r="B727" s="147"/>
      <c r="C727" s="147" t="s">
        <v>252</v>
      </c>
      <c r="D727" s="309"/>
      <c r="E727" s="307">
        <v>3990</v>
      </c>
      <c r="F727" s="307"/>
      <c r="G727" s="308"/>
      <c r="H727" s="308"/>
      <c r="I727" s="308"/>
      <c r="J727" s="652">
        <v>9.57</v>
      </c>
      <c r="K727" s="652">
        <f t="shared" si="84"/>
        <v>38184.300000000003</v>
      </c>
      <c r="L727" s="654">
        <f t="shared" si="85"/>
        <v>4.480849555146044E-3</v>
      </c>
      <c r="M727" s="654">
        <f t="shared" si="86"/>
        <v>3990</v>
      </c>
      <c r="O727" s="679">
        <f t="shared" si="87"/>
        <v>1.7763845293608454E-2</v>
      </c>
      <c r="P727" s="368"/>
      <c r="Q727" s="681"/>
      <c r="R727" s="667"/>
    </row>
    <row r="728" spans="1:19" ht="12" thickBot="1">
      <c r="A728" s="197" t="s">
        <v>1271</v>
      </c>
      <c r="B728" s="147"/>
      <c r="C728" s="147" t="s">
        <v>263</v>
      </c>
      <c r="D728" s="147"/>
      <c r="E728" s="307">
        <v>2011</v>
      </c>
      <c r="F728" s="307"/>
      <c r="G728" s="308"/>
      <c r="H728" s="308"/>
      <c r="I728" s="308"/>
      <c r="J728" s="652">
        <v>27.34</v>
      </c>
      <c r="K728" s="652">
        <f t="shared" si="84"/>
        <v>54980.74</v>
      </c>
      <c r="L728" s="654">
        <f t="shared" si="85"/>
        <v>6.4518774567191295E-3</v>
      </c>
      <c r="M728" s="654">
        <f t="shared" si="86"/>
        <v>2011</v>
      </c>
      <c r="O728" s="679">
        <f t="shared" si="87"/>
        <v>6.2179955910692357E-3</v>
      </c>
      <c r="P728" s="368"/>
      <c r="Q728" s="677"/>
      <c r="R728" s="667"/>
    </row>
    <row r="729" spans="1:19" ht="12" thickBot="1">
      <c r="A729" s="197" t="s">
        <v>1271</v>
      </c>
      <c r="B729" s="147"/>
      <c r="C729" s="147" t="s">
        <v>264</v>
      </c>
      <c r="D729" s="147"/>
      <c r="E729" s="307">
        <v>2201</v>
      </c>
      <c r="F729" s="307"/>
      <c r="G729" s="308"/>
      <c r="H729" s="308"/>
      <c r="I729" s="308"/>
      <c r="J729" s="652">
        <v>31.4</v>
      </c>
      <c r="K729" s="652">
        <f t="shared" si="84"/>
        <v>69111.399999999994</v>
      </c>
      <c r="L729" s="654">
        <f t="shared" si="85"/>
        <v>8.1100815242264555E-3</v>
      </c>
      <c r="M729" s="654">
        <f t="shared" si="86"/>
        <v>2201</v>
      </c>
      <c r="O729" s="679">
        <f t="shared" si="87"/>
        <v>5.4140127216507298E-3</v>
      </c>
      <c r="P729" s="368"/>
      <c r="Q729" s="667"/>
      <c r="R729" s="682"/>
    </row>
    <row r="730" spans="1:19" ht="12" thickBot="1">
      <c r="A730" s="197" t="s">
        <v>1271</v>
      </c>
      <c r="B730" s="147"/>
      <c r="C730" s="147" t="s">
        <v>267</v>
      </c>
      <c r="D730" s="147"/>
      <c r="E730" s="307">
        <f>16583</f>
        <v>16583</v>
      </c>
      <c r="F730" s="307"/>
      <c r="G730" s="308"/>
      <c r="H730" s="308"/>
      <c r="I730" s="308"/>
      <c r="J730" s="652">
        <v>17.189999999999998</v>
      </c>
      <c r="K730" s="652">
        <f t="shared" si="84"/>
        <v>285061.76999999996</v>
      </c>
      <c r="L730" s="654">
        <f t="shared" si="85"/>
        <v>3.3451416034696028E-2</v>
      </c>
      <c r="M730" s="654">
        <f t="shared" si="86"/>
        <v>16583</v>
      </c>
      <c r="O730" s="679">
        <f t="shared" si="87"/>
        <v>9.8894705910315839E-3</v>
      </c>
      <c r="P730" s="368"/>
      <c r="Q730" s="667">
        <v>19984.2</v>
      </c>
      <c r="R730" s="682" t="s">
        <v>17</v>
      </c>
      <c r="S730" s="675" t="s">
        <v>1296</v>
      </c>
    </row>
    <row r="731" spans="1:19" ht="12" thickBot="1">
      <c r="A731" s="197" t="s">
        <v>1271</v>
      </c>
      <c r="B731" s="147"/>
      <c r="C731" s="147" t="s">
        <v>392</v>
      </c>
      <c r="D731" s="147"/>
      <c r="E731" s="307">
        <v>515</v>
      </c>
      <c r="F731" s="307"/>
      <c r="G731" s="308"/>
      <c r="H731" s="308"/>
      <c r="I731" s="308"/>
      <c r="J731" s="652">
        <v>24.89</v>
      </c>
      <c r="K731" s="652">
        <f t="shared" si="84"/>
        <v>12818.35</v>
      </c>
      <c r="L731" s="654">
        <f t="shared" si="85"/>
        <v>1.5042071714083088E-3</v>
      </c>
      <c r="M731" s="654">
        <f t="shared" si="86"/>
        <v>515</v>
      </c>
      <c r="O731" s="679">
        <f t="shared" si="87"/>
        <v>6.8300522081089958E-3</v>
      </c>
      <c r="P731" s="368"/>
      <c r="Q731" s="667">
        <v>23285.19</v>
      </c>
      <c r="R731" s="682" t="s">
        <v>18</v>
      </c>
    </row>
    <row r="732" spans="1:19" ht="12" thickBot="1">
      <c r="A732" s="197" t="s">
        <v>1271</v>
      </c>
      <c r="B732" s="147"/>
      <c r="C732" s="147" t="s">
        <v>268</v>
      </c>
      <c r="D732" s="309"/>
      <c r="E732" s="307">
        <v>1301</v>
      </c>
      <c r="F732" s="307"/>
      <c r="G732" s="308"/>
      <c r="H732" s="308"/>
      <c r="I732" s="308"/>
      <c r="J732" s="652">
        <v>14.17</v>
      </c>
      <c r="K732" s="652">
        <f t="shared" si="84"/>
        <v>18435.169999999998</v>
      </c>
      <c r="L732" s="654">
        <f t="shared" si="85"/>
        <v>2.1633295174598374E-3</v>
      </c>
      <c r="M732" s="654">
        <f t="shared" si="86"/>
        <v>1301</v>
      </c>
      <c r="O732" s="679">
        <f t="shared" si="87"/>
        <v>1.1997177096671341E-2</v>
      </c>
      <c r="P732" s="368"/>
      <c r="Q732" s="667">
        <f>Q730+Q731</f>
        <v>43269.39</v>
      </c>
      <c r="R732" s="682"/>
    </row>
    <row r="733" spans="1:19" ht="12" thickBot="1">
      <c r="A733" s="197" t="s">
        <v>1271</v>
      </c>
      <c r="B733" s="147"/>
      <c r="C733" s="147" t="s">
        <v>269</v>
      </c>
      <c r="D733" s="147"/>
      <c r="E733" s="307">
        <v>2244</v>
      </c>
      <c r="F733" s="307"/>
      <c r="G733" s="308"/>
      <c r="H733" s="308"/>
      <c r="I733" s="308"/>
      <c r="J733" s="652">
        <v>22.15</v>
      </c>
      <c r="K733" s="652">
        <f t="shared" si="84"/>
        <v>49704.6</v>
      </c>
      <c r="L733" s="654">
        <f t="shared" si="85"/>
        <v>5.8327332123074664E-3</v>
      </c>
      <c r="M733" s="654">
        <f t="shared" si="86"/>
        <v>2244</v>
      </c>
      <c r="O733" s="679">
        <f t="shared" si="87"/>
        <v>7.6749435422046467E-3</v>
      </c>
      <c r="P733" s="368"/>
      <c r="Q733" s="671"/>
      <c r="R733" s="683"/>
    </row>
    <row r="734" spans="1:19" ht="12" thickBot="1">
      <c r="A734" s="197" t="s">
        <v>1271</v>
      </c>
      <c r="B734" s="147"/>
      <c r="C734" s="147" t="s">
        <v>393</v>
      </c>
      <c r="D734" s="147"/>
      <c r="E734" s="307">
        <v>16</v>
      </c>
      <c r="F734" s="307"/>
      <c r="G734" s="308"/>
      <c r="H734" s="308"/>
      <c r="I734" s="308"/>
      <c r="J734" s="652">
        <v>72.550000000000011</v>
      </c>
      <c r="K734" s="652">
        <f t="shared" si="84"/>
        <v>1160.8000000000002</v>
      </c>
      <c r="L734" s="654">
        <f t="shared" si="85"/>
        <v>1.362175072899995E-4</v>
      </c>
      <c r="M734" s="654">
        <f t="shared" si="86"/>
        <v>16</v>
      </c>
      <c r="O734" s="679">
        <f t="shared" si="87"/>
        <v>2.3432115707764699E-3</v>
      </c>
      <c r="P734" s="368"/>
      <c r="Q734" s="671"/>
      <c r="R734" s="683"/>
    </row>
    <row r="735" spans="1:19" ht="12" thickBot="1">
      <c r="A735" s="197" t="s">
        <v>1271</v>
      </c>
      <c r="B735" s="309"/>
      <c r="C735" s="309" t="s">
        <v>394</v>
      </c>
      <c r="D735" s="147"/>
      <c r="E735" s="307">
        <v>11</v>
      </c>
      <c r="F735" s="307"/>
      <c r="G735" s="308"/>
      <c r="H735" s="308"/>
      <c r="I735" s="308"/>
      <c r="J735" s="652">
        <v>41.43</v>
      </c>
      <c r="K735" s="652">
        <f t="shared" si="84"/>
        <v>455.73</v>
      </c>
      <c r="L735" s="654">
        <f t="shared" si="85"/>
        <v>5.3478983974217317E-5</v>
      </c>
      <c r="M735" s="654">
        <f t="shared" si="86"/>
        <v>11</v>
      </c>
      <c r="O735" s="679">
        <f t="shared" si="87"/>
        <v>4.1033067694866742E-3</v>
      </c>
      <c r="P735" s="368"/>
      <c r="Q735" s="671"/>
      <c r="R735" s="683"/>
    </row>
    <row r="736" spans="1:19" ht="12" thickBot="1">
      <c r="A736" s="197" t="s">
        <v>1271</v>
      </c>
      <c r="B736" s="147"/>
      <c r="C736" s="147" t="s">
        <v>398</v>
      </c>
      <c r="D736" s="147"/>
      <c r="E736" s="307">
        <v>45</v>
      </c>
      <c r="F736" s="307"/>
      <c r="G736" s="308"/>
      <c r="H736" s="308"/>
      <c r="I736" s="308"/>
      <c r="J736" s="652">
        <v>19.38</v>
      </c>
      <c r="K736" s="652">
        <f t="shared" si="84"/>
        <v>872.09999999999991</v>
      </c>
      <c r="L736" s="654">
        <f t="shared" si="85"/>
        <v>1.0233915240145463E-4</v>
      </c>
      <c r="M736" s="654">
        <f t="shared" si="86"/>
        <v>45</v>
      </c>
      <c r="O736" s="679">
        <f t="shared" si="87"/>
        <v>8.7719297966890042E-3</v>
      </c>
      <c r="P736" s="368"/>
      <c r="Q736" s="671"/>
      <c r="R736" s="683"/>
    </row>
    <row r="737" spans="1:18" ht="12" thickBot="1">
      <c r="A737" s="197" t="s">
        <v>1271</v>
      </c>
      <c r="B737" s="147"/>
      <c r="C737" s="147" t="s">
        <v>395</v>
      </c>
      <c r="D737" s="309"/>
      <c r="E737" s="307">
        <v>239</v>
      </c>
      <c r="F737" s="307"/>
      <c r="G737" s="308"/>
      <c r="H737" s="308"/>
      <c r="I737" s="308"/>
      <c r="J737" s="652">
        <v>20.349999999999998</v>
      </c>
      <c r="K737" s="652">
        <f t="shared" si="84"/>
        <v>4863.6499999999996</v>
      </c>
      <c r="L737" s="654">
        <f t="shared" si="85"/>
        <v>5.7073938605358885E-4</v>
      </c>
      <c r="M737" s="654">
        <f t="shared" si="86"/>
        <v>239</v>
      </c>
      <c r="O737" s="679">
        <f t="shared" si="87"/>
        <v>8.3538083272645166E-3</v>
      </c>
      <c r="P737" s="368"/>
      <c r="Q737" s="671"/>
      <c r="R737" s="683"/>
    </row>
    <row r="738" spans="1:18" ht="12" thickBot="1">
      <c r="A738" s="197" t="s">
        <v>1271</v>
      </c>
      <c r="B738" s="147"/>
      <c r="C738" s="147" t="s">
        <v>396</v>
      </c>
      <c r="D738" s="147"/>
      <c r="E738" s="307">
        <v>103</v>
      </c>
      <c r="F738" s="307"/>
      <c r="G738" s="308"/>
      <c r="H738" s="308"/>
      <c r="I738" s="308"/>
      <c r="J738" s="652">
        <v>19.53</v>
      </c>
      <c r="K738" s="652">
        <f t="shared" si="84"/>
        <v>2011.5900000000001</v>
      </c>
      <c r="L738" s="654">
        <f t="shared" si="85"/>
        <v>2.3605597474973299E-4</v>
      </c>
      <c r="M738" s="654">
        <f t="shared" si="86"/>
        <v>103</v>
      </c>
      <c r="O738" s="679">
        <f t="shared" si="87"/>
        <v>8.7045570639955397E-3</v>
      </c>
      <c r="P738" s="368"/>
      <c r="Q738" s="671"/>
      <c r="R738" s="683"/>
    </row>
    <row r="739" spans="1:18" ht="12" thickBot="1">
      <c r="A739" s="197" t="s">
        <v>1271</v>
      </c>
      <c r="B739" s="147"/>
      <c r="C739" s="147" t="s">
        <v>397</v>
      </c>
      <c r="D739" s="147"/>
      <c r="E739" s="307">
        <v>79</v>
      </c>
      <c r="F739" s="307"/>
      <c r="G739" s="308"/>
      <c r="H739" s="308"/>
      <c r="I739" s="308"/>
      <c r="J739" s="652">
        <v>20.819999999999997</v>
      </c>
      <c r="K739" s="652">
        <f t="shared" si="84"/>
        <v>1644.7799999999997</v>
      </c>
      <c r="L739" s="654">
        <f t="shared" si="85"/>
        <v>1.9301157102036984E-4</v>
      </c>
      <c r="M739" s="654">
        <f t="shared" si="86"/>
        <v>79</v>
      </c>
      <c r="O739" s="679">
        <f t="shared" si="87"/>
        <v>8.1652257185318416E-3</v>
      </c>
      <c r="P739" s="368"/>
      <c r="Q739" s="671"/>
      <c r="R739" s="683"/>
    </row>
    <row r="740" spans="1:18" ht="12" thickBot="1">
      <c r="A740" s="197" t="s">
        <v>1271</v>
      </c>
      <c r="B740" s="147"/>
      <c r="C740" s="147" t="s">
        <v>287</v>
      </c>
      <c r="D740" s="147"/>
      <c r="E740" s="307">
        <v>552</v>
      </c>
      <c r="F740" s="307"/>
      <c r="G740" s="308"/>
      <c r="H740" s="308"/>
      <c r="I740" s="308"/>
      <c r="J740" s="652">
        <v>19.2</v>
      </c>
      <c r="K740" s="652">
        <f t="shared" si="84"/>
        <v>10598.4</v>
      </c>
      <c r="L740" s="654">
        <f t="shared" si="85"/>
        <v>1.2437005765526623E-3</v>
      </c>
      <c r="M740" s="654">
        <f t="shared" si="86"/>
        <v>552</v>
      </c>
      <c r="O740" s="679">
        <f t="shared" si="87"/>
        <v>8.8541666385329645E-3</v>
      </c>
      <c r="P740" s="368"/>
      <c r="Q740" s="671"/>
      <c r="R740" s="683"/>
    </row>
    <row r="741" spans="1:18" ht="12" thickBot="1">
      <c r="A741" s="197" t="s">
        <v>1271</v>
      </c>
      <c r="B741" s="309"/>
      <c r="C741" s="309" t="s">
        <v>288</v>
      </c>
      <c r="D741" s="147"/>
      <c r="E741" s="307">
        <v>529</v>
      </c>
      <c r="F741" s="307"/>
      <c r="G741" s="308"/>
      <c r="H741" s="308"/>
      <c r="I741" s="308"/>
      <c r="J741" s="652">
        <v>22.949999999999996</v>
      </c>
      <c r="K741" s="652">
        <f t="shared" si="84"/>
        <v>12140.549999999997</v>
      </c>
      <c r="L741" s="654">
        <f t="shared" si="85"/>
        <v>1.4246687268518288E-3</v>
      </c>
      <c r="M741" s="654">
        <f t="shared" si="86"/>
        <v>529</v>
      </c>
      <c r="O741" s="679">
        <f t="shared" si="87"/>
        <v>7.407407383870716E-3</v>
      </c>
      <c r="P741" s="368"/>
      <c r="Q741" s="671"/>
      <c r="R741" s="683"/>
    </row>
    <row r="742" spans="1:18" ht="12" thickBot="1">
      <c r="A742" s="197" t="s">
        <v>1271</v>
      </c>
      <c r="B742" s="147"/>
      <c r="C742" s="147" t="s">
        <v>291</v>
      </c>
      <c r="D742" s="309"/>
      <c r="E742" s="307">
        <v>54</v>
      </c>
      <c r="F742" s="307"/>
      <c r="G742" s="308"/>
      <c r="H742" s="308"/>
      <c r="I742" s="308"/>
      <c r="J742" s="652">
        <v>17.419999999999998</v>
      </c>
      <c r="K742" s="652">
        <f t="shared" si="84"/>
        <v>940.68</v>
      </c>
      <c r="L742" s="654">
        <f t="shared" si="85"/>
        <v>1.1038687522187861E-4</v>
      </c>
      <c r="M742" s="654">
        <f t="shared" si="86"/>
        <v>54</v>
      </c>
      <c r="O742" s="679">
        <f t="shared" si="87"/>
        <v>9.7588977875908683E-3</v>
      </c>
      <c r="P742" s="368"/>
      <c r="Q742" s="671"/>
      <c r="R742" s="683"/>
    </row>
    <row r="743" spans="1:18" ht="12" thickBot="1">
      <c r="A743" s="197" t="s">
        <v>1271</v>
      </c>
      <c r="B743" s="147"/>
      <c r="C743" s="147" t="s">
        <v>297</v>
      </c>
      <c r="D743" s="147"/>
      <c r="E743" s="307">
        <v>39</v>
      </c>
      <c r="F743" s="307"/>
      <c r="G743" s="308"/>
      <c r="H743" s="308"/>
      <c r="I743" s="308"/>
      <c r="J743" s="652">
        <v>13.12</v>
      </c>
      <c r="K743" s="652">
        <f t="shared" si="84"/>
        <v>511.67999999999995</v>
      </c>
      <c r="L743" s="654">
        <f t="shared" si="85"/>
        <v>6.0044602110739946E-5</v>
      </c>
      <c r="M743" s="654">
        <f t="shared" si="86"/>
        <v>39</v>
      </c>
      <c r="O743" s="679">
        <f t="shared" si="87"/>
        <v>1.295731703199946E-2</v>
      </c>
      <c r="P743" s="368"/>
      <c r="Q743" s="671"/>
      <c r="R743" s="683"/>
    </row>
    <row r="744" spans="1:18" ht="12" thickBot="1">
      <c r="A744" s="197" t="s">
        <v>1271</v>
      </c>
      <c r="B744" s="147"/>
      <c r="C744" s="147" t="s">
        <v>299</v>
      </c>
      <c r="D744" s="147"/>
      <c r="E744" s="307">
        <v>16</v>
      </c>
      <c r="F744" s="307"/>
      <c r="G744" s="308"/>
      <c r="H744" s="308"/>
      <c r="I744" s="308"/>
      <c r="J744" s="652">
        <v>9.0200000000000014</v>
      </c>
      <c r="K744" s="652">
        <f t="shared" si="84"/>
        <v>144.32000000000002</v>
      </c>
      <c r="L744" s="654">
        <f t="shared" si="85"/>
        <v>1.6935657005593321E-5</v>
      </c>
      <c r="M744" s="654">
        <f t="shared" si="86"/>
        <v>16</v>
      </c>
      <c r="O744" s="679">
        <f t="shared" si="87"/>
        <v>1.884700659199921E-2</v>
      </c>
      <c r="P744" s="368"/>
      <c r="Q744" s="671"/>
      <c r="R744" s="683"/>
    </row>
    <row r="745" spans="1:18" ht="12" thickBot="1">
      <c r="A745" s="197" t="s">
        <v>1271</v>
      </c>
      <c r="B745" s="147"/>
      <c r="C745" s="147" t="s">
        <v>377</v>
      </c>
      <c r="D745" s="147"/>
      <c r="E745" s="307">
        <v>32</v>
      </c>
      <c r="F745" s="307"/>
      <c r="G745" s="308"/>
      <c r="H745" s="308"/>
      <c r="I745" s="308"/>
      <c r="J745" s="652">
        <v>23.89</v>
      </c>
      <c r="K745" s="652">
        <f t="shared" si="84"/>
        <v>764.48</v>
      </c>
      <c r="L745" s="654">
        <f t="shared" si="85"/>
        <v>8.9710165379961062E-5</v>
      </c>
      <c r="M745" s="654">
        <f t="shared" si="86"/>
        <v>32</v>
      </c>
      <c r="O745" s="679">
        <f t="shared" si="87"/>
        <v>7.1159480728268274E-3</v>
      </c>
      <c r="P745" s="368"/>
      <c r="Q745" s="671"/>
      <c r="R745" s="683"/>
    </row>
    <row r="746" spans="1:18" ht="12" thickBot="1">
      <c r="A746" s="197" t="s">
        <v>1271</v>
      </c>
      <c r="B746" s="309"/>
      <c r="C746" s="309" t="s">
        <v>737</v>
      </c>
      <c r="D746" s="147"/>
      <c r="E746" s="307">
        <v>4</v>
      </c>
      <c r="F746" s="307"/>
      <c r="G746" s="308"/>
      <c r="H746" s="308"/>
      <c r="I746" s="308"/>
      <c r="J746" s="652">
        <v>24.9</v>
      </c>
      <c r="K746" s="652">
        <f t="shared" si="84"/>
        <v>99.6</v>
      </c>
      <c r="L746" s="654">
        <f t="shared" si="85"/>
        <v>1.1687856414614013E-5</v>
      </c>
      <c r="M746" s="654">
        <f t="shared" si="86"/>
        <v>4</v>
      </c>
      <c r="O746" s="679">
        <f t="shared" si="87"/>
        <v>6.8273092152543336E-3</v>
      </c>
      <c r="P746" s="368"/>
      <c r="Q746" s="671"/>
      <c r="R746" s="683"/>
    </row>
    <row r="747" spans="1:18" ht="12" thickBot="1">
      <c r="A747" s="197" t="s">
        <v>1271</v>
      </c>
      <c r="B747" s="147"/>
      <c r="C747" s="147" t="s">
        <v>329</v>
      </c>
      <c r="D747" s="309"/>
      <c r="E747" s="307">
        <v>220</v>
      </c>
      <c r="F747" s="307"/>
      <c r="G747" s="308"/>
      <c r="H747" s="308"/>
      <c r="I747" s="308"/>
      <c r="J747" s="652">
        <v>19.79</v>
      </c>
      <c r="K747" s="652">
        <f t="shared" si="84"/>
        <v>4353.8</v>
      </c>
      <c r="L747" s="654">
        <f t="shared" si="85"/>
        <v>5.1090953070227405E-4</v>
      </c>
      <c r="M747" s="654">
        <f t="shared" si="86"/>
        <v>220</v>
      </c>
      <c r="O747" s="679">
        <f t="shared" si="87"/>
        <v>8.590197041931931E-3</v>
      </c>
      <c r="P747" s="368"/>
      <c r="Q747" s="671"/>
      <c r="R747" s="683"/>
    </row>
    <row r="748" spans="1:18" ht="12" thickBot="1">
      <c r="A748" s="197" t="s">
        <v>1271</v>
      </c>
      <c r="B748" s="147"/>
      <c r="C748" s="147" t="s">
        <v>330</v>
      </c>
      <c r="D748" s="147"/>
      <c r="E748" s="307">
        <v>2034</v>
      </c>
      <c r="F748" s="307"/>
      <c r="G748" s="308"/>
      <c r="H748" s="308"/>
      <c r="I748" s="308"/>
      <c r="J748" s="652">
        <v>20.49</v>
      </c>
      <c r="K748" s="652">
        <f t="shared" si="84"/>
        <v>41676.659999999996</v>
      </c>
      <c r="L748" s="654">
        <f t="shared" si="85"/>
        <v>4.8906708626575025E-3</v>
      </c>
      <c r="M748" s="654">
        <f t="shared" si="86"/>
        <v>2034</v>
      </c>
      <c r="O748" s="679">
        <f t="shared" si="87"/>
        <v>8.2967300858874053E-3</v>
      </c>
      <c r="P748" s="368"/>
      <c r="Q748" s="671"/>
      <c r="R748" s="683"/>
    </row>
    <row r="749" spans="1:18" ht="12" thickBot="1">
      <c r="A749" s="197" t="s">
        <v>1271</v>
      </c>
      <c r="B749" s="147"/>
      <c r="C749" s="147" t="s">
        <v>332</v>
      </c>
      <c r="D749" s="147"/>
      <c r="E749" s="307">
        <v>27</v>
      </c>
      <c r="F749" s="307"/>
      <c r="G749" s="308"/>
      <c r="H749" s="308"/>
      <c r="I749" s="308"/>
      <c r="J749" s="652">
        <v>20.18</v>
      </c>
      <c r="K749" s="652">
        <f t="shared" si="84"/>
        <v>544.86</v>
      </c>
      <c r="L749" s="654">
        <f t="shared" si="85"/>
        <v>6.3938207289825221E-5</v>
      </c>
      <c r="M749" s="654">
        <f t="shared" si="86"/>
        <v>27</v>
      </c>
      <c r="O749" s="679">
        <f t="shared" si="87"/>
        <v>8.4241823320036126E-3</v>
      </c>
      <c r="P749" s="368"/>
      <c r="Q749" s="671"/>
      <c r="R749" s="683"/>
    </row>
    <row r="750" spans="1:18" ht="12" thickBot="1">
      <c r="A750" s="197" t="s">
        <v>1271</v>
      </c>
      <c r="B750" s="147"/>
      <c r="C750" s="147" t="s">
        <v>333</v>
      </c>
      <c r="D750" s="147"/>
      <c r="E750" s="307">
        <v>1779</v>
      </c>
      <c r="F750" s="307"/>
      <c r="G750" s="308"/>
      <c r="H750" s="308"/>
      <c r="I750" s="308"/>
      <c r="J750" s="652">
        <v>22.56</v>
      </c>
      <c r="K750" s="652">
        <f t="shared" si="84"/>
        <v>40134.239999999998</v>
      </c>
      <c r="L750" s="654">
        <f t="shared" si="85"/>
        <v>4.7096710284102242E-3</v>
      </c>
      <c r="M750" s="654">
        <f t="shared" si="86"/>
        <v>1779</v>
      </c>
      <c r="O750" s="679">
        <f t="shared" si="87"/>
        <v>7.5354609689642247E-3</v>
      </c>
      <c r="P750" s="368"/>
      <c r="Q750" s="671"/>
      <c r="R750" s="683"/>
    </row>
    <row r="751" spans="1:18" ht="12" thickBot="1">
      <c r="A751" s="197" t="s">
        <v>1271</v>
      </c>
      <c r="B751" s="147"/>
      <c r="C751" s="147" t="s">
        <v>334</v>
      </c>
      <c r="D751" s="147"/>
      <c r="E751" s="307">
        <v>35</v>
      </c>
      <c r="F751" s="307"/>
      <c r="G751" s="308"/>
      <c r="H751" s="308"/>
      <c r="I751" s="308"/>
      <c r="J751" s="652">
        <v>23.68</v>
      </c>
      <c r="K751" s="652">
        <f t="shared" si="84"/>
        <v>828.8</v>
      </c>
      <c r="L751" s="654">
        <f t="shared" si="85"/>
        <v>9.7257985907952751E-5</v>
      </c>
      <c r="M751" s="654">
        <f t="shared" si="86"/>
        <v>35</v>
      </c>
      <c r="O751" s="679">
        <f t="shared" si="87"/>
        <v>7.1790540312429438E-3</v>
      </c>
      <c r="P751" s="368"/>
      <c r="Q751" s="671"/>
      <c r="R751" s="683"/>
    </row>
    <row r="752" spans="1:18" ht="12" thickBot="1">
      <c r="A752" s="197" t="s">
        <v>1271</v>
      </c>
      <c r="B752" s="147"/>
      <c r="C752" s="147" t="s">
        <v>336</v>
      </c>
      <c r="D752" s="309"/>
      <c r="E752" s="307">
        <v>111</v>
      </c>
      <c r="F752" s="307"/>
      <c r="G752" s="308"/>
      <c r="H752" s="308"/>
      <c r="I752" s="308"/>
      <c r="J752" s="652">
        <v>24.77</v>
      </c>
      <c r="K752" s="652">
        <f t="shared" si="84"/>
        <v>2749.47</v>
      </c>
      <c r="L752" s="654">
        <f t="shared" si="85"/>
        <v>3.2264468450089148E-4</v>
      </c>
      <c r="M752" s="654">
        <f t="shared" si="86"/>
        <v>111</v>
      </c>
      <c r="O752" s="679">
        <f t="shared" si="87"/>
        <v>6.8631408744381471E-3</v>
      </c>
      <c r="P752" s="368"/>
      <c r="Q752" s="671"/>
      <c r="R752" s="683"/>
    </row>
    <row r="753" spans="1:18" ht="12" thickBot="1">
      <c r="A753" s="197" t="s">
        <v>1271</v>
      </c>
      <c r="B753" s="309"/>
      <c r="C753" s="309" t="s">
        <v>337</v>
      </c>
      <c r="D753" s="147"/>
      <c r="E753" s="307">
        <v>53</v>
      </c>
      <c r="F753" s="307"/>
      <c r="G753" s="308"/>
      <c r="H753" s="308"/>
      <c r="I753" s="308"/>
      <c r="J753" s="652">
        <v>29.889999999999997</v>
      </c>
      <c r="K753" s="652">
        <f t="shared" si="84"/>
        <v>1584.1699999999998</v>
      </c>
      <c r="L753" s="654">
        <f t="shared" si="85"/>
        <v>1.8589911140902692E-4</v>
      </c>
      <c r="M753" s="654">
        <f t="shared" si="86"/>
        <v>53</v>
      </c>
      <c r="O753" s="679">
        <f t="shared" si="87"/>
        <v>5.6875208919315128E-3</v>
      </c>
      <c r="P753" s="368"/>
      <c r="Q753" s="671"/>
      <c r="R753" s="683"/>
    </row>
    <row r="754" spans="1:18" ht="12" thickBot="1">
      <c r="A754" s="197" t="s">
        <v>1271</v>
      </c>
      <c r="B754" s="147"/>
      <c r="C754" s="147" t="s">
        <v>338</v>
      </c>
      <c r="D754" s="147"/>
      <c r="E754" s="307">
        <v>174</v>
      </c>
      <c r="F754" s="307"/>
      <c r="G754" s="308"/>
      <c r="H754" s="308"/>
      <c r="I754" s="308"/>
      <c r="J754" s="652">
        <v>32.860000000000007</v>
      </c>
      <c r="K754" s="652">
        <f t="shared" si="84"/>
        <v>5717.6400000000012</v>
      </c>
      <c r="L754" s="654">
        <f t="shared" si="85"/>
        <v>6.7095336697242647E-4</v>
      </c>
      <c r="M754" s="654">
        <f t="shared" si="86"/>
        <v>174</v>
      </c>
      <c r="O754" s="679">
        <f t="shared" si="87"/>
        <v>5.1734631606765941E-3</v>
      </c>
      <c r="P754" s="368"/>
      <c r="Q754" s="671"/>
      <c r="R754" s="683"/>
    </row>
    <row r="755" spans="1:18" ht="12" thickBot="1">
      <c r="A755" s="197" t="s">
        <v>1271</v>
      </c>
      <c r="B755" s="147"/>
      <c r="C755" s="147" t="s">
        <v>339</v>
      </c>
      <c r="D755" s="147"/>
      <c r="E755" s="307">
        <v>359</v>
      </c>
      <c r="F755" s="307"/>
      <c r="G755" s="308"/>
      <c r="H755" s="308"/>
      <c r="I755" s="308"/>
      <c r="J755" s="652">
        <v>38.389999999999993</v>
      </c>
      <c r="K755" s="652">
        <f t="shared" si="84"/>
        <v>13782.009999999998</v>
      </c>
      <c r="L755" s="654">
        <f t="shared" si="85"/>
        <v>1.6172907026583783E-3</v>
      </c>
      <c r="M755" s="654">
        <f t="shared" si="86"/>
        <v>359</v>
      </c>
      <c r="O755" s="679">
        <f t="shared" si="87"/>
        <v>4.4282365058565497E-3</v>
      </c>
      <c r="P755" s="368"/>
      <c r="Q755" s="671"/>
      <c r="R755" s="683"/>
    </row>
    <row r="756" spans="1:18" ht="12" thickBot="1">
      <c r="A756" s="197" t="s">
        <v>1271</v>
      </c>
      <c r="B756" s="147"/>
      <c r="C756" s="147" t="s">
        <v>340</v>
      </c>
      <c r="D756" s="147"/>
      <c r="E756" s="307">
        <v>17</v>
      </c>
      <c r="F756" s="307"/>
      <c r="G756" s="308"/>
      <c r="H756" s="308"/>
      <c r="I756" s="308"/>
      <c r="J756" s="652">
        <v>26.349999999999998</v>
      </c>
      <c r="K756" s="652">
        <f t="shared" si="84"/>
        <v>447.95</v>
      </c>
      <c r="L756" s="654">
        <f t="shared" si="85"/>
        <v>5.2566016876770561E-5</v>
      </c>
      <c r="M756" s="654">
        <f t="shared" si="86"/>
        <v>17</v>
      </c>
      <c r="O756" s="679">
        <f t="shared" si="87"/>
        <v>6.4516128827261073E-3</v>
      </c>
      <c r="P756" s="368"/>
      <c r="Q756" s="671"/>
      <c r="R756" s="683"/>
    </row>
    <row r="757" spans="1:18" ht="12" thickBot="1">
      <c r="A757" s="197" t="s">
        <v>1271</v>
      </c>
      <c r="B757" s="147"/>
      <c r="C757" s="147" t="s">
        <v>341</v>
      </c>
      <c r="D757" s="309"/>
      <c r="E757" s="307">
        <v>363</v>
      </c>
      <c r="F757" s="307"/>
      <c r="G757" s="308"/>
      <c r="H757" s="308"/>
      <c r="I757" s="308"/>
      <c r="J757" s="652">
        <v>28.45</v>
      </c>
      <c r="K757" s="652">
        <f t="shared" si="84"/>
        <v>10327.35</v>
      </c>
      <c r="L757" s="654">
        <f t="shared" si="85"/>
        <v>1.2118934130869884E-3</v>
      </c>
      <c r="M757" s="654">
        <f t="shared" si="86"/>
        <v>363</v>
      </c>
      <c r="O757" s="679">
        <f t="shared" si="87"/>
        <v>5.9753954115934239E-3</v>
      </c>
      <c r="P757" s="368"/>
      <c r="Q757" s="671"/>
      <c r="R757" s="683"/>
    </row>
    <row r="758" spans="1:18" ht="12" thickBot="1">
      <c r="A758" s="197" t="s">
        <v>1271</v>
      </c>
      <c r="B758" s="147"/>
      <c r="C758" s="147" t="s">
        <v>342</v>
      </c>
      <c r="D758" s="147"/>
      <c r="E758" s="307">
        <v>31</v>
      </c>
      <c r="F758" s="307"/>
      <c r="G758" s="308"/>
      <c r="H758" s="308"/>
      <c r="I758" s="308"/>
      <c r="J758" s="652">
        <v>34.029999999999994</v>
      </c>
      <c r="K758" s="652">
        <f t="shared" si="84"/>
        <v>1054.9299999999998</v>
      </c>
      <c r="L758" s="654">
        <f t="shared" si="85"/>
        <v>1.2379387919145342E-4</v>
      </c>
      <c r="M758" s="654">
        <f t="shared" si="86"/>
        <v>31</v>
      </c>
      <c r="O758" s="679">
        <f t="shared" si="87"/>
        <v>4.9955921087226837E-3</v>
      </c>
      <c r="P758" s="368"/>
      <c r="Q758" s="671"/>
      <c r="R758" s="683"/>
    </row>
    <row r="759" spans="1:18" ht="12" thickBot="1">
      <c r="A759" s="197" t="s">
        <v>1271</v>
      </c>
      <c r="B759" s="147"/>
      <c r="C759" s="147" t="s">
        <v>343</v>
      </c>
      <c r="D759" s="147"/>
      <c r="E759" s="307">
        <v>40</v>
      </c>
      <c r="F759" s="307"/>
      <c r="G759" s="308"/>
      <c r="H759" s="308"/>
      <c r="I759" s="308"/>
      <c r="J759" s="652">
        <v>33.22</v>
      </c>
      <c r="K759" s="652">
        <f t="shared" si="84"/>
        <v>1328.8</v>
      </c>
      <c r="L759" s="654">
        <f t="shared" si="85"/>
        <v>1.5593196389296286E-4</v>
      </c>
      <c r="M759" s="654">
        <f t="shared" si="86"/>
        <v>40</v>
      </c>
      <c r="O759" s="679">
        <f t="shared" si="87"/>
        <v>5.1173991408739591E-3</v>
      </c>
      <c r="P759" s="368"/>
      <c r="Q759" s="671"/>
      <c r="R759" s="683"/>
    </row>
    <row r="760" spans="1:18" ht="12" thickBot="1">
      <c r="A760" s="197" t="s">
        <v>1271</v>
      </c>
      <c r="B760" s="309"/>
      <c r="C760" s="309" t="s">
        <v>344</v>
      </c>
      <c r="D760" s="147"/>
      <c r="E760" s="307">
        <v>52</v>
      </c>
      <c r="F760" s="307"/>
      <c r="G760" s="308"/>
      <c r="H760" s="308"/>
      <c r="I760" s="308"/>
      <c r="J760" s="652">
        <v>35.199999999999996</v>
      </c>
      <c r="K760" s="652">
        <f t="shared" si="84"/>
        <v>1830.3999999999999</v>
      </c>
      <c r="L760" s="654">
        <f t="shared" si="85"/>
        <v>2.1479369860752498E-4</v>
      </c>
      <c r="M760" s="654">
        <f t="shared" si="86"/>
        <v>52</v>
      </c>
      <c r="O760" s="679">
        <f t="shared" si="87"/>
        <v>4.8295454391997991E-3</v>
      </c>
      <c r="P760" s="368"/>
      <c r="Q760" s="671"/>
      <c r="R760" s="683"/>
    </row>
    <row r="761" spans="1:18" ht="12" thickBot="1">
      <c r="A761" s="197" t="s">
        <v>1271</v>
      </c>
      <c r="B761" s="147"/>
      <c r="C761" s="147" t="s">
        <v>345</v>
      </c>
      <c r="D761" s="147"/>
      <c r="E761" s="307">
        <v>195</v>
      </c>
      <c r="F761" s="307"/>
      <c r="G761" s="308"/>
      <c r="H761" s="308"/>
      <c r="I761" s="308"/>
      <c r="J761" s="652">
        <v>34.090000000000003</v>
      </c>
      <c r="K761" s="652">
        <f t="shared" si="84"/>
        <v>6647.5500000000011</v>
      </c>
      <c r="L761" s="654">
        <f t="shared" si="85"/>
        <v>7.8007640470850812E-4</v>
      </c>
      <c r="M761" s="654">
        <f t="shared" si="86"/>
        <v>195</v>
      </c>
      <c r="O761" s="679">
        <f t="shared" si="87"/>
        <v>4.9867996321452885E-3</v>
      </c>
      <c r="P761" s="368"/>
      <c r="Q761" s="671"/>
      <c r="R761" s="683"/>
    </row>
    <row r="762" spans="1:18" ht="12" thickBot="1">
      <c r="A762" s="197" t="s">
        <v>1271</v>
      </c>
      <c r="B762" s="147"/>
      <c r="C762" s="147" t="s">
        <v>346</v>
      </c>
      <c r="D762" s="309"/>
      <c r="E762" s="307">
        <v>188</v>
      </c>
      <c r="F762" s="307"/>
      <c r="G762" s="308"/>
      <c r="H762" s="308"/>
      <c r="I762" s="308"/>
      <c r="J762" s="652">
        <v>36.07</v>
      </c>
      <c r="K762" s="652">
        <f t="shared" si="84"/>
        <v>6781.16</v>
      </c>
      <c r="L762" s="654">
        <f t="shared" si="85"/>
        <v>7.9575526510566234E-4</v>
      </c>
      <c r="M762" s="654">
        <f t="shared" si="86"/>
        <v>188</v>
      </c>
      <c r="O762" s="679">
        <f t="shared" si="87"/>
        <v>4.7130579279133049E-3</v>
      </c>
      <c r="P762" s="368"/>
      <c r="Q762" s="671"/>
      <c r="R762" s="683"/>
    </row>
    <row r="763" spans="1:18" ht="12" thickBot="1">
      <c r="A763" s="197" t="s">
        <v>1271</v>
      </c>
      <c r="B763" s="147"/>
      <c r="C763" s="147" t="s">
        <v>347</v>
      </c>
      <c r="D763" s="147"/>
      <c r="E763" s="307">
        <v>13</v>
      </c>
      <c r="F763" s="307"/>
      <c r="G763" s="308"/>
      <c r="H763" s="308"/>
      <c r="I763" s="308"/>
      <c r="J763" s="652">
        <v>32.26</v>
      </c>
      <c r="K763" s="652">
        <f t="shared" si="84"/>
        <v>419.38</v>
      </c>
      <c r="L763" s="654">
        <f t="shared" si="85"/>
        <v>4.9213385774707078E-5</v>
      </c>
      <c r="M763" s="654">
        <f t="shared" si="86"/>
        <v>13</v>
      </c>
      <c r="O763" s="679">
        <f t="shared" si="87"/>
        <v>5.2696838022266868E-3</v>
      </c>
      <c r="P763" s="368"/>
      <c r="Q763" s="671"/>
      <c r="R763" s="683"/>
    </row>
    <row r="764" spans="1:18" ht="12" thickBot="1">
      <c r="A764" s="197" t="s">
        <v>1271</v>
      </c>
      <c r="B764" s="147"/>
      <c r="C764" s="147" t="s">
        <v>348</v>
      </c>
      <c r="D764" s="147"/>
      <c r="E764" s="307">
        <v>44</v>
      </c>
      <c r="F764" s="307"/>
      <c r="G764" s="308"/>
      <c r="H764" s="308"/>
      <c r="I764" s="308"/>
      <c r="J764" s="652">
        <v>32.93</v>
      </c>
      <c r="K764" s="652">
        <f t="shared" si="84"/>
        <v>1448.92</v>
      </c>
      <c r="L764" s="654">
        <f t="shared" si="85"/>
        <v>1.7002780036408171E-4</v>
      </c>
      <c r="M764" s="654">
        <f t="shared" si="86"/>
        <v>44</v>
      </c>
      <c r="O764" s="679">
        <f t="shared" si="87"/>
        <v>5.1624658202196446E-3</v>
      </c>
      <c r="P764" s="368"/>
      <c r="Q764" s="671"/>
      <c r="R764" s="683"/>
    </row>
    <row r="765" spans="1:18" ht="12" thickBot="1">
      <c r="A765" s="197" t="s">
        <v>1271</v>
      </c>
      <c r="B765" s="147"/>
      <c r="C765" s="147" t="s">
        <v>376</v>
      </c>
      <c r="D765" s="147"/>
      <c r="E765" s="307">
        <v>10</v>
      </c>
      <c r="F765" s="307"/>
      <c r="G765" s="308"/>
      <c r="H765" s="308"/>
      <c r="I765" s="308"/>
      <c r="J765" s="652">
        <v>34.330000000000005</v>
      </c>
      <c r="K765" s="652">
        <f t="shared" si="84"/>
        <v>343.30000000000007</v>
      </c>
      <c r="L765" s="654">
        <f t="shared" si="85"/>
        <v>4.0285553284507949E-5</v>
      </c>
      <c r="M765" s="654">
        <f t="shared" si="86"/>
        <v>10</v>
      </c>
      <c r="O765" s="679">
        <f t="shared" si="87"/>
        <v>4.9519370655354755E-3</v>
      </c>
      <c r="P765" s="368"/>
      <c r="Q765" s="671"/>
      <c r="R765" s="683"/>
    </row>
    <row r="766" spans="1:18" ht="12" thickBot="1">
      <c r="A766" s="197" t="s">
        <v>1271</v>
      </c>
      <c r="B766" s="147"/>
      <c r="C766" s="147" t="s">
        <v>349</v>
      </c>
      <c r="D766" s="147"/>
      <c r="E766" s="307">
        <v>170</v>
      </c>
      <c r="F766" s="307"/>
      <c r="G766" s="308"/>
      <c r="H766" s="308"/>
      <c r="I766" s="308"/>
      <c r="J766" s="652">
        <v>34.99</v>
      </c>
      <c r="K766" s="652">
        <f t="shared" si="84"/>
        <v>5948.3</v>
      </c>
      <c r="L766" s="654">
        <f t="shared" si="85"/>
        <v>6.9802084649647127E-4</v>
      </c>
      <c r="M766" s="654">
        <f t="shared" si="86"/>
        <v>170</v>
      </c>
      <c r="O766" s="679">
        <f t="shared" si="87"/>
        <v>4.8585309934219174E-3</v>
      </c>
      <c r="P766" s="368"/>
      <c r="Q766" s="671"/>
      <c r="R766" s="683"/>
    </row>
    <row r="767" spans="1:18" ht="12" thickBot="1">
      <c r="A767" s="197" t="s">
        <v>1271</v>
      </c>
      <c r="B767" s="147"/>
      <c r="C767" s="147" t="s">
        <v>730</v>
      </c>
      <c r="D767" s="309"/>
      <c r="E767" s="307">
        <v>2</v>
      </c>
      <c r="F767" s="307"/>
      <c r="G767" s="308"/>
      <c r="H767" s="308"/>
      <c r="I767" s="308"/>
      <c r="J767" s="652">
        <v>18.279999999999998</v>
      </c>
      <c r="K767" s="652">
        <f t="shared" si="84"/>
        <v>36.559999999999995</v>
      </c>
      <c r="L767" s="654">
        <f t="shared" si="85"/>
        <v>4.2902412702639389E-6</v>
      </c>
      <c r="M767" s="654">
        <f t="shared" si="86"/>
        <v>2</v>
      </c>
      <c r="O767" s="679">
        <f t="shared" si="87"/>
        <v>9.2997811520696347E-3</v>
      </c>
      <c r="P767" s="368"/>
      <c r="Q767" s="671"/>
      <c r="R767" s="683"/>
    </row>
    <row r="768" spans="1:18" ht="12" thickBot="1">
      <c r="A768" s="197" t="s">
        <v>1271</v>
      </c>
      <c r="B768" s="147"/>
      <c r="C768" s="147" t="s">
        <v>378</v>
      </c>
      <c r="D768" s="147"/>
      <c r="E768" s="307">
        <v>13</v>
      </c>
      <c r="F768" s="307"/>
      <c r="G768" s="308"/>
      <c r="H768" s="308"/>
      <c r="I768" s="308"/>
      <c r="J768" s="652">
        <v>22.32</v>
      </c>
      <c r="K768" s="652">
        <f t="shared" si="84"/>
        <v>290.16000000000003</v>
      </c>
      <c r="L768" s="654">
        <f t="shared" si="85"/>
        <v>3.4049682904261073E-5</v>
      </c>
      <c r="M768" s="654">
        <f t="shared" si="86"/>
        <v>13</v>
      </c>
      <c r="O768" s="679">
        <f t="shared" si="87"/>
        <v>7.6164874309960981E-3</v>
      </c>
      <c r="P768" s="368"/>
      <c r="Q768" s="671"/>
      <c r="R768" s="683"/>
    </row>
    <row r="769" spans="1:18" ht="12" thickBot="1">
      <c r="A769" s="197" t="s">
        <v>1271</v>
      </c>
      <c r="B769" s="309"/>
      <c r="C769" s="309" t="s">
        <v>354</v>
      </c>
      <c r="D769" s="147"/>
      <c r="E769" s="307">
        <v>6201</v>
      </c>
      <c r="F769" s="307"/>
      <c r="G769" s="308"/>
      <c r="H769" s="308"/>
      <c r="I769" s="308"/>
      <c r="J769" s="652">
        <v>12.82</v>
      </c>
      <c r="K769" s="652">
        <f t="shared" si="84"/>
        <v>79496.820000000007</v>
      </c>
      <c r="L769" s="654">
        <f t="shared" si="85"/>
        <v>9.3287893331166234E-3</v>
      </c>
      <c r="M769" s="654">
        <f t="shared" si="86"/>
        <v>6201</v>
      </c>
      <c r="O769" s="679">
        <f t="shared" si="87"/>
        <v>1.326053037908213E-2</v>
      </c>
      <c r="P769" s="368"/>
      <c r="Q769" s="671"/>
      <c r="R769" s="683"/>
    </row>
    <row r="770" spans="1:18" ht="12" thickBot="1">
      <c r="A770" s="197" t="s">
        <v>1271</v>
      </c>
      <c r="B770" s="147"/>
      <c r="C770" s="147" t="s">
        <v>355</v>
      </c>
      <c r="D770" s="147"/>
      <c r="E770" s="307">
        <v>7960</v>
      </c>
      <c r="F770" s="307"/>
      <c r="G770" s="308"/>
      <c r="H770" s="308"/>
      <c r="I770" s="308"/>
      <c r="J770" s="652">
        <v>15.08</v>
      </c>
      <c r="K770" s="652">
        <f t="shared" si="84"/>
        <v>120036.8</v>
      </c>
      <c r="L770" s="654">
        <f t="shared" si="85"/>
        <v>1.4086073121182123E-2</v>
      </c>
      <c r="M770" s="654">
        <f t="shared" si="86"/>
        <v>7960</v>
      </c>
      <c r="O770" s="679">
        <f t="shared" si="87"/>
        <v>1.1273209513251519E-2</v>
      </c>
      <c r="P770" s="368"/>
      <c r="Q770" s="671"/>
      <c r="R770" s="683"/>
    </row>
    <row r="771" spans="1:18" ht="12.75" customHeight="1" thickBot="1">
      <c r="A771" s="197" t="s">
        <v>1271</v>
      </c>
      <c r="B771" s="147"/>
      <c r="C771" s="147" t="s">
        <v>356</v>
      </c>
      <c r="D771" s="147"/>
      <c r="E771" s="307">
        <v>5475</v>
      </c>
      <c r="F771" s="307"/>
      <c r="G771" s="308"/>
      <c r="H771" s="308"/>
      <c r="I771" s="308"/>
      <c r="J771" s="652">
        <v>17.38</v>
      </c>
      <c r="K771" s="652">
        <f t="shared" si="84"/>
        <v>95155.5</v>
      </c>
      <c r="L771" s="654">
        <f t="shared" si="85"/>
        <v>1.116630342430526E-2</v>
      </c>
      <c r="M771" s="654">
        <f t="shared" si="86"/>
        <v>5475</v>
      </c>
      <c r="O771" s="679">
        <f t="shared" si="87"/>
        <v>9.7813578515438954E-3</v>
      </c>
      <c r="P771" s="368"/>
      <c r="Q771" s="671"/>
      <c r="R771" s="683"/>
    </row>
    <row r="772" spans="1:18" ht="12" thickBot="1">
      <c r="A772" s="197" t="s">
        <v>1271</v>
      </c>
      <c r="B772" s="147"/>
      <c r="C772" s="147" t="s">
        <v>357</v>
      </c>
      <c r="D772" s="309"/>
      <c r="E772" s="307">
        <v>403</v>
      </c>
      <c r="F772" s="307"/>
      <c r="G772" s="308"/>
      <c r="H772" s="308"/>
      <c r="I772" s="308"/>
      <c r="J772" s="652">
        <v>13.77</v>
      </c>
      <c r="K772" s="652">
        <f t="shared" si="84"/>
        <v>5549.3099999999995</v>
      </c>
      <c r="L772" s="654">
        <f t="shared" si="85"/>
        <v>6.5120018554399282E-4</v>
      </c>
      <c r="M772" s="654">
        <f t="shared" si="86"/>
        <v>403</v>
      </c>
      <c r="O772" s="679">
        <f t="shared" si="87"/>
        <v>1.2345678973117858E-2</v>
      </c>
      <c r="P772" s="368"/>
      <c r="Q772" s="671"/>
      <c r="R772" s="683"/>
    </row>
    <row r="773" spans="1:18" ht="12" thickBot="1">
      <c r="A773" s="197" t="s">
        <v>1271</v>
      </c>
      <c r="B773" s="147"/>
      <c r="C773" s="147" t="s">
        <v>358</v>
      </c>
      <c r="D773" s="147"/>
      <c r="E773" s="307">
        <v>12619</v>
      </c>
      <c r="F773" s="307"/>
      <c r="G773" s="308"/>
      <c r="H773" s="308"/>
      <c r="I773" s="308"/>
      <c r="J773" s="652">
        <v>18.21</v>
      </c>
      <c r="K773" s="652">
        <f t="shared" si="84"/>
        <v>229791.99000000002</v>
      </c>
      <c r="L773" s="654">
        <f t="shared" si="85"/>
        <v>2.6965620324783328E-2</v>
      </c>
      <c r="M773" s="654">
        <f t="shared" si="86"/>
        <v>12619</v>
      </c>
      <c r="O773" s="679">
        <f t="shared" si="87"/>
        <v>9.3355298989474412E-3</v>
      </c>
      <c r="P773" s="368"/>
      <c r="Q773" s="671"/>
      <c r="R773" s="683"/>
    </row>
    <row r="774" spans="1:18" ht="12" thickBot="1">
      <c r="A774" s="197" t="s">
        <v>1271</v>
      </c>
      <c r="B774" s="309"/>
      <c r="C774" s="309" t="s">
        <v>359</v>
      </c>
      <c r="D774" s="147"/>
      <c r="E774" s="307">
        <v>3170</v>
      </c>
      <c r="F774" s="307"/>
      <c r="G774" s="308"/>
      <c r="H774" s="308"/>
      <c r="I774" s="308"/>
      <c r="J774" s="652">
        <v>10.86</v>
      </c>
      <c r="K774" s="652">
        <f t="shared" si="84"/>
        <v>34426.199999999997</v>
      </c>
      <c r="L774" s="654">
        <f t="shared" si="85"/>
        <v>4.0398442018151097E-3</v>
      </c>
      <c r="M774" s="654">
        <f t="shared" si="86"/>
        <v>3170</v>
      </c>
      <c r="O774" s="679">
        <f t="shared" si="87"/>
        <v>1.5653775272544468E-2</v>
      </c>
      <c r="P774" s="368"/>
      <c r="Q774" s="671"/>
      <c r="R774" s="683"/>
    </row>
    <row r="775" spans="1:18" ht="12" thickBot="1">
      <c r="A775" s="197" t="s">
        <v>1271</v>
      </c>
      <c r="B775" s="147"/>
      <c r="C775" s="147" t="s">
        <v>360</v>
      </c>
      <c r="D775" s="309"/>
      <c r="E775" s="307">
        <v>5</v>
      </c>
      <c r="F775" s="307"/>
      <c r="G775" s="308"/>
      <c r="H775" s="308"/>
      <c r="I775" s="308"/>
      <c r="J775" s="652">
        <v>11.13</v>
      </c>
      <c r="K775" s="652">
        <f t="shared" si="84"/>
        <v>55.650000000000006</v>
      </c>
      <c r="L775" s="654">
        <f t="shared" si="85"/>
        <v>6.5304137497316255E-6</v>
      </c>
      <c r="M775" s="654">
        <f t="shared" si="86"/>
        <v>5</v>
      </c>
      <c r="O775" s="679">
        <f t="shared" si="87"/>
        <v>1.5274034093426135E-2</v>
      </c>
      <c r="P775" s="368"/>
      <c r="Q775" s="671"/>
      <c r="R775" s="683"/>
    </row>
    <row r="776" spans="1:18" ht="12" thickBot="1">
      <c r="A776" s="197" t="s">
        <v>1271</v>
      </c>
      <c r="B776" s="147"/>
      <c r="C776" s="147" t="s">
        <v>365</v>
      </c>
      <c r="D776" s="147"/>
      <c r="E776" s="307">
        <v>17</v>
      </c>
      <c r="F776" s="307"/>
      <c r="G776" s="308"/>
      <c r="H776" s="308"/>
      <c r="I776" s="308"/>
      <c r="J776" s="652">
        <v>12.79</v>
      </c>
      <c r="K776" s="652">
        <f t="shared" si="84"/>
        <v>217.42999999999998</v>
      </c>
      <c r="L776" s="654">
        <f t="shared" si="85"/>
        <v>2.5514966066561495E-5</v>
      </c>
      <c r="M776" s="654">
        <f t="shared" si="86"/>
        <v>17</v>
      </c>
      <c r="O776" s="679">
        <f t="shared" si="87"/>
        <v>1.3291634046898586E-2</v>
      </c>
      <c r="P776" s="368"/>
      <c r="Q776" s="671"/>
      <c r="R776" s="683"/>
    </row>
    <row r="777" spans="1:18" ht="12" thickBot="1">
      <c r="A777" s="197" t="s">
        <v>1271</v>
      </c>
      <c r="B777" s="147"/>
      <c r="C777" s="147" t="s">
        <v>366</v>
      </c>
      <c r="D777" s="147"/>
      <c r="E777" s="307">
        <v>2</v>
      </c>
      <c r="F777" s="307"/>
      <c r="G777" s="308"/>
      <c r="H777" s="308"/>
      <c r="I777" s="308"/>
      <c r="J777" s="652">
        <v>15.07</v>
      </c>
      <c r="K777" s="652">
        <f t="shared" si="84"/>
        <v>30.14</v>
      </c>
      <c r="L777" s="654">
        <f t="shared" si="85"/>
        <v>3.5368673929364096E-6</v>
      </c>
      <c r="M777" s="654">
        <f t="shared" si="86"/>
        <v>2</v>
      </c>
      <c r="O777" s="679">
        <f t="shared" si="87"/>
        <v>1.1280690076963033E-2</v>
      </c>
      <c r="P777" s="368"/>
      <c r="Q777" s="671"/>
      <c r="R777" s="683"/>
    </row>
    <row r="778" spans="1:18" ht="12" thickBot="1">
      <c r="A778" s="197" t="s">
        <v>1271</v>
      </c>
      <c r="B778" s="147"/>
      <c r="C778" s="147" t="s">
        <v>367</v>
      </c>
      <c r="D778" s="309"/>
      <c r="E778" s="307">
        <v>268</v>
      </c>
      <c r="F778" s="307"/>
      <c r="G778" s="308"/>
      <c r="H778" s="308"/>
      <c r="I778" s="308"/>
      <c r="J778" s="652">
        <v>18.68</v>
      </c>
      <c r="K778" s="652">
        <f t="shared" si="84"/>
        <v>5006.24</v>
      </c>
      <c r="L778" s="654">
        <f t="shared" si="85"/>
        <v>5.8747203109535406E-4</v>
      </c>
      <c r="M778" s="654">
        <f t="shared" si="86"/>
        <v>268</v>
      </c>
      <c r="O778" s="679">
        <f t="shared" si="87"/>
        <v>9.1006423693700701E-3</v>
      </c>
      <c r="P778" s="368"/>
      <c r="Q778" s="671"/>
      <c r="R778" s="683"/>
    </row>
    <row r="779" spans="1:18" ht="12" thickBot="1">
      <c r="A779" s="197" t="s">
        <v>1271</v>
      </c>
      <c r="B779" s="147"/>
      <c r="C779" s="147" t="s">
        <v>368</v>
      </c>
      <c r="D779" s="147"/>
      <c r="E779" s="307">
        <v>52</v>
      </c>
      <c r="F779" s="307"/>
      <c r="G779" s="308"/>
      <c r="H779" s="308"/>
      <c r="I779" s="308"/>
      <c r="J779" s="652">
        <v>20.970000000000002</v>
      </c>
      <c r="K779" s="652">
        <f t="shared" si="84"/>
        <v>1090.44</v>
      </c>
      <c r="L779" s="654">
        <f t="shared" si="85"/>
        <v>1.2796090510794886E-4</v>
      </c>
      <c r="M779" s="654">
        <f t="shared" si="86"/>
        <v>52</v>
      </c>
      <c r="O779" s="679">
        <f t="shared" si="87"/>
        <v>8.1068192398585075E-3</v>
      </c>
      <c r="P779" s="368"/>
      <c r="Q779" s="671"/>
      <c r="R779" s="683"/>
    </row>
    <row r="780" spans="1:18" ht="12" thickBot="1">
      <c r="A780" s="197" t="s">
        <v>1271</v>
      </c>
      <c r="B780" s="147"/>
      <c r="C780" s="147" t="s">
        <v>369</v>
      </c>
      <c r="D780" s="147"/>
      <c r="E780" s="307">
        <v>2</v>
      </c>
      <c r="F780" s="307"/>
      <c r="G780" s="308"/>
      <c r="H780" s="308"/>
      <c r="I780" s="308"/>
      <c r="J780" s="652">
        <v>28.42</v>
      </c>
      <c r="K780" s="652">
        <f t="shared" si="84"/>
        <v>56.84</v>
      </c>
      <c r="L780" s="654">
        <f t="shared" si="85"/>
        <v>6.6700578173359499E-6</v>
      </c>
      <c r="M780" s="654">
        <f t="shared" si="86"/>
        <v>2</v>
      </c>
      <c r="O780" s="679">
        <f t="shared" si="87"/>
        <v>5.9817030070314177E-3</v>
      </c>
      <c r="P780" s="368"/>
      <c r="Q780" s="671"/>
      <c r="R780" s="683"/>
    </row>
    <row r="781" spans="1:18" ht="12" thickBot="1">
      <c r="A781" s="197" t="s">
        <v>1271</v>
      </c>
      <c r="B781" s="147"/>
      <c r="C781" s="147" t="s">
        <v>370</v>
      </c>
      <c r="D781" s="147"/>
      <c r="E781" s="307">
        <v>339</v>
      </c>
      <c r="F781" s="307"/>
      <c r="G781" s="308"/>
      <c r="H781" s="308"/>
      <c r="I781" s="308"/>
      <c r="J781" s="652">
        <v>39.6</v>
      </c>
      <c r="K781" s="652">
        <f t="shared" si="84"/>
        <v>13424.4</v>
      </c>
      <c r="L781" s="654">
        <f t="shared" si="85"/>
        <v>1.5753259001239394E-3</v>
      </c>
      <c r="M781" s="654">
        <f t="shared" si="86"/>
        <v>339</v>
      </c>
      <c r="O781" s="679">
        <f t="shared" si="87"/>
        <v>4.2929292792887094E-3</v>
      </c>
      <c r="P781" s="368"/>
      <c r="Q781" s="671"/>
      <c r="R781" s="683"/>
    </row>
    <row r="782" spans="1:18" ht="12" thickBot="1">
      <c r="A782" s="197" t="s">
        <v>1271</v>
      </c>
      <c r="B782" s="147"/>
      <c r="C782" s="147" t="s">
        <v>371</v>
      </c>
      <c r="D782" s="147"/>
      <c r="E782" s="307">
        <v>59</v>
      </c>
      <c r="F782" s="307"/>
      <c r="G782" s="308"/>
      <c r="H782" s="308"/>
      <c r="I782" s="308"/>
      <c r="J782" s="652">
        <v>42.78</v>
      </c>
      <c r="K782" s="652">
        <f t="shared" si="84"/>
        <v>2524.02</v>
      </c>
      <c r="L782" s="654">
        <f t="shared" si="85"/>
        <v>2.9618858782745047E-4</v>
      </c>
      <c r="M782" s="654">
        <f t="shared" si="86"/>
        <v>59</v>
      </c>
      <c r="O782" s="679">
        <f t="shared" si="87"/>
        <v>3.9738195292153555E-3</v>
      </c>
      <c r="P782" s="368"/>
      <c r="Q782" s="671"/>
      <c r="R782" s="683"/>
    </row>
    <row r="783" spans="1:18" ht="12" thickBot="1">
      <c r="A783" s="197" t="s">
        <v>1271</v>
      </c>
      <c r="B783" s="147"/>
      <c r="C783" s="147" t="s">
        <v>659</v>
      </c>
      <c r="D783" s="309"/>
      <c r="E783" s="307">
        <v>17</v>
      </c>
      <c r="F783" s="307"/>
      <c r="G783" s="308"/>
      <c r="H783" s="308"/>
      <c r="I783" s="308"/>
      <c r="J783" s="652">
        <v>23.83</v>
      </c>
      <c r="K783" s="652">
        <f t="shared" si="84"/>
        <v>405.10999999999996</v>
      </c>
      <c r="L783" s="654">
        <f t="shared" si="85"/>
        <v>4.7538830443014889E-5</v>
      </c>
      <c r="M783" s="654">
        <f t="shared" si="86"/>
        <v>17</v>
      </c>
      <c r="O783" s="679">
        <f t="shared" si="87"/>
        <v>7.1338648535389394E-3</v>
      </c>
      <c r="P783" s="368"/>
      <c r="Q783" s="671"/>
      <c r="R783" s="683"/>
    </row>
    <row r="784" spans="1:18" ht="12" thickBot="1">
      <c r="A784" s="197" t="s">
        <v>1271</v>
      </c>
      <c r="B784" s="309"/>
      <c r="C784" s="309" t="s">
        <v>399</v>
      </c>
      <c r="D784" s="147"/>
      <c r="E784" s="307">
        <v>4</v>
      </c>
      <c r="F784" s="307"/>
      <c r="G784" s="308"/>
      <c r="H784" s="308"/>
      <c r="I784" s="308"/>
      <c r="J784" s="652">
        <v>20.46</v>
      </c>
      <c r="K784" s="652">
        <f t="shared" ref="K784:K787" si="88">E784*J784</f>
        <v>81.84</v>
      </c>
      <c r="L784" s="654">
        <f t="shared" ref="L784:L787" si="89">K784/$Q$724*$Q$725</f>
        <v>9.6037567165864555E-6</v>
      </c>
      <c r="M784" s="654">
        <f t="shared" ref="M784:M787" si="90">ROUND((K784+L784)/J784,0)</f>
        <v>4</v>
      </c>
      <c r="O784" s="679">
        <f t="shared" ref="O784:O787" si="91">$Q$725/J784</f>
        <v>8.308895379268471E-3</v>
      </c>
      <c r="P784" s="368"/>
      <c r="Q784" s="671"/>
      <c r="R784" s="683"/>
    </row>
    <row r="785" spans="1:19" ht="12" thickBot="1">
      <c r="A785" s="197" t="s">
        <v>1271</v>
      </c>
      <c r="B785" s="147"/>
      <c r="C785" s="147" t="s">
        <v>372</v>
      </c>
      <c r="D785" s="147"/>
      <c r="E785" s="307">
        <v>39</v>
      </c>
      <c r="F785" s="307"/>
      <c r="G785" s="308"/>
      <c r="H785" s="308"/>
      <c r="I785" s="308"/>
      <c r="J785" s="652">
        <v>30.21</v>
      </c>
      <c r="K785" s="652">
        <f t="shared" si="88"/>
        <v>1178.19</v>
      </c>
      <c r="L785" s="654">
        <f t="shared" si="89"/>
        <v>1.3825818824431813E-4</v>
      </c>
      <c r="M785" s="654">
        <f t="shared" si="90"/>
        <v>39</v>
      </c>
      <c r="O785" s="679">
        <f t="shared" si="91"/>
        <v>5.627275718630682E-3</v>
      </c>
      <c r="P785" s="368"/>
      <c r="Q785" s="671"/>
      <c r="R785" s="683"/>
    </row>
    <row r="786" spans="1:19" ht="12" thickBot="1">
      <c r="A786" s="197" t="s">
        <v>1271</v>
      </c>
      <c r="B786" s="147"/>
      <c r="C786" s="147" t="s">
        <v>373</v>
      </c>
      <c r="D786" s="147"/>
      <c r="E786" s="307">
        <v>2</v>
      </c>
      <c r="F786" s="307"/>
      <c r="G786" s="308"/>
      <c r="H786" s="308"/>
      <c r="I786" s="308"/>
      <c r="J786" s="652">
        <v>42.56</v>
      </c>
      <c r="K786" s="652">
        <f t="shared" si="88"/>
        <v>85.12</v>
      </c>
      <c r="L786" s="654">
        <f t="shared" si="89"/>
        <v>9.9886580121681211E-6</v>
      </c>
      <c r="M786" s="654">
        <f t="shared" si="90"/>
        <v>2</v>
      </c>
      <c r="O786" s="679">
        <f t="shared" si="91"/>
        <v>3.9943608895637427E-3</v>
      </c>
      <c r="P786" s="368"/>
      <c r="Q786" s="671"/>
      <c r="R786" s="683"/>
    </row>
    <row r="787" spans="1:19" ht="12" thickBot="1">
      <c r="A787" s="197" t="s">
        <v>1271</v>
      </c>
      <c r="B787" s="147"/>
      <c r="C787" s="147" t="s">
        <v>374</v>
      </c>
      <c r="D787" s="147"/>
      <c r="E787" s="307">
        <v>13</v>
      </c>
      <c r="F787" s="307"/>
      <c r="G787" s="308"/>
      <c r="H787" s="308"/>
      <c r="I787" s="308"/>
      <c r="J787" s="652">
        <v>52.31</v>
      </c>
      <c r="K787" s="652">
        <f t="shared" si="88"/>
        <v>680.03</v>
      </c>
      <c r="L787" s="654">
        <f t="shared" si="89"/>
        <v>7.9800130498292851E-5</v>
      </c>
      <c r="M787" s="654">
        <f t="shared" si="90"/>
        <v>13</v>
      </c>
      <c r="O787" s="679">
        <f t="shared" si="91"/>
        <v>3.2498566136462035E-3</v>
      </c>
      <c r="P787" s="368"/>
      <c r="Q787" s="671"/>
      <c r="R787" s="683"/>
    </row>
    <row r="788" spans="1:19" ht="12" thickBot="1">
      <c r="A788" s="197" t="s">
        <v>1271</v>
      </c>
      <c r="B788" s="147"/>
      <c r="C788" s="147"/>
      <c r="D788" s="147"/>
      <c r="E788" s="307"/>
      <c r="F788" s="307"/>
      <c r="G788" s="308"/>
      <c r="H788" s="308"/>
      <c r="I788" s="308"/>
      <c r="J788" s="307"/>
      <c r="K788" s="652"/>
      <c r="L788" s="308"/>
      <c r="M788" s="308"/>
      <c r="N788" s="308"/>
      <c r="P788" s="677"/>
      <c r="Q788" s="671"/>
      <c r="R788" s="683"/>
    </row>
    <row r="789" spans="1:19" ht="12" thickBot="1">
      <c r="A789" s="197" t="s">
        <v>1271</v>
      </c>
      <c r="B789" s="147"/>
      <c r="C789" s="147"/>
      <c r="D789" s="309"/>
      <c r="E789" s="307"/>
      <c r="F789" s="307"/>
      <c r="G789" s="308"/>
      <c r="H789" s="308"/>
      <c r="I789" s="308"/>
      <c r="J789" s="307"/>
      <c r="K789" s="652"/>
      <c r="L789" s="308"/>
      <c r="M789" s="308"/>
      <c r="N789" s="308"/>
      <c r="P789" s="677"/>
      <c r="Q789" s="671"/>
      <c r="R789" s="683"/>
    </row>
    <row r="790" spans="1:19" ht="12" thickBot="1">
      <c r="A790" s="197" t="s">
        <v>1271</v>
      </c>
      <c r="B790" s="147"/>
      <c r="C790" s="147"/>
      <c r="D790" s="147"/>
      <c r="E790" s="307"/>
      <c r="F790" s="307"/>
      <c r="G790" s="308"/>
      <c r="H790" s="308"/>
      <c r="I790" s="308"/>
      <c r="J790" s="307"/>
      <c r="K790" s="652"/>
      <c r="L790" s="308"/>
      <c r="M790" s="308"/>
      <c r="N790" s="308"/>
      <c r="P790" s="677"/>
      <c r="Q790" s="671"/>
      <c r="R790" s="683"/>
    </row>
    <row r="791" spans="1:19" ht="12" thickBot="1">
      <c r="A791" s="197" t="s">
        <v>1271</v>
      </c>
      <c r="B791" s="147"/>
      <c r="C791" s="147"/>
      <c r="D791" s="147"/>
      <c r="E791" s="307"/>
      <c r="F791" s="307"/>
      <c r="G791" s="308"/>
      <c r="H791" s="308"/>
      <c r="I791" s="308"/>
      <c r="J791" s="307"/>
      <c r="K791" s="307"/>
      <c r="L791" s="308"/>
      <c r="M791" s="308"/>
      <c r="N791" s="308"/>
      <c r="P791" s="677"/>
      <c r="Q791" s="671"/>
      <c r="R791" s="683"/>
    </row>
    <row r="792" spans="1:19" ht="12" thickBot="1">
      <c r="A792" s="197" t="s">
        <v>1271</v>
      </c>
      <c r="B792" s="147"/>
      <c r="C792" s="147"/>
      <c r="D792" s="309"/>
      <c r="E792" s="655"/>
      <c r="F792" s="307"/>
      <c r="G792" s="308"/>
      <c r="H792" s="308"/>
      <c r="I792" s="308"/>
      <c r="J792" s="307"/>
      <c r="K792" s="307"/>
      <c r="L792" s="308"/>
      <c r="M792" s="308"/>
      <c r="N792" s="308"/>
      <c r="P792" s="677"/>
      <c r="Q792" s="671"/>
      <c r="R792" s="683"/>
    </row>
    <row r="793" spans="1:19" ht="12" thickBot="1">
      <c r="A793" s="202"/>
      <c r="B793" s="202"/>
      <c r="C793" s="202"/>
      <c r="D793" s="202"/>
      <c r="E793" s="202"/>
      <c r="F793" s="202"/>
      <c r="G793" s="202"/>
      <c r="H793" s="658"/>
      <c r="I793" s="658"/>
      <c r="J793" s="657"/>
      <c r="K793" s="657"/>
      <c r="L793" s="202"/>
      <c r="M793" s="202"/>
      <c r="N793" s="202"/>
      <c r="O793" s="202"/>
      <c r="P793" s="656"/>
      <c r="Q793" s="202"/>
      <c r="R793" s="202"/>
      <c r="S793" s="202"/>
    </row>
    <row r="794" spans="1:19" ht="12" thickBot="1">
      <c r="A794" s="197" t="s">
        <v>1272</v>
      </c>
      <c r="B794" s="147"/>
      <c r="C794" s="147" t="s">
        <v>379</v>
      </c>
      <c r="D794" s="147"/>
      <c r="E794" s="665">
        <v>76</v>
      </c>
      <c r="F794" s="650"/>
      <c r="G794" s="661"/>
      <c r="H794" s="652"/>
      <c r="I794" s="308"/>
      <c r="J794" s="652">
        <v>8.14</v>
      </c>
      <c r="K794" s="652">
        <f>E794*J794</f>
        <v>618.6400000000001</v>
      </c>
      <c r="L794" s="654">
        <f>K794/$Q$799*$Q$800</f>
        <v>1.782351075241833E-4</v>
      </c>
      <c r="M794" s="654">
        <f>ROUND((K794+L794)/J794,0)</f>
        <v>76</v>
      </c>
      <c r="O794" s="679">
        <f>$Q$800/J794</f>
        <v>5.159705150208873E-2</v>
      </c>
      <c r="P794" s="368"/>
      <c r="Q794" s="678">
        <v>1534253</v>
      </c>
      <c r="R794" s="675" t="s">
        <v>1295</v>
      </c>
    </row>
    <row r="795" spans="1:19" ht="12" thickBot="1">
      <c r="A795" s="197" t="s">
        <v>1272</v>
      </c>
      <c r="B795" s="147"/>
      <c r="C795" s="147" t="s">
        <v>241</v>
      </c>
      <c r="D795" s="147"/>
      <c r="E795" s="665">
        <v>3851</v>
      </c>
      <c r="F795" s="650"/>
      <c r="G795" s="661"/>
      <c r="H795" s="660"/>
      <c r="I795" s="308"/>
      <c r="J795" s="652">
        <v>10.959999999999999</v>
      </c>
      <c r="K795" s="652">
        <f t="shared" ref="K795:K858" si="92">E795*J795</f>
        <v>42206.96</v>
      </c>
      <c r="L795" s="654">
        <f t="shared" ref="L795:L858" si="93">K795/$Q$799*$Q$800</f>
        <v>1.2160161085395225E-2</v>
      </c>
      <c r="M795" s="654">
        <f t="shared" ref="M795:M858" si="94">ROUND((K795+L795)/J795,0)</f>
        <v>3851</v>
      </c>
      <c r="O795" s="679">
        <f t="shared" ref="O795:O858" si="95">$Q$800/J795</f>
        <v>3.8321167812682688E-2</v>
      </c>
      <c r="P795" s="368"/>
      <c r="Q795" s="678">
        <f>-Q807</f>
        <v>-48362.86</v>
      </c>
      <c r="R795" s="680" t="s">
        <v>1297</v>
      </c>
    </row>
    <row r="796" spans="1:19" ht="12" thickBot="1">
      <c r="A796" s="197" t="s">
        <v>1272</v>
      </c>
      <c r="B796" s="147"/>
      <c r="C796" s="147" t="s">
        <v>242</v>
      </c>
      <c r="D796" s="147"/>
      <c r="E796" s="665">
        <v>3789</v>
      </c>
      <c r="F796" s="650"/>
      <c r="G796" s="661"/>
      <c r="H796" s="660"/>
      <c r="I796" s="308"/>
      <c r="J796" s="652">
        <v>13.510000000000002</v>
      </c>
      <c r="K796" s="652">
        <f t="shared" si="92"/>
        <v>51189.390000000007</v>
      </c>
      <c r="L796" s="654">
        <f t="shared" si="93"/>
        <v>1.4748070656193187E-2</v>
      </c>
      <c r="M796" s="654">
        <f t="shared" si="94"/>
        <v>3789</v>
      </c>
      <c r="O796" s="679">
        <f t="shared" si="95"/>
        <v>3.1088082844337693E-2</v>
      </c>
      <c r="P796" s="368"/>
      <c r="Q796" s="681">
        <f>Q794+Q795</f>
        <v>1485890.14</v>
      </c>
      <c r="R796" s="666" t="s">
        <v>1298</v>
      </c>
    </row>
    <row r="797" spans="1:19" ht="12" thickBot="1">
      <c r="A797" s="197" t="s">
        <v>1272</v>
      </c>
      <c r="B797" s="147"/>
      <c r="C797" s="147" t="s">
        <v>243</v>
      </c>
      <c r="D797" s="147"/>
      <c r="E797" s="665">
        <v>96</v>
      </c>
      <c r="F797" s="650"/>
      <c r="G797" s="661"/>
      <c r="H797" s="660"/>
      <c r="I797" s="308"/>
      <c r="J797" s="652">
        <v>12.450000000000001</v>
      </c>
      <c r="K797" s="652">
        <f t="shared" si="92"/>
        <v>1195.2</v>
      </c>
      <c r="L797" s="654">
        <f t="shared" si="93"/>
        <v>3.4434663214939846E-4</v>
      </c>
      <c r="M797" s="654">
        <f t="shared" si="94"/>
        <v>96</v>
      </c>
      <c r="O797" s="679">
        <f t="shared" si="95"/>
        <v>3.373493969694797E-2</v>
      </c>
      <c r="P797" s="368"/>
      <c r="Q797" s="681">
        <v>28102.85</v>
      </c>
      <c r="R797" s="667" t="s">
        <v>1293</v>
      </c>
    </row>
    <row r="798" spans="1:19" ht="12" thickBot="1">
      <c r="A798" s="197" t="s">
        <v>1272</v>
      </c>
      <c r="B798" s="147"/>
      <c r="C798" s="147" t="s">
        <v>244</v>
      </c>
      <c r="D798" s="147"/>
      <c r="E798" s="665">
        <v>756</v>
      </c>
      <c r="F798" s="650"/>
      <c r="G798" s="661"/>
      <c r="H798" s="660"/>
      <c r="I798" s="652"/>
      <c r="J798" s="659">
        <v>15.54</v>
      </c>
      <c r="K798" s="652">
        <f t="shared" si="92"/>
        <v>11748.24</v>
      </c>
      <c r="L798" s="654">
        <f t="shared" si="93"/>
        <v>3.3847614438444183E-3</v>
      </c>
      <c r="M798" s="654">
        <f t="shared" si="94"/>
        <v>756</v>
      </c>
      <c r="O798" s="679">
        <f t="shared" si="95"/>
        <v>2.7027026977284575E-2</v>
      </c>
      <c r="P798" s="368"/>
      <c r="Q798" s="681">
        <f>Q796-Q797</f>
        <v>1457787.2899999998</v>
      </c>
      <c r="R798" s="667" t="s">
        <v>1294</v>
      </c>
    </row>
    <row r="799" spans="1:19" ht="12" thickBot="1">
      <c r="A799" s="197" t="s">
        <v>1272</v>
      </c>
      <c r="B799" s="147"/>
      <c r="C799" s="147" t="s">
        <v>245</v>
      </c>
      <c r="D799" s="309"/>
      <c r="E799" s="665">
        <v>1400</v>
      </c>
      <c r="F799" s="650"/>
      <c r="G799" s="661"/>
      <c r="H799" s="660"/>
      <c r="I799" s="659"/>
      <c r="J799" s="659">
        <v>14.24</v>
      </c>
      <c r="K799" s="652">
        <f t="shared" si="92"/>
        <v>19936</v>
      </c>
      <c r="L799" s="654">
        <f t="shared" si="93"/>
        <v>5.7437202631613173E-3</v>
      </c>
      <c r="M799" s="654">
        <f t="shared" si="94"/>
        <v>1400</v>
      </c>
      <c r="O799" s="679">
        <f t="shared" si="95"/>
        <v>2.9494381968188359E-2</v>
      </c>
      <c r="P799" s="368"/>
      <c r="Q799" s="681">
        <f>SUM($K$794:$K$867)</f>
        <v>1457786.8700000006</v>
      </c>
      <c r="R799" s="667" t="s">
        <v>1299</v>
      </c>
    </row>
    <row r="800" spans="1:19" ht="12" thickBot="1">
      <c r="A800" s="197" t="s">
        <v>1272</v>
      </c>
      <c r="B800" s="147"/>
      <c r="C800" s="147" t="s">
        <v>381</v>
      </c>
      <c r="D800" s="147"/>
      <c r="E800" s="665">
        <v>45</v>
      </c>
      <c r="F800" s="650"/>
      <c r="G800" s="661"/>
      <c r="H800" s="660"/>
      <c r="I800" s="659"/>
      <c r="J800" s="659">
        <v>27.69</v>
      </c>
      <c r="K800" s="652">
        <f t="shared" si="92"/>
        <v>1246.05</v>
      </c>
      <c r="L800" s="654">
        <f t="shared" si="93"/>
        <v>3.5899692184551365E-4</v>
      </c>
      <c r="M800" s="654">
        <f t="shared" si="94"/>
        <v>45</v>
      </c>
      <c r="O800" s="679">
        <f t="shared" si="95"/>
        <v>1.5167930632972273E-2</v>
      </c>
      <c r="P800" s="368"/>
      <c r="Q800" s="681">
        <f>Q798-Q799</f>
        <v>0.41999999922700226</v>
      </c>
      <c r="R800" s="667"/>
    </row>
    <row r="801" spans="1:19" ht="12" thickBot="1">
      <c r="A801" s="197" t="s">
        <v>1272</v>
      </c>
      <c r="B801" s="309"/>
      <c r="C801" s="309" t="s">
        <v>246</v>
      </c>
      <c r="D801" s="147"/>
      <c r="E801" s="665">
        <v>346</v>
      </c>
      <c r="F801" s="650"/>
      <c r="G801" s="661"/>
      <c r="H801" s="660"/>
      <c r="I801" s="659"/>
      <c r="J801" s="659">
        <v>28.89</v>
      </c>
      <c r="K801" s="652">
        <f t="shared" si="92"/>
        <v>9995.94</v>
      </c>
      <c r="L801" s="654">
        <f t="shared" si="93"/>
        <v>2.8799098679446601E-3</v>
      </c>
      <c r="M801" s="654">
        <f t="shared" si="94"/>
        <v>346</v>
      </c>
      <c r="O801" s="679">
        <f t="shared" si="95"/>
        <v>1.4537902361613094E-2</v>
      </c>
      <c r="P801" s="368"/>
      <c r="Q801" s="681"/>
      <c r="R801" s="667"/>
    </row>
    <row r="802" spans="1:19" ht="12" thickBot="1">
      <c r="A802" s="197" t="s">
        <v>1272</v>
      </c>
      <c r="B802" s="147"/>
      <c r="C802" s="147" t="s">
        <v>252</v>
      </c>
      <c r="D802" s="309"/>
      <c r="E802" s="665">
        <v>3989</v>
      </c>
      <c r="F802" s="650"/>
      <c r="G802" s="661"/>
      <c r="H802" s="660"/>
      <c r="I802" s="659"/>
      <c r="J802" s="659">
        <v>9.57</v>
      </c>
      <c r="K802" s="652">
        <f t="shared" si="92"/>
        <v>38174.730000000003</v>
      </c>
      <c r="L802" s="654">
        <f t="shared" si="93"/>
        <v>1.099844353138605E-2</v>
      </c>
      <c r="M802" s="654">
        <f t="shared" si="94"/>
        <v>3989</v>
      </c>
      <c r="O802" s="679">
        <f t="shared" si="95"/>
        <v>4.3887147254650184E-2</v>
      </c>
      <c r="P802" s="368"/>
      <c r="Q802" s="681"/>
      <c r="R802" s="667"/>
    </row>
    <row r="803" spans="1:19" ht="12" thickBot="1">
      <c r="A803" s="197" t="s">
        <v>1272</v>
      </c>
      <c r="B803" s="147"/>
      <c r="C803" s="147" t="s">
        <v>263</v>
      </c>
      <c r="D803" s="147"/>
      <c r="E803" s="665">
        <v>2014</v>
      </c>
      <c r="F803" s="650"/>
      <c r="G803" s="661"/>
      <c r="H803" s="660"/>
      <c r="I803" s="659"/>
      <c r="J803" s="659">
        <v>27.34</v>
      </c>
      <c r="K803" s="652">
        <f t="shared" si="92"/>
        <v>55062.76</v>
      </c>
      <c r="L803" s="654">
        <f t="shared" si="93"/>
        <v>1.5864019379895088E-2</v>
      </c>
      <c r="M803" s="654">
        <f t="shared" si="94"/>
        <v>2014</v>
      </c>
      <c r="O803" s="679">
        <f t="shared" si="95"/>
        <v>1.5362106774945218E-2</v>
      </c>
      <c r="P803" s="368"/>
      <c r="Q803" s="677"/>
      <c r="R803" s="667"/>
    </row>
    <row r="804" spans="1:19" ht="12" thickBot="1">
      <c r="A804" s="197" t="s">
        <v>1272</v>
      </c>
      <c r="B804" s="147"/>
      <c r="C804" s="147" t="s">
        <v>264</v>
      </c>
      <c r="D804" s="147"/>
      <c r="E804" s="665">
        <v>2215</v>
      </c>
      <c r="F804" s="650"/>
      <c r="G804" s="661"/>
      <c r="H804" s="660"/>
      <c r="I804" s="659"/>
      <c r="J804" s="659">
        <v>31.4</v>
      </c>
      <c r="K804" s="652">
        <f t="shared" si="92"/>
        <v>69551</v>
      </c>
      <c r="L804" s="654">
        <f t="shared" si="93"/>
        <v>2.0038196630373838E-2</v>
      </c>
      <c r="M804" s="654">
        <f t="shared" si="94"/>
        <v>2215</v>
      </c>
      <c r="O804" s="679">
        <f t="shared" si="95"/>
        <v>1.3375796153726187E-2</v>
      </c>
      <c r="P804" s="368"/>
      <c r="Q804" s="667"/>
      <c r="R804" s="682"/>
    </row>
    <row r="805" spans="1:19" ht="12" thickBot="1">
      <c r="A805" s="197" t="s">
        <v>1272</v>
      </c>
      <c r="B805" s="309"/>
      <c r="C805" s="147" t="s">
        <v>267</v>
      </c>
      <c r="D805" s="147"/>
      <c r="E805" s="665">
        <v>16603</v>
      </c>
      <c r="F805" s="650"/>
      <c r="G805" s="661"/>
      <c r="H805" s="660"/>
      <c r="I805" s="659"/>
      <c r="J805" s="659">
        <v>17.189999999999998</v>
      </c>
      <c r="K805" s="652">
        <f t="shared" si="92"/>
        <v>285405.56999999995</v>
      </c>
      <c r="L805" s="654">
        <f t="shared" si="93"/>
        <v>8.2227616153095179E-2</v>
      </c>
      <c r="M805" s="654">
        <f t="shared" si="94"/>
        <v>16603</v>
      </c>
      <c r="O805" s="679">
        <f t="shared" si="95"/>
        <v>2.4432809728156039E-2</v>
      </c>
      <c r="P805" s="368"/>
      <c r="Q805" s="667">
        <v>22977.77</v>
      </c>
      <c r="R805" s="682" t="s">
        <v>17</v>
      </c>
      <c r="S805" s="675" t="s">
        <v>1296</v>
      </c>
    </row>
    <row r="806" spans="1:19" ht="12" thickBot="1">
      <c r="A806" s="197" t="s">
        <v>1272</v>
      </c>
      <c r="B806" s="147"/>
      <c r="C806" s="147" t="s">
        <v>392</v>
      </c>
      <c r="D806" s="147"/>
      <c r="E806" s="665">
        <v>515</v>
      </c>
      <c r="F806" s="650"/>
      <c r="G806" s="661"/>
      <c r="H806" s="660"/>
      <c r="I806" s="659"/>
      <c r="J806" s="659">
        <v>24.89</v>
      </c>
      <c r="K806" s="652">
        <f t="shared" si="92"/>
        <v>12818.35</v>
      </c>
      <c r="L806" s="654">
        <f t="shared" si="93"/>
        <v>3.6930686514493319E-3</v>
      </c>
      <c r="M806" s="654">
        <f t="shared" si="94"/>
        <v>515</v>
      </c>
      <c r="O806" s="679">
        <f t="shared" si="95"/>
        <v>1.6874246654359271E-2</v>
      </c>
      <c r="P806" s="368"/>
      <c r="Q806" s="667">
        <v>25385.09</v>
      </c>
      <c r="R806" s="682" t="s">
        <v>18</v>
      </c>
    </row>
    <row r="807" spans="1:19" ht="12" thickBot="1">
      <c r="A807" s="197" t="s">
        <v>1272</v>
      </c>
      <c r="B807" s="147"/>
      <c r="C807" s="147" t="s">
        <v>268</v>
      </c>
      <c r="D807" s="309"/>
      <c r="E807" s="665">
        <v>1302</v>
      </c>
      <c r="F807" s="650"/>
      <c r="G807" s="661"/>
      <c r="H807" s="660"/>
      <c r="I807" s="659"/>
      <c r="J807" s="659">
        <v>14.17</v>
      </c>
      <c r="K807" s="652">
        <f t="shared" si="92"/>
        <v>18449.34</v>
      </c>
      <c r="L807" s="654">
        <f t="shared" si="93"/>
        <v>5.3154016853908829E-3</v>
      </c>
      <c r="M807" s="654">
        <f t="shared" si="94"/>
        <v>1302</v>
      </c>
      <c r="O807" s="679">
        <f t="shared" si="95"/>
        <v>2.9640084631404537E-2</v>
      </c>
      <c r="P807" s="368"/>
      <c r="Q807" s="667">
        <f>Q805+Q806</f>
        <v>48362.86</v>
      </c>
      <c r="R807" s="682"/>
    </row>
    <row r="808" spans="1:19" ht="12" thickBot="1">
      <c r="A808" s="197" t="s">
        <v>1272</v>
      </c>
      <c r="B808" s="147"/>
      <c r="C808" s="147" t="s">
        <v>269</v>
      </c>
      <c r="D808" s="147"/>
      <c r="E808" s="665">
        <v>2241</v>
      </c>
      <c r="F808" s="650"/>
      <c r="G808" s="661"/>
      <c r="H808" s="660"/>
      <c r="I808" s="659"/>
      <c r="J808" s="659">
        <v>22.15</v>
      </c>
      <c r="K808" s="652">
        <f t="shared" si="92"/>
        <v>49638.149999999994</v>
      </c>
      <c r="L808" s="654">
        <f t="shared" si="93"/>
        <v>1.4301146066454702E-2</v>
      </c>
      <c r="M808" s="654">
        <f t="shared" si="94"/>
        <v>2241</v>
      </c>
      <c r="O808" s="679">
        <f t="shared" si="95"/>
        <v>1.8961625247268726E-2</v>
      </c>
      <c r="P808" s="368"/>
      <c r="Q808" s="671"/>
      <c r="R808" s="683"/>
    </row>
    <row r="809" spans="1:19" ht="12" thickBot="1">
      <c r="A809" s="197" t="s">
        <v>1272</v>
      </c>
      <c r="B809" s="147"/>
      <c r="C809" s="147" t="s">
        <v>393</v>
      </c>
      <c r="D809" s="147"/>
      <c r="E809" s="665">
        <v>16</v>
      </c>
      <c r="F809" s="650"/>
      <c r="G809" s="661"/>
      <c r="H809" s="660"/>
      <c r="I809" s="659"/>
      <c r="J809" s="659">
        <v>72.550000000000011</v>
      </c>
      <c r="K809" s="652">
        <f t="shared" si="92"/>
        <v>1160.8000000000002</v>
      </c>
      <c r="L809" s="654">
        <f t="shared" si="93"/>
        <v>3.3443571837267553E-4</v>
      </c>
      <c r="M809" s="654">
        <f t="shared" si="94"/>
        <v>16</v>
      </c>
      <c r="O809" s="679">
        <f t="shared" si="95"/>
        <v>5.7891109473053367E-3</v>
      </c>
      <c r="P809" s="368"/>
      <c r="Q809" s="671"/>
      <c r="R809" s="683"/>
    </row>
    <row r="810" spans="1:19" ht="12" thickBot="1">
      <c r="A810" s="197" t="s">
        <v>1272</v>
      </c>
      <c r="B810" s="147"/>
      <c r="C810" s="309" t="s">
        <v>394</v>
      </c>
      <c r="D810" s="147"/>
      <c r="E810" s="665">
        <v>11</v>
      </c>
      <c r="F810" s="650"/>
      <c r="G810" s="661"/>
      <c r="H810" s="660"/>
      <c r="I810" s="659"/>
      <c r="J810" s="659">
        <v>41.43</v>
      </c>
      <c r="K810" s="652">
        <f t="shared" si="92"/>
        <v>455.73</v>
      </c>
      <c r="L810" s="654">
        <f t="shared" si="93"/>
        <v>1.312994399844757E-4</v>
      </c>
      <c r="M810" s="654">
        <f t="shared" si="94"/>
        <v>11</v>
      </c>
      <c r="O810" s="679">
        <f t="shared" si="95"/>
        <v>1.013758144405026E-2</v>
      </c>
      <c r="P810" s="368"/>
      <c r="Q810" s="671"/>
      <c r="R810" s="683"/>
    </row>
    <row r="811" spans="1:19" ht="12" thickBot="1">
      <c r="A811" s="197" t="s">
        <v>1272</v>
      </c>
      <c r="B811" s="309"/>
      <c r="C811" s="147" t="s">
        <v>398</v>
      </c>
      <c r="D811" s="147"/>
      <c r="E811" s="665">
        <v>45</v>
      </c>
      <c r="F811" s="650"/>
      <c r="G811" s="661"/>
      <c r="H811" s="660"/>
      <c r="I811" s="659"/>
      <c r="J811" s="659">
        <v>19.38</v>
      </c>
      <c r="K811" s="652">
        <f t="shared" si="92"/>
        <v>872.09999999999991</v>
      </c>
      <c r="L811" s="654">
        <f t="shared" si="93"/>
        <v>2.5125895071744506E-4</v>
      </c>
      <c r="M811" s="654">
        <f t="shared" si="94"/>
        <v>45</v>
      </c>
      <c r="O811" s="679">
        <f t="shared" si="95"/>
        <v>2.1671826585500632E-2</v>
      </c>
      <c r="P811" s="368"/>
      <c r="Q811" s="671"/>
      <c r="R811" s="683"/>
    </row>
    <row r="812" spans="1:19" ht="12" thickBot="1">
      <c r="A812" s="197" t="s">
        <v>1272</v>
      </c>
      <c r="B812" s="147"/>
      <c r="C812" s="147" t="s">
        <v>395</v>
      </c>
      <c r="D812" s="309"/>
      <c r="E812" s="665">
        <v>239</v>
      </c>
      <c r="F812" s="650"/>
      <c r="G812" s="661"/>
      <c r="H812" s="660"/>
      <c r="I812" s="659"/>
      <c r="J812" s="659">
        <v>20.349999999999998</v>
      </c>
      <c r="K812" s="652">
        <f t="shared" si="92"/>
        <v>4863.6499999999996</v>
      </c>
      <c r="L812" s="654">
        <f t="shared" si="93"/>
        <v>1.4012562729697302E-3</v>
      </c>
      <c r="M812" s="654">
        <f t="shared" si="94"/>
        <v>239</v>
      </c>
      <c r="O812" s="679">
        <f t="shared" si="95"/>
        <v>2.0638820600835495E-2</v>
      </c>
      <c r="P812" s="368"/>
      <c r="Q812" s="671"/>
      <c r="R812" s="683"/>
    </row>
    <row r="813" spans="1:19" ht="12" thickBot="1">
      <c r="A813" s="197" t="s">
        <v>1272</v>
      </c>
      <c r="B813" s="147"/>
      <c r="C813" s="147" t="s">
        <v>396</v>
      </c>
      <c r="D813" s="147"/>
      <c r="E813" s="665">
        <v>103</v>
      </c>
      <c r="F813" s="650"/>
      <c r="G813" s="661"/>
      <c r="H813" s="660"/>
      <c r="I813" s="659"/>
      <c r="J813" s="659">
        <v>19.53</v>
      </c>
      <c r="K813" s="652">
        <f t="shared" si="92"/>
        <v>2011.5900000000001</v>
      </c>
      <c r="L813" s="654">
        <f t="shared" si="93"/>
        <v>5.7955508849180757E-4</v>
      </c>
      <c r="M813" s="654">
        <f t="shared" si="94"/>
        <v>103</v>
      </c>
      <c r="O813" s="679">
        <f t="shared" si="95"/>
        <v>2.1505376304506003E-2</v>
      </c>
      <c r="P813" s="368"/>
      <c r="Q813" s="671"/>
      <c r="R813" s="683"/>
    </row>
    <row r="814" spans="1:19" ht="12" thickBot="1">
      <c r="A814" s="197" t="s">
        <v>1272</v>
      </c>
      <c r="B814" s="147"/>
      <c r="C814" s="147" t="s">
        <v>397</v>
      </c>
      <c r="D814" s="147"/>
      <c r="E814" s="665">
        <v>79</v>
      </c>
      <c r="F814" s="650"/>
      <c r="G814" s="661"/>
      <c r="H814" s="660"/>
      <c r="I814" s="659"/>
      <c r="J814" s="659">
        <v>20.819999999999997</v>
      </c>
      <c r="K814" s="652">
        <f t="shared" si="92"/>
        <v>1644.7799999999997</v>
      </c>
      <c r="L814" s="654">
        <f t="shared" si="93"/>
        <v>4.7387420818832622E-4</v>
      </c>
      <c r="M814" s="654">
        <f t="shared" si="94"/>
        <v>79</v>
      </c>
      <c r="O814" s="679">
        <f t="shared" si="95"/>
        <v>2.0172910625696559E-2</v>
      </c>
      <c r="P814" s="368"/>
      <c r="Q814" s="671"/>
      <c r="R814" s="683"/>
    </row>
    <row r="815" spans="1:19" ht="12" thickBot="1">
      <c r="A815" s="197" t="s">
        <v>1272</v>
      </c>
      <c r="B815" s="147"/>
      <c r="C815" s="147" t="s">
        <v>287</v>
      </c>
      <c r="D815" s="147"/>
      <c r="E815" s="665">
        <v>549</v>
      </c>
      <c r="F815" s="650"/>
      <c r="G815" s="661"/>
      <c r="H815" s="660"/>
      <c r="I815" s="659"/>
      <c r="J815" s="659">
        <v>19.2</v>
      </c>
      <c r="K815" s="652">
        <f t="shared" si="92"/>
        <v>10540.8</v>
      </c>
      <c r="L815" s="654">
        <f t="shared" si="93"/>
        <v>3.0368883702814415E-3</v>
      </c>
      <c r="M815" s="654">
        <f t="shared" si="94"/>
        <v>549</v>
      </c>
      <c r="O815" s="679">
        <f t="shared" si="95"/>
        <v>2.1874999959739704E-2</v>
      </c>
      <c r="P815" s="368"/>
      <c r="Q815" s="671"/>
      <c r="R815" s="683"/>
    </row>
    <row r="816" spans="1:19" ht="12" thickBot="1">
      <c r="A816" s="197" t="s">
        <v>1272</v>
      </c>
      <c r="B816" s="147"/>
      <c r="C816" s="309" t="s">
        <v>288</v>
      </c>
      <c r="D816" s="147"/>
      <c r="E816" s="665">
        <v>518</v>
      </c>
      <c r="F816" s="650"/>
      <c r="G816" s="661"/>
      <c r="H816" s="660"/>
      <c r="I816" s="659"/>
      <c r="J816" s="659">
        <v>22.949999999999996</v>
      </c>
      <c r="K816" s="652">
        <f t="shared" si="92"/>
        <v>11888.099999999999</v>
      </c>
      <c r="L816" s="654">
        <f t="shared" si="93"/>
        <v>3.4250562229378033E-3</v>
      </c>
      <c r="M816" s="654">
        <f t="shared" si="94"/>
        <v>518</v>
      </c>
      <c r="O816" s="679">
        <f t="shared" si="95"/>
        <v>1.8300653561089425E-2</v>
      </c>
      <c r="P816" s="368"/>
      <c r="Q816" s="671"/>
      <c r="R816" s="683"/>
    </row>
    <row r="817" spans="1:18" ht="12" thickBot="1">
      <c r="A817" s="197" t="s">
        <v>1272</v>
      </c>
      <c r="B817" s="309"/>
      <c r="C817" s="147" t="s">
        <v>291</v>
      </c>
      <c r="D817" s="309"/>
      <c r="E817" s="665">
        <v>53</v>
      </c>
      <c r="F817" s="650"/>
      <c r="G817" s="661"/>
      <c r="H817" s="660"/>
      <c r="I817" s="659"/>
      <c r="J817" s="659">
        <v>17.419999999999998</v>
      </c>
      <c r="K817" s="652">
        <f t="shared" si="92"/>
        <v>923.25999999999988</v>
      </c>
      <c r="L817" s="654">
        <f t="shared" si="93"/>
        <v>2.6599855388073423E-4</v>
      </c>
      <c r="M817" s="654">
        <f t="shared" si="94"/>
        <v>53</v>
      </c>
      <c r="O817" s="679">
        <f t="shared" si="95"/>
        <v>2.4110218095694736E-2</v>
      </c>
      <c r="P817" s="368"/>
      <c r="Q817" s="671"/>
      <c r="R817" s="683"/>
    </row>
    <row r="818" spans="1:18" ht="12" thickBot="1">
      <c r="A818" s="197" t="s">
        <v>1272</v>
      </c>
      <c r="B818" s="147"/>
      <c r="C818" s="147" t="s">
        <v>297</v>
      </c>
      <c r="D818" s="147"/>
      <c r="E818" s="665">
        <v>39</v>
      </c>
      <c r="F818" s="650"/>
      <c r="G818" s="661"/>
      <c r="H818" s="660"/>
      <c r="I818" s="659"/>
      <c r="J818" s="659">
        <v>13.12</v>
      </c>
      <c r="K818" s="652">
        <f t="shared" si="92"/>
        <v>511.67999999999995</v>
      </c>
      <c r="L818" s="654">
        <f t="shared" si="93"/>
        <v>1.4741908026958179E-4</v>
      </c>
      <c r="M818" s="654">
        <f t="shared" si="94"/>
        <v>39</v>
      </c>
      <c r="O818" s="679">
        <f t="shared" si="95"/>
        <v>3.201219506303371E-2</v>
      </c>
      <c r="P818" s="368"/>
      <c r="Q818" s="671"/>
      <c r="R818" s="683"/>
    </row>
    <row r="819" spans="1:18" ht="12" thickBot="1">
      <c r="A819" s="197" t="s">
        <v>1272</v>
      </c>
      <c r="B819" s="147"/>
      <c r="C819" s="147" t="s">
        <v>299</v>
      </c>
      <c r="D819" s="147"/>
      <c r="E819" s="665">
        <v>16</v>
      </c>
      <c r="F819" s="650"/>
      <c r="G819" s="661"/>
      <c r="H819" s="660"/>
      <c r="I819" s="659"/>
      <c r="J819" s="659">
        <v>9.0200000000000014</v>
      </c>
      <c r="K819" s="652">
        <f t="shared" si="92"/>
        <v>144.32000000000002</v>
      </c>
      <c r="L819" s="654">
        <f t="shared" si="93"/>
        <v>4.1579740588856418E-5</v>
      </c>
      <c r="M819" s="654">
        <f t="shared" si="94"/>
        <v>16</v>
      </c>
      <c r="O819" s="679">
        <f t="shared" si="95"/>
        <v>4.6563192818958113E-2</v>
      </c>
      <c r="P819" s="368"/>
      <c r="Q819" s="671"/>
      <c r="R819" s="683"/>
    </row>
    <row r="820" spans="1:18" ht="12" thickBot="1">
      <c r="A820" s="197" t="s">
        <v>1272</v>
      </c>
      <c r="B820" s="147"/>
      <c r="C820" s="147" t="s">
        <v>377</v>
      </c>
      <c r="D820" s="147"/>
      <c r="E820" s="665">
        <v>32</v>
      </c>
      <c r="F820" s="650"/>
      <c r="G820" s="661"/>
      <c r="H820" s="660"/>
      <c r="I820" s="659"/>
      <c r="J820" s="659">
        <v>23.89</v>
      </c>
      <c r="K820" s="652">
        <f t="shared" si="92"/>
        <v>764.48</v>
      </c>
      <c r="L820" s="654">
        <f t="shared" si="93"/>
        <v>2.2025277221015069E-4</v>
      </c>
      <c r="M820" s="654">
        <f t="shared" si="94"/>
        <v>32</v>
      </c>
      <c r="O820" s="679">
        <f t="shared" si="95"/>
        <v>1.7580577615194735E-2</v>
      </c>
      <c r="P820" s="368"/>
      <c r="Q820" s="671"/>
      <c r="R820" s="683"/>
    </row>
    <row r="821" spans="1:18" ht="12" thickBot="1">
      <c r="A821" s="197" t="s">
        <v>1272</v>
      </c>
      <c r="B821" s="147"/>
      <c r="C821" s="309" t="s">
        <v>737</v>
      </c>
      <c r="D821" s="147"/>
      <c r="E821" s="665">
        <v>4</v>
      </c>
      <c r="F821" s="650"/>
      <c r="G821" s="661"/>
      <c r="H821" s="660"/>
      <c r="I821" s="659"/>
      <c r="J821" s="659">
        <v>24.9</v>
      </c>
      <c r="K821" s="652">
        <f t="shared" si="92"/>
        <v>99.6</v>
      </c>
      <c r="L821" s="654">
        <f t="shared" si="93"/>
        <v>2.8695552679116535E-5</v>
      </c>
      <c r="M821" s="654">
        <f t="shared" si="94"/>
        <v>4</v>
      </c>
      <c r="O821" s="679">
        <f t="shared" si="95"/>
        <v>1.6867469848473989E-2</v>
      </c>
      <c r="P821" s="368"/>
      <c r="Q821" s="671"/>
      <c r="R821" s="683"/>
    </row>
    <row r="822" spans="1:18" ht="12" thickBot="1">
      <c r="A822" s="197" t="s">
        <v>1272</v>
      </c>
      <c r="B822" s="309"/>
      <c r="C822" s="147" t="s">
        <v>329</v>
      </c>
      <c r="D822" s="309"/>
      <c r="E822" s="665">
        <v>218</v>
      </c>
      <c r="F822" s="650"/>
      <c r="G822" s="661"/>
      <c r="H822" s="660"/>
      <c r="I822" s="659"/>
      <c r="J822" s="659">
        <v>19.79</v>
      </c>
      <c r="K822" s="652">
        <f t="shared" si="92"/>
        <v>4314.22</v>
      </c>
      <c r="L822" s="654">
        <f t="shared" si="93"/>
        <v>1.2429611172620296E-3</v>
      </c>
      <c r="M822" s="654">
        <f t="shared" si="94"/>
        <v>218</v>
      </c>
      <c r="O822" s="679">
        <f t="shared" si="95"/>
        <v>2.1222839779029928E-2</v>
      </c>
      <c r="P822" s="368"/>
      <c r="Q822" s="671"/>
      <c r="R822" s="683"/>
    </row>
    <row r="823" spans="1:18" ht="12" thickBot="1">
      <c r="A823" s="197" t="s">
        <v>1272</v>
      </c>
      <c r="B823" s="147"/>
      <c r="C823" s="147" t="s">
        <v>330</v>
      </c>
      <c r="D823" s="147"/>
      <c r="E823" s="665">
        <v>2035</v>
      </c>
      <c r="F823" s="650"/>
      <c r="G823" s="661"/>
      <c r="H823" s="660"/>
      <c r="I823" s="659"/>
      <c r="J823" s="659">
        <v>20.49</v>
      </c>
      <c r="K823" s="652">
        <f t="shared" si="92"/>
        <v>41697.149999999994</v>
      </c>
      <c r="L823" s="654">
        <f t="shared" si="93"/>
        <v>1.2013280767008272E-2</v>
      </c>
      <c r="M823" s="654">
        <f t="shared" si="94"/>
        <v>2035</v>
      </c>
      <c r="O823" s="679">
        <f t="shared" si="95"/>
        <v>2.0497803769009386E-2</v>
      </c>
      <c r="P823" s="368"/>
      <c r="Q823" s="671"/>
      <c r="R823" s="683"/>
    </row>
    <row r="824" spans="1:18" ht="12" thickBot="1">
      <c r="A824" s="197" t="s">
        <v>1272</v>
      </c>
      <c r="B824" s="147"/>
      <c r="C824" s="147" t="s">
        <v>332</v>
      </c>
      <c r="D824" s="147"/>
      <c r="E824" s="665">
        <v>34</v>
      </c>
      <c r="F824" s="650"/>
      <c r="G824" s="661"/>
      <c r="H824" s="660"/>
      <c r="I824" s="659"/>
      <c r="J824" s="659">
        <v>20.18</v>
      </c>
      <c r="K824" s="652">
        <f t="shared" si="92"/>
        <v>686.12</v>
      </c>
      <c r="L824" s="654">
        <f t="shared" si="93"/>
        <v>1.9767663257224335E-4</v>
      </c>
      <c r="M824" s="654">
        <f t="shared" si="94"/>
        <v>34</v>
      </c>
      <c r="O824" s="679">
        <f t="shared" si="95"/>
        <v>2.0812685789246891E-2</v>
      </c>
      <c r="P824" s="368"/>
      <c r="Q824" s="671"/>
      <c r="R824" s="683"/>
    </row>
    <row r="825" spans="1:18" ht="12" thickBot="1">
      <c r="A825" s="197" t="s">
        <v>1272</v>
      </c>
      <c r="B825" s="147"/>
      <c r="C825" s="147" t="s">
        <v>333</v>
      </c>
      <c r="D825" s="147"/>
      <c r="E825" s="665">
        <v>1788</v>
      </c>
      <c r="F825" s="650"/>
      <c r="G825" s="661"/>
      <c r="H825" s="660"/>
      <c r="I825" s="659"/>
      <c r="J825" s="659">
        <v>22.56</v>
      </c>
      <c r="K825" s="652">
        <f t="shared" si="92"/>
        <v>40337.279999999999</v>
      </c>
      <c r="L825" s="654">
        <f t="shared" si="93"/>
        <v>1.1621491397311987E-2</v>
      </c>
      <c r="M825" s="654">
        <f t="shared" si="94"/>
        <v>1788</v>
      </c>
      <c r="O825" s="679">
        <f t="shared" si="95"/>
        <v>1.8617021242331663E-2</v>
      </c>
      <c r="P825" s="368"/>
      <c r="Q825" s="671"/>
      <c r="R825" s="683"/>
    </row>
    <row r="826" spans="1:18" ht="12" thickBot="1">
      <c r="A826" s="197" t="s">
        <v>1272</v>
      </c>
      <c r="B826" s="147"/>
      <c r="C826" s="147" t="s">
        <v>334</v>
      </c>
      <c r="D826" s="147"/>
      <c r="E826" s="665">
        <v>35</v>
      </c>
      <c r="F826" s="650"/>
      <c r="G826" s="661"/>
      <c r="H826" s="660"/>
      <c r="I826" s="659"/>
      <c r="J826" s="659">
        <v>23.68</v>
      </c>
      <c r="K826" s="652">
        <f t="shared" si="92"/>
        <v>828.8</v>
      </c>
      <c r="L826" s="654">
        <f t="shared" si="93"/>
        <v>2.3878387610895362E-4</v>
      </c>
      <c r="M826" s="654">
        <f t="shared" si="94"/>
        <v>35</v>
      </c>
      <c r="O826" s="679">
        <f t="shared" si="95"/>
        <v>1.7736486453843001E-2</v>
      </c>
      <c r="P826" s="368"/>
      <c r="Q826" s="671"/>
      <c r="R826" s="683"/>
    </row>
    <row r="827" spans="1:18" ht="12" thickBot="1">
      <c r="A827" s="197" t="s">
        <v>1272</v>
      </c>
      <c r="B827" s="147"/>
      <c r="C827" s="147" t="s">
        <v>336</v>
      </c>
      <c r="D827" s="309"/>
      <c r="E827" s="665">
        <v>109</v>
      </c>
      <c r="F827" s="650"/>
      <c r="G827" s="661"/>
      <c r="H827" s="660"/>
      <c r="I827" s="659"/>
      <c r="J827" s="659">
        <v>24.77</v>
      </c>
      <c r="K827" s="652">
        <f t="shared" si="92"/>
        <v>2699.93</v>
      </c>
      <c r="L827" s="654">
        <f t="shared" si="93"/>
        <v>7.7787132073219988E-4</v>
      </c>
      <c r="M827" s="654">
        <f t="shared" si="94"/>
        <v>109</v>
      </c>
      <c r="O827" s="679">
        <f t="shared" si="95"/>
        <v>1.6955995124222942E-2</v>
      </c>
      <c r="P827" s="368"/>
      <c r="Q827" s="671"/>
      <c r="R827" s="683"/>
    </row>
    <row r="828" spans="1:18" ht="12" thickBot="1">
      <c r="A828" s="197" t="s">
        <v>1272</v>
      </c>
      <c r="B828" s="147"/>
      <c r="C828" s="309" t="s">
        <v>337</v>
      </c>
      <c r="D828" s="147"/>
      <c r="E828" s="665">
        <v>53</v>
      </c>
      <c r="F828" s="650"/>
      <c r="G828" s="661"/>
      <c r="H828" s="660"/>
      <c r="I828" s="659"/>
      <c r="J828" s="659">
        <v>29.889999999999997</v>
      </c>
      <c r="K828" s="652">
        <f t="shared" si="92"/>
        <v>1584.1699999999998</v>
      </c>
      <c r="L828" s="654">
        <f t="shared" si="93"/>
        <v>4.5641198481602451E-4</v>
      </c>
      <c r="M828" s="654">
        <f t="shared" si="94"/>
        <v>53</v>
      </c>
      <c r="O828" s="679">
        <f t="shared" si="95"/>
        <v>1.4051522222382144E-2</v>
      </c>
      <c r="P828" s="368"/>
      <c r="Q828" s="671"/>
      <c r="R828" s="683"/>
    </row>
    <row r="829" spans="1:18" ht="12" thickBot="1">
      <c r="A829" s="197" t="s">
        <v>1272</v>
      </c>
      <c r="B829" s="309"/>
      <c r="C829" s="147" t="s">
        <v>338</v>
      </c>
      <c r="D829" s="147"/>
      <c r="E829" s="665">
        <v>174</v>
      </c>
      <c r="F829" s="650"/>
      <c r="G829" s="661"/>
      <c r="H829" s="660"/>
      <c r="I829" s="659"/>
      <c r="J829" s="659">
        <v>32.860000000000007</v>
      </c>
      <c r="K829" s="652">
        <f t="shared" si="92"/>
        <v>5717.6400000000012</v>
      </c>
      <c r="L829" s="654">
        <f t="shared" si="93"/>
        <v>1.6472975885564649E-3</v>
      </c>
      <c r="M829" s="654">
        <f t="shared" si="94"/>
        <v>174</v>
      </c>
      <c r="O829" s="679">
        <f t="shared" si="95"/>
        <v>1.2781497237583754E-2</v>
      </c>
      <c r="P829" s="368"/>
      <c r="Q829" s="671"/>
      <c r="R829" s="683"/>
    </row>
    <row r="830" spans="1:18" ht="12" thickBot="1">
      <c r="A830" s="197" t="s">
        <v>1272</v>
      </c>
      <c r="B830" s="147"/>
      <c r="C830" s="147" t="s">
        <v>339</v>
      </c>
      <c r="D830" s="147"/>
      <c r="E830" s="665">
        <v>355</v>
      </c>
      <c r="F830" s="650"/>
      <c r="G830" s="661"/>
      <c r="H830" s="660"/>
      <c r="I830" s="659"/>
      <c r="J830" s="659">
        <v>38.389999999999993</v>
      </c>
      <c r="K830" s="652">
        <f t="shared" si="92"/>
        <v>13628.449999999997</v>
      </c>
      <c r="L830" s="654">
        <f t="shared" si="93"/>
        <v>3.9264649087319848E-3</v>
      </c>
      <c r="M830" s="654">
        <f t="shared" si="94"/>
        <v>355</v>
      </c>
      <c r="O830" s="679">
        <f t="shared" si="95"/>
        <v>1.0940349029096179E-2</v>
      </c>
      <c r="P830" s="368"/>
      <c r="Q830" s="671"/>
      <c r="R830" s="683"/>
    </row>
    <row r="831" spans="1:18" ht="12" thickBot="1">
      <c r="A831" s="197" t="s">
        <v>1272</v>
      </c>
      <c r="B831" s="147"/>
      <c r="C831" s="147" t="s">
        <v>340</v>
      </c>
      <c r="D831" s="147"/>
      <c r="E831" s="665">
        <f>17+1</f>
        <v>18</v>
      </c>
      <c r="F831" s="650"/>
      <c r="G831" s="661"/>
      <c r="H831" s="660"/>
      <c r="I831" s="659"/>
      <c r="J831" s="659">
        <v>26.349999999999998</v>
      </c>
      <c r="K831" s="652">
        <f t="shared" si="92"/>
        <v>474.29999999999995</v>
      </c>
      <c r="L831" s="654">
        <f t="shared" si="93"/>
        <v>1.3664960477615434E-4</v>
      </c>
      <c r="M831" s="654">
        <f t="shared" si="94"/>
        <v>18</v>
      </c>
      <c r="O831" s="679">
        <f t="shared" si="95"/>
        <v>1.5939278908045629E-2</v>
      </c>
      <c r="P831" s="368"/>
      <c r="Q831" s="671"/>
      <c r="R831" s="683"/>
    </row>
    <row r="832" spans="1:18" ht="12" thickBot="1">
      <c r="A832" s="197" t="s">
        <v>1272</v>
      </c>
      <c r="B832" s="147"/>
      <c r="C832" s="147" t="s">
        <v>341</v>
      </c>
      <c r="D832" s="309"/>
      <c r="E832" s="665">
        <v>370</v>
      </c>
      <c r="F832" s="650"/>
      <c r="G832" s="661"/>
      <c r="H832" s="660"/>
      <c r="I832" s="659"/>
      <c r="J832" s="659">
        <v>28.45</v>
      </c>
      <c r="K832" s="652">
        <f t="shared" si="92"/>
        <v>10526.5</v>
      </c>
      <c r="L832" s="654">
        <f t="shared" si="93"/>
        <v>3.0327684264730942E-3</v>
      </c>
      <c r="M832" s="654">
        <f t="shared" si="94"/>
        <v>370</v>
      </c>
      <c r="O832" s="679">
        <f t="shared" si="95"/>
        <v>1.4762741624850695E-2</v>
      </c>
      <c r="P832" s="368"/>
      <c r="Q832" s="671"/>
      <c r="R832" s="683"/>
    </row>
    <row r="833" spans="1:18" ht="12" thickBot="1">
      <c r="A833" s="197" t="s">
        <v>1272</v>
      </c>
      <c r="B833" s="147"/>
      <c r="C833" s="147" t="s">
        <v>342</v>
      </c>
      <c r="D833" s="147"/>
      <c r="E833" s="665">
        <v>34</v>
      </c>
      <c r="F833" s="650"/>
      <c r="G833" s="661"/>
      <c r="H833" s="660"/>
      <c r="I833" s="659"/>
      <c r="J833" s="659">
        <v>34.029999999999994</v>
      </c>
      <c r="K833" s="652">
        <f t="shared" si="92"/>
        <v>1157.0199999999998</v>
      </c>
      <c r="L833" s="654">
        <f t="shared" si="93"/>
        <v>3.3334667028907039E-4</v>
      </c>
      <c r="M833" s="654">
        <f t="shared" si="94"/>
        <v>34</v>
      </c>
      <c r="O833" s="679">
        <f t="shared" si="95"/>
        <v>1.2342051108639505E-2</v>
      </c>
      <c r="P833" s="368"/>
      <c r="Q833" s="671"/>
      <c r="R833" s="683"/>
    </row>
    <row r="834" spans="1:18" ht="12" thickBot="1">
      <c r="A834" s="197" t="s">
        <v>1272</v>
      </c>
      <c r="B834" s="147"/>
      <c r="C834" s="147" t="s">
        <v>343</v>
      </c>
      <c r="D834" s="147"/>
      <c r="E834" s="665">
        <v>40</v>
      </c>
      <c r="F834" s="650"/>
      <c r="G834" s="661"/>
      <c r="H834" s="660"/>
      <c r="I834" s="659"/>
      <c r="J834" s="659">
        <v>33.22</v>
      </c>
      <c r="K834" s="652">
        <f t="shared" si="92"/>
        <v>1328.8</v>
      </c>
      <c r="L834" s="654">
        <f t="shared" si="93"/>
        <v>3.8283785542178768E-4</v>
      </c>
      <c r="M834" s="654">
        <f t="shared" si="94"/>
        <v>40</v>
      </c>
      <c r="O834" s="679">
        <f t="shared" si="95"/>
        <v>1.264298612965088E-2</v>
      </c>
      <c r="P834" s="368"/>
      <c r="Q834" s="671"/>
      <c r="R834" s="683"/>
    </row>
    <row r="835" spans="1:18" ht="12" thickBot="1">
      <c r="A835" s="197" t="s">
        <v>1272</v>
      </c>
      <c r="B835" s="147"/>
      <c r="C835" s="309" t="s">
        <v>344</v>
      </c>
      <c r="D835" s="147"/>
      <c r="E835" s="665">
        <v>52</v>
      </c>
      <c r="F835" s="650"/>
      <c r="G835" s="661"/>
      <c r="H835" s="660"/>
      <c r="I835" s="659"/>
      <c r="J835" s="659">
        <v>35.199999999999996</v>
      </c>
      <c r="K835" s="652">
        <f t="shared" si="92"/>
        <v>1830.3999999999999</v>
      </c>
      <c r="L835" s="654">
        <f t="shared" si="93"/>
        <v>5.2735280746842267E-4</v>
      </c>
      <c r="M835" s="654">
        <f t="shared" si="94"/>
        <v>52</v>
      </c>
      <c r="O835" s="679">
        <f t="shared" si="95"/>
        <v>1.1931818159858019E-2</v>
      </c>
      <c r="P835" s="368"/>
      <c r="Q835" s="671"/>
      <c r="R835" s="683"/>
    </row>
    <row r="836" spans="1:18" ht="12" thickBot="1">
      <c r="A836" s="197" t="s">
        <v>1272</v>
      </c>
      <c r="B836" s="309"/>
      <c r="C836" s="147" t="s">
        <v>345</v>
      </c>
      <c r="D836" s="147"/>
      <c r="E836" s="665">
        <v>204</v>
      </c>
      <c r="F836" s="650"/>
      <c r="G836" s="661"/>
      <c r="H836" s="660"/>
      <c r="I836" s="659"/>
      <c r="J836" s="659">
        <v>34.090000000000003</v>
      </c>
      <c r="K836" s="652">
        <f t="shared" si="92"/>
        <v>6954.3600000000006</v>
      </c>
      <c r="L836" s="654">
        <f t="shared" si="93"/>
        <v>2.0036064631480011E-3</v>
      </c>
      <c r="M836" s="654">
        <f t="shared" si="94"/>
        <v>204</v>
      </c>
      <c r="O836" s="679">
        <f t="shared" si="95"/>
        <v>1.2320328519419249E-2</v>
      </c>
      <c r="P836" s="368"/>
      <c r="Q836" s="671"/>
      <c r="R836" s="683"/>
    </row>
    <row r="837" spans="1:18" ht="12" thickBot="1">
      <c r="A837" s="197" t="s">
        <v>1272</v>
      </c>
      <c r="B837" s="147"/>
      <c r="C837" s="147" t="s">
        <v>346</v>
      </c>
      <c r="D837" s="309"/>
      <c r="E837" s="665">
        <v>188</v>
      </c>
      <c r="F837" s="650"/>
      <c r="G837" s="661"/>
      <c r="H837" s="660"/>
      <c r="I837" s="659"/>
      <c r="J837" s="659">
        <v>36.07</v>
      </c>
      <c r="K837" s="652">
        <f t="shared" si="92"/>
        <v>6781.16</v>
      </c>
      <c r="L837" s="654">
        <f t="shared" si="93"/>
        <v>1.9537061647140349E-3</v>
      </c>
      <c r="M837" s="654">
        <f t="shared" si="94"/>
        <v>188</v>
      </c>
      <c r="O837" s="679">
        <f t="shared" si="95"/>
        <v>1.1644025484530142E-2</v>
      </c>
      <c r="P837" s="368"/>
      <c r="Q837" s="671"/>
      <c r="R837" s="683"/>
    </row>
    <row r="838" spans="1:18" ht="12" thickBot="1">
      <c r="A838" s="197" t="s">
        <v>1272</v>
      </c>
      <c r="B838" s="147"/>
      <c r="C838" s="147" t="s">
        <v>347</v>
      </c>
      <c r="D838" s="147"/>
      <c r="E838" s="665">
        <v>13</v>
      </c>
      <c r="F838" s="650"/>
      <c r="G838" s="661"/>
      <c r="H838" s="660"/>
      <c r="I838" s="659"/>
      <c r="J838" s="659">
        <v>32.26</v>
      </c>
      <c r="K838" s="652">
        <f t="shared" si="92"/>
        <v>419.38</v>
      </c>
      <c r="L838" s="654">
        <f t="shared" si="93"/>
        <v>1.2082671568843267E-4</v>
      </c>
      <c r="M838" s="654">
        <f t="shared" si="94"/>
        <v>13</v>
      </c>
      <c r="O838" s="679">
        <f t="shared" si="95"/>
        <v>1.3019218822907696E-2</v>
      </c>
      <c r="P838" s="368"/>
      <c r="Q838" s="671"/>
      <c r="R838" s="683"/>
    </row>
    <row r="839" spans="1:18" ht="12" thickBot="1">
      <c r="A839" s="197" t="s">
        <v>1272</v>
      </c>
      <c r="B839" s="147"/>
      <c r="C839" s="147" t="s">
        <v>348</v>
      </c>
      <c r="D839" s="147"/>
      <c r="E839" s="665">
        <v>44</v>
      </c>
      <c r="F839" s="650"/>
      <c r="G839" s="661"/>
      <c r="H839" s="660"/>
      <c r="I839" s="659"/>
      <c r="J839" s="659">
        <v>32.93</v>
      </c>
      <c r="K839" s="652">
        <f t="shared" si="92"/>
        <v>1448.92</v>
      </c>
      <c r="L839" s="654">
        <f t="shared" si="93"/>
        <v>4.1744538341190288E-4</v>
      </c>
      <c r="M839" s="654">
        <f t="shared" si="94"/>
        <v>44</v>
      </c>
      <c r="O839" s="679">
        <f t="shared" si="95"/>
        <v>1.2754327337594967E-2</v>
      </c>
      <c r="P839" s="368"/>
      <c r="Q839" s="671"/>
      <c r="R839" s="683"/>
    </row>
    <row r="840" spans="1:18" ht="12" thickBot="1">
      <c r="A840" s="197" t="s">
        <v>1272</v>
      </c>
      <c r="B840" s="147"/>
      <c r="C840" s="147" t="s">
        <v>376</v>
      </c>
      <c r="D840" s="147"/>
      <c r="E840" s="665">
        <v>10</v>
      </c>
      <c r="F840" s="650"/>
      <c r="G840" s="661"/>
      <c r="H840" s="660"/>
      <c r="I840" s="659"/>
      <c r="J840" s="659">
        <v>34.330000000000005</v>
      </c>
      <c r="K840" s="652">
        <f t="shared" si="92"/>
        <v>343.30000000000007</v>
      </c>
      <c r="L840" s="654">
        <f t="shared" si="93"/>
        <v>9.8907462196191862E-5</v>
      </c>
      <c r="M840" s="654">
        <f t="shared" si="94"/>
        <v>10</v>
      </c>
      <c r="O840" s="679">
        <f t="shared" si="95"/>
        <v>1.2234197472385732E-2</v>
      </c>
      <c r="P840" s="368"/>
      <c r="Q840" s="671"/>
      <c r="R840" s="683"/>
    </row>
    <row r="841" spans="1:18" ht="12" thickBot="1">
      <c r="A841" s="197" t="s">
        <v>1272</v>
      </c>
      <c r="B841" s="147"/>
      <c r="C841" s="147" t="s">
        <v>349</v>
      </c>
      <c r="D841" s="147"/>
      <c r="E841" s="665">
        <v>190</v>
      </c>
      <c r="F841" s="650"/>
      <c r="G841" s="661"/>
      <c r="H841" s="660"/>
      <c r="I841" s="659"/>
      <c r="J841" s="659">
        <v>34.99</v>
      </c>
      <c r="K841" s="652">
        <f t="shared" si="92"/>
        <v>6648.1</v>
      </c>
      <c r="L841" s="654">
        <f t="shared" si="93"/>
        <v>1.9153705197393037E-3</v>
      </c>
      <c r="M841" s="654">
        <f t="shared" si="94"/>
        <v>190</v>
      </c>
      <c r="O841" s="679">
        <f t="shared" si="95"/>
        <v>1.2003429529208409E-2</v>
      </c>
      <c r="P841" s="368"/>
      <c r="Q841" s="671"/>
      <c r="R841" s="683"/>
    </row>
    <row r="842" spans="1:18" ht="12" thickBot="1">
      <c r="A842" s="197" t="s">
        <v>1272</v>
      </c>
      <c r="B842" s="147"/>
      <c r="C842" s="147" t="s">
        <v>730</v>
      </c>
      <c r="D842" s="309"/>
      <c r="E842" s="665">
        <v>2</v>
      </c>
      <c r="F842" s="650"/>
      <c r="G842" s="661"/>
      <c r="H842" s="660"/>
      <c r="I842" s="659"/>
      <c r="J842" s="659">
        <v>18.279999999999998</v>
      </c>
      <c r="K842" s="652">
        <f t="shared" si="92"/>
        <v>36.559999999999995</v>
      </c>
      <c r="L842" s="654">
        <f t="shared" si="93"/>
        <v>1.0533226967354422E-5</v>
      </c>
      <c r="M842" s="654">
        <f t="shared" si="94"/>
        <v>2</v>
      </c>
      <c r="O842" s="679">
        <f t="shared" si="95"/>
        <v>2.2975929935831637E-2</v>
      </c>
      <c r="P842" s="368"/>
      <c r="Q842" s="671"/>
      <c r="R842" s="683"/>
    </row>
    <row r="843" spans="1:18" ht="12" thickBot="1">
      <c r="A843" s="197" t="s">
        <v>1272</v>
      </c>
      <c r="B843" s="147"/>
      <c r="C843" s="147" t="s">
        <v>378</v>
      </c>
      <c r="D843" s="147"/>
      <c r="E843" s="665">
        <v>12</v>
      </c>
      <c r="F843" s="650"/>
      <c r="G843" s="661"/>
      <c r="H843" s="660"/>
      <c r="I843" s="659"/>
      <c r="J843" s="659">
        <v>22.32</v>
      </c>
      <c r="K843" s="652">
        <f t="shared" si="92"/>
        <v>267.84000000000003</v>
      </c>
      <c r="L843" s="654">
        <f t="shared" si="93"/>
        <v>7.716683563829894E-5</v>
      </c>
      <c r="M843" s="654">
        <f t="shared" si="94"/>
        <v>12</v>
      </c>
      <c r="O843" s="679">
        <f t="shared" si="95"/>
        <v>1.8817204266442754E-2</v>
      </c>
      <c r="P843" s="368"/>
      <c r="Q843" s="671"/>
      <c r="R843" s="683"/>
    </row>
    <row r="844" spans="1:18" ht="12" thickBot="1">
      <c r="A844" s="197" t="s">
        <v>1272</v>
      </c>
      <c r="B844" s="147"/>
      <c r="C844" s="309" t="s">
        <v>354</v>
      </c>
      <c r="D844" s="147"/>
      <c r="E844" s="665">
        <v>6206</v>
      </c>
      <c r="F844" s="650"/>
      <c r="G844" s="661"/>
      <c r="H844" s="660"/>
      <c r="I844" s="659"/>
      <c r="J844" s="659">
        <v>12.82</v>
      </c>
      <c r="K844" s="652">
        <f t="shared" si="92"/>
        <v>79560.92</v>
      </c>
      <c r="L844" s="654">
        <f t="shared" si="93"/>
        <v>2.2922134247580085E-2</v>
      </c>
      <c r="M844" s="654">
        <f t="shared" si="94"/>
        <v>6206</v>
      </c>
      <c r="O844" s="679">
        <f t="shared" si="95"/>
        <v>3.2761310392121858E-2</v>
      </c>
      <c r="P844" s="368"/>
      <c r="Q844" s="671"/>
      <c r="R844" s="683"/>
    </row>
    <row r="845" spans="1:18" ht="12" thickBot="1">
      <c r="A845" s="197" t="s">
        <v>1272</v>
      </c>
      <c r="B845" s="309"/>
      <c r="C845" s="147" t="s">
        <v>355</v>
      </c>
      <c r="D845" s="147"/>
      <c r="E845" s="665">
        <v>8754</v>
      </c>
      <c r="F845" s="650"/>
      <c r="G845" s="661"/>
      <c r="H845" s="660"/>
      <c r="I845" s="659"/>
      <c r="J845" s="659">
        <v>15.08</v>
      </c>
      <c r="K845" s="652">
        <f t="shared" si="92"/>
        <v>132010.32</v>
      </c>
      <c r="L845" s="654">
        <f t="shared" si="93"/>
        <v>3.8033223812721201E-2</v>
      </c>
      <c r="M845" s="654">
        <f t="shared" si="94"/>
        <v>8754</v>
      </c>
      <c r="O845" s="679">
        <f t="shared" si="95"/>
        <v>2.7851458834681847E-2</v>
      </c>
      <c r="P845" s="368"/>
      <c r="Q845" s="671"/>
      <c r="R845" s="683"/>
    </row>
    <row r="846" spans="1:18" ht="12" thickBot="1">
      <c r="A846" s="197" t="s">
        <v>1272</v>
      </c>
      <c r="B846" s="147"/>
      <c r="C846" s="147" t="s">
        <v>356</v>
      </c>
      <c r="D846" s="147"/>
      <c r="E846" s="665">
        <v>5494</v>
      </c>
      <c r="F846" s="650"/>
      <c r="G846" s="661"/>
      <c r="H846" s="660"/>
      <c r="I846" s="659"/>
      <c r="J846" s="659">
        <v>17.38</v>
      </c>
      <c r="K846" s="652">
        <f t="shared" si="92"/>
        <v>95485.72</v>
      </c>
      <c r="L846" s="654">
        <f t="shared" si="93"/>
        <v>2.751019586710212E-2</v>
      </c>
      <c r="M846" s="654">
        <f t="shared" si="94"/>
        <v>5494</v>
      </c>
      <c r="O846" s="679">
        <f t="shared" si="95"/>
        <v>2.4165707665535229E-2</v>
      </c>
      <c r="P846" s="368"/>
      <c r="Q846" s="671"/>
      <c r="R846" s="683"/>
    </row>
    <row r="847" spans="1:18" ht="12" thickBot="1">
      <c r="A847" s="197" t="s">
        <v>1272</v>
      </c>
      <c r="B847" s="147"/>
      <c r="C847" s="147" t="s">
        <v>357</v>
      </c>
      <c r="D847" s="309"/>
      <c r="E847" s="665">
        <v>395</v>
      </c>
      <c r="F847" s="650"/>
      <c r="G847" s="661"/>
      <c r="H847" s="660"/>
      <c r="I847" s="659"/>
      <c r="J847" s="659">
        <v>13.77</v>
      </c>
      <c r="K847" s="652">
        <f t="shared" si="92"/>
        <v>5439.15</v>
      </c>
      <c r="L847" s="654">
        <f t="shared" si="93"/>
        <v>1.5670624031588021E-3</v>
      </c>
      <c r="M847" s="654">
        <f t="shared" si="94"/>
        <v>395</v>
      </c>
      <c r="O847" s="679">
        <f t="shared" si="95"/>
        <v>3.0501089268482374E-2</v>
      </c>
      <c r="P847" s="368"/>
      <c r="Q847" s="671"/>
      <c r="R847" s="683"/>
    </row>
    <row r="848" spans="1:18" ht="12" thickBot="1">
      <c r="A848" s="197" t="s">
        <v>1272</v>
      </c>
      <c r="B848" s="147"/>
      <c r="C848" s="147" t="s">
        <v>358</v>
      </c>
      <c r="D848" s="147"/>
      <c r="E848" s="665">
        <v>12742</v>
      </c>
      <c r="F848" s="650"/>
      <c r="G848" s="661"/>
      <c r="H848" s="660"/>
      <c r="I848" s="659"/>
      <c r="J848" s="659">
        <v>18.21</v>
      </c>
      <c r="K848" s="652">
        <f t="shared" si="92"/>
        <v>232031.82</v>
      </c>
      <c r="L848" s="654">
        <f t="shared" si="93"/>
        <v>6.6850213996398455E-2</v>
      </c>
      <c r="M848" s="654">
        <f t="shared" si="94"/>
        <v>12742</v>
      </c>
      <c r="O848" s="679">
        <f t="shared" si="95"/>
        <v>2.3064250369412533E-2</v>
      </c>
      <c r="P848" s="368"/>
      <c r="Q848" s="671"/>
      <c r="R848" s="683"/>
    </row>
    <row r="849" spans="1:18" ht="12" thickBot="1">
      <c r="A849" s="197" t="s">
        <v>1272</v>
      </c>
      <c r="B849" s="147"/>
      <c r="C849" s="309" t="s">
        <v>359</v>
      </c>
      <c r="D849" s="147"/>
      <c r="E849" s="665">
        <v>3191</v>
      </c>
      <c r="F849" s="650"/>
      <c r="G849" s="661"/>
      <c r="H849" s="660"/>
      <c r="I849" s="659"/>
      <c r="J849" s="659">
        <v>10.86</v>
      </c>
      <c r="K849" s="652">
        <f t="shared" si="92"/>
        <v>34654.259999999995</v>
      </c>
      <c r="L849" s="654">
        <f t="shared" si="93"/>
        <v>9.9841681062831419E-3</v>
      </c>
      <c r="M849" s="654">
        <f t="shared" si="94"/>
        <v>3191</v>
      </c>
      <c r="O849" s="679">
        <f t="shared" si="95"/>
        <v>3.8674033077992845E-2</v>
      </c>
      <c r="P849" s="368"/>
      <c r="Q849" s="671"/>
      <c r="R849" s="683"/>
    </row>
    <row r="850" spans="1:18" ht="12" thickBot="1">
      <c r="A850" s="197" t="s">
        <v>1272</v>
      </c>
      <c r="B850" s="309"/>
      <c r="C850" s="147" t="s">
        <v>360</v>
      </c>
      <c r="D850" s="309"/>
      <c r="E850" s="665">
        <v>5</v>
      </c>
      <c r="F850" s="650"/>
      <c r="G850" s="661"/>
      <c r="H850" s="660"/>
      <c r="I850" s="659"/>
      <c r="J850" s="659">
        <v>11.13</v>
      </c>
      <c r="K850" s="652">
        <f t="shared" si="92"/>
        <v>55.650000000000006</v>
      </c>
      <c r="L850" s="654">
        <f t="shared" si="93"/>
        <v>1.6033207897518428E-5</v>
      </c>
      <c r="M850" s="654">
        <f t="shared" si="94"/>
        <v>5</v>
      </c>
      <c r="O850" s="679">
        <f t="shared" si="95"/>
        <v>3.7735848987152043E-2</v>
      </c>
      <c r="P850" s="368"/>
      <c r="Q850" s="671"/>
      <c r="R850" s="683"/>
    </row>
    <row r="851" spans="1:18" ht="12" thickBot="1">
      <c r="A851" s="197" t="s">
        <v>1272</v>
      </c>
      <c r="B851" s="147"/>
      <c r="C851" s="147" t="s">
        <v>365</v>
      </c>
      <c r="D851" s="147"/>
      <c r="E851" s="665">
        <v>19</v>
      </c>
      <c r="F851" s="650"/>
      <c r="G851" s="661"/>
      <c r="H851" s="660"/>
      <c r="I851" s="659"/>
      <c r="J851" s="659">
        <v>12.79</v>
      </c>
      <c r="K851" s="652">
        <f t="shared" si="92"/>
        <v>243.01</v>
      </c>
      <c r="L851" s="654">
        <f t="shared" si="93"/>
        <v>7.0013115025623583E-5</v>
      </c>
      <c r="M851" s="654">
        <f t="shared" si="94"/>
        <v>19</v>
      </c>
      <c r="O851" s="679">
        <f t="shared" si="95"/>
        <v>3.2838154748006436E-2</v>
      </c>
      <c r="P851" s="368"/>
      <c r="Q851" s="671"/>
      <c r="R851" s="683"/>
    </row>
    <row r="852" spans="1:18" ht="12" thickBot="1">
      <c r="A852" s="197" t="s">
        <v>1272</v>
      </c>
      <c r="B852" s="147"/>
      <c r="C852" s="147" t="s">
        <v>366</v>
      </c>
      <c r="D852" s="147"/>
      <c r="E852" s="665">
        <v>2</v>
      </c>
      <c r="F852" s="650"/>
      <c r="G852" s="661"/>
      <c r="H852" s="660"/>
      <c r="I852" s="659"/>
      <c r="J852" s="659">
        <v>15.07</v>
      </c>
      <c r="K852" s="652">
        <f t="shared" si="92"/>
        <v>30.14</v>
      </c>
      <c r="L852" s="654">
        <f t="shared" si="93"/>
        <v>8.6835738729776347E-6</v>
      </c>
      <c r="M852" s="654">
        <f t="shared" si="94"/>
        <v>2</v>
      </c>
      <c r="O852" s="679">
        <f t="shared" si="95"/>
        <v>2.786994022740559E-2</v>
      </c>
      <c r="P852" s="368"/>
      <c r="Q852" s="671"/>
      <c r="R852" s="683"/>
    </row>
    <row r="853" spans="1:18" ht="12" thickBot="1">
      <c r="A853" s="197" t="s">
        <v>1272</v>
      </c>
      <c r="B853" s="147"/>
      <c r="C853" s="147" t="s">
        <v>367</v>
      </c>
      <c r="D853" s="309"/>
      <c r="E853" s="665">
        <v>281</v>
      </c>
      <c r="F853" s="650"/>
      <c r="G853" s="661"/>
      <c r="H853" s="660"/>
      <c r="I853" s="659"/>
      <c r="J853" s="659">
        <v>18.68</v>
      </c>
      <c r="K853" s="652">
        <f t="shared" si="92"/>
        <v>5249.08</v>
      </c>
      <c r="L853" s="654">
        <f t="shared" si="93"/>
        <v>1.5123017234628215E-3</v>
      </c>
      <c r="M853" s="654">
        <f t="shared" si="94"/>
        <v>281</v>
      </c>
      <c r="O853" s="679">
        <f t="shared" si="95"/>
        <v>2.2483940001445518E-2</v>
      </c>
      <c r="P853" s="368"/>
      <c r="Q853" s="671"/>
      <c r="R853" s="683"/>
    </row>
    <row r="854" spans="1:18" ht="12" thickBot="1">
      <c r="A854" s="197" t="s">
        <v>1272</v>
      </c>
      <c r="B854" s="147"/>
      <c r="C854" s="147" t="s">
        <v>368</v>
      </c>
      <c r="D854" s="147"/>
      <c r="E854" s="665">
        <v>52</v>
      </c>
      <c r="F854" s="650"/>
      <c r="G854" s="661"/>
      <c r="H854" s="660"/>
      <c r="I854" s="659"/>
      <c r="J854" s="659">
        <v>20.970000000000002</v>
      </c>
      <c r="K854" s="652">
        <f t="shared" si="92"/>
        <v>1090.44</v>
      </c>
      <c r="L854" s="654">
        <f t="shared" si="93"/>
        <v>3.1416444240377347E-4</v>
      </c>
      <c r="M854" s="654">
        <f t="shared" si="94"/>
        <v>52</v>
      </c>
      <c r="O854" s="679">
        <f t="shared" si="95"/>
        <v>2.0028612266428335E-2</v>
      </c>
      <c r="P854" s="368"/>
      <c r="Q854" s="671"/>
      <c r="R854" s="683"/>
    </row>
    <row r="855" spans="1:18" ht="12" thickBot="1">
      <c r="A855" s="197" t="s">
        <v>1272</v>
      </c>
      <c r="B855" s="147"/>
      <c r="C855" s="147" t="s">
        <v>369</v>
      </c>
      <c r="D855" s="147"/>
      <c r="E855" s="665">
        <v>2</v>
      </c>
      <c r="F855" s="650"/>
      <c r="G855" s="661"/>
      <c r="H855" s="660"/>
      <c r="I855" s="659"/>
      <c r="J855" s="659">
        <v>28.42</v>
      </c>
      <c r="K855" s="652">
        <f t="shared" si="92"/>
        <v>56.84</v>
      </c>
      <c r="L855" s="654">
        <f t="shared" si="93"/>
        <v>1.637605636828297E-5</v>
      </c>
      <c r="M855" s="654">
        <f t="shared" si="94"/>
        <v>2</v>
      </c>
      <c r="O855" s="679">
        <f t="shared" si="95"/>
        <v>1.4778325095953632E-2</v>
      </c>
      <c r="P855" s="368"/>
      <c r="Q855" s="671"/>
      <c r="R855" s="683"/>
    </row>
    <row r="856" spans="1:18" ht="12" thickBot="1">
      <c r="A856" s="197" t="s">
        <v>1272</v>
      </c>
      <c r="B856" s="147"/>
      <c r="C856" s="147" t="s">
        <v>370</v>
      </c>
      <c r="D856" s="147"/>
      <c r="E856" s="665">
        <v>356</v>
      </c>
      <c r="F856" s="650"/>
      <c r="G856" s="661"/>
      <c r="H856" s="660"/>
      <c r="I856" s="659"/>
      <c r="J856" s="659">
        <v>39.6</v>
      </c>
      <c r="K856" s="652">
        <f t="shared" si="92"/>
        <v>14097.6</v>
      </c>
      <c r="L856" s="654">
        <f t="shared" si="93"/>
        <v>4.0616307575212177E-3</v>
      </c>
      <c r="M856" s="654">
        <f t="shared" si="94"/>
        <v>356</v>
      </c>
      <c r="O856" s="679">
        <f t="shared" si="95"/>
        <v>1.0606060586540461E-2</v>
      </c>
      <c r="P856" s="368"/>
      <c r="Q856" s="671"/>
      <c r="R856" s="683"/>
    </row>
    <row r="857" spans="1:18" ht="12" thickBot="1">
      <c r="A857" s="197" t="s">
        <v>1272</v>
      </c>
      <c r="B857" s="147"/>
      <c r="C857" s="147" t="s">
        <v>371</v>
      </c>
      <c r="D857" s="147"/>
      <c r="E857" s="665">
        <v>59</v>
      </c>
      <c r="F857" s="650"/>
      <c r="G857" s="661"/>
      <c r="H857" s="660"/>
      <c r="I857" s="659"/>
      <c r="J857" s="659">
        <v>42.78</v>
      </c>
      <c r="K857" s="652">
        <f t="shared" si="92"/>
        <v>2524.02</v>
      </c>
      <c r="L857" s="654">
        <f t="shared" si="93"/>
        <v>7.2719024973035863E-4</v>
      </c>
      <c r="M857" s="654">
        <f t="shared" si="94"/>
        <v>59</v>
      </c>
      <c r="O857" s="679">
        <f t="shared" si="95"/>
        <v>9.8176717911875235E-3</v>
      </c>
      <c r="P857" s="368"/>
      <c r="Q857" s="671"/>
      <c r="R857" s="683"/>
    </row>
    <row r="858" spans="1:18" ht="12" thickBot="1">
      <c r="A858" s="197" t="s">
        <v>1272</v>
      </c>
      <c r="B858" s="147"/>
      <c r="C858" s="147" t="s">
        <v>659</v>
      </c>
      <c r="D858" s="309"/>
      <c r="E858" s="665">
        <v>17</v>
      </c>
      <c r="F858" s="650"/>
      <c r="G858" s="661"/>
      <c r="H858" s="660"/>
      <c r="I858" s="659"/>
      <c r="J858" s="659">
        <v>23.83</v>
      </c>
      <c r="K858" s="652">
        <f t="shared" si="92"/>
        <v>405.10999999999996</v>
      </c>
      <c r="L858" s="654">
        <f t="shared" si="93"/>
        <v>1.1671541511884435E-4</v>
      </c>
      <c r="M858" s="654">
        <f t="shared" si="94"/>
        <v>17</v>
      </c>
      <c r="O858" s="679">
        <f t="shared" si="95"/>
        <v>1.7624842602895607E-2</v>
      </c>
      <c r="P858" s="368"/>
      <c r="Q858" s="671"/>
      <c r="R858" s="683"/>
    </row>
    <row r="859" spans="1:18" ht="12" thickBot="1">
      <c r="A859" s="197" t="s">
        <v>1272</v>
      </c>
      <c r="B859" s="147"/>
      <c r="C859" s="309" t="s">
        <v>399</v>
      </c>
      <c r="D859" s="147"/>
      <c r="E859" s="665">
        <v>4</v>
      </c>
      <c r="F859" s="650"/>
      <c r="G859" s="661"/>
      <c r="H859" s="660"/>
      <c r="I859" s="659"/>
      <c r="J859" s="659">
        <v>20.46</v>
      </c>
      <c r="K859" s="652">
        <f t="shared" ref="K859:K862" si="96">E859*J859</f>
        <v>81.84</v>
      </c>
      <c r="L859" s="654">
        <f t="shared" ref="L859:L862" si="97">K859/$Q$799*$Q$800</f>
        <v>2.3578755333924673E-5</v>
      </c>
      <c r="M859" s="654">
        <f t="shared" ref="M859:M862" si="98">ROUND((K859+L859)/J859,0)</f>
        <v>4</v>
      </c>
      <c r="O859" s="679">
        <f t="shared" ref="O859:O862" si="99">$Q$800/J859</f>
        <v>2.0527859199755732E-2</v>
      </c>
      <c r="P859" s="368"/>
      <c r="Q859" s="671"/>
      <c r="R859" s="683"/>
    </row>
    <row r="860" spans="1:18" ht="12" thickBot="1">
      <c r="A860" s="197" t="s">
        <v>1272</v>
      </c>
      <c r="B860" s="309"/>
      <c r="C860" s="147" t="s">
        <v>372</v>
      </c>
      <c r="D860" s="147"/>
      <c r="E860" s="665">
        <v>39</v>
      </c>
      <c r="F860" s="650"/>
      <c r="G860" s="661"/>
      <c r="H860" s="660"/>
      <c r="I860" s="659"/>
      <c r="J860" s="659">
        <v>30.21</v>
      </c>
      <c r="K860" s="652">
        <f t="shared" si="96"/>
        <v>1178.19</v>
      </c>
      <c r="L860" s="654">
        <f t="shared" si="97"/>
        <v>3.3944591577317584E-4</v>
      </c>
      <c r="M860" s="654">
        <f t="shared" si="98"/>
        <v>39</v>
      </c>
      <c r="O860" s="679">
        <f t="shared" si="99"/>
        <v>1.3902681205792859E-2</v>
      </c>
      <c r="P860" s="368"/>
      <c r="Q860" s="671"/>
      <c r="R860" s="683"/>
    </row>
    <row r="861" spans="1:18" ht="12" thickBot="1">
      <c r="A861" s="197" t="s">
        <v>1272</v>
      </c>
      <c r="B861" s="147"/>
      <c r="C861" s="147" t="s">
        <v>373</v>
      </c>
      <c r="D861" s="147"/>
      <c r="E861" s="665">
        <v>2</v>
      </c>
      <c r="F861" s="650"/>
      <c r="G861" s="661"/>
      <c r="H861" s="660"/>
      <c r="I861" s="659"/>
      <c r="J861" s="659">
        <v>42.56</v>
      </c>
      <c r="K861" s="652">
        <f t="shared" si="96"/>
        <v>85.12</v>
      </c>
      <c r="L861" s="654">
        <f t="shared" si="97"/>
        <v>2.4523749438216864E-5</v>
      </c>
      <c r="M861" s="654">
        <f t="shared" si="98"/>
        <v>2</v>
      </c>
      <c r="O861" s="679">
        <f t="shared" si="99"/>
        <v>9.8684210344690375E-3</v>
      </c>
      <c r="P861" s="368"/>
      <c r="Q861" s="671"/>
      <c r="R861" s="683"/>
    </row>
    <row r="862" spans="1:18" ht="12" thickBot="1">
      <c r="A862" s="197" t="s">
        <v>1272</v>
      </c>
      <c r="B862" s="147"/>
      <c r="C862" s="147" t="s">
        <v>374</v>
      </c>
      <c r="D862" s="147"/>
      <c r="E862" s="665">
        <v>13</v>
      </c>
      <c r="F862" s="650"/>
      <c r="G862" s="661"/>
      <c r="H862" s="660"/>
      <c r="I862" s="659"/>
      <c r="J862" s="659">
        <v>52.31</v>
      </c>
      <c r="K862" s="652">
        <f t="shared" si="96"/>
        <v>680.03</v>
      </c>
      <c r="L862" s="654">
        <f t="shared" si="97"/>
        <v>1.9592205510421303E-4</v>
      </c>
      <c r="M862" s="654">
        <f t="shared" si="98"/>
        <v>13</v>
      </c>
      <c r="O862" s="679">
        <f t="shared" si="99"/>
        <v>8.029057526801801E-3</v>
      </c>
      <c r="P862" s="368"/>
      <c r="Q862" s="671"/>
      <c r="R862" s="683"/>
    </row>
    <row r="863" spans="1:18" ht="12" thickBot="1">
      <c r="A863" s="197" t="s">
        <v>1272</v>
      </c>
      <c r="B863" s="147"/>
      <c r="C863" s="147"/>
      <c r="D863" s="147"/>
      <c r="E863" s="650"/>
      <c r="F863" s="650"/>
      <c r="G863" s="661"/>
      <c r="J863" s="663"/>
      <c r="K863" s="659"/>
      <c r="L863" s="661"/>
      <c r="M863" s="661"/>
      <c r="N863" s="661"/>
      <c r="Q863" s="671"/>
      <c r="R863" s="683"/>
    </row>
    <row r="864" spans="1:18" ht="12" thickBot="1">
      <c r="A864" s="197" t="s">
        <v>1272</v>
      </c>
      <c r="B864" s="147"/>
      <c r="C864" s="147"/>
      <c r="D864" s="309"/>
      <c r="E864" s="650"/>
      <c r="F864" s="650"/>
      <c r="G864" s="661"/>
      <c r="J864" s="663"/>
      <c r="K864" s="659"/>
      <c r="L864" s="661"/>
      <c r="M864" s="661"/>
      <c r="N864" s="661"/>
      <c r="Q864" s="671"/>
      <c r="R864" s="683"/>
    </row>
    <row r="865" spans="1:18" ht="12" thickBot="1">
      <c r="A865" s="197" t="s">
        <v>1272</v>
      </c>
      <c r="B865" s="147"/>
      <c r="C865" s="147"/>
      <c r="D865" s="147"/>
      <c r="E865" s="650"/>
      <c r="F865" s="650"/>
      <c r="G865" s="661"/>
      <c r="J865" s="663"/>
      <c r="K865" s="659"/>
      <c r="L865" s="661"/>
      <c r="M865" s="661"/>
      <c r="N865" s="661"/>
      <c r="Q865" s="671"/>
      <c r="R865" s="683"/>
    </row>
    <row r="866" spans="1:18" ht="12" thickBot="1">
      <c r="A866" s="197" t="s">
        <v>1272</v>
      </c>
      <c r="B866" s="147"/>
      <c r="C866" s="147"/>
      <c r="D866" s="147"/>
      <c r="E866" s="650"/>
      <c r="F866" s="650"/>
      <c r="G866" s="661"/>
      <c r="J866" s="664"/>
      <c r="K866" s="650"/>
      <c r="L866" s="661"/>
      <c r="M866" s="661"/>
      <c r="N866" s="661"/>
      <c r="Q866" s="671"/>
      <c r="R866" s="683"/>
    </row>
    <row r="867" spans="1:18" ht="12" thickBot="1">
      <c r="A867" s="197" t="s">
        <v>1272</v>
      </c>
      <c r="B867" s="147"/>
      <c r="C867" s="199" t="s">
        <v>7</v>
      </c>
      <c r="D867" s="208"/>
      <c r="E867" s="252"/>
      <c r="F867" s="252"/>
      <c r="G867" s="252"/>
      <c r="H867" s="252"/>
      <c r="I867" s="252"/>
      <c r="J867" s="252"/>
      <c r="K867" s="252"/>
      <c r="L867" s="252"/>
      <c r="M867" s="252"/>
      <c r="N867" s="252"/>
      <c r="O867" s="252"/>
      <c r="P867" s="252"/>
      <c r="Q867" s="671"/>
      <c r="R867" s="683"/>
    </row>
    <row r="868" spans="1:18" ht="12" thickBot="1">
      <c r="A868" s="197" t="s">
        <v>1272</v>
      </c>
      <c r="B868" s="202"/>
      <c r="J868" s="664"/>
    </row>
    <row r="869" spans="1:18">
      <c r="J869" s="664"/>
    </row>
    <row r="870" spans="1:18">
      <c r="J870" s="664"/>
    </row>
    <row r="871" spans="1:18">
      <c r="J871" s="664"/>
    </row>
    <row r="872" spans="1:18">
      <c r="J872" s="664"/>
    </row>
    <row r="873" spans="1:18">
      <c r="J873" s="664"/>
    </row>
    <row r="874" spans="1:18">
      <c r="J874" s="664"/>
    </row>
    <row r="875" spans="1:18">
      <c r="J875" s="664"/>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filterMode="1"/>
  <dimension ref="A1:AQ1702"/>
  <sheetViews>
    <sheetView workbookViewId="0">
      <pane xSplit="4" ySplit="4" topLeftCell="L5" activePane="bottomRight" state="frozen"/>
      <selection pane="topRight" activeCell="E1" sqref="E1"/>
      <selection pane="bottomLeft" activeCell="A5" sqref="A5"/>
      <selection pane="bottomRight" activeCell="R938" sqref="R938"/>
    </sheetView>
  </sheetViews>
  <sheetFormatPr defaultRowHeight="12"/>
  <cols>
    <col min="1" max="1" width="10.1640625" style="600" customWidth="1"/>
    <col min="2" max="2" width="14.1640625" style="600" bestFit="1" customWidth="1"/>
    <col min="3" max="3" width="39.5" style="600" bestFit="1" customWidth="1"/>
    <col min="4" max="4" width="9.33203125" style="600"/>
    <col min="5" max="5" width="15.1640625" style="265" bestFit="1" customWidth="1"/>
    <col min="6" max="6" width="18.5" style="265" bestFit="1" customWidth="1"/>
    <col min="7" max="7" width="22" style="265" bestFit="1" customWidth="1"/>
    <col min="8" max="8" width="16.83203125" style="265" bestFit="1" customWidth="1"/>
    <col min="9" max="9" width="14.1640625" style="265" customWidth="1"/>
    <col min="10" max="10" width="13.5" style="265" customWidth="1"/>
    <col min="11" max="11" width="16.5" style="265" bestFit="1" customWidth="1"/>
    <col min="12" max="13" width="13" style="265" bestFit="1" customWidth="1"/>
    <col min="14" max="14" width="12.1640625" style="265" bestFit="1" customWidth="1"/>
    <col min="15" max="15" width="14.83203125" style="265" customWidth="1"/>
    <col min="16" max="16" width="11.1640625" style="265" customWidth="1"/>
    <col min="17" max="17" width="10" style="265" bestFit="1" customWidth="1"/>
    <col min="18" max="18" width="14.83203125" style="265" bestFit="1" customWidth="1"/>
    <col min="19" max="19" width="14.1640625" style="265" bestFit="1" customWidth="1"/>
    <col min="20" max="21" width="15" style="265" bestFit="1" customWidth="1"/>
    <col min="22" max="22" width="9.33203125" style="265"/>
    <col min="23" max="23" width="15.1640625" style="158" bestFit="1" customWidth="1"/>
    <col min="24" max="24" width="25.6640625" style="158" bestFit="1" customWidth="1"/>
    <col min="25" max="25" width="23.1640625" style="265" bestFit="1" customWidth="1"/>
    <col min="26" max="26" width="15.83203125" style="265" bestFit="1" customWidth="1"/>
    <col min="27" max="28" width="9.33203125" style="265"/>
    <col min="29" max="29" width="10.1640625" style="265" bestFit="1" customWidth="1"/>
    <col min="30" max="34" width="9.33203125" style="265"/>
    <col min="35" max="35" width="14.83203125" style="265" bestFit="1" customWidth="1"/>
    <col min="36" max="16384" width="9.33203125" style="265"/>
  </cols>
  <sheetData>
    <row r="1" spans="1:26" ht="12.75" thickBot="1">
      <c r="A1" s="581"/>
      <c r="B1" s="582" t="s">
        <v>4</v>
      </c>
      <c r="C1" s="582" t="s">
        <v>841</v>
      </c>
      <c r="D1" s="583" t="s">
        <v>842</v>
      </c>
      <c r="E1" s="584" t="s">
        <v>874</v>
      </c>
      <c r="F1" s="585" t="s">
        <v>851</v>
      </c>
      <c r="G1" s="585" t="s">
        <v>922</v>
      </c>
      <c r="H1" s="586" t="s">
        <v>923</v>
      </c>
      <c r="I1" s="586" t="s">
        <v>924</v>
      </c>
      <c r="J1" s="586" t="s">
        <v>925</v>
      </c>
      <c r="K1" s="586" t="s">
        <v>926</v>
      </c>
      <c r="L1" s="585" t="s">
        <v>838</v>
      </c>
      <c r="M1" s="585" t="s">
        <v>57</v>
      </c>
      <c r="N1" s="585" t="s">
        <v>58</v>
      </c>
      <c r="O1" s="585" t="s">
        <v>927</v>
      </c>
      <c r="P1" s="585" t="s">
        <v>762</v>
      </c>
      <c r="Q1" s="585" t="s">
        <v>839</v>
      </c>
      <c r="R1" s="585" t="s">
        <v>876</v>
      </c>
      <c r="S1" s="585" t="s">
        <v>1003</v>
      </c>
      <c r="T1" s="585" t="s">
        <v>875</v>
      </c>
      <c r="U1" s="585" t="s">
        <v>880</v>
      </c>
      <c r="V1" s="415"/>
      <c r="W1" s="603"/>
      <c r="X1" s="603"/>
      <c r="Y1" s="415"/>
      <c r="Z1" s="582" t="s">
        <v>76</v>
      </c>
    </row>
    <row r="2" spans="1:26" customFormat="1" ht="12.75" thickBot="1">
      <c r="A2" s="96"/>
      <c r="B2" s="120" t="s">
        <v>4</v>
      </c>
      <c r="C2" s="93" t="s">
        <v>841</v>
      </c>
      <c r="D2" s="94" t="s">
        <v>842</v>
      </c>
      <c r="E2" s="122"/>
      <c r="F2" s="121" t="s">
        <v>6</v>
      </c>
      <c r="G2" s="121" t="s">
        <v>6</v>
      </c>
      <c r="H2" s="121" t="s">
        <v>6</v>
      </c>
      <c r="I2" s="121" t="s">
        <v>6</v>
      </c>
      <c r="J2" s="121" t="s">
        <v>6</v>
      </c>
      <c r="K2" s="121" t="s">
        <v>6</v>
      </c>
      <c r="L2" s="121" t="s">
        <v>6</v>
      </c>
      <c r="M2" s="121" t="s">
        <v>6</v>
      </c>
      <c r="N2" s="121" t="s">
        <v>6</v>
      </c>
      <c r="O2" s="121" t="s">
        <v>6</v>
      </c>
      <c r="P2" s="121" t="s">
        <v>6</v>
      </c>
      <c r="Q2" s="121" t="s">
        <v>6</v>
      </c>
      <c r="R2" s="121" t="s">
        <v>6</v>
      </c>
      <c r="S2" s="141" t="s">
        <v>6</v>
      </c>
      <c r="T2" s="123" t="s">
        <v>6</v>
      </c>
      <c r="U2" s="123" t="s">
        <v>6</v>
      </c>
      <c r="V2" s="123"/>
      <c r="W2" s="604"/>
      <c r="X2" s="604"/>
      <c r="Y2" s="123"/>
      <c r="Z2" s="123"/>
    </row>
    <row r="3" spans="1:26" customFormat="1" ht="12.75" thickBot="1">
      <c r="A3" s="92"/>
      <c r="B3" s="91"/>
      <c r="C3" s="45"/>
      <c r="D3" s="69"/>
      <c r="E3" s="25" t="s">
        <v>5</v>
      </c>
      <c r="F3" s="25" t="s">
        <v>851</v>
      </c>
      <c r="G3" s="25" t="s">
        <v>922</v>
      </c>
      <c r="H3" s="25" t="s">
        <v>923</v>
      </c>
      <c r="I3" s="25" t="s">
        <v>924</v>
      </c>
      <c r="J3" s="25" t="s">
        <v>925</v>
      </c>
      <c r="K3" s="25" t="s">
        <v>926</v>
      </c>
      <c r="L3" s="25" t="s">
        <v>838</v>
      </c>
      <c r="M3" s="25" t="s">
        <v>57</v>
      </c>
      <c r="N3" s="25" t="s">
        <v>58</v>
      </c>
      <c r="O3" s="25" t="s">
        <v>927</v>
      </c>
      <c r="P3" s="25" t="s">
        <v>762</v>
      </c>
      <c r="Q3" s="25" t="s">
        <v>839</v>
      </c>
      <c r="R3" s="25" t="s">
        <v>840</v>
      </c>
      <c r="S3" s="142"/>
      <c r="T3" s="142"/>
      <c r="U3" s="142"/>
      <c r="W3" s="604"/>
      <c r="X3" s="604"/>
      <c r="Y3" s="123"/>
      <c r="Z3" s="123"/>
    </row>
    <row r="4" spans="1:26" customFormat="1" ht="12.75" thickBot="1">
      <c r="A4" s="25" t="s">
        <v>0</v>
      </c>
      <c r="B4" s="25" t="s">
        <v>4</v>
      </c>
      <c r="C4" s="46"/>
      <c r="D4" s="69"/>
      <c r="E4" s="45" t="s">
        <v>5</v>
      </c>
      <c r="F4" s="45" t="s">
        <v>6</v>
      </c>
      <c r="G4" s="45" t="s">
        <v>6</v>
      </c>
      <c r="H4" s="45" t="s">
        <v>6</v>
      </c>
      <c r="I4" s="45" t="s">
        <v>6</v>
      </c>
      <c r="J4" s="45" t="s">
        <v>6</v>
      </c>
      <c r="K4" s="45" t="s">
        <v>6</v>
      </c>
      <c r="L4" s="45" t="s">
        <v>6</v>
      </c>
      <c r="M4" s="45" t="s">
        <v>6</v>
      </c>
      <c r="N4" s="45" t="s">
        <v>6</v>
      </c>
      <c r="O4" s="45" t="s">
        <v>6</v>
      </c>
      <c r="P4" s="45" t="s">
        <v>6</v>
      </c>
      <c r="Q4" s="45" t="s">
        <v>6</v>
      </c>
      <c r="R4" s="45" t="s">
        <v>6</v>
      </c>
      <c r="S4" s="142"/>
      <c r="T4" s="142"/>
      <c r="U4" s="142"/>
      <c r="W4" s="601"/>
      <c r="X4" s="601"/>
      <c r="Y4" s="123"/>
      <c r="Z4" s="123"/>
    </row>
    <row r="5" spans="1:26" customFormat="1" ht="12.75" thickBot="1">
      <c r="A5" s="57" t="s">
        <v>1273</v>
      </c>
      <c r="B5" s="25" t="s">
        <v>928</v>
      </c>
      <c r="C5" s="25" t="s">
        <v>929</v>
      </c>
      <c r="D5" s="69" t="s">
        <v>881</v>
      </c>
      <c r="E5" s="574"/>
      <c r="F5" s="574"/>
      <c r="G5" s="574"/>
      <c r="H5" s="574"/>
      <c r="I5" s="574"/>
      <c r="J5" s="574"/>
      <c r="K5" s="574"/>
      <c r="L5" s="574"/>
      <c r="M5" s="574"/>
      <c r="N5" s="574"/>
      <c r="O5" s="574"/>
      <c r="P5" s="574"/>
      <c r="Q5" s="574"/>
      <c r="R5" s="575"/>
      <c r="S5" s="142">
        <f t="shared" ref="S5:S66" si="0">G5+H5+I5</f>
        <v>0</v>
      </c>
      <c r="T5" s="142">
        <f t="shared" ref="T5:T66" si="1">J5+K5</f>
        <v>0</v>
      </c>
      <c r="U5" s="142">
        <f t="shared" ref="U5:U66" si="2">N5+O5</f>
        <v>0</v>
      </c>
      <c r="W5" s="601"/>
      <c r="X5" s="601"/>
      <c r="Y5" s="123"/>
      <c r="Z5" s="692">
        <f>SUM(F5:K5)</f>
        <v>0</v>
      </c>
    </row>
    <row r="6" spans="1:26" customFormat="1" ht="12.75" thickBot="1">
      <c r="A6" s="57" t="s">
        <v>1273</v>
      </c>
      <c r="B6" s="25" t="s">
        <v>848</v>
      </c>
      <c r="C6" s="25" t="s">
        <v>849</v>
      </c>
      <c r="D6" s="69" t="s">
        <v>881</v>
      </c>
      <c r="E6" s="574"/>
      <c r="F6" s="574"/>
      <c r="G6" s="574"/>
      <c r="H6" s="574"/>
      <c r="I6" s="574"/>
      <c r="J6" s="574"/>
      <c r="K6" s="574"/>
      <c r="L6" s="574"/>
      <c r="M6" s="574"/>
      <c r="N6" s="574"/>
      <c r="O6" s="574"/>
      <c r="P6" s="574"/>
      <c r="Q6" s="574"/>
      <c r="R6" s="575"/>
      <c r="S6" s="142">
        <f t="shared" si="0"/>
        <v>0</v>
      </c>
      <c r="T6" s="142">
        <f t="shared" si="1"/>
        <v>0</v>
      </c>
      <c r="U6" s="142">
        <f t="shared" si="2"/>
        <v>0</v>
      </c>
      <c r="W6" s="601"/>
      <c r="X6" s="601"/>
      <c r="Y6" s="123"/>
      <c r="Z6" s="692">
        <f t="shared" ref="Z6:Z67" si="3">SUM(F6:K6)</f>
        <v>0</v>
      </c>
    </row>
    <row r="7" spans="1:26" customFormat="1" ht="12.75" thickBot="1">
      <c r="A7" s="57" t="s">
        <v>1273</v>
      </c>
      <c r="B7" s="25" t="s">
        <v>930</v>
      </c>
      <c r="C7" s="25" t="s">
        <v>931</v>
      </c>
      <c r="D7" s="69" t="s">
        <v>881</v>
      </c>
      <c r="E7" s="574"/>
      <c r="F7" s="574"/>
      <c r="G7" s="574"/>
      <c r="H7" s="574"/>
      <c r="I7" s="574"/>
      <c r="J7" s="574"/>
      <c r="K7" s="574"/>
      <c r="L7" s="574"/>
      <c r="M7" s="574"/>
      <c r="N7" s="574"/>
      <c r="O7" s="574"/>
      <c r="P7" s="574"/>
      <c r="Q7" s="574"/>
      <c r="R7" s="575"/>
      <c r="S7" s="142">
        <f t="shared" si="0"/>
        <v>0</v>
      </c>
      <c r="T7" s="142">
        <f t="shared" si="1"/>
        <v>0</v>
      </c>
      <c r="U7" s="142">
        <f t="shared" si="2"/>
        <v>0</v>
      </c>
      <c r="W7" s="601"/>
      <c r="X7" s="601"/>
      <c r="Y7" s="123"/>
      <c r="Z7" s="692">
        <f t="shared" si="3"/>
        <v>0</v>
      </c>
    </row>
    <row r="8" spans="1:26" customFormat="1" ht="12.75" thickBot="1">
      <c r="A8" s="57" t="s">
        <v>1273</v>
      </c>
      <c r="B8" s="25" t="s">
        <v>1011</v>
      </c>
      <c r="C8" s="25" t="s">
        <v>1119</v>
      </c>
      <c r="D8" s="69" t="s">
        <v>881</v>
      </c>
      <c r="E8" s="574"/>
      <c r="F8" s="574"/>
      <c r="G8" s="574"/>
      <c r="H8" s="574"/>
      <c r="I8" s="574"/>
      <c r="J8" s="574"/>
      <c r="K8" s="574"/>
      <c r="L8" s="574"/>
      <c r="M8" s="574"/>
      <c r="N8" s="574"/>
      <c r="O8" s="574"/>
      <c r="P8" s="574"/>
      <c r="Q8" s="574"/>
      <c r="R8" s="575"/>
      <c r="S8" s="142">
        <f t="shared" si="0"/>
        <v>0</v>
      </c>
      <c r="T8" s="142">
        <f t="shared" si="1"/>
        <v>0</v>
      </c>
      <c r="U8" s="142">
        <f t="shared" si="2"/>
        <v>0</v>
      </c>
      <c r="W8" s="601"/>
      <c r="X8" s="601"/>
      <c r="Y8" s="123"/>
      <c r="Z8" s="692">
        <f t="shared" si="3"/>
        <v>0</v>
      </c>
    </row>
    <row r="9" spans="1:26" customFormat="1" ht="12.75" thickBot="1">
      <c r="A9" s="57" t="s">
        <v>1273</v>
      </c>
      <c r="B9" s="25" t="s">
        <v>852</v>
      </c>
      <c r="C9" s="25" t="s">
        <v>853</v>
      </c>
      <c r="D9" s="69" t="s">
        <v>1125</v>
      </c>
      <c r="E9" s="574"/>
      <c r="F9" s="574"/>
      <c r="G9" s="574"/>
      <c r="H9" s="574"/>
      <c r="I9" s="574"/>
      <c r="J9" s="574"/>
      <c r="K9" s="574"/>
      <c r="L9" s="574"/>
      <c r="M9" s="574"/>
      <c r="N9" s="574"/>
      <c r="O9" s="574"/>
      <c r="P9" s="574"/>
      <c r="Q9" s="574"/>
      <c r="R9" s="574"/>
      <c r="S9" s="142">
        <f t="shared" si="0"/>
        <v>0</v>
      </c>
      <c r="T9" s="142">
        <f t="shared" si="1"/>
        <v>0</v>
      </c>
      <c r="U9" s="142">
        <f t="shared" si="2"/>
        <v>0</v>
      </c>
      <c r="W9" s="601"/>
      <c r="X9" s="601"/>
      <c r="Y9" s="123"/>
      <c r="Z9" s="692">
        <f t="shared" si="3"/>
        <v>0</v>
      </c>
    </row>
    <row r="10" spans="1:26" customFormat="1" ht="12.75" thickBot="1">
      <c r="A10" s="57" t="s">
        <v>1273</v>
      </c>
      <c r="B10" s="25" t="s">
        <v>407</v>
      </c>
      <c r="C10" s="25" t="s">
        <v>1120</v>
      </c>
      <c r="D10" s="98" t="s">
        <v>892</v>
      </c>
      <c r="E10" s="576"/>
      <c r="F10" s="574"/>
      <c r="G10" s="575"/>
      <c r="H10" s="575"/>
      <c r="I10" s="575"/>
      <c r="J10" s="574"/>
      <c r="K10" s="574"/>
      <c r="L10" s="575"/>
      <c r="M10" s="575"/>
      <c r="N10" s="575"/>
      <c r="O10" s="575"/>
      <c r="P10" s="574"/>
      <c r="Q10" s="574"/>
      <c r="R10" s="575"/>
      <c r="S10" s="142">
        <f t="shared" si="0"/>
        <v>0</v>
      </c>
      <c r="T10" s="142">
        <f t="shared" si="1"/>
        <v>0</v>
      </c>
      <c r="U10" s="142">
        <f t="shared" si="2"/>
        <v>0</v>
      </c>
      <c r="W10" s="601"/>
      <c r="X10" s="601"/>
      <c r="Y10" s="123"/>
      <c r="Z10" s="692">
        <f t="shared" si="3"/>
        <v>0</v>
      </c>
    </row>
    <row r="11" spans="1:26" customFormat="1" ht="12.75" thickBot="1">
      <c r="A11" s="57" t="s">
        <v>1273</v>
      </c>
      <c r="B11" s="25" t="s">
        <v>409</v>
      </c>
      <c r="C11" s="25" t="s">
        <v>140</v>
      </c>
      <c r="D11" s="98" t="s">
        <v>892</v>
      </c>
      <c r="E11" s="576">
        <v>32732666</v>
      </c>
      <c r="F11" s="575">
        <v>561824</v>
      </c>
      <c r="G11" s="575">
        <v>2043173</v>
      </c>
      <c r="H11" s="575">
        <v>891965</v>
      </c>
      <c r="I11" s="575">
        <v>54664</v>
      </c>
      <c r="J11" s="574"/>
      <c r="K11" s="574"/>
      <c r="L11" s="575">
        <v>49589</v>
      </c>
      <c r="M11" s="575">
        <v>-42744</v>
      </c>
      <c r="N11" s="575"/>
      <c r="O11" s="575">
        <v>150737</v>
      </c>
      <c r="P11" s="574"/>
      <c r="Q11" s="574"/>
      <c r="R11" s="575">
        <v>3709208</v>
      </c>
      <c r="S11" s="142">
        <f t="shared" si="0"/>
        <v>2989802</v>
      </c>
      <c r="T11" s="142">
        <f t="shared" si="1"/>
        <v>0</v>
      </c>
      <c r="U11" s="142">
        <f t="shared" si="2"/>
        <v>150737</v>
      </c>
      <c r="W11" s="601">
        <f t="shared" ref="W11" si="4">SUM(F11:Q11)</f>
        <v>3709208</v>
      </c>
      <c r="X11" s="601">
        <f t="shared" ref="X11" si="5">W11-R11</f>
        <v>0</v>
      </c>
      <c r="Y11" s="123"/>
      <c r="Z11" s="692">
        <f t="shared" si="3"/>
        <v>3551626</v>
      </c>
    </row>
    <row r="12" spans="1:26" customFormat="1" ht="12.75" thickBot="1">
      <c r="A12" s="57" t="s">
        <v>1273</v>
      </c>
      <c r="B12" s="25" t="s">
        <v>410</v>
      </c>
      <c r="C12" s="25" t="s">
        <v>1121</v>
      </c>
      <c r="D12" s="98" t="s">
        <v>892</v>
      </c>
      <c r="E12" s="576"/>
      <c r="F12" s="575"/>
      <c r="G12" s="575"/>
      <c r="H12" s="575"/>
      <c r="I12" s="575"/>
      <c r="J12" s="574"/>
      <c r="K12" s="574"/>
      <c r="L12" s="575"/>
      <c r="M12" s="575"/>
      <c r="N12" s="575"/>
      <c r="O12" s="575"/>
      <c r="P12" s="574"/>
      <c r="Q12" s="574"/>
      <c r="R12" s="575"/>
      <c r="S12" s="142">
        <f t="shared" si="0"/>
        <v>0</v>
      </c>
      <c r="T12" s="142">
        <f t="shared" si="1"/>
        <v>0</v>
      </c>
      <c r="U12" s="142">
        <f t="shared" si="2"/>
        <v>0</v>
      </c>
      <c r="W12" s="601"/>
      <c r="X12" s="601"/>
      <c r="Y12" s="123"/>
      <c r="Z12" s="692">
        <f t="shared" si="3"/>
        <v>0</v>
      </c>
    </row>
    <row r="13" spans="1:26" customFormat="1" ht="12.75" thickBot="1">
      <c r="A13" s="57" t="s">
        <v>1273</v>
      </c>
      <c r="B13" s="25" t="s">
        <v>411</v>
      </c>
      <c r="C13" s="25" t="s">
        <v>1122</v>
      </c>
      <c r="D13" s="98" t="s">
        <v>892</v>
      </c>
      <c r="E13" s="576"/>
      <c r="F13" s="574"/>
      <c r="G13" s="575"/>
      <c r="H13" s="575"/>
      <c r="I13" s="575"/>
      <c r="J13" s="574"/>
      <c r="K13" s="574"/>
      <c r="L13" s="575"/>
      <c r="M13" s="575"/>
      <c r="N13" s="575"/>
      <c r="O13" s="575"/>
      <c r="P13" s="574"/>
      <c r="Q13" s="574"/>
      <c r="R13" s="575"/>
      <c r="S13" s="142">
        <f t="shared" si="0"/>
        <v>0</v>
      </c>
      <c r="T13" s="142">
        <f t="shared" si="1"/>
        <v>0</v>
      </c>
      <c r="U13" s="142">
        <f t="shared" si="2"/>
        <v>0</v>
      </c>
      <c r="W13" s="601"/>
      <c r="X13" s="601"/>
      <c r="Y13" s="123"/>
      <c r="Z13" s="692">
        <f t="shared" si="3"/>
        <v>0</v>
      </c>
    </row>
    <row r="14" spans="1:26" customFormat="1" ht="12.75" thickBot="1">
      <c r="A14" s="57" t="s">
        <v>1273</v>
      </c>
      <c r="B14" s="25" t="s">
        <v>413</v>
      </c>
      <c r="C14" s="25" t="s">
        <v>454</v>
      </c>
      <c r="D14" s="98" t="s">
        <v>892</v>
      </c>
      <c r="E14" s="576"/>
      <c r="F14" s="575"/>
      <c r="G14" s="575"/>
      <c r="H14" s="575"/>
      <c r="I14" s="575"/>
      <c r="J14" s="574"/>
      <c r="K14" s="574"/>
      <c r="L14" s="575"/>
      <c r="M14" s="575"/>
      <c r="N14" s="575"/>
      <c r="O14" s="575"/>
      <c r="P14" s="574"/>
      <c r="Q14" s="574"/>
      <c r="R14" s="575"/>
      <c r="S14" s="142">
        <f t="shared" si="0"/>
        <v>0</v>
      </c>
      <c r="T14" s="142">
        <f t="shared" si="1"/>
        <v>0</v>
      </c>
      <c r="U14" s="142">
        <f t="shared" si="2"/>
        <v>0</v>
      </c>
      <c r="W14" s="601"/>
      <c r="X14" s="601"/>
      <c r="Y14" s="123"/>
      <c r="Z14" s="692">
        <f t="shared" si="3"/>
        <v>0</v>
      </c>
    </row>
    <row r="15" spans="1:26" customFormat="1" ht="12.75" thickBot="1">
      <c r="A15" s="57" t="s">
        <v>1273</v>
      </c>
      <c r="B15" s="25" t="s">
        <v>414</v>
      </c>
      <c r="C15" s="25" t="s">
        <v>445</v>
      </c>
      <c r="D15" s="25" t="s">
        <v>20</v>
      </c>
      <c r="E15" s="576">
        <v>138087722</v>
      </c>
      <c r="F15" s="575">
        <v>232110</v>
      </c>
      <c r="G15" s="575">
        <v>1843471</v>
      </c>
      <c r="H15" s="575">
        <v>3762890</v>
      </c>
      <c r="I15" s="574"/>
      <c r="J15" s="575">
        <v>164579</v>
      </c>
      <c r="K15" s="575">
        <v>4639076</v>
      </c>
      <c r="L15" s="575">
        <v>209200</v>
      </c>
      <c r="M15" s="575">
        <v>-180323</v>
      </c>
      <c r="N15" s="575"/>
      <c r="O15" s="575">
        <v>635909</v>
      </c>
      <c r="P15" s="574"/>
      <c r="Q15" s="574"/>
      <c r="R15" s="575">
        <v>11306913</v>
      </c>
      <c r="S15" s="142">
        <f t="shared" si="0"/>
        <v>5606361</v>
      </c>
      <c r="T15" s="142">
        <f t="shared" si="1"/>
        <v>4803655</v>
      </c>
      <c r="U15" s="142">
        <f t="shared" si="2"/>
        <v>635909</v>
      </c>
      <c r="W15" s="601">
        <f t="shared" ref="W15" si="6">SUM(F15:Q15)</f>
        <v>11306912</v>
      </c>
      <c r="X15" s="601">
        <f t="shared" ref="X15" si="7">W15-R15</f>
        <v>-1</v>
      </c>
      <c r="Y15" s="123"/>
      <c r="Z15" s="692">
        <f t="shared" si="3"/>
        <v>10642126</v>
      </c>
    </row>
    <row r="16" spans="1:26" ht="12.75" thickBot="1">
      <c r="A16" s="146" t="s">
        <v>1273</v>
      </c>
      <c r="B16" s="147" t="s">
        <v>415</v>
      </c>
      <c r="C16" s="147" t="s">
        <v>443</v>
      </c>
      <c r="D16" s="153" t="s">
        <v>21</v>
      </c>
      <c r="E16" s="587">
        <v>11910378</v>
      </c>
      <c r="F16" s="588">
        <v>8840</v>
      </c>
      <c r="G16" s="588">
        <v>143044</v>
      </c>
      <c r="H16" s="588">
        <v>324558</v>
      </c>
      <c r="I16" s="589"/>
      <c r="J16" s="588">
        <v>13884</v>
      </c>
      <c r="K16" s="588">
        <v>323373</v>
      </c>
      <c r="L16" s="588">
        <v>18044</v>
      </c>
      <c r="M16" s="588">
        <v>-15553</v>
      </c>
      <c r="N16" s="588"/>
      <c r="O16" s="588">
        <v>54849</v>
      </c>
      <c r="P16" s="589"/>
      <c r="Q16" s="589"/>
      <c r="R16" s="588">
        <v>871037</v>
      </c>
      <c r="S16" s="590">
        <f t="shared" si="0"/>
        <v>467602</v>
      </c>
      <c r="T16" s="590">
        <f t="shared" si="1"/>
        <v>337257</v>
      </c>
      <c r="U16" s="590">
        <f t="shared" si="2"/>
        <v>54849</v>
      </c>
      <c r="W16" s="368">
        <f t="shared" ref="W16" si="8">SUM(F16:Q16)</f>
        <v>871039</v>
      </c>
      <c r="X16" s="368">
        <f t="shared" ref="X16" si="9">W16-R16</f>
        <v>2</v>
      </c>
      <c r="Y16" s="592"/>
      <c r="Z16" s="692">
        <f t="shared" si="3"/>
        <v>813699</v>
      </c>
    </row>
    <row r="17" spans="1:26" customFormat="1" ht="12.75" thickBot="1">
      <c r="A17" s="57" t="s">
        <v>1273</v>
      </c>
      <c r="B17" s="25" t="s">
        <v>416</v>
      </c>
      <c r="C17" s="25" t="s">
        <v>446</v>
      </c>
      <c r="D17" s="69" t="s">
        <v>20</v>
      </c>
      <c r="E17" s="576"/>
      <c r="F17" s="575"/>
      <c r="G17" s="575"/>
      <c r="H17" s="575"/>
      <c r="I17" s="574"/>
      <c r="J17" s="575"/>
      <c r="K17" s="575"/>
      <c r="L17" s="575"/>
      <c r="M17" s="575"/>
      <c r="N17" s="575"/>
      <c r="O17" s="575"/>
      <c r="P17" s="574"/>
      <c r="Q17" s="574"/>
      <c r="R17" s="575"/>
      <c r="S17" s="142">
        <f t="shared" si="0"/>
        <v>0</v>
      </c>
      <c r="T17" s="142">
        <f t="shared" si="1"/>
        <v>0</v>
      </c>
      <c r="U17" s="142">
        <f t="shared" si="2"/>
        <v>0</v>
      </c>
      <c r="W17" s="601"/>
      <c r="X17" s="601"/>
      <c r="Y17" s="123"/>
      <c r="Z17" s="692">
        <f t="shared" si="3"/>
        <v>0</v>
      </c>
    </row>
    <row r="18" spans="1:26" customFormat="1" ht="12.75" thickBot="1">
      <c r="A18" s="57" t="s">
        <v>1273</v>
      </c>
      <c r="B18" s="25" t="s">
        <v>417</v>
      </c>
      <c r="C18" s="25" t="s">
        <v>932</v>
      </c>
      <c r="D18" s="69" t="s">
        <v>920</v>
      </c>
      <c r="E18" s="576">
        <v>59772744</v>
      </c>
      <c r="F18" s="575">
        <v>42000</v>
      </c>
      <c r="G18" s="575">
        <v>756125</v>
      </c>
      <c r="H18" s="575">
        <v>1628807</v>
      </c>
      <c r="I18" s="574"/>
      <c r="J18" s="575">
        <v>53572</v>
      </c>
      <c r="K18" s="575">
        <v>1566636</v>
      </c>
      <c r="L18" s="575">
        <v>90554</v>
      </c>
      <c r="M18" s="575">
        <v>-78055</v>
      </c>
      <c r="N18" s="575"/>
      <c r="O18" s="575">
        <v>275260</v>
      </c>
      <c r="P18" s="574"/>
      <c r="Q18" s="574"/>
      <c r="R18" s="575">
        <v>4334900</v>
      </c>
      <c r="S18" s="142">
        <f t="shared" si="0"/>
        <v>2384932</v>
      </c>
      <c r="T18" s="142">
        <f t="shared" si="1"/>
        <v>1620208</v>
      </c>
      <c r="U18" s="142">
        <f t="shared" si="2"/>
        <v>275260</v>
      </c>
      <c r="W18" s="601">
        <f t="shared" ref="W18:W79" si="10">SUM(F18:Q18)</f>
        <v>4334899</v>
      </c>
      <c r="X18" s="601">
        <f t="shared" ref="X18:X79" si="11">W18-R18</f>
        <v>-1</v>
      </c>
      <c r="Y18" s="123"/>
      <c r="Z18" s="692">
        <f t="shared" si="3"/>
        <v>4047140</v>
      </c>
    </row>
    <row r="19" spans="1:26" customFormat="1" ht="12.75" thickBot="1">
      <c r="A19" s="57" t="s">
        <v>1273</v>
      </c>
      <c r="B19" s="25" t="s">
        <v>418</v>
      </c>
      <c r="C19" s="25" t="s">
        <v>447</v>
      </c>
      <c r="D19" s="69" t="s">
        <v>448</v>
      </c>
      <c r="E19" s="576">
        <v>29781693</v>
      </c>
      <c r="F19" s="575">
        <v>10800</v>
      </c>
      <c r="G19" s="575">
        <v>323131</v>
      </c>
      <c r="H19" s="575">
        <v>811551</v>
      </c>
      <c r="I19" s="574"/>
      <c r="J19" s="575">
        <v>25916</v>
      </c>
      <c r="K19" s="575">
        <v>826585</v>
      </c>
      <c r="L19" s="575">
        <v>45119</v>
      </c>
      <c r="M19" s="575">
        <v>-38891</v>
      </c>
      <c r="N19" s="575"/>
      <c r="O19" s="575">
        <v>137148</v>
      </c>
      <c r="P19" s="574"/>
      <c r="Q19" s="574"/>
      <c r="R19" s="575">
        <v>2141359</v>
      </c>
      <c r="S19" s="142">
        <f t="shared" si="0"/>
        <v>1134682</v>
      </c>
      <c r="T19" s="142">
        <f t="shared" si="1"/>
        <v>852501</v>
      </c>
      <c r="U19" s="142">
        <f t="shared" si="2"/>
        <v>137148</v>
      </c>
      <c r="W19" s="601">
        <f t="shared" si="10"/>
        <v>2141359</v>
      </c>
      <c r="X19" s="601">
        <f t="shared" si="11"/>
        <v>0</v>
      </c>
      <c r="Y19" s="123"/>
      <c r="Z19" s="692">
        <f t="shared" si="3"/>
        <v>1997983</v>
      </c>
    </row>
    <row r="20" spans="1:26" customFormat="1" ht="12.75" thickBot="1">
      <c r="A20" s="57" t="s">
        <v>1273</v>
      </c>
      <c r="B20" s="25" t="s">
        <v>420</v>
      </c>
      <c r="C20" s="25" t="s">
        <v>59</v>
      </c>
      <c r="D20" s="69" t="s">
        <v>14</v>
      </c>
      <c r="E20" s="576">
        <v>83507811</v>
      </c>
      <c r="F20" s="575">
        <v>570879</v>
      </c>
      <c r="G20" s="575">
        <v>5212558</v>
      </c>
      <c r="H20" s="575">
        <v>2275588</v>
      </c>
      <c r="I20" s="575">
        <v>139458</v>
      </c>
      <c r="J20" s="574"/>
      <c r="K20" s="574"/>
      <c r="L20" s="575">
        <v>126513</v>
      </c>
      <c r="M20" s="575">
        <v>-109050</v>
      </c>
      <c r="N20" s="575"/>
      <c r="O20" s="575">
        <v>384563</v>
      </c>
      <c r="P20" s="574"/>
      <c r="Q20" s="574"/>
      <c r="R20" s="575">
        <v>8600508</v>
      </c>
      <c r="S20" s="142">
        <f t="shared" si="0"/>
        <v>7627604</v>
      </c>
      <c r="T20" s="142">
        <f t="shared" si="1"/>
        <v>0</v>
      </c>
      <c r="U20" s="142">
        <f t="shared" si="2"/>
        <v>384563</v>
      </c>
      <c r="W20" s="601">
        <f t="shared" si="10"/>
        <v>8600509</v>
      </c>
      <c r="X20" s="601">
        <f t="shared" si="11"/>
        <v>1</v>
      </c>
      <c r="Y20" s="123"/>
      <c r="Z20" s="692">
        <f t="shared" si="3"/>
        <v>8198483</v>
      </c>
    </row>
    <row r="21" spans="1:26" customFormat="1" ht="12.75" thickBot="1">
      <c r="A21" s="57" t="s">
        <v>1273</v>
      </c>
      <c r="B21" s="25" t="s">
        <v>421</v>
      </c>
      <c r="C21" s="25" t="s">
        <v>1123</v>
      </c>
      <c r="D21" s="69" t="s">
        <v>14</v>
      </c>
      <c r="E21" s="576"/>
      <c r="F21" s="574"/>
      <c r="G21" s="575"/>
      <c r="H21" s="575"/>
      <c r="I21" s="575"/>
      <c r="J21" s="574"/>
      <c r="K21" s="574"/>
      <c r="L21" s="575"/>
      <c r="M21" s="575"/>
      <c r="N21" s="575"/>
      <c r="O21" s="575"/>
      <c r="P21" s="574"/>
      <c r="Q21" s="574"/>
      <c r="R21" s="575"/>
      <c r="S21" s="142">
        <f t="shared" si="0"/>
        <v>0</v>
      </c>
      <c r="T21" s="142">
        <f t="shared" si="1"/>
        <v>0</v>
      </c>
      <c r="U21" s="142">
        <f t="shared" si="2"/>
        <v>0</v>
      </c>
      <c r="W21" s="601">
        <f t="shared" si="10"/>
        <v>0</v>
      </c>
      <c r="X21" s="601">
        <f t="shared" si="11"/>
        <v>0</v>
      </c>
      <c r="Y21" s="123"/>
      <c r="Z21" s="692">
        <f t="shared" si="3"/>
        <v>0</v>
      </c>
    </row>
    <row r="22" spans="1:26" customFormat="1" ht="12.75" thickBot="1">
      <c r="A22" s="57" t="s">
        <v>1273</v>
      </c>
      <c r="B22" s="25" t="s">
        <v>423</v>
      </c>
      <c r="C22" s="25" t="s">
        <v>452</v>
      </c>
      <c r="D22" s="69" t="s">
        <v>14</v>
      </c>
      <c r="E22" s="576"/>
      <c r="F22" s="575"/>
      <c r="G22" s="575"/>
      <c r="H22" s="575"/>
      <c r="I22" s="575"/>
      <c r="J22" s="574"/>
      <c r="K22" s="574"/>
      <c r="L22" s="575"/>
      <c r="M22" s="575"/>
      <c r="N22" s="575"/>
      <c r="O22" s="575"/>
      <c r="P22" s="574"/>
      <c r="Q22" s="574"/>
      <c r="R22" s="575"/>
      <c r="S22" s="142">
        <f t="shared" si="0"/>
        <v>0</v>
      </c>
      <c r="T22" s="142">
        <f t="shared" si="1"/>
        <v>0</v>
      </c>
      <c r="U22" s="142">
        <f t="shared" si="2"/>
        <v>0</v>
      </c>
      <c r="W22" s="601">
        <f t="shared" si="10"/>
        <v>0</v>
      </c>
      <c r="X22" s="601">
        <f t="shared" si="11"/>
        <v>0</v>
      </c>
      <c r="Y22" s="123"/>
      <c r="Z22" s="692">
        <f t="shared" si="3"/>
        <v>0</v>
      </c>
    </row>
    <row r="23" spans="1:26" customFormat="1" ht="12.75" thickBot="1">
      <c r="A23" s="57" t="s">
        <v>1273</v>
      </c>
      <c r="B23" s="25" t="s">
        <v>424</v>
      </c>
      <c r="C23" s="25" t="s">
        <v>463</v>
      </c>
      <c r="D23" s="25" t="s">
        <v>464</v>
      </c>
      <c r="E23" s="576">
        <v>5498880</v>
      </c>
      <c r="F23" s="574"/>
      <c r="G23" s="575">
        <v>53724</v>
      </c>
      <c r="H23" s="575">
        <v>149844</v>
      </c>
      <c r="I23" s="574"/>
      <c r="J23" s="575">
        <v>3447</v>
      </c>
      <c r="K23" s="575">
        <v>92982</v>
      </c>
      <c r="L23" s="575"/>
      <c r="M23" s="575">
        <v>-7181</v>
      </c>
      <c r="N23" s="575"/>
      <c r="O23" s="575">
        <v>25323</v>
      </c>
      <c r="P23" s="574"/>
      <c r="Q23" s="574"/>
      <c r="R23" s="575">
        <v>318140</v>
      </c>
      <c r="S23" s="142">
        <f t="shared" si="0"/>
        <v>203568</v>
      </c>
      <c r="T23" s="142">
        <f t="shared" si="1"/>
        <v>96429</v>
      </c>
      <c r="U23" s="142">
        <f t="shared" si="2"/>
        <v>25323</v>
      </c>
      <c r="W23" s="601">
        <f t="shared" si="10"/>
        <v>318139</v>
      </c>
      <c r="X23" s="601">
        <f t="shared" si="11"/>
        <v>-1</v>
      </c>
      <c r="Y23" s="123"/>
      <c r="Z23" s="692">
        <f t="shared" si="3"/>
        <v>299997</v>
      </c>
    </row>
    <row r="24" spans="1:26" customFormat="1" ht="12.75" thickBot="1">
      <c r="A24" s="57" t="s">
        <v>1273</v>
      </c>
      <c r="B24" s="25" t="s">
        <v>1204</v>
      </c>
      <c r="C24" s="25" t="s">
        <v>1206</v>
      </c>
      <c r="D24" s="69" t="s">
        <v>63</v>
      </c>
      <c r="E24" s="574"/>
      <c r="F24" s="574"/>
      <c r="G24" s="574"/>
      <c r="H24" s="574"/>
      <c r="I24" s="574"/>
      <c r="J24" s="574"/>
      <c r="K24" s="574"/>
      <c r="L24" s="574"/>
      <c r="M24" s="574"/>
      <c r="N24" s="574"/>
      <c r="O24" s="574"/>
      <c r="P24" s="578">
        <v>-221406</v>
      </c>
      <c r="Q24" s="574"/>
      <c r="R24" s="578">
        <v>-221406</v>
      </c>
      <c r="S24" s="142">
        <f t="shared" si="0"/>
        <v>0</v>
      </c>
      <c r="T24" s="142">
        <f t="shared" si="1"/>
        <v>0</v>
      </c>
      <c r="U24" s="142">
        <f t="shared" si="2"/>
        <v>0</v>
      </c>
      <c r="W24" s="601">
        <f t="shared" si="10"/>
        <v>-221406</v>
      </c>
      <c r="X24" s="601">
        <f t="shared" si="11"/>
        <v>0</v>
      </c>
      <c r="Y24" s="123"/>
      <c r="Z24" s="692">
        <f t="shared" si="3"/>
        <v>0</v>
      </c>
    </row>
    <row r="25" spans="1:26" customFormat="1" ht="12.75" thickBot="1">
      <c r="A25" s="57" t="s">
        <v>1273</v>
      </c>
      <c r="B25" s="25" t="s">
        <v>1204</v>
      </c>
      <c r="C25" s="25" t="s">
        <v>1206</v>
      </c>
      <c r="D25" s="69" t="s">
        <v>63</v>
      </c>
      <c r="E25" s="574"/>
      <c r="F25" s="574"/>
      <c r="G25" s="574"/>
      <c r="H25" s="574"/>
      <c r="I25" s="574"/>
      <c r="J25" s="574"/>
      <c r="K25" s="574"/>
      <c r="L25" s="574"/>
      <c r="M25" s="574"/>
      <c r="N25" s="574"/>
      <c r="O25" s="574"/>
      <c r="P25" s="575">
        <v>-65120</v>
      </c>
      <c r="Q25" s="574"/>
      <c r="R25" s="575">
        <v>-65120</v>
      </c>
      <c r="S25" s="142">
        <f t="shared" si="0"/>
        <v>0</v>
      </c>
      <c r="T25" s="142">
        <f t="shared" si="1"/>
        <v>0</v>
      </c>
      <c r="U25" s="142">
        <f t="shared" si="2"/>
        <v>0</v>
      </c>
      <c r="W25" s="601">
        <f t="shared" si="10"/>
        <v>-65120</v>
      </c>
      <c r="X25" s="601">
        <f t="shared" si="11"/>
        <v>0</v>
      </c>
      <c r="Y25" s="123"/>
      <c r="Z25" s="692">
        <f t="shared" si="3"/>
        <v>0</v>
      </c>
    </row>
    <row r="26" spans="1:26" customFormat="1" ht="12.75" thickBot="1">
      <c r="A26" s="57" t="s">
        <v>1273</v>
      </c>
      <c r="B26" s="25" t="s">
        <v>854</v>
      </c>
      <c r="C26" s="25" t="s">
        <v>855</v>
      </c>
      <c r="D26" s="69" t="s">
        <v>1125</v>
      </c>
      <c r="E26" s="574"/>
      <c r="F26" s="574"/>
      <c r="G26" s="574"/>
      <c r="H26" s="574"/>
      <c r="I26" s="574"/>
      <c r="J26" s="574"/>
      <c r="K26" s="574"/>
      <c r="L26" s="574"/>
      <c r="M26" s="574"/>
      <c r="N26" s="574"/>
      <c r="O26" s="574"/>
      <c r="P26" s="574"/>
      <c r="Q26" s="574"/>
      <c r="R26" s="574"/>
      <c r="S26" s="142">
        <f t="shared" si="0"/>
        <v>0</v>
      </c>
      <c r="T26" s="142">
        <f t="shared" si="1"/>
        <v>0</v>
      </c>
      <c r="U26" s="142">
        <f t="shared" si="2"/>
        <v>0</v>
      </c>
      <c r="W26" s="601">
        <f t="shared" si="10"/>
        <v>0</v>
      </c>
      <c r="X26" s="601">
        <f t="shared" si="11"/>
        <v>0</v>
      </c>
      <c r="Y26" s="123"/>
      <c r="Z26" s="692">
        <f t="shared" si="3"/>
        <v>0</v>
      </c>
    </row>
    <row r="27" spans="1:26" customFormat="1" ht="12.75" thickBot="1">
      <c r="A27" s="57" t="s">
        <v>1273</v>
      </c>
      <c r="B27" s="25" t="s">
        <v>426</v>
      </c>
      <c r="C27" s="25" t="s">
        <v>450</v>
      </c>
      <c r="D27" s="69" t="s">
        <v>451</v>
      </c>
      <c r="E27" s="576">
        <v>10975500</v>
      </c>
      <c r="F27" s="574"/>
      <c r="G27" s="575">
        <v>111401</v>
      </c>
      <c r="H27" s="575">
        <v>299082</v>
      </c>
      <c r="I27" s="574"/>
      <c r="J27" s="575">
        <v>6069</v>
      </c>
      <c r="K27" s="575">
        <v>191879</v>
      </c>
      <c r="L27" s="575"/>
      <c r="M27" s="575">
        <v>-14332</v>
      </c>
      <c r="N27" s="575"/>
      <c r="O27" s="575">
        <v>50543</v>
      </c>
      <c r="P27" s="574"/>
      <c r="Q27" s="574"/>
      <c r="R27" s="575">
        <v>644643</v>
      </c>
      <c r="S27" s="142">
        <f t="shared" si="0"/>
        <v>410483</v>
      </c>
      <c r="T27" s="142">
        <f t="shared" si="1"/>
        <v>197948</v>
      </c>
      <c r="U27" s="142">
        <f t="shared" si="2"/>
        <v>50543</v>
      </c>
      <c r="W27" s="601">
        <f t="shared" si="10"/>
        <v>644642</v>
      </c>
      <c r="X27" s="601">
        <f t="shared" si="11"/>
        <v>-1</v>
      </c>
      <c r="Y27" s="123"/>
      <c r="Z27" s="692">
        <f t="shared" si="3"/>
        <v>608431</v>
      </c>
    </row>
    <row r="28" spans="1:26" customFormat="1" ht="12.75" thickBot="1">
      <c r="A28" s="57" t="s">
        <v>1273</v>
      </c>
      <c r="B28" s="25" t="s">
        <v>427</v>
      </c>
      <c r="C28" s="25" t="s">
        <v>54</v>
      </c>
      <c r="D28" s="25" t="s">
        <v>15</v>
      </c>
      <c r="E28" s="576">
        <v>68664529</v>
      </c>
      <c r="F28" s="575">
        <v>9000</v>
      </c>
      <c r="G28" s="575">
        <v>607681</v>
      </c>
      <c r="H28" s="575">
        <v>1871108</v>
      </c>
      <c r="I28" s="574"/>
      <c r="J28" s="575">
        <v>43949</v>
      </c>
      <c r="K28" s="575">
        <v>1254715</v>
      </c>
      <c r="L28" s="575"/>
      <c r="M28" s="575">
        <v>-89666</v>
      </c>
      <c r="N28" s="575"/>
      <c r="O28" s="575">
        <v>316208</v>
      </c>
      <c r="P28" s="574"/>
      <c r="Q28" s="574"/>
      <c r="R28" s="575">
        <v>4012995</v>
      </c>
      <c r="S28" s="142">
        <f t="shared" si="0"/>
        <v>2478789</v>
      </c>
      <c r="T28" s="142">
        <f t="shared" si="1"/>
        <v>1298664</v>
      </c>
      <c r="U28" s="142">
        <f t="shared" si="2"/>
        <v>316208</v>
      </c>
      <c r="W28" s="601">
        <f t="shared" si="10"/>
        <v>4012995</v>
      </c>
      <c r="X28" s="601">
        <f t="shared" si="11"/>
        <v>0</v>
      </c>
      <c r="Y28" s="123"/>
      <c r="Z28" s="692">
        <f t="shared" si="3"/>
        <v>3786453</v>
      </c>
    </row>
    <row r="29" spans="1:26" customFormat="1" ht="12.75" thickBot="1">
      <c r="A29" s="57" t="s">
        <v>1273</v>
      </c>
      <c r="B29" s="25" t="s">
        <v>428</v>
      </c>
      <c r="C29" s="25" t="s">
        <v>458</v>
      </c>
      <c r="D29" s="69" t="s">
        <v>20</v>
      </c>
      <c r="E29" s="576">
        <v>19983286</v>
      </c>
      <c r="F29" s="575">
        <v>20160</v>
      </c>
      <c r="G29" s="575">
        <v>266777</v>
      </c>
      <c r="H29" s="575">
        <v>544545</v>
      </c>
      <c r="I29" s="574"/>
      <c r="J29" s="575">
        <v>30183</v>
      </c>
      <c r="K29" s="575">
        <v>850795</v>
      </c>
      <c r="L29" s="575">
        <v>30274</v>
      </c>
      <c r="M29" s="575">
        <v>-26095</v>
      </c>
      <c r="N29" s="575"/>
      <c r="O29" s="575">
        <v>92025</v>
      </c>
      <c r="P29" s="574"/>
      <c r="Q29" s="575"/>
      <c r="R29" s="575">
        <v>1808664</v>
      </c>
      <c r="S29" s="142">
        <f t="shared" si="0"/>
        <v>811322</v>
      </c>
      <c r="T29" s="142">
        <f t="shared" si="1"/>
        <v>880978</v>
      </c>
      <c r="U29" s="142">
        <f t="shared" si="2"/>
        <v>92025</v>
      </c>
      <c r="W29" s="601">
        <f t="shared" si="10"/>
        <v>1808664</v>
      </c>
      <c r="X29" s="601">
        <f t="shared" si="11"/>
        <v>0</v>
      </c>
      <c r="Y29" s="123"/>
      <c r="Z29" s="692">
        <f t="shared" si="3"/>
        <v>1712460</v>
      </c>
    </row>
    <row r="30" spans="1:26" customFormat="1" ht="12.75" thickBot="1">
      <c r="A30" s="57" t="s">
        <v>1273</v>
      </c>
      <c r="B30" s="25" t="s">
        <v>429</v>
      </c>
      <c r="C30" s="25" t="s">
        <v>457</v>
      </c>
      <c r="D30" s="153" t="s">
        <v>21</v>
      </c>
      <c r="E30" s="576">
        <v>1027007</v>
      </c>
      <c r="F30" s="575">
        <v>3570</v>
      </c>
      <c r="G30" s="575">
        <v>12334</v>
      </c>
      <c r="H30" s="575">
        <v>27986</v>
      </c>
      <c r="I30" s="574"/>
      <c r="J30" s="575">
        <v>1788</v>
      </c>
      <c r="K30" s="575">
        <v>41637</v>
      </c>
      <c r="L30" s="575">
        <v>1556</v>
      </c>
      <c r="M30" s="575">
        <v>-1341</v>
      </c>
      <c r="N30" s="575"/>
      <c r="O30" s="575">
        <v>4729</v>
      </c>
      <c r="P30" s="574"/>
      <c r="Q30" s="574"/>
      <c r="R30" s="575">
        <v>92259</v>
      </c>
      <c r="S30" s="142">
        <f t="shared" si="0"/>
        <v>40320</v>
      </c>
      <c r="T30" s="142">
        <f t="shared" si="1"/>
        <v>43425</v>
      </c>
      <c r="U30" s="142">
        <f t="shared" si="2"/>
        <v>4729</v>
      </c>
      <c r="W30" s="601">
        <f t="shared" si="10"/>
        <v>92259</v>
      </c>
      <c r="X30" s="601">
        <f t="shared" si="11"/>
        <v>0</v>
      </c>
      <c r="Y30" s="123"/>
      <c r="Z30" s="692">
        <f t="shared" si="3"/>
        <v>87315</v>
      </c>
    </row>
    <row r="31" spans="1:26" customFormat="1" ht="12.75" thickBot="1">
      <c r="A31" s="57" t="s">
        <v>1273</v>
      </c>
      <c r="B31" s="25" t="s">
        <v>430</v>
      </c>
      <c r="C31" s="25" t="s">
        <v>933</v>
      </c>
      <c r="D31" s="69" t="s">
        <v>920</v>
      </c>
      <c r="E31" s="576">
        <v>18715683</v>
      </c>
      <c r="F31" s="575">
        <v>17400</v>
      </c>
      <c r="G31" s="575">
        <v>236753</v>
      </c>
      <c r="H31" s="575">
        <v>510002</v>
      </c>
      <c r="I31" s="574"/>
      <c r="J31" s="575">
        <v>20518</v>
      </c>
      <c r="K31" s="575">
        <v>599870</v>
      </c>
      <c r="L31" s="575">
        <v>28354</v>
      </c>
      <c r="M31" s="575">
        <v>-24440</v>
      </c>
      <c r="N31" s="575"/>
      <c r="O31" s="575">
        <v>86188</v>
      </c>
      <c r="P31" s="574"/>
      <c r="Q31" s="574"/>
      <c r="R31" s="575">
        <v>1474646</v>
      </c>
      <c r="S31" s="142">
        <f t="shared" si="0"/>
        <v>746755</v>
      </c>
      <c r="T31" s="142">
        <f t="shared" si="1"/>
        <v>620388</v>
      </c>
      <c r="U31" s="142">
        <f t="shared" si="2"/>
        <v>86188</v>
      </c>
      <c r="W31" s="601">
        <f t="shared" si="10"/>
        <v>1474645</v>
      </c>
      <c r="X31" s="601">
        <f t="shared" si="11"/>
        <v>-1</v>
      </c>
      <c r="Y31" s="123"/>
      <c r="Z31" s="692">
        <f t="shared" si="3"/>
        <v>1384543</v>
      </c>
    </row>
    <row r="32" spans="1:26" customFormat="1" ht="12.75" thickBot="1">
      <c r="A32" s="57" t="s">
        <v>1273</v>
      </c>
      <c r="B32" s="25" t="s">
        <v>431</v>
      </c>
      <c r="C32" s="25" t="s">
        <v>459</v>
      </c>
      <c r="D32" s="69" t="s">
        <v>460</v>
      </c>
      <c r="E32" s="576">
        <v>129504748</v>
      </c>
      <c r="F32" s="575">
        <v>19800</v>
      </c>
      <c r="G32" s="575">
        <v>1052874</v>
      </c>
      <c r="H32" s="575">
        <v>3529004</v>
      </c>
      <c r="I32" s="574"/>
      <c r="J32" s="575">
        <v>124837</v>
      </c>
      <c r="K32" s="575">
        <v>3443099</v>
      </c>
      <c r="L32" s="575">
        <v>196197</v>
      </c>
      <c r="M32" s="575">
        <v>-169115</v>
      </c>
      <c r="N32" s="575"/>
      <c r="O32" s="575">
        <v>596383</v>
      </c>
      <c r="P32" s="574"/>
      <c r="Q32" s="574"/>
      <c r="R32" s="575">
        <v>8793079</v>
      </c>
      <c r="S32" s="142">
        <f t="shared" si="0"/>
        <v>4581878</v>
      </c>
      <c r="T32" s="142">
        <f t="shared" si="1"/>
        <v>3567936</v>
      </c>
      <c r="U32" s="142">
        <f t="shared" si="2"/>
        <v>596383</v>
      </c>
      <c r="W32" s="601">
        <f t="shared" si="10"/>
        <v>8793079</v>
      </c>
      <c r="X32" s="601">
        <f t="shared" si="11"/>
        <v>0</v>
      </c>
      <c r="Y32" s="123"/>
      <c r="Z32" s="692">
        <f t="shared" si="3"/>
        <v>8169614</v>
      </c>
    </row>
    <row r="33" spans="1:26" customFormat="1" ht="12.75" thickBot="1">
      <c r="A33" s="57" t="s">
        <v>1273</v>
      </c>
      <c r="B33" s="25" t="s">
        <v>433</v>
      </c>
      <c r="C33" s="25" t="s">
        <v>462</v>
      </c>
      <c r="D33" s="69" t="s">
        <v>17</v>
      </c>
      <c r="E33" s="576"/>
      <c r="F33" s="574"/>
      <c r="G33" s="575"/>
      <c r="H33" s="575"/>
      <c r="I33" s="575"/>
      <c r="J33" s="574"/>
      <c r="K33" s="574"/>
      <c r="L33" s="574"/>
      <c r="M33" s="575"/>
      <c r="N33" s="575"/>
      <c r="O33" s="574"/>
      <c r="P33" s="574"/>
      <c r="Q33" s="574"/>
      <c r="R33" s="575"/>
      <c r="S33" s="142">
        <f t="shared" si="0"/>
        <v>0</v>
      </c>
      <c r="T33" s="142">
        <f t="shared" si="1"/>
        <v>0</v>
      </c>
      <c r="U33" s="142">
        <f t="shared" si="2"/>
        <v>0</v>
      </c>
      <c r="W33" s="601">
        <f t="shared" si="10"/>
        <v>0</v>
      </c>
      <c r="X33" s="601">
        <f t="shared" si="11"/>
        <v>0</v>
      </c>
      <c r="Y33" s="123"/>
      <c r="Z33" s="692">
        <f t="shared" si="3"/>
        <v>0</v>
      </c>
    </row>
    <row r="34" spans="1:26" customFormat="1" ht="12.75" thickBot="1">
      <c r="A34" s="57" t="s">
        <v>1273</v>
      </c>
      <c r="B34" s="25" t="s">
        <v>434</v>
      </c>
      <c r="C34" s="25" t="s">
        <v>462</v>
      </c>
      <c r="D34" s="69" t="s">
        <v>17</v>
      </c>
      <c r="E34" s="576">
        <v>367257</v>
      </c>
      <c r="F34" s="574"/>
      <c r="G34" s="575">
        <f>ROUND(E34*0.06461,0)</f>
        <v>23728</v>
      </c>
      <c r="H34" s="575"/>
      <c r="I34" s="575"/>
      <c r="J34" s="574"/>
      <c r="K34" s="574"/>
      <c r="L34" s="574"/>
      <c r="M34" s="575">
        <f>ROUND(E34*-0.00131,0)</f>
        <v>-481</v>
      </c>
      <c r="N34" s="575">
        <f>ROUND(E34*0.00461,0)</f>
        <v>1693</v>
      </c>
      <c r="O34" s="574"/>
      <c r="P34" s="574"/>
      <c r="Q34" s="574"/>
      <c r="R34" s="575">
        <f>SUM(F34:N34)</f>
        <v>24940</v>
      </c>
      <c r="S34" s="142">
        <f t="shared" si="0"/>
        <v>23728</v>
      </c>
      <c r="T34" s="142">
        <f t="shared" si="1"/>
        <v>0</v>
      </c>
      <c r="U34" s="142">
        <f t="shared" si="2"/>
        <v>1693</v>
      </c>
      <c r="W34" s="601">
        <f t="shared" si="10"/>
        <v>24940</v>
      </c>
      <c r="X34" s="601">
        <f t="shared" si="11"/>
        <v>0</v>
      </c>
      <c r="Y34" s="123"/>
      <c r="Z34" s="692">
        <f t="shared" si="3"/>
        <v>23728</v>
      </c>
    </row>
    <row r="35" spans="1:26" customFormat="1" ht="12.75" thickBot="1">
      <c r="A35" s="57" t="s">
        <v>1273</v>
      </c>
      <c r="B35" s="25" t="s">
        <v>435</v>
      </c>
      <c r="C35" s="25" t="s">
        <v>462</v>
      </c>
      <c r="D35" s="69" t="s">
        <v>17</v>
      </c>
      <c r="E35" s="576"/>
      <c r="F35" s="574"/>
      <c r="G35" s="575"/>
      <c r="H35" s="575"/>
      <c r="I35" s="575"/>
      <c r="J35" s="574"/>
      <c r="K35" s="574"/>
      <c r="L35" s="574"/>
      <c r="M35" s="575"/>
      <c r="N35" s="575"/>
      <c r="O35" s="574"/>
      <c r="P35" s="574"/>
      <c r="Q35" s="574"/>
      <c r="R35" s="575"/>
      <c r="S35" s="142">
        <f t="shared" si="0"/>
        <v>0</v>
      </c>
      <c r="T35" s="142">
        <f t="shared" si="1"/>
        <v>0</v>
      </c>
      <c r="U35" s="142">
        <f t="shared" si="2"/>
        <v>0</v>
      </c>
      <c r="W35" s="601">
        <f t="shared" si="10"/>
        <v>0</v>
      </c>
      <c r="X35" s="601">
        <f t="shared" si="11"/>
        <v>0</v>
      </c>
      <c r="Y35" s="123"/>
      <c r="Z35" s="692">
        <f t="shared" si="3"/>
        <v>0</v>
      </c>
    </row>
    <row r="36" spans="1:26" customFormat="1" ht="12.75" thickBot="1">
      <c r="A36" s="57" t="s">
        <v>1273</v>
      </c>
      <c r="B36" s="25" t="s">
        <v>436</v>
      </c>
      <c r="C36" s="25" t="s">
        <v>55</v>
      </c>
      <c r="D36" s="69" t="s">
        <v>18</v>
      </c>
      <c r="E36" s="576">
        <v>296686</v>
      </c>
      <c r="F36" s="575">
        <f>ROUND('1022'!D28*3.25,0)</f>
        <v>2941</v>
      </c>
      <c r="G36" s="575">
        <f>ROUND(E36*0.07658,0)</f>
        <v>22720</v>
      </c>
      <c r="H36" s="575"/>
      <c r="I36" s="575"/>
      <c r="J36" s="574"/>
      <c r="K36" s="574"/>
      <c r="L36" s="574"/>
      <c r="M36" s="575">
        <f>ROUND(E36*-0.00131,0)</f>
        <v>-389</v>
      </c>
      <c r="N36" s="575">
        <f>ROUND(E36*0.00461,0)</f>
        <v>1368</v>
      </c>
      <c r="O36" s="574"/>
      <c r="P36" s="574"/>
      <c r="Q36" s="574"/>
      <c r="R36" s="575">
        <f>SUM(F36:N36)</f>
        <v>26640</v>
      </c>
      <c r="S36" s="142">
        <f t="shared" si="0"/>
        <v>22720</v>
      </c>
      <c r="T36" s="142">
        <f t="shared" si="1"/>
        <v>0</v>
      </c>
      <c r="U36" s="142">
        <f t="shared" si="2"/>
        <v>1368</v>
      </c>
      <c r="W36" s="601">
        <f t="shared" si="10"/>
        <v>26640</v>
      </c>
      <c r="X36" s="601">
        <f t="shared" si="11"/>
        <v>0</v>
      </c>
      <c r="Y36" s="123"/>
      <c r="Z36" s="692">
        <f t="shared" si="3"/>
        <v>25661</v>
      </c>
    </row>
    <row r="37" spans="1:26" customFormat="1" ht="12.75" thickBot="1">
      <c r="A37" s="57" t="s">
        <v>1273</v>
      </c>
      <c r="B37" s="25" t="s">
        <v>437</v>
      </c>
      <c r="C37" s="25" t="s">
        <v>55</v>
      </c>
      <c r="D37" s="69" t="s">
        <v>18</v>
      </c>
      <c r="E37" s="576"/>
      <c r="F37" s="575"/>
      <c r="G37" s="575"/>
      <c r="H37" s="575"/>
      <c r="I37" s="575"/>
      <c r="J37" s="574"/>
      <c r="K37" s="574"/>
      <c r="L37" s="574"/>
      <c r="M37" s="575"/>
      <c r="N37" s="575"/>
      <c r="O37" s="574"/>
      <c r="P37" s="574"/>
      <c r="Q37" s="574"/>
      <c r="R37" s="575"/>
      <c r="S37" s="142">
        <f t="shared" si="0"/>
        <v>0</v>
      </c>
      <c r="T37" s="142">
        <f t="shared" si="1"/>
        <v>0</v>
      </c>
      <c r="U37" s="142">
        <f t="shared" si="2"/>
        <v>0</v>
      </c>
      <c r="W37" s="601">
        <f t="shared" si="10"/>
        <v>0</v>
      </c>
      <c r="X37" s="601">
        <f t="shared" si="11"/>
        <v>0</v>
      </c>
      <c r="Y37" s="123"/>
      <c r="Z37" s="692">
        <f t="shared" si="3"/>
        <v>0</v>
      </c>
    </row>
    <row r="38" spans="1:26" customFormat="1" ht="12.75" thickBot="1">
      <c r="A38" s="57" t="s">
        <v>1273</v>
      </c>
      <c r="B38" s="25" t="s">
        <v>856</v>
      </c>
      <c r="C38" s="25" t="s">
        <v>857</v>
      </c>
      <c r="D38" s="69" t="s">
        <v>1125</v>
      </c>
      <c r="E38" s="574"/>
      <c r="F38" s="574"/>
      <c r="G38" s="574"/>
      <c r="H38" s="574"/>
      <c r="I38" s="574"/>
      <c r="J38" s="574"/>
      <c r="K38" s="574"/>
      <c r="L38" s="574"/>
      <c r="M38" s="574"/>
      <c r="N38" s="574"/>
      <c r="O38" s="574"/>
      <c r="P38" s="574"/>
      <c r="Q38" s="574"/>
      <c r="R38" s="574"/>
      <c r="S38" s="142">
        <f t="shared" si="0"/>
        <v>0</v>
      </c>
      <c r="T38" s="142">
        <f t="shared" si="1"/>
        <v>0</v>
      </c>
      <c r="U38" s="142">
        <f t="shared" si="2"/>
        <v>0</v>
      </c>
      <c r="W38" s="601">
        <f t="shared" si="10"/>
        <v>0</v>
      </c>
      <c r="X38" s="601">
        <f t="shared" si="11"/>
        <v>0</v>
      </c>
      <c r="Y38" s="123"/>
      <c r="Z38" s="692">
        <f t="shared" si="3"/>
        <v>0</v>
      </c>
    </row>
    <row r="39" spans="1:26" customFormat="1" ht="12.75" thickBot="1">
      <c r="A39" s="57" t="s">
        <v>1273</v>
      </c>
      <c r="B39" s="25" t="s">
        <v>438</v>
      </c>
      <c r="C39" s="25" t="s">
        <v>469</v>
      </c>
      <c r="D39" s="69" t="s">
        <v>13</v>
      </c>
      <c r="E39" s="576"/>
      <c r="F39" s="574"/>
      <c r="G39" s="575"/>
      <c r="H39" s="575"/>
      <c r="I39" s="575"/>
      <c r="J39" s="574"/>
      <c r="K39" s="574"/>
      <c r="L39" s="575"/>
      <c r="M39" s="575"/>
      <c r="N39" s="575"/>
      <c r="O39" s="574"/>
      <c r="P39" s="574"/>
      <c r="Q39" s="575"/>
      <c r="R39" s="575"/>
      <c r="S39" s="142">
        <f t="shared" si="0"/>
        <v>0</v>
      </c>
      <c r="T39" s="142">
        <f t="shared" si="1"/>
        <v>0</v>
      </c>
      <c r="U39" s="142">
        <f t="shared" si="2"/>
        <v>0</v>
      </c>
      <c r="W39" s="601">
        <f t="shared" si="10"/>
        <v>0</v>
      </c>
      <c r="X39" s="601">
        <f t="shared" si="11"/>
        <v>0</v>
      </c>
      <c r="Y39" s="123"/>
      <c r="Z39" s="692">
        <f t="shared" si="3"/>
        <v>0</v>
      </c>
    </row>
    <row r="40" spans="1:26" customFormat="1" ht="12.75" thickBot="1">
      <c r="A40" s="57" t="s">
        <v>1273</v>
      </c>
      <c r="B40" s="25" t="s">
        <v>439</v>
      </c>
      <c r="C40" s="25" t="s">
        <v>466</v>
      </c>
      <c r="D40" s="69" t="s">
        <v>13</v>
      </c>
      <c r="E40" s="576">
        <v>379463319</v>
      </c>
      <c r="F40" s="575">
        <v>3860927</v>
      </c>
      <c r="G40" s="575">
        <v>19796601</v>
      </c>
      <c r="H40" s="575">
        <v>10340375</v>
      </c>
      <c r="I40" s="575">
        <v>508481</v>
      </c>
      <c r="J40" s="574"/>
      <c r="K40" s="574"/>
      <c r="L40" s="575">
        <v>574879</v>
      </c>
      <c r="M40" s="575">
        <v>-495527</v>
      </c>
      <c r="N40" s="575">
        <v>1747470</v>
      </c>
      <c r="O40" s="574"/>
      <c r="P40" s="574"/>
      <c r="Q40" s="575"/>
      <c r="R40" s="575">
        <v>36333207</v>
      </c>
      <c r="S40" s="142">
        <f t="shared" si="0"/>
        <v>30645457</v>
      </c>
      <c r="T40" s="142">
        <f t="shared" si="1"/>
        <v>0</v>
      </c>
      <c r="U40" s="142">
        <f t="shared" si="2"/>
        <v>1747470</v>
      </c>
      <c r="W40" s="601">
        <f t="shared" si="10"/>
        <v>36333206</v>
      </c>
      <c r="X40" s="601">
        <f t="shared" si="11"/>
        <v>-1</v>
      </c>
      <c r="Y40" s="123"/>
      <c r="Z40" s="692">
        <f t="shared" si="3"/>
        <v>34506384</v>
      </c>
    </row>
    <row r="41" spans="1:26" customFormat="1" ht="12.75" thickBot="1">
      <c r="A41" s="57" t="s">
        <v>1273</v>
      </c>
      <c r="B41" s="25" t="s">
        <v>440</v>
      </c>
      <c r="C41" s="25" t="s">
        <v>467</v>
      </c>
      <c r="D41" s="69" t="s">
        <v>13</v>
      </c>
      <c r="E41" s="576"/>
      <c r="F41" s="575"/>
      <c r="G41" s="575"/>
      <c r="H41" s="575"/>
      <c r="I41" s="575"/>
      <c r="J41" s="574"/>
      <c r="K41" s="574"/>
      <c r="L41" s="575"/>
      <c r="M41" s="575"/>
      <c r="N41" s="575"/>
      <c r="O41" s="574"/>
      <c r="P41" s="574"/>
      <c r="Q41" s="575"/>
      <c r="R41" s="575"/>
      <c r="S41" s="142">
        <f t="shared" si="0"/>
        <v>0</v>
      </c>
      <c r="T41" s="142">
        <f t="shared" si="1"/>
        <v>0</v>
      </c>
      <c r="U41" s="142">
        <f t="shared" si="2"/>
        <v>0</v>
      </c>
      <c r="W41" s="601">
        <f t="shared" si="10"/>
        <v>0</v>
      </c>
      <c r="X41" s="601">
        <f t="shared" si="11"/>
        <v>0</v>
      </c>
      <c r="Y41" s="123"/>
      <c r="Z41" s="692">
        <f t="shared" si="3"/>
        <v>0</v>
      </c>
    </row>
    <row r="42" spans="1:26" customFormat="1" ht="12.75" thickBot="1">
      <c r="A42" s="57" t="s">
        <v>1273</v>
      </c>
      <c r="B42" s="25" t="s">
        <v>441</v>
      </c>
      <c r="C42" s="25" t="s">
        <v>468</v>
      </c>
      <c r="D42" s="69" t="s">
        <v>13</v>
      </c>
      <c r="E42" s="576"/>
      <c r="F42" s="575"/>
      <c r="G42" s="575"/>
      <c r="H42" s="575"/>
      <c r="I42" s="575"/>
      <c r="J42" s="574"/>
      <c r="K42" s="574"/>
      <c r="L42" s="575"/>
      <c r="M42" s="575"/>
      <c r="N42" s="575"/>
      <c r="O42" s="574"/>
      <c r="P42" s="574"/>
      <c r="Q42" s="575"/>
      <c r="R42" s="575"/>
      <c r="S42" s="142">
        <f t="shared" si="0"/>
        <v>0</v>
      </c>
      <c r="T42" s="142">
        <f t="shared" si="1"/>
        <v>0</v>
      </c>
      <c r="U42" s="142">
        <f t="shared" si="2"/>
        <v>0</v>
      </c>
      <c r="W42" s="601">
        <f t="shared" si="10"/>
        <v>0</v>
      </c>
      <c r="X42" s="601">
        <f t="shared" si="11"/>
        <v>0</v>
      </c>
      <c r="Y42" s="123"/>
      <c r="Z42" s="692">
        <f t="shared" si="3"/>
        <v>0</v>
      </c>
    </row>
    <row r="43" spans="1:26" customFormat="1" ht="12.75" thickBot="1">
      <c r="A43" s="57" t="s">
        <v>1273</v>
      </c>
      <c r="B43" s="25" t="s">
        <v>755</v>
      </c>
      <c r="C43" s="25" t="s">
        <v>1124</v>
      </c>
      <c r="D43" s="69" t="s">
        <v>680</v>
      </c>
      <c r="E43" s="576"/>
      <c r="F43" s="575"/>
      <c r="G43" s="575"/>
      <c r="H43" s="575"/>
      <c r="I43" s="575"/>
      <c r="J43" s="574"/>
      <c r="K43" s="574"/>
      <c r="L43" s="575"/>
      <c r="M43" s="575"/>
      <c r="N43" s="575"/>
      <c r="O43" s="574"/>
      <c r="P43" s="574"/>
      <c r="Q43" s="574"/>
      <c r="R43" s="575"/>
      <c r="S43" s="142">
        <f t="shared" si="0"/>
        <v>0</v>
      </c>
      <c r="T43" s="142">
        <f t="shared" si="1"/>
        <v>0</v>
      </c>
      <c r="U43" s="142">
        <f t="shared" si="2"/>
        <v>0</v>
      </c>
      <c r="W43" s="601">
        <f t="shared" si="10"/>
        <v>0</v>
      </c>
      <c r="X43" s="601">
        <f t="shared" si="11"/>
        <v>0</v>
      </c>
      <c r="Y43" s="123"/>
      <c r="Z43" s="692">
        <f t="shared" si="3"/>
        <v>0</v>
      </c>
    </row>
    <row r="44" spans="1:26" customFormat="1" ht="12.75" thickBot="1">
      <c r="A44" s="57" t="s">
        <v>1273</v>
      </c>
      <c r="B44" s="25" t="s">
        <v>1208</v>
      </c>
      <c r="C44" s="25" t="s">
        <v>1211</v>
      </c>
      <c r="D44" s="69" t="s">
        <v>680</v>
      </c>
      <c r="E44" s="576"/>
      <c r="F44" s="575"/>
      <c r="G44" s="575"/>
      <c r="H44" s="575"/>
      <c r="I44" s="575"/>
      <c r="J44" s="574"/>
      <c r="K44" s="574"/>
      <c r="L44" s="575"/>
      <c r="M44" s="575"/>
      <c r="N44" s="575"/>
      <c r="O44" s="574"/>
      <c r="P44" s="574"/>
      <c r="Q44" s="574"/>
      <c r="R44" s="575"/>
      <c r="S44" s="142">
        <f t="shared" si="0"/>
        <v>0</v>
      </c>
      <c r="T44" s="142">
        <f t="shared" si="1"/>
        <v>0</v>
      </c>
      <c r="U44" s="142">
        <f t="shared" si="2"/>
        <v>0</v>
      </c>
      <c r="W44" s="601">
        <f t="shared" si="10"/>
        <v>0</v>
      </c>
      <c r="X44" s="601">
        <f t="shared" si="11"/>
        <v>0</v>
      </c>
      <c r="Y44" s="123"/>
      <c r="Z44" s="692">
        <f t="shared" si="3"/>
        <v>0</v>
      </c>
    </row>
    <row r="45" spans="1:26" customFormat="1" ht="12.75" thickBot="1">
      <c r="A45" s="57" t="s">
        <v>1273</v>
      </c>
      <c r="B45" s="25" t="s">
        <v>401</v>
      </c>
      <c r="C45" s="25" t="s">
        <v>402</v>
      </c>
      <c r="D45" s="69" t="s">
        <v>1125</v>
      </c>
      <c r="E45" s="574"/>
      <c r="F45" s="574"/>
      <c r="G45" s="574"/>
      <c r="H45" s="574"/>
      <c r="I45" s="574"/>
      <c r="J45" s="574"/>
      <c r="K45" s="574"/>
      <c r="L45" s="574"/>
      <c r="M45" s="574"/>
      <c r="N45" s="574"/>
      <c r="O45" s="574"/>
      <c r="P45" s="574"/>
      <c r="Q45" s="574"/>
      <c r="R45" s="574"/>
      <c r="S45" s="142">
        <f t="shared" si="0"/>
        <v>0</v>
      </c>
      <c r="T45" s="142">
        <f t="shared" si="1"/>
        <v>0</v>
      </c>
      <c r="U45" s="142">
        <f t="shared" si="2"/>
        <v>0</v>
      </c>
      <c r="W45" s="601">
        <f t="shared" si="10"/>
        <v>0</v>
      </c>
      <c r="X45" s="601">
        <f t="shared" si="11"/>
        <v>0</v>
      </c>
      <c r="Y45" s="123"/>
      <c r="Z45" s="692">
        <f t="shared" si="3"/>
        <v>0</v>
      </c>
    </row>
    <row r="46" spans="1:26" customFormat="1" ht="12.75" thickBot="1">
      <c r="A46" s="57" t="s">
        <v>1273</v>
      </c>
      <c r="B46" s="25" t="s">
        <v>379</v>
      </c>
      <c r="C46" s="25" t="s">
        <v>934</v>
      </c>
      <c r="D46" s="235" t="s">
        <v>498</v>
      </c>
      <c r="E46" s="576"/>
      <c r="F46" s="574"/>
      <c r="G46" s="575"/>
      <c r="H46" s="574"/>
      <c r="I46" s="574"/>
      <c r="J46" s="574"/>
      <c r="K46" s="574"/>
      <c r="L46" s="574"/>
      <c r="M46" s="575"/>
      <c r="N46" s="575"/>
      <c r="O46" s="574"/>
      <c r="P46" s="574"/>
      <c r="Q46" s="575"/>
      <c r="R46" s="575"/>
      <c r="S46" s="142">
        <f t="shared" si="0"/>
        <v>0</v>
      </c>
      <c r="T46" s="142">
        <f t="shared" si="1"/>
        <v>0</v>
      </c>
      <c r="U46" s="142">
        <f t="shared" si="2"/>
        <v>0</v>
      </c>
      <c r="W46" s="601">
        <f t="shared" si="10"/>
        <v>0</v>
      </c>
      <c r="X46" s="601">
        <f t="shared" si="11"/>
        <v>0</v>
      </c>
      <c r="Y46" s="123"/>
      <c r="Z46" s="692">
        <f t="shared" si="3"/>
        <v>0</v>
      </c>
    </row>
    <row r="47" spans="1:26" customFormat="1" ht="12.75" thickBot="1">
      <c r="A47" s="57" t="s">
        <v>1273</v>
      </c>
      <c r="B47" s="25" t="s">
        <v>241</v>
      </c>
      <c r="C47" s="25" t="s">
        <v>935</v>
      </c>
      <c r="D47" s="235" t="s">
        <v>498</v>
      </c>
      <c r="E47" s="576"/>
      <c r="F47" s="574"/>
      <c r="G47" s="575"/>
      <c r="H47" s="574"/>
      <c r="I47" s="574"/>
      <c r="J47" s="574"/>
      <c r="K47" s="574"/>
      <c r="L47" s="574"/>
      <c r="M47" s="575"/>
      <c r="N47" s="575"/>
      <c r="O47" s="574"/>
      <c r="P47" s="574"/>
      <c r="Q47" s="575"/>
      <c r="R47" s="575"/>
      <c r="S47" s="142">
        <f t="shared" si="0"/>
        <v>0</v>
      </c>
      <c r="T47" s="142">
        <f t="shared" si="1"/>
        <v>0</v>
      </c>
      <c r="U47" s="142">
        <f t="shared" si="2"/>
        <v>0</v>
      </c>
      <c r="W47" s="601">
        <f t="shared" si="10"/>
        <v>0</v>
      </c>
      <c r="X47" s="601">
        <f t="shared" si="11"/>
        <v>0</v>
      </c>
      <c r="Y47" s="123"/>
      <c r="Z47" s="692">
        <f t="shared" si="3"/>
        <v>0</v>
      </c>
    </row>
    <row r="48" spans="1:26" customFormat="1" ht="12.75" thickBot="1">
      <c r="A48" s="57" t="s">
        <v>1273</v>
      </c>
      <c r="B48" s="25" t="s">
        <v>242</v>
      </c>
      <c r="C48" s="25" t="s">
        <v>936</v>
      </c>
      <c r="D48" s="235" t="s">
        <v>498</v>
      </c>
      <c r="E48" s="576"/>
      <c r="F48" s="574"/>
      <c r="G48" s="575"/>
      <c r="H48" s="574"/>
      <c r="I48" s="574"/>
      <c r="J48" s="574"/>
      <c r="K48" s="574"/>
      <c r="L48" s="574"/>
      <c r="M48" s="575"/>
      <c r="N48" s="575"/>
      <c r="O48" s="574"/>
      <c r="P48" s="574"/>
      <c r="Q48" s="575"/>
      <c r="R48" s="575"/>
      <c r="S48" s="142">
        <f t="shared" si="0"/>
        <v>0</v>
      </c>
      <c r="T48" s="142">
        <f t="shared" si="1"/>
        <v>0</v>
      </c>
      <c r="U48" s="142">
        <f t="shared" si="2"/>
        <v>0</v>
      </c>
      <c r="W48" s="601">
        <f t="shared" si="10"/>
        <v>0</v>
      </c>
      <c r="X48" s="601">
        <f t="shared" si="11"/>
        <v>0</v>
      </c>
      <c r="Y48" s="123"/>
      <c r="Z48" s="692">
        <f t="shared" si="3"/>
        <v>0</v>
      </c>
    </row>
    <row r="49" spans="1:26" customFormat="1" ht="12.75" thickBot="1">
      <c r="A49" s="57" t="s">
        <v>1273</v>
      </c>
      <c r="B49" s="25" t="s">
        <v>243</v>
      </c>
      <c r="C49" s="25" t="s">
        <v>937</v>
      </c>
      <c r="D49" s="235" t="s">
        <v>498</v>
      </c>
      <c r="E49" s="576"/>
      <c r="F49" s="574"/>
      <c r="G49" s="575"/>
      <c r="H49" s="574"/>
      <c r="I49" s="574"/>
      <c r="J49" s="574"/>
      <c r="K49" s="574"/>
      <c r="L49" s="574"/>
      <c r="M49" s="575"/>
      <c r="N49" s="575"/>
      <c r="O49" s="574"/>
      <c r="P49" s="574"/>
      <c r="Q49" s="575"/>
      <c r="R49" s="575"/>
      <c r="S49" s="142">
        <f t="shared" si="0"/>
        <v>0</v>
      </c>
      <c r="T49" s="142">
        <f t="shared" si="1"/>
        <v>0</v>
      </c>
      <c r="U49" s="142">
        <f t="shared" si="2"/>
        <v>0</v>
      </c>
      <c r="W49" s="601">
        <f t="shared" si="10"/>
        <v>0</v>
      </c>
      <c r="X49" s="601">
        <f t="shared" si="11"/>
        <v>0</v>
      </c>
      <c r="Y49" s="123"/>
      <c r="Z49" s="692">
        <f t="shared" si="3"/>
        <v>0</v>
      </c>
    </row>
    <row r="50" spans="1:26" customFormat="1" ht="12.75" thickBot="1">
      <c r="A50" s="57" t="s">
        <v>1273</v>
      </c>
      <c r="B50" s="25" t="s">
        <v>244</v>
      </c>
      <c r="C50" s="25" t="s">
        <v>938</v>
      </c>
      <c r="D50" s="235" t="s">
        <v>498</v>
      </c>
      <c r="E50" s="576"/>
      <c r="F50" s="574"/>
      <c r="G50" s="575"/>
      <c r="H50" s="574"/>
      <c r="I50" s="574"/>
      <c r="J50" s="574"/>
      <c r="K50" s="574"/>
      <c r="L50" s="574"/>
      <c r="M50" s="575"/>
      <c r="N50" s="575"/>
      <c r="O50" s="574"/>
      <c r="P50" s="574"/>
      <c r="Q50" s="575"/>
      <c r="R50" s="575"/>
      <c r="S50" s="142">
        <f t="shared" si="0"/>
        <v>0</v>
      </c>
      <c r="T50" s="142">
        <f t="shared" si="1"/>
        <v>0</v>
      </c>
      <c r="U50" s="142">
        <f t="shared" si="2"/>
        <v>0</v>
      </c>
      <c r="W50" s="601">
        <f t="shared" si="10"/>
        <v>0</v>
      </c>
      <c r="X50" s="601">
        <f t="shared" si="11"/>
        <v>0</v>
      </c>
      <c r="Y50" s="123"/>
      <c r="Z50" s="692">
        <f t="shared" si="3"/>
        <v>0</v>
      </c>
    </row>
    <row r="51" spans="1:26" customFormat="1" ht="12.75" thickBot="1">
      <c r="A51" s="57" t="s">
        <v>1273</v>
      </c>
      <c r="B51" s="25" t="s">
        <v>245</v>
      </c>
      <c r="C51" s="25" t="s">
        <v>939</v>
      </c>
      <c r="D51" s="235" t="s">
        <v>498</v>
      </c>
      <c r="E51" s="576"/>
      <c r="F51" s="574"/>
      <c r="G51" s="575"/>
      <c r="H51" s="574"/>
      <c r="I51" s="574"/>
      <c r="J51" s="574"/>
      <c r="K51" s="574"/>
      <c r="L51" s="574"/>
      <c r="M51" s="575"/>
      <c r="N51" s="575"/>
      <c r="O51" s="574"/>
      <c r="P51" s="574"/>
      <c r="Q51" s="575"/>
      <c r="R51" s="575"/>
      <c r="S51" s="142">
        <f t="shared" si="0"/>
        <v>0</v>
      </c>
      <c r="T51" s="142">
        <f t="shared" si="1"/>
        <v>0</v>
      </c>
      <c r="U51" s="142">
        <f t="shared" si="2"/>
        <v>0</v>
      </c>
      <c r="W51" s="601">
        <f t="shared" si="10"/>
        <v>0</v>
      </c>
      <c r="X51" s="601">
        <f t="shared" si="11"/>
        <v>0</v>
      </c>
      <c r="Y51" s="123"/>
      <c r="Z51" s="692">
        <f t="shared" si="3"/>
        <v>0</v>
      </c>
    </row>
    <row r="52" spans="1:26" customFormat="1" ht="12.75" thickBot="1">
      <c r="A52" s="57" t="s">
        <v>1273</v>
      </c>
      <c r="B52" s="25" t="s">
        <v>381</v>
      </c>
      <c r="C52" s="25" t="s">
        <v>940</v>
      </c>
      <c r="D52" s="235" t="s">
        <v>498</v>
      </c>
      <c r="E52" s="576"/>
      <c r="F52" s="574"/>
      <c r="G52" s="575"/>
      <c r="H52" s="574"/>
      <c r="I52" s="574"/>
      <c r="J52" s="574"/>
      <c r="K52" s="574"/>
      <c r="L52" s="574"/>
      <c r="M52" s="575"/>
      <c r="N52" s="575"/>
      <c r="O52" s="574"/>
      <c r="P52" s="574"/>
      <c r="Q52" s="575"/>
      <c r="R52" s="575"/>
      <c r="S52" s="142">
        <f t="shared" si="0"/>
        <v>0</v>
      </c>
      <c r="T52" s="142">
        <f t="shared" si="1"/>
        <v>0</v>
      </c>
      <c r="U52" s="142">
        <f t="shared" si="2"/>
        <v>0</v>
      </c>
      <c r="W52" s="601">
        <f t="shared" si="10"/>
        <v>0</v>
      </c>
      <c r="X52" s="601">
        <f t="shared" si="11"/>
        <v>0</v>
      </c>
      <c r="Y52" s="123"/>
      <c r="Z52" s="692">
        <f t="shared" si="3"/>
        <v>0</v>
      </c>
    </row>
    <row r="53" spans="1:26" customFormat="1" ht="12.75" thickBot="1">
      <c r="A53" s="57" t="s">
        <v>1273</v>
      </c>
      <c r="B53" s="25" t="s">
        <v>246</v>
      </c>
      <c r="C53" s="25" t="s">
        <v>941</v>
      </c>
      <c r="D53" s="235" t="s">
        <v>498</v>
      </c>
      <c r="E53" s="576"/>
      <c r="F53" s="574"/>
      <c r="G53" s="575"/>
      <c r="H53" s="574"/>
      <c r="I53" s="574"/>
      <c r="J53" s="574"/>
      <c r="K53" s="574"/>
      <c r="L53" s="574"/>
      <c r="M53" s="575"/>
      <c r="N53" s="575"/>
      <c r="O53" s="574"/>
      <c r="P53" s="574"/>
      <c r="Q53" s="575"/>
      <c r="R53" s="575"/>
      <c r="S53" s="142">
        <f t="shared" si="0"/>
        <v>0</v>
      </c>
      <c r="T53" s="142">
        <f t="shared" si="1"/>
        <v>0</v>
      </c>
      <c r="U53" s="142">
        <f t="shared" si="2"/>
        <v>0</v>
      </c>
      <c r="W53" s="601">
        <f t="shared" si="10"/>
        <v>0</v>
      </c>
      <c r="X53" s="601">
        <f t="shared" si="11"/>
        <v>0</v>
      </c>
      <c r="Y53" s="123"/>
      <c r="Z53" s="692">
        <f t="shared" si="3"/>
        <v>0</v>
      </c>
    </row>
    <row r="54" spans="1:26" customFormat="1" ht="12.75" thickBot="1">
      <c r="A54" s="57" t="s">
        <v>1273</v>
      </c>
      <c r="B54" s="25" t="s">
        <v>252</v>
      </c>
      <c r="C54" s="25" t="s">
        <v>942</v>
      </c>
      <c r="D54" s="235" t="s">
        <v>498</v>
      </c>
      <c r="E54" s="576"/>
      <c r="F54" s="574"/>
      <c r="G54" s="575"/>
      <c r="H54" s="574"/>
      <c r="I54" s="574"/>
      <c r="J54" s="574"/>
      <c r="K54" s="574"/>
      <c r="L54" s="574"/>
      <c r="M54" s="575"/>
      <c r="N54" s="575"/>
      <c r="O54" s="574"/>
      <c r="P54" s="574"/>
      <c r="Q54" s="575"/>
      <c r="R54" s="575"/>
      <c r="S54" s="142">
        <f t="shared" si="0"/>
        <v>0</v>
      </c>
      <c r="T54" s="142">
        <f t="shared" si="1"/>
        <v>0</v>
      </c>
      <c r="U54" s="142">
        <f t="shared" si="2"/>
        <v>0</v>
      </c>
      <c r="W54" s="601">
        <f t="shared" si="10"/>
        <v>0</v>
      </c>
      <c r="X54" s="601">
        <f t="shared" si="11"/>
        <v>0</v>
      </c>
      <c r="Y54" s="123"/>
      <c r="Z54" s="692">
        <f t="shared" si="3"/>
        <v>0</v>
      </c>
    </row>
    <row r="55" spans="1:26" customFormat="1" ht="12.75" thickBot="1">
      <c r="A55" s="57" t="s">
        <v>1273</v>
      </c>
      <c r="B55" s="25" t="s">
        <v>263</v>
      </c>
      <c r="C55" s="25" t="s">
        <v>943</v>
      </c>
      <c r="D55" s="235" t="s">
        <v>498</v>
      </c>
      <c r="E55" s="576"/>
      <c r="F55" s="574"/>
      <c r="G55" s="575"/>
      <c r="H55" s="574"/>
      <c r="I55" s="574"/>
      <c r="J55" s="574"/>
      <c r="K55" s="574"/>
      <c r="L55" s="574"/>
      <c r="M55" s="575"/>
      <c r="N55" s="575"/>
      <c r="O55" s="574"/>
      <c r="P55" s="574"/>
      <c r="Q55" s="575"/>
      <c r="R55" s="575"/>
      <c r="S55" s="142">
        <f t="shared" si="0"/>
        <v>0</v>
      </c>
      <c r="T55" s="142">
        <f t="shared" si="1"/>
        <v>0</v>
      </c>
      <c r="U55" s="142">
        <f t="shared" si="2"/>
        <v>0</v>
      </c>
      <c r="W55" s="601">
        <f t="shared" si="10"/>
        <v>0</v>
      </c>
      <c r="X55" s="601">
        <f t="shared" si="11"/>
        <v>0</v>
      </c>
      <c r="Y55" s="123"/>
      <c r="Z55" s="692">
        <f t="shared" si="3"/>
        <v>0</v>
      </c>
    </row>
    <row r="56" spans="1:26" customFormat="1" ht="12.75" thickBot="1">
      <c r="A56" s="57" t="s">
        <v>1273</v>
      </c>
      <c r="B56" s="25" t="s">
        <v>264</v>
      </c>
      <c r="C56" s="25" t="s">
        <v>944</v>
      </c>
      <c r="D56" s="235" t="s">
        <v>498</v>
      </c>
      <c r="E56" s="576"/>
      <c r="F56" s="574"/>
      <c r="G56" s="575"/>
      <c r="H56" s="574"/>
      <c r="I56" s="574"/>
      <c r="J56" s="574"/>
      <c r="K56" s="574"/>
      <c r="L56" s="574"/>
      <c r="M56" s="575"/>
      <c r="N56" s="575"/>
      <c r="O56" s="574"/>
      <c r="P56" s="574"/>
      <c r="Q56" s="575"/>
      <c r="R56" s="575"/>
      <c r="S56" s="142">
        <f t="shared" si="0"/>
        <v>0</v>
      </c>
      <c r="T56" s="142">
        <f t="shared" si="1"/>
        <v>0</v>
      </c>
      <c r="U56" s="142">
        <f t="shared" si="2"/>
        <v>0</v>
      </c>
      <c r="W56" s="601">
        <f t="shared" si="10"/>
        <v>0</v>
      </c>
      <c r="X56" s="601">
        <f t="shared" si="11"/>
        <v>0</v>
      </c>
      <c r="Y56" s="123"/>
      <c r="Z56" s="692">
        <f t="shared" si="3"/>
        <v>0</v>
      </c>
    </row>
    <row r="57" spans="1:26" customFormat="1" ht="12.75" thickBot="1">
      <c r="A57" s="57" t="s">
        <v>1273</v>
      </c>
      <c r="B57" s="25" t="s">
        <v>267</v>
      </c>
      <c r="C57" s="25" t="s">
        <v>945</v>
      </c>
      <c r="D57" s="235" t="s">
        <v>498</v>
      </c>
      <c r="E57" s="576"/>
      <c r="F57" s="574"/>
      <c r="G57" s="575"/>
      <c r="H57" s="574"/>
      <c r="I57" s="574"/>
      <c r="J57" s="574"/>
      <c r="K57" s="574"/>
      <c r="L57" s="574"/>
      <c r="M57" s="575"/>
      <c r="N57" s="575"/>
      <c r="O57" s="574"/>
      <c r="P57" s="574"/>
      <c r="Q57" s="575"/>
      <c r="R57" s="575"/>
      <c r="S57" s="142">
        <f t="shared" si="0"/>
        <v>0</v>
      </c>
      <c r="T57" s="142">
        <f t="shared" si="1"/>
        <v>0</v>
      </c>
      <c r="U57" s="142">
        <f t="shared" si="2"/>
        <v>0</v>
      </c>
      <c r="W57" s="601">
        <f t="shared" si="10"/>
        <v>0</v>
      </c>
      <c r="X57" s="601">
        <f t="shared" si="11"/>
        <v>0</v>
      </c>
      <c r="Y57" s="123"/>
      <c r="Z57" s="692">
        <f t="shared" si="3"/>
        <v>0</v>
      </c>
    </row>
    <row r="58" spans="1:26" customFormat="1" ht="12.75" thickBot="1">
      <c r="A58" s="57" t="s">
        <v>1273</v>
      </c>
      <c r="B58" s="25" t="s">
        <v>392</v>
      </c>
      <c r="C58" s="25" t="s">
        <v>946</v>
      </c>
      <c r="D58" s="235" t="s">
        <v>498</v>
      </c>
      <c r="E58" s="576"/>
      <c r="F58" s="574"/>
      <c r="G58" s="575"/>
      <c r="H58" s="574"/>
      <c r="I58" s="574"/>
      <c r="J58" s="574"/>
      <c r="K58" s="574"/>
      <c r="L58" s="574"/>
      <c r="M58" s="575"/>
      <c r="N58" s="575"/>
      <c r="O58" s="574"/>
      <c r="P58" s="574"/>
      <c r="Q58" s="575"/>
      <c r="R58" s="575"/>
      <c r="S58" s="142">
        <f t="shared" si="0"/>
        <v>0</v>
      </c>
      <c r="T58" s="142">
        <f t="shared" si="1"/>
        <v>0</v>
      </c>
      <c r="U58" s="142">
        <f t="shared" si="2"/>
        <v>0</v>
      </c>
      <c r="W58" s="601">
        <f t="shared" si="10"/>
        <v>0</v>
      </c>
      <c r="X58" s="601">
        <f t="shared" si="11"/>
        <v>0</v>
      </c>
      <c r="Y58" s="123"/>
      <c r="Z58" s="692">
        <f t="shared" si="3"/>
        <v>0</v>
      </c>
    </row>
    <row r="59" spans="1:26" customFormat="1" ht="12.75" thickBot="1">
      <c r="A59" s="57" t="s">
        <v>1273</v>
      </c>
      <c r="B59" s="25" t="s">
        <v>268</v>
      </c>
      <c r="C59" s="25" t="s">
        <v>947</v>
      </c>
      <c r="D59" s="235" t="s">
        <v>498</v>
      </c>
      <c r="E59" s="576"/>
      <c r="F59" s="574"/>
      <c r="G59" s="575"/>
      <c r="H59" s="574"/>
      <c r="I59" s="574"/>
      <c r="J59" s="574"/>
      <c r="K59" s="574"/>
      <c r="L59" s="574"/>
      <c r="M59" s="575"/>
      <c r="N59" s="575"/>
      <c r="O59" s="574"/>
      <c r="P59" s="574"/>
      <c r="Q59" s="575"/>
      <c r="R59" s="575"/>
      <c r="S59" s="142">
        <f t="shared" si="0"/>
        <v>0</v>
      </c>
      <c r="T59" s="142">
        <f t="shared" si="1"/>
        <v>0</v>
      </c>
      <c r="U59" s="142">
        <f t="shared" si="2"/>
        <v>0</v>
      </c>
      <c r="W59" s="601">
        <f t="shared" si="10"/>
        <v>0</v>
      </c>
      <c r="X59" s="601">
        <f t="shared" si="11"/>
        <v>0</v>
      </c>
      <c r="Y59" s="123"/>
      <c r="Z59" s="692">
        <f t="shared" si="3"/>
        <v>0</v>
      </c>
    </row>
    <row r="60" spans="1:26" customFormat="1" ht="12.75" thickBot="1">
      <c r="A60" s="57" t="s">
        <v>1273</v>
      </c>
      <c r="B60" s="25" t="s">
        <v>269</v>
      </c>
      <c r="C60" s="25" t="s">
        <v>948</v>
      </c>
      <c r="D60" s="235" t="s">
        <v>498</v>
      </c>
      <c r="E60" s="576"/>
      <c r="F60" s="574"/>
      <c r="G60" s="575"/>
      <c r="H60" s="574"/>
      <c r="I60" s="574"/>
      <c r="J60" s="574"/>
      <c r="K60" s="574"/>
      <c r="L60" s="574"/>
      <c r="M60" s="575"/>
      <c r="N60" s="575"/>
      <c r="O60" s="574"/>
      <c r="P60" s="574"/>
      <c r="Q60" s="575"/>
      <c r="R60" s="575"/>
      <c r="S60" s="142">
        <f t="shared" si="0"/>
        <v>0</v>
      </c>
      <c r="T60" s="142">
        <f t="shared" si="1"/>
        <v>0</v>
      </c>
      <c r="U60" s="142">
        <f t="shared" si="2"/>
        <v>0</v>
      </c>
      <c r="W60" s="601">
        <f t="shared" si="10"/>
        <v>0</v>
      </c>
      <c r="X60" s="601">
        <f t="shared" si="11"/>
        <v>0</v>
      </c>
      <c r="Y60" s="123"/>
      <c r="Z60" s="692">
        <f t="shared" si="3"/>
        <v>0</v>
      </c>
    </row>
    <row r="61" spans="1:26" customFormat="1" ht="12.75" thickBot="1">
      <c r="A61" s="57" t="s">
        <v>1273</v>
      </c>
      <c r="B61" s="25" t="s">
        <v>393</v>
      </c>
      <c r="C61" s="25" t="s">
        <v>949</v>
      </c>
      <c r="D61" s="235" t="s">
        <v>498</v>
      </c>
      <c r="E61" s="576"/>
      <c r="F61" s="574"/>
      <c r="G61" s="575"/>
      <c r="H61" s="574"/>
      <c r="I61" s="574"/>
      <c r="J61" s="574"/>
      <c r="K61" s="574"/>
      <c r="L61" s="574"/>
      <c r="M61" s="575"/>
      <c r="N61" s="575"/>
      <c r="O61" s="574"/>
      <c r="P61" s="574"/>
      <c r="Q61" s="575"/>
      <c r="R61" s="575"/>
      <c r="S61" s="142">
        <f t="shared" si="0"/>
        <v>0</v>
      </c>
      <c r="T61" s="142">
        <f t="shared" si="1"/>
        <v>0</v>
      </c>
      <c r="U61" s="142">
        <f t="shared" si="2"/>
        <v>0</v>
      </c>
      <c r="W61" s="601">
        <f t="shared" si="10"/>
        <v>0</v>
      </c>
      <c r="X61" s="601">
        <f t="shared" si="11"/>
        <v>0</v>
      </c>
      <c r="Y61" s="123"/>
      <c r="Z61" s="692">
        <f t="shared" si="3"/>
        <v>0</v>
      </c>
    </row>
    <row r="62" spans="1:26" customFormat="1" ht="12.75" thickBot="1">
      <c r="A62" s="57" t="s">
        <v>1273</v>
      </c>
      <c r="B62" s="25" t="s">
        <v>394</v>
      </c>
      <c r="C62" s="25" t="s">
        <v>950</v>
      </c>
      <c r="D62" s="235" t="s">
        <v>498</v>
      </c>
      <c r="E62" s="576"/>
      <c r="F62" s="574"/>
      <c r="G62" s="575"/>
      <c r="H62" s="574"/>
      <c r="I62" s="574"/>
      <c r="J62" s="574"/>
      <c r="K62" s="574"/>
      <c r="L62" s="574"/>
      <c r="M62" s="575"/>
      <c r="N62" s="575"/>
      <c r="O62" s="574"/>
      <c r="P62" s="574"/>
      <c r="Q62" s="575"/>
      <c r="R62" s="575"/>
      <c r="S62" s="142">
        <f t="shared" si="0"/>
        <v>0</v>
      </c>
      <c r="T62" s="142">
        <f t="shared" si="1"/>
        <v>0</v>
      </c>
      <c r="U62" s="142">
        <f t="shared" si="2"/>
        <v>0</v>
      </c>
      <c r="W62" s="601">
        <f t="shared" si="10"/>
        <v>0</v>
      </c>
      <c r="X62" s="601">
        <f t="shared" si="11"/>
        <v>0</v>
      </c>
      <c r="Y62" s="123"/>
      <c r="Z62" s="692">
        <f t="shared" si="3"/>
        <v>0</v>
      </c>
    </row>
    <row r="63" spans="1:26" customFormat="1" ht="12.75" thickBot="1">
      <c r="A63" s="57" t="s">
        <v>1273</v>
      </c>
      <c r="B63" s="25" t="s">
        <v>398</v>
      </c>
      <c r="C63" s="25" t="s">
        <v>951</v>
      </c>
      <c r="D63" s="235" t="s">
        <v>498</v>
      </c>
      <c r="E63" s="576"/>
      <c r="F63" s="574"/>
      <c r="G63" s="575"/>
      <c r="H63" s="574"/>
      <c r="I63" s="574"/>
      <c r="J63" s="574"/>
      <c r="K63" s="574"/>
      <c r="L63" s="574"/>
      <c r="M63" s="575"/>
      <c r="N63" s="575"/>
      <c r="O63" s="574"/>
      <c r="P63" s="574"/>
      <c r="Q63" s="575"/>
      <c r="R63" s="575"/>
      <c r="S63" s="142">
        <f t="shared" si="0"/>
        <v>0</v>
      </c>
      <c r="T63" s="142">
        <f t="shared" si="1"/>
        <v>0</v>
      </c>
      <c r="U63" s="142">
        <f t="shared" si="2"/>
        <v>0</v>
      </c>
      <c r="W63" s="601">
        <f t="shared" si="10"/>
        <v>0</v>
      </c>
      <c r="X63" s="601">
        <f t="shared" si="11"/>
        <v>0</v>
      </c>
      <c r="Y63" s="123"/>
      <c r="Z63" s="692">
        <f t="shared" si="3"/>
        <v>0</v>
      </c>
    </row>
    <row r="64" spans="1:26" customFormat="1" ht="12.75" thickBot="1">
      <c r="A64" s="57" t="s">
        <v>1273</v>
      </c>
      <c r="B64" s="25" t="s">
        <v>395</v>
      </c>
      <c r="C64" s="25" t="s">
        <v>952</v>
      </c>
      <c r="D64" s="235" t="s">
        <v>498</v>
      </c>
      <c r="E64" s="576"/>
      <c r="F64" s="574"/>
      <c r="G64" s="575"/>
      <c r="H64" s="574"/>
      <c r="I64" s="574"/>
      <c r="J64" s="574"/>
      <c r="K64" s="574"/>
      <c r="L64" s="574"/>
      <c r="M64" s="575"/>
      <c r="N64" s="575"/>
      <c r="O64" s="574"/>
      <c r="P64" s="574"/>
      <c r="Q64" s="575"/>
      <c r="R64" s="575"/>
      <c r="S64" s="142">
        <f t="shared" si="0"/>
        <v>0</v>
      </c>
      <c r="T64" s="142">
        <f t="shared" si="1"/>
        <v>0</v>
      </c>
      <c r="U64" s="142">
        <f t="shared" si="2"/>
        <v>0</v>
      </c>
      <c r="W64" s="601">
        <f t="shared" si="10"/>
        <v>0</v>
      </c>
      <c r="X64" s="601">
        <f t="shared" si="11"/>
        <v>0</v>
      </c>
      <c r="Y64" s="123"/>
      <c r="Z64" s="692">
        <f t="shared" si="3"/>
        <v>0</v>
      </c>
    </row>
    <row r="65" spans="1:26" customFormat="1" ht="12.75" thickBot="1">
      <c r="A65" s="57" t="s">
        <v>1273</v>
      </c>
      <c r="B65" s="25" t="s">
        <v>396</v>
      </c>
      <c r="C65" s="25" t="s">
        <v>953</v>
      </c>
      <c r="D65" s="235" t="s">
        <v>498</v>
      </c>
      <c r="E65" s="576"/>
      <c r="F65" s="574"/>
      <c r="G65" s="575"/>
      <c r="H65" s="574"/>
      <c r="I65" s="574"/>
      <c r="J65" s="574"/>
      <c r="K65" s="574"/>
      <c r="L65" s="574"/>
      <c r="M65" s="575"/>
      <c r="N65" s="575"/>
      <c r="O65" s="574"/>
      <c r="P65" s="574"/>
      <c r="Q65" s="575"/>
      <c r="R65" s="575"/>
      <c r="S65" s="142">
        <f t="shared" si="0"/>
        <v>0</v>
      </c>
      <c r="T65" s="142">
        <f t="shared" si="1"/>
        <v>0</v>
      </c>
      <c r="U65" s="142">
        <f t="shared" si="2"/>
        <v>0</v>
      </c>
      <c r="W65" s="601">
        <f t="shared" si="10"/>
        <v>0</v>
      </c>
      <c r="X65" s="601">
        <f t="shared" si="11"/>
        <v>0</v>
      </c>
      <c r="Y65" s="123"/>
      <c r="Z65" s="692">
        <f t="shared" si="3"/>
        <v>0</v>
      </c>
    </row>
    <row r="66" spans="1:26" customFormat="1" ht="12.75" thickBot="1">
      <c r="A66" s="57" t="s">
        <v>1273</v>
      </c>
      <c r="B66" s="25" t="s">
        <v>397</v>
      </c>
      <c r="C66" s="25" t="s">
        <v>954</v>
      </c>
      <c r="D66" s="235" t="s">
        <v>498</v>
      </c>
      <c r="E66" s="576"/>
      <c r="F66" s="574"/>
      <c r="G66" s="575"/>
      <c r="H66" s="574"/>
      <c r="I66" s="574"/>
      <c r="J66" s="574"/>
      <c r="K66" s="574"/>
      <c r="L66" s="574"/>
      <c r="M66" s="575"/>
      <c r="N66" s="575"/>
      <c r="O66" s="574"/>
      <c r="P66" s="574"/>
      <c r="Q66" s="575"/>
      <c r="R66" s="575"/>
      <c r="S66" s="142">
        <f t="shared" si="0"/>
        <v>0</v>
      </c>
      <c r="T66" s="142">
        <f t="shared" si="1"/>
        <v>0</v>
      </c>
      <c r="U66" s="142">
        <f t="shared" si="2"/>
        <v>0</v>
      </c>
      <c r="W66" s="601">
        <f t="shared" si="10"/>
        <v>0</v>
      </c>
      <c r="X66" s="601">
        <f t="shared" si="11"/>
        <v>0</v>
      </c>
      <c r="Y66" s="123"/>
      <c r="Z66" s="692">
        <f t="shared" si="3"/>
        <v>0</v>
      </c>
    </row>
    <row r="67" spans="1:26" customFormat="1" ht="12.75" thickBot="1">
      <c r="A67" s="57" t="s">
        <v>1273</v>
      </c>
      <c r="B67" s="25" t="s">
        <v>287</v>
      </c>
      <c r="C67" s="25" t="s">
        <v>955</v>
      </c>
      <c r="D67" s="235" t="s">
        <v>498</v>
      </c>
      <c r="E67" s="576"/>
      <c r="F67" s="574"/>
      <c r="G67" s="575"/>
      <c r="H67" s="574"/>
      <c r="I67" s="574"/>
      <c r="J67" s="574"/>
      <c r="K67" s="574"/>
      <c r="L67" s="574"/>
      <c r="M67" s="575"/>
      <c r="N67" s="575"/>
      <c r="O67" s="574"/>
      <c r="P67" s="574"/>
      <c r="Q67" s="575"/>
      <c r="R67" s="575"/>
      <c r="S67" s="142">
        <f t="shared" ref="S67:S116" si="12">G67+H67+I67</f>
        <v>0</v>
      </c>
      <c r="T67" s="142">
        <f t="shared" ref="T67:T116" si="13">J67+K67</f>
        <v>0</v>
      </c>
      <c r="U67" s="142">
        <f t="shared" ref="U67:U116" si="14">N67+O67</f>
        <v>0</v>
      </c>
      <c r="W67" s="601">
        <f t="shared" si="10"/>
        <v>0</v>
      </c>
      <c r="X67" s="601">
        <f t="shared" si="11"/>
        <v>0</v>
      </c>
      <c r="Y67" s="123"/>
      <c r="Z67" s="692">
        <f t="shared" si="3"/>
        <v>0</v>
      </c>
    </row>
    <row r="68" spans="1:26" customFormat="1" ht="12.75" thickBot="1">
      <c r="A68" s="57" t="s">
        <v>1273</v>
      </c>
      <c r="B68" s="25" t="s">
        <v>288</v>
      </c>
      <c r="C68" s="25" t="s">
        <v>956</v>
      </c>
      <c r="D68" s="235" t="s">
        <v>498</v>
      </c>
      <c r="E68" s="576"/>
      <c r="F68" s="574"/>
      <c r="G68" s="575"/>
      <c r="H68" s="574"/>
      <c r="I68" s="574"/>
      <c r="J68" s="574"/>
      <c r="K68" s="574"/>
      <c r="L68" s="574"/>
      <c r="M68" s="575"/>
      <c r="N68" s="575"/>
      <c r="O68" s="574"/>
      <c r="P68" s="574"/>
      <c r="Q68" s="575"/>
      <c r="R68" s="575"/>
      <c r="S68" s="142">
        <f t="shared" si="12"/>
        <v>0</v>
      </c>
      <c r="T68" s="142">
        <f t="shared" si="13"/>
        <v>0</v>
      </c>
      <c r="U68" s="142">
        <f t="shared" si="14"/>
        <v>0</v>
      </c>
      <c r="W68" s="601">
        <f t="shared" si="10"/>
        <v>0</v>
      </c>
      <c r="X68" s="601">
        <f t="shared" si="11"/>
        <v>0</v>
      </c>
      <c r="Y68" s="123"/>
      <c r="Z68" s="692">
        <f t="shared" ref="Z68:Z128" si="15">SUM(F68:K68)</f>
        <v>0</v>
      </c>
    </row>
    <row r="69" spans="1:26" customFormat="1" ht="12.75" thickBot="1">
      <c r="A69" s="57" t="s">
        <v>1273</v>
      </c>
      <c r="B69" s="25" t="s">
        <v>291</v>
      </c>
      <c r="C69" s="25" t="s">
        <v>957</v>
      </c>
      <c r="D69" s="235" t="s">
        <v>498</v>
      </c>
      <c r="E69" s="576"/>
      <c r="F69" s="574"/>
      <c r="G69" s="575"/>
      <c r="H69" s="574"/>
      <c r="I69" s="574"/>
      <c r="J69" s="574"/>
      <c r="K69" s="574"/>
      <c r="L69" s="574"/>
      <c r="M69" s="575"/>
      <c r="N69" s="575"/>
      <c r="O69" s="574"/>
      <c r="P69" s="574"/>
      <c r="Q69" s="575"/>
      <c r="R69" s="575"/>
      <c r="S69" s="142">
        <f t="shared" si="12"/>
        <v>0</v>
      </c>
      <c r="T69" s="142">
        <f t="shared" si="13"/>
        <v>0</v>
      </c>
      <c r="U69" s="142">
        <f t="shared" si="14"/>
        <v>0</v>
      </c>
      <c r="W69" s="601">
        <f t="shared" si="10"/>
        <v>0</v>
      </c>
      <c r="X69" s="601">
        <f t="shared" si="11"/>
        <v>0</v>
      </c>
      <c r="Y69" s="123"/>
      <c r="Z69" s="692">
        <f t="shared" si="15"/>
        <v>0</v>
      </c>
    </row>
    <row r="70" spans="1:26" customFormat="1" ht="12.75" thickBot="1">
      <c r="A70" s="57" t="s">
        <v>1273</v>
      </c>
      <c r="B70" s="25" t="s">
        <v>297</v>
      </c>
      <c r="C70" s="25" t="s">
        <v>958</v>
      </c>
      <c r="D70" s="235" t="s">
        <v>498</v>
      </c>
      <c r="E70" s="576"/>
      <c r="F70" s="574"/>
      <c r="G70" s="575"/>
      <c r="H70" s="574"/>
      <c r="I70" s="574"/>
      <c r="J70" s="574"/>
      <c r="K70" s="574"/>
      <c r="L70" s="574"/>
      <c r="M70" s="575"/>
      <c r="N70" s="575"/>
      <c r="O70" s="574"/>
      <c r="P70" s="574"/>
      <c r="Q70" s="575"/>
      <c r="R70" s="575"/>
      <c r="S70" s="142">
        <f t="shared" si="12"/>
        <v>0</v>
      </c>
      <c r="T70" s="142">
        <f t="shared" si="13"/>
        <v>0</v>
      </c>
      <c r="U70" s="142">
        <f t="shared" si="14"/>
        <v>0</v>
      </c>
      <c r="W70" s="601">
        <f t="shared" si="10"/>
        <v>0</v>
      </c>
      <c r="X70" s="601">
        <f t="shared" si="11"/>
        <v>0</v>
      </c>
      <c r="Y70" s="123"/>
      <c r="Z70" s="692">
        <f t="shared" si="15"/>
        <v>0</v>
      </c>
    </row>
    <row r="71" spans="1:26" customFormat="1" ht="12.75" thickBot="1">
      <c r="A71" s="57" t="s">
        <v>1273</v>
      </c>
      <c r="B71" s="25" t="s">
        <v>299</v>
      </c>
      <c r="C71" s="25" t="s">
        <v>959</v>
      </c>
      <c r="D71" s="235" t="s">
        <v>498</v>
      </c>
      <c r="E71" s="576"/>
      <c r="F71" s="574"/>
      <c r="G71" s="575"/>
      <c r="H71" s="574"/>
      <c r="I71" s="574"/>
      <c r="J71" s="574"/>
      <c r="K71" s="574"/>
      <c r="L71" s="574"/>
      <c r="M71" s="575"/>
      <c r="N71" s="575"/>
      <c r="O71" s="574"/>
      <c r="P71" s="574"/>
      <c r="Q71" s="575"/>
      <c r="R71" s="575"/>
      <c r="S71" s="142">
        <f t="shared" si="12"/>
        <v>0</v>
      </c>
      <c r="T71" s="142">
        <f t="shared" si="13"/>
        <v>0</v>
      </c>
      <c r="U71" s="142">
        <f t="shared" si="14"/>
        <v>0</v>
      </c>
      <c r="W71" s="601">
        <f t="shared" si="10"/>
        <v>0</v>
      </c>
      <c r="X71" s="601">
        <f t="shared" si="11"/>
        <v>0</v>
      </c>
      <c r="Y71" s="123"/>
      <c r="Z71" s="692">
        <f t="shared" si="15"/>
        <v>0</v>
      </c>
    </row>
    <row r="72" spans="1:26" customFormat="1" ht="12.75" thickBot="1">
      <c r="A72" s="57" t="s">
        <v>1273</v>
      </c>
      <c r="B72" s="25" t="s">
        <v>377</v>
      </c>
      <c r="C72" s="25" t="s">
        <v>960</v>
      </c>
      <c r="D72" s="235" t="s">
        <v>1117</v>
      </c>
      <c r="E72" s="576"/>
      <c r="F72" s="574"/>
      <c r="G72" s="575"/>
      <c r="H72" s="574"/>
      <c r="I72" s="574"/>
      <c r="J72" s="574"/>
      <c r="K72" s="574"/>
      <c r="L72" s="574"/>
      <c r="M72" s="575"/>
      <c r="N72" s="575"/>
      <c r="O72" s="574"/>
      <c r="P72" s="574"/>
      <c r="Q72" s="574"/>
      <c r="R72" s="575"/>
      <c r="S72" s="142">
        <f t="shared" si="12"/>
        <v>0</v>
      </c>
      <c r="T72" s="142">
        <f t="shared" si="13"/>
        <v>0</v>
      </c>
      <c r="U72" s="142">
        <f t="shared" si="14"/>
        <v>0</v>
      </c>
      <c r="W72" s="601">
        <f t="shared" si="10"/>
        <v>0</v>
      </c>
      <c r="X72" s="601">
        <f t="shared" si="11"/>
        <v>0</v>
      </c>
      <c r="Y72" s="123"/>
      <c r="Z72" s="692">
        <f t="shared" si="15"/>
        <v>0</v>
      </c>
    </row>
    <row r="73" spans="1:26" customFormat="1" ht="12.75" thickBot="1">
      <c r="A73" s="57" t="s">
        <v>1273</v>
      </c>
      <c r="B73" s="25" t="s">
        <v>737</v>
      </c>
      <c r="C73" s="25" t="s">
        <v>961</v>
      </c>
      <c r="D73" s="235" t="s">
        <v>1117</v>
      </c>
      <c r="E73" s="576"/>
      <c r="F73" s="574"/>
      <c r="G73" s="575"/>
      <c r="H73" s="574"/>
      <c r="I73" s="574"/>
      <c r="J73" s="574"/>
      <c r="K73" s="574"/>
      <c r="L73" s="574"/>
      <c r="M73" s="575"/>
      <c r="N73" s="575"/>
      <c r="O73" s="574"/>
      <c r="P73" s="574"/>
      <c r="Q73" s="574"/>
      <c r="R73" s="575"/>
      <c r="S73" s="142">
        <f t="shared" si="12"/>
        <v>0</v>
      </c>
      <c r="T73" s="142">
        <f t="shared" si="13"/>
        <v>0</v>
      </c>
      <c r="U73" s="142">
        <f t="shared" si="14"/>
        <v>0</v>
      </c>
      <c r="W73" s="601">
        <f t="shared" si="10"/>
        <v>0</v>
      </c>
      <c r="X73" s="601">
        <f t="shared" si="11"/>
        <v>0</v>
      </c>
      <c r="Y73" s="123"/>
      <c r="Z73" s="692">
        <f t="shared" si="15"/>
        <v>0</v>
      </c>
    </row>
    <row r="74" spans="1:26" customFormat="1" ht="12.75" thickBot="1">
      <c r="A74" s="57" t="s">
        <v>1273</v>
      </c>
      <c r="B74" s="25" t="s">
        <v>329</v>
      </c>
      <c r="C74" s="25" t="s">
        <v>962</v>
      </c>
      <c r="D74" s="235" t="s">
        <v>1117</v>
      </c>
      <c r="E74" s="576"/>
      <c r="F74" s="574"/>
      <c r="G74" s="575"/>
      <c r="H74" s="574"/>
      <c r="I74" s="574"/>
      <c r="J74" s="574"/>
      <c r="K74" s="574"/>
      <c r="L74" s="574"/>
      <c r="M74" s="575"/>
      <c r="N74" s="575"/>
      <c r="O74" s="574"/>
      <c r="P74" s="574"/>
      <c r="Q74" s="575"/>
      <c r="R74" s="575"/>
      <c r="S74" s="142">
        <f t="shared" si="12"/>
        <v>0</v>
      </c>
      <c r="T74" s="142">
        <f t="shared" si="13"/>
        <v>0</v>
      </c>
      <c r="U74" s="142">
        <f t="shared" si="14"/>
        <v>0</v>
      </c>
      <c r="W74" s="601">
        <f t="shared" si="10"/>
        <v>0</v>
      </c>
      <c r="X74" s="601">
        <f t="shared" si="11"/>
        <v>0</v>
      </c>
      <c r="Y74" s="123"/>
      <c r="Z74" s="692">
        <f t="shared" si="15"/>
        <v>0</v>
      </c>
    </row>
    <row r="75" spans="1:26" customFormat="1" ht="12.75" thickBot="1">
      <c r="A75" s="57" t="s">
        <v>1273</v>
      </c>
      <c r="B75" s="25" t="s">
        <v>330</v>
      </c>
      <c r="C75" s="25" t="s">
        <v>963</v>
      </c>
      <c r="D75" s="235" t="s">
        <v>1117</v>
      </c>
      <c r="E75" s="576"/>
      <c r="F75" s="574"/>
      <c r="G75" s="575"/>
      <c r="H75" s="574"/>
      <c r="I75" s="574"/>
      <c r="J75" s="574"/>
      <c r="K75" s="574"/>
      <c r="L75" s="574"/>
      <c r="M75" s="575"/>
      <c r="N75" s="575"/>
      <c r="O75" s="574"/>
      <c r="P75" s="574"/>
      <c r="Q75" s="575"/>
      <c r="R75" s="575"/>
      <c r="S75" s="142">
        <f t="shared" si="12"/>
        <v>0</v>
      </c>
      <c r="T75" s="142">
        <f t="shared" si="13"/>
        <v>0</v>
      </c>
      <c r="U75" s="142">
        <f t="shared" si="14"/>
        <v>0</v>
      </c>
      <c r="W75" s="601">
        <f t="shared" si="10"/>
        <v>0</v>
      </c>
      <c r="X75" s="601">
        <f t="shared" si="11"/>
        <v>0</v>
      </c>
      <c r="Y75" s="123"/>
      <c r="Z75" s="692">
        <f t="shared" si="15"/>
        <v>0</v>
      </c>
    </row>
    <row r="76" spans="1:26" customFormat="1" ht="12.75" thickBot="1">
      <c r="A76" s="57" t="s">
        <v>1273</v>
      </c>
      <c r="B76" s="25" t="s">
        <v>332</v>
      </c>
      <c r="C76" s="25" t="s">
        <v>964</v>
      </c>
      <c r="D76" s="235" t="s">
        <v>1117</v>
      </c>
      <c r="E76" s="576"/>
      <c r="F76" s="574"/>
      <c r="G76" s="575"/>
      <c r="H76" s="574"/>
      <c r="I76" s="574"/>
      <c r="J76" s="574"/>
      <c r="K76" s="574"/>
      <c r="L76" s="574"/>
      <c r="M76" s="575"/>
      <c r="N76" s="575"/>
      <c r="O76" s="574"/>
      <c r="P76" s="574"/>
      <c r="Q76" s="575"/>
      <c r="R76" s="575"/>
      <c r="S76" s="142">
        <f t="shared" si="12"/>
        <v>0</v>
      </c>
      <c r="T76" s="142">
        <f t="shared" si="13"/>
        <v>0</v>
      </c>
      <c r="U76" s="142">
        <f t="shared" si="14"/>
        <v>0</v>
      </c>
      <c r="W76" s="601">
        <f t="shared" si="10"/>
        <v>0</v>
      </c>
      <c r="X76" s="601">
        <f t="shared" si="11"/>
        <v>0</v>
      </c>
      <c r="Y76" s="123"/>
      <c r="Z76" s="692">
        <f t="shared" si="15"/>
        <v>0</v>
      </c>
    </row>
    <row r="77" spans="1:26" customFormat="1" ht="12.75" thickBot="1">
      <c r="A77" s="57" t="s">
        <v>1273</v>
      </c>
      <c r="B77" s="25" t="s">
        <v>333</v>
      </c>
      <c r="C77" s="25" t="s">
        <v>965</v>
      </c>
      <c r="D77" s="235" t="s">
        <v>1117</v>
      </c>
      <c r="E77" s="576"/>
      <c r="F77" s="574"/>
      <c r="G77" s="575"/>
      <c r="H77" s="574"/>
      <c r="I77" s="574"/>
      <c r="J77" s="574"/>
      <c r="K77" s="574"/>
      <c r="L77" s="574"/>
      <c r="M77" s="575"/>
      <c r="N77" s="575"/>
      <c r="O77" s="574"/>
      <c r="P77" s="574"/>
      <c r="Q77" s="575"/>
      <c r="R77" s="575"/>
      <c r="S77" s="142">
        <f t="shared" si="12"/>
        <v>0</v>
      </c>
      <c r="T77" s="142">
        <f t="shared" si="13"/>
        <v>0</v>
      </c>
      <c r="U77" s="142">
        <f t="shared" si="14"/>
        <v>0</v>
      </c>
      <c r="W77" s="601">
        <f t="shared" si="10"/>
        <v>0</v>
      </c>
      <c r="X77" s="601">
        <f t="shared" si="11"/>
        <v>0</v>
      </c>
      <c r="Y77" s="123"/>
      <c r="Z77" s="692">
        <f t="shared" si="15"/>
        <v>0</v>
      </c>
    </row>
    <row r="78" spans="1:26" customFormat="1" ht="12.75" thickBot="1">
      <c r="A78" s="57" t="s">
        <v>1273</v>
      </c>
      <c r="B78" s="25" t="s">
        <v>334</v>
      </c>
      <c r="C78" s="25" t="s">
        <v>966</v>
      </c>
      <c r="D78" s="235" t="s">
        <v>498</v>
      </c>
      <c r="E78" s="576"/>
      <c r="F78" s="574"/>
      <c r="G78" s="575"/>
      <c r="H78" s="574"/>
      <c r="I78" s="574"/>
      <c r="J78" s="574"/>
      <c r="K78" s="574"/>
      <c r="L78" s="574"/>
      <c r="M78" s="575"/>
      <c r="N78" s="575"/>
      <c r="O78" s="574"/>
      <c r="P78" s="574"/>
      <c r="Q78" s="575"/>
      <c r="R78" s="575"/>
      <c r="S78" s="142">
        <f t="shared" si="12"/>
        <v>0</v>
      </c>
      <c r="T78" s="142">
        <f t="shared" si="13"/>
        <v>0</v>
      </c>
      <c r="U78" s="142">
        <f t="shared" si="14"/>
        <v>0</v>
      </c>
      <c r="W78" s="601">
        <f t="shared" si="10"/>
        <v>0</v>
      </c>
      <c r="X78" s="601">
        <f t="shared" si="11"/>
        <v>0</v>
      </c>
      <c r="Y78" s="123"/>
      <c r="Z78" s="692">
        <f t="shared" si="15"/>
        <v>0</v>
      </c>
    </row>
    <row r="79" spans="1:26" customFormat="1" ht="12.75" thickBot="1">
      <c r="A79" s="57" t="s">
        <v>1273</v>
      </c>
      <c r="B79" s="25" t="s">
        <v>336</v>
      </c>
      <c r="C79" s="25" t="s">
        <v>967</v>
      </c>
      <c r="D79" s="235" t="s">
        <v>498</v>
      </c>
      <c r="E79" s="576"/>
      <c r="F79" s="574"/>
      <c r="G79" s="575"/>
      <c r="H79" s="574"/>
      <c r="I79" s="574"/>
      <c r="J79" s="574"/>
      <c r="K79" s="574"/>
      <c r="L79" s="574"/>
      <c r="M79" s="575"/>
      <c r="N79" s="575"/>
      <c r="O79" s="574"/>
      <c r="P79" s="574"/>
      <c r="Q79" s="575"/>
      <c r="R79" s="575"/>
      <c r="S79" s="142">
        <f t="shared" si="12"/>
        <v>0</v>
      </c>
      <c r="T79" s="142">
        <f t="shared" si="13"/>
        <v>0</v>
      </c>
      <c r="U79" s="142">
        <f t="shared" si="14"/>
        <v>0</v>
      </c>
      <c r="W79" s="601">
        <f t="shared" si="10"/>
        <v>0</v>
      </c>
      <c r="X79" s="601">
        <f t="shared" si="11"/>
        <v>0</v>
      </c>
      <c r="Y79" s="123"/>
      <c r="Z79" s="692">
        <f t="shared" si="15"/>
        <v>0</v>
      </c>
    </row>
    <row r="80" spans="1:26" customFormat="1" ht="12.75" thickBot="1">
      <c r="A80" s="57" t="s">
        <v>1273</v>
      </c>
      <c r="B80" s="25" t="s">
        <v>337</v>
      </c>
      <c r="C80" s="25" t="s">
        <v>968</v>
      </c>
      <c r="D80" s="235" t="s">
        <v>1117</v>
      </c>
      <c r="E80" s="576"/>
      <c r="F80" s="574"/>
      <c r="G80" s="575"/>
      <c r="H80" s="574"/>
      <c r="I80" s="574"/>
      <c r="J80" s="574"/>
      <c r="K80" s="574"/>
      <c r="L80" s="574"/>
      <c r="M80" s="575"/>
      <c r="N80" s="575"/>
      <c r="O80" s="574"/>
      <c r="P80" s="574"/>
      <c r="Q80" s="575"/>
      <c r="R80" s="575"/>
      <c r="S80" s="142">
        <f t="shared" si="12"/>
        <v>0</v>
      </c>
      <c r="T80" s="142">
        <f t="shared" si="13"/>
        <v>0</v>
      </c>
      <c r="U80" s="142">
        <f t="shared" si="14"/>
        <v>0</v>
      </c>
      <c r="W80" s="601">
        <f t="shared" ref="W80:W141" si="16">SUM(F80:Q80)</f>
        <v>0</v>
      </c>
      <c r="X80" s="601">
        <f t="shared" ref="X80:X141" si="17">W80-R80</f>
        <v>0</v>
      </c>
      <c r="Y80" s="123"/>
      <c r="Z80" s="692">
        <f t="shared" si="15"/>
        <v>0</v>
      </c>
    </row>
    <row r="81" spans="1:26" customFormat="1" ht="12.75" thickBot="1">
      <c r="A81" s="57" t="s">
        <v>1273</v>
      </c>
      <c r="B81" s="25" t="s">
        <v>338</v>
      </c>
      <c r="C81" s="25" t="s">
        <v>969</v>
      </c>
      <c r="D81" s="235" t="s">
        <v>1117</v>
      </c>
      <c r="E81" s="576"/>
      <c r="F81" s="574"/>
      <c r="G81" s="575"/>
      <c r="H81" s="574"/>
      <c r="I81" s="574"/>
      <c r="J81" s="574"/>
      <c r="K81" s="574"/>
      <c r="L81" s="574"/>
      <c r="M81" s="575"/>
      <c r="N81" s="575"/>
      <c r="O81" s="574"/>
      <c r="P81" s="574"/>
      <c r="Q81" s="575"/>
      <c r="R81" s="575"/>
      <c r="S81" s="142">
        <f t="shared" si="12"/>
        <v>0</v>
      </c>
      <c r="T81" s="142">
        <f t="shared" si="13"/>
        <v>0</v>
      </c>
      <c r="U81" s="142">
        <f t="shared" si="14"/>
        <v>0</v>
      </c>
      <c r="W81" s="601">
        <f t="shared" si="16"/>
        <v>0</v>
      </c>
      <c r="X81" s="601">
        <f t="shared" si="17"/>
        <v>0</v>
      </c>
      <c r="Y81" s="123"/>
      <c r="Z81" s="692">
        <f t="shared" si="15"/>
        <v>0</v>
      </c>
    </row>
    <row r="82" spans="1:26" customFormat="1" ht="12.75" thickBot="1">
      <c r="A82" s="57" t="s">
        <v>1273</v>
      </c>
      <c r="B82" s="25" t="s">
        <v>339</v>
      </c>
      <c r="C82" s="25" t="s">
        <v>970</v>
      </c>
      <c r="D82" s="235" t="s">
        <v>1117</v>
      </c>
      <c r="E82" s="576"/>
      <c r="F82" s="574"/>
      <c r="G82" s="575"/>
      <c r="H82" s="574"/>
      <c r="I82" s="574"/>
      <c r="J82" s="574"/>
      <c r="K82" s="574"/>
      <c r="L82" s="574"/>
      <c r="M82" s="575"/>
      <c r="N82" s="575"/>
      <c r="O82" s="574"/>
      <c r="P82" s="574"/>
      <c r="Q82" s="575"/>
      <c r="R82" s="575"/>
      <c r="S82" s="142">
        <f t="shared" si="12"/>
        <v>0</v>
      </c>
      <c r="T82" s="142">
        <f t="shared" si="13"/>
        <v>0</v>
      </c>
      <c r="U82" s="142">
        <f t="shared" si="14"/>
        <v>0</v>
      </c>
      <c r="W82" s="601">
        <f t="shared" si="16"/>
        <v>0</v>
      </c>
      <c r="X82" s="601">
        <f t="shared" si="17"/>
        <v>0</v>
      </c>
      <c r="Y82" s="123"/>
      <c r="Z82" s="692">
        <f t="shared" si="15"/>
        <v>0</v>
      </c>
    </row>
    <row r="83" spans="1:26" customFormat="1" ht="12.75" thickBot="1">
      <c r="A83" s="57" t="s">
        <v>1273</v>
      </c>
      <c r="B83" s="25" t="s">
        <v>340</v>
      </c>
      <c r="C83" s="25" t="s">
        <v>971</v>
      </c>
      <c r="D83" s="235" t="s">
        <v>1117</v>
      </c>
      <c r="E83" s="576"/>
      <c r="F83" s="574"/>
      <c r="G83" s="575"/>
      <c r="H83" s="574"/>
      <c r="I83" s="574"/>
      <c r="J83" s="574"/>
      <c r="K83" s="574"/>
      <c r="L83" s="574"/>
      <c r="M83" s="575"/>
      <c r="N83" s="575"/>
      <c r="O83" s="574"/>
      <c r="P83" s="574"/>
      <c r="Q83" s="575"/>
      <c r="R83" s="575"/>
      <c r="S83" s="142">
        <f t="shared" si="12"/>
        <v>0</v>
      </c>
      <c r="T83" s="142">
        <f t="shared" si="13"/>
        <v>0</v>
      </c>
      <c r="U83" s="142">
        <f t="shared" si="14"/>
        <v>0</v>
      </c>
      <c r="W83" s="601">
        <f t="shared" si="16"/>
        <v>0</v>
      </c>
      <c r="X83" s="601">
        <f t="shared" si="17"/>
        <v>0</v>
      </c>
      <c r="Y83" s="123"/>
      <c r="Z83" s="692">
        <f t="shared" si="15"/>
        <v>0</v>
      </c>
    </row>
    <row r="84" spans="1:26" customFormat="1" ht="12.75" thickBot="1">
      <c r="A84" s="57" t="s">
        <v>1273</v>
      </c>
      <c r="B84" s="25" t="s">
        <v>341</v>
      </c>
      <c r="C84" s="25" t="s">
        <v>972</v>
      </c>
      <c r="D84" s="235" t="s">
        <v>1117</v>
      </c>
      <c r="E84" s="576"/>
      <c r="F84" s="574"/>
      <c r="G84" s="575"/>
      <c r="H84" s="574"/>
      <c r="I84" s="574"/>
      <c r="J84" s="574"/>
      <c r="K84" s="574"/>
      <c r="L84" s="574"/>
      <c r="M84" s="575"/>
      <c r="N84" s="575"/>
      <c r="O84" s="574"/>
      <c r="P84" s="574"/>
      <c r="Q84" s="575"/>
      <c r="R84" s="575"/>
      <c r="S84" s="142">
        <f t="shared" si="12"/>
        <v>0</v>
      </c>
      <c r="T84" s="142">
        <f t="shared" si="13"/>
        <v>0</v>
      </c>
      <c r="U84" s="142">
        <f t="shared" si="14"/>
        <v>0</v>
      </c>
      <c r="W84" s="601">
        <f t="shared" si="16"/>
        <v>0</v>
      </c>
      <c r="X84" s="601">
        <f t="shared" si="17"/>
        <v>0</v>
      </c>
      <c r="Y84" s="123"/>
      <c r="Z84" s="692">
        <f t="shared" si="15"/>
        <v>0</v>
      </c>
    </row>
    <row r="85" spans="1:26" customFormat="1" ht="12.75" thickBot="1">
      <c r="A85" s="57" t="s">
        <v>1273</v>
      </c>
      <c r="B85" s="25" t="s">
        <v>342</v>
      </c>
      <c r="C85" s="25" t="s">
        <v>973</v>
      </c>
      <c r="D85" s="235" t="s">
        <v>1117</v>
      </c>
      <c r="E85" s="576"/>
      <c r="F85" s="574"/>
      <c r="G85" s="575"/>
      <c r="H85" s="574"/>
      <c r="I85" s="574"/>
      <c r="J85" s="574"/>
      <c r="K85" s="574"/>
      <c r="L85" s="574"/>
      <c r="M85" s="575"/>
      <c r="N85" s="575"/>
      <c r="O85" s="574"/>
      <c r="P85" s="574"/>
      <c r="Q85" s="575"/>
      <c r="R85" s="575"/>
      <c r="S85" s="142">
        <f t="shared" si="12"/>
        <v>0</v>
      </c>
      <c r="T85" s="142">
        <f t="shared" si="13"/>
        <v>0</v>
      </c>
      <c r="U85" s="142">
        <f t="shared" si="14"/>
        <v>0</v>
      </c>
      <c r="W85" s="601">
        <f t="shared" si="16"/>
        <v>0</v>
      </c>
      <c r="X85" s="601">
        <f t="shared" si="17"/>
        <v>0</v>
      </c>
      <c r="Y85" s="123"/>
      <c r="Z85" s="692">
        <f t="shared" si="15"/>
        <v>0</v>
      </c>
    </row>
    <row r="86" spans="1:26" customFormat="1" ht="12.75" thickBot="1">
      <c r="A86" s="57" t="s">
        <v>1273</v>
      </c>
      <c r="B86" s="25" t="s">
        <v>343</v>
      </c>
      <c r="C86" s="25" t="s">
        <v>974</v>
      </c>
      <c r="D86" s="235" t="s">
        <v>498</v>
      </c>
      <c r="E86" s="576"/>
      <c r="F86" s="574"/>
      <c r="G86" s="575"/>
      <c r="H86" s="574"/>
      <c r="I86" s="574"/>
      <c r="J86" s="574"/>
      <c r="K86" s="574"/>
      <c r="L86" s="574"/>
      <c r="M86" s="575"/>
      <c r="N86" s="575"/>
      <c r="O86" s="574"/>
      <c r="P86" s="574"/>
      <c r="Q86" s="575"/>
      <c r="R86" s="575"/>
      <c r="S86" s="142">
        <f t="shared" si="12"/>
        <v>0</v>
      </c>
      <c r="T86" s="142">
        <f t="shared" si="13"/>
        <v>0</v>
      </c>
      <c r="U86" s="142">
        <f t="shared" si="14"/>
        <v>0</v>
      </c>
      <c r="W86" s="601">
        <f t="shared" si="16"/>
        <v>0</v>
      </c>
      <c r="X86" s="601">
        <f t="shared" si="17"/>
        <v>0</v>
      </c>
      <c r="Y86" s="123"/>
      <c r="Z86" s="692">
        <f t="shared" si="15"/>
        <v>0</v>
      </c>
    </row>
    <row r="87" spans="1:26" customFormat="1" ht="12.75" thickBot="1">
      <c r="A87" s="57" t="s">
        <v>1273</v>
      </c>
      <c r="B87" s="25" t="s">
        <v>344</v>
      </c>
      <c r="C87" s="25" t="s">
        <v>975</v>
      </c>
      <c r="D87" s="235" t="s">
        <v>1117</v>
      </c>
      <c r="E87" s="576"/>
      <c r="F87" s="574"/>
      <c r="G87" s="575"/>
      <c r="H87" s="574"/>
      <c r="I87" s="574"/>
      <c r="J87" s="574"/>
      <c r="K87" s="574"/>
      <c r="L87" s="574"/>
      <c r="M87" s="575"/>
      <c r="N87" s="575"/>
      <c r="O87" s="574"/>
      <c r="P87" s="574"/>
      <c r="Q87" s="575"/>
      <c r="R87" s="575"/>
      <c r="S87" s="142">
        <f t="shared" si="12"/>
        <v>0</v>
      </c>
      <c r="T87" s="142">
        <f t="shared" si="13"/>
        <v>0</v>
      </c>
      <c r="U87" s="142">
        <f t="shared" si="14"/>
        <v>0</v>
      </c>
      <c r="W87" s="601">
        <f t="shared" si="16"/>
        <v>0</v>
      </c>
      <c r="X87" s="601">
        <f t="shared" si="17"/>
        <v>0</v>
      </c>
      <c r="Y87" s="123"/>
      <c r="Z87" s="692">
        <f t="shared" si="15"/>
        <v>0</v>
      </c>
    </row>
    <row r="88" spans="1:26" customFormat="1" ht="12.75" thickBot="1">
      <c r="A88" s="57" t="s">
        <v>1273</v>
      </c>
      <c r="B88" s="25" t="s">
        <v>345</v>
      </c>
      <c r="C88" s="25" t="s">
        <v>976</v>
      </c>
      <c r="D88" s="235" t="s">
        <v>498</v>
      </c>
      <c r="E88" s="576"/>
      <c r="F88" s="574"/>
      <c r="G88" s="575"/>
      <c r="H88" s="574"/>
      <c r="I88" s="574"/>
      <c r="J88" s="574"/>
      <c r="K88" s="574"/>
      <c r="L88" s="574"/>
      <c r="M88" s="575"/>
      <c r="N88" s="575"/>
      <c r="O88" s="574"/>
      <c r="P88" s="574"/>
      <c r="Q88" s="575"/>
      <c r="R88" s="575"/>
      <c r="S88" s="142">
        <f t="shared" si="12"/>
        <v>0</v>
      </c>
      <c r="T88" s="142">
        <f t="shared" si="13"/>
        <v>0</v>
      </c>
      <c r="U88" s="142">
        <f t="shared" si="14"/>
        <v>0</v>
      </c>
      <c r="W88" s="601">
        <f t="shared" si="16"/>
        <v>0</v>
      </c>
      <c r="X88" s="601">
        <f t="shared" si="17"/>
        <v>0</v>
      </c>
      <c r="Y88" s="123"/>
      <c r="Z88" s="692">
        <f t="shared" si="15"/>
        <v>0</v>
      </c>
    </row>
    <row r="89" spans="1:26" customFormat="1" ht="12.75" thickBot="1">
      <c r="A89" s="57" t="s">
        <v>1273</v>
      </c>
      <c r="B89" s="25" t="s">
        <v>346</v>
      </c>
      <c r="C89" s="25" t="s">
        <v>977</v>
      </c>
      <c r="D89" s="235" t="s">
        <v>1117</v>
      </c>
      <c r="E89" s="576"/>
      <c r="F89" s="574"/>
      <c r="G89" s="575"/>
      <c r="H89" s="574"/>
      <c r="I89" s="574"/>
      <c r="J89" s="574"/>
      <c r="K89" s="574"/>
      <c r="L89" s="574"/>
      <c r="M89" s="575"/>
      <c r="N89" s="575"/>
      <c r="O89" s="574"/>
      <c r="P89" s="574"/>
      <c r="Q89" s="575"/>
      <c r="R89" s="575"/>
      <c r="S89" s="142">
        <f t="shared" si="12"/>
        <v>0</v>
      </c>
      <c r="T89" s="142">
        <f t="shared" si="13"/>
        <v>0</v>
      </c>
      <c r="U89" s="142">
        <f t="shared" si="14"/>
        <v>0</v>
      </c>
      <c r="W89" s="601">
        <f t="shared" si="16"/>
        <v>0</v>
      </c>
      <c r="X89" s="601">
        <f t="shared" si="17"/>
        <v>0</v>
      </c>
      <c r="Y89" s="123"/>
      <c r="Z89" s="692">
        <f t="shared" si="15"/>
        <v>0</v>
      </c>
    </row>
    <row r="90" spans="1:26" customFormat="1" ht="12.75" thickBot="1">
      <c r="A90" s="57" t="s">
        <v>1273</v>
      </c>
      <c r="B90" s="25" t="s">
        <v>347</v>
      </c>
      <c r="C90" s="25" t="s">
        <v>978</v>
      </c>
      <c r="D90" s="235" t="s">
        <v>498</v>
      </c>
      <c r="E90" s="576"/>
      <c r="F90" s="574"/>
      <c r="G90" s="575"/>
      <c r="H90" s="574"/>
      <c r="I90" s="574"/>
      <c r="J90" s="574"/>
      <c r="K90" s="574"/>
      <c r="L90" s="574"/>
      <c r="M90" s="575"/>
      <c r="N90" s="575"/>
      <c r="O90" s="574"/>
      <c r="P90" s="574"/>
      <c r="Q90" s="575"/>
      <c r="R90" s="575"/>
      <c r="S90" s="142">
        <f t="shared" si="12"/>
        <v>0</v>
      </c>
      <c r="T90" s="142">
        <f t="shared" si="13"/>
        <v>0</v>
      </c>
      <c r="U90" s="142">
        <f t="shared" si="14"/>
        <v>0</v>
      </c>
      <c r="W90" s="601">
        <f t="shared" si="16"/>
        <v>0</v>
      </c>
      <c r="X90" s="601">
        <f t="shared" si="17"/>
        <v>0</v>
      </c>
      <c r="Y90" s="123"/>
      <c r="Z90" s="692">
        <f t="shared" si="15"/>
        <v>0</v>
      </c>
    </row>
    <row r="91" spans="1:26" customFormat="1" ht="12.75" thickBot="1">
      <c r="A91" s="57" t="s">
        <v>1273</v>
      </c>
      <c r="B91" s="25" t="s">
        <v>348</v>
      </c>
      <c r="C91" s="25" t="s">
        <v>979</v>
      </c>
      <c r="D91" s="235" t="s">
        <v>1117</v>
      </c>
      <c r="E91" s="576"/>
      <c r="F91" s="574"/>
      <c r="G91" s="575"/>
      <c r="H91" s="574"/>
      <c r="I91" s="574"/>
      <c r="J91" s="574"/>
      <c r="K91" s="574"/>
      <c r="L91" s="574"/>
      <c r="M91" s="575"/>
      <c r="N91" s="575"/>
      <c r="O91" s="574"/>
      <c r="P91" s="574"/>
      <c r="Q91" s="575"/>
      <c r="R91" s="575"/>
      <c r="S91" s="142">
        <f t="shared" si="12"/>
        <v>0</v>
      </c>
      <c r="T91" s="142">
        <f t="shared" si="13"/>
        <v>0</v>
      </c>
      <c r="U91" s="142">
        <f t="shared" si="14"/>
        <v>0</v>
      </c>
      <c r="W91" s="601">
        <f t="shared" si="16"/>
        <v>0</v>
      </c>
      <c r="X91" s="601">
        <f t="shared" si="17"/>
        <v>0</v>
      </c>
      <c r="Y91" s="123"/>
      <c r="Z91" s="692">
        <f t="shared" si="15"/>
        <v>0</v>
      </c>
    </row>
    <row r="92" spans="1:26" customFormat="1" ht="12.75" thickBot="1">
      <c r="A92" s="57" t="s">
        <v>1273</v>
      </c>
      <c r="B92" s="25" t="s">
        <v>376</v>
      </c>
      <c r="C92" s="25" t="s">
        <v>980</v>
      </c>
      <c r="D92" s="235" t="s">
        <v>498</v>
      </c>
      <c r="E92" s="576"/>
      <c r="F92" s="574"/>
      <c r="G92" s="575"/>
      <c r="H92" s="574"/>
      <c r="I92" s="574"/>
      <c r="J92" s="574"/>
      <c r="K92" s="574"/>
      <c r="L92" s="574"/>
      <c r="M92" s="575"/>
      <c r="N92" s="575"/>
      <c r="O92" s="574"/>
      <c r="P92" s="574"/>
      <c r="Q92" s="575"/>
      <c r="R92" s="575"/>
      <c r="S92" s="142">
        <f t="shared" si="12"/>
        <v>0</v>
      </c>
      <c r="T92" s="142">
        <f t="shared" si="13"/>
        <v>0</v>
      </c>
      <c r="U92" s="142">
        <f t="shared" si="14"/>
        <v>0</v>
      </c>
      <c r="W92" s="601">
        <f t="shared" si="16"/>
        <v>0</v>
      </c>
      <c r="X92" s="601">
        <f t="shared" si="17"/>
        <v>0</v>
      </c>
      <c r="Y92" s="123"/>
      <c r="Z92" s="692">
        <f t="shared" si="15"/>
        <v>0</v>
      </c>
    </row>
    <row r="93" spans="1:26" customFormat="1" ht="12.75" thickBot="1">
      <c r="A93" s="57" t="s">
        <v>1273</v>
      </c>
      <c r="B93" s="25" t="s">
        <v>349</v>
      </c>
      <c r="C93" s="25" t="s">
        <v>981</v>
      </c>
      <c r="D93" s="235" t="s">
        <v>1117</v>
      </c>
      <c r="E93" s="576"/>
      <c r="F93" s="574"/>
      <c r="G93" s="575"/>
      <c r="H93" s="574"/>
      <c r="I93" s="574"/>
      <c r="J93" s="574"/>
      <c r="K93" s="574"/>
      <c r="L93" s="574"/>
      <c r="M93" s="575"/>
      <c r="N93" s="575"/>
      <c r="O93" s="574"/>
      <c r="P93" s="574"/>
      <c r="Q93" s="575"/>
      <c r="R93" s="575"/>
      <c r="S93" s="142">
        <f t="shared" si="12"/>
        <v>0</v>
      </c>
      <c r="T93" s="142">
        <f t="shared" si="13"/>
        <v>0</v>
      </c>
      <c r="U93" s="142">
        <f t="shared" si="14"/>
        <v>0</v>
      </c>
      <c r="W93" s="601">
        <f t="shared" si="16"/>
        <v>0</v>
      </c>
      <c r="X93" s="601">
        <f t="shared" si="17"/>
        <v>0</v>
      </c>
      <c r="Y93" s="123"/>
      <c r="Z93" s="692">
        <f t="shared" si="15"/>
        <v>0</v>
      </c>
    </row>
    <row r="94" spans="1:26" customFormat="1" ht="12.75" thickBot="1">
      <c r="A94" s="57" t="s">
        <v>1273</v>
      </c>
      <c r="B94" s="25" t="s">
        <v>730</v>
      </c>
      <c r="C94" s="25" t="s">
        <v>982</v>
      </c>
      <c r="D94" s="235" t="s">
        <v>1117</v>
      </c>
      <c r="E94" s="576"/>
      <c r="F94" s="574"/>
      <c r="G94" s="575"/>
      <c r="H94" s="574"/>
      <c r="I94" s="574"/>
      <c r="J94" s="574"/>
      <c r="K94" s="574"/>
      <c r="L94" s="574"/>
      <c r="M94" s="575"/>
      <c r="N94" s="575"/>
      <c r="O94" s="574"/>
      <c r="P94" s="574"/>
      <c r="Q94" s="574"/>
      <c r="R94" s="575"/>
      <c r="S94" s="142">
        <f t="shared" si="12"/>
        <v>0</v>
      </c>
      <c r="T94" s="142">
        <f t="shared" si="13"/>
        <v>0</v>
      </c>
      <c r="U94" s="142">
        <f t="shared" si="14"/>
        <v>0</v>
      </c>
      <c r="W94" s="601">
        <f t="shared" si="16"/>
        <v>0</v>
      </c>
      <c r="X94" s="601">
        <f t="shared" si="17"/>
        <v>0</v>
      </c>
      <c r="Y94" s="123"/>
      <c r="Z94" s="692">
        <f t="shared" si="15"/>
        <v>0</v>
      </c>
    </row>
    <row r="95" spans="1:26" customFormat="1" ht="12.75" thickBot="1">
      <c r="A95" s="57" t="s">
        <v>1273</v>
      </c>
      <c r="B95" s="25" t="s">
        <v>378</v>
      </c>
      <c r="C95" s="25" t="s">
        <v>983</v>
      </c>
      <c r="D95" s="235" t="s">
        <v>1117</v>
      </c>
      <c r="E95" s="576"/>
      <c r="F95" s="574"/>
      <c r="G95" s="575"/>
      <c r="H95" s="574"/>
      <c r="I95" s="574"/>
      <c r="J95" s="574"/>
      <c r="K95" s="574"/>
      <c r="L95" s="574"/>
      <c r="M95" s="575"/>
      <c r="N95" s="575"/>
      <c r="O95" s="574"/>
      <c r="P95" s="574"/>
      <c r="Q95" s="574"/>
      <c r="R95" s="575"/>
      <c r="S95" s="142">
        <f t="shared" si="12"/>
        <v>0</v>
      </c>
      <c r="T95" s="142">
        <f t="shared" si="13"/>
        <v>0</v>
      </c>
      <c r="U95" s="142">
        <f t="shared" si="14"/>
        <v>0</v>
      </c>
      <c r="W95" s="601">
        <f t="shared" si="16"/>
        <v>0</v>
      </c>
      <c r="X95" s="601">
        <f t="shared" si="17"/>
        <v>0</v>
      </c>
      <c r="Y95" s="123"/>
      <c r="Z95" s="692">
        <f t="shared" si="15"/>
        <v>0</v>
      </c>
    </row>
    <row r="96" spans="1:26" customFormat="1" ht="12.75" thickBot="1">
      <c r="A96" s="57" t="s">
        <v>1273</v>
      </c>
      <c r="B96" s="25" t="s">
        <v>354</v>
      </c>
      <c r="C96" s="25" t="s">
        <v>984</v>
      </c>
      <c r="D96" s="235" t="s">
        <v>1117</v>
      </c>
      <c r="E96" s="576"/>
      <c r="F96" s="574"/>
      <c r="G96" s="575"/>
      <c r="H96" s="574"/>
      <c r="I96" s="574"/>
      <c r="J96" s="574"/>
      <c r="K96" s="574"/>
      <c r="L96" s="574"/>
      <c r="M96" s="575"/>
      <c r="N96" s="575"/>
      <c r="O96" s="574"/>
      <c r="P96" s="574"/>
      <c r="Q96" s="575"/>
      <c r="R96" s="575"/>
      <c r="S96" s="142">
        <f t="shared" si="12"/>
        <v>0</v>
      </c>
      <c r="T96" s="142">
        <f t="shared" si="13"/>
        <v>0</v>
      </c>
      <c r="U96" s="142">
        <f t="shared" si="14"/>
        <v>0</v>
      </c>
      <c r="W96" s="601">
        <f t="shared" si="16"/>
        <v>0</v>
      </c>
      <c r="X96" s="601">
        <f t="shared" si="17"/>
        <v>0</v>
      </c>
      <c r="Y96" s="123"/>
      <c r="Z96" s="692">
        <f t="shared" si="15"/>
        <v>0</v>
      </c>
    </row>
    <row r="97" spans="1:26" customFormat="1" ht="12.75" thickBot="1">
      <c r="A97" s="57" t="s">
        <v>1273</v>
      </c>
      <c r="B97" s="25" t="s">
        <v>355</v>
      </c>
      <c r="C97" s="25" t="s">
        <v>985</v>
      </c>
      <c r="D97" s="235" t="s">
        <v>1117</v>
      </c>
      <c r="E97" s="576"/>
      <c r="F97" s="574"/>
      <c r="G97" s="575"/>
      <c r="H97" s="574"/>
      <c r="I97" s="574"/>
      <c r="J97" s="574"/>
      <c r="K97" s="574"/>
      <c r="L97" s="574"/>
      <c r="M97" s="575"/>
      <c r="N97" s="575"/>
      <c r="O97" s="574"/>
      <c r="P97" s="574"/>
      <c r="Q97" s="575"/>
      <c r="R97" s="575"/>
      <c r="S97" s="142">
        <f t="shared" si="12"/>
        <v>0</v>
      </c>
      <c r="T97" s="142">
        <f t="shared" si="13"/>
        <v>0</v>
      </c>
      <c r="U97" s="142">
        <f t="shared" si="14"/>
        <v>0</v>
      </c>
      <c r="W97" s="601">
        <f t="shared" si="16"/>
        <v>0</v>
      </c>
      <c r="X97" s="601">
        <f t="shared" si="17"/>
        <v>0</v>
      </c>
      <c r="Y97" s="123"/>
      <c r="Z97" s="692">
        <f t="shared" si="15"/>
        <v>0</v>
      </c>
    </row>
    <row r="98" spans="1:26" customFormat="1" ht="12.75" thickBot="1">
      <c r="A98" s="57" t="s">
        <v>1273</v>
      </c>
      <c r="B98" s="25" t="s">
        <v>356</v>
      </c>
      <c r="C98" s="25" t="s">
        <v>986</v>
      </c>
      <c r="D98" s="235" t="s">
        <v>1117</v>
      </c>
      <c r="E98" s="576"/>
      <c r="F98" s="574"/>
      <c r="G98" s="575"/>
      <c r="H98" s="574"/>
      <c r="I98" s="574"/>
      <c r="J98" s="574"/>
      <c r="K98" s="574"/>
      <c r="L98" s="574"/>
      <c r="M98" s="575"/>
      <c r="N98" s="575"/>
      <c r="O98" s="574"/>
      <c r="P98" s="574"/>
      <c r="Q98" s="575"/>
      <c r="R98" s="575"/>
      <c r="S98" s="142">
        <f t="shared" si="12"/>
        <v>0</v>
      </c>
      <c r="T98" s="142">
        <f t="shared" si="13"/>
        <v>0</v>
      </c>
      <c r="U98" s="142">
        <f t="shared" si="14"/>
        <v>0</v>
      </c>
      <c r="W98" s="601">
        <f t="shared" si="16"/>
        <v>0</v>
      </c>
      <c r="X98" s="601">
        <f t="shared" si="17"/>
        <v>0</v>
      </c>
      <c r="Y98" s="123"/>
      <c r="Z98" s="692">
        <f t="shared" si="15"/>
        <v>0</v>
      </c>
    </row>
    <row r="99" spans="1:26" customFormat="1" ht="12.75" thickBot="1">
      <c r="A99" s="57" t="s">
        <v>1273</v>
      </c>
      <c r="B99" s="25" t="s">
        <v>357</v>
      </c>
      <c r="C99" s="25" t="s">
        <v>987</v>
      </c>
      <c r="D99" s="235" t="s">
        <v>1117</v>
      </c>
      <c r="E99" s="576"/>
      <c r="F99" s="574"/>
      <c r="G99" s="575"/>
      <c r="H99" s="574"/>
      <c r="I99" s="574"/>
      <c r="J99" s="574"/>
      <c r="K99" s="574"/>
      <c r="L99" s="574"/>
      <c r="M99" s="575"/>
      <c r="N99" s="575"/>
      <c r="O99" s="574"/>
      <c r="P99" s="574"/>
      <c r="Q99" s="575"/>
      <c r="R99" s="575"/>
      <c r="S99" s="142">
        <f t="shared" si="12"/>
        <v>0</v>
      </c>
      <c r="T99" s="142">
        <f t="shared" si="13"/>
        <v>0</v>
      </c>
      <c r="U99" s="142">
        <f t="shared" si="14"/>
        <v>0</v>
      </c>
      <c r="W99" s="601">
        <f t="shared" si="16"/>
        <v>0</v>
      </c>
      <c r="X99" s="601">
        <f t="shared" si="17"/>
        <v>0</v>
      </c>
      <c r="Y99" s="123"/>
      <c r="Z99" s="692">
        <f t="shared" si="15"/>
        <v>0</v>
      </c>
    </row>
    <row r="100" spans="1:26" customFormat="1" ht="12.75" thickBot="1">
      <c r="A100" s="57" t="s">
        <v>1273</v>
      </c>
      <c r="B100" s="25" t="s">
        <v>358</v>
      </c>
      <c r="C100" s="25" t="s">
        <v>988</v>
      </c>
      <c r="D100" s="235" t="s">
        <v>1117</v>
      </c>
      <c r="E100" s="576"/>
      <c r="F100" s="574"/>
      <c r="G100" s="575"/>
      <c r="H100" s="574"/>
      <c r="I100" s="574"/>
      <c r="J100" s="574"/>
      <c r="K100" s="574"/>
      <c r="L100" s="574"/>
      <c r="M100" s="575"/>
      <c r="N100" s="575"/>
      <c r="O100" s="574"/>
      <c r="P100" s="574"/>
      <c r="Q100" s="575"/>
      <c r="R100" s="575"/>
      <c r="S100" s="142">
        <f t="shared" si="12"/>
        <v>0</v>
      </c>
      <c r="T100" s="142">
        <f t="shared" si="13"/>
        <v>0</v>
      </c>
      <c r="U100" s="142">
        <f t="shared" si="14"/>
        <v>0</v>
      </c>
      <c r="W100" s="601">
        <f t="shared" si="16"/>
        <v>0</v>
      </c>
      <c r="X100" s="601">
        <f t="shared" si="17"/>
        <v>0</v>
      </c>
      <c r="Y100" s="123"/>
      <c r="Z100" s="692">
        <f t="shared" si="15"/>
        <v>0</v>
      </c>
    </row>
    <row r="101" spans="1:26" customFormat="1" ht="12.75" thickBot="1">
      <c r="A101" s="57" t="s">
        <v>1273</v>
      </c>
      <c r="B101" s="25" t="s">
        <v>359</v>
      </c>
      <c r="C101" s="25" t="s">
        <v>989</v>
      </c>
      <c r="D101" s="235" t="s">
        <v>1117</v>
      </c>
      <c r="E101" s="576"/>
      <c r="F101" s="574"/>
      <c r="G101" s="575"/>
      <c r="H101" s="574"/>
      <c r="I101" s="574"/>
      <c r="J101" s="574"/>
      <c r="K101" s="574"/>
      <c r="L101" s="574"/>
      <c r="M101" s="575"/>
      <c r="N101" s="575"/>
      <c r="O101" s="574"/>
      <c r="P101" s="574"/>
      <c r="Q101" s="575"/>
      <c r="R101" s="575"/>
      <c r="S101" s="142">
        <f t="shared" si="12"/>
        <v>0</v>
      </c>
      <c r="T101" s="142">
        <f t="shared" si="13"/>
        <v>0</v>
      </c>
      <c r="U101" s="142">
        <f t="shared" si="14"/>
        <v>0</v>
      </c>
      <c r="W101" s="601">
        <f t="shared" si="16"/>
        <v>0</v>
      </c>
      <c r="X101" s="601">
        <f t="shared" si="17"/>
        <v>0</v>
      </c>
      <c r="Y101" s="123"/>
      <c r="Z101" s="692">
        <f t="shared" si="15"/>
        <v>0</v>
      </c>
    </row>
    <row r="102" spans="1:26" customFormat="1" ht="12.75" thickBot="1">
      <c r="A102" s="57" t="s">
        <v>1273</v>
      </c>
      <c r="B102" s="25" t="s">
        <v>360</v>
      </c>
      <c r="C102" s="25" t="s">
        <v>990</v>
      </c>
      <c r="D102" s="235" t="s">
        <v>498</v>
      </c>
      <c r="E102" s="576"/>
      <c r="F102" s="574"/>
      <c r="G102" s="575"/>
      <c r="H102" s="574"/>
      <c r="I102" s="574"/>
      <c r="J102" s="574"/>
      <c r="K102" s="574"/>
      <c r="L102" s="574"/>
      <c r="M102" s="575"/>
      <c r="N102" s="575"/>
      <c r="O102" s="574"/>
      <c r="P102" s="574"/>
      <c r="Q102" s="575"/>
      <c r="R102" s="575"/>
      <c r="S102" s="142">
        <f t="shared" si="12"/>
        <v>0</v>
      </c>
      <c r="T102" s="142">
        <f t="shared" si="13"/>
        <v>0</v>
      </c>
      <c r="U102" s="142">
        <f t="shared" si="14"/>
        <v>0</v>
      </c>
      <c r="W102" s="601">
        <f t="shared" si="16"/>
        <v>0</v>
      </c>
      <c r="X102" s="601">
        <f t="shared" si="17"/>
        <v>0</v>
      </c>
      <c r="Y102" s="123"/>
      <c r="Z102" s="692">
        <f t="shared" si="15"/>
        <v>0</v>
      </c>
    </row>
    <row r="103" spans="1:26" customFormat="1" ht="12.75" thickBot="1">
      <c r="A103" s="57" t="s">
        <v>1273</v>
      </c>
      <c r="B103" s="25" t="s">
        <v>365</v>
      </c>
      <c r="C103" s="25" t="s">
        <v>991</v>
      </c>
      <c r="D103" s="235" t="s">
        <v>1117</v>
      </c>
      <c r="E103" s="576"/>
      <c r="F103" s="574"/>
      <c r="G103" s="575"/>
      <c r="H103" s="574"/>
      <c r="I103" s="574"/>
      <c r="J103" s="574"/>
      <c r="K103" s="574"/>
      <c r="L103" s="574"/>
      <c r="M103" s="575"/>
      <c r="N103" s="575"/>
      <c r="O103" s="574"/>
      <c r="P103" s="574"/>
      <c r="Q103" s="575"/>
      <c r="R103" s="575"/>
      <c r="S103" s="142">
        <f t="shared" si="12"/>
        <v>0</v>
      </c>
      <c r="T103" s="142">
        <f t="shared" si="13"/>
        <v>0</v>
      </c>
      <c r="U103" s="142">
        <f t="shared" si="14"/>
        <v>0</v>
      </c>
      <c r="W103" s="601">
        <f t="shared" si="16"/>
        <v>0</v>
      </c>
      <c r="X103" s="601">
        <f t="shared" si="17"/>
        <v>0</v>
      </c>
      <c r="Y103" s="123"/>
      <c r="Z103" s="692">
        <f t="shared" si="15"/>
        <v>0</v>
      </c>
    </row>
    <row r="104" spans="1:26" customFormat="1" ht="12.75" thickBot="1">
      <c r="A104" s="57" t="s">
        <v>1273</v>
      </c>
      <c r="B104" s="25" t="s">
        <v>366</v>
      </c>
      <c r="C104" s="25" t="s">
        <v>992</v>
      </c>
      <c r="D104" s="235" t="s">
        <v>498</v>
      </c>
      <c r="E104" s="576"/>
      <c r="F104" s="574"/>
      <c r="G104" s="575"/>
      <c r="H104" s="574"/>
      <c r="I104" s="574"/>
      <c r="J104" s="574"/>
      <c r="K104" s="574"/>
      <c r="L104" s="574"/>
      <c r="M104" s="575"/>
      <c r="N104" s="575"/>
      <c r="O104" s="574"/>
      <c r="P104" s="574"/>
      <c r="Q104" s="575"/>
      <c r="R104" s="575"/>
      <c r="S104" s="142">
        <f t="shared" si="12"/>
        <v>0</v>
      </c>
      <c r="T104" s="142">
        <f t="shared" si="13"/>
        <v>0</v>
      </c>
      <c r="U104" s="142">
        <f t="shared" si="14"/>
        <v>0</v>
      </c>
      <c r="W104" s="601">
        <f t="shared" si="16"/>
        <v>0</v>
      </c>
      <c r="X104" s="601">
        <f t="shared" si="17"/>
        <v>0</v>
      </c>
      <c r="Y104" s="123"/>
      <c r="Z104" s="692">
        <f t="shared" si="15"/>
        <v>0</v>
      </c>
    </row>
    <row r="105" spans="1:26" customFormat="1" ht="12.75" thickBot="1">
      <c r="A105" s="57" t="s">
        <v>1273</v>
      </c>
      <c r="B105" s="25" t="s">
        <v>367</v>
      </c>
      <c r="C105" s="25" t="s">
        <v>993</v>
      </c>
      <c r="D105" s="235" t="s">
        <v>1117</v>
      </c>
      <c r="E105" s="576"/>
      <c r="F105" s="574"/>
      <c r="G105" s="575"/>
      <c r="H105" s="574"/>
      <c r="I105" s="574"/>
      <c r="J105" s="574"/>
      <c r="K105" s="574"/>
      <c r="L105" s="574"/>
      <c r="M105" s="575"/>
      <c r="N105" s="575"/>
      <c r="O105" s="574"/>
      <c r="P105" s="574"/>
      <c r="Q105" s="575"/>
      <c r="R105" s="575"/>
      <c r="S105" s="142">
        <f t="shared" si="12"/>
        <v>0</v>
      </c>
      <c r="T105" s="142">
        <f t="shared" si="13"/>
        <v>0</v>
      </c>
      <c r="U105" s="142">
        <f t="shared" si="14"/>
        <v>0</v>
      </c>
      <c r="W105" s="601">
        <f t="shared" si="16"/>
        <v>0</v>
      </c>
      <c r="X105" s="601">
        <f t="shared" si="17"/>
        <v>0</v>
      </c>
      <c r="Y105" s="123"/>
      <c r="Z105" s="692">
        <f t="shared" si="15"/>
        <v>0</v>
      </c>
    </row>
    <row r="106" spans="1:26" customFormat="1" ht="12.75" thickBot="1">
      <c r="A106" s="57" t="s">
        <v>1273</v>
      </c>
      <c r="B106" s="25" t="s">
        <v>368</v>
      </c>
      <c r="C106" s="25" t="s">
        <v>994</v>
      </c>
      <c r="D106" s="235" t="s">
        <v>498</v>
      </c>
      <c r="E106" s="576"/>
      <c r="F106" s="574"/>
      <c r="G106" s="575"/>
      <c r="H106" s="574"/>
      <c r="I106" s="574"/>
      <c r="J106" s="574"/>
      <c r="K106" s="574"/>
      <c r="L106" s="574"/>
      <c r="M106" s="575"/>
      <c r="N106" s="575"/>
      <c r="O106" s="574"/>
      <c r="P106" s="574"/>
      <c r="Q106" s="575"/>
      <c r="R106" s="575"/>
      <c r="S106" s="142">
        <f t="shared" si="12"/>
        <v>0</v>
      </c>
      <c r="T106" s="142">
        <f t="shared" si="13"/>
        <v>0</v>
      </c>
      <c r="U106" s="142">
        <f t="shared" si="14"/>
        <v>0</v>
      </c>
      <c r="W106" s="601">
        <f t="shared" si="16"/>
        <v>0</v>
      </c>
      <c r="X106" s="601">
        <f t="shared" si="17"/>
        <v>0</v>
      </c>
      <c r="Y106" s="123"/>
      <c r="Z106" s="692">
        <f t="shared" si="15"/>
        <v>0</v>
      </c>
    </row>
    <row r="107" spans="1:26" customFormat="1" ht="12.75" thickBot="1">
      <c r="A107" s="57" t="s">
        <v>1273</v>
      </c>
      <c r="B107" s="25" t="s">
        <v>369</v>
      </c>
      <c r="C107" s="25" t="s">
        <v>995</v>
      </c>
      <c r="D107" s="235" t="s">
        <v>498</v>
      </c>
      <c r="E107" s="576"/>
      <c r="F107" s="574"/>
      <c r="G107" s="575"/>
      <c r="H107" s="574"/>
      <c r="I107" s="574"/>
      <c r="J107" s="574"/>
      <c r="K107" s="574"/>
      <c r="L107" s="574"/>
      <c r="M107" s="575"/>
      <c r="N107" s="575"/>
      <c r="O107" s="574"/>
      <c r="P107" s="574"/>
      <c r="Q107" s="575"/>
      <c r="R107" s="575"/>
      <c r="S107" s="142">
        <f t="shared" si="12"/>
        <v>0</v>
      </c>
      <c r="T107" s="142">
        <f t="shared" si="13"/>
        <v>0</v>
      </c>
      <c r="U107" s="142">
        <f t="shared" si="14"/>
        <v>0</v>
      </c>
      <c r="W107" s="601">
        <f t="shared" si="16"/>
        <v>0</v>
      </c>
      <c r="X107" s="601">
        <f t="shared" si="17"/>
        <v>0</v>
      </c>
      <c r="Y107" s="123"/>
      <c r="Z107" s="692">
        <f t="shared" si="15"/>
        <v>0</v>
      </c>
    </row>
    <row r="108" spans="1:26" customFormat="1" ht="12.75" thickBot="1">
      <c r="A108" s="57" t="s">
        <v>1273</v>
      </c>
      <c r="B108" s="25" t="s">
        <v>370</v>
      </c>
      <c r="C108" s="25" t="s">
        <v>996</v>
      </c>
      <c r="D108" s="235" t="s">
        <v>1117</v>
      </c>
      <c r="E108" s="576"/>
      <c r="F108" s="574"/>
      <c r="G108" s="575"/>
      <c r="H108" s="574"/>
      <c r="I108" s="574"/>
      <c r="J108" s="574"/>
      <c r="K108" s="574"/>
      <c r="L108" s="574"/>
      <c r="M108" s="575"/>
      <c r="N108" s="575"/>
      <c r="O108" s="574"/>
      <c r="P108" s="574"/>
      <c r="Q108" s="575"/>
      <c r="R108" s="575"/>
      <c r="S108" s="142">
        <f t="shared" si="12"/>
        <v>0</v>
      </c>
      <c r="T108" s="142">
        <f t="shared" si="13"/>
        <v>0</v>
      </c>
      <c r="U108" s="142">
        <f t="shared" si="14"/>
        <v>0</v>
      </c>
      <c r="W108" s="601">
        <f t="shared" si="16"/>
        <v>0</v>
      </c>
      <c r="X108" s="601">
        <f t="shared" si="17"/>
        <v>0</v>
      </c>
      <c r="Y108" s="123"/>
      <c r="Z108" s="692">
        <f t="shared" si="15"/>
        <v>0</v>
      </c>
    </row>
    <row r="109" spans="1:26" customFormat="1" ht="12.75" thickBot="1">
      <c r="A109" s="57" t="s">
        <v>1273</v>
      </c>
      <c r="B109" s="25" t="s">
        <v>371</v>
      </c>
      <c r="C109" s="25" t="s">
        <v>997</v>
      </c>
      <c r="D109" s="235" t="s">
        <v>498</v>
      </c>
      <c r="E109" s="576"/>
      <c r="F109" s="574"/>
      <c r="G109" s="575"/>
      <c r="H109" s="574"/>
      <c r="I109" s="574"/>
      <c r="J109" s="574"/>
      <c r="K109" s="574"/>
      <c r="L109" s="574"/>
      <c r="M109" s="575"/>
      <c r="N109" s="575"/>
      <c r="O109" s="574"/>
      <c r="P109" s="574"/>
      <c r="Q109" s="575"/>
      <c r="R109" s="575"/>
      <c r="S109" s="142">
        <f t="shared" si="12"/>
        <v>0</v>
      </c>
      <c r="T109" s="142">
        <f t="shared" si="13"/>
        <v>0</v>
      </c>
      <c r="U109" s="142">
        <f t="shared" si="14"/>
        <v>0</v>
      </c>
      <c r="W109" s="601">
        <f t="shared" si="16"/>
        <v>0</v>
      </c>
      <c r="X109" s="601">
        <f t="shared" si="17"/>
        <v>0</v>
      </c>
      <c r="Y109" s="123"/>
      <c r="Z109" s="692">
        <f t="shared" si="15"/>
        <v>0</v>
      </c>
    </row>
    <row r="110" spans="1:26" customFormat="1" ht="12.75" thickBot="1">
      <c r="A110" s="57" t="s">
        <v>1273</v>
      </c>
      <c r="B110" s="25" t="s">
        <v>659</v>
      </c>
      <c r="C110" s="25" t="s">
        <v>998</v>
      </c>
      <c r="D110" s="235" t="s">
        <v>1117</v>
      </c>
      <c r="E110" s="576"/>
      <c r="F110" s="574"/>
      <c r="G110" s="575"/>
      <c r="H110" s="574"/>
      <c r="I110" s="574"/>
      <c r="J110" s="574"/>
      <c r="K110" s="574"/>
      <c r="L110" s="574"/>
      <c r="M110" s="575"/>
      <c r="N110" s="575"/>
      <c r="O110" s="574"/>
      <c r="P110" s="574"/>
      <c r="Q110" s="575"/>
      <c r="R110" s="575"/>
      <c r="S110" s="142">
        <f t="shared" si="12"/>
        <v>0</v>
      </c>
      <c r="T110" s="142">
        <f t="shared" si="13"/>
        <v>0</v>
      </c>
      <c r="U110" s="142">
        <f t="shared" si="14"/>
        <v>0</v>
      </c>
      <c r="W110" s="601">
        <f t="shared" si="16"/>
        <v>0</v>
      </c>
      <c r="X110" s="601">
        <f t="shared" si="17"/>
        <v>0</v>
      </c>
      <c r="Y110" s="123"/>
      <c r="Z110" s="692">
        <f t="shared" si="15"/>
        <v>0</v>
      </c>
    </row>
    <row r="111" spans="1:26" customFormat="1" ht="12.75" thickBot="1">
      <c r="A111" s="57" t="s">
        <v>1273</v>
      </c>
      <c r="B111" s="25" t="s">
        <v>399</v>
      </c>
      <c r="C111" s="25" t="s">
        <v>999</v>
      </c>
      <c r="D111" s="235" t="s">
        <v>1117</v>
      </c>
      <c r="E111" s="576"/>
      <c r="F111" s="574"/>
      <c r="G111" s="575"/>
      <c r="H111" s="574"/>
      <c r="I111" s="574"/>
      <c r="J111" s="574"/>
      <c r="K111" s="574"/>
      <c r="L111" s="574"/>
      <c r="M111" s="575"/>
      <c r="N111" s="575"/>
      <c r="O111" s="574"/>
      <c r="P111" s="574"/>
      <c r="Q111" s="575"/>
      <c r="R111" s="575"/>
      <c r="S111" s="142">
        <f t="shared" si="12"/>
        <v>0</v>
      </c>
      <c r="T111" s="142">
        <f t="shared" si="13"/>
        <v>0</v>
      </c>
      <c r="U111" s="142">
        <f t="shared" si="14"/>
        <v>0</v>
      </c>
      <c r="W111" s="601">
        <f t="shared" si="16"/>
        <v>0</v>
      </c>
      <c r="X111" s="601">
        <f t="shared" si="17"/>
        <v>0</v>
      </c>
      <c r="Y111" s="123"/>
      <c r="Z111" s="692">
        <f t="shared" si="15"/>
        <v>0</v>
      </c>
    </row>
    <row r="112" spans="1:26" customFormat="1" ht="12.75" thickBot="1">
      <c r="A112" s="57" t="s">
        <v>1273</v>
      </c>
      <c r="B112" s="25" t="s">
        <v>372</v>
      </c>
      <c r="C112" s="25" t="s">
        <v>1000</v>
      </c>
      <c r="D112" s="235" t="s">
        <v>1117</v>
      </c>
      <c r="E112" s="576"/>
      <c r="F112" s="574"/>
      <c r="G112" s="575"/>
      <c r="H112" s="574"/>
      <c r="I112" s="574"/>
      <c r="J112" s="574"/>
      <c r="K112" s="574"/>
      <c r="L112" s="574"/>
      <c r="M112" s="575"/>
      <c r="N112" s="575"/>
      <c r="O112" s="574"/>
      <c r="P112" s="574"/>
      <c r="Q112" s="575"/>
      <c r="R112" s="575"/>
      <c r="S112" s="142">
        <f t="shared" si="12"/>
        <v>0</v>
      </c>
      <c r="T112" s="142">
        <f t="shared" si="13"/>
        <v>0</v>
      </c>
      <c r="U112" s="142">
        <f t="shared" si="14"/>
        <v>0</v>
      </c>
      <c r="W112" s="601">
        <f t="shared" si="16"/>
        <v>0</v>
      </c>
      <c r="X112" s="601">
        <f t="shared" si="17"/>
        <v>0</v>
      </c>
      <c r="Y112" s="123"/>
      <c r="Z112" s="692">
        <f t="shared" si="15"/>
        <v>0</v>
      </c>
    </row>
    <row r="113" spans="1:29" customFormat="1" ht="12.75" thickBot="1">
      <c r="A113" s="57" t="s">
        <v>1273</v>
      </c>
      <c r="B113" s="25" t="s">
        <v>373</v>
      </c>
      <c r="C113" s="25" t="s">
        <v>1001</v>
      </c>
      <c r="D113" s="235" t="s">
        <v>1117</v>
      </c>
      <c r="E113" s="576"/>
      <c r="F113" s="574"/>
      <c r="G113" s="575"/>
      <c r="H113" s="574"/>
      <c r="I113" s="574"/>
      <c r="J113" s="574"/>
      <c r="K113" s="574"/>
      <c r="L113" s="574"/>
      <c r="M113" s="575"/>
      <c r="N113" s="575"/>
      <c r="O113" s="574"/>
      <c r="P113" s="574"/>
      <c r="Q113" s="575"/>
      <c r="R113" s="575"/>
      <c r="S113" s="142">
        <f t="shared" si="12"/>
        <v>0</v>
      </c>
      <c r="T113" s="142">
        <f t="shared" si="13"/>
        <v>0</v>
      </c>
      <c r="U113" s="142">
        <f t="shared" si="14"/>
        <v>0</v>
      </c>
      <c r="W113" s="601">
        <f t="shared" si="16"/>
        <v>0</v>
      </c>
      <c r="X113" s="601">
        <f t="shared" si="17"/>
        <v>0</v>
      </c>
      <c r="Y113" s="123"/>
      <c r="Z113" s="692">
        <f t="shared" si="15"/>
        <v>0</v>
      </c>
    </row>
    <row r="114" spans="1:29" customFormat="1" ht="12.75" thickBot="1">
      <c r="A114" s="57" t="s">
        <v>1273</v>
      </c>
      <c r="B114" s="25" t="s">
        <v>374</v>
      </c>
      <c r="C114" s="25" t="s">
        <v>1002</v>
      </c>
      <c r="D114" s="235" t="s">
        <v>1117</v>
      </c>
      <c r="E114" s="576"/>
      <c r="F114" s="574"/>
      <c r="G114" s="575"/>
      <c r="H114" s="574"/>
      <c r="I114" s="574"/>
      <c r="J114" s="574"/>
      <c r="K114" s="574"/>
      <c r="L114" s="574"/>
      <c r="M114" s="575"/>
      <c r="N114" s="575"/>
      <c r="O114" s="574"/>
      <c r="P114" s="574"/>
      <c r="Q114" s="575"/>
      <c r="R114" s="575"/>
      <c r="S114" s="142">
        <f t="shared" ref="S114" si="18">G114+H114+I114</f>
        <v>0</v>
      </c>
      <c r="T114" s="142">
        <f t="shared" ref="T114" si="19">J114+K114</f>
        <v>0</v>
      </c>
      <c r="U114" s="142">
        <f t="shared" ref="U114" si="20">N114+O114</f>
        <v>0</v>
      </c>
      <c r="W114" s="601">
        <f t="shared" ref="W114" si="21">SUM(F114:Q114)</f>
        <v>0</v>
      </c>
      <c r="X114" s="601">
        <f t="shared" ref="X114" si="22">W114-R114</f>
        <v>0</v>
      </c>
      <c r="Y114" s="123"/>
      <c r="Z114" s="692">
        <f t="shared" si="15"/>
        <v>0</v>
      </c>
    </row>
    <row r="115" spans="1:29" customFormat="1" ht="12.75" thickBot="1">
      <c r="A115" s="57" t="s">
        <v>1273</v>
      </c>
      <c r="B115" s="25" t="s">
        <v>843</v>
      </c>
      <c r="C115" s="25" t="s">
        <v>843</v>
      </c>
      <c r="D115" s="697" t="s">
        <v>843</v>
      </c>
      <c r="E115" s="576">
        <f>16600403-E34-E36</f>
        <v>15936460</v>
      </c>
      <c r="F115" s="574"/>
      <c r="G115" s="575">
        <f>1107932-G34-F36-G36</f>
        <v>1058543</v>
      </c>
      <c r="H115" s="602">
        <v>452361</v>
      </c>
      <c r="I115" s="574"/>
      <c r="J115" s="574"/>
      <c r="K115" s="574"/>
      <c r="L115" s="574"/>
      <c r="M115" s="575">
        <f>-21678-M34-M36</f>
        <v>-20808</v>
      </c>
      <c r="N115" s="575">
        <f>76447-N34-N36</f>
        <v>73386</v>
      </c>
      <c r="O115" s="574"/>
      <c r="P115" s="574"/>
      <c r="Q115" s="575"/>
      <c r="R115" s="575">
        <f>SUM(F115:N115)</f>
        <v>1563482</v>
      </c>
      <c r="S115" s="142">
        <f t="shared" si="12"/>
        <v>1510904</v>
      </c>
      <c r="T115" s="142">
        <f t="shared" si="13"/>
        <v>0</v>
      </c>
      <c r="U115" s="142">
        <f t="shared" si="14"/>
        <v>73386</v>
      </c>
      <c r="W115" s="601">
        <f t="shared" si="16"/>
        <v>1563482</v>
      </c>
      <c r="X115" s="601">
        <f t="shared" si="17"/>
        <v>0</v>
      </c>
      <c r="Y115" s="123"/>
      <c r="Z115" s="692">
        <f t="shared" si="15"/>
        <v>1510904</v>
      </c>
    </row>
    <row r="116" spans="1:29" customFormat="1" ht="12.75" thickBot="1">
      <c r="A116" s="57" t="s">
        <v>1273</v>
      </c>
      <c r="B116" s="32" t="s">
        <v>7</v>
      </c>
      <c r="C116" s="33"/>
      <c r="D116" s="33"/>
      <c r="E116" s="43"/>
      <c r="F116" s="44"/>
      <c r="G116" s="44"/>
      <c r="H116" s="44"/>
      <c r="I116" s="44"/>
      <c r="J116" s="44"/>
      <c r="K116" s="44"/>
      <c r="L116" s="44"/>
      <c r="M116" s="44"/>
      <c r="N116" s="44"/>
      <c r="O116" s="44"/>
      <c r="P116" s="44"/>
      <c r="Q116" s="44"/>
      <c r="R116" s="44"/>
      <c r="S116" s="142">
        <f t="shared" si="12"/>
        <v>0</v>
      </c>
      <c r="T116" s="142">
        <f t="shared" si="13"/>
        <v>0</v>
      </c>
      <c r="U116" s="142">
        <f t="shared" si="14"/>
        <v>0</v>
      </c>
      <c r="W116" s="601">
        <f t="shared" si="16"/>
        <v>0</v>
      </c>
      <c r="X116" s="601">
        <f t="shared" si="17"/>
        <v>0</v>
      </c>
      <c r="Y116" s="123"/>
      <c r="Z116" s="692">
        <f t="shared" si="15"/>
        <v>0</v>
      </c>
    </row>
    <row r="117" spans="1:29" customFormat="1" ht="12.75" thickBot="1">
      <c r="A117" s="57" t="s">
        <v>1274</v>
      </c>
      <c r="B117" s="25" t="s">
        <v>928</v>
      </c>
      <c r="C117" s="25" t="s">
        <v>929</v>
      </c>
      <c r="D117" s="95" t="s">
        <v>881</v>
      </c>
      <c r="E117" s="574"/>
      <c r="F117" s="574"/>
      <c r="G117" s="574"/>
      <c r="H117" s="574"/>
      <c r="I117" s="574"/>
      <c r="J117" s="574"/>
      <c r="K117" s="574"/>
      <c r="L117" s="574"/>
      <c r="M117" s="574"/>
      <c r="N117" s="574"/>
      <c r="O117" s="574"/>
      <c r="P117" s="574"/>
      <c r="Q117" s="574"/>
      <c r="R117" s="575"/>
      <c r="S117" s="142">
        <f t="shared" ref="S117:S178" si="23">G117+H117+I117</f>
        <v>0</v>
      </c>
      <c r="T117" s="142">
        <f t="shared" ref="T117:T178" si="24">J117+K117</f>
        <v>0</v>
      </c>
      <c r="U117" s="142">
        <f t="shared" ref="U117:U178" si="25">N117+O117</f>
        <v>0</v>
      </c>
      <c r="W117" s="601">
        <f t="shared" si="16"/>
        <v>0</v>
      </c>
      <c r="X117" s="601">
        <f t="shared" si="17"/>
        <v>0</v>
      </c>
      <c r="Y117" s="123"/>
      <c r="Z117" s="692">
        <f t="shared" si="15"/>
        <v>0</v>
      </c>
      <c r="AA117" s="123"/>
      <c r="AB117" s="123"/>
      <c r="AC117" s="123"/>
    </row>
    <row r="118" spans="1:29" customFormat="1" ht="12.75" thickBot="1">
      <c r="A118" s="57" t="s">
        <v>1274</v>
      </c>
      <c r="B118" s="25" t="s">
        <v>848</v>
      </c>
      <c r="C118" s="25" t="s">
        <v>849</v>
      </c>
      <c r="D118" s="95" t="s">
        <v>881</v>
      </c>
      <c r="E118" s="574"/>
      <c r="F118" s="574"/>
      <c r="G118" s="574"/>
      <c r="H118" s="574"/>
      <c r="I118" s="574"/>
      <c r="J118" s="574"/>
      <c r="K118" s="574"/>
      <c r="L118" s="574"/>
      <c r="M118" s="574"/>
      <c r="N118" s="574"/>
      <c r="O118" s="574"/>
      <c r="P118" s="574"/>
      <c r="Q118" s="574"/>
      <c r="R118" s="575"/>
      <c r="S118" s="142">
        <f t="shared" si="23"/>
        <v>0</v>
      </c>
      <c r="T118" s="142">
        <f t="shared" si="24"/>
        <v>0</v>
      </c>
      <c r="U118" s="142">
        <f t="shared" si="25"/>
        <v>0</v>
      </c>
      <c r="W118" s="601">
        <f t="shared" si="16"/>
        <v>0</v>
      </c>
      <c r="X118" s="601">
        <f t="shared" si="17"/>
        <v>0</v>
      </c>
      <c r="Y118" s="123"/>
      <c r="Z118" s="692">
        <f t="shared" si="15"/>
        <v>0</v>
      </c>
      <c r="AA118" s="123"/>
      <c r="AB118" s="123"/>
      <c r="AC118" s="123"/>
    </row>
    <row r="119" spans="1:29" customFormat="1" ht="12.75" thickBot="1">
      <c r="A119" s="57" t="s">
        <v>1274</v>
      </c>
      <c r="B119" s="25" t="s">
        <v>930</v>
      </c>
      <c r="C119" s="25" t="s">
        <v>931</v>
      </c>
      <c r="D119" s="95" t="s">
        <v>881</v>
      </c>
      <c r="E119" s="574"/>
      <c r="F119" s="574"/>
      <c r="G119" s="574"/>
      <c r="H119" s="574"/>
      <c r="I119" s="574"/>
      <c r="J119" s="574"/>
      <c r="K119" s="574"/>
      <c r="L119" s="574"/>
      <c r="M119" s="574"/>
      <c r="N119" s="574"/>
      <c r="O119" s="574"/>
      <c r="P119" s="574"/>
      <c r="Q119" s="574"/>
      <c r="R119" s="575"/>
      <c r="S119" s="142">
        <f t="shared" si="23"/>
        <v>0</v>
      </c>
      <c r="T119" s="142">
        <f t="shared" si="24"/>
        <v>0</v>
      </c>
      <c r="U119" s="142">
        <f t="shared" si="25"/>
        <v>0</v>
      </c>
      <c r="W119" s="601">
        <f t="shared" si="16"/>
        <v>0</v>
      </c>
      <c r="X119" s="601">
        <f t="shared" si="17"/>
        <v>0</v>
      </c>
      <c r="Y119" s="123"/>
      <c r="Z119" s="692">
        <f t="shared" si="15"/>
        <v>0</v>
      </c>
      <c r="AA119" s="123"/>
      <c r="AB119" s="123"/>
      <c r="AC119" s="123"/>
    </row>
    <row r="120" spans="1:29" customFormat="1" ht="12.75" thickBot="1">
      <c r="A120" s="57" t="s">
        <v>1274</v>
      </c>
      <c r="B120" s="25" t="s">
        <v>1011</v>
      </c>
      <c r="C120" s="25" t="s">
        <v>1119</v>
      </c>
      <c r="D120" s="95" t="s">
        <v>881</v>
      </c>
      <c r="E120" s="574"/>
      <c r="F120" s="574"/>
      <c r="G120" s="574"/>
      <c r="H120" s="574"/>
      <c r="I120" s="574"/>
      <c r="J120" s="574"/>
      <c r="K120" s="574"/>
      <c r="L120" s="574"/>
      <c r="M120" s="574"/>
      <c r="N120" s="574"/>
      <c r="O120" s="574"/>
      <c r="P120" s="574"/>
      <c r="Q120" s="574"/>
      <c r="R120" s="575"/>
      <c r="S120" s="142">
        <f t="shared" si="23"/>
        <v>0</v>
      </c>
      <c r="T120" s="142">
        <f t="shared" si="24"/>
        <v>0</v>
      </c>
      <c r="U120" s="142">
        <f t="shared" si="25"/>
        <v>0</v>
      </c>
      <c r="W120" s="601">
        <f t="shared" si="16"/>
        <v>0</v>
      </c>
      <c r="X120" s="601">
        <f t="shared" si="17"/>
        <v>0</v>
      </c>
      <c r="Y120" s="123"/>
      <c r="Z120" s="692">
        <f t="shared" si="15"/>
        <v>0</v>
      </c>
      <c r="AA120" s="123"/>
      <c r="AB120" s="123"/>
      <c r="AC120" s="123"/>
    </row>
    <row r="121" spans="1:29" customFormat="1" ht="12.75" thickBot="1">
      <c r="A121" s="57" t="s">
        <v>1274</v>
      </c>
      <c r="B121" s="25" t="s">
        <v>852</v>
      </c>
      <c r="C121" s="25" t="s">
        <v>1215</v>
      </c>
      <c r="D121" s="69" t="s">
        <v>1125</v>
      </c>
      <c r="E121" s="574"/>
      <c r="F121" s="574"/>
      <c r="G121" s="574"/>
      <c r="H121" s="574"/>
      <c r="I121" s="574"/>
      <c r="J121" s="574"/>
      <c r="K121" s="574"/>
      <c r="L121" s="574"/>
      <c r="M121" s="574"/>
      <c r="N121" s="574"/>
      <c r="O121" s="574"/>
      <c r="P121" s="574"/>
      <c r="Q121" s="574"/>
      <c r="R121" s="574"/>
      <c r="S121" s="142">
        <f t="shared" si="23"/>
        <v>0</v>
      </c>
      <c r="T121" s="142">
        <f t="shared" si="24"/>
        <v>0</v>
      </c>
      <c r="U121" s="142">
        <f t="shared" si="25"/>
        <v>0</v>
      </c>
      <c r="W121" s="601">
        <f t="shared" si="16"/>
        <v>0</v>
      </c>
      <c r="X121" s="601">
        <f t="shared" si="17"/>
        <v>0</v>
      </c>
      <c r="Y121" s="123"/>
      <c r="Z121" s="692">
        <f t="shared" si="15"/>
        <v>0</v>
      </c>
      <c r="AA121" s="123"/>
      <c r="AB121" s="123"/>
      <c r="AC121" s="123"/>
    </row>
    <row r="122" spans="1:29" customFormat="1" ht="12.75" thickBot="1">
      <c r="A122" s="57" t="s">
        <v>1274</v>
      </c>
      <c r="B122" s="25" t="s">
        <v>407</v>
      </c>
      <c r="C122" s="25" t="s">
        <v>1120</v>
      </c>
      <c r="D122" s="98" t="s">
        <v>892</v>
      </c>
      <c r="E122" s="576"/>
      <c r="F122" s="574"/>
      <c r="G122" s="575"/>
      <c r="H122" s="575"/>
      <c r="I122" s="575"/>
      <c r="J122" s="574"/>
      <c r="K122" s="574"/>
      <c r="L122" s="575"/>
      <c r="M122" s="575"/>
      <c r="N122" s="575"/>
      <c r="O122" s="575"/>
      <c r="P122" s="574"/>
      <c r="Q122" s="574"/>
      <c r="R122" s="575"/>
      <c r="S122" s="142">
        <f t="shared" si="23"/>
        <v>0</v>
      </c>
      <c r="T122" s="142">
        <f t="shared" si="24"/>
        <v>0</v>
      </c>
      <c r="U122" s="142">
        <f t="shared" si="25"/>
        <v>0</v>
      </c>
      <c r="W122" s="601">
        <f t="shared" si="16"/>
        <v>0</v>
      </c>
      <c r="X122" s="601">
        <f t="shared" si="17"/>
        <v>0</v>
      </c>
      <c r="Y122" s="123"/>
      <c r="Z122" s="692">
        <f t="shared" si="15"/>
        <v>0</v>
      </c>
      <c r="AA122" s="123"/>
      <c r="AB122" s="123"/>
      <c r="AC122" s="123"/>
    </row>
    <row r="123" spans="1:29" customFormat="1" ht="12.75" thickBot="1">
      <c r="A123" s="57" t="s">
        <v>1274</v>
      </c>
      <c r="B123" s="25" t="s">
        <v>409</v>
      </c>
      <c r="C123" s="25" t="s">
        <v>140</v>
      </c>
      <c r="D123" s="98" t="s">
        <v>892</v>
      </c>
      <c r="E123" s="576">
        <v>30448441</v>
      </c>
      <c r="F123" s="575">
        <v>562039</v>
      </c>
      <c r="G123" s="575">
        <v>1900592</v>
      </c>
      <c r="H123" s="575">
        <v>829720</v>
      </c>
      <c r="I123" s="575">
        <v>50849</v>
      </c>
      <c r="J123" s="574"/>
      <c r="K123" s="574"/>
      <c r="L123" s="575">
        <v>48303</v>
      </c>
      <c r="M123" s="575">
        <v>-59596</v>
      </c>
      <c r="N123" s="575"/>
      <c r="O123" s="575">
        <v>163201</v>
      </c>
      <c r="P123" s="574"/>
      <c r="Q123" s="575"/>
      <c r="R123" s="575">
        <v>3495108</v>
      </c>
      <c r="S123" s="142">
        <f t="shared" si="23"/>
        <v>2781161</v>
      </c>
      <c r="T123" s="142">
        <f t="shared" si="24"/>
        <v>0</v>
      </c>
      <c r="U123" s="142">
        <f t="shared" si="25"/>
        <v>163201</v>
      </c>
      <c r="W123" s="601">
        <f t="shared" si="16"/>
        <v>3495108</v>
      </c>
      <c r="X123" s="601">
        <f t="shared" si="17"/>
        <v>0</v>
      </c>
      <c r="Y123" s="123"/>
      <c r="Z123" s="692">
        <f t="shared" si="15"/>
        <v>3343200</v>
      </c>
      <c r="AA123" s="123"/>
      <c r="AB123" s="123"/>
      <c r="AC123" s="123"/>
    </row>
    <row r="124" spans="1:29" customFormat="1" ht="12.75" thickBot="1">
      <c r="A124" s="57" t="s">
        <v>1274</v>
      </c>
      <c r="B124" s="25" t="s">
        <v>410</v>
      </c>
      <c r="C124" s="25" t="s">
        <v>1121</v>
      </c>
      <c r="D124" s="98" t="s">
        <v>892</v>
      </c>
      <c r="E124" s="576"/>
      <c r="F124" s="575"/>
      <c r="G124" s="575"/>
      <c r="H124" s="575"/>
      <c r="I124" s="575"/>
      <c r="J124" s="574"/>
      <c r="K124" s="574"/>
      <c r="L124" s="575"/>
      <c r="M124" s="575"/>
      <c r="N124" s="575"/>
      <c r="O124" s="575"/>
      <c r="P124" s="574"/>
      <c r="Q124" s="574"/>
      <c r="R124" s="575"/>
      <c r="S124" s="142">
        <f t="shared" si="23"/>
        <v>0</v>
      </c>
      <c r="T124" s="142">
        <f t="shared" si="24"/>
        <v>0</v>
      </c>
      <c r="U124" s="142">
        <f t="shared" si="25"/>
        <v>0</v>
      </c>
      <c r="W124" s="601">
        <f t="shared" si="16"/>
        <v>0</v>
      </c>
      <c r="X124" s="601">
        <f t="shared" si="17"/>
        <v>0</v>
      </c>
      <c r="Y124" s="123"/>
      <c r="Z124" s="692">
        <f t="shared" si="15"/>
        <v>0</v>
      </c>
      <c r="AA124" s="123"/>
      <c r="AB124" s="123"/>
      <c r="AC124" s="123"/>
    </row>
    <row r="125" spans="1:29" customFormat="1" ht="12.75" thickBot="1">
      <c r="A125" s="57" t="s">
        <v>1274</v>
      </c>
      <c r="B125" s="25" t="s">
        <v>411</v>
      </c>
      <c r="C125" s="25" t="s">
        <v>1122</v>
      </c>
      <c r="D125" s="98" t="s">
        <v>892</v>
      </c>
      <c r="E125" s="576"/>
      <c r="F125" s="574"/>
      <c r="G125" s="575"/>
      <c r="H125" s="575"/>
      <c r="I125" s="575"/>
      <c r="J125" s="574"/>
      <c r="K125" s="574"/>
      <c r="L125" s="575"/>
      <c r="M125" s="575"/>
      <c r="N125" s="575"/>
      <c r="O125" s="575"/>
      <c r="P125" s="574"/>
      <c r="Q125" s="574"/>
      <c r="R125" s="575"/>
      <c r="S125" s="142">
        <f t="shared" si="23"/>
        <v>0</v>
      </c>
      <c r="T125" s="142">
        <f t="shared" si="24"/>
        <v>0</v>
      </c>
      <c r="U125" s="142">
        <f t="shared" si="25"/>
        <v>0</v>
      </c>
      <c r="W125" s="601">
        <f t="shared" si="16"/>
        <v>0</v>
      </c>
      <c r="X125" s="601">
        <f t="shared" si="17"/>
        <v>0</v>
      </c>
      <c r="Y125" s="123"/>
      <c r="Z125" s="692">
        <f t="shared" si="15"/>
        <v>0</v>
      </c>
      <c r="AA125" s="123"/>
      <c r="AB125" s="123"/>
      <c r="AC125" s="123"/>
    </row>
    <row r="126" spans="1:29" customFormat="1" ht="12.75" thickBot="1">
      <c r="A126" s="57" t="s">
        <v>1274</v>
      </c>
      <c r="B126" s="25" t="s">
        <v>413</v>
      </c>
      <c r="C126" s="25" t="s">
        <v>454</v>
      </c>
      <c r="D126" s="98" t="s">
        <v>892</v>
      </c>
      <c r="E126" s="576"/>
      <c r="F126" s="575"/>
      <c r="G126" s="575"/>
      <c r="H126" s="575"/>
      <c r="I126" s="575"/>
      <c r="J126" s="574"/>
      <c r="K126" s="574"/>
      <c r="L126" s="575"/>
      <c r="M126" s="575"/>
      <c r="N126" s="575"/>
      <c r="O126" s="575"/>
      <c r="P126" s="574"/>
      <c r="Q126" s="574"/>
      <c r="R126" s="575"/>
      <c r="S126" s="142">
        <f t="shared" si="23"/>
        <v>0</v>
      </c>
      <c r="T126" s="142">
        <f t="shared" si="24"/>
        <v>0</v>
      </c>
      <c r="U126" s="142">
        <f t="shared" si="25"/>
        <v>0</v>
      </c>
      <c r="W126" s="601">
        <f t="shared" si="16"/>
        <v>0</v>
      </c>
      <c r="X126" s="601">
        <f t="shared" si="17"/>
        <v>0</v>
      </c>
      <c r="Y126" s="123"/>
      <c r="Z126" s="692">
        <f t="shared" si="15"/>
        <v>0</v>
      </c>
      <c r="AA126" s="123"/>
      <c r="AB126" s="123"/>
      <c r="AC126" s="123"/>
    </row>
    <row r="127" spans="1:29" customFormat="1" ht="12.75" thickBot="1">
      <c r="A127" s="57" t="s">
        <v>1274</v>
      </c>
      <c r="B127" s="25" t="s">
        <v>414</v>
      </c>
      <c r="C127" s="25" t="s">
        <v>445</v>
      </c>
      <c r="D127" s="25" t="s">
        <v>20</v>
      </c>
      <c r="E127" s="576">
        <v>136097089</v>
      </c>
      <c r="F127" s="575">
        <v>232110</v>
      </c>
      <c r="G127" s="575">
        <v>1816896</v>
      </c>
      <c r="H127" s="575">
        <v>3708646</v>
      </c>
      <c r="I127" s="574"/>
      <c r="J127" s="575">
        <v>162179</v>
      </c>
      <c r="K127" s="575">
        <v>4571419</v>
      </c>
      <c r="L127" s="575">
        <v>215902</v>
      </c>
      <c r="M127" s="575">
        <v>-266378</v>
      </c>
      <c r="N127" s="575"/>
      <c r="O127" s="575">
        <v>729470</v>
      </c>
      <c r="P127" s="574"/>
      <c r="Q127" s="574"/>
      <c r="R127" s="575">
        <v>11170245</v>
      </c>
      <c r="S127" s="142">
        <f t="shared" si="23"/>
        <v>5525542</v>
      </c>
      <c r="T127" s="142">
        <f t="shared" si="24"/>
        <v>4733598</v>
      </c>
      <c r="U127" s="142">
        <f t="shared" si="25"/>
        <v>729470</v>
      </c>
      <c r="W127" s="601">
        <f t="shared" si="16"/>
        <v>11170244</v>
      </c>
      <c r="X127" s="601">
        <f t="shared" si="17"/>
        <v>-1</v>
      </c>
      <c r="Y127" s="123"/>
      <c r="Z127" s="692">
        <f t="shared" si="15"/>
        <v>10491250</v>
      </c>
      <c r="AA127" s="123"/>
      <c r="AB127" s="123"/>
      <c r="AC127" s="123"/>
    </row>
    <row r="128" spans="1:29" ht="12.75" thickBot="1">
      <c r="A128" s="146" t="s">
        <v>1274</v>
      </c>
      <c r="B128" s="147" t="s">
        <v>415</v>
      </c>
      <c r="C128" s="147" t="s">
        <v>443</v>
      </c>
      <c r="D128" s="153" t="s">
        <v>21</v>
      </c>
      <c r="E128" s="587">
        <v>10884472</v>
      </c>
      <c r="F128" s="588">
        <v>8840</v>
      </c>
      <c r="G128" s="588">
        <v>130723</v>
      </c>
      <c r="H128" s="588">
        <v>296602</v>
      </c>
      <c r="I128" s="589"/>
      <c r="J128" s="588">
        <v>12726</v>
      </c>
      <c r="K128" s="588">
        <v>296412</v>
      </c>
      <c r="L128" s="588">
        <v>17267</v>
      </c>
      <c r="M128" s="588">
        <v>-21304</v>
      </c>
      <c r="N128" s="588"/>
      <c r="O128" s="588">
        <v>58340</v>
      </c>
      <c r="P128" s="589"/>
      <c r="Q128" s="589"/>
      <c r="R128" s="588">
        <v>799606</v>
      </c>
      <c r="S128" s="590">
        <f t="shared" si="23"/>
        <v>427325</v>
      </c>
      <c r="T128" s="590">
        <f t="shared" si="24"/>
        <v>309138</v>
      </c>
      <c r="U128" s="590">
        <f t="shared" si="25"/>
        <v>58340</v>
      </c>
      <c r="W128" s="368">
        <f t="shared" si="16"/>
        <v>799606</v>
      </c>
      <c r="X128" s="368">
        <f t="shared" si="17"/>
        <v>0</v>
      </c>
      <c r="Y128" s="592"/>
      <c r="Z128" s="692">
        <f t="shared" si="15"/>
        <v>745303</v>
      </c>
      <c r="AA128" s="592"/>
      <c r="AB128" s="592"/>
      <c r="AC128" s="592"/>
    </row>
    <row r="129" spans="1:29" customFormat="1" ht="12.75" thickBot="1">
      <c r="A129" s="57" t="s">
        <v>1274</v>
      </c>
      <c r="B129" s="25" t="s">
        <v>416</v>
      </c>
      <c r="C129" s="25" t="s">
        <v>446</v>
      </c>
      <c r="D129" s="69" t="s">
        <v>20</v>
      </c>
      <c r="E129" s="576"/>
      <c r="F129" s="575"/>
      <c r="G129" s="575"/>
      <c r="H129" s="575"/>
      <c r="I129" s="574"/>
      <c r="J129" s="575"/>
      <c r="K129" s="575"/>
      <c r="L129" s="575"/>
      <c r="M129" s="575"/>
      <c r="N129" s="575"/>
      <c r="O129" s="575"/>
      <c r="P129" s="574"/>
      <c r="Q129" s="574"/>
      <c r="R129" s="575"/>
      <c r="S129" s="142">
        <f t="shared" si="23"/>
        <v>0</v>
      </c>
      <c r="T129" s="142">
        <f t="shared" si="24"/>
        <v>0</v>
      </c>
      <c r="U129" s="142">
        <f t="shared" si="25"/>
        <v>0</v>
      </c>
      <c r="W129" s="601">
        <f t="shared" si="16"/>
        <v>0</v>
      </c>
      <c r="X129" s="601">
        <f t="shared" si="17"/>
        <v>0</v>
      </c>
      <c r="Y129" s="123"/>
      <c r="Z129" s="692">
        <f t="shared" ref="Z129:Z190" si="26">SUM(F129:K129)</f>
        <v>0</v>
      </c>
      <c r="AA129" s="123"/>
      <c r="AB129" s="123"/>
      <c r="AC129" s="123"/>
    </row>
    <row r="130" spans="1:29" customFormat="1" ht="12.75" thickBot="1">
      <c r="A130" s="57" t="s">
        <v>1274</v>
      </c>
      <c r="B130" s="25" t="s">
        <v>417</v>
      </c>
      <c r="C130" s="25" t="s">
        <v>932</v>
      </c>
      <c r="D130" s="69" t="s">
        <v>920</v>
      </c>
      <c r="E130" s="576">
        <v>59375199</v>
      </c>
      <c r="F130" s="575">
        <v>42200</v>
      </c>
      <c r="G130" s="575">
        <v>751096</v>
      </c>
      <c r="H130" s="575">
        <v>1617974</v>
      </c>
      <c r="I130" s="574"/>
      <c r="J130" s="575">
        <v>61219</v>
      </c>
      <c r="K130" s="575">
        <v>1790579</v>
      </c>
      <c r="L130" s="575">
        <v>94192</v>
      </c>
      <c r="M130" s="575">
        <v>-116213</v>
      </c>
      <c r="N130" s="575"/>
      <c r="O130" s="575">
        <v>318247</v>
      </c>
      <c r="P130" s="574"/>
      <c r="Q130" s="574"/>
      <c r="R130" s="575">
        <v>4559294</v>
      </c>
      <c r="S130" s="142">
        <f t="shared" si="23"/>
        <v>2369070</v>
      </c>
      <c r="T130" s="142">
        <f t="shared" si="24"/>
        <v>1851798</v>
      </c>
      <c r="U130" s="142">
        <f t="shared" si="25"/>
        <v>318247</v>
      </c>
      <c r="W130" s="601">
        <f t="shared" si="16"/>
        <v>4559294</v>
      </c>
      <c r="X130" s="601">
        <f t="shared" si="17"/>
        <v>0</v>
      </c>
      <c r="Y130" s="123"/>
      <c r="Z130" s="692">
        <f t="shared" si="26"/>
        <v>4263068</v>
      </c>
      <c r="AA130" s="123"/>
      <c r="AB130" s="123"/>
      <c r="AC130" s="123"/>
    </row>
    <row r="131" spans="1:29" customFormat="1" ht="12.75" thickBot="1">
      <c r="A131" s="57" t="s">
        <v>1274</v>
      </c>
      <c r="B131" s="25" t="s">
        <v>418</v>
      </c>
      <c r="C131" s="25" t="s">
        <v>447</v>
      </c>
      <c r="D131" s="69" t="s">
        <v>448</v>
      </c>
      <c r="E131" s="576">
        <v>27470272</v>
      </c>
      <c r="F131" s="575">
        <v>10800</v>
      </c>
      <c r="G131" s="575">
        <v>298052</v>
      </c>
      <c r="H131" s="575">
        <v>748565</v>
      </c>
      <c r="I131" s="574"/>
      <c r="J131" s="575">
        <v>25012</v>
      </c>
      <c r="K131" s="575">
        <v>797719</v>
      </c>
      <c r="L131" s="575">
        <v>43578</v>
      </c>
      <c r="M131" s="575">
        <v>-53767</v>
      </c>
      <c r="N131" s="575"/>
      <c r="O131" s="575">
        <v>147239</v>
      </c>
      <c r="P131" s="574"/>
      <c r="Q131" s="574"/>
      <c r="R131" s="575">
        <v>2017199</v>
      </c>
      <c r="S131" s="142">
        <f t="shared" si="23"/>
        <v>1046617</v>
      </c>
      <c r="T131" s="142">
        <f t="shared" si="24"/>
        <v>822731</v>
      </c>
      <c r="U131" s="142">
        <f t="shared" si="25"/>
        <v>147239</v>
      </c>
      <c r="W131" s="601">
        <f t="shared" si="16"/>
        <v>2017198</v>
      </c>
      <c r="X131" s="601">
        <f t="shared" si="17"/>
        <v>-1</v>
      </c>
      <c r="Y131" s="123"/>
      <c r="Z131" s="692">
        <f t="shared" si="26"/>
        <v>1880148</v>
      </c>
      <c r="AA131" s="123"/>
      <c r="AB131" s="123"/>
      <c r="AC131" s="123"/>
    </row>
    <row r="132" spans="1:29" customFormat="1" ht="12.75" thickBot="1">
      <c r="A132" s="57" t="s">
        <v>1274</v>
      </c>
      <c r="B132" s="25" t="s">
        <v>420</v>
      </c>
      <c r="C132" s="25" t="s">
        <v>59</v>
      </c>
      <c r="D132" s="69" t="s">
        <v>14</v>
      </c>
      <c r="E132" s="576">
        <v>77606706</v>
      </c>
      <c r="F132" s="575">
        <v>571097</v>
      </c>
      <c r="G132" s="575">
        <v>4844211</v>
      </c>
      <c r="H132" s="575">
        <v>2114783</v>
      </c>
      <c r="I132" s="575">
        <v>129603</v>
      </c>
      <c r="J132" s="574"/>
      <c r="K132" s="574"/>
      <c r="L132" s="575">
        <v>123114</v>
      </c>
      <c r="M132" s="575">
        <v>-151897</v>
      </c>
      <c r="N132" s="575"/>
      <c r="O132" s="575">
        <v>415966</v>
      </c>
      <c r="P132" s="574"/>
      <c r="Q132" s="575"/>
      <c r="R132" s="575">
        <v>8046877</v>
      </c>
      <c r="S132" s="142">
        <f t="shared" si="23"/>
        <v>7088597</v>
      </c>
      <c r="T132" s="142">
        <f t="shared" si="24"/>
        <v>0</v>
      </c>
      <c r="U132" s="142">
        <f t="shared" si="25"/>
        <v>415966</v>
      </c>
      <c r="W132" s="601">
        <f t="shared" si="16"/>
        <v>8046877</v>
      </c>
      <c r="X132" s="601">
        <f t="shared" si="17"/>
        <v>0</v>
      </c>
      <c r="Y132" s="123"/>
      <c r="Z132" s="692">
        <f t="shared" si="26"/>
        <v>7659694</v>
      </c>
      <c r="AA132" s="123"/>
      <c r="AB132" s="123"/>
      <c r="AC132" s="123"/>
    </row>
    <row r="133" spans="1:29" customFormat="1" ht="12.75" thickBot="1">
      <c r="A133" s="57" t="s">
        <v>1274</v>
      </c>
      <c r="B133" s="25" t="s">
        <v>421</v>
      </c>
      <c r="C133" s="25" t="s">
        <v>1216</v>
      </c>
      <c r="D133" s="69" t="s">
        <v>14</v>
      </c>
      <c r="E133" s="576"/>
      <c r="F133" s="574"/>
      <c r="G133" s="575"/>
      <c r="H133" s="575"/>
      <c r="I133" s="575"/>
      <c r="J133" s="574"/>
      <c r="K133" s="574"/>
      <c r="L133" s="575"/>
      <c r="M133" s="575"/>
      <c r="N133" s="575"/>
      <c r="O133" s="575"/>
      <c r="P133" s="574"/>
      <c r="Q133" s="575"/>
      <c r="R133" s="575"/>
      <c r="S133" s="142">
        <f t="shared" si="23"/>
        <v>0</v>
      </c>
      <c r="T133" s="142">
        <f t="shared" si="24"/>
        <v>0</v>
      </c>
      <c r="U133" s="142">
        <f t="shared" si="25"/>
        <v>0</v>
      </c>
      <c r="W133" s="601">
        <f t="shared" si="16"/>
        <v>0</v>
      </c>
      <c r="X133" s="601">
        <f t="shared" si="17"/>
        <v>0</v>
      </c>
      <c r="Y133" s="123"/>
      <c r="Z133" s="692">
        <f t="shared" si="26"/>
        <v>0</v>
      </c>
      <c r="AA133" s="123"/>
      <c r="AB133" s="123"/>
      <c r="AC133" s="123"/>
    </row>
    <row r="134" spans="1:29" customFormat="1" ht="12.75" thickBot="1">
      <c r="A134" s="57" t="s">
        <v>1274</v>
      </c>
      <c r="B134" s="25" t="s">
        <v>423</v>
      </c>
      <c r="C134" s="25" t="s">
        <v>452</v>
      </c>
      <c r="D134" s="69" t="s">
        <v>14</v>
      </c>
      <c r="E134" s="576"/>
      <c r="F134" s="575"/>
      <c r="G134" s="575"/>
      <c r="H134" s="575"/>
      <c r="I134" s="575"/>
      <c r="J134" s="574"/>
      <c r="K134" s="574"/>
      <c r="L134" s="575"/>
      <c r="M134" s="575"/>
      <c r="N134" s="575"/>
      <c r="O134" s="575"/>
      <c r="P134" s="574"/>
      <c r="Q134" s="574"/>
      <c r="R134" s="575"/>
      <c r="S134" s="142">
        <f t="shared" si="23"/>
        <v>0</v>
      </c>
      <c r="T134" s="142">
        <f t="shared" si="24"/>
        <v>0</v>
      </c>
      <c r="U134" s="142">
        <f t="shared" si="25"/>
        <v>0</v>
      </c>
      <c r="W134" s="601">
        <f t="shared" si="16"/>
        <v>0</v>
      </c>
      <c r="X134" s="601">
        <f t="shared" si="17"/>
        <v>0</v>
      </c>
      <c r="Y134" s="123"/>
      <c r="Z134" s="692">
        <f t="shared" si="26"/>
        <v>0</v>
      </c>
      <c r="AA134" s="123"/>
      <c r="AB134" s="123"/>
      <c r="AC134" s="123"/>
    </row>
    <row r="135" spans="1:29" customFormat="1" ht="12.75" thickBot="1">
      <c r="A135" s="57" t="s">
        <v>1274</v>
      </c>
      <c r="B135" s="25" t="s">
        <v>424</v>
      </c>
      <c r="C135" s="25" t="s">
        <v>463</v>
      </c>
      <c r="D135" s="25" t="s">
        <v>464</v>
      </c>
      <c r="E135" s="576">
        <v>4744800</v>
      </c>
      <c r="F135" s="574"/>
      <c r="G135" s="575">
        <v>46357</v>
      </c>
      <c r="H135" s="575">
        <v>129296</v>
      </c>
      <c r="I135" s="574"/>
      <c r="J135" s="575">
        <v>3447</v>
      </c>
      <c r="K135" s="575">
        <v>92982</v>
      </c>
      <c r="L135" s="575"/>
      <c r="M135" s="575">
        <v>-9287</v>
      </c>
      <c r="N135" s="575"/>
      <c r="O135" s="575">
        <v>25432</v>
      </c>
      <c r="P135" s="574"/>
      <c r="Q135" s="574"/>
      <c r="R135" s="575">
        <v>288226</v>
      </c>
      <c r="S135" s="142">
        <f t="shared" si="23"/>
        <v>175653</v>
      </c>
      <c r="T135" s="142">
        <f t="shared" si="24"/>
        <v>96429</v>
      </c>
      <c r="U135" s="142">
        <f t="shared" si="25"/>
        <v>25432</v>
      </c>
      <c r="W135" s="601">
        <f t="shared" si="16"/>
        <v>288227</v>
      </c>
      <c r="X135" s="601">
        <f t="shared" si="17"/>
        <v>1</v>
      </c>
      <c r="Y135" s="123"/>
      <c r="Z135" s="692">
        <f t="shared" si="26"/>
        <v>272082</v>
      </c>
      <c r="AA135" s="123"/>
      <c r="AB135" s="123"/>
      <c r="AC135" s="123"/>
    </row>
    <row r="136" spans="1:29" customFormat="1" ht="12.75" thickBot="1">
      <c r="A136" s="57" t="s">
        <v>1274</v>
      </c>
      <c r="B136" s="25" t="s">
        <v>1204</v>
      </c>
      <c r="C136" s="25" t="s">
        <v>1206</v>
      </c>
      <c r="D136" s="69" t="s">
        <v>63</v>
      </c>
      <c r="E136" s="574"/>
      <c r="F136" s="574"/>
      <c r="G136" s="574"/>
      <c r="H136" s="574"/>
      <c r="I136" s="574"/>
      <c r="J136" s="574"/>
      <c r="K136" s="574"/>
      <c r="L136" s="574"/>
      <c r="M136" s="574"/>
      <c r="N136" s="574"/>
      <c r="O136" s="574"/>
      <c r="P136" s="578">
        <v>-221406</v>
      </c>
      <c r="Q136" s="574"/>
      <c r="R136" s="578">
        <v>-221406</v>
      </c>
      <c r="S136" s="142">
        <f t="shared" si="23"/>
        <v>0</v>
      </c>
      <c r="T136" s="142">
        <f t="shared" si="24"/>
        <v>0</v>
      </c>
      <c r="U136" s="142">
        <f t="shared" si="25"/>
        <v>0</v>
      </c>
      <c r="W136" s="601">
        <f t="shared" si="16"/>
        <v>-221406</v>
      </c>
      <c r="X136" s="601">
        <f t="shared" si="17"/>
        <v>0</v>
      </c>
      <c r="Y136" s="123"/>
      <c r="Z136" s="692">
        <f t="shared" si="26"/>
        <v>0</v>
      </c>
      <c r="AA136" s="123"/>
      <c r="AB136" s="123"/>
      <c r="AC136" s="123"/>
    </row>
    <row r="137" spans="1:29" customFormat="1" ht="12.75" thickBot="1">
      <c r="A137" s="57" t="s">
        <v>1274</v>
      </c>
      <c r="B137" s="25" t="s">
        <v>1204</v>
      </c>
      <c r="C137" s="25" t="s">
        <v>1206</v>
      </c>
      <c r="D137" s="69" t="s">
        <v>63</v>
      </c>
      <c r="E137" s="574"/>
      <c r="F137" s="574"/>
      <c r="G137" s="574"/>
      <c r="H137" s="574"/>
      <c r="I137" s="574"/>
      <c r="J137" s="574"/>
      <c r="K137" s="574"/>
      <c r="L137" s="574"/>
      <c r="M137" s="574"/>
      <c r="N137" s="574"/>
      <c r="O137" s="574"/>
      <c r="P137" s="575">
        <v>-65120</v>
      </c>
      <c r="Q137" s="574"/>
      <c r="R137" s="575">
        <v>-65120</v>
      </c>
      <c r="S137" s="142">
        <f t="shared" si="23"/>
        <v>0</v>
      </c>
      <c r="T137" s="142">
        <f t="shared" si="24"/>
        <v>0</v>
      </c>
      <c r="U137" s="142">
        <f t="shared" si="25"/>
        <v>0</v>
      </c>
      <c r="W137" s="601">
        <f t="shared" si="16"/>
        <v>-65120</v>
      </c>
      <c r="X137" s="601">
        <f t="shared" si="17"/>
        <v>0</v>
      </c>
      <c r="Y137" s="123"/>
      <c r="Z137" s="692">
        <f t="shared" si="26"/>
        <v>0</v>
      </c>
      <c r="AA137" s="123"/>
      <c r="AB137" s="123"/>
      <c r="AC137" s="123"/>
    </row>
    <row r="138" spans="1:29" customFormat="1" ht="12.75" thickBot="1">
      <c r="A138" s="57" t="s">
        <v>1274</v>
      </c>
      <c r="B138" s="25" t="s">
        <v>854</v>
      </c>
      <c r="C138" s="25" t="s">
        <v>855</v>
      </c>
      <c r="D138" s="69" t="s">
        <v>1125</v>
      </c>
      <c r="E138" s="574"/>
      <c r="F138" s="574"/>
      <c r="G138" s="574"/>
      <c r="H138" s="574"/>
      <c r="I138" s="574"/>
      <c r="J138" s="574"/>
      <c r="K138" s="574"/>
      <c r="L138" s="574"/>
      <c r="M138" s="574"/>
      <c r="N138" s="574"/>
      <c r="O138" s="574"/>
      <c r="P138" s="574"/>
      <c r="Q138" s="574"/>
      <c r="R138" s="574"/>
      <c r="S138" s="142">
        <f t="shared" si="23"/>
        <v>0</v>
      </c>
      <c r="T138" s="142">
        <f t="shared" si="24"/>
        <v>0</v>
      </c>
      <c r="U138" s="142">
        <f t="shared" si="25"/>
        <v>0</v>
      </c>
      <c r="W138" s="601">
        <f t="shared" si="16"/>
        <v>0</v>
      </c>
      <c r="X138" s="601">
        <f t="shared" si="17"/>
        <v>0</v>
      </c>
      <c r="Y138" s="123"/>
      <c r="Z138" s="692">
        <f t="shared" si="26"/>
        <v>0</v>
      </c>
      <c r="AA138" s="123"/>
      <c r="AB138" s="123"/>
      <c r="AC138" s="123"/>
    </row>
    <row r="139" spans="1:29" customFormat="1" ht="12.75" thickBot="1">
      <c r="A139" s="57" t="s">
        <v>1274</v>
      </c>
      <c r="B139" s="25" t="s">
        <v>426</v>
      </c>
      <c r="C139" s="25" t="s">
        <v>450</v>
      </c>
      <c r="D139" s="69" t="s">
        <v>451</v>
      </c>
      <c r="E139" s="576">
        <v>9522500</v>
      </c>
      <c r="F139" s="574"/>
      <c r="G139" s="575">
        <v>96653</v>
      </c>
      <c r="H139" s="575">
        <v>259488</v>
      </c>
      <c r="I139" s="574"/>
      <c r="J139" s="575">
        <v>5582</v>
      </c>
      <c r="K139" s="575">
        <v>176492</v>
      </c>
      <c r="L139" s="575"/>
      <c r="M139" s="575">
        <v>-18638</v>
      </c>
      <c r="N139" s="575"/>
      <c r="O139" s="575">
        <v>51040</v>
      </c>
      <c r="P139" s="574"/>
      <c r="Q139" s="574"/>
      <c r="R139" s="575">
        <v>570617</v>
      </c>
      <c r="S139" s="142">
        <f t="shared" si="23"/>
        <v>356141</v>
      </c>
      <c r="T139" s="142">
        <f t="shared" si="24"/>
        <v>182074</v>
      </c>
      <c r="U139" s="142">
        <f t="shared" si="25"/>
        <v>51040</v>
      </c>
      <c r="W139" s="601">
        <f t="shared" si="16"/>
        <v>570617</v>
      </c>
      <c r="X139" s="601">
        <f t="shared" si="17"/>
        <v>0</v>
      </c>
      <c r="Y139" s="123"/>
      <c r="Z139" s="692">
        <f t="shared" si="26"/>
        <v>538215</v>
      </c>
      <c r="AA139" s="123"/>
      <c r="AB139" s="123"/>
      <c r="AC139" s="123"/>
    </row>
    <row r="140" spans="1:29" customFormat="1" ht="12.75" thickBot="1">
      <c r="A140" s="57" t="s">
        <v>1274</v>
      </c>
      <c r="B140" s="25" t="s">
        <v>427</v>
      </c>
      <c r="C140" s="25" t="s">
        <v>54</v>
      </c>
      <c r="D140" s="25" t="s">
        <v>15</v>
      </c>
      <c r="E140" s="576">
        <v>57918168</v>
      </c>
      <c r="F140" s="575">
        <v>9000</v>
      </c>
      <c r="G140" s="575">
        <v>512576</v>
      </c>
      <c r="H140" s="575">
        <v>1578270</v>
      </c>
      <c r="I140" s="574"/>
      <c r="J140" s="575">
        <v>40431</v>
      </c>
      <c r="K140" s="575">
        <v>1142761</v>
      </c>
      <c r="L140" s="575"/>
      <c r="M140" s="575">
        <v>-113361</v>
      </c>
      <c r="N140" s="575"/>
      <c r="O140" s="575">
        <v>310437</v>
      </c>
      <c r="P140" s="574"/>
      <c r="Q140" s="574"/>
      <c r="R140" s="575">
        <v>3480114</v>
      </c>
      <c r="S140" s="142">
        <f t="shared" si="23"/>
        <v>2090846</v>
      </c>
      <c r="T140" s="142">
        <f t="shared" si="24"/>
        <v>1183192</v>
      </c>
      <c r="U140" s="142">
        <f t="shared" si="25"/>
        <v>310437</v>
      </c>
      <c r="W140" s="601">
        <f t="shared" si="16"/>
        <v>3480114</v>
      </c>
      <c r="X140" s="601">
        <f t="shared" si="17"/>
        <v>0</v>
      </c>
      <c r="Y140" s="123"/>
      <c r="Z140" s="692">
        <f t="shared" si="26"/>
        <v>3283038</v>
      </c>
      <c r="AA140" s="123"/>
      <c r="AB140" s="123"/>
      <c r="AC140" s="123"/>
    </row>
    <row r="141" spans="1:29" customFormat="1" ht="12.75" thickBot="1">
      <c r="A141" s="57" t="s">
        <v>1274</v>
      </c>
      <c r="B141" s="25" t="s">
        <v>428</v>
      </c>
      <c r="C141" s="25" t="s">
        <v>458</v>
      </c>
      <c r="D141" s="69" t="s">
        <v>20</v>
      </c>
      <c r="E141" s="576">
        <v>19552110</v>
      </c>
      <c r="F141" s="575">
        <v>20070</v>
      </c>
      <c r="G141" s="575">
        <v>261021</v>
      </c>
      <c r="H141" s="575">
        <v>532795</v>
      </c>
      <c r="I141" s="574"/>
      <c r="J141" s="575">
        <v>29644</v>
      </c>
      <c r="K141" s="575">
        <v>835602</v>
      </c>
      <c r="L141" s="575">
        <v>31017</v>
      </c>
      <c r="M141" s="575">
        <v>-38269</v>
      </c>
      <c r="N141" s="575"/>
      <c r="O141" s="575">
        <v>104798</v>
      </c>
      <c r="P141" s="574"/>
      <c r="Q141" s="574"/>
      <c r="R141" s="575">
        <v>1776678</v>
      </c>
      <c r="S141" s="142">
        <f t="shared" si="23"/>
        <v>793816</v>
      </c>
      <c r="T141" s="142">
        <f t="shared" si="24"/>
        <v>865246</v>
      </c>
      <c r="U141" s="142">
        <f t="shared" si="25"/>
        <v>104798</v>
      </c>
      <c r="W141" s="601">
        <f t="shared" si="16"/>
        <v>1776678</v>
      </c>
      <c r="X141" s="601">
        <f t="shared" si="17"/>
        <v>0</v>
      </c>
      <c r="Y141" s="123"/>
      <c r="Z141" s="692">
        <f t="shared" si="26"/>
        <v>1679132</v>
      </c>
      <c r="AA141" s="123"/>
      <c r="AB141" s="123"/>
      <c r="AC141" s="123"/>
    </row>
    <row r="142" spans="1:29" customFormat="1" ht="12.75" thickBot="1">
      <c r="A142" s="57" t="s">
        <v>1274</v>
      </c>
      <c r="B142" s="25" t="s">
        <v>429</v>
      </c>
      <c r="C142" s="25" t="s">
        <v>457</v>
      </c>
      <c r="D142" s="153" t="s">
        <v>21</v>
      </c>
      <c r="E142" s="576">
        <v>993661</v>
      </c>
      <c r="F142" s="575">
        <v>3570</v>
      </c>
      <c r="G142" s="575">
        <v>11934</v>
      </c>
      <c r="H142" s="575">
        <v>27077</v>
      </c>
      <c r="I142" s="574"/>
      <c r="J142" s="575">
        <v>1730</v>
      </c>
      <c r="K142" s="575">
        <v>40285</v>
      </c>
      <c r="L142" s="575">
        <v>1576</v>
      </c>
      <c r="M142" s="575">
        <v>-1945</v>
      </c>
      <c r="N142" s="575"/>
      <c r="O142" s="575">
        <v>5326</v>
      </c>
      <c r="P142" s="574"/>
      <c r="Q142" s="574"/>
      <c r="R142" s="575">
        <v>89553</v>
      </c>
      <c r="S142" s="142">
        <f t="shared" si="23"/>
        <v>39011</v>
      </c>
      <c r="T142" s="142">
        <f t="shared" si="24"/>
        <v>42015</v>
      </c>
      <c r="U142" s="142">
        <f t="shared" si="25"/>
        <v>5326</v>
      </c>
      <c r="W142" s="601">
        <f t="shared" ref="W142:W203" si="27">SUM(F142:Q142)</f>
        <v>89553</v>
      </c>
      <c r="X142" s="601">
        <f t="shared" ref="X142:X203" si="28">W142-R142</f>
        <v>0</v>
      </c>
      <c r="Y142" s="123"/>
      <c r="Z142" s="692">
        <f t="shared" si="26"/>
        <v>84596</v>
      </c>
      <c r="AA142" s="123"/>
      <c r="AB142" s="123"/>
      <c r="AC142" s="123"/>
    </row>
    <row r="143" spans="1:29" customFormat="1" ht="12.75" thickBot="1">
      <c r="A143" s="57" t="s">
        <v>1274</v>
      </c>
      <c r="B143" s="25" t="s">
        <v>430</v>
      </c>
      <c r="C143" s="25" t="s">
        <v>933</v>
      </c>
      <c r="D143" s="69" t="s">
        <v>920</v>
      </c>
      <c r="E143" s="576">
        <v>19185880</v>
      </c>
      <c r="F143" s="575">
        <v>17600</v>
      </c>
      <c r="G143" s="575">
        <v>242701</v>
      </c>
      <c r="H143" s="575">
        <v>522815</v>
      </c>
      <c r="I143" s="574"/>
      <c r="J143" s="575">
        <v>21981</v>
      </c>
      <c r="K143" s="575">
        <v>642728</v>
      </c>
      <c r="L143" s="575">
        <v>30436</v>
      </c>
      <c r="M143" s="575">
        <v>-37552</v>
      </c>
      <c r="N143" s="575"/>
      <c r="O143" s="575">
        <v>102835</v>
      </c>
      <c r="P143" s="574"/>
      <c r="Q143" s="574"/>
      <c r="R143" s="575">
        <v>1543545</v>
      </c>
      <c r="S143" s="142">
        <f t="shared" si="23"/>
        <v>765516</v>
      </c>
      <c r="T143" s="142">
        <f t="shared" si="24"/>
        <v>664709</v>
      </c>
      <c r="U143" s="142">
        <f t="shared" si="25"/>
        <v>102835</v>
      </c>
      <c r="W143" s="601">
        <f t="shared" si="27"/>
        <v>1543544</v>
      </c>
      <c r="X143" s="601">
        <f t="shared" si="28"/>
        <v>-1</v>
      </c>
      <c r="Y143" s="123"/>
      <c r="Z143" s="692">
        <f t="shared" si="26"/>
        <v>1447825</v>
      </c>
      <c r="AA143" s="123"/>
      <c r="AB143" s="123"/>
      <c r="AC143" s="123"/>
    </row>
    <row r="144" spans="1:29" customFormat="1" ht="12.75" thickBot="1">
      <c r="A144" s="57" t="s">
        <v>1274</v>
      </c>
      <c r="B144" s="25" t="s">
        <v>431</v>
      </c>
      <c r="C144" s="25" t="s">
        <v>459</v>
      </c>
      <c r="D144" s="69" t="s">
        <v>460</v>
      </c>
      <c r="E144" s="576">
        <v>125299763</v>
      </c>
      <c r="F144" s="575">
        <v>20100</v>
      </c>
      <c r="G144" s="575">
        <v>1018687</v>
      </c>
      <c r="H144" s="575">
        <v>3414419</v>
      </c>
      <c r="I144" s="574"/>
      <c r="J144" s="575">
        <v>120783</v>
      </c>
      <c r="K144" s="575">
        <v>3331303</v>
      </c>
      <c r="L144" s="575">
        <v>198773</v>
      </c>
      <c r="M144" s="575">
        <v>-245245</v>
      </c>
      <c r="N144" s="575"/>
      <c r="O144" s="575">
        <v>671598</v>
      </c>
      <c r="P144" s="574"/>
      <c r="Q144" s="574"/>
      <c r="R144" s="575">
        <v>8530418</v>
      </c>
      <c r="S144" s="142">
        <f t="shared" si="23"/>
        <v>4433106</v>
      </c>
      <c r="T144" s="142">
        <f t="shared" si="24"/>
        <v>3452086</v>
      </c>
      <c r="U144" s="142">
        <f t="shared" si="25"/>
        <v>671598</v>
      </c>
      <c r="W144" s="601">
        <f t="shared" si="27"/>
        <v>8530418</v>
      </c>
      <c r="X144" s="601">
        <f t="shared" si="28"/>
        <v>0</v>
      </c>
      <c r="Y144" s="123"/>
      <c r="Z144" s="692">
        <f t="shared" si="26"/>
        <v>7905292</v>
      </c>
      <c r="AA144" s="123"/>
      <c r="AB144" s="123"/>
      <c r="AC144" s="123"/>
    </row>
    <row r="145" spans="1:29" customFormat="1" ht="12.75" thickBot="1">
      <c r="A145" s="57" t="s">
        <v>1274</v>
      </c>
      <c r="B145" s="25" t="s">
        <v>433</v>
      </c>
      <c r="C145" s="25" t="s">
        <v>462</v>
      </c>
      <c r="D145" s="69" t="s">
        <v>17</v>
      </c>
      <c r="E145" s="576"/>
      <c r="F145" s="574"/>
      <c r="G145" s="575"/>
      <c r="H145" s="575"/>
      <c r="I145" s="575"/>
      <c r="J145" s="574"/>
      <c r="K145" s="574"/>
      <c r="L145" s="574"/>
      <c r="M145" s="575"/>
      <c r="N145" s="575"/>
      <c r="O145" s="574"/>
      <c r="P145" s="574"/>
      <c r="Q145" s="574"/>
      <c r="R145" s="575"/>
      <c r="S145" s="142">
        <f t="shared" si="23"/>
        <v>0</v>
      </c>
      <c r="T145" s="142">
        <f t="shared" si="24"/>
        <v>0</v>
      </c>
      <c r="U145" s="142">
        <f t="shared" si="25"/>
        <v>0</v>
      </c>
      <c r="W145" s="601">
        <f t="shared" si="27"/>
        <v>0</v>
      </c>
      <c r="X145" s="601">
        <f t="shared" si="28"/>
        <v>0</v>
      </c>
      <c r="Y145" s="123"/>
      <c r="Z145" s="692">
        <f t="shared" si="26"/>
        <v>0</v>
      </c>
      <c r="AA145" s="123"/>
      <c r="AB145" s="123"/>
      <c r="AC145" s="123"/>
    </row>
    <row r="146" spans="1:29" customFormat="1" ht="12.75" thickBot="1">
      <c r="A146" s="57" t="s">
        <v>1274</v>
      </c>
      <c r="B146" s="25" t="s">
        <v>434</v>
      </c>
      <c r="C146" s="25" t="s">
        <v>462</v>
      </c>
      <c r="D146" s="69" t="s">
        <v>17</v>
      </c>
      <c r="E146" s="576">
        <v>285906</v>
      </c>
      <c r="F146" s="574"/>
      <c r="G146" s="575">
        <f>ROUND(E146*0.06461,0)</f>
        <v>18472</v>
      </c>
      <c r="H146" s="575"/>
      <c r="I146" s="575"/>
      <c r="J146" s="574"/>
      <c r="K146" s="574"/>
      <c r="L146" s="574"/>
      <c r="M146" s="575">
        <f>ROUND(E146*-0.00196,0)</f>
        <v>-560</v>
      </c>
      <c r="N146" s="575">
        <f>ROUND(E146*0.00536,0)</f>
        <v>1532</v>
      </c>
      <c r="O146" s="574"/>
      <c r="P146" s="574"/>
      <c r="Q146" s="574"/>
      <c r="R146" s="575">
        <f>SUM(F146:N146)</f>
        <v>19444</v>
      </c>
      <c r="S146" s="142">
        <f t="shared" si="23"/>
        <v>18472</v>
      </c>
      <c r="T146" s="142">
        <f t="shared" si="24"/>
        <v>0</v>
      </c>
      <c r="U146" s="142">
        <f t="shared" si="25"/>
        <v>1532</v>
      </c>
      <c r="W146" s="601">
        <f t="shared" si="27"/>
        <v>19444</v>
      </c>
      <c r="X146" s="601">
        <f t="shared" si="28"/>
        <v>0</v>
      </c>
      <c r="Y146" s="123"/>
      <c r="Z146" s="692">
        <f t="shared" si="26"/>
        <v>18472</v>
      </c>
      <c r="AA146" s="123"/>
      <c r="AB146" s="123"/>
      <c r="AC146" s="123"/>
    </row>
    <row r="147" spans="1:29" customFormat="1" ht="12.75" thickBot="1">
      <c r="A147" s="57" t="s">
        <v>1274</v>
      </c>
      <c r="B147" s="25" t="s">
        <v>435</v>
      </c>
      <c r="C147" s="25" t="s">
        <v>462</v>
      </c>
      <c r="D147" s="69" t="s">
        <v>17</v>
      </c>
      <c r="E147" s="576"/>
      <c r="F147" s="574"/>
      <c r="G147" s="575"/>
      <c r="H147" s="575"/>
      <c r="I147" s="575"/>
      <c r="J147" s="574"/>
      <c r="K147" s="574"/>
      <c r="L147" s="574"/>
      <c r="M147" s="575"/>
      <c r="N147" s="575"/>
      <c r="O147" s="574"/>
      <c r="P147" s="574"/>
      <c r="Q147" s="574"/>
      <c r="R147" s="575"/>
      <c r="S147" s="142">
        <f t="shared" si="23"/>
        <v>0</v>
      </c>
      <c r="T147" s="142">
        <f t="shared" si="24"/>
        <v>0</v>
      </c>
      <c r="U147" s="142">
        <f t="shared" si="25"/>
        <v>0</v>
      </c>
      <c r="W147" s="601">
        <f t="shared" si="27"/>
        <v>0</v>
      </c>
      <c r="X147" s="601">
        <f t="shared" si="28"/>
        <v>0</v>
      </c>
      <c r="Y147" s="123"/>
      <c r="Z147" s="692">
        <f t="shared" si="26"/>
        <v>0</v>
      </c>
      <c r="AA147" s="123"/>
      <c r="AB147" s="123"/>
      <c r="AC147" s="123"/>
    </row>
    <row r="148" spans="1:29" customFormat="1" ht="12.75" thickBot="1">
      <c r="A148" s="57" t="s">
        <v>1274</v>
      </c>
      <c r="B148" s="25" t="s">
        <v>436</v>
      </c>
      <c r="C148" s="25" t="s">
        <v>55</v>
      </c>
      <c r="D148" s="69" t="s">
        <v>18</v>
      </c>
      <c r="E148" s="576">
        <v>246865</v>
      </c>
      <c r="F148" s="575">
        <f>ROUND('1022'!D62*3.25,0)</f>
        <v>2941</v>
      </c>
      <c r="G148" s="575">
        <f>ROUND(E148*0.07658,0)</f>
        <v>18905</v>
      </c>
      <c r="H148" s="575"/>
      <c r="I148" s="575"/>
      <c r="J148" s="574"/>
      <c r="K148" s="574"/>
      <c r="L148" s="574"/>
      <c r="M148" s="575">
        <f>ROUND(E148*-0.00196,0)</f>
        <v>-484</v>
      </c>
      <c r="N148" s="575">
        <f>ROUND(E148*0.00536,0)</f>
        <v>1323</v>
      </c>
      <c r="O148" s="574"/>
      <c r="P148" s="574"/>
      <c r="Q148" s="574"/>
      <c r="R148" s="575">
        <f>SUM(F148:N148)</f>
        <v>22685</v>
      </c>
      <c r="S148" s="142">
        <f t="shared" si="23"/>
        <v>18905</v>
      </c>
      <c r="T148" s="142">
        <f t="shared" si="24"/>
        <v>0</v>
      </c>
      <c r="U148" s="142">
        <f t="shared" si="25"/>
        <v>1323</v>
      </c>
      <c r="W148" s="601">
        <f t="shared" si="27"/>
        <v>22685</v>
      </c>
      <c r="X148" s="601">
        <f t="shared" si="28"/>
        <v>0</v>
      </c>
      <c r="Y148" s="123"/>
      <c r="Z148" s="692">
        <f t="shared" si="26"/>
        <v>21846</v>
      </c>
      <c r="AA148" s="123"/>
      <c r="AB148" s="123"/>
      <c r="AC148" s="123"/>
    </row>
    <row r="149" spans="1:29" customFormat="1" ht="12.75" thickBot="1">
      <c r="A149" s="57" t="s">
        <v>1274</v>
      </c>
      <c r="B149" s="25" t="s">
        <v>437</v>
      </c>
      <c r="C149" s="25" t="s">
        <v>55</v>
      </c>
      <c r="D149" s="69" t="s">
        <v>18</v>
      </c>
      <c r="E149" s="576"/>
      <c r="F149" s="575"/>
      <c r="G149" s="575"/>
      <c r="H149" s="575"/>
      <c r="I149" s="575"/>
      <c r="J149" s="574"/>
      <c r="K149" s="574"/>
      <c r="L149" s="574"/>
      <c r="M149" s="575"/>
      <c r="N149" s="575"/>
      <c r="O149" s="574"/>
      <c r="P149" s="574"/>
      <c r="Q149" s="574"/>
      <c r="R149" s="575"/>
      <c r="S149" s="142">
        <f t="shared" si="23"/>
        <v>0</v>
      </c>
      <c r="T149" s="142">
        <f t="shared" si="24"/>
        <v>0</v>
      </c>
      <c r="U149" s="142">
        <f t="shared" si="25"/>
        <v>0</v>
      </c>
      <c r="W149" s="601">
        <f t="shared" si="27"/>
        <v>0</v>
      </c>
      <c r="X149" s="601">
        <f t="shared" si="28"/>
        <v>0</v>
      </c>
      <c r="Y149" s="123"/>
      <c r="Z149" s="692">
        <f t="shared" si="26"/>
        <v>0</v>
      </c>
      <c r="AA149" s="123"/>
      <c r="AB149" s="123"/>
      <c r="AC149" s="123"/>
    </row>
    <row r="150" spans="1:29" customFormat="1" ht="12.75" thickBot="1">
      <c r="A150" s="57" t="s">
        <v>1274</v>
      </c>
      <c r="B150" s="25" t="s">
        <v>856</v>
      </c>
      <c r="C150" s="25" t="s">
        <v>857</v>
      </c>
      <c r="D150" s="69" t="s">
        <v>1125</v>
      </c>
      <c r="E150" s="574"/>
      <c r="F150" s="574"/>
      <c r="G150" s="574"/>
      <c r="H150" s="574"/>
      <c r="I150" s="574"/>
      <c r="J150" s="574"/>
      <c r="K150" s="574"/>
      <c r="L150" s="574"/>
      <c r="M150" s="574"/>
      <c r="N150" s="574"/>
      <c r="O150" s="574"/>
      <c r="P150" s="574"/>
      <c r="Q150" s="574"/>
      <c r="R150" s="574"/>
      <c r="S150" s="142">
        <f t="shared" si="23"/>
        <v>0</v>
      </c>
      <c r="T150" s="142">
        <f t="shared" si="24"/>
        <v>0</v>
      </c>
      <c r="U150" s="142">
        <f t="shared" si="25"/>
        <v>0</v>
      </c>
      <c r="W150" s="601">
        <f t="shared" si="27"/>
        <v>0</v>
      </c>
      <c r="X150" s="601">
        <f t="shared" si="28"/>
        <v>0</v>
      </c>
      <c r="Y150" s="123"/>
      <c r="Z150" s="692">
        <f t="shared" si="26"/>
        <v>0</v>
      </c>
      <c r="AA150" s="123"/>
      <c r="AB150" s="123"/>
      <c r="AC150" s="123"/>
    </row>
    <row r="151" spans="1:29" customFormat="1" ht="12.75" thickBot="1">
      <c r="A151" s="57" t="s">
        <v>1274</v>
      </c>
      <c r="B151" s="25" t="s">
        <v>438</v>
      </c>
      <c r="C151" s="25" t="s">
        <v>469</v>
      </c>
      <c r="D151" s="69" t="s">
        <v>13</v>
      </c>
      <c r="E151" s="576"/>
      <c r="F151" s="574"/>
      <c r="G151" s="575"/>
      <c r="H151" s="575"/>
      <c r="I151" s="575"/>
      <c r="J151" s="574"/>
      <c r="K151" s="574"/>
      <c r="L151" s="575"/>
      <c r="M151" s="575"/>
      <c r="N151" s="575"/>
      <c r="O151" s="574"/>
      <c r="P151" s="574"/>
      <c r="Q151" s="575"/>
      <c r="R151" s="575"/>
      <c r="S151" s="142">
        <f t="shared" si="23"/>
        <v>0</v>
      </c>
      <c r="T151" s="142">
        <f t="shared" si="24"/>
        <v>0</v>
      </c>
      <c r="U151" s="142">
        <f t="shared" si="25"/>
        <v>0</v>
      </c>
      <c r="W151" s="601">
        <f t="shared" si="27"/>
        <v>0</v>
      </c>
      <c r="X151" s="601">
        <f t="shared" si="28"/>
        <v>0</v>
      </c>
      <c r="Y151" s="123"/>
      <c r="Z151" s="692">
        <f t="shared" si="26"/>
        <v>0</v>
      </c>
      <c r="AA151" s="123"/>
      <c r="AB151" s="123"/>
      <c r="AC151" s="123"/>
    </row>
    <row r="152" spans="1:29" customFormat="1" ht="12.75" thickBot="1">
      <c r="A152" s="57" t="s">
        <v>1274</v>
      </c>
      <c r="B152" s="25" t="s">
        <v>439</v>
      </c>
      <c r="C152" s="25" t="s">
        <v>466</v>
      </c>
      <c r="D152" s="69" t="s">
        <v>13</v>
      </c>
      <c r="E152" s="576">
        <v>347328231</v>
      </c>
      <c r="F152" s="575">
        <v>3863142</v>
      </c>
      <c r="G152" s="575">
        <v>18120114</v>
      </c>
      <c r="H152" s="575">
        <v>9464694</v>
      </c>
      <c r="I152" s="575">
        <v>465420</v>
      </c>
      <c r="J152" s="574"/>
      <c r="K152" s="574"/>
      <c r="L152" s="575">
        <v>550995</v>
      </c>
      <c r="M152" s="575">
        <v>-679813</v>
      </c>
      <c r="N152" s="575">
        <v>1861654</v>
      </c>
      <c r="O152" s="574"/>
      <c r="P152" s="574"/>
      <c r="Q152" s="575"/>
      <c r="R152" s="575">
        <v>33646206</v>
      </c>
      <c r="S152" s="142">
        <f t="shared" si="23"/>
        <v>28050228</v>
      </c>
      <c r="T152" s="142">
        <f t="shared" si="24"/>
        <v>0</v>
      </c>
      <c r="U152" s="142">
        <f t="shared" si="25"/>
        <v>1861654</v>
      </c>
      <c r="W152" s="601">
        <f t="shared" si="27"/>
        <v>33646206</v>
      </c>
      <c r="X152" s="601">
        <f t="shared" si="28"/>
        <v>0</v>
      </c>
      <c r="Y152" s="123"/>
      <c r="Z152" s="692">
        <f t="shared" si="26"/>
        <v>31913370</v>
      </c>
      <c r="AA152" s="123"/>
      <c r="AB152" s="123"/>
      <c r="AC152" s="123"/>
    </row>
    <row r="153" spans="1:29" customFormat="1" ht="12.75" thickBot="1">
      <c r="A153" s="57" t="s">
        <v>1274</v>
      </c>
      <c r="B153" s="25" t="s">
        <v>440</v>
      </c>
      <c r="C153" s="25" t="s">
        <v>467</v>
      </c>
      <c r="D153" s="69" t="s">
        <v>13</v>
      </c>
      <c r="E153" s="576"/>
      <c r="F153" s="575"/>
      <c r="G153" s="575"/>
      <c r="H153" s="575"/>
      <c r="I153" s="575"/>
      <c r="J153" s="574"/>
      <c r="K153" s="574"/>
      <c r="L153" s="575"/>
      <c r="M153" s="575"/>
      <c r="N153" s="575"/>
      <c r="O153" s="574"/>
      <c r="P153" s="574"/>
      <c r="Q153" s="575"/>
      <c r="R153" s="575"/>
      <c r="S153" s="142">
        <f t="shared" si="23"/>
        <v>0</v>
      </c>
      <c r="T153" s="142">
        <f t="shared" si="24"/>
        <v>0</v>
      </c>
      <c r="U153" s="142">
        <f t="shared" si="25"/>
        <v>0</v>
      </c>
      <c r="W153" s="601">
        <f t="shared" si="27"/>
        <v>0</v>
      </c>
      <c r="X153" s="601">
        <f t="shared" si="28"/>
        <v>0</v>
      </c>
      <c r="Y153" s="123"/>
      <c r="Z153" s="692">
        <f t="shared" si="26"/>
        <v>0</v>
      </c>
      <c r="AA153" s="123"/>
      <c r="AB153" s="123"/>
      <c r="AC153" s="123"/>
    </row>
    <row r="154" spans="1:29" customFormat="1" ht="12.75" thickBot="1">
      <c r="A154" s="57" t="s">
        <v>1274</v>
      </c>
      <c r="B154" s="25" t="s">
        <v>441</v>
      </c>
      <c r="C154" s="25" t="s">
        <v>468</v>
      </c>
      <c r="D154" s="69" t="s">
        <v>13</v>
      </c>
      <c r="E154" s="576"/>
      <c r="F154" s="575"/>
      <c r="G154" s="575"/>
      <c r="H154" s="575"/>
      <c r="I154" s="575"/>
      <c r="J154" s="574"/>
      <c r="K154" s="574"/>
      <c r="L154" s="575"/>
      <c r="M154" s="575"/>
      <c r="N154" s="575"/>
      <c r="O154" s="574"/>
      <c r="P154" s="574"/>
      <c r="Q154" s="575"/>
      <c r="R154" s="575"/>
      <c r="S154" s="142">
        <f t="shared" si="23"/>
        <v>0</v>
      </c>
      <c r="T154" s="142">
        <f t="shared" si="24"/>
        <v>0</v>
      </c>
      <c r="U154" s="142">
        <f t="shared" si="25"/>
        <v>0</v>
      </c>
      <c r="W154" s="601">
        <f t="shared" si="27"/>
        <v>0</v>
      </c>
      <c r="X154" s="601">
        <f t="shared" si="28"/>
        <v>0</v>
      </c>
      <c r="Y154" s="123"/>
      <c r="Z154" s="692">
        <f t="shared" si="26"/>
        <v>0</v>
      </c>
      <c r="AA154" s="123"/>
      <c r="AB154" s="123"/>
      <c r="AC154" s="123"/>
    </row>
    <row r="155" spans="1:29" customFormat="1" ht="12.75" thickBot="1">
      <c r="A155" s="57" t="s">
        <v>1274</v>
      </c>
      <c r="B155" s="25" t="s">
        <v>755</v>
      </c>
      <c r="C155" s="25" t="s">
        <v>1124</v>
      </c>
      <c r="D155" s="69" t="s">
        <v>680</v>
      </c>
      <c r="E155" s="576"/>
      <c r="F155" s="575"/>
      <c r="G155" s="575"/>
      <c r="H155" s="575"/>
      <c r="I155" s="575"/>
      <c r="J155" s="574"/>
      <c r="K155" s="574"/>
      <c r="L155" s="575"/>
      <c r="M155" s="575"/>
      <c r="N155" s="575"/>
      <c r="O155" s="574"/>
      <c r="P155" s="574"/>
      <c r="Q155" s="574"/>
      <c r="R155" s="575"/>
      <c r="S155" s="142">
        <f t="shared" si="23"/>
        <v>0</v>
      </c>
      <c r="T155" s="142">
        <f t="shared" si="24"/>
        <v>0</v>
      </c>
      <c r="U155" s="142">
        <f t="shared" si="25"/>
        <v>0</v>
      </c>
      <c r="W155" s="601">
        <f t="shared" si="27"/>
        <v>0</v>
      </c>
      <c r="X155" s="601">
        <f t="shared" si="28"/>
        <v>0</v>
      </c>
      <c r="Y155" s="123"/>
      <c r="Z155" s="692">
        <f t="shared" si="26"/>
        <v>0</v>
      </c>
      <c r="AA155" s="123"/>
      <c r="AB155" s="123"/>
      <c r="AC155" s="123"/>
    </row>
    <row r="156" spans="1:29" customFormat="1" ht="12.75" thickBot="1">
      <c r="A156" s="57" t="s">
        <v>1274</v>
      </c>
      <c r="B156" s="25" t="s">
        <v>1208</v>
      </c>
      <c r="C156" s="25" t="s">
        <v>1217</v>
      </c>
      <c r="D156" s="69" t="s">
        <v>680</v>
      </c>
      <c r="E156" s="576"/>
      <c r="F156" s="575"/>
      <c r="G156" s="575"/>
      <c r="H156" s="575"/>
      <c r="I156" s="575"/>
      <c r="J156" s="574"/>
      <c r="K156" s="574"/>
      <c r="L156" s="575"/>
      <c r="M156" s="575"/>
      <c r="N156" s="575"/>
      <c r="O156" s="574"/>
      <c r="P156" s="574"/>
      <c r="Q156" s="574"/>
      <c r="R156" s="575"/>
      <c r="S156" s="142">
        <f t="shared" si="23"/>
        <v>0</v>
      </c>
      <c r="T156" s="142">
        <f t="shared" si="24"/>
        <v>0</v>
      </c>
      <c r="U156" s="142">
        <f t="shared" si="25"/>
        <v>0</v>
      </c>
      <c r="W156" s="601">
        <f t="shared" si="27"/>
        <v>0</v>
      </c>
      <c r="X156" s="601">
        <f t="shared" si="28"/>
        <v>0</v>
      </c>
      <c r="Y156" s="123"/>
      <c r="Z156" s="692">
        <f t="shared" si="26"/>
        <v>0</v>
      </c>
      <c r="AA156" s="123"/>
      <c r="AB156" s="123"/>
      <c r="AC156" s="123"/>
    </row>
    <row r="157" spans="1:29" customFormat="1" ht="12.75" thickBot="1">
      <c r="A157" s="57" t="s">
        <v>1274</v>
      </c>
      <c r="B157" s="25" t="s">
        <v>401</v>
      </c>
      <c r="C157" s="25" t="s">
        <v>402</v>
      </c>
      <c r="D157" s="69" t="s">
        <v>1125</v>
      </c>
      <c r="E157" s="574"/>
      <c r="F157" s="574"/>
      <c r="G157" s="574"/>
      <c r="H157" s="574"/>
      <c r="I157" s="574"/>
      <c r="J157" s="574"/>
      <c r="K157" s="574"/>
      <c r="L157" s="574"/>
      <c r="M157" s="574"/>
      <c r="N157" s="574"/>
      <c r="O157" s="574"/>
      <c r="P157" s="574"/>
      <c r="Q157" s="574"/>
      <c r="R157" s="574"/>
      <c r="S157" s="142">
        <f t="shared" si="23"/>
        <v>0</v>
      </c>
      <c r="T157" s="142">
        <f t="shared" si="24"/>
        <v>0</v>
      </c>
      <c r="U157" s="142">
        <f t="shared" si="25"/>
        <v>0</v>
      </c>
      <c r="W157" s="601">
        <f t="shared" si="27"/>
        <v>0</v>
      </c>
      <c r="X157" s="601">
        <f t="shared" si="28"/>
        <v>0</v>
      </c>
      <c r="Y157" s="123"/>
      <c r="Z157" s="692">
        <f t="shared" si="26"/>
        <v>0</v>
      </c>
      <c r="AA157" s="123"/>
      <c r="AB157" s="123"/>
      <c r="AC157" s="123"/>
    </row>
    <row r="158" spans="1:29" customFormat="1" ht="12.75" thickBot="1">
      <c r="A158" s="57" t="s">
        <v>1274</v>
      </c>
      <c r="B158" s="25" t="s">
        <v>379</v>
      </c>
      <c r="C158" s="25" t="s">
        <v>934</v>
      </c>
      <c r="D158" s="235" t="s">
        <v>498</v>
      </c>
      <c r="E158" s="576"/>
      <c r="F158" s="574"/>
      <c r="G158" s="575"/>
      <c r="H158" s="574"/>
      <c r="I158" s="574"/>
      <c r="J158" s="574"/>
      <c r="K158" s="574"/>
      <c r="L158" s="574"/>
      <c r="M158" s="575"/>
      <c r="N158" s="575"/>
      <c r="O158" s="574"/>
      <c r="P158" s="574"/>
      <c r="Q158" s="575"/>
      <c r="R158" s="575"/>
      <c r="S158" s="142">
        <f t="shared" si="23"/>
        <v>0</v>
      </c>
      <c r="T158" s="142">
        <f t="shared" si="24"/>
        <v>0</v>
      </c>
      <c r="U158" s="142">
        <f t="shared" si="25"/>
        <v>0</v>
      </c>
      <c r="W158" s="601">
        <f t="shared" si="27"/>
        <v>0</v>
      </c>
      <c r="X158" s="601">
        <f t="shared" si="28"/>
        <v>0</v>
      </c>
      <c r="Y158" s="123"/>
      <c r="Z158" s="692">
        <f t="shared" si="26"/>
        <v>0</v>
      </c>
      <c r="AA158" s="123"/>
      <c r="AB158" s="123"/>
      <c r="AC158" s="123"/>
    </row>
    <row r="159" spans="1:29" customFormat="1" ht="12.75" thickBot="1">
      <c r="A159" s="57" t="s">
        <v>1274</v>
      </c>
      <c r="B159" s="25" t="s">
        <v>241</v>
      </c>
      <c r="C159" s="25" t="s">
        <v>935</v>
      </c>
      <c r="D159" s="235" t="s">
        <v>498</v>
      </c>
      <c r="E159" s="576"/>
      <c r="F159" s="574"/>
      <c r="G159" s="575"/>
      <c r="H159" s="574"/>
      <c r="I159" s="574"/>
      <c r="J159" s="574"/>
      <c r="K159" s="574"/>
      <c r="L159" s="574"/>
      <c r="M159" s="575"/>
      <c r="N159" s="575"/>
      <c r="O159" s="574"/>
      <c r="P159" s="574"/>
      <c r="Q159" s="575"/>
      <c r="R159" s="575"/>
      <c r="S159" s="142">
        <f t="shared" si="23"/>
        <v>0</v>
      </c>
      <c r="T159" s="142">
        <f t="shared" si="24"/>
        <v>0</v>
      </c>
      <c r="U159" s="142">
        <f t="shared" si="25"/>
        <v>0</v>
      </c>
      <c r="W159" s="601">
        <f t="shared" si="27"/>
        <v>0</v>
      </c>
      <c r="X159" s="601">
        <f t="shared" si="28"/>
        <v>0</v>
      </c>
      <c r="Y159" s="123"/>
      <c r="Z159" s="692">
        <f t="shared" si="26"/>
        <v>0</v>
      </c>
      <c r="AA159" s="123"/>
      <c r="AB159" s="123"/>
      <c r="AC159" s="123"/>
    </row>
    <row r="160" spans="1:29" customFormat="1" ht="12.75" thickBot="1">
      <c r="A160" s="57" t="s">
        <v>1274</v>
      </c>
      <c r="B160" s="25" t="s">
        <v>242</v>
      </c>
      <c r="C160" s="25" t="s">
        <v>936</v>
      </c>
      <c r="D160" s="235" t="s">
        <v>498</v>
      </c>
      <c r="E160" s="576"/>
      <c r="F160" s="574"/>
      <c r="G160" s="575"/>
      <c r="H160" s="574"/>
      <c r="I160" s="574"/>
      <c r="J160" s="574"/>
      <c r="K160" s="574"/>
      <c r="L160" s="574"/>
      <c r="M160" s="575"/>
      <c r="N160" s="575"/>
      <c r="O160" s="574"/>
      <c r="P160" s="574"/>
      <c r="Q160" s="575"/>
      <c r="R160" s="575"/>
      <c r="S160" s="142">
        <f t="shared" si="23"/>
        <v>0</v>
      </c>
      <c r="T160" s="142">
        <f t="shared" si="24"/>
        <v>0</v>
      </c>
      <c r="U160" s="142">
        <f t="shared" si="25"/>
        <v>0</v>
      </c>
      <c r="W160" s="601">
        <f t="shared" si="27"/>
        <v>0</v>
      </c>
      <c r="X160" s="601">
        <f t="shared" si="28"/>
        <v>0</v>
      </c>
      <c r="Y160" s="123"/>
      <c r="Z160" s="692">
        <f t="shared" si="26"/>
        <v>0</v>
      </c>
      <c r="AA160" s="123"/>
      <c r="AB160" s="123"/>
      <c r="AC160" s="123"/>
    </row>
    <row r="161" spans="1:29" customFormat="1" ht="12.75" thickBot="1">
      <c r="A161" s="57" t="s">
        <v>1274</v>
      </c>
      <c r="B161" s="25" t="s">
        <v>243</v>
      </c>
      <c r="C161" s="25" t="s">
        <v>937</v>
      </c>
      <c r="D161" s="235" t="s">
        <v>498</v>
      </c>
      <c r="E161" s="576"/>
      <c r="F161" s="574"/>
      <c r="G161" s="575"/>
      <c r="H161" s="574"/>
      <c r="I161" s="574"/>
      <c r="J161" s="574"/>
      <c r="K161" s="574"/>
      <c r="L161" s="574"/>
      <c r="M161" s="575"/>
      <c r="N161" s="575"/>
      <c r="O161" s="574"/>
      <c r="P161" s="574"/>
      <c r="Q161" s="575"/>
      <c r="R161" s="575"/>
      <c r="S161" s="142">
        <f t="shared" si="23"/>
        <v>0</v>
      </c>
      <c r="T161" s="142">
        <f t="shared" si="24"/>
        <v>0</v>
      </c>
      <c r="U161" s="142">
        <f t="shared" si="25"/>
        <v>0</v>
      </c>
      <c r="W161" s="601">
        <f t="shared" si="27"/>
        <v>0</v>
      </c>
      <c r="X161" s="601">
        <f t="shared" si="28"/>
        <v>0</v>
      </c>
      <c r="Y161" s="123"/>
      <c r="Z161" s="692">
        <f t="shared" si="26"/>
        <v>0</v>
      </c>
      <c r="AA161" s="123"/>
      <c r="AB161" s="123"/>
      <c r="AC161" s="123"/>
    </row>
    <row r="162" spans="1:29" customFormat="1" ht="12.75" thickBot="1">
      <c r="A162" s="57" t="s">
        <v>1274</v>
      </c>
      <c r="B162" s="25" t="s">
        <v>244</v>
      </c>
      <c r="C162" s="25" t="s">
        <v>938</v>
      </c>
      <c r="D162" s="235" t="s">
        <v>498</v>
      </c>
      <c r="E162" s="576"/>
      <c r="F162" s="574"/>
      <c r="G162" s="575"/>
      <c r="H162" s="574"/>
      <c r="I162" s="574"/>
      <c r="J162" s="574"/>
      <c r="K162" s="574"/>
      <c r="L162" s="574"/>
      <c r="M162" s="575"/>
      <c r="N162" s="575"/>
      <c r="O162" s="574"/>
      <c r="P162" s="574"/>
      <c r="Q162" s="575"/>
      <c r="R162" s="575"/>
      <c r="S162" s="142">
        <f t="shared" si="23"/>
        <v>0</v>
      </c>
      <c r="T162" s="142">
        <f t="shared" si="24"/>
        <v>0</v>
      </c>
      <c r="U162" s="142">
        <f t="shared" si="25"/>
        <v>0</v>
      </c>
      <c r="W162" s="601">
        <f t="shared" si="27"/>
        <v>0</v>
      </c>
      <c r="X162" s="601">
        <f t="shared" si="28"/>
        <v>0</v>
      </c>
      <c r="Y162" s="123"/>
      <c r="Z162" s="692">
        <f t="shared" si="26"/>
        <v>0</v>
      </c>
      <c r="AA162" s="123"/>
      <c r="AB162" s="123"/>
      <c r="AC162" s="123"/>
    </row>
    <row r="163" spans="1:29" customFormat="1" ht="12.75" thickBot="1">
      <c r="A163" s="57" t="s">
        <v>1274</v>
      </c>
      <c r="B163" s="25" t="s">
        <v>245</v>
      </c>
      <c r="C163" s="25" t="s">
        <v>939</v>
      </c>
      <c r="D163" s="235" t="s">
        <v>498</v>
      </c>
      <c r="E163" s="576"/>
      <c r="F163" s="574"/>
      <c r="G163" s="575"/>
      <c r="H163" s="574"/>
      <c r="I163" s="574"/>
      <c r="J163" s="574"/>
      <c r="K163" s="574"/>
      <c r="L163" s="574"/>
      <c r="M163" s="575"/>
      <c r="N163" s="575"/>
      <c r="O163" s="574"/>
      <c r="P163" s="574"/>
      <c r="Q163" s="575"/>
      <c r="R163" s="575"/>
      <c r="S163" s="142">
        <f t="shared" si="23"/>
        <v>0</v>
      </c>
      <c r="T163" s="142">
        <f t="shared" si="24"/>
        <v>0</v>
      </c>
      <c r="U163" s="142">
        <f t="shared" si="25"/>
        <v>0</v>
      </c>
      <c r="W163" s="601">
        <f t="shared" si="27"/>
        <v>0</v>
      </c>
      <c r="X163" s="601">
        <f t="shared" si="28"/>
        <v>0</v>
      </c>
      <c r="Y163" s="123"/>
      <c r="Z163" s="692">
        <f t="shared" si="26"/>
        <v>0</v>
      </c>
      <c r="AA163" s="123"/>
      <c r="AB163" s="123"/>
      <c r="AC163" s="123"/>
    </row>
    <row r="164" spans="1:29" customFormat="1" ht="12.75" thickBot="1">
      <c r="A164" s="57" t="s">
        <v>1274</v>
      </c>
      <c r="B164" s="25" t="s">
        <v>381</v>
      </c>
      <c r="C164" s="25" t="s">
        <v>940</v>
      </c>
      <c r="D164" s="235" t="s">
        <v>498</v>
      </c>
      <c r="E164" s="576"/>
      <c r="F164" s="574"/>
      <c r="G164" s="575"/>
      <c r="H164" s="574"/>
      <c r="I164" s="574"/>
      <c r="J164" s="574"/>
      <c r="K164" s="574"/>
      <c r="L164" s="574"/>
      <c r="M164" s="575"/>
      <c r="N164" s="575"/>
      <c r="O164" s="574"/>
      <c r="P164" s="574"/>
      <c r="Q164" s="575"/>
      <c r="R164" s="575"/>
      <c r="S164" s="142">
        <f t="shared" si="23"/>
        <v>0</v>
      </c>
      <c r="T164" s="142">
        <f t="shared" si="24"/>
        <v>0</v>
      </c>
      <c r="U164" s="142">
        <f t="shared" si="25"/>
        <v>0</v>
      </c>
      <c r="W164" s="601">
        <f t="shared" si="27"/>
        <v>0</v>
      </c>
      <c r="X164" s="601">
        <f t="shared" si="28"/>
        <v>0</v>
      </c>
      <c r="Y164" s="123"/>
      <c r="Z164" s="692">
        <f t="shared" si="26"/>
        <v>0</v>
      </c>
      <c r="AA164" s="123"/>
      <c r="AB164" s="123"/>
      <c r="AC164" s="123"/>
    </row>
    <row r="165" spans="1:29" customFormat="1" ht="12.75" thickBot="1">
      <c r="A165" s="57" t="s">
        <v>1274</v>
      </c>
      <c r="B165" s="25" t="s">
        <v>246</v>
      </c>
      <c r="C165" s="25" t="s">
        <v>941</v>
      </c>
      <c r="D165" s="235" t="s">
        <v>498</v>
      </c>
      <c r="E165" s="576"/>
      <c r="F165" s="574"/>
      <c r="G165" s="575"/>
      <c r="H165" s="574"/>
      <c r="I165" s="574"/>
      <c r="J165" s="574"/>
      <c r="K165" s="574"/>
      <c r="L165" s="574"/>
      <c r="M165" s="575"/>
      <c r="N165" s="575"/>
      <c r="O165" s="574"/>
      <c r="P165" s="574"/>
      <c r="Q165" s="575"/>
      <c r="R165" s="575"/>
      <c r="S165" s="142">
        <f t="shared" si="23"/>
        <v>0</v>
      </c>
      <c r="T165" s="142">
        <f t="shared" si="24"/>
        <v>0</v>
      </c>
      <c r="U165" s="142">
        <f t="shared" si="25"/>
        <v>0</v>
      </c>
      <c r="W165" s="601">
        <f t="shared" si="27"/>
        <v>0</v>
      </c>
      <c r="X165" s="601">
        <f t="shared" si="28"/>
        <v>0</v>
      </c>
      <c r="Y165" s="123"/>
      <c r="Z165" s="692">
        <f t="shared" si="26"/>
        <v>0</v>
      </c>
      <c r="AA165" s="123"/>
      <c r="AB165" s="123"/>
      <c r="AC165" s="123"/>
    </row>
    <row r="166" spans="1:29" customFormat="1" ht="12.75" thickBot="1">
      <c r="A166" s="57" t="s">
        <v>1274</v>
      </c>
      <c r="B166" s="25" t="s">
        <v>252</v>
      </c>
      <c r="C166" s="25" t="s">
        <v>942</v>
      </c>
      <c r="D166" s="235" t="s">
        <v>498</v>
      </c>
      <c r="E166" s="576"/>
      <c r="F166" s="574"/>
      <c r="G166" s="575"/>
      <c r="H166" s="574"/>
      <c r="I166" s="574"/>
      <c r="J166" s="574"/>
      <c r="K166" s="574"/>
      <c r="L166" s="574"/>
      <c r="M166" s="575"/>
      <c r="N166" s="575"/>
      <c r="O166" s="574"/>
      <c r="P166" s="574"/>
      <c r="Q166" s="575"/>
      <c r="R166" s="575"/>
      <c r="S166" s="142">
        <f t="shared" si="23"/>
        <v>0</v>
      </c>
      <c r="T166" s="142">
        <f t="shared" si="24"/>
        <v>0</v>
      </c>
      <c r="U166" s="142">
        <f t="shared" si="25"/>
        <v>0</v>
      </c>
      <c r="W166" s="601">
        <f t="shared" si="27"/>
        <v>0</v>
      </c>
      <c r="X166" s="601">
        <f t="shared" si="28"/>
        <v>0</v>
      </c>
      <c r="Y166" s="123"/>
      <c r="Z166" s="692">
        <f t="shared" si="26"/>
        <v>0</v>
      </c>
      <c r="AA166" s="123"/>
      <c r="AB166" s="123"/>
      <c r="AC166" s="123"/>
    </row>
    <row r="167" spans="1:29" customFormat="1" ht="12.75" thickBot="1">
      <c r="A167" s="57" t="s">
        <v>1274</v>
      </c>
      <c r="B167" s="25" t="s">
        <v>263</v>
      </c>
      <c r="C167" s="25" t="s">
        <v>943</v>
      </c>
      <c r="D167" s="235" t="s">
        <v>498</v>
      </c>
      <c r="E167" s="576"/>
      <c r="F167" s="574"/>
      <c r="G167" s="575"/>
      <c r="H167" s="574"/>
      <c r="I167" s="574"/>
      <c r="J167" s="574"/>
      <c r="K167" s="574"/>
      <c r="L167" s="574"/>
      <c r="M167" s="575"/>
      <c r="N167" s="575"/>
      <c r="O167" s="574"/>
      <c r="P167" s="574"/>
      <c r="Q167" s="575"/>
      <c r="R167" s="575"/>
      <c r="S167" s="142">
        <f t="shared" si="23"/>
        <v>0</v>
      </c>
      <c r="T167" s="142">
        <f t="shared" si="24"/>
        <v>0</v>
      </c>
      <c r="U167" s="142">
        <f t="shared" si="25"/>
        <v>0</v>
      </c>
      <c r="W167" s="601">
        <f t="shared" si="27"/>
        <v>0</v>
      </c>
      <c r="X167" s="601">
        <f t="shared" si="28"/>
        <v>0</v>
      </c>
      <c r="Y167" s="123"/>
      <c r="Z167" s="692">
        <f t="shared" si="26"/>
        <v>0</v>
      </c>
      <c r="AA167" s="123"/>
      <c r="AB167" s="123"/>
      <c r="AC167" s="123"/>
    </row>
    <row r="168" spans="1:29" customFormat="1" ht="12.75" thickBot="1">
      <c r="A168" s="57" t="s">
        <v>1274</v>
      </c>
      <c r="B168" s="25" t="s">
        <v>264</v>
      </c>
      <c r="C168" s="25" t="s">
        <v>944</v>
      </c>
      <c r="D168" s="235" t="s">
        <v>498</v>
      </c>
      <c r="E168" s="576"/>
      <c r="F168" s="574"/>
      <c r="G168" s="575"/>
      <c r="H168" s="574"/>
      <c r="I168" s="574"/>
      <c r="J168" s="574"/>
      <c r="K168" s="574"/>
      <c r="L168" s="574"/>
      <c r="M168" s="575"/>
      <c r="N168" s="575"/>
      <c r="O168" s="574"/>
      <c r="P168" s="574"/>
      <c r="Q168" s="575"/>
      <c r="R168" s="575"/>
      <c r="S168" s="142">
        <f t="shared" si="23"/>
        <v>0</v>
      </c>
      <c r="T168" s="142">
        <f t="shared" si="24"/>
        <v>0</v>
      </c>
      <c r="U168" s="142">
        <f t="shared" si="25"/>
        <v>0</v>
      </c>
      <c r="W168" s="601">
        <f t="shared" si="27"/>
        <v>0</v>
      </c>
      <c r="X168" s="601">
        <f t="shared" si="28"/>
        <v>0</v>
      </c>
      <c r="Y168" s="123"/>
      <c r="Z168" s="692">
        <f t="shared" si="26"/>
        <v>0</v>
      </c>
      <c r="AA168" s="123"/>
      <c r="AB168" s="123"/>
      <c r="AC168" s="123"/>
    </row>
    <row r="169" spans="1:29" customFormat="1" ht="12.75" thickBot="1">
      <c r="A169" s="57" t="s">
        <v>1274</v>
      </c>
      <c r="B169" s="25" t="s">
        <v>267</v>
      </c>
      <c r="C169" s="25" t="s">
        <v>945</v>
      </c>
      <c r="D169" s="235" t="s">
        <v>498</v>
      </c>
      <c r="E169" s="576"/>
      <c r="F169" s="574"/>
      <c r="G169" s="575"/>
      <c r="H169" s="574"/>
      <c r="I169" s="574"/>
      <c r="J169" s="574"/>
      <c r="K169" s="574"/>
      <c r="L169" s="574"/>
      <c r="M169" s="575"/>
      <c r="N169" s="575"/>
      <c r="O169" s="574"/>
      <c r="P169" s="574"/>
      <c r="Q169" s="575"/>
      <c r="R169" s="575"/>
      <c r="S169" s="142">
        <f t="shared" si="23"/>
        <v>0</v>
      </c>
      <c r="T169" s="142">
        <f t="shared" si="24"/>
        <v>0</v>
      </c>
      <c r="U169" s="142">
        <f t="shared" si="25"/>
        <v>0</v>
      </c>
      <c r="W169" s="601">
        <f t="shared" si="27"/>
        <v>0</v>
      </c>
      <c r="X169" s="601">
        <f t="shared" si="28"/>
        <v>0</v>
      </c>
      <c r="Y169" s="123"/>
      <c r="Z169" s="692">
        <f t="shared" si="26"/>
        <v>0</v>
      </c>
      <c r="AA169" s="123"/>
      <c r="AB169" s="123"/>
      <c r="AC169" s="123"/>
    </row>
    <row r="170" spans="1:29" customFormat="1" ht="12.75" thickBot="1">
      <c r="A170" s="57" t="s">
        <v>1274</v>
      </c>
      <c r="B170" s="25" t="s">
        <v>392</v>
      </c>
      <c r="C170" s="25" t="s">
        <v>946</v>
      </c>
      <c r="D170" s="235" t="s">
        <v>498</v>
      </c>
      <c r="E170" s="576"/>
      <c r="F170" s="574"/>
      <c r="G170" s="575"/>
      <c r="H170" s="574"/>
      <c r="I170" s="574"/>
      <c r="J170" s="574"/>
      <c r="K170" s="574"/>
      <c r="L170" s="574"/>
      <c r="M170" s="575"/>
      <c r="N170" s="575"/>
      <c r="O170" s="574"/>
      <c r="P170" s="574"/>
      <c r="Q170" s="575"/>
      <c r="R170" s="575"/>
      <c r="S170" s="142">
        <f t="shared" si="23"/>
        <v>0</v>
      </c>
      <c r="T170" s="142">
        <f t="shared" si="24"/>
        <v>0</v>
      </c>
      <c r="U170" s="142">
        <f t="shared" si="25"/>
        <v>0</v>
      </c>
      <c r="W170" s="601">
        <f t="shared" si="27"/>
        <v>0</v>
      </c>
      <c r="X170" s="601">
        <f t="shared" si="28"/>
        <v>0</v>
      </c>
      <c r="Y170" s="123"/>
      <c r="Z170" s="692">
        <f t="shared" si="26"/>
        <v>0</v>
      </c>
      <c r="AA170" s="123"/>
      <c r="AB170" s="123"/>
      <c r="AC170" s="123"/>
    </row>
    <row r="171" spans="1:29" customFormat="1" ht="12.75" thickBot="1">
      <c r="A171" s="57" t="s">
        <v>1274</v>
      </c>
      <c r="B171" s="25" t="s">
        <v>268</v>
      </c>
      <c r="C171" s="25" t="s">
        <v>947</v>
      </c>
      <c r="D171" s="235" t="s">
        <v>498</v>
      </c>
      <c r="E171" s="576"/>
      <c r="F171" s="574"/>
      <c r="G171" s="575"/>
      <c r="H171" s="574"/>
      <c r="I171" s="574"/>
      <c r="J171" s="574"/>
      <c r="K171" s="574"/>
      <c r="L171" s="574"/>
      <c r="M171" s="575"/>
      <c r="N171" s="575"/>
      <c r="O171" s="574"/>
      <c r="P171" s="574"/>
      <c r="Q171" s="575"/>
      <c r="R171" s="575"/>
      <c r="S171" s="142">
        <f t="shared" si="23"/>
        <v>0</v>
      </c>
      <c r="T171" s="142">
        <f t="shared" si="24"/>
        <v>0</v>
      </c>
      <c r="U171" s="142">
        <f t="shared" si="25"/>
        <v>0</v>
      </c>
      <c r="W171" s="601">
        <f t="shared" si="27"/>
        <v>0</v>
      </c>
      <c r="X171" s="601">
        <f t="shared" si="28"/>
        <v>0</v>
      </c>
      <c r="Y171" s="123"/>
      <c r="Z171" s="692">
        <f t="shared" si="26"/>
        <v>0</v>
      </c>
      <c r="AA171" s="123"/>
      <c r="AB171" s="123"/>
      <c r="AC171" s="123"/>
    </row>
    <row r="172" spans="1:29" customFormat="1" ht="12.75" thickBot="1">
      <c r="A172" s="57" t="s">
        <v>1274</v>
      </c>
      <c r="B172" s="25" t="s">
        <v>269</v>
      </c>
      <c r="C172" s="25" t="s">
        <v>948</v>
      </c>
      <c r="D172" s="235" t="s">
        <v>498</v>
      </c>
      <c r="E172" s="576"/>
      <c r="F172" s="574"/>
      <c r="G172" s="575"/>
      <c r="H172" s="574"/>
      <c r="I172" s="574"/>
      <c r="J172" s="574"/>
      <c r="K172" s="574"/>
      <c r="L172" s="574"/>
      <c r="M172" s="575"/>
      <c r="N172" s="575"/>
      <c r="O172" s="574"/>
      <c r="P172" s="574"/>
      <c r="Q172" s="575"/>
      <c r="R172" s="575"/>
      <c r="S172" s="142">
        <f t="shared" si="23"/>
        <v>0</v>
      </c>
      <c r="T172" s="142">
        <f t="shared" si="24"/>
        <v>0</v>
      </c>
      <c r="U172" s="142">
        <f t="shared" si="25"/>
        <v>0</v>
      </c>
      <c r="W172" s="601">
        <f t="shared" si="27"/>
        <v>0</v>
      </c>
      <c r="X172" s="601">
        <f t="shared" si="28"/>
        <v>0</v>
      </c>
      <c r="Y172" s="123"/>
      <c r="Z172" s="692">
        <f t="shared" si="26"/>
        <v>0</v>
      </c>
      <c r="AA172" s="123"/>
      <c r="AB172" s="123"/>
      <c r="AC172" s="123"/>
    </row>
    <row r="173" spans="1:29" customFormat="1" ht="12.75" thickBot="1">
      <c r="A173" s="57" t="s">
        <v>1274</v>
      </c>
      <c r="B173" s="25" t="s">
        <v>393</v>
      </c>
      <c r="C173" s="25" t="s">
        <v>949</v>
      </c>
      <c r="D173" s="235" t="s">
        <v>498</v>
      </c>
      <c r="E173" s="576"/>
      <c r="F173" s="574"/>
      <c r="G173" s="575"/>
      <c r="H173" s="574"/>
      <c r="I173" s="574"/>
      <c r="J173" s="574"/>
      <c r="K173" s="574"/>
      <c r="L173" s="574"/>
      <c r="M173" s="575"/>
      <c r="N173" s="575"/>
      <c r="O173" s="574"/>
      <c r="P173" s="574"/>
      <c r="Q173" s="575"/>
      <c r="R173" s="575"/>
      <c r="S173" s="142">
        <f t="shared" si="23"/>
        <v>0</v>
      </c>
      <c r="T173" s="142">
        <f t="shared" si="24"/>
        <v>0</v>
      </c>
      <c r="U173" s="142">
        <f t="shared" si="25"/>
        <v>0</v>
      </c>
      <c r="W173" s="601">
        <f t="shared" si="27"/>
        <v>0</v>
      </c>
      <c r="X173" s="601">
        <f t="shared" si="28"/>
        <v>0</v>
      </c>
      <c r="Y173" s="123"/>
      <c r="Z173" s="692">
        <f t="shared" si="26"/>
        <v>0</v>
      </c>
      <c r="AA173" s="123"/>
      <c r="AB173" s="123"/>
      <c r="AC173" s="123"/>
    </row>
    <row r="174" spans="1:29" customFormat="1" ht="12.75" thickBot="1">
      <c r="A174" s="57" t="s">
        <v>1274</v>
      </c>
      <c r="B174" s="25" t="s">
        <v>394</v>
      </c>
      <c r="C174" s="25" t="s">
        <v>950</v>
      </c>
      <c r="D174" s="235" t="s">
        <v>498</v>
      </c>
      <c r="E174" s="576"/>
      <c r="F174" s="574"/>
      <c r="G174" s="575"/>
      <c r="H174" s="574"/>
      <c r="I174" s="574"/>
      <c r="J174" s="574"/>
      <c r="K174" s="574"/>
      <c r="L174" s="574"/>
      <c r="M174" s="575"/>
      <c r="N174" s="575"/>
      <c r="O174" s="574"/>
      <c r="P174" s="574"/>
      <c r="Q174" s="575"/>
      <c r="R174" s="575"/>
      <c r="S174" s="142">
        <f t="shared" si="23"/>
        <v>0</v>
      </c>
      <c r="T174" s="142">
        <f t="shared" si="24"/>
        <v>0</v>
      </c>
      <c r="U174" s="142">
        <f t="shared" si="25"/>
        <v>0</v>
      </c>
      <c r="W174" s="601">
        <f t="shared" si="27"/>
        <v>0</v>
      </c>
      <c r="X174" s="601">
        <f t="shared" si="28"/>
        <v>0</v>
      </c>
      <c r="Y174" s="123"/>
      <c r="Z174" s="692">
        <f t="shared" si="26"/>
        <v>0</v>
      </c>
      <c r="AA174" s="123"/>
      <c r="AB174" s="123"/>
      <c r="AC174" s="123"/>
    </row>
    <row r="175" spans="1:29" customFormat="1" ht="12.75" thickBot="1">
      <c r="A175" s="57" t="s">
        <v>1274</v>
      </c>
      <c r="B175" s="25" t="s">
        <v>398</v>
      </c>
      <c r="C175" s="25" t="s">
        <v>951</v>
      </c>
      <c r="D175" s="235" t="s">
        <v>498</v>
      </c>
      <c r="E175" s="576"/>
      <c r="F175" s="574"/>
      <c r="G175" s="575"/>
      <c r="H175" s="574"/>
      <c r="I175" s="574"/>
      <c r="J175" s="574"/>
      <c r="K175" s="574"/>
      <c r="L175" s="574"/>
      <c r="M175" s="575"/>
      <c r="N175" s="575"/>
      <c r="O175" s="574"/>
      <c r="P175" s="574"/>
      <c r="Q175" s="575"/>
      <c r="R175" s="575"/>
      <c r="S175" s="142">
        <f t="shared" si="23"/>
        <v>0</v>
      </c>
      <c r="T175" s="142">
        <f t="shared" si="24"/>
        <v>0</v>
      </c>
      <c r="U175" s="142">
        <f t="shared" si="25"/>
        <v>0</v>
      </c>
      <c r="W175" s="601">
        <f t="shared" si="27"/>
        <v>0</v>
      </c>
      <c r="X175" s="601">
        <f t="shared" si="28"/>
        <v>0</v>
      </c>
      <c r="Y175" s="123"/>
      <c r="Z175" s="692">
        <f t="shared" si="26"/>
        <v>0</v>
      </c>
      <c r="AA175" s="123"/>
      <c r="AB175" s="123"/>
      <c r="AC175" s="123"/>
    </row>
    <row r="176" spans="1:29" customFormat="1" ht="12.75" thickBot="1">
      <c r="A176" s="57" t="s">
        <v>1274</v>
      </c>
      <c r="B176" s="25" t="s">
        <v>395</v>
      </c>
      <c r="C176" s="25" t="s">
        <v>952</v>
      </c>
      <c r="D176" s="235" t="s">
        <v>498</v>
      </c>
      <c r="E176" s="576"/>
      <c r="F176" s="574"/>
      <c r="G176" s="575"/>
      <c r="H176" s="574"/>
      <c r="I176" s="574"/>
      <c r="J176" s="574"/>
      <c r="K176" s="574"/>
      <c r="L176" s="574"/>
      <c r="M176" s="575"/>
      <c r="N176" s="575"/>
      <c r="O176" s="574"/>
      <c r="P176" s="574"/>
      <c r="Q176" s="575"/>
      <c r="R176" s="575"/>
      <c r="S176" s="142">
        <f t="shared" si="23"/>
        <v>0</v>
      </c>
      <c r="T176" s="142">
        <f t="shared" si="24"/>
        <v>0</v>
      </c>
      <c r="U176" s="142">
        <f t="shared" si="25"/>
        <v>0</v>
      </c>
      <c r="W176" s="601">
        <f t="shared" si="27"/>
        <v>0</v>
      </c>
      <c r="X176" s="601">
        <f t="shared" si="28"/>
        <v>0</v>
      </c>
      <c r="Y176" s="123"/>
      <c r="Z176" s="692">
        <f t="shared" si="26"/>
        <v>0</v>
      </c>
      <c r="AA176" s="123"/>
      <c r="AB176" s="123"/>
      <c r="AC176" s="123"/>
    </row>
    <row r="177" spans="1:29" customFormat="1" ht="12.75" thickBot="1">
      <c r="A177" s="57" t="s">
        <v>1274</v>
      </c>
      <c r="B177" s="25" t="s">
        <v>396</v>
      </c>
      <c r="C177" s="25" t="s">
        <v>953</v>
      </c>
      <c r="D177" s="235" t="s">
        <v>498</v>
      </c>
      <c r="E177" s="576"/>
      <c r="F177" s="574"/>
      <c r="G177" s="575"/>
      <c r="H177" s="574"/>
      <c r="I177" s="574"/>
      <c r="J177" s="574"/>
      <c r="K177" s="574"/>
      <c r="L177" s="574"/>
      <c r="M177" s="575"/>
      <c r="N177" s="575"/>
      <c r="O177" s="574"/>
      <c r="P177" s="574"/>
      <c r="Q177" s="575"/>
      <c r="R177" s="575"/>
      <c r="S177" s="142">
        <f t="shared" si="23"/>
        <v>0</v>
      </c>
      <c r="T177" s="142">
        <f t="shared" si="24"/>
        <v>0</v>
      </c>
      <c r="U177" s="142">
        <f t="shared" si="25"/>
        <v>0</v>
      </c>
      <c r="W177" s="601">
        <f t="shared" si="27"/>
        <v>0</v>
      </c>
      <c r="X177" s="601">
        <f t="shared" si="28"/>
        <v>0</v>
      </c>
      <c r="Y177" s="123"/>
      <c r="Z177" s="692">
        <f t="shared" si="26"/>
        <v>0</v>
      </c>
      <c r="AA177" s="123"/>
      <c r="AB177" s="123"/>
      <c r="AC177" s="123"/>
    </row>
    <row r="178" spans="1:29" customFormat="1" ht="12.75" thickBot="1">
      <c r="A178" s="57" t="s">
        <v>1274</v>
      </c>
      <c r="B178" s="25" t="s">
        <v>397</v>
      </c>
      <c r="C178" s="25" t="s">
        <v>954</v>
      </c>
      <c r="D178" s="235" t="s">
        <v>498</v>
      </c>
      <c r="E178" s="576"/>
      <c r="F178" s="574"/>
      <c r="G178" s="575"/>
      <c r="H178" s="574"/>
      <c r="I178" s="574"/>
      <c r="J178" s="574"/>
      <c r="K178" s="574"/>
      <c r="L178" s="574"/>
      <c r="M178" s="575"/>
      <c r="N178" s="575"/>
      <c r="O178" s="574"/>
      <c r="P178" s="574"/>
      <c r="Q178" s="575"/>
      <c r="R178" s="575"/>
      <c r="S178" s="142">
        <f t="shared" si="23"/>
        <v>0</v>
      </c>
      <c r="T178" s="142">
        <f t="shared" si="24"/>
        <v>0</v>
      </c>
      <c r="U178" s="142">
        <f t="shared" si="25"/>
        <v>0</v>
      </c>
      <c r="W178" s="601">
        <f t="shared" si="27"/>
        <v>0</v>
      </c>
      <c r="X178" s="601">
        <f t="shared" si="28"/>
        <v>0</v>
      </c>
      <c r="Y178" s="123"/>
      <c r="Z178" s="692">
        <f t="shared" si="26"/>
        <v>0</v>
      </c>
      <c r="AA178" s="123"/>
      <c r="AB178" s="123"/>
      <c r="AC178" s="123"/>
    </row>
    <row r="179" spans="1:29" customFormat="1" ht="12.75" thickBot="1">
      <c r="A179" s="57" t="s">
        <v>1274</v>
      </c>
      <c r="B179" s="25" t="s">
        <v>287</v>
      </c>
      <c r="C179" s="25" t="s">
        <v>955</v>
      </c>
      <c r="D179" s="235" t="s">
        <v>498</v>
      </c>
      <c r="E179" s="576"/>
      <c r="F179" s="574"/>
      <c r="G179" s="575"/>
      <c r="H179" s="574"/>
      <c r="I179" s="574"/>
      <c r="J179" s="574"/>
      <c r="K179" s="574"/>
      <c r="L179" s="574"/>
      <c r="M179" s="575"/>
      <c r="N179" s="575"/>
      <c r="O179" s="574"/>
      <c r="P179" s="574"/>
      <c r="Q179" s="575"/>
      <c r="R179" s="575"/>
      <c r="S179" s="142">
        <f t="shared" ref="S179:S230" si="29">G179+H179+I179</f>
        <v>0</v>
      </c>
      <c r="T179" s="142">
        <f t="shared" ref="T179:T230" si="30">J179+K179</f>
        <v>0</v>
      </c>
      <c r="U179" s="142">
        <f t="shared" ref="U179:U230" si="31">N179+O179</f>
        <v>0</v>
      </c>
      <c r="W179" s="601">
        <f t="shared" si="27"/>
        <v>0</v>
      </c>
      <c r="X179" s="601">
        <f t="shared" si="28"/>
        <v>0</v>
      </c>
      <c r="Y179" s="123"/>
      <c r="Z179" s="692">
        <f t="shared" si="26"/>
        <v>0</v>
      </c>
      <c r="AA179" s="123"/>
      <c r="AB179" s="123"/>
      <c r="AC179" s="123"/>
    </row>
    <row r="180" spans="1:29" customFormat="1" ht="12.75" thickBot="1">
      <c r="A180" s="57" t="s">
        <v>1274</v>
      </c>
      <c r="B180" s="25" t="s">
        <v>288</v>
      </c>
      <c r="C180" s="25" t="s">
        <v>956</v>
      </c>
      <c r="D180" s="235" t="s">
        <v>498</v>
      </c>
      <c r="E180" s="576"/>
      <c r="F180" s="574"/>
      <c r="G180" s="575"/>
      <c r="H180" s="574"/>
      <c r="I180" s="574"/>
      <c r="J180" s="574"/>
      <c r="K180" s="574"/>
      <c r="L180" s="574"/>
      <c r="M180" s="575"/>
      <c r="N180" s="575"/>
      <c r="O180" s="574"/>
      <c r="P180" s="574"/>
      <c r="Q180" s="575"/>
      <c r="R180" s="575"/>
      <c r="S180" s="142">
        <f t="shared" si="29"/>
        <v>0</v>
      </c>
      <c r="T180" s="142">
        <f t="shared" si="30"/>
        <v>0</v>
      </c>
      <c r="U180" s="142">
        <f t="shared" si="31"/>
        <v>0</v>
      </c>
      <c r="W180" s="601">
        <f t="shared" si="27"/>
        <v>0</v>
      </c>
      <c r="X180" s="601">
        <f t="shared" si="28"/>
        <v>0</v>
      </c>
      <c r="Y180" s="123"/>
      <c r="Z180" s="692">
        <f t="shared" si="26"/>
        <v>0</v>
      </c>
      <c r="AA180" s="123"/>
      <c r="AB180" s="123"/>
      <c r="AC180" s="123"/>
    </row>
    <row r="181" spans="1:29" customFormat="1" ht="12.75" thickBot="1">
      <c r="A181" s="57" t="s">
        <v>1274</v>
      </c>
      <c r="B181" s="25" t="s">
        <v>291</v>
      </c>
      <c r="C181" s="25" t="s">
        <v>957</v>
      </c>
      <c r="D181" s="235" t="s">
        <v>498</v>
      </c>
      <c r="E181" s="576"/>
      <c r="F181" s="574"/>
      <c r="G181" s="575"/>
      <c r="H181" s="574"/>
      <c r="I181" s="574"/>
      <c r="J181" s="574"/>
      <c r="K181" s="574"/>
      <c r="L181" s="574"/>
      <c r="M181" s="575"/>
      <c r="N181" s="575"/>
      <c r="O181" s="574"/>
      <c r="P181" s="574"/>
      <c r="Q181" s="575"/>
      <c r="R181" s="575"/>
      <c r="S181" s="142">
        <f t="shared" si="29"/>
        <v>0</v>
      </c>
      <c r="T181" s="142">
        <f t="shared" si="30"/>
        <v>0</v>
      </c>
      <c r="U181" s="142">
        <f t="shared" si="31"/>
        <v>0</v>
      </c>
      <c r="W181" s="601">
        <f t="shared" si="27"/>
        <v>0</v>
      </c>
      <c r="X181" s="601">
        <f t="shared" si="28"/>
        <v>0</v>
      </c>
      <c r="Y181" s="123"/>
      <c r="Z181" s="692">
        <f t="shared" si="26"/>
        <v>0</v>
      </c>
      <c r="AA181" s="123"/>
      <c r="AB181" s="123"/>
      <c r="AC181" s="123"/>
    </row>
    <row r="182" spans="1:29" customFormat="1" ht="12.75" thickBot="1">
      <c r="A182" s="57" t="s">
        <v>1274</v>
      </c>
      <c r="B182" s="25" t="s">
        <v>297</v>
      </c>
      <c r="C182" s="25" t="s">
        <v>958</v>
      </c>
      <c r="D182" s="235" t="s">
        <v>498</v>
      </c>
      <c r="E182" s="576"/>
      <c r="F182" s="574"/>
      <c r="G182" s="575"/>
      <c r="H182" s="574"/>
      <c r="I182" s="574"/>
      <c r="J182" s="574"/>
      <c r="K182" s="574"/>
      <c r="L182" s="574"/>
      <c r="M182" s="575"/>
      <c r="N182" s="575"/>
      <c r="O182" s="574"/>
      <c r="P182" s="574"/>
      <c r="Q182" s="575"/>
      <c r="R182" s="575"/>
      <c r="S182" s="142">
        <f t="shared" si="29"/>
        <v>0</v>
      </c>
      <c r="T182" s="142">
        <f t="shared" si="30"/>
        <v>0</v>
      </c>
      <c r="U182" s="142">
        <f t="shared" si="31"/>
        <v>0</v>
      </c>
      <c r="W182" s="601">
        <f t="shared" si="27"/>
        <v>0</v>
      </c>
      <c r="X182" s="601">
        <f t="shared" si="28"/>
        <v>0</v>
      </c>
      <c r="Y182" s="123"/>
      <c r="Z182" s="692">
        <f t="shared" si="26"/>
        <v>0</v>
      </c>
      <c r="AA182" s="123"/>
      <c r="AB182" s="123"/>
      <c r="AC182" s="123"/>
    </row>
    <row r="183" spans="1:29" customFormat="1" ht="12.75" thickBot="1">
      <c r="A183" s="57" t="s">
        <v>1274</v>
      </c>
      <c r="B183" s="25" t="s">
        <v>299</v>
      </c>
      <c r="C183" s="25" t="s">
        <v>959</v>
      </c>
      <c r="D183" s="235" t="s">
        <v>498</v>
      </c>
      <c r="E183" s="576"/>
      <c r="F183" s="574"/>
      <c r="G183" s="575"/>
      <c r="H183" s="574"/>
      <c r="I183" s="574"/>
      <c r="J183" s="574"/>
      <c r="K183" s="574"/>
      <c r="L183" s="574"/>
      <c r="M183" s="575"/>
      <c r="N183" s="575"/>
      <c r="O183" s="574"/>
      <c r="P183" s="574"/>
      <c r="Q183" s="575"/>
      <c r="R183" s="575"/>
      <c r="S183" s="142">
        <f t="shared" si="29"/>
        <v>0</v>
      </c>
      <c r="T183" s="142">
        <f t="shared" si="30"/>
        <v>0</v>
      </c>
      <c r="U183" s="142">
        <f t="shared" si="31"/>
        <v>0</v>
      </c>
      <c r="W183" s="601">
        <f t="shared" si="27"/>
        <v>0</v>
      </c>
      <c r="X183" s="601">
        <f t="shared" si="28"/>
        <v>0</v>
      </c>
      <c r="Y183" s="123"/>
      <c r="Z183" s="692">
        <f t="shared" si="26"/>
        <v>0</v>
      </c>
      <c r="AA183" s="123"/>
      <c r="AB183" s="123"/>
      <c r="AC183" s="123"/>
    </row>
    <row r="184" spans="1:29" customFormat="1" ht="12.75" thickBot="1">
      <c r="A184" s="57" t="s">
        <v>1274</v>
      </c>
      <c r="B184" s="25" t="s">
        <v>377</v>
      </c>
      <c r="C184" s="25" t="s">
        <v>960</v>
      </c>
      <c r="D184" s="235" t="s">
        <v>606</v>
      </c>
      <c r="E184" s="576"/>
      <c r="F184" s="574"/>
      <c r="G184" s="575"/>
      <c r="H184" s="574"/>
      <c r="I184" s="574"/>
      <c r="J184" s="574"/>
      <c r="K184" s="574"/>
      <c r="L184" s="574"/>
      <c r="M184" s="575"/>
      <c r="N184" s="575"/>
      <c r="O184" s="574"/>
      <c r="P184" s="574"/>
      <c r="Q184" s="574"/>
      <c r="R184" s="575"/>
      <c r="S184" s="142">
        <f t="shared" si="29"/>
        <v>0</v>
      </c>
      <c r="T184" s="142">
        <f t="shared" si="30"/>
        <v>0</v>
      </c>
      <c r="U184" s="142">
        <f t="shared" si="31"/>
        <v>0</v>
      </c>
      <c r="W184" s="601">
        <f t="shared" si="27"/>
        <v>0</v>
      </c>
      <c r="X184" s="601">
        <f t="shared" si="28"/>
        <v>0</v>
      </c>
      <c r="Y184" s="123"/>
      <c r="Z184" s="692">
        <f t="shared" si="26"/>
        <v>0</v>
      </c>
      <c r="AA184" s="123"/>
      <c r="AB184" s="123"/>
      <c r="AC184" s="123"/>
    </row>
    <row r="185" spans="1:29" customFormat="1" ht="12.75" thickBot="1">
      <c r="A185" s="57" t="s">
        <v>1274</v>
      </c>
      <c r="B185" s="25" t="s">
        <v>737</v>
      </c>
      <c r="C185" s="25" t="s">
        <v>961</v>
      </c>
      <c r="D185" s="235" t="s">
        <v>606</v>
      </c>
      <c r="E185" s="576"/>
      <c r="F185" s="574"/>
      <c r="G185" s="575"/>
      <c r="H185" s="574"/>
      <c r="I185" s="574"/>
      <c r="J185" s="574"/>
      <c r="K185" s="574"/>
      <c r="L185" s="574"/>
      <c r="M185" s="575"/>
      <c r="N185" s="575"/>
      <c r="O185" s="574"/>
      <c r="P185" s="574"/>
      <c r="Q185" s="574"/>
      <c r="R185" s="575"/>
      <c r="S185" s="142">
        <f t="shared" si="29"/>
        <v>0</v>
      </c>
      <c r="T185" s="142">
        <f t="shared" si="30"/>
        <v>0</v>
      </c>
      <c r="U185" s="142">
        <f t="shared" si="31"/>
        <v>0</v>
      </c>
      <c r="W185" s="601">
        <f t="shared" si="27"/>
        <v>0</v>
      </c>
      <c r="X185" s="601">
        <f t="shared" si="28"/>
        <v>0</v>
      </c>
      <c r="Y185" s="123"/>
      <c r="Z185" s="692">
        <f t="shared" si="26"/>
        <v>0</v>
      </c>
      <c r="AA185" s="123"/>
      <c r="AB185" s="123"/>
      <c r="AC185" s="123"/>
    </row>
    <row r="186" spans="1:29" customFormat="1" ht="12.75" thickBot="1">
      <c r="A186" s="57" t="s">
        <v>1274</v>
      </c>
      <c r="B186" s="25" t="s">
        <v>329</v>
      </c>
      <c r="C186" s="25" t="s">
        <v>962</v>
      </c>
      <c r="D186" s="235" t="s">
        <v>606</v>
      </c>
      <c r="E186" s="576"/>
      <c r="F186" s="574"/>
      <c r="G186" s="575"/>
      <c r="H186" s="574"/>
      <c r="I186" s="574"/>
      <c r="J186" s="574"/>
      <c r="K186" s="574"/>
      <c r="L186" s="574"/>
      <c r="M186" s="575"/>
      <c r="N186" s="575"/>
      <c r="O186" s="574"/>
      <c r="P186" s="574"/>
      <c r="Q186" s="575"/>
      <c r="R186" s="575"/>
      <c r="S186" s="142">
        <f t="shared" si="29"/>
        <v>0</v>
      </c>
      <c r="T186" s="142">
        <f t="shared" si="30"/>
        <v>0</v>
      </c>
      <c r="U186" s="142">
        <f t="shared" si="31"/>
        <v>0</v>
      </c>
      <c r="W186" s="601">
        <f t="shared" si="27"/>
        <v>0</v>
      </c>
      <c r="X186" s="601">
        <f t="shared" si="28"/>
        <v>0</v>
      </c>
      <c r="Y186" s="123"/>
      <c r="Z186" s="692">
        <f t="shared" si="26"/>
        <v>0</v>
      </c>
      <c r="AA186" s="123"/>
      <c r="AB186" s="123"/>
      <c r="AC186" s="123"/>
    </row>
    <row r="187" spans="1:29" customFormat="1" ht="12.75" thickBot="1">
      <c r="A187" s="57" t="s">
        <v>1274</v>
      </c>
      <c r="B187" s="25" t="s">
        <v>330</v>
      </c>
      <c r="C187" s="25" t="s">
        <v>963</v>
      </c>
      <c r="D187" s="235" t="s">
        <v>606</v>
      </c>
      <c r="E187" s="576"/>
      <c r="F187" s="574"/>
      <c r="G187" s="575"/>
      <c r="H187" s="574"/>
      <c r="I187" s="574"/>
      <c r="J187" s="574"/>
      <c r="K187" s="574"/>
      <c r="L187" s="574"/>
      <c r="M187" s="575"/>
      <c r="N187" s="575"/>
      <c r="O187" s="574"/>
      <c r="P187" s="574"/>
      <c r="Q187" s="575"/>
      <c r="R187" s="575"/>
      <c r="S187" s="142">
        <f t="shared" si="29"/>
        <v>0</v>
      </c>
      <c r="T187" s="142">
        <f t="shared" si="30"/>
        <v>0</v>
      </c>
      <c r="U187" s="142">
        <f t="shared" si="31"/>
        <v>0</v>
      </c>
      <c r="W187" s="601">
        <f t="shared" si="27"/>
        <v>0</v>
      </c>
      <c r="X187" s="601">
        <f t="shared" si="28"/>
        <v>0</v>
      </c>
      <c r="Y187" s="123"/>
      <c r="Z187" s="692">
        <f t="shared" si="26"/>
        <v>0</v>
      </c>
      <c r="AA187" s="123"/>
      <c r="AB187" s="123"/>
      <c r="AC187" s="123"/>
    </row>
    <row r="188" spans="1:29" customFormat="1" ht="12.75" thickBot="1">
      <c r="A188" s="57" t="s">
        <v>1274</v>
      </c>
      <c r="B188" s="25" t="s">
        <v>332</v>
      </c>
      <c r="C188" s="25" t="s">
        <v>964</v>
      </c>
      <c r="D188" s="235" t="s">
        <v>606</v>
      </c>
      <c r="E188" s="576"/>
      <c r="F188" s="574"/>
      <c r="G188" s="575"/>
      <c r="H188" s="574"/>
      <c r="I188" s="574"/>
      <c r="J188" s="574"/>
      <c r="K188" s="574"/>
      <c r="L188" s="574"/>
      <c r="M188" s="575"/>
      <c r="N188" s="575"/>
      <c r="O188" s="574"/>
      <c r="P188" s="574"/>
      <c r="Q188" s="575"/>
      <c r="R188" s="575"/>
      <c r="S188" s="142">
        <f t="shared" si="29"/>
        <v>0</v>
      </c>
      <c r="T188" s="142">
        <f t="shared" si="30"/>
        <v>0</v>
      </c>
      <c r="U188" s="142">
        <f t="shared" si="31"/>
        <v>0</v>
      </c>
      <c r="W188" s="601">
        <f t="shared" si="27"/>
        <v>0</v>
      </c>
      <c r="X188" s="601">
        <f t="shared" si="28"/>
        <v>0</v>
      </c>
      <c r="Y188" s="123"/>
      <c r="Z188" s="692">
        <f t="shared" si="26"/>
        <v>0</v>
      </c>
      <c r="AA188" s="123"/>
      <c r="AB188" s="123"/>
      <c r="AC188" s="123"/>
    </row>
    <row r="189" spans="1:29" customFormat="1" ht="12.75" thickBot="1">
      <c r="A189" s="57" t="s">
        <v>1274</v>
      </c>
      <c r="B189" s="25" t="s">
        <v>333</v>
      </c>
      <c r="C189" s="25" t="s">
        <v>965</v>
      </c>
      <c r="D189" s="235" t="s">
        <v>606</v>
      </c>
      <c r="E189" s="576"/>
      <c r="F189" s="574"/>
      <c r="G189" s="575"/>
      <c r="H189" s="574"/>
      <c r="I189" s="574"/>
      <c r="J189" s="574"/>
      <c r="K189" s="574"/>
      <c r="L189" s="574"/>
      <c r="M189" s="575"/>
      <c r="N189" s="575"/>
      <c r="O189" s="574"/>
      <c r="P189" s="574"/>
      <c r="Q189" s="575"/>
      <c r="R189" s="575"/>
      <c r="S189" s="142">
        <f t="shared" si="29"/>
        <v>0</v>
      </c>
      <c r="T189" s="142">
        <f t="shared" si="30"/>
        <v>0</v>
      </c>
      <c r="U189" s="142">
        <f t="shared" si="31"/>
        <v>0</v>
      </c>
      <c r="W189" s="601">
        <f t="shared" si="27"/>
        <v>0</v>
      </c>
      <c r="X189" s="601">
        <f t="shared" si="28"/>
        <v>0</v>
      </c>
      <c r="Y189" s="123"/>
      <c r="Z189" s="692">
        <f t="shared" si="26"/>
        <v>0</v>
      </c>
      <c r="AA189" s="123"/>
      <c r="AB189" s="123"/>
      <c r="AC189" s="123"/>
    </row>
    <row r="190" spans="1:29" customFormat="1" ht="12.75" thickBot="1">
      <c r="A190" s="57" t="s">
        <v>1274</v>
      </c>
      <c r="B190" s="25" t="s">
        <v>334</v>
      </c>
      <c r="C190" s="25" t="s">
        <v>966</v>
      </c>
      <c r="D190" s="235" t="s">
        <v>498</v>
      </c>
      <c r="E190" s="576"/>
      <c r="F190" s="574"/>
      <c r="G190" s="575"/>
      <c r="H190" s="574"/>
      <c r="I190" s="574"/>
      <c r="J190" s="574"/>
      <c r="K190" s="574"/>
      <c r="L190" s="574"/>
      <c r="M190" s="575"/>
      <c r="N190" s="575"/>
      <c r="O190" s="574"/>
      <c r="P190" s="574"/>
      <c r="Q190" s="575"/>
      <c r="R190" s="575"/>
      <c r="S190" s="142">
        <f t="shared" si="29"/>
        <v>0</v>
      </c>
      <c r="T190" s="142">
        <f t="shared" si="30"/>
        <v>0</v>
      </c>
      <c r="U190" s="142">
        <f t="shared" si="31"/>
        <v>0</v>
      </c>
      <c r="W190" s="601">
        <f t="shared" si="27"/>
        <v>0</v>
      </c>
      <c r="X190" s="601">
        <f t="shared" si="28"/>
        <v>0</v>
      </c>
      <c r="Y190" s="123"/>
      <c r="Z190" s="692">
        <f t="shared" si="26"/>
        <v>0</v>
      </c>
      <c r="AA190" s="123"/>
      <c r="AB190" s="123"/>
      <c r="AC190" s="123"/>
    </row>
    <row r="191" spans="1:29" customFormat="1" ht="12.75" thickBot="1">
      <c r="A191" s="57" t="s">
        <v>1274</v>
      </c>
      <c r="B191" s="25" t="s">
        <v>336</v>
      </c>
      <c r="C191" s="25" t="s">
        <v>967</v>
      </c>
      <c r="D191" s="235" t="s">
        <v>498</v>
      </c>
      <c r="E191" s="576"/>
      <c r="F191" s="574"/>
      <c r="G191" s="575"/>
      <c r="H191" s="574"/>
      <c r="I191" s="574"/>
      <c r="J191" s="574"/>
      <c r="K191" s="574"/>
      <c r="L191" s="574"/>
      <c r="M191" s="575"/>
      <c r="N191" s="575"/>
      <c r="O191" s="574"/>
      <c r="P191" s="574"/>
      <c r="Q191" s="575"/>
      <c r="R191" s="575"/>
      <c r="S191" s="142">
        <f t="shared" si="29"/>
        <v>0</v>
      </c>
      <c r="T191" s="142">
        <f t="shared" si="30"/>
        <v>0</v>
      </c>
      <c r="U191" s="142">
        <f t="shared" si="31"/>
        <v>0</v>
      </c>
      <c r="W191" s="601">
        <f t="shared" si="27"/>
        <v>0</v>
      </c>
      <c r="X191" s="601">
        <f t="shared" si="28"/>
        <v>0</v>
      </c>
      <c r="Y191" s="123"/>
      <c r="Z191" s="692">
        <f t="shared" ref="Z191:Z250" si="32">SUM(F191:K191)</f>
        <v>0</v>
      </c>
      <c r="AA191" s="123"/>
      <c r="AB191" s="123"/>
      <c r="AC191" s="123"/>
    </row>
    <row r="192" spans="1:29" customFormat="1" ht="12.75" thickBot="1">
      <c r="A192" s="57" t="s">
        <v>1274</v>
      </c>
      <c r="B192" s="25" t="s">
        <v>337</v>
      </c>
      <c r="C192" s="25" t="s">
        <v>968</v>
      </c>
      <c r="D192" s="235" t="s">
        <v>606</v>
      </c>
      <c r="E192" s="576"/>
      <c r="F192" s="574"/>
      <c r="G192" s="575"/>
      <c r="H192" s="574"/>
      <c r="I192" s="574"/>
      <c r="J192" s="574"/>
      <c r="K192" s="574"/>
      <c r="L192" s="574"/>
      <c r="M192" s="575"/>
      <c r="N192" s="575"/>
      <c r="O192" s="574"/>
      <c r="P192" s="574"/>
      <c r="Q192" s="575"/>
      <c r="R192" s="575"/>
      <c r="S192" s="142">
        <f t="shared" si="29"/>
        <v>0</v>
      </c>
      <c r="T192" s="142">
        <f t="shared" si="30"/>
        <v>0</v>
      </c>
      <c r="U192" s="142">
        <f t="shared" si="31"/>
        <v>0</v>
      </c>
      <c r="W192" s="601">
        <f t="shared" si="27"/>
        <v>0</v>
      </c>
      <c r="X192" s="601">
        <f t="shared" si="28"/>
        <v>0</v>
      </c>
      <c r="Y192" s="123"/>
      <c r="Z192" s="692">
        <f t="shared" si="32"/>
        <v>0</v>
      </c>
      <c r="AA192" s="123"/>
      <c r="AB192" s="123"/>
      <c r="AC192" s="123"/>
    </row>
    <row r="193" spans="1:29" customFormat="1" ht="12.75" thickBot="1">
      <c r="A193" s="57" t="s">
        <v>1274</v>
      </c>
      <c r="B193" s="25" t="s">
        <v>338</v>
      </c>
      <c r="C193" s="25" t="s">
        <v>969</v>
      </c>
      <c r="D193" s="235" t="s">
        <v>606</v>
      </c>
      <c r="E193" s="576"/>
      <c r="F193" s="574"/>
      <c r="G193" s="575"/>
      <c r="H193" s="574"/>
      <c r="I193" s="574"/>
      <c r="J193" s="574"/>
      <c r="K193" s="574"/>
      <c r="L193" s="574"/>
      <c r="M193" s="575"/>
      <c r="N193" s="575"/>
      <c r="O193" s="574"/>
      <c r="P193" s="574"/>
      <c r="Q193" s="575"/>
      <c r="R193" s="575"/>
      <c r="S193" s="142">
        <f t="shared" si="29"/>
        <v>0</v>
      </c>
      <c r="T193" s="142">
        <f t="shared" si="30"/>
        <v>0</v>
      </c>
      <c r="U193" s="142">
        <f t="shared" si="31"/>
        <v>0</v>
      </c>
      <c r="W193" s="601">
        <f t="shared" si="27"/>
        <v>0</v>
      </c>
      <c r="X193" s="601">
        <f t="shared" si="28"/>
        <v>0</v>
      </c>
      <c r="Y193" s="123"/>
      <c r="Z193" s="692">
        <f t="shared" si="32"/>
        <v>0</v>
      </c>
      <c r="AA193" s="123"/>
      <c r="AB193" s="123"/>
      <c r="AC193" s="123"/>
    </row>
    <row r="194" spans="1:29" customFormat="1" ht="12.75" thickBot="1">
      <c r="A194" s="57" t="s">
        <v>1274</v>
      </c>
      <c r="B194" s="25" t="s">
        <v>339</v>
      </c>
      <c r="C194" s="25" t="s">
        <v>970</v>
      </c>
      <c r="D194" s="235" t="s">
        <v>606</v>
      </c>
      <c r="E194" s="576"/>
      <c r="F194" s="574"/>
      <c r="G194" s="575"/>
      <c r="H194" s="574"/>
      <c r="I194" s="574"/>
      <c r="J194" s="574"/>
      <c r="K194" s="574"/>
      <c r="L194" s="574"/>
      <c r="M194" s="575"/>
      <c r="N194" s="575"/>
      <c r="O194" s="574"/>
      <c r="P194" s="574"/>
      <c r="Q194" s="575"/>
      <c r="R194" s="575"/>
      <c r="S194" s="142">
        <f t="shared" si="29"/>
        <v>0</v>
      </c>
      <c r="T194" s="142">
        <f t="shared" si="30"/>
        <v>0</v>
      </c>
      <c r="U194" s="142">
        <f t="shared" si="31"/>
        <v>0</v>
      </c>
      <c r="W194" s="601">
        <f t="shared" si="27"/>
        <v>0</v>
      </c>
      <c r="X194" s="601">
        <f t="shared" si="28"/>
        <v>0</v>
      </c>
      <c r="Y194" s="123"/>
      <c r="Z194" s="692">
        <f t="shared" si="32"/>
        <v>0</v>
      </c>
      <c r="AA194" s="123"/>
      <c r="AB194" s="123"/>
      <c r="AC194" s="123"/>
    </row>
    <row r="195" spans="1:29" customFormat="1" ht="12.75" thickBot="1">
      <c r="A195" s="57" t="s">
        <v>1274</v>
      </c>
      <c r="B195" s="25" t="s">
        <v>340</v>
      </c>
      <c r="C195" s="25" t="s">
        <v>971</v>
      </c>
      <c r="D195" s="235" t="s">
        <v>606</v>
      </c>
      <c r="E195" s="576"/>
      <c r="F195" s="574"/>
      <c r="G195" s="575"/>
      <c r="H195" s="574"/>
      <c r="I195" s="574"/>
      <c r="J195" s="574"/>
      <c r="K195" s="574"/>
      <c r="L195" s="574"/>
      <c r="M195" s="575"/>
      <c r="N195" s="575"/>
      <c r="O195" s="574"/>
      <c r="P195" s="574"/>
      <c r="Q195" s="575"/>
      <c r="R195" s="575"/>
      <c r="S195" s="142">
        <f t="shared" si="29"/>
        <v>0</v>
      </c>
      <c r="T195" s="142">
        <f t="shared" si="30"/>
        <v>0</v>
      </c>
      <c r="U195" s="142">
        <f t="shared" si="31"/>
        <v>0</v>
      </c>
      <c r="W195" s="601">
        <f t="shared" si="27"/>
        <v>0</v>
      </c>
      <c r="X195" s="601">
        <f t="shared" si="28"/>
        <v>0</v>
      </c>
      <c r="Y195" s="123"/>
      <c r="Z195" s="692">
        <f t="shared" si="32"/>
        <v>0</v>
      </c>
      <c r="AA195" s="123"/>
      <c r="AB195" s="123"/>
      <c r="AC195" s="123"/>
    </row>
    <row r="196" spans="1:29" customFormat="1" ht="12.75" thickBot="1">
      <c r="A196" s="57" t="s">
        <v>1274</v>
      </c>
      <c r="B196" s="25" t="s">
        <v>341</v>
      </c>
      <c r="C196" s="25" t="s">
        <v>972</v>
      </c>
      <c r="D196" s="235" t="s">
        <v>606</v>
      </c>
      <c r="E196" s="576"/>
      <c r="F196" s="574"/>
      <c r="G196" s="575"/>
      <c r="H196" s="574"/>
      <c r="I196" s="574"/>
      <c r="J196" s="574"/>
      <c r="K196" s="574"/>
      <c r="L196" s="574"/>
      <c r="M196" s="575"/>
      <c r="N196" s="575"/>
      <c r="O196" s="574"/>
      <c r="P196" s="574"/>
      <c r="Q196" s="575"/>
      <c r="R196" s="575"/>
      <c r="S196" s="142">
        <f t="shared" si="29"/>
        <v>0</v>
      </c>
      <c r="T196" s="142">
        <f t="shared" si="30"/>
        <v>0</v>
      </c>
      <c r="U196" s="142">
        <f t="shared" si="31"/>
        <v>0</v>
      </c>
      <c r="W196" s="601">
        <f t="shared" si="27"/>
        <v>0</v>
      </c>
      <c r="X196" s="601">
        <f t="shared" si="28"/>
        <v>0</v>
      </c>
      <c r="Y196" s="123"/>
      <c r="Z196" s="692">
        <f t="shared" si="32"/>
        <v>0</v>
      </c>
      <c r="AA196" s="123"/>
      <c r="AB196" s="123"/>
      <c r="AC196" s="123"/>
    </row>
    <row r="197" spans="1:29" customFormat="1" ht="12.75" thickBot="1">
      <c r="A197" s="57" t="s">
        <v>1274</v>
      </c>
      <c r="B197" s="25" t="s">
        <v>342</v>
      </c>
      <c r="C197" s="25" t="s">
        <v>973</v>
      </c>
      <c r="D197" s="235" t="s">
        <v>606</v>
      </c>
      <c r="E197" s="576"/>
      <c r="F197" s="574"/>
      <c r="G197" s="575"/>
      <c r="H197" s="574"/>
      <c r="I197" s="574"/>
      <c r="J197" s="574"/>
      <c r="K197" s="574"/>
      <c r="L197" s="574"/>
      <c r="M197" s="575"/>
      <c r="N197" s="575"/>
      <c r="O197" s="574"/>
      <c r="P197" s="574"/>
      <c r="Q197" s="575"/>
      <c r="R197" s="575"/>
      <c r="S197" s="142">
        <f t="shared" si="29"/>
        <v>0</v>
      </c>
      <c r="T197" s="142">
        <f t="shared" si="30"/>
        <v>0</v>
      </c>
      <c r="U197" s="142">
        <f t="shared" si="31"/>
        <v>0</v>
      </c>
      <c r="W197" s="601">
        <f t="shared" si="27"/>
        <v>0</v>
      </c>
      <c r="X197" s="601">
        <f t="shared" si="28"/>
        <v>0</v>
      </c>
      <c r="Y197" s="123"/>
      <c r="Z197" s="692">
        <f t="shared" si="32"/>
        <v>0</v>
      </c>
      <c r="AA197" s="123"/>
      <c r="AB197" s="123"/>
      <c r="AC197" s="123"/>
    </row>
    <row r="198" spans="1:29" customFormat="1" ht="12.75" thickBot="1">
      <c r="A198" s="57" t="s">
        <v>1274</v>
      </c>
      <c r="B198" s="25" t="s">
        <v>343</v>
      </c>
      <c r="C198" s="25" t="s">
        <v>974</v>
      </c>
      <c r="D198" s="235" t="s">
        <v>498</v>
      </c>
      <c r="E198" s="576"/>
      <c r="F198" s="574"/>
      <c r="G198" s="575"/>
      <c r="H198" s="574"/>
      <c r="I198" s="574"/>
      <c r="J198" s="574"/>
      <c r="K198" s="574"/>
      <c r="L198" s="574"/>
      <c r="M198" s="575"/>
      <c r="N198" s="575"/>
      <c r="O198" s="574"/>
      <c r="P198" s="574"/>
      <c r="Q198" s="575"/>
      <c r="R198" s="575"/>
      <c r="S198" s="142">
        <f t="shared" si="29"/>
        <v>0</v>
      </c>
      <c r="T198" s="142">
        <f t="shared" si="30"/>
        <v>0</v>
      </c>
      <c r="U198" s="142">
        <f t="shared" si="31"/>
        <v>0</v>
      </c>
      <c r="W198" s="601">
        <f t="shared" si="27"/>
        <v>0</v>
      </c>
      <c r="X198" s="601">
        <f t="shared" si="28"/>
        <v>0</v>
      </c>
      <c r="Y198" s="123"/>
      <c r="Z198" s="692">
        <f t="shared" si="32"/>
        <v>0</v>
      </c>
      <c r="AA198" s="123"/>
      <c r="AB198" s="123"/>
      <c r="AC198" s="123"/>
    </row>
    <row r="199" spans="1:29" customFormat="1" ht="12.75" thickBot="1">
      <c r="A199" s="57" t="s">
        <v>1274</v>
      </c>
      <c r="B199" s="25" t="s">
        <v>344</v>
      </c>
      <c r="C199" s="25" t="s">
        <v>975</v>
      </c>
      <c r="D199" s="235" t="s">
        <v>606</v>
      </c>
      <c r="E199" s="576"/>
      <c r="F199" s="574"/>
      <c r="G199" s="575"/>
      <c r="H199" s="574"/>
      <c r="I199" s="574"/>
      <c r="J199" s="574"/>
      <c r="K199" s="574"/>
      <c r="L199" s="574"/>
      <c r="M199" s="575"/>
      <c r="N199" s="575"/>
      <c r="O199" s="574"/>
      <c r="P199" s="574"/>
      <c r="Q199" s="575"/>
      <c r="R199" s="575"/>
      <c r="S199" s="142">
        <f t="shared" si="29"/>
        <v>0</v>
      </c>
      <c r="T199" s="142">
        <f t="shared" si="30"/>
        <v>0</v>
      </c>
      <c r="U199" s="142">
        <f t="shared" si="31"/>
        <v>0</v>
      </c>
      <c r="W199" s="601">
        <f t="shared" si="27"/>
        <v>0</v>
      </c>
      <c r="X199" s="601">
        <f t="shared" si="28"/>
        <v>0</v>
      </c>
      <c r="Y199" s="123"/>
      <c r="Z199" s="692">
        <f t="shared" si="32"/>
        <v>0</v>
      </c>
      <c r="AA199" s="123"/>
      <c r="AB199" s="123"/>
      <c r="AC199" s="123"/>
    </row>
    <row r="200" spans="1:29" customFormat="1" ht="12.75" thickBot="1">
      <c r="A200" s="57" t="s">
        <v>1274</v>
      </c>
      <c r="B200" s="25" t="s">
        <v>345</v>
      </c>
      <c r="C200" s="25" t="s">
        <v>976</v>
      </c>
      <c r="D200" s="235" t="s">
        <v>498</v>
      </c>
      <c r="E200" s="576"/>
      <c r="F200" s="574"/>
      <c r="G200" s="575"/>
      <c r="H200" s="574"/>
      <c r="I200" s="574"/>
      <c r="J200" s="574"/>
      <c r="K200" s="574"/>
      <c r="L200" s="574"/>
      <c r="M200" s="575"/>
      <c r="N200" s="575"/>
      <c r="O200" s="574"/>
      <c r="P200" s="574"/>
      <c r="Q200" s="575"/>
      <c r="R200" s="575"/>
      <c r="S200" s="142">
        <f t="shared" si="29"/>
        <v>0</v>
      </c>
      <c r="T200" s="142">
        <f t="shared" si="30"/>
        <v>0</v>
      </c>
      <c r="U200" s="142">
        <f t="shared" si="31"/>
        <v>0</v>
      </c>
      <c r="W200" s="601">
        <f t="shared" si="27"/>
        <v>0</v>
      </c>
      <c r="X200" s="601">
        <f t="shared" si="28"/>
        <v>0</v>
      </c>
      <c r="Y200" s="123"/>
      <c r="Z200" s="692">
        <f t="shared" si="32"/>
        <v>0</v>
      </c>
      <c r="AA200" s="123"/>
      <c r="AB200" s="123"/>
      <c r="AC200" s="123"/>
    </row>
    <row r="201" spans="1:29" customFormat="1" ht="12.75" thickBot="1">
      <c r="A201" s="57" t="s">
        <v>1274</v>
      </c>
      <c r="B201" s="25" t="s">
        <v>346</v>
      </c>
      <c r="C201" s="25" t="s">
        <v>977</v>
      </c>
      <c r="D201" s="235" t="s">
        <v>606</v>
      </c>
      <c r="E201" s="576"/>
      <c r="F201" s="574"/>
      <c r="G201" s="575"/>
      <c r="H201" s="574"/>
      <c r="I201" s="574"/>
      <c r="J201" s="574"/>
      <c r="K201" s="574"/>
      <c r="L201" s="574"/>
      <c r="M201" s="575"/>
      <c r="N201" s="575"/>
      <c r="O201" s="574"/>
      <c r="P201" s="574"/>
      <c r="Q201" s="575"/>
      <c r="R201" s="575"/>
      <c r="S201" s="142">
        <f t="shared" si="29"/>
        <v>0</v>
      </c>
      <c r="T201" s="142">
        <f t="shared" si="30"/>
        <v>0</v>
      </c>
      <c r="U201" s="142">
        <f t="shared" si="31"/>
        <v>0</v>
      </c>
      <c r="W201" s="601">
        <f t="shared" si="27"/>
        <v>0</v>
      </c>
      <c r="X201" s="601">
        <f t="shared" si="28"/>
        <v>0</v>
      </c>
      <c r="Y201" s="123"/>
      <c r="Z201" s="692">
        <f t="shared" si="32"/>
        <v>0</v>
      </c>
      <c r="AA201" s="123"/>
      <c r="AB201" s="123"/>
      <c r="AC201" s="123"/>
    </row>
    <row r="202" spans="1:29" customFormat="1" ht="12.75" thickBot="1">
      <c r="A202" s="57" t="s">
        <v>1274</v>
      </c>
      <c r="B202" s="25" t="s">
        <v>347</v>
      </c>
      <c r="C202" s="25" t="s">
        <v>978</v>
      </c>
      <c r="D202" s="235" t="s">
        <v>498</v>
      </c>
      <c r="E202" s="576"/>
      <c r="F202" s="574"/>
      <c r="G202" s="575"/>
      <c r="H202" s="574"/>
      <c r="I202" s="574"/>
      <c r="J202" s="574"/>
      <c r="K202" s="574"/>
      <c r="L202" s="574"/>
      <c r="M202" s="575"/>
      <c r="N202" s="575"/>
      <c r="O202" s="574"/>
      <c r="P202" s="574"/>
      <c r="Q202" s="575"/>
      <c r="R202" s="575"/>
      <c r="S202" s="142">
        <f t="shared" si="29"/>
        <v>0</v>
      </c>
      <c r="T202" s="142">
        <f t="shared" si="30"/>
        <v>0</v>
      </c>
      <c r="U202" s="142">
        <f t="shared" si="31"/>
        <v>0</v>
      </c>
      <c r="W202" s="601">
        <f t="shared" si="27"/>
        <v>0</v>
      </c>
      <c r="X202" s="601">
        <f t="shared" si="28"/>
        <v>0</v>
      </c>
      <c r="Y202" s="123"/>
      <c r="Z202" s="692">
        <f t="shared" si="32"/>
        <v>0</v>
      </c>
      <c r="AA202" s="123"/>
      <c r="AB202" s="123"/>
      <c r="AC202" s="123"/>
    </row>
    <row r="203" spans="1:29" customFormat="1" ht="12.75" thickBot="1">
      <c r="A203" s="57" t="s">
        <v>1274</v>
      </c>
      <c r="B203" s="25" t="s">
        <v>348</v>
      </c>
      <c r="C203" s="25" t="s">
        <v>979</v>
      </c>
      <c r="D203" s="235" t="s">
        <v>606</v>
      </c>
      <c r="E203" s="576"/>
      <c r="F203" s="574"/>
      <c r="G203" s="575"/>
      <c r="H203" s="574"/>
      <c r="I203" s="574"/>
      <c r="J203" s="574"/>
      <c r="K203" s="574"/>
      <c r="L203" s="574"/>
      <c r="M203" s="575"/>
      <c r="N203" s="575"/>
      <c r="O203" s="574"/>
      <c r="P203" s="574"/>
      <c r="Q203" s="575"/>
      <c r="R203" s="575"/>
      <c r="S203" s="142">
        <f t="shared" si="29"/>
        <v>0</v>
      </c>
      <c r="T203" s="142">
        <f t="shared" si="30"/>
        <v>0</v>
      </c>
      <c r="U203" s="142">
        <f t="shared" si="31"/>
        <v>0</v>
      </c>
      <c r="W203" s="601">
        <f t="shared" si="27"/>
        <v>0</v>
      </c>
      <c r="X203" s="601">
        <f t="shared" si="28"/>
        <v>0</v>
      </c>
      <c r="Y203" s="123"/>
      <c r="Z203" s="692">
        <f t="shared" si="32"/>
        <v>0</v>
      </c>
      <c r="AA203" s="123"/>
      <c r="AB203" s="123"/>
      <c r="AC203" s="123"/>
    </row>
    <row r="204" spans="1:29" customFormat="1" ht="12.75" thickBot="1">
      <c r="A204" s="57" t="s">
        <v>1274</v>
      </c>
      <c r="B204" s="25" t="s">
        <v>376</v>
      </c>
      <c r="C204" s="25" t="s">
        <v>980</v>
      </c>
      <c r="D204" s="235" t="s">
        <v>498</v>
      </c>
      <c r="E204" s="576"/>
      <c r="F204" s="574"/>
      <c r="G204" s="575"/>
      <c r="H204" s="574"/>
      <c r="I204" s="574"/>
      <c r="J204" s="574"/>
      <c r="K204" s="574"/>
      <c r="L204" s="574"/>
      <c r="M204" s="575"/>
      <c r="N204" s="575"/>
      <c r="O204" s="574"/>
      <c r="P204" s="574"/>
      <c r="Q204" s="575"/>
      <c r="R204" s="575"/>
      <c r="S204" s="142">
        <f t="shared" si="29"/>
        <v>0</v>
      </c>
      <c r="T204" s="142">
        <f t="shared" si="30"/>
        <v>0</v>
      </c>
      <c r="U204" s="142">
        <f t="shared" si="31"/>
        <v>0</v>
      </c>
      <c r="W204" s="601">
        <f t="shared" ref="W204:W264" si="33">SUM(F204:Q204)</f>
        <v>0</v>
      </c>
      <c r="X204" s="601">
        <f t="shared" ref="X204:X264" si="34">W204-R204</f>
        <v>0</v>
      </c>
      <c r="Y204" s="123"/>
      <c r="Z204" s="692">
        <f t="shared" si="32"/>
        <v>0</v>
      </c>
      <c r="AA204" s="123"/>
      <c r="AB204" s="123"/>
      <c r="AC204" s="123"/>
    </row>
    <row r="205" spans="1:29" customFormat="1" ht="12.75" thickBot="1">
      <c r="A205" s="57" t="s">
        <v>1274</v>
      </c>
      <c r="B205" s="25" t="s">
        <v>349</v>
      </c>
      <c r="C205" s="25" t="s">
        <v>981</v>
      </c>
      <c r="D205" s="235" t="s">
        <v>606</v>
      </c>
      <c r="E205" s="576"/>
      <c r="F205" s="574"/>
      <c r="G205" s="575"/>
      <c r="H205" s="574"/>
      <c r="I205" s="574"/>
      <c r="J205" s="574"/>
      <c r="K205" s="574"/>
      <c r="L205" s="574"/>
      <c r="M205" s="575"/>
      <c r="N205" s="575"/>
      <c r="O205" s="574"/>
      <c r="P205" s="574"/>
      <c r="Q205" s="575"/>
      <c r="R205" s="575"/>
      <c r="S205" s="142">
        <f t="shared" si="29"/>
        <v>0</v>
      </c>
      <c r="T205" s="142">
        <f t="shared" si="30"/>
        <v>0</v>
      </c>
      <c r="U205" s="142">
        <f t="shared" si="31"/>
        <v>0</v>
      </c>
      <c r="W205" s="601">
        <f t="shared" si="33"/>
        <v>0</v>
      </c>
      <c r="X205" s="601">
        <f t="shared" si="34"/>
        <v>0</v>
      </c>
      <c r="Y205" s="123"/>
      <c r="Z205" s="692">
        <f t="shared" si="32"/>
        <v>0</v>
      </c>
      <c r="AA205" s="123"/>
      <c r="AB205" s="123"/>
      <c r="AC205" s="123"/>
    </row>
    <row r="206" spans="1:29" customFormat="1" ht="12.75" thickBot="1">
      <c r="A206" s="57" t="s">
        <v>1274</v>
      </c>
      <c r="B206" s="25" t="s">
        <v>730</v>
      </c>
      <c r="C206" s="25" t="s">
        <v>982</v>
      </c>
      <c r="D206" s="235" t="s">
        <v>606</v>
      </c>
      <c r="E206" s="576"/>
      <c r="F206" s="574"/>
      <c r="G206" s="575"/>
      <c r="H206" s="574"/>
      <c r="I206" s="574"/>
      <c r="J206" s="574"/>
      <c r="K206" s="574"/>
      <c r="L206" s="574"/>
      <c r="M206" s="575"/>
      <c r="N206" s="575"/>
      <c r="O206" s="574"/>
      <c r="P206" s="574"/>
      <c r="Q206" s="574"/>
      <c r="R206" s="575"/>
      <c r="S206" s="142">
        <f t="shared" si="29"/>
        <v>0</v>
      </c>
      <c r="T206" s="142">
        <f t="shared" si="30"/>
        <v>0</v>
      </c>
      <c r="U206" s="142">
        <f t="shared" si="31"/>
        <v>0</v>
      </c>
      <c r="W206" s="601">
        <f t="shared" si="33"/>
        <v>0</v>
      </c>
      <c r="X206" s="601">
        <f t="shared" si="34"/>
        <v>0</v>
      </c>
      <c r="Y206" s="123"/>
      <c r="Z206" s="692">
        <f t="shared" si="32"/>
        <v>0</v>
      </c>
      <c r="AA206" s="123"/>
      <c r="AB206" s="123"/>
      <c r="AC206" s="123"/>
    </row>
    <row r="207" spans="1:29" customFormat="1" ht="12.75" thickBot="1">
      <c r="A207" s="57" t="s">
        <v>1274</v>
      </c>
      <c r="B207" s="25" t="s">
        <v>378</v>
      </c>
      <c r="C207" s="25" t="s">
        <v>983</v>
      </c>
      <c r="D207" s="235" t="s">
        <v>606</v>
      </c>
      <c r="E207" s="576"/>
      <c r="F207" s="574"/>
      <c r="G207" s="575"/>
      <c r="H207" s="574"/>
      <c r="I207" s="574"/>
      <c r="J207" s="574"/>
      <c r="K207" s="574"/>
      <c r="L207" s="574"/>
      <c r="M207" s="575"/>
      <c r="N207" s="575"/>
      <c r="O207" s="574"/>
      <c r="P207" s="574"/>
      <c r="Q207" s="574"/>
      <c r="R207" s="575"/>
      <c r="S207" s="142">
        <f t="shared" si="29"/>
        <v>0</v>
      </c>
      <c r="T207" s="142">
        <f t="shared" si="30"/>
        <v>0</v>
      </c>
      <c r="U207" s="142">
        <f t="shared" si="31"/>
        <v>0</v>
      </c>
      <c r="W207" s="601">
        <f t="shared" si="33"/>
        <v>0</v>
      </c>
      <c r="X207" s="601">
        <f t="shared" si="34"/>
        <v>0</v>
      </c>
      <c r="Y207" s="123"/>
      <c r="Z207" s="692">
        <f t="shared" si="32"/>
        <v>0</v>
      </c>
      <c r="AA207" s="123"/>
      <c r="AB207" s="123"/>
      <c r="AC207" s="123"/>
    </row>
    <row r="208" spans="1:29" customFormat="1" ht="12.75" thickBot="1">
      <c r="A208" s="57" t="s">
        <v>1274</v>
      </c>
      <c r="B208" s="25" t="s">
        <v>354</v>
      </c>
      <c r="C208" s="25" t="s">
        <v>984</v>
      </c>
      <c r="D208" s="235" t="s">
        <v>606</v>
      </c>
      <c r="E208" s="576"/>
      <c r="F208" s="574"/>
      <c r="G208" s="575"/>
      <c r="H208" s="574"/>
      <c r="I208" s="574"/>
      <c r="J208" s="574"/>
      <c r="K208" s="574"/>
      <c r="L208" s="574"/>
      <c r="M208" s="575"/>
      <c r="N208" s="575"/>
      <c r="O208" s="574"/>
      <c r="P208" s="574"/>
      <c r="Q208" s="575"/>
      <c r="R208" s="575"/>
      <c r="S208" s="142">
        <f t="shared" si="29"/>
        <v>0</v>
      </c>
      <c r="T208" s="142">
        <f t="shared" si="30"/>
        <v>0</v>
      </c>
      <c r="U208" s="142">
        <f t="shared" si="31"/>
        <v>0</v>
      </c>
      <c r="W208" s="601">
        <f t="shared" si="33"/>
        <v>0</v>
      </c>
      <c r="X208" s="601">
        <f t="shared" si="34"/>
        <v>0</v>
      </c>
      <c r="Y208" s="123"/>
      <c r="Z208" s="692">
        <f t="shared" si="32"/>
        <v>0</v>
      </c>
      <c r="AA208" s="123"/>
      <c r="AB208" s="123"/>
      <c r="AC208" s="123"/>
    </row>
    <row r="209" spans="1:29" customFormat="1" ht="12.75" thickBot="1">
      <c r="A209" s="57" t="s">
        <v>1274</v>
      </c>
      <c r="B209" s="25" t="s">
        <v>355</v>
      </c>
      <c r="C209" s="25" t="s">
        <v>985</v>
      </c>
      <c r="D209" s="235" t="s">
        <v>606</v>
      </c>
      <c r="E209" s="576"/>
      <c r="F209" s="574"/>
      <c r="G209" s="575"/>
      <c r="H209" s="574"/>
      <c r="I209" s="574"/>
      <c r="J209" s="574"/>
      <c r="K209" s="574"/>
      <c r="L209" s="574"/>
      <c r="M209" s="575"/>
      <c r="N209" s="575"/>
      <c r="O209" s="574"/>
      <c r="P209" s="574"/>
      <c r="Q209" s="575"/>
      <c r="R209" s="575"/>
      <c r="S209" s="142">
        <f t="shared" si="29"/>
        <v>0</v>
      </c>
      <c r="T209" s="142">
        <f t="shared" si="30"/>
        <v>0</v>
      </c>
      <c r="U209" s="142">
        <f t="shared" si="31"/>
        <v>0</v>
      </c>
      <c r="W209" s="601">
        <f t="shared" si="33"/>
        <v>0</v>
      </c>
      <c r="X209" s="601">
        <f t="shared" si="34"/>
        <v>0</v>
      </c>
      <c r="Y209" s="123"/>
      <c r="Z209" s="692">
        <f t="shared" si="32"/>
        <v>0</v>
      </c>
      <c r="AA209" s="123"/>
      <c r="AB209" s="123"/>
      <c r="AC209" s="123"/>
    </row>
    <row r="210" spans="1:29" customFormat="1" ht="12.75" thickBot="1">
      <c r="A210" s="57" t="s">
        <v>1274</v>
      </c>
      <c r="B210" s="25" t="s">
        <v>356</v>
      </c>
      <c r="C210" s="25" t="s">
        <v>986</v>
      </c>
      <c r="D210" s="235" t="s">
        <v>606</v>
      </c>
      <c r="E210" s="576"/>
      <c r="F210" s="574"/>
      <c r="G210" s="575"/>
      <c r="H210" s="574"/>
      <c r="I210" s="574"/>
      <c r="J210" s="574"/>
      <c r="K210" s="574"/>
      <c r="L210" s="574"/>
      <c r="M210" s="575"/>
      <c r="N210" s="575"/>
      <c r="O210" s="574"/>
      <c r="P210" s="574"/>
      <c r="Q210" s="575"/>
      <c r="R210" s="575"/>
      <c r="S210" s="142">
        <f t="shared" si="29"/>
        <v>0</v>
      </c>
      <c r="T210" s="142">
        <f t="shared" si="30"/>
        <v>0</v>
      </c>
      <c r="U210" s="142">
        <f t="shared" si="31"/>
        <v>0</v>
      </c>
      <c r="W210" s="601">
        <f t="shared" si="33"/>
        <v>0</v>
      </c>
      <c r="X210" s="601">
        <f t="shared" si="34"/>
        <v>0</v>
      </c>
      <c r="Y210" s="123"/>
      <c r="Z210" s="692">
        <f t="shared" si="32"/>
        <v>0</v>
      </c>
      <c r="AA210" s="123"/>
      <c r="AB210" s="123"/>
      <c r="AC210" s="123"/>
    </row>
    <row r="211" spans="1:29" customFormat="1" ht="12.75" thickBot="1">
      <c r="A211" s="57" t="s">
        <v>1274</v>
      </c>
      <c r="B211" s="25" t="s">
        <v>357</v>
      </c>
      <c r="C211" s="25" t="s">
        <v>987</v>
      </c>
      <c r="D211" s="235" t="s">
        <v>606</v>
      </c>
      <c r="E211" s="576"/>
      <c r="F211" s="574"/>
      <c r="G211" s="575"/>
      <c r="H211" s="574"/>
      <c r="I211" s="574"/>
      <c r="J211" s="574"/>
      <c r="K211" s="574"/>
      <c r="L211" s="574"/>
      <c r="M211" s="575"/>
      <c r="N211" s="575"/>
      <c r="O211" s="574"/>
      <c r="P211" s="574"/>
      <c r="Q211" s="575"/>
      <c r="R211" s="575"/>
      <c r="S211" s="142">
        <f t="shared" si="29"/>
        <v>0</v>
      </c>
      <c r="T211" s="142">
        <f t="shared" si="30"/>
        <v>0</v>
      </c>
      <c r="U211" s="142">
        <f t="shared" si="31"/>
        <v>0</v>
      </c>
      <c r="W211" s="601">
        <f t="shared" si="33"/>
        <v>0</v>
      </c>
      <c r="X211" s="601">
        <f t="shared" si="34"/>
        <v>0</v>
      </c>
      <c r="Y211" s="123"/>
      <c r="Z211" s="692">
        <f t="shared" si="32"/>
        <v>0</v>
      </c>
      <c r="AA211" s="123"/>
      <c r="AB211" s="123"/>
      <c r="AC211" s="123"/>
    </row>
    <row r="212" spans="1:29" customFormat="1" ht="12.75" thickBot="1">
      <c r="A212" s="57" t="s">
        <v>1274</v>
      </c>
      <c r="B212" s="25" t="s">
        <v>358</v>
      </c>
      <c r="C212" s="25" t="s">
        <v>988</v>
      </c>
      <c r="D212" s="235" t="s">
        <v>606</v>
      </c>
      <c r="E212" s="576"/>
      <c r="F212" s="574"/>
      <c r="G212" s="575"/>
      <c r="H212" s="574"/>
      <c r="I212" s="574"/>
      <c r="J212" s="574"/>
      <c r="K212" s="574"/>
      <c r="L212" s="574"/>
      <c r="M212" s="575"/>
      <c r="N212" s="575"/>
      <c r="O212" s="574"/>
      <c r="P212" s="574"/>
      <c r="Q212" s="575"/>
      <c r="R212" s="575"/>
      <c r="S212" s="142">
        <f t="shared" si="29"/>
        <v>0</v>
      </c>
      <c r="T212" s="142">
        <f t="shared" si="30"/>
        <v>0</v>
      </c>
      <c r="U212" s="142">
        <f t="shared" si="31"/>
        <v>0</v>
      </c>
      <c r="W212" s="601">
        <f t="shared" si="33"/>
        <v>0</v>
      </c>
      <c r="X212" s="601">
        <f t="shared" si="34"/>
        <v>0</v>
      </c>
      <c r="Y212" s="123"/>
      <c r="Z212" s="692">
        <f t="shared" si="32"/>
        <v>0</v>
      </c>
      <c r="AA212" s="123"/>
      <c r="AB212" s="123"/>
      <c r="AC212" s="123"/>
    </row>
    <row r="213" spans="1:29" customFormat="1" ht="12.75" thickBot="1">
      <c r="A213" s="57" t="s">
        <v>1274</v>
      </c>
      <c r="B213" s="25" t="s">
        <v>359</v>
      </c>
      <c r="C213" s="25" t="s">
        <v>989</v>
      </c>
      <c r="D213" s="235" t="s">
        <v>606</v>
      </c>
      <c r="E213" s="576"/>
      <c r="F213" s="574"/>
      <c r="G213" s="575"/>
      <c r="H213" s="574"/>
      <c r="I213" s="574"/>
      <c r="J213" s="574"/>
      <c r="K213" s="574"/>
      <c r="L213" s="574"/>
      <c r="M213" s="575"/>
      <c r="N213" s="575"/>
      <c r="O213" s="574"/>
      <c r="P213" s="574"/>
      <c r="Q213" s="575"/>
      <c r="R213" s="575"/>
      <c r="S213" s="142">
        <f t="shared" si="29"/>
        <v>0</v>
      </c>
      <c r="T213" s="142">
        <f t="shared" si="30"/>
        <v>0</v>
      </c>
      <c r="U213" s="142">
        <f t="shared" si="31"/>
        <v>0</v>
      </c>
      <c r="W213" s="601">
        <f t="shared" si="33"/>
        <v>0</v>
      </c>
      <c r="X213" s="601">
        <f t="shared" si="34"/>
        <v>0</v>
      </c>
      <c r="Y213" s="123"/>
      <c r="Z213" s="692">
        <f t="shared" si="32"/>
        <v>0</v>
      </c>
      <c r="AA213" s="123"/>
      <c r="AB213" s="123"/>
      <c r="AC213" s="123"/>
    </row>
    <row r="214" spans="1:29" customFormat="1" ht="12.75" thickBot="1">
      <c r="A214" s="57" t="s">
        <v>1274</v>
      </c>
      <c r="B214" s="25" t="s">
        <v>360</v>
      </c>
      <c r="C214" s="25" t="s">
        <v>990</v>
      </c>
      <c r="D214" s="235" t="s">
        <v>498</v>
      </c>
      <c r="E214" s="576"/>
      <c r="F214" s="574"/>
      <c r="G214" s="575"/>
      <c r="H214" s="574"/>
      <c r="I214" s="574"/>
      <c r="J214" s="574"/>
      <c r="K214" s="574"/>
      <c r="L214" s="574"/>
      <c r="M214" s="575"/>
      <c r="N214" s="575"/>
      <c r="O214" s="574"/>
      <c r="P214" s="574"/>
      <c r="Q214" s="575"/>
      <c r="R214" s="575"/>
      <c r="S214" s="142">
        <f t="shared" si="29"/>
        <v>0</v>
      </c>
      <c r="T214" s="142">
        <f t="shared" si="30"/>
        <v>0</v>
      </c>
      <c r="U214" s="142">
        <f t="shared" si="31"/>
        <v>0</v>
      </c>
      <c r="W214" s="601">
        <f t="shared" si="33"/>
        <v>0</v>
      </c>
      <c r="X214" s="601">
        <f t="shared" si="34"/>
        <v>0</v>
      </c>
      <c r="Y214" s="123"/>
      <c r="Z214" s="692">
        <f t="shared" si="32"/>
        <v>0</v>
      </c>
      <c r="AA214" s="123"/>
      <c r="AB214" s="123"/>
      <c r="AC214" s="123"/>
    </row>
    <row r="215" spans="1:29" customFormat="1" ht="12.75" thickBot="1">
      <c r="A215" s="57" t="s">
        <v>1274</v>
      </c>
      <c r="B215" s="25" t="s">
        <v>365</v>
      </c>
      <c r="C215" s="25" t="s">
        <v>991</v>
      </c>
      <c r="D215" s="235" t="s">
        <v>606</v>
      </c>
      <c r="E215" s="576"/>
      <c r="F215" s="574"/>
      <c r="G215" s="575"/>
      <c r="H215" s="574"/>
      <c r="I215" s="574"/>
      <c r="J215" s="574"/>
      <c r="K215" s="574"/>
      <c r="L215" s="574"/>
      <c r="M215" s="575"/>
      <c r="N215" s="575"/>
      <c r="O215" s="574"/>
      <c r="P215" s="574"/>
      <c r="Q215" s="575"/>
      <c r="R215" s="575"/>
      <c r="S215" s="142">
        <f t="shared" si="29"/>
        <v>0</v>
      </c>
      <c r="T215" s="142">
        <f t="shared" si="30"/>
        <v>0</v>
      </c>
      <c r="U215" s="142">
        <f t="shared" si="31"/>
        <v>0</v>
      </c>
      <c r="W215" s="601">
        <f t="shared" si="33"/>
        <v>0</v>
      </c>
      <c r="X215" s="601">
        <f t="shared" si="34"/>
        <v>0</v>
      </c>
      <c r="Y215" s="123"/>
      <c r="Z215" s="692">
        <f t="shared" si="32"/>
        <v>0</v>
      </c>
      <c r="AA215" s="123"/>
      <c r="AB215" s="123"/>
      <c r="AC215" s="123"/>
    </row>
    <row r="216" spans="1:29" customFormat="1" ht="12.75" thickBot="1">
      <c r="A216" s="57" t="s">
        <v>1274</v>
      </c>
      <c r="B216" s="25" t="s">
        <v>366</v>
      </c>
      <c r="C216" s="25" t="s">
        <v>992</v>
      </c>
      <c r="D216" s="235" t="s">
        <v>498</v>
      </c>
      <c r="E216" s="576"/>
      <c r="F216" s="574"/>
      <c r="G216" s="575"/>
      <c r="H216" s="574"/>
      <c r="I216" s="574"/>
      <c r="J216" s="574"/>
      <c r="K216" s="574"/>
      <c r="L216" s="574"/>
      <c r="M216" s="575"/>
      <c r="N216" s="575"/>
      <c r="O216" s="574"/>
      <c r="P216" s="574"/>
      <c r="Q216" s="575"/>
      <c r="R216" s="575"/>
      <c r="S216" s="142">
        <f t="shared" si="29"/>
        <v>0</v>
      </c>
      <c r="T216" s="142">
        <f t="shared" si="30"/>
        <v>0</v>
      </c>
      <c r="U216" s="142">
        <f t="shared" si="31"/>
        <v>0</v>
      </c>
      <c r="W216" s="601">
        <f t="shared" si="33"/>
        <v>0</v>
      </c>
      <c r="X216" s="601">
        <f t="shared" si="34"/>
        <v>0</v>
      </c>
      <c r="Y216" s="123"/>
      <c r="Z216" s="692">
        <f t="shared" si="32"/>
        <v>0</v>
      </c>
      <c r="AA216" s="123"/>
      <c r="AB216" s="123"/>
      <c r="AC216" s="123"/>
    </row>
    <row r="217" spans="1:29" customFormat="1" ht="12.75" thickBot="1">
      <c r="A217" s="57" t="s">
        <v>1274</v>
      </c>
      <c r="B217" s="25" t="s">
        <v>367</v>
      </c>
      <c r="C217" s="25" t="s">
        <v>993</v>
      </c>
      <c r="D217" s="235" t="s">
        <v>606</v>
      </c>
      <c r="E217" s="576"/>
      <c r="F217" s="574"/>
      <c r="G217" s="575"/>
      <c r="H217" s="574"/>
      <c r="I217" s="574"/>
      <c r="J217" s="574"/>
      <c r="K217" s="574"/>
      <c r="L217" s="574"/>
      <c r="M217" s="575"/>
      <c r="N217" s="575"/>
      <c r="O217" s="574"/>
      <c r="P217" s="574"/>
      <c r="Q217" s="575"/>
      <c r="R217" s="575"/>
      <c r="S217" s="142">
        <f t="shared" si="29"/>
        <v>0</v>
      </c>
      <c r="T217" s="142">
        <f t="shared" si="30"/>
        <v>0</v>
      </c>
      <c r="U217" s="142">
        <f t="shared" si="31"/>
        <v>0</v>
      </c>
      <c r="W217" s="601">
        <f t="shared" si="33"/>
        <v>0</v>
      </c>
      <c r="X217" s="601">
        <f t="shared" si="34"/>
        <v>0</v>
      </c>
      <c r="Y217" s="123"/>
      <c r="Z217" s="692">
        <f t="shared" si="32"/>
        <v>0</v>
      </c>
      <c r="AA217" s="123"/>
      <c r="AB217" s="123"/>
      <c r="AC217" s="123"/>
    </row>
    <row r="218" spans="1:29" customFormat="1" ht="12.75" thickBot="1">
      <c r="A218" s="57" t="s">
        <v>1274</v>
      </c>
      <c r="B218" s="25" t="s">
        <v>368</v>
      </c>
      <c r="C218" s="25" t="s">
        <v>994</v>
      </c>
      <c r="D218" s="235" t="s">
        <v>498</v>
      </c>
      <c r="E218" s="576"/>
      <c r="F218" s="574"/>
      <c r="G218" s="575"/>
      <c r="H218" s="574"/>
      <c r="I218" s="574"/>
      <c r="J218" s="574"/>
      <c r="K218" s="574"/>
      <c r="L218" s="574"/>
      <c r="M218" s="575"/>
      <c r="N218" s="575"/>
      <c r="O218" s="574"/>
      <c r="P218" s="574"/>
      <c r="Q218" s="575"/>
      <c r="R218" s="575"/>
      <c r="S218" s="142">
        <f t="shared" si="29"/>
        <v>0</v>
      </c>
      <c r="T218" s="142">
        <f t="shared" si="30"/>
        <v>0</v>
      </c>
      <c r="U218" s="142">
        <f t="shared" si="31"/>
        <v>0</v>
      </c>
      <c r="W218" s="601">
        <f t="shared" si="33"/>
        <v>0</v>
      </c>
      <c r="X218" s="601">
        <f t="shared" si="34"/>
        <v>0</v>
      </c>
      <c r="Y218" s="123"/>
      <c r="Z218" s="692">
        <f t="shared" si="32"/>
        <v>0</v>
      </c>
      <c r="AA218" s="123"/>
      <c r="AB218" s="123"/>
      <c r="AC218" s="123"/>
    </row>
    <row r="219" spans="1:29" customFormat="1" ht="12.75" thickBot="1">
      <c r="A219" s="57" t="s">
        <v>1274</v>
      </c>
      <c r="B219" s="25" t="s">
        <v>369</v>
      </c>
      <c r="C219" s="25" t="s">
        <v>995</v>
      </c>
      <c r="D219" s="235" t="s">
        <v>498</v>
      </c>
      <c r="E219" s="576"/>
      <c r="F219" s="574"/>
      <c r="G219" s="575"/>
      <c r="H219" s="574"/>
      <c r="I219" s="574"/>
      <c r="J219" s="574"/>
      <c r="K219" s="574"/>
      <c r="L219" s="574"/>
      <c r="M219" s="575"/>
      <c r="N219" s="575"/>
      <c r="O219" s="574"/>
      <c r="P219" s="574"/>
      <c r="Q219" s="575"/>
      <c r="R219" s="575"/>
      <c r="S219" s="142">
        <f t="shared" si="29"/>
        <v>0</v>
      </c>
      <c r="T219" s="142">
        <f t="shared" si="30"/>
        <v>0</v>
      </c>
      <c r="U219" s="142">
        <f t="shared" si="31"/>
        <v>0</v>
      </c>
      <c r="W219" s="601">
        <f t="shared" si="33"/>
        <v>0</v>
      </c>
      <c r="X219" s="601">
        <f t="shared" si="34"/>
        <v>0</v>
      </c>
      <c r="Y219" s="123"/>
      <c r="Z219" s="692">
        <f t="shared" si="32"/>
        <v>0</v>
      </c>
      <c r="AA219" s="123"/>
      <c r="AB219" s="123"/>
      <c r="AC219" s="123"/>
    </row>
    <row r="220" spans="1:29" customFormat="1" ht="12.75" thickBot="1">
      <c r="A220" s="57" t="s">
        <v>1274</v>
      </c>
      <c r="B220" s="25" t="s">
        <v>370</v>
      </c>
      <c r="C220" s="25" t="s">
        <v>996</v>
      </c>
      <c r="D220" s="235" t="s">
        <v>606</v>
      </c>
      <c r="E220" s="576"/>
      <c r="F220" s="574"/>
      <c r="G220" s="575"/>
      <c r="H220" s="574"/>
      <c r="I220" s="574"/>
      <c r="J220" s="574"/>
      <c r="K220" s="574"/>
      <c r="L220" s="574"/>
      <c r="M220" s="575"/>
      <c r="N220" s="575"/>
      <c r="O220" s="574"/>
      <c r="P220" s="574"/>
      <c r="Q220" s="575"/>
      <c r="R220" s="575"/>
      <c r="S220" s="142">
        <f t="shared" si="29"/>
        <v>0</v>
      </c>
      <c r="T220" s="142">
        <f t="shared" si="30"/>
        <v>0</v>
      </c>
      <c r="U220" s="142">
        <f t="shared" si="31"/>
        <v>0</v>
      </c>
      <c r="W220" s="601">
        <f t="shared" si="33"/>
        <v>0</v>
      </c>
      <c r="X220" s="601">
        <f t="shared" si="34"/>
        <v>0</v>
      </c>
      <c r="Y220" s="123"/>
      <c r="Z220" s="692">
        <f t="shared" si="32"/>
        <v>0</v>
      </c>
      <c r="AA220" s="123"/>
      <c r="AB220" s="123"/>
      <c r="AC220" s="123"/>
    </row>
    <row r="221" spans="1:29" customFormat="1" ht="12.75" thickBot="1">
      <c r="A221" s="57" t="s">
        <v>1274</v>
      </c>
      <c r="B221" s="25" t="s">
        <v>371</v>
      </c>
      <c r="C221" s="25" t="s">
        <v>997</v>
      </c>
      <c r="D221" s="235" t="s">
        <v>498</v>
      </c>
      <c r="E221" s="576"/>
      <c r="F221" s="574"/>
      <c r="G221" s="575"/>
      <c r="H221" s="574"/>
      <c r="I221" s="574"/>
      <c r="J221" s="574"/>
      <c r="K221" s="574"/>
      <c r="L221" s="574"/>
      <c r="M221" s="575"/>
      <c r="N221" s="575"/>
      <c r="O221" s="574"/>
      <c r="P221" s="574"/>
      <c r="Q221" s="575"/>
      <c r="R221" s="575"/>
      <c r="S221" s="142">
        <f t="shared" si="29"/>
        <v>0</v>
      </c>
      <c r="T221" s="142">
        <f t="shared" si="30"/>
        <v>0</v>
      </c>
      <c r="U221" s="142">
        <f t="shared" si="31"/>
        <v>0</v>
      </c>
      <c r="W221" s="601">
        <f t="shared" si="33"/>
        <v>0</v>
      </c>
      <c r="X221" s="601">
        <f t="shared" si="34"/>
        <v>0</v>
      </c>
      <c r="Y221" s="123"/>
      <c r="Z221" s="692">
        <f t="shared" si="32"/>
        <v>0</v>
      </c>
      <c r="AA221" s="123"/>
      <c r="AB221" s="123"/>
      <c r="AC221" s="123"/>
    </row>
    <row r="222" spans="1:29" customFormat="1" ht="12.75" thickBot="1">
      <c r="A222" s="57" t="s">
        <v>1274</v>
      </c>
      <c r="B222" s="25" t="s">
        <v>659</v>
      </c>
      <c r="C222" s="25" t="s">
        <v>998</v>
      </c>
      <c r="D222" s="235" t="s">
        <v>606</v>
      </c>
      <c r="E222" s="576"/>
      <c r="F222" s="574"/>
      <c r="G222" s="575"/>
      <c r="H222" s="574"/>
      <c r="I222" s="574"/>
      <c r="J222" s="574"/>
      <c r="K222" s="574"/>
      <c r="L222" s="574"/>
      <c r="M222" s="575"/>
      <c r="N222" s="575"/>
      <c r="O222" s="574"/>
      <c r="P222" s="574"/>
      <c r="Q222" s="575"/>
      <c r="R222" s="575"/>
      <c r="S222" s="142">
        <f t="shared" si="29"/>
        <v>0</v>
      </c>
      <c r="T222" s="142">
        <f t="shared" si="30"/>
        <v>0</v>
      </c>
      <c r="U222" s="142">
        <f t="shared" si="31"/>
        <v>0</v>
      </c>
      <c r="W222" s="601">
        <f t="shared" si="33"/>
        <v>0</v>
      </c>
      <c r="X222" s="601">
        <f t="shared" si="34"/>
        <v>0</v>
      </c>
      <c r="Y222" s="123"/>
      <c r="Z222" s="692">
        <f t="shared" si="32"/>
        <v>0</v>
      </c>
      <c r="AA222" s="123"/>
      <c r="AB222" s="123"/>
      <c r="AC222" s="123"/>
    </row>
    <row r="223" spans="1:29" customFormat="1" ht="12.75" thickBot="1">
      <c r="A223" s="57" t="s">
        <v>1274</v>
      </c>
      <c r="B223" s="25" t="s">
        <v>399</v>
      </c>
      <c r="C223" s="25" t="s">
        <v>999</v>
      </c>
      <c r="D223" s="235" t="s">
        <v>606</v>
      </c>
      <c r="E223" s="576"/>
      <c r="F223" s="574"/>
      <c r="G223" s="575"/>
      <c r="H223" s="574"/>
      <c r="I223" s="574"/>
      <c r="J223" s="574"/>
      <c r="K223" s="574"/>
      <c r="L223" s="574"/>
      <c r="M223" s="575"/>
      <c r="N223" s="575"/>
      <c r="O223" s="574"/>
      <c r="P223" s="574"/>
      <c r="Q223" s="575"/>
      <c r="R223" s="575"/>
      <c r="S223" s="142">
        <f t="shared" si="29"/>
        <v>0</v>
      </c>
      <c r="T223" s="142">
        <f t="shared" si="30"/>
        <v>0</v>
      </c>
      <c r="U223" s="142">
        <f t="shared" si="31"/>
        <v>0</v>
      </c>
      <c r="W223" s="601">
        <f t="shared" si="33"/>
        <v>0</v>
      </c>
      <c r="X223" s="601">
        <f t="shared" si="34"/>
        <v>0</v>
      </c>
      <c r="Y223" s="123"/>
      <c r="Z223" s="692">
        <f t="shared" si="32"/>
        <v>0</v>
      </c>
      <c r="AA223" s="123"/>
      <c r="AB223" s="123"/>
      <c r="AC223" s="123"/>
    </row>
    <row r="224" spans="1:29" customFormat="1" ht="12.75" thickBot="1">
      <c r="A224" s="57" t="s">
        <v>1274</v>
      </c>
      <c r="B224" s="25" t="s">
        <v>372</v>
      </c>
      <c r="C224" s="25" t="s">
        <v>1000</v>
      </c>
      <c r="D224" s="235" t="s">
        <v>606</v>
      </c>
      <c r="E224" s="576"/>
      <c r="F224" s="574"/>
      <c r="G224" s="575"/>
      <c r="H224" s="574"/>
      <c r="I224" s="574"/>
      <c r="J224" s="574"/>
      <c r="K224" s="574"/>
      <c r="L224" s="574"/>
      <c r="M224" s="575"/>
      <c r="N224" s="575"/>
      <c r="O224" s="574"/>
      <c r="P224" s="574"/>
      <c r="Q224" s="575"/>
      <c r="R224" s="575"/>
      <c r="S224" s="142">
        <f t="shared" si="29"/>
        <v>0</v>
      </c>
      <c r="T224" s="142">
        <f t="shared" si="30"/>
        <v>0</v>
      </c>
      <c r="U224" s="142">
        <f t="shared" si="31"/>
        <v>0</v>
      </c>
      <c r="W224" s="601">
        <f t="shared" si="33"/>
        <v>0</v>
      </c>
      <c r="X224" s="601">
        <f t="shared" si="34"/>
        <v>0</v>
      </c>
      <c r="Y224" s="123"/>
      <c r="Z224" s="692">
        <f t="shared" si="32"/>
        <v>0</v>
      </c>
      <c r="AA224" s="123"/>
      <c r="AB224" s="123"/>
      <c r="AC224" s="123"/>
    </row>
    <row r="225" spans="1:41" customFormat="1" ht="12.75" thickBot="1">
      <c r="A225" s="57" t="s">
        <v>1274</v>
      </c>
      <c r="B225" s="25" t="s">
        <v>373</v>
      </c>
      <c r="C225" s="25" t="s">
        <v>1001</v>
      </c>
      <c r="D225" s="235" t="s">
        <v>606</v>
      </c>
      <c r="E225" s="576"/>
      <c r="F225" s="574"/>
      <c r="G225" s="575"/>
      <c r="H225" s="574"/>
      <c r="I225" s="574"/>
      <c r="J225" s="574"/>
      <c r="K225" s="574"/>
      <c r="L225" s="574"/>
      <c r="M225" s="575"/>
      <c r="N225" s="575"/>
      <c r="O225" s="574"/>
      <c r="P225" s="574"/>
      <c r="Q225" s="575"/>
      <c r="R225" s="575"/>
      <c r="S225" s="142">
        <f t="shared" si="29"/>
        <v>0</v>
      </c>
      <c r="T225" s="142">
        <f t="shared" si="30"/>
        <v>0</v>
      </c>
      <c r="U225" s="142">
        <f t="shared" si="31"/>
        <v>0</v>
      </c>
      <c r="W225" s="601">
        <f t="shared" si="33"/>
        <v>0</v>
      </c>
      <c r="X225" s="601">
        <f t="shared" si="34"/>
        <v>0</v>
      </c>
      <c r="Y225" s="123"/>
      <c r="Z225" s="692">
        <f t="shared" si="32"/>
        <v>0</v>
      </c>
      <c r="AA225" s="123"/>
      <c r="AB225" s="123"/>
      <c r="AC225" s="123"/>
    </row>
    <row r="226" spans="1:41" customFormat="1" ht="12.75" thickBot="1">
      <c r="A226" s="57" t="s">
        <v>1274</v>
      </c>
      <c r="B226" s="25" t="s">
        <v>374</v>
      </c>
      <c r="C226" s="25" t="s">
        <v>1002</v>
      </c>
      <c r="D226" s="235" t="s">
        <v>606</v>
      </c>
      <c r="E226" s="576"/>
      <c r="F226" s="574"/>
      <c r="G226" s="575"/>
      <c r="H226" s="574"/>
      <c r="I226" s="574"/>
      <c r="J226" s="574"/>
      <c r="K226" s="574"/>
      <c r="L226" s="574"/>
      <c r="M226" s="575"/>
      <c r="N226" s="575"/>
      <c r="O226" s="574"/>
      <c r="P226" s="574"/>
      <c r="Q226" s="575"/>
      <c r="R226" s="575"/>
      <c r="S226" s="142">
        <f t="shared" si="29"/>
        <v>0</v>
      </c>
      <c r="T226" s="142">
        <f t="shared" si="30"/>
        <v>0</v>
      </c>
      <c r="U226" s="142">
        <f t="shared" si="31"/>
        <v>0</v>
      </c>
      <c r="W226" s="601">
        <f t="shared" si="33"/>
        <v>0</v>
      </c>
      <c r="X226" s="601">
        <f t="shared" si="34"/>
        <v>0</v>
      </c>
      <c r="Y226" s="123"/>
      <c r="Z226" s="692">
        <f t="shared" si="32"/>
        <v>0</v>
      </c>
      <c r="AA226" s="123"/>
      <c r="AB226" s="123"/>
      <c r="AC226" s="123"/>
    </row>
    <row r="227" spans="1:41" customFormat="1" ht="12.75" thickBot="1">
      <c r="A227" s="57" t="s">
        <v>1274</v>
      </c>
      <c r="B227" s="25" t="s">
        <v>843</v>
      </c>
      <c r="C227" s="25" t="s">
        <v>843</v>
      </c>
      <c r="D227" s="235" t="s">
        <v>843</v>
      </c>
      <c r="E227" s="576">
        <f>14162793-E146-E148</f>
        <v>13630022</v>
      </c>
      <c r="F227" s="574"/>
      <c r="G227" s="575">
        <f>1157429-G146-F148-G148</f>
        <v>1117111</v>
      </c>
      <c r="H227" s="602">
        <v>385936</v>
      </c>
      <c r="I227" s="574"/>
      <c r="J227" s="574"/>
      <c r="K227" s="574"/>
      <c r="L227" s="574"/>
      <c r="M227" s="575">
        <f>-27720-M146-M148</f>
        <v>-26676</v>
      </c>
      <c r="N227" s="575">
        <f>75912-N146-N148</f>
        <v>73057</v>
      </c>
      <c r="O227" s="574"/>
      <c r="P227" s="574"/>
      <c r="Q227" s="575"/>
      <c r="R227" s="575">
        <f>SUM(F227:N227)-1</f>
        <v>1549427</v>
      </c>
      <c r="S227" s="142">
        <f t="shared" si="29"/>
        <v>1503047</v>
      </c>
      <c r="T227" s="142">
        <f t="shared" si="30"/>
        <v>0</v>
      </c>
      <c r="U227" s="142">
        <f t="shared" si="31"/>
        <v>73057</v>
      </c>
      <c r="W227" s="601">
        <f t="shared" si="33"/>
        <v>1549428</v>
      </c>
      <c r="X227" s="601">
        <f t="shared" si="34"/>
        <v>1</v>
      </c>
      <c r="Y227" s="123"/>
      <c r="Z227" s="692">
        <f t="shared" si="32"/>
        <v>1503047</v>
      </c>
    </row>
    <row r="228" spans="1:41" customFormat="1" ht="12.75" thickBot="1">
      <c r="A228" s="57" t="s">
        <v>1274</v>
      </c>
      <c r="B228" s="32" t="s">
        <v>7</v>
      </c>
      <c r="C228" s="33"/>
      <c r="D228" s="33"/>
      <c r="E228" s="43"/>
      <c r="F228" s="44"/>
      <c r="G228" s="44"/>
      <c r="H228" s="44"/>
      <c r="I228" s="44"/>
      <c r="J228" s="44"/>
      <c r="K228" s="44"/>
      <c r="L228" s="44"/>
      <c r="M228" s="44"/>
      <c r="N228" s="44"/>
      <c r="O228" s="44"/>
      <c r="P228" s="44"/>
      <c r="Q228" s="44"/>
      <c r="R228" s="44"/>
      <c r="S228" s="142">
        <f t="shared" si="29"/>
        <v>0</v>
      </c>
      <c r="T228" s="142">
        <f t="shared" si="30"/>
        <v>0</v>
      </c>
      <c r="U228" s="142">
        <f t="shared" si="31"/>
        <v>0</v>
      </c>
      <c r="W228" s="601">
        <f t="shared" si="33"/>
        <v>0</v>
      </c>
      <c r="X228" s="601">
        <f t="shared" si="34"/>
        <v>0</v>
      </c>
      <c r="Y228" s="123"/>
      <c r="Z228" s="692">
        <f t="shared" si="32"/>
        <v>0</v>
      </c>
      <c r="AA228" s="123"/>
      <c r="AB228" s="123"/>
      <c r="AC228" s="123"/>
    </row>
    <row r="229" spans="1:41" customFormat="1" ht="12.75" hidden="1" thickBot="1">
      <c r="A229" s="25" t="s">
        <v>1212</v>
      </c>
      <c r="B229" s="25" t="s">
        <v>928</v>
      </c>
      <c r="C229" s="25" t="s">
        <v>929</v>
      </c>
      <c r="D229" s="69" t="s">
        <v>881</v>
      </c>
      <c r="E229" s="20"/>
      <c r="F229" s="20"/>
      <c r="G229" s="20"/>
      <c r="H229" s="20"/>
      <c r="I229" s="20"/>
      <c r="J229" s="20"/>
      <c r="K229" s="20"/>
      <c r="L229" s="20"/>
      <c r="M229" s="20"/>
      <c r="N229" s="20"/>
      <c r="O229" s="20"/>
      <c r="P229" s="20"/>
      <c r="Q229" s="20"/>
      <c r="R229" s="17">
        <v>3314.04</v>
      </c>
      <c r="S229" s="142">
        <f t="shared" si="29"/>
        <v>0</v>
      </c>
      <c r="T229" s="142">
        <f t="shared" si="30"/>
        <v>0</v>
      </c>
      <c r="U229" s="142">
        <f t="shared" si="31"/>
        <v>0</v>
      </c>
      <c r="W229" s="601">
        <f t="shared" si="33"/>
        <v>0</v>
      </c>
      <c r="X229" s="601">
        <f t="shared" si="34"/>
        <v>-3314.04</v>
      </c>
      <c r="Y229" s="123"/>
      <c r="Z229" s="692">
        <f t="shared" si="32"/>
        <v>0</v>
      </c>
      <c r="AA229" s="124"/>
      <c r="AB229" s="124"/>
      <c r="AC229" s="124"/>
      <c r="AD229" s="124"/>
      <c r="AE229" s="124"/>
      <c r="AF229" s="124"/>
      <c r="AG229" s="124"/>
      <c r="AH229" s="124"/>
      <c r="AI229" s="124"/>
      <c r="AJ229" s="124"/>
      <c r="AK229" s="124"/>
      <c r="AL229" s="124"/>
      <c r="AM229" s="124"/>
      <c r="AN229" s="124"/>
      <c r="AO229" s="124"/>
    </row>
    <row r="230" spans="1:41" customFormat="1" ht="12.75" hidden="1" thickBot="1">
      <c r="A230" s="25" t="s">
        <v>1212</v>
      </c>
      <c r="B230" s="25" t="s">
        <v>848</v>
      </c>
      <c r="C230" s="25" t="s">
        <v>849</v>
      </c>
      <c r="D230" s="69" t="s">
        <v>881</v>
      </c>
      <c r="E230" s="19"/>
      <c r="F230" s="19"/>
      <c r="G230" s="19"/>
      <c r="H230" s="19"/>
      <c r="I230" s="19"/>
      <c r="J230" s="19"/>
      <c r="K230" s="19"/>
      <c r="L230" s="19"/>
      <c r="M230" s="19"/>
      <c r="N230" s="19"/>
      <c r="O230" s="19"/>
      <c r="P230" s="19"/>
      <c r="Q230" s="19"/>
      <c r="R230" s="18">
        <v>765.74</v>
      </c>
      <c r="S230" s="142">
        <f t="shared" si="29"/>
        <v>0</v>
      </c>
      <c r="T230" s="142">
        <f t="shared" si="30"/>
        <v>0</v>
      </c>
      <c r="U230" s="142">
        <f t="shared" si="31"/>
        <v>0</v>
      </c>
      <c r="W230" s="601">
        <f t="shared" si="33"/>
        <v>0</v>
      </c>
      <c r="X230" s="601">
        <f t="shared" si="34"/>
        <v>-765.74</v>
      </c>
      <c r="Y230" s="123"/>
      <c r="Z230" s="692">
        <f t="shared" si="32"/>
        <v>0</v>
      </c>
      <c r="AA230" s="124"/>
      <c r="AB230" s="124"/>
      <c r="AC230" s="124"/>
      <c r="AD230" s="124"/>
      <c r="AE230" s="124"/>
      <c r="AF230" s="124"/>
      <c r="AG230" s="124"/>
      <c r="AH230" s="124"/>
      <c r="AI230" s="124"/>
      <c r="AJ230" s="124"/>
      <c r="AK230" s="124"/>
      <c r="AL230" s="124"/>
      <c r="AM230" s="124"/>
      <c r="AN230" s="124"/>
      <c r="AO230" s="124"/>
    </row>
    <row r="231" spans="1:41" customFormat="1" ht="12.75" hidden="1" thickBot="1">
      <c r="A231" s="25" t="s">
        <v>1212</v>
      </c>
      <c r="B231" s="25" t="s">
        <v>930</v>
      </c>
      <c r="C231" s="25" t="s">
        <v>931</v>
      </c>
      <c r="D231" s="69" t="s">
        <v>881</v>
      </c>
      <c r="E231" s="20"/>
      <c r="F231" s="20"/>
      <c r="G231" s="20"/>
      <c r="H231" s="20"/>
      <c r="I231" s="20"/>
      <c r="J231" s="20"/>
      <c r="K231" s="20"/>
      <c r="L231" s="20"/>
      <c r="M231" s="20"/>
      <c r="N231" s="20"/>
      <c r="O231" s="20"/>
      <c r="P231" s="20"/>
      <c r="Q231" s="20"/>
      <c r="R231" s="17">
        <v>1072.43</v>
      </c>
      <c r="S231" s="142">
        <f t="shared" ref="S231:S293" si="35">G231+H231+I231</f>
        <v>0</v>
      </c>
      <c r="T231" s="142">
        <f t="shared" ref="T231:T293" si="36">J231+K231</f>
        <v>0</v>
      </c>
      <c r="U231" s="142">
        <f t="shared" ref="U231:U293" si="37">N231+O231</f>
        <v>0</v>
      </c>
      <c r="W231" s="601">
        <f t="shared" si="33"/>
        <v>0</v>
      </c>
      <c r="X231" s="601">
        <f t="shared" si="34"/>
        <v>-1072.43</v>
      </c>
      <c r="Y231" s="123"/>
      <c r="Z231" s="692">
        <f t="shared" si="32"/>
        <v>0</v>
      </c>
      <c r="AA231" s="124"/>
      <c r="AB231" s="124"/>
      <c r="AC231" s="124"/>
      <c r="AD231" s="124"/>
      <c r="AE231" s="124"/>
      <c r="AF231" s="124"/>
      <c r="AG231" s="124"/>
      <c r="AH231" s="124"/>
      <c r="AI231" s="124"/>
      <c r="AJ231" s="124"/>
      <c r="AK231" s="124"/>
      <c r="AL231" s="124"/>
      <c r="AM231" s="124"/>
      <c r="AN231" s="124"/>
      <c r="AO231" s="124"/>
    </row>
    <row r="232" spans="1:41" customFormat="1" ht="12.75" hidden="1" thickBot="1">
      <c r="A232" s="25" t="s">
        <v>1212</v>
      </c>
      <c r="B232" s="25" t="s">
        <v>1011</v>
      </c>
      <c r="C232" s="25" t="s">
        <v>1119</v>
      </c>
      <c r="D232" s="69" t="s">
        <v>881</v>
      </c>
      <c r="E232" s="19"/>
      <c r="F232" s="19"/>
      <c r="G232" s="19"/>
      <c r="H232" s="19"/>
      <c r="I232" s="19"/>
      <c r="J232" s="19"/>
      <c r="K232" s="19"/>
      <c r="L232" s="19"/>
      <c r="M232" s="19"/>
      <c r="N232" s="19"/>
      <c r="O232" s="19"/>
      <c r="P232" s="19"/>
      <c r="Q232" s="19"/>
      <c r="R232" s="18">
        <v>5</v>
      </c>
      <c r="S232" s="142">
        <f t="shared" si="35"/>
        <v>0</v>
      </c>
      <c r="T232" s="142">
        <f t="shared" si="36"/>
        <v>0</v>
      </c>
      <c r="U232" s="142">
        <f t="shared" si="37"/>
        <v>0</v>
      </c>
      <c r="W232" s="601">
        <f t="shared" si="33"/>
        <v>0</v>
      </c>
      <c r="X232" s="601">
        <f t="shared" si="34"/>
        <v>-5</v>
      </c>
      <c r="Y232" s="123"/>
      <c r="Z232" s="692">
        <f t="shared" si="32"/>
        <v>0</v>
      </c>
      <c r="AA232" s="124"/>
      <c r="AB232" s="124"/>
      <c r="AC232" s="124"/>
      <c r="AD232" s="124"/>
      <c r="AE232" s="124"/>
      <c r="AF232" s="124"/>
      <c r="AG232" s="124"/>
      <c r="AH232" s="124"/>
      <c r="AI232" s="124"/>
      <c r="AJ232" s="124"/>
      <c r="AK232" s="124"/>
      <c r="AL232" s="124"/>
      <c r="AM232" s="124"/>
      <c r="AN232" s="124"/>
      <c r="AO232" s="124"/>
    </row>
    <row r="233" spans="1:41" customFormat="1" ht="12.75" hidden="1" thickBot="1">
      <c r="A233" s="25" t="s">
        <v>1212</v>
      </c>
      <c r="B233" s="25" t="s">
        <v>852</v>
      </c>
      <c r="C233" s="25" t="s">
        <v>1215</v>
      </c>
      <c r="D233" s="69" t="s">
        <v>1125</v>
      </c>
      <c r="E233" s="20"/>
      <c r="F233" s="20"/>
      <c r="G233" s="20"/>
      <c r="H233" s="20"/>
      <c r="I233" s="20"/>
      <c r="J233" s="20"/>
      <c r="K233" s="20"/>
      <c r="L233" s="20"/>
      <c r="M233" s="20"/>
      <c r="N233" s="20"/>
      <c r="O233" s="20"/>
      <c r="P233" s="20"/>
      <c r="Q233" s="20"/>
      <c r="R233" s="20"/>
      <c r="S233" s="142">
        <f t="shared" si="35"/>
        <v>0</v>
      </c>
      <c r="T233" s="142">
        <f t="shared" si="36"/>
        <v>0</v>
      </c>
      <c r="U233" s="142">
        <f t="shared" si="37"/>
        <v>0</v>
      </c>
      <c r="W233" s="601">
        <f t="shared" si="33"/>
        <v>0</v>
      </c>
      <c r="X233" s="601">
        <f t="shared" si="34"/>
        <v>0</v>
      </c>
      <c r="Y233" s="123"/>
      <c r="Z233" s="692">
        <f t="shared" si="32"/>
        <v>0</v>
      </c>
      <c r="AA233" s="124"/>
      <c r="AB233" s="124"/>
      <c r="AC233" s="124"/>
      <c r="AD233" s="124"/>
      <c r="AE233" s="124"/>
      <c r="AF233" s="124"/>
      <c r="AG233" s="124"/>
      <c r="AH233" s="124"/>
      <c r="AI233" s="124"/>
      <c r="AJ233" s="124"/>
      <c r="AK233" s="124"/>
      <c r="AL233" s="124"/>
      <c r="AM233" s="124"/>
      <c r="AN233" s="124"/>
      <c r="AO233" s="124"/>
    </row>
    <row r="234" spans="1:41" customFormat="1" ht="12.75" hidden="1" thickBot="1">
      <c r="A234" s="25" t="s">
        <v>1212</v>
      </c>
      <c r="B234" s="25" t="s">
        <v>407</v>
      </c>
      <c r="C234" s="25" t="s">
        <v>1120</v>
      </c>
      <c r="D234" s="98" t="s">
        <v>892</v>
      </c>
      <c r="E234" s="76">
        <v>10567</v>
      </c>
      <c r="F234" s="19"/>
      <c r="G234" s="18">
        <v>659.55</v>
      </c>
      <c r="H234" s="18">
        <v>287.94</v>
      </c>
      <c r="I234" s="18">
        <v>17.68</v>
      </c>
      <c r="J234" s="19"/>
      <c r="K234" s="19"/>
      <c r="L234" s="18">
        <v>30.85</v>
      </c>
      <c r="M234" s="18">
        <v>23.22</v>
      </c>
      <c r="N234" s="18">
        <v>0</v>
      </c>
      <c r="O234" s="18">
        <v>20.05</v>
      </c>
      <c r="P234" s="19"/>
      <c r="Q234" s="19"/>
      <c r="R234" s="18">
        <v>1039.29</v>
      </c>
      <c r="S234" s="142">
        <f t="shared" si="35"/>
        <v>965.17</v>
      </c>
      <c r="T234" s="142">
        <f t="shared" si="36"/>
        <v>0</v>
      </c>
      <c r="U234" s="142">
        <f t="shared" si="37"/>
        <v>20.05</v>
      </c>
      <c r="W234" s="601">
        <f t="shared" si="33"/>
        <v>1039.29</v>
      </c>
      <c r="X234" s="601">
        <f t="shared" si="34"/>
        <v>0</v>
      </c>
      <c r="Y234" s="123"/>
      <c r="Z234" s="692">
        <f t="shared" si="32"/>
        <v>965.17</v>
      </c>
      <c r="AA234" s="124"/>
      <c r="AB234" s="124"/>
      <c r="AC234" s="124"/>
      <c r="AD234" s="124"/>
      <c r="AE234" s="124"/>
      <c r="AF234" s="124"/>
      <c r="AG234" s="124"/>
      <c r="AH234" s="124"/>
      <c r="AI234" s="124"/>
      <c r="AJ234" s="124"/>
      <c r="AK234" s="124"/>
      <c r="AL234" s="124"/>
      <c r="AM234" s="124"/>
      <c r="AN234" s="124"/>
      <c r="AO234" s="124"/>
    </row>
    <row r="235" spans="1:41" customFormat="1" ht="12.75" hidden="1" thickBot="1">
      <c r="A235" s="25" t="s">
        <v>1212</v>
      </c>
      <c r="B235" s="25" t="s">
        <v>409</v>
      </c>
      <c r="C235" s="25" t="s">
        <v>140</v>
      </c>
      <c r="D235" s="98" t="s">
        <v>892</v>
      </c>
      <c r="E235" s="77">
        <v>35756461</v>
      </c>
      <c r="F235" s="17">
        <v>574999.63</v>
      </c>
      <c r="G235" s="17">
        <v>2231816.79</v>
      </c>
      <c r="H235" s="17">
        <v>974937.62</v>
      </c>
      <c r="I235" s="17">
        <v>59764.54</v>
      </c>
      <c r="J235" s="20"/>
      <c r="K235" s="20"/>
      <c r="L235" s="17">
        <v>104383.28</v>
      </c>
      <c r="M235" s="17">
        <v>78350.91</v>
      </c>
      <c r="N235" s="17">
        <v>-28.75</v>
      </c>
      <c r="O235" s="17">
        <v>84653.38</v>
      </c>
      <c r="P235" s="20"/>
      <c r="Q235" s="17">
        <v>-0.77</v>
      </c>
      <c r="R235" s="17">
        <v>4108876.63</v>
      </c>
      <c r="S235" s="142">
        <f t="shared" si="35"/>
        <v>3266518.95</v>
      </c>
      <c r="T235" s="142">
        <f t="shared" si="36"/>
        <v>0</v>
      </c>
      <c r="U235" s="142">
        <f t="shared" si="37"/>
        <v>84624.63</v>
      </c>
      <c r="W235" s="601">
        <f t="shared" si="33"/>
        <v>4108876.63</v>
      </c>
      <c r="X235" s="601">
        <f t="shared" si="34"/>
        <v>0</v>
      </c>
      <c r="Y235" s="123"/>
      <c r="Z235" s="692">
        <f t="shared" si="32"/>
        <v>3841518.58</v>
      </c>
      <c r="AA235" s="124"/>
      <c r="AB235" s="124"/>
      <c r="AC235" s="124"/>
      <c r="AD235" s="124"/>
      <c r="AE235" s="124"/>
      <c r="AF235" s="124"/>
      <c r="AG235" s="124"/>
      <c r="AH235" s="124"/>
      <c r="AI235" s="124"/>
      <c r="AJ235" s="124"/>
      <c r="AK235" s="124"/>
      <c r="AL235" s="124"/>
      <c r="AM235" s="124"/>
      <c r="AN235" s="124"/>
      <c r="AO235" s="124"/>
    </row>
    <row r="236" spans="1:41" customFormat="1" ht="12.75" hidden="1" thickBot="1">
      <c r="A236" s="25" t="s">
        <v>1212</v>
      </c>
      <c r="B236" s="25" t="s">
        <v>410</v>
      </c>
      <c r="C236" s="25" t="s">
        <v>1121</v>
      </c>
      <c r="D236" s="98" t="s">
        <v>892</v>
      </c>
      <c r="E236" s="76">
        <v>13802</v>
      </c>
      <c r="F236" s="18">
        <v>2060</v>
      </c>
      <c r="G236" s="18">
        <v>861.52</v>
      </c>
      <c r="H236" s="18">
        <v>376.1</v>
      </c>
      <c r="I236" s="18">
        <v>23.05</v>
      </c>
      <c r="J236" s="19"/>
      <c r="K236" s="19"/>
      <c r="L236" s="18">
        <v>40.299999999999997</v>
      </c>
      <c r="M236" s="18">
        <v>30.36</v>
      </c>
      <c r="N236" s="18">
        <v>0</v>
      </c>
      <c r="O236" s="18">
        <v>83.87</v>
      </c>
      <c r="P236" s="19"/>
      <c r="Q236" s="19"/>
      <c r="R236" s="18">
        <v>3475.2</v>
      </c>
      <c r="S236" s="142">
        <f t="shared" si="35"/>
        <v>1260.6699999999998</v>
      </c>
      <c r="T236" s="142">
        <f t="shared" si="36"/>
        <v>0</v>
      </c>
      <c r="U236" s="142">
        <f t="shared" si="37"/>
        <v>83.87</v>
      </c>
      <c r="W236" s="601">
        <f t="shared" si="33"/>
        <v>3475.2000000000003</v>
      </c>
      <c r="X236" s="601">
        <f t="shared" si="34"/>
        <v>0</v>
      </c>
      <c r="Y236" s="123"/>
      <c r="Z236" s="692">
        <f t="shared" si="32"/>
        <v>3320.67</v>
      </c>
      <c r="AA236" s="124"/>
      <c r="AB236" s="124"/>
      <c r="AC236" s="124"/>
      <c r="AD236" s="124"/>
      <c r="AE236" s="124"/>
      <c r="AF236" s="124"/>
      <c r="AG236" s="124"/>
      <c r="AH236" s="124"/>
      <c r="AI236" s="124"/>
      <c r="AJ236" s="124"/>
      <c r="AK236" s="124"/>
      <c r="AL236" s="124"/>
      <c r="AM236" s="124"/>
      <c r="AN236" s="124"/>
      <c r="AO236" s="124"/>
    </row>
    <row r="237" spans="1:41" customFormat="1" ht="12.75" hidden="1" thickBot="1">
      <c r="A237" s="25" t="s">
        <v>1212</v>
      </c>
      <c r="B237" s="25" t="s">
        <v>411</v>
      </c>
      <c r="C237" s="25" t="s">
        <v>1122</v>
      </c>
      <c r="D237" s="98" t="s">
        <v>892</v>
      </c>
      <c r="E237" s="77">
        <v>292506</v>
      </c>
      <c r="F237" s="20"/>
      <c r="G237" s="17">
        <v>18258.169999999998</v>
      </c>
      <c r="H237" s="17">
        <v>7970.79</v>
      </c>
      <c r="I237" s="17">
        <v>488.53</v>
      </c>
      <c r="J237" s="20"/>
      <c r="K237" s="20"/>
      <c r="L237" s="17">
        <v>854.08</v>
      </c>
      <c r="M237" s="17">
        <v>640.71</v>
      </c>
      <c r="N237" s="17">
        <v>0</v>
      </c>
      <c r="O237" s="17">
        <v>558.80999999999995</v>
      </c>
      <c r="P237" s="20"/>
      <c r="Q237" s="20"/>
      <c r="R237" s="17">
        <v>28771.09</v>
      </c>
      <c r="S237" s="142">
        <f t="shared" si="35"/>
        <v>26717.489999999998</v>
      </c>
      <c r="T237" s="142">
        <f t="shared" si="36"/>
        <v>0</v>
      </c>
      <c r="U237" s="142">
        <f t="shared" si="37"/>
        <v>558.80999999999995</v>
      </c>
      <c r="W237" s="601">
        <f t="shared" si="33"/>
        <v>28771.09</v>
      </c>
      <c r="X237" s="601">
        <f t="shared" si="34"/>
        <v>0</v>
      </c>
      <c r="Y237" s="123"/>
      <c r="Z237" s="692">
        <f t="shared" si="32"/>
        <v>26717.489999999998</v>
      </c>
      <c r="AA237" s="124"/>
      <c r="AB237" s="124"/>
      <c r="AC237" s="124"/>
      <c r="AD237" s="124"/>
      <c r="AE237" s="124"/>
      <c r="AF237" s="124"/>
      <c r="AG237" s="124"/>
      <c r="AH237" s="124"/>
      <c r="AI237" s="124"/>
      <c r="AJ237" s="124"/>
      <c r="AK237" s="124"/>
      <c r="AL237" s="124"/>
      <c r="AM237" s="124"/>
      <c r="AN237" s="124"/>
      <c r="AO237" s="124"/>
    </row>
    <row r="238" spans="1:41" customFormat="1" ht="12.75" hidden="1" thickBot="1">
      <c r="A238" s="25" t="s">
        <v>1212</v>
      </c>
      <c r="B238" s="25" t="s">
        <v>413</v>
      </c>
      <c r="C238" s="25" t="s">
        <v>454</v>
      </c>
      <c r="D238" s="98" t="s">
        <v>892</v>
      </c>
      <c r="E238" s="76">
        <v>5831</v>
      </c>
      <c r="F238" s="18">
        <v>140</v>
      </c>
      <c r="G238" s="18">
        <v>363.99</v>
      </c>
      <c r="H238" s="18">
        <v>158.88</v>
      </c>
      <c r="I238" s="18">
        <v>9.74</v>
      </c>
      <c r="J238" s="19"/>
      <c r="K238" s="19"/>
      <c r="L238" s="18">
        <v>17.02</v>
      </c>
      <c r="M238" s="18">
        <v>12.82</v>
      </c>
      <c r="N238" s="18">
        <v>0</v>
      </c>
      <c r="O238" s="18">
        <v>14.9</v>
      </c>
      <c r="P238" s="19"/>
      <c r="Q238" s="19"/>
      <c r="R238" s="18">
        <v>717.35</v>
      </c>
      <c r="S238" s="142">
        <f t="shared" si="35"/>
        <v>532.61</v>
      </c>
      <c r="T238" s="142">
        <f t="shared" si="36"/>
        <v>0</v>
      </c>
      <c r="U238" s="142">
        <f t="shared" si="37"/>
        <v>14.9</v>
      </c>
      <c r="W238" s="601">
        <f t="shared" si="33"/>
        <v>717.35</v>
      </c>
      <c r="X238" s="601">
        <f t="shared" si="34"/>
        <v>0</v>
      </c>
      <c r="Y238" s="123"/>
      <c r="Z238" s="692">
        <f t="shared" si="32"/>
        <v>672.61</v>
      </c>
      <c r="AA238" s="124"/>
      <c r="AB238" s="124"/>
      <c r="AC238" s="124"/>
      <c r="AD238" s="124"/>
      <c r="AE238" s="124"/>
      <c r="AF238" s="124"/>
      <c r="AG238" s="124"/>
      <c r="AH238" s="124"/>
      <c r="AI238" s="124"/>
      <c r="AJ238" s="124"/>
      <c r="AK238" s="124"/>
      <c r="AL238" s="124"/>
      <c r="AM238" s="124"/>
      <c r="AN238" s="124"/>
      <c r="AO238" s="124"/>
    </row>
    <row r="239" spans="1:41" customFormat="1" ht="12.75" hidden="1" thickBot="1">
      <c r="A239" s="25" t="s">
        <v>1212</v>
      </c>
      <c r="B239" s="25" t="s">
        <v>414</v>
      </c>
      <c r="C239" s="25" t="s">
        <v>445</v>
      </c>
      <c r="D239" s="25" t="s">
        <v>20</v>
      </c>
      <c r="E239" s="77">
        <v>135336210</v>
      </c>
      <c r="F239" s="17">
        <v>231088.64000000001</v>
      </c>
      <c r="G239" s="17">
        <v>1806737.11</v>
      </c>
      <c r="H239" s="17">
        <v>3687913</v>
      </c>
      <c r="I239" s="20"/>
      <c r="J239" s="17">
        <v>171631.54</v>
      </c>
      <c r="K239" s="17">
        <v>4840357.95</v>
      </c>
      <c r="L239" s="17">
        <v>154336.48000000001</v>
      </c>
      <c r="M239" s="17">
        <v>295308.5</v>
      </c>
      <c r="N239" s="17">
        <v>0</v>
      </c>
      <c r="O239" s="17">
        <v>209166.34</v>
      </c>
      <c r="P239" s="20"/>
      <c r="Q239" s="17">
        <v>0</v>
      </c>
      <c r="R239" s="17">
        <v>11396539.560000001</v>
      </c>
      <c r="S239" s="142">
        <f t="shared" si="35"/>
        <v>5494650.1100000003</v>
      </c>
      <c r="T239" s="142">
        <f t="shared" si="36"/>
        <v>5011989.49</v>
      </c>
      <c r="U239" s="142">
        <f t="shared" si="37"/>
        <v>209166.34</v>
      </c>
      <c r="W239" s="601">
        <f t="shared" si="33"/>
        <v>11396539.560000001</v>
      </c>
      <c r="X239" s="601">
        <f t="shared" si="34"/>
        <v>0</v>
      </c>
      <c r="Y239" s="123"/>
      <c r="Z239" s="692">
        <f t="shared" si="32"/>
        <v>10737728.24</v>
      </c>
      <c r="AA239" s="124"/>
      <c r="AB239" s="124"/>
      <c r="AC239" s="124"/>
      <c r="AD239" s="124"/>
      <c r="AE239" s="124"/>
      <c r="AF239" s="124"/>
      <c r="AG239" s="124"/>
      <c r="AH239" s="124"/>
      <c r="AI239" s="124"/>
      <c r="AJ239" s="124"/>
      <c r="AK239" s="124"/>
      <c r="AL239" s="124"/>
      <c r="AM239" s="124"/>
      <c r="AN239" s="124"/>
      <c r="AO239" s="124"/>
    </row>
    <row r="240" spans="1:41" ht="12.75" hidden="1" thickBot="1">
      <c r="A240" s="147" t="s">
        <v>1212</v>
      </c>
      <c r="B240" s="147" t="s">
        <v>415</v>
      </c>
      <c r="C240" s="147" t="s">
        <v>443</v>
      </c>
      <c r="D240" s="153" t="s">
        <v>21</v>
      </c>
      <c r="E240" s="593">
        <v>13078540</v>
      </c>
      <c r="F240" s="594">
        <v>9860</v>
      </c>
      <c r="G240" s="594">
        <v>157073.26</v>
      </c>
      <c r="H240" s="594">
        <v>356390.23</v>
      </c>
      <c r="I240" s="595"/>
      <c r="J240" s="594">
        <v>13791.11</v>
      </c>
      <c r="K240" s="594">
        <v>321217.62</v>
      </c>
      <c r="L240" s="594">
        <v>14909.53</v>
      </c>
      <c r="M240" s="594">
        <v>27516.43</v>
      </c>
      <c r="N240" s="594">
        <v>0</v>
      </c>
      <c r="O240" s="594">
        <v>16606.41</v>
      </c>
      <c r="P240" s="595"/>
      <c r="Q240" s="595"/>
      <c r="R240" s="594">
        <v>917364.59</v>
      </c>
      <c r="S240" s="590">
        <f t="shared" si="35"/>
        <v>513463.49</v>
      </c>
      <c r="T240" s="590">
        <f t="shared" si="36"/>
        <v>335008.73</v>
      </c>
      <c r="U240" s="590">
        <f t="shared" si="37"/>
        <v>16606.41</v>
      </c>
      <c r="W240" s="368">
        <f t="shared" si="33"/>
        <v>917364.59000000008</v>
      </c>
      <c r="X240" s="368">
        <f t="shared" si="34"/>
        <v>0</v>
      </c>
      <c r="Y240" s="592"/>
      <c r="Z240" s="692">
        <f t="shared" si="32"/>
        <v>858332.22</v>
      </c>
      <c r="AA240" s="591"/>
      <c r="AB240" s="591"/>
      <c r="AC240" s="591"/>
      <c r="AD240" s="591"/>
      <c r="AE240" s="591"/>
      <c r="AF240" s="591"/>
      <c r="AG240" s="591"/>
      <c r="AH240" s="591"/>
      <c r="AI240" s="591"/>
      <c r="AJ240" s="591"/>
      <c r="AK240" s="591"/>
      <c r="AL240" s="591"/>
      <c r="AM240" s="591"/>
      <c r="AN240" s="591"/>
      <c r="AO240" s="591"/>
    </row>
    <row r="241" spans="1:41" customFormat="1" ht="12.75" hidden="1" thickBot="1">
      <c r="A241" s="25" t="s">
        <v>1212</v>
      </c>
      <c r="B241" s="25" t="s">
        <v>416</v>
      </c>
      <c r="C241" s="25" t="s">
        <v>446</v>
      </c>
      <c r="D241" s="69" t="s">
        <v>20</v>
      </c>
      <c r="E241" s="77">
        <v>83760</v>
      </c>
      <c r="F241" s="17">
        <v>90</v>
      </c>
      <c r="G241" s="17">
        <v>1118.2</v>
      </c>
      <c r="H241" s="17">
        <v>2282.46</v>
      </c>
      <c r="I241" s="20"/>
      <c r="J241" s="17">
        <v>112.78</v>
      </c>
      <c r="K241" s="17">
        <v>3178.87</v>
      </c>
      <c r="L241" s="17">
        <v>95.49</v>
      </c>
      <c r="M241" s="17">
        <v>134.85</v>
      </c>
      <c r="N241" s="17">
        <v>0</v>
      </c>
      <c r="O241" s="17">
        <v>242.63</v>
      </c>
      <c r="P241" s="20"/>
      <c r="Q241" s="20"/>
      <c r="R241" s="17">
        <v>7255.28</v>
      </c>
      <c r="S241" s="142">
        <f t="shared" si="35"/>
        <v>3400.66</v>
      </c>
      <c r="T241" s="142">
        <f t="shared" si="36"/>
        <v>3291.65</v>
      </c>
      <c r="U241" s="142">
        <f t="shared" si="37"/>
        <v>242.63</v>
      </c>
      <c r="W241" s="601">
        <f t="shared" si="33"/>
        <v>7255.28</v>
      </c>
      <c r="X241" s="601">
        <f t="shared" si="34"/>
        <v>0</v>
      </c>
      <c r="Y241" s="123"/>
      <c r="Z241" s="692">
        <f t="shared" si="32"/>
        <v>6782.3099999999995</v>
      </c>
      <c r="AA241" s="124"/>
      <c r="AB241" s="124"/>
      <c r="AC241" s="124"/>
      <c r="AD241" s="124"/>
      <c r="AE241" s="124"/>
      <c r="AF241" s="124"/>
      <c r="AG241" s="124"/>
      <c r="AH241" s="124"/>
      <c r="AI241" s="124"/>
      <c r="AJ241" s="124"/>
      <c r="AK241" s="124"/>
      <c r="AL241" s="124"/>
      <c r="AM241" s="124"/>
      <c r="AN241" s="124"/>
      <c r="AO241" s="124"/>
    </row>
    <row r="242" spans="1:41" customFormat="1" ht="12.75" hidden="1" thickBot="1">
      <c r="A242" s="25" t="s">
        <v>1212</v>
      </c>
      <c r="B242" s="25" t="s">
        <v>417</v>
      </c>
      <c r="C242" s="25" t="s">
        <v>932</v>
      </c>
      <c r="D242" s="69" t="s">
        <v>920</v>
      </c>
      <c r="E242" s="76">
        <v>54864433</v>
      </c>
      <c r="F242" s="18">
        <v>40607.81</v>
      </c>
      <c r="G242" s="18">
        <v>694034.97</v>
      </c>
      <c r="H242" s="18">
        <v>1495055.87</v>
      </c>
      <c r="I242" s="19"/>
      <c r="J242" s="18">
        <v>56124.45</v>
      </c>
      <c r="K242" s="18">
        <v>1643436.76</v>
      </c>
      <c r="L242" s="18">
        <v>39502.449999999997</v>
      </c>
      <c r="M242" s="18">
        <v>119147.39</v>
      </c>
      <c r="N242" s="18">
        <v>0</v>
      </c>
      <c r="O242" s="18">
        <v>72101.06</v>
      </c>
      <c r="P242" s="19"/>
      <c r="Q242" s="19"/>
      <c r="R242" s="18">
        <v>4160010.76</v>
      </c>
      <c r="S242" s="142">
        <f t="shared" si="35"/>
        <v>2189090.84</v>
      </c>
      <c r="T242" s="142">
        <f t="shared" si="36"/>
        <v>1699561.21</v>
      </c>
      <c r="U242" s="142">
        <f t="shared" si="37"/>
        <v>72101.06</v>
      </c>
      <c r="W242" s="601">
        <f t="shared" si="33"/>
        <v>4160010.7600000007</v>
      </c>
      <c r="X242" s="601">
        <f t="shared" si="34"/>
        <v>0</v>
      </c>
      <c r="Y242" s="123"/>
      <c r="Z242" s="692">
        <f t="shared" si="32"/>
        <v>3929259.8600000003</v>
      </c>
      <c r="AA242" s="124"/>
      <c r="AB242" s="124"/>
      <c r="AC242" s="124"/>
      <c r="AD242" s="124"/>
      <c r="AE242" s="124"/>
      <c r="AF242" s="124"/>
      <c r="AG242" s="124"/>
      <c r="AH242" s="124"/>
      <c r="AI242" s="124"/>
      <c r="AJ242" s="124"/>
      <c r="AK242" s="124"/>
      <c r="AL242" s="124"/>
      <c r="AM242" s="124"/>
      <c r="AN242" s="124"/>
      <c r="AO242" s="124"/>
    </row>
    <row r="243" spans="1:41" customFormat="1" ht="12.75" hidden="1" thickBot="1">
      <c r="A243" s="25" t="s">
        <v>1212</v>
      </c>
      <c r="B243" s="25" t="s">
        <v>418</v>
      </c>
      <c r="C243" s="25" t="s">
        <v>447</v>
      </c>
      <c r="D243" s="69" t="s">
        <v>448</v>
      </c>
      <c r="E243" s="77">
        <v>28462500</v>
      </c>
      <c r="F243" s="17">
        <v>10200</v>
      </c>
      <c r="G243" s="17">
        <v>308818.12</v>
      </c>
      <c r="H243" s="17">
        <v>775603.13</v>
      </c>
      <c r="I243" s="20"/>
      <c r="J243" s="17">
        <v>26805.68</v>
      </c>
      <c r="K243" s="17">
        <v>856962.44</v>
      </c>
      <c r="L243" s="17">
        <v>20493</v>
      </c>
      <c r="M243" s="17">
        <v>57698.67</v>
      </c>
      <c r="N243" s="17">
        <v>0</v>
      </c>
      <c r="O243" s="17">
        <v>42378.93</v>
      </c>
      <c r="P243" s="20"/>
      <c r="Q243" s="20"/>
      <c r="R243" s="17">
        <v>2098959.9700000002</v>
      </c>
      <c r="S243" s="142">
        <f t="shared" si="35"/>
        <v>1084421.25</v>
      </c>
      <c r="T243" s="142">
        <f t="shared" si="36"/>
        <v>883768.12</v>
      </c>
      <c r="U243" s="142">
        <f t="shared" si="37"/>
        <v>42378.93</v>
      </c>
      <c r="W243" s="601">
        <f t="shared" si="33"/>
        <v>2098959.9699999997</v>
      </c>
      <c r="X243" s="601">
        <f t="shared" si="34"/>
        <v>0</v>
      </c>
      <c r="Y243" s="123"/>
      <c r="Z243" s="692">
        <f t="shared" si="32"/>
        <v>1978389.3699999999</v>
      </c>
      <c r="AA243" s="124"/>
      <c r="AB243" s="124"/>
      <c r="AC243" s="124"/>
      <c r="AD243" s="124"/>
      <c r="AE243" s="124"/>
      <c r="AF243" s="124"/>
      <c r="AG243" s="124"/>
      <c r="AH243" s="124"/>
      <c r="AI243" s="124"/>
      <c r="AJ243" s="124"/>
      <c r="AK243" s="124"/>
      <c r="AL243" s="124"/>
      <c r="AM243" s="124"/>
      <c r="AN243" s="124"/>
      <c r="AO243" s="124"/>
    </row>
    <row r="244" spans="1:41" customFormat="1" ht="12.75" hidden="1" thickBot="1">
      <c r="A244" s="25" t="s">
        <v>1212</v>
      </c>
      <c r="B244" s="25" t="s">
        <v>420</v>
      </c>
      <c r="C244" s="25" t="s">
        <v>59</v>
      </c>
      <c r="D244" s="69" t="s">
        <v>14</v>
      </c>
      <c r="E244" s="76">
        <v>68607587</v>
      </c>
      <c r="F244" s="18">
        <v>514584.3</v>
      </c>
      <c r="G244" s="18">
        <v>4282481.5999999996</v>
      </c>
      <c r="H244" s="18">
        <v>1869495.6</v>
      </c>
      <c r="I244" s="18">
        <v>114575.79</v>
      </c>
      <c r="J244" s="19"/>
      <c r="K244" s="19"/>
      <c r="L244" s="18">
        <v>198289.65</v>
      </c>
      <c r="M244" s="18">
        <v>150283.62</v>
      </c>
      <c r="N244" s="18">
        <v>0</v>
      </c>
      <c r="O244" s="18">
        <v>146127.20000000001</v>
      </c>
      <c r="P244" s="19"/>
      <c r="Q244" s="18">
        <v>0</v>
      </c>
      <c r="R244" s="18">
        <v>7275837.7599999998</v>
      </c>
      <c r="S244" s="142">
        <f t="shared" si="35"/>
        <v>6266552.9899999993</v>
      </c>
      <c r="T244" s="142">
        <f t="shared" si="36"/>
        <v>0</v>
      </c>
      <c r="U244" s="142">
        <f t="shared" si="37"/>
        <v>146127.20000000001</v>
      </c>
      <c r="W244" s="601">
        <f t="shared" si="33"/>
        <v>7275837.7600000007</v>
      </c>
      <c r="X244" s="601">
        <f t="shared" si="34"/>
        <v>0</v>
      </c>
      <c r="Y244" s="123"/>
      <c r="Z244" s="692">
        <f t="shared" si="32"/>
        <v>6781137.29</v>
      </c>
      <c r="AA244" s="124"/>
      <c r="AB244" s="124"/>
      <c r="AC244" s="124"/>
      <c r="AD244" s="124"/>
      <c r="AE244" s="124"/>
      <c r="AF244" s="124"/>
      <c r="AG244" s="124"/>
      <c r="AH244" s="124"/>
      <c r="AI244" s="124"/>
      <c r="AJ244" s="124"/>
      <c r="AK244" s="124"/>
      <c r="AL244" s="124"/>
      <c r="AM244" s="124"/>
      <c r="AN244" s="124"/>
      <c r="AO244" s="124"/>
    </row>
    <row r="245" spans="1:41" customFormat="1" ht="12.75" hidden="1" thickBot="1">
      <c r="A245" s="25" t="s">
        <v>1212</v>
      </c>
      <c r="B245" s="25" t="s">
        <v>421</v>
      </c>
      <c r="C245" s="25" t="s">
        <v>1216</v>
      </c>
      <c r="D245" s="69" t="s">
        <v>14</v>
      </c>
      <c r="E245" s="77">
        <v>2862954</v>
      </c>
      <c r="F245" s="20"/>
      <c r="G245" s="17">
        <v>178705.43</v>
      </c>
      <c r="H245" s="17">
        <v>78015.53</v>
      </c>
      <c r="I245" s="17">
        <v>4781.29</v>
      </c>
      <c r="J245" s="20"/>
      <c r="K245" s="20"/>
      <c r="L245" s="17">
        <v>8359.86</v>
      </c>
      <c r="M245" s="17">
        <v>6282.48</v>
      </c>
      <c r="N245" s="17">
        <v>0</v>
      </c>
      <c r="O245" s="17">
        <v>5436.06</v>
      </c>
      <c r="P245" s="20"/>
      <c r="Q245" s="17">
        <v>0</v>
      </c>
      <c r="R245" s="17">
        <v>281580.65000000002</v>
      </c>
      <c r="S245" s="142">
        <f t="shared" si="35"/>
        <v>261502.25</v>
      </c>
      <c r="T245" s="142">
        <f t="shared" si="36"/>
        <v>0</v>
      </c>
      <c r="U245" s="142">
        <f t="shared" si="37"/>
        <v>5436.06</v>
      </c>
      <c r="W245" s="601">
        <f t="shared" si="33"/>
        <v>281580.64999999997</v>
      </c>
      <c r="X245" s="601">
        <f t="shared" si="34"/>
        <v>0</v>
      </c>
      <c r="Y245" s="123"/>
      <c r="Z245" s="692">
        <f t="shared" si="32"/>
        <v>261502.25</v>
      </c>
      <c r="AA245" s="124"/>
      <c r="AB245" s="124"/>
      <c r="AC245" s="124"/>
      <c r="AD245" s="124"/>
      <c r="AE245" s="124"/>
      <c r="AF245" s="124"/>
      <c r="AG245" s="124"/>
      <c r="AH245" s="124"/>
      <c r="AI245" s="124"/>
      <c r="AJ245" s="124"/>
      <c r="AK245" s="124"/>
      <c r="AL245" s="124"/>
      <c r="AM245" s="124"/>
      <c r="AN245" s="124"/>
      <c r="AO245" s="124"/>
    </row>
    <row r="246" spans="1:41" customFormat="1" ht="12.75" hidden="1" thickBot="1">
      <c r="A246" s="25" t="s">
        <v>1212</v>
      </c>
      <c r="B246" s="25" t="s">
        <v>423</v>
      </c>
      <c r="C246" s="25" t="s">
        <v>452</v>
      </c>
      <c r="D246" s="69" t="s">
        <v>14</v>
      </c>
      <c r="E246" s="76">
        <v>146095</v>
      </c>
      <c r="F246" s="18">
        <v>280</v>
      </c>
      <c r="G246" s="18">
        <v>9119.26</v>
      </c>
      <c r="H246" s="18">
        <v>3981.09</v>
      </c>
      <c r="I246" s="18">
        <v>243.98</v>
      </c>
      <c r="J246" s="19"/>
      <c r="K246" s="19"/>
      <c r="L246" s="18">
        <v>426.6</v>
      </c>
      <c r="M246" s="18">
        <v>315.45999999999998</v>
      </c>
      <c r="N246" s="18">
        <v>0</v>
      </c>
      <c r="O246" s="18">
        <v>300.51</v>
      </c>
      <c r="P246" s="19"/>
      <c r="Q246" s="19"/>
      <c r="R246" s="18">
        <v>14666.9</v>
      </c>
      <c r="S246" s="142">
        <f t="shared" si="35"/>
        <v>13344.33</v>
      </c>
      <c r="T246" s="142">
        <f t="shared" si="36"/>
        <v>0</v>
      </c>
      <c r="U246" s="142">
        <f t="shared" si="37"/>
        <v>300.51</v>
      </c>
      <c r="W246" s="601">
        <f t="shared" si="33"/>
        <v>14666.9</v>
      </c>
      <c r="X246" s="601">
        <f t="shared" si="34"/>
        <v>0</v>
      </c>
      <c r="Y246" s="123"/>
      <c r="Z246" s="692">
        <f t="shared" si="32"/>
        <v>13624.33</v>
      </c>
      <c r="AA246" s="124"/>
      <c r="AB246" s="124"/>
      <c r="AC246" s="124"/>
      <c r="AD246" s="124"/>
      <c r="AE246" s="124"/>
      <c r="AF246" s="124"/>
      <c r="AG246" s="124"/>
      <c r="AH246" s="124"/>
      <c r="AI246" s="124"/>
      <c r="AJ246" s="124"/>
      <c r="AK246" s="124"/>
      <c r="AL246" s="124"/>
      <c r="AM246" s="124"/>
      <c r="AN246" s="124"/>
      <c r="AO246" s="124"/>
    </row>
    <row r="247" spans="1:41" customFormat="1" ht="12.75" hidden="1" thickBot="1">
      <c r="A247" s="25" t="s">
        <v>1212</v>
      </c>
      <c r="B247" s="25" t="s">
        <v>424</v>
      </c>
      <c r="C247" s="25" t="s">
        <v>463</v>
      </c>
      <c r="D247" s="25" t="s">
        <v>464</v>
      </c>
      <c r="E247" s="77">
        <v>4479600</v>
      </c>
      <c r="F247" s="20"/>
      <c r="G247" s="17">
        <v>43765.69</v>
      </c>
      <c r="H247" s="17">
        <v>122069.1</v>
      </c>
      <c r="I247" s="20"/>
      <c r="J247" s="17">
        <v>3557.32</v>
      </c>
      <c r="K247" s="17">
        <v>95951.72</v>
      </c>
      <c r="L247" s="20"/>
      <c r="M247" s="17">
        <v>9855.1200000000008</v>
      </c>
      <c r="N247" s="17">
        <v>0</v>
      </c>
      <c r="O247" s="17">
        <v>4026.02</v>
      </c>
      <c r="P247" s="20"/>
      <c r="Q247" s="20"/>
      <c r="R247" s="17">
        <v>279224.96999999997</v>
      </c>
      <c r="S247" s="142">
        <f t="shared" si="35"/>
        <v>165834.79</v>
      </c>
      <c r="T247" s="142">
        <f t="shared" si="36"/>
        <v>99509.040000000008</v>
      </c>
      <c r="U247" s="142">
        <f t="shared" si="37"/>
        <v>4026.02</v>
      </c>
      <c r="W247" s="601">
        <f t="shared" si="33"/>
        <v>279224.97000000003</v>
      </c>
      <c r="X247" s="601">
        <f t="shared" si="34"/>
        <v>0</v>
      </c>
      <c r="Y247" s="123"/>
      <c r="Z247" s="692">
        <f t="shared" si="32"/>
        <v>265343.83</v>
      </c>
      <c r="AA247" s="124"/>
      <c r="AB247" s="124"/>
      <c r="AC247" s="124"/>
      <c r="AD247" s="124"/>
      <c r="AE247" s="124"/>
      <c r="AF247" s="124"/>
      <c r="AG247" s="124"/>
      <c r="AH247" s="124"/>
      <c r="AI247" s="124"/>
      <c r="AJ247" s="124"/>
      <c r="AK247" s="124"/>
      <c r="AL247" s="124"/>
      <c r="AM247" s="124"/>
      <c r="AN247" s="124"/>
      <c r="AO247" s="124"/>
    </row>
    <row r="248" spans="1:41" customFormat="1" ht="12.75" hidden="1" thickBot="1">
      <c r="A248" s="25" t="s">
        <v>1212</v>
      </c>
      <c r="B248" s="25" t="s">
        <v>854</v>
      </c>
      <c r="C248" s="25" t="s">
        <v>855</v>
      </c>
      <c r="D248" s="69" t="s">
        <v>1125</v>
      </c>
      <c r="E248" s="19"/>
      <c r="F248" s="19"/>
      <c r="G248" s="19"/>
      <c r="H248" s="19"/>
      <c r="I248" s="19"/>
      <c r="J248" s="19"/>
      <c r="K248" s="19"/>
      <c r="L248" s="19"/>
      <c r="M248" s="19"/>
      <c r="N248" s="19"/>
      <c r="O248" s="19"/>
      <c r="P248" s="19"/>
      <c r="Q248" s="19"/>
      <c r="R248" s="19"/>
      <c r="S248" s="142">
        <f t="shared" si="35"/>
        <v>0</v>
      </c>
      <c r="T248" s="142">
        <f t="shared" si="36"/>
        <v>0</v>
      </c>
      <c r="U248" s="142">
        <f t="shared" si="37"/>
        <v>0</v>
      </c>
      <c r="W248" s="601">
        <f t="shared" si="33"/>
        <v>0</v>
      </c>
      <c r="X248" s="601">
        <f t="shared" si="34"/>
        <v>0</v>
      </c>
      <c r="Y248" s="123"/>
      <c r="Z248" s="692">
        <f t="shared" si="32"/>
        <v>0</v>
      </c>
      <c r="AA248" s="124"/>
      <c r="AB248" s="124"/>
      <c r="AC248" s="124"/>
      <c r="AD248" s="124"/>
      <c r="AE248" s="124"/>
      <c r="AF248" s="124"/>
      <c r="AG248" s="124"/>
      <c r="AH248" s="124"/>
      <c r="AI248" s="124"/>
      <c r="AJ248" s="124"/>
      <c r="AK248" s="124"/>
      <c r="AL248" s="124"/>
      <c r="AM248" s="124"/>
      <c r="AN248" s="124"/>
      <c r="AO248" s="124"/>
    </row>
    <row r="249" spans="1:41" customFormat="1" ht="12.75" hidden="1" thickBot="1">
      <c r="A249" s="25" t="s">
        <v>1212</v>
      </c>
      <c r="B249" s="25" t="s">
        <v>427</v>
      </c>
      <c r="C249" s="25" t="s">
        <v>54</v>
      </c>
      <c r="D249" s="25" t="s">
        <v>15</v>
      </c>
      <c r="E249" s="77">
        <v>30798000</v>
      </c>
      <c r="F249" s="17">
        <v>7500</v>
      </c>
      <c r="G249" s="17">
        <v>272562.3</v>
      </c>
      <c r="H249" s="17">
        <v>839245.5</v>
      </c>
      <c r="I249" s="20"/>
      <c r="J249" s="17">
        <v>22433.02</v>
      </c>
      <c r="K249" s="17">
        <v>675523.6</v>
      </c>
      <c r="L249" s="17">
        <v>0</v>
      </c>
      <c r="M249" s="17">
        <v>58070.16</v>
      </c>
      <c r="N249" s="17">
        <v>0</v>
      </c>
      <c r="O249" s="17">
        <v>39577.51</v>
      </c>
      <c r="P249" s="20"/>
      <c r="Q249" s="20"/>
      <c r="R249" s="17">
        <v>1914912.09</v>
      </c>
      <c r="S249" s="142">
        <f t="shared" si="35"/>
        <v>1111807.8</v>
      </c>
      <c r="T249" s="142">
        <f t="shared" si="36"/>
        <v>697956.62</v>
      </c>
      <c r="U249" s="142">
        <f t="shared" si="37"/>
        <v>39577.51</v>
      </c>
      <c r="W249" s="601">
        <f t="shared" si="33"/>
        <v>1914912.0899999999</v>
      </c>
      <c r="X249" s="601">
        <f t="shared" si="34"/>
        <v>0</v>
      </c>
      <c r="Y249" s="123"/>
      <c r="Z249" s="692">
        <f t="shared" si="32"/>
        <v>1817264.42</v>
      </c>
      <c r="AA249" s="124"/>
      <c r="AB249" s="124"/>
      <c r="AC249" s="124"/>
      <c r="AD249" s="124"/>
      <c r="AE249" s="124"/>
      <c r="AF249" s="124"/>
      <c r="AG249" s="124"/>
      <c r="AH249" s="124"/>
      <c r="AI249" s="124"/>
      <c r="AJ249" s="124"/>
      <c r="AK249" s="124"/>
      <c r="AL249" s="124"/>
      <c r="AM249" s="124"/>
      <c r="AN249" s="124"/>
      <c r="AO249" s="124"/>
    </row>
    <row r="250" spans="1:41" customFormat="1" ht="12.75" hidden="1" thickBot="1">
      <c r="A250" s="25" t="s">
        <v>1212</v>
      </c>
      <c r="B250" s="25" t="s">
        <v>428</v>
      </c>
      <c r="C250" s="25" t="s">
        <v>458</v>
      </c>
      <c r="D250" s="69" t="s">
        <v>20</v>
      </c>
      <c r="E250" s="76">
        <v>24930937</v>
      </c>
      <c r="F250" s="18">
        <v>22461</v>
      </c>
      <c r="G250" s="18">
        <v>332827.96000000002</v>
      </c>
      <c r="H250" s="18">
        <v>679368.09</v>
      </c>
      <c r="I250" s="19"/>
      <c r="J250" s="18">
        <v>33985.839999999997</v>
      </c>
      <c r="K250" s="18">
        <v>958019.93</v>
      </c>
      <c r="L250" s="18">
        <v>0</v>
      </c>
      <c r="M250" s="18">
        <v>54568.22</v>
      </c>
      <c r="N250" s="18">
        <v>0</v>
      </c>
      <c r="O250" s="18">
        <v>38529.440000000002</v>
      </c>
      <c r="P250" s="19"/>
      <c r="Q250" s="19"/>
      <c r="R250" s="18">
        <v>2119760.48</v>
      </c>
      <c r="S250" s="142">
        <f t="shared" si="35"/>
        <v>1012196.05</v>
      </c>
      <c r="T250" s="142">
        <f t="shared" si="36"/>
        <v>992005.77</v>
      </c>
      <c r="U250" s="142">
        <f t="shared" si="37"/>
        <v>38529.440000000002</v>
      </c>
      <c r="W250" s="601">
        <f t="shared" si="33"/>
        <v>2119760.4800000004</v>
      </c>
      <c r="X250" s="601">
        <f t="shared" si="34"/>
        <v>0</v>
      </c>
      <c r="Y250" s="123"/>
      <c r="Z250" s="692">
        <f t="shared" si="32"/>
        <v>2026662.8200000003</v>
      </c>
      <c r="AA250" s="124"/>
      <c r="AB250" s="124"/>
      <c r="AC250" s="124"/>
      <c r="AD250" s="124"/>
      <c r="AE250" s="124"/>
      <c r="AF250" s="124"/>
      <c r="AG250" s="124"/>
      <c r="AH250" s="124"/>
      <c r="AI250" s="124"/>
      <c r="AJ250" s="124"/>
      <c r="AK250" s="124"/>
      <c r="AL250" s="124"/>
      <c r="AM250" s="124"/>
      <c r="AN250" s="124"/>
      <c r="AO250" s="124"/>
    </row>
    <row r="251" spans="1:41" customFormat="1" ht="12.75" hidden="1" thickBot="1">
      <c r="A251" s="25" t="s">
        <v>1212</v>
      </c>
      <c r="B251" s="25" t="s">
        <v>429</v>
      </c>
      <c r="C251" s="25" t="s">
        <v>457</v>
      </c>
      <c r="D251" s="153" t="s">
        <v>21</v>
      </c>
      <c r="E251" s="77">
        <v>1159155</v>
      </c>
      <c r="F251" s="17">
        <v>3570</v>
      </c>
      <c r="G251" s="17">
        <v>13921.43</v>
      </c>
      <c r="H251" s="17">
        <v>31586.97</v>
      </c>
      <c r="I251" s="20"/>
      <c r="J251" s="17">
        <v>2398.9699999999998</v>
      </c>
      <c r="K251" s="17">
        <v>55876</v>
      </c>
      <c r="L251" s="17">
        <v>0</v>
      </c>
      <c r="M251" s="17">
        <v>2464.4699999999998</v>
      </c>
      <c r="N251" s="17">
        <v>0</v>
      </c>
      <c r="O251" s="17">
        <v>2276.3000000000002</v>
      </c>
      <c r="P251" s="20"/>
      <c r="Q251" s="20"/>
      <c r="R251" s="17">
        <v>112094.14</v>
      </c>
      <c r="S251" s="142">
        <f t="shared" si="35"/>
        <v>45508.4</v>
      </c>
      <c r="T251" s="142">
        <f t="shared" si="36"/>
        <v>58274.97</v>
      </c>
      <c r="U251" s="142">
        <f t="shared" si="37"/>
        <v>2276.3000000000002</v>
      </c>
      <c r="W251" s="601">
        <f t="shared" si="33"/>
        <v>112094.14</v>
      </c>
      <c r="X251" s="601">
        <f t="shared" si="34"/>
        <v>0</v>
      </c>
      <c r="Y251" s="123"/>
      <c r="Z251" s="692">
        <f t="shared" ref="Z251:Z313" si="38">SUM(F251:K251)</f>
        <v>107353.37</v>
      </c>
      <c r="AA251" s="124"/>
      <c r="AB251" s="124"/>
      <c r="AC251" s="124"/>
      <c r="AD251" s="124"/>
      <c r="AE251" s="124"/>
      <c r="AF251" s="124"/>
      <c r="AG251" s="124"/>
      <c r="AH251" s="124"/>
      <c r="AI251" s="124"/>
      <c r="AJ251" s="124"/>
      <c r="AK251" s="124"/>
      <c r="AL251" s="124"/>
      <c r="AM251" s="124"/>
      <c r="AN251" s="124"/>
      <c r="AO251" s="124"/>
    </row>
    <row r="252" spans="1:41" customFormat="1" ht="12.75" hidden="1" thickBot="1">
      <c r="A252" s="25" t="s">
        <v>1212</v>
      </c>
      <c r="B252" s="25" t="s">
        <v>430</v>
      </c>
      <c r="C252" s="25" t="s">
        <v>933</v>
      </c>
      <c r="D252" s="69" t="s">
        <v>920</v>
      </c>
      <c r="E252" s="76">
        <v>18006720</v>
      </c>
      <c r="F252" s="18">
        <v>15020</v>
      </c>
      <c r="G252" s="18">
        <v>227784.98</v>
      </c>
      <c r="H252" s="18">
        <v>490683.16</v>
      </c>
      <c r="I252" s="19"/>
      <c r="J252" s="18">
        <v>22185.72</v>
      </c>
      <c r="K252" s="18">
        <v>648935.81000000006</v>
      </c>
      <c r="L252" s="18">
        <v>0</v>
      </c>
      <c r="M252" s="18">
        <v>39336.69</v>
      </c>
      <c r="N252" s="18">
        <v>0</v>
      </c>
      <c r="O252" s="18">
        <v>26393.08</v>
      </c>
      <c r="P252" s="19"/>
      <c r="Q252" s="19"/>
      <c r="R252" s="18">
        <v>1470339.44</v>
      </c>
      <c r="S252" s="142">
        <f t="shared" si="35"/>
        <v>718468.14</v>
      </c>
      <c r="T252" s="142">
        <f t="shared" si="36"/>
        <v>671121.53</v>
      </c>
      <c r="U252" s="142">
        <f t="shared" si="37"/>
        <v>26393.08</v>
      </c>
      <c r="W252" s="601">
        <f t="shared" si="33"/>
        <v>1470339.44</v>
      </c>
      <c r="X252" s="601">
        <f t="shared" si="34"/>
        <v>0</v>
      </c>
      <c r="Y252" s="123"/>
      <c r="Z252" s="692">
        <f t="shared" si="38"/>
        <v>1404609.67</v>
      </c>
      <c r="AA252" s="124"/>
      <c r="AB252" s="124"/>
      <c r="AC252" s="124"/>
      <c r="AD252" s="124"/>
      <c r="AE252" s="124"/>
      <c r="AF252" s="124"/>
      <c r="AG252" s="124"/>
      <c r="AH252" s="124"/>
      <c r="AI252" s="124"/>
      <c r="AJ252" s="124"/>
      <c r="AK252" s="124"/>
      <c r="AL252" s="124"/>
      <c r="AM252" s="124"/>
      <c r="AN252" s="124"/>
      <c r="AO252" s="124"/>
    </row>
    <row r="253" spans="1:41" customFormat="1" ht="12.75" hidden="1" thickBot="1">
      <c r="A253" s="25" t="s">
        <v>1212</v>
      </c>
      <c r="B253" s="25" t="s">
        <v>431</v>
      </c>
      <c r="C253" s="25" t="s">
        <v>459</v>
      </c>
      <c r="D253" s="69" t="s">
        <v>460</v>
      </c>
      <c r="E253" s="77">
        <v>122528400</v>
      </c>
      <c r="F253" s="17">
        <v>19300</v>
      </c>
      <c r="G253" s="17">
        <v>996155.89</v>
      </c>
      <c r="H253" s="17">
        <v>3338898.9</v>
      </c>
      <c r="I253" s="20"/>
      <c r="J253" s="17">
        <v>119448.68</v>
      </c>
      <c r="K253" s="17">
        <v>3298693.99</v>
      </c>
      <c r="L253" s="17">
        <v>0</v>
      </c>
      <c r="M253" s="17">
        <v>251458.92</v>
      </c>
      <c r="N253" s="17">
        <v>0</v>
      </c>
      <c r="O253" s="17">
        <v>147158.87</v>
      </c>
      <c r="P253" s="20"/>
      <c r="Q253" s="20"/>
      <c r="R253" s="17">
        <v>8171115.25</v>
      </c>
      <c r="S253" s="142">
        <f t="shared" si="35"/>
        <v>4335054.79</v>
      </c>
      <c r="T253" s="142">
        <f t="shared" si="36"/>
        <v>3418142.6700000004</v>
      </c>
      <c r="U253" s="142">
        <f t="shared" si="37"/>
        <v>147158.87</v>
      </c>
      <c r="W253" s="601">
        <f t="shared" si="33"/>
        <v>8171115.25</v>
      </c>
      <c r="X253" s="601">
        <f t="shared" si="34"/>
        <v>0</v>
      </c>
      <c r="Y253" s="123"/>
      <c r="Z253" s="692">
        <f t="shared" si="38"/>
        <v>7772497.46</v>
      </c>
      <c r="AA253" s="124"/>
      <c r="AB253" s="124"/>
      <c r="AC253" s="124"/>
      <c r="AD253" s="124"/>
      <c r="AE253" s="124"/>
      <c r="AF253" s="124"/>
      <c r="AG253" s="124"/>
      <c r="AH253" s="124"/>
      <c r="AI253" s="124"/>
      <c r="AJ253" s="124"/>
      <c r="AK253" s="124"/>
      <c r="AL253" s="124"/>
      <c r="AM253" s="124"/>
      <c r="AN253" s="124"/>
      <c r="AO253" s="124"/>
    </row>
    <row r="254" spans="1:41" customFormat="1" ht="12.75" hidden="1" thickBot="1">
      <c r="A254" s="25" t="s">
        <v>1212</v>
      </c>
      <c r="B254" s="25" t="s">
        <v>433</v>
      </c>
      <c r="C254" s="25" t="s">
        <v>462</v>
      </c>
      <c r="D254" s="69" t="s">
        <v>17</v>
      </c>
      <c r="E254" s="76">
        <v>196</v>
      </c>
      <c r="F254" s="19"/>
      <c r="G254" s="18">
        <v>7.1</v>
      </c>
      <c r="H254" s="18">
        <v>5.34</v>
      </c>
      <c r="I254" s="18">
        <v>0.22</v>
      </c>
      <c r="J254" s="19"/>
      <c r="K254" s="19"/>
      <c r="L254" s="19"/>
      <c r="M254" s="18">
        <v>0.43</v>
      </c>
      <c r="N254" s="18">
        <v>0.23</v>
      </c>
      <c r="O254" s="19"/>
      <c r="P254" s="19"/>
      <c r="Q254" s="19"/>
      <c r="R254" s="18">
        <v>13.32</v>
      </c>
      <c r="S254" s="142">
        <f t="shared" si="35"/>
        <v>12.66</v>
      </c>
      <c r="T254" s="142">
        <f t="shared" si="36"/>
        <v>0</v>
      </c>
      <c r="U254" s="142">
        <f t="shared" si="37"/>
        <v>0.23</v>
      </c>
      <c r="W254" s="601">
        <f t="shared" si="33"/>
        <v>13.32</v>
      </c>
      <c r="X254" s="601">
        <f t="shared" si="34"/>
        <v>0</v>
      </c>
      <c r="Y254" s="123"/>
      <c r="Z254" s="692">
        <f t="shared" si="38"/>
        <v>12.66</v>
      </c>
      <c r="AA254" s="124"/>
      <c r="AB254" s="124"/>
      <c r="AC254" s="124"/>
      <c r="AD254" s="124"/>
      <c r="AE254" s="124"/>
      <c r="AF254" s="124"/>
      <c r="AG254" s="124"/>
      <c r="AH254" s="124"/>
      <c r="AI254" s="124"/>
      <c r="AJ254" s="124"/>
      <c r="AK254" s="124"/>
      <c r="AL254" s="124"/>
      <c r="AM254" s="124"/>
      <c r="AN254" s="124"/>
      <c r="AO254" s="124"/>
    </row>
    <row r="255" spans="1:41" customFormat="1" ht="12.75" hidden="1" thickBot="1">
      <c r="A255" s="25" t="s">
        <v>1212</v>
      </c>
      <c r="B255" s="25" t="s">
        <v>434</v>
      </c>
      <c r="C255" s="25" t="s">
        <v>462</v>
      </c>
      <c r="D255" s="69" t="s">
        <v>17</v>
      </c>
      <c r="E255" s="77">
        <v>177718</v>
      </c>
      <c r="F255" s="20"/>
      <c r="G255" s="17">
        <v>6444.04</v>
      </c>
      <c r="H255" s="17">
        <v>4842.92</v>
      </c>
      <c r="I255" s="17">
        <v>195.42</v>
      </c>
      <c r="J255" s="20"/>
      <c r="K255" s="20"/>
      <c r="L255" s="20"/>
      <c r="M255" s="17">
        <v>382.94</v>
      </c>
      <c r="N255" s="17">
        <v>222.83</v>
      </c>
      <c r="O255" s="20"/>
      <c r="P255" s="20"/>
      <c r="Q255" s="20"/>
      <c r="R255" s="17">
        <v>12088.15</v>
      </c>
      <c r="S255" s="142">
        <f t="shared" si="35"/>
        <v>11482.38</v>
      </c>
      <c r="T255" s="142">
        <f t="shared" si="36"/>
        <v>0</v>
      </c>
      <c r="U255" s="142">
        <f t="shared" si="37"/>
        <v>222.83</v>
      </c>
      <c r="W255" s="601">
        <f t="shared" si="33"/>
        <v>12088.15</v>
      </c>
      <c r="X255" s="601">
        <f t="shared" si="34"/>
        <v>0</v>
      </c>
      <c r="Y255" s="123"/>
      <c r="Z255" s="692">
        <f t="shared" si="38"/>
        <v>11482.38</v>
      </c>
      <c r="AA255" s="124"/>
      <c r="AB255" s="124"/>
      <c r="AC255" s="124"/>
      <c r="AD255" s="124"/>
      <c r="AE255" s="124"/>
      <c r="AF255" s="124"/>
      <c r="AG255" s="124"/>
      <c r="AH255" s="124"/>
      <c r="AI255" s="124"/>
      <c r="AJ255" s="124"/>
      <c r="AK255" s="124"/>
      <c r="AL255" s="124"/>
      <c r="AM255" s="124"/>
      <c r="AN255" s="124"/>
      <c r="AO255" s="124"/>
    </row>
    <row r="256" spans="1:41" customFormat="1" ht="12.75" hidden="1" thickBot="1">
      <c r="A256" s="25" t="s">
        <v>1212</v>
      </c>
      <c r="B256" s="25" t="s">
        <v>435</v>
      </c>
      <c r="C256" s="25" t="s">
        <v>462</v>
      </c>
      <c r="D256" s="69" t="s">
        <v>17</v>
      </c>
      <c r="E256" s="76">
        <v>87003</v>
      </c>
      <c r="F256" s="19"/>
      <c r="G256" s="18">
        <v>3154.71</v>
      </c>
      <c r="H256" s="18">
        <v>2370.83</v>
      </c>
      <c r="I256" s="18">
        <v>95.71</v>
      </c>
      <c r="J256" s="19"/>
      <c r="K256" s="19"/>
      <c r="L256" s="19"/>
      <c r="M256" s="18">
        <v>190.75</v>
      </c>
      <c r="N256" s="18">
        <v>103.46</v>
      </c>
      <c r="O256" s="19"/>
      <c r="P256" s="19"/>
      <c r="Q256" s="19"/>
      <c r="R256" s="18">
        <v>5915.46</v>
      </c>
      <c r="S256" s="142">
        <f t="shared" si="35"/>
        <v>5621.25</v>
      </c>
      <c r="T256" s="142">
        <f t="shared" si="36"/>
        <v>0</v>
      </c>
      <c r="U256" s="142">
        <f t="shared" si="37"/>
        <v>103.46</v>
      </c>
      <c r="W256" s="601">
        <f t="shared" si="33"/>
        <v>5915.46</v>
      </c>
      <c r="X256" s="601">
        <f t="shared" si="34"/>
        <v>0</v>
      </c>
      <c r="Y256" s="123"/>
      <c r="Z256" s="692">
        <f t="shared" si="38"/>
        <v>5621.25</v>
      </c>
      <c r="AA256" s="124"/>
      <c r="AB256" s="124"/>
      <c r="AC256" s="124"/>
      <c r="AD256" s="124"/>
      <c r="AE256" s="124"/>
      <c r="AF256" s="124"/>
      <c r="AG256" s="124"/>
      <c r="AH256" s="124"/>
      <c r="AI256" s="124"/>
      <c r="AJ256" s="124"/>
      <c r="AK256" s="124"/>
      <c r="AL256" s="124"/>
      <c r="AM256" s="124"/>
      <c r="AN256" s="124"/>
      <c r="AO256" s="124"/>
    </row>
    <row r="257" spans="1:41" customFormat="1" ht="12.75" hidden="1" thickBot="1">
      <c r="A257" s="25" t="s">
        <v>1212</v>
      </c>
      <c r="B257" s="25" t="s">
        <v>436</v>
      </c>
      <c r="C257" s="25" t="s">
        <v>55</v>
      </c>
      <c r="D257" s="69" t="s">
        <v>18</v>
      </c>
      <c r="E257" s="77">
        <v>186880</v>
      </c>
      <c r="F257" s="17">
        <v>2921.75</v>
      </c>
      <c r="G257" s="17">
        <v>9013.1</v>
      </c>
      <c r="H257" s="17">
        <v>5092.6899999999996</v>
      </c>
      <c r="I257" s="17">
        <v>205.56</v>
      </c>
      <c r="J257" s="20"/>
      <c r="K257" s="20"/>
      <c r="L257" s="20"/>
      <c r="M257" s="17">
        <v>401.61</v>
      </c>
      <c r="N257" s="17">
        <v>333.31</v>
      </c>
      <c r="O257" s="20"/>
      <c r="P257" s="20"/>
      <c r="Q257" s="20"/>
      <c r="R257" s="17">
        <v>17968.02</v>
      </c>
      <c r="S257" s="142">
        <f t="shared" si="35"/>
        <v>14311.35</v>
      </c>
      <c r="T257" s="142">
        <f t="shared" si="36"/>
        <v>0</v>
      </c>
      <c r="U257" s="142">
        <f t="shared" si="37"/>
        <v>333.31</v>
      </c>
      <c r="W257" s="601">
        <f t="shared" si="33"/>
        <v>17968.020000000004</v>
      </c>
      <c r="X257" s="601">
        <f t="shared" si="34"/>
        <v>0</v>
      </c>
      <c r="Y257" s="123"/>
      <c r="Z257" s="692">
        <f t="shared" si="38"/>
        <v>17233.100000000002</v>
      </c>
      <c r="AA257" s="124"/>
      <c r="AB257" s="124"/>
      <c r="AC257" s="124"/>
      <c r="AD257" s="124"/>
      <c r="AE257" s="124"/>
      <c r="AF257" s="124"/>
      <c r="AG257" s="124"/>
      <c r="AH257" s="124"/>
      <c r="AI257" s="124"/>
      <c r="AJ257" s="124"/>
      <c r="AK257" s="124"/>
      <c r="AL257" s="124"/>
      <c r="AM257" s="124"/>
      <c r="AN257" s="124"/>
      <c r="AO257" s="124"/>
    </row>
    <row r="258" spans="1:41" customFormat="1" ht="12.75" hidden="1" thickBot="1">
      <c r="A258" s="25" t="s">
        <v>1212</v>
      </c>
      <c r="B258" s="25" t="s">
        <v>437</v>
      </c>
      <c r="C258" s="25" t="s">
        <v>55</v>
      </c>
      <c r="D258" s="69" t="s">
        <v>18</v>
      </c>
      <c r="E258" s="76">
        <v>68742</v>
      </c>
      <c r="F258" s="18">
        <v>435.5</v>
      </c>
      <c r="G258" s="18">
        <v>3315.44</v>
      </c>
      <c r="H258" s="18">
        <v>1873.21</v>
      </c>
      <c r="I258" s="18">
        <v>75.61</v>
      </c>
      <c r="J258" s="19"/>
      <c r="K258" s="19"/>
      <c r="L258" s="19"/>
      <c r="M258" s="18">
        <v>151.24</v>
      </c>
      <c r="N258" s="18">
        <v>102.97</v>
      </c>
      <c r="O258" s="19"/>
      <c r="P258" s="19"/>
      <c r="Q258" s="19"/>
      <c r="R258" s="18">
        <v>5953.97</v>
      </c>
      <c r="S258" s="142">
        <f t="shared" si="35"/>
        <v>5264.2599999999993</v>
      </c>
      <c r="T258" s="142">
        <f t="shared" si="36"/>
        <v>0</v>
      </c>
      <c r="U258" s="142">
        <f t="shared" si="37"/>
        <v>102.97</v>
      </c>
      <c r="W258" s="601">
        <f t="shared" si="33"/>
        <v>5953.9699999999993</v>
      </c>
      <c r="X258" s="601">
        <f t="shared" si="34"/>
        <v>0</v>
      </c>
      <c r="Y258" s="123"/>
      <c r="Z258" s="692">
        <f t="shared" si="38"/>
        <v>5699.7599999999993</v>
      </c>
      <c r="AA258" s="124"/>
      <c r="AB258" s="124"/>
      <c r="AC258" s="124"/>
      <c r="AD258" s="124"/>
      <c r="AE258" s="124"/>
      <c r="AF258" s="124"/>
      <c r="AG258" s="124"/>
      <c r="AH258" s="124"/>
      <c r="AI258" s="124"/>
      <c r="AJ258" s="124"/>
      <c r="AK258" s="124"/>
      <c r="AL258" s="124"/>
      <c r="AM258" s="124"/>
      <c r="AN258" s="124"/>
      <c r="AO258" s="124"/>
    </row>
    <row r="259" spans="1:41" customFormat="1" ht="12.75" hidden="1" thickBot="1">
      <c r="A259" s="25" t="s">
        <v>1212</v>
      </c>
      <c r="B259" s="25" t="s">
        <v>856</v>
      </c>
      <c r="C259" s="25" t="s">
        <v>857</v>
      </c>
      <c r="D259" s="69" t="s">
        <v>1125</v>
      </c>
      <c r="E259" s="20"/>
      <c r="F259" s="20"/>
      <c r="G259" s="20"/>
      <c r="H259" s="20"/>
      <c r="I259" s="20"/>
      <c r="J259" s="20"/>
      <c r="K259" s="20"/>
      <c r="L259" s="20"/>
      <c r="M259" s="20"/>
      <c r="N259" s="20"/>
      <c r="O259" s="20"/>
      <c r="P259" s="20"/>
      <c r="Q259" s="20"/>
      <c r="R259" s="20"/>
      <c r="S259" s="142">
        <f t="shared" si="35"/>
        <v>0</v>
      </c>
      <c r="T259" s="142">
        <f t="shared" si="36"/>
        <v>0</v>
      </c>
      <c r="U259" s="142">
        <f t="shared" si="37"/>
        <v>0</v>
      </c>
      <c r="W259" s="601">
        <f t="shared" si="33"/>
        <v>0</v>
      </c>
      <c r="X259" s="601">
        <f t="shared" si="34"/>
        <v>0</v>
      </c>
      <c r="Y259" s="123"/>
      <c r="Z259" s="692">
        <f t="shared" si="38"/>
        <v>0</v>
      </c>
      <c r="AA259" s="124"/>
      <c r="AB259" s="124"/>
      <c r="AC259" s="124"/>
      <c r="AD259" s="124"/>
      <c r="AE259" s="124"/>
      <c r="AF259" s="124"/>
      <c r="AG259" s="124"/>
      <c r="AH259" s="124"/>
      <c r="AI259" s="124"/>
      <c r="AJ259" s="124"/>
      <c r="AK259" s="124"/>
      <c r="AL259" s="124"/>
      <c r="AM259" s="124"/>
      <c r="AN259" s="124"/>
      <c r="AO259" s="124"/>
    </row>
    <row r="260" spans="1:41" customFormat="1" ht="12.75" hidden="1" thickBot="1">
      <c r="A260" s="25" t="s">
        <v>1212</v>
      </c>
      <c r="B260" s="25" t="s">
        <v>438</v>
      </c>
      <c r="C260" s="25" t="s">
        <v>469</v>
      </c>
      <c r="D260" s="69" t="s">
        <v>13</v>
      </c>
      <c r="E260" s="76">
        <v>927781</v>
      </c>
      <c r="F260" s="19"/>
      <c r="G260" s="18">
        <v>48401.57</v>
      </c>
      <c r="H260" s="18">
        <v>25282.7</v>
      </c>
      <c r="I260" s="18">
        <v>1243.21</v>
      </c>
      <c r="J260" s="19"/>
      <c r="K260" s="19"/>
      <c r="L260" s="18">
        <v>4073.15</v>
      </c>
      <c r="M260" s="18">
        <v>2043.53</v>
      </c>
      <c r="N260" s="18">
        <v>1422.73</v>
      </c>
      <c r="O260" s="19"/>
      <c r="P260" s="19"/>
      <c r="Q260" s="18">
        <v>0</v>
      </c>
      <c r="R260" s="18">
        <v>82466.89</v>
      </c>
      <c r="S260" s="142">
        <f t="shared" si="35"/>
        <v>74927.48000000001</v>
      </c>
      <c r="T260" s="142">
        <f t="shared" si="36"/>
        <v>0</v>
      </c>
      <c r="U260" s="142">
        <f t="shared" si="37"/>
        <v>1422.73</v>
      </c>
      <c r="W260" s="601">
        <f t="shared" si="33"/>
        <v>82466.89</v>
      </c>
      <c r="X260" s="601">
        <f t="shared" si="34"/>
        <v>0</v>
      </c>
      <c r="Y260" s="123"/>
      <c r="Z260" s="692">
        <f t="shared" si="38"/>
        <v>74927.48000000001</v>
      </c>
      <c r="AA260" s="124"/>
      <c r="AB260" s="124"/>
      <c r="AC260" s="124"/>
      <c r="AD260" s="124"/>
      <c r="AE260" s="124"/>
      <c r="AF260" s="124"/>
      <c r="AG260" s="124"/>
      <c r="AH260" s="124"/>
      <c r="AI260" s="124"/>
      <c r="AJ260" s="124"/>
      <c r="AK260" s="124"/>
      <c r="AL260" s="124"/>
      <c r="AM260" s="124"/>
      <c r="AN260" s="124"/>
      <c r="AO260" s="124"/>
    </row>
    <row r="261" spans="1:41" customFormat="1" ht="12.75" hidden="1" thickBot="1">
      <c r="A261" s="25" t="s">
        <v>1212</v>
      </c>
      <c r="B261" s="25" t="s">
        <v>439</v>
      </c>
      <c r="C261" s="25" t="s">
        <v>466</v>
      </c>
      <c r="D261" s="69" t="s">
        <v>13</v>
      </c>
      <c r="E261" s="77">
        <v>325379194</v>
      </c>
      <c r="F261" s="17">
        <v>3778442.36</v>
      </c>
      <c r="G261" s="17">
        <v>16975118.530000001</v>
      </c>
      <c r="H261" s="17">
        <v>8866055.9900000002</v>
      </c>
      <c r="I261" s="17">
        <v>435938.83</v>
      </c>
      <c r="J261" s="20"/>
      <c r="K261" s="20"/>
      <c r="L261" s="17">
        <v>1428321.26</v>
      </c>
      <c r="M261" s="17">
        <v>716073.8</v>
      </c>
      <c r="N261" s="17">
        <v>566403.81999999995</v>
      </c>
      <c r="O261" s="20"/>
      <c r="P261" s="20"/>
      <c r="Q261" s="17">
        <v>0.67</v>
      </c>
      <c r="R261" s="17">
        <v>32766355.260000002</v>
      </c>
      <c r="S261" s="142">
        <f t="shared" si="35"/>
        <v>26277113.350000001</v>
      </c>
      <c r="T261" s="142">
        <f t="shared" si="36"/>
        <v>0</v>
      </c>
      <c r="U261" s="142">
        <f t="shared" si="37"/>
        <v>566403.81999999995</v>
      </c>
      <c r="W261" s="601">
        <f t="shared" si="33"/>
        <v>32766355.260000005</v>
      </c>
      <c r="X261" s="601">
        <f t="shared" si="34"/>
        <v>0</v>
      </c>
      <c r="Y261" s="123"/>
      <c r="Z261" s="692">
        <f t="shared" si="38"/>
        <v>30055555.710000001</v>
      </c>
      <c r="AA261" s="124"/>
      <c r="AB261" s="124"/>
      <c r="AC261" s="124"/>
      <c r="AD261" s="124"/>
      <c r="AE261" s="124"/>
      <c r="AF261" s="124"/>
      <c r="AG261" s="124"/>
      <c r="AH261" s="124"/>
      <c r="AI261" s="124"/>
      <c r="AJ261" s="124"/>
      <c r="AK261" s="124"/>
      <c r="AL261" s="124"/>
      <c r="AM261" s="124"/>
      <c r="AN261" s="124"/>
      <c r="AO261" s="124"/>
    </row>
    <row r="262" spans="1:41" customFormat="1" ht="12.75" hidden="1" thickBot="1">
      <c r="A262" s="25" t="s">
        <v>1212</v>
      </c>
      <c r="B262" s="25" t="s">
        <v>440</v>
      </c>
      <c r="C262" s="25" t="s">
        <v>467</v>
      </c>
      <c r="D262" s="69" t="s">
        <v>13</v>
      </c>
      <c r="E262" s="76">
        <v>133746</v>
      </c>
      <c r="F262" s="18">
        <v>1378.15</v>
      </c>
      <c r="G262" s="18">
        <v>6977.48</v>
      </c>
      <c r="H262" s="18">
        <v>3644.6</v>
      </c>
      <c r="I262" s="18">
        <v>179.25</v>
      </c>
      <c r="J262" s="19"/>
      <c r="K262" s="19"/>
      <c r="L262" s="18">
        <v>587.20000000000005</v>
      </c>
      <c r="M262" s="18">
        <v>293.74</v>
      </c>
      <c r="N262" s="18">
        <v>231.36</v>
      </c>
      <c r="O262" s="19"/>
      <c r="P262" s="19"/>
      <c r="Q262" s="18">
        <v>0</v>
      </c>
      <c r="R262" s="18">
        <v>13291.78</v>
      </c>
      <c r="S262" s="142">
        <f t="shared" si="35"/>
        <v>10801.33</v>
      </c>
      <c r="T262" s="142">
        <f t="shared" si="36"/>
        <v>0</v>
      </c>
      <c r="U262" s="142">
        <f t="shared" si="37"/>
        <v>231.36</v>
      </c>
      <c r="W262" s="601">
        <f t="shared" si="33"/>
        <v>13291.78</v>
      </c>
      <c r="X262" s="601">
        <f t="shared" si="34"/>
        <v>0</v>
      </c>
      <c r="Y262" s="123"/>
      <c r="Z262" s="692">
        <f t="shared" si="38"/>
        <v>12179.48</v>
      </c>
      <c r="AA262" s="124"/>
      <c r="AB262" s="124"/>
      <c r="AC262" s="124"/>
      <c r="AD262" s="124"/>
      <c r="AE262" s="124"/>
      <c r="AF262" s="124"/>
      <c r="AG262" s="124"/>
      <c r="AH262" s="124"/>
      <c r="AI262" s="124"/>
      <c r="AJ262" s="124"/>
      <c r="AK262" s="124"/>
      <c r="AL262" s="124"/>
      <c r="AM262" s="124"/>
      <c r="AN262" s="124"/>
      <c r="AO262" s="124"/>
    </row>
    <row r="263" spans="1:41" customFormat="1" ht="12.75" hidden="1" thickBot="1">
      <c r="A263" s="25" t="s">
        <v>1212</v>
      </c>
      <c r="B263" s="25" t="s">
        <v>441</v>
      </c>
      <c r="C263" s="25" t="s">
        <v>468</v>
      </c>
      <c r="D263" s="69" t="s">
        <v>13</v>
      </c>
      <c r="E263" s="77">
        <v>30870</v>
      </c>
      <c r="F263" s="17">
        <v>64.5</v>
      </c>
      <c r="G263" s="17">
        <v>1610.5</v>
      </c>
      <c r="H263" s="17">
        <v>841.21</v>
      </c>
      <c r="I263" s="17">
        <v>41.36</v>
      </c>
      <c r="J263" s="20"/>
      <c r="K263" s="20"/>
      <c r="L263" s="17">
        <v>135.52000000000001</v>
      </c>
      <c r="M263" s="17">
        <v>67.91</v>
      </c>
      <c r="N263" s="17">
        <v>48.58</v>
      </c>
      <c r="O263" s="20"/>
      <c r="P263" s="20"/>
      <c r="Q263" s="17">
        <v>0</v>
      </c>
      <c r="R263" s="17">
        <v>2809.58</v>
      </c>
      <c r="S263" s="142">
        <f t="shared" si="35"/>
        <v>2493.0700000000002</v>
      </c>
      <c r="T263" s="142">
        <f t="shared" si="36"/>
        <v>0</v>
      </c>
      <c r="U263" s="142">
        <f t="shared" si="37"/>
        <v>48.58</v>
      </c>
      <c r="W263" s="601">
        <f t="shared" si="33"/>
        <v>2809.58</v>
      </c>
      <c r="X263" s="601">
        <f t="shared" si="34"/>
        <v>0</v>
      </c>
      <c r="Y263" s="123"/>
      <c r="Z263" s="692">
        <f t="shared" si="38"/>
        <v>2557.5700000000002</v>
      </c>
      <c r="AA263" s="124"/>
      <c r="AB263" s="124"/>
      <c r="AC263" s="124"/>
      <c r="AD263" s="124"/>
      <c r="AE263" s="124"/>
      <c r="AF263" s="124"/>
      <c r="AG263" s="124"/>
      <c r="AH263" s="124"/>
      <c r="AI263" s="124"/>
      <c r="AJ263" s="124"/>
      <c r="AK263" s="124"/>
      <c r="AL263" s="124"/>
      <c r="AM263" s="124"/>
      <c r="AN263" s="124"/>
      <c r="AO263" s="124"/>
    </row>
    <row r="264" spans="1:41" customFormat="1" ht="12.75" hidden="1" thickBot="1">
      <c r="A264" s="25" t="s">
        <v>1212</v>
      </c>
      <c r="B264" s="25" t="s">
        <v>755</v>
      </c>
      <c r="C264" s="25" t="s">
        <v>1124</v>
      </c>
      <c r="D264" s="69" t="s">
        <v>680</v>
      </c>
      <c r="E264" s="76">
        <v>27843</v>
      </c>
      <c r="F264" s="18">
        <v>170.28</v>
      </c>
      <c r="G264" s="18">
        <v>1428</v>
      </c>
      <c r="H264" s="18">
        <v>758.73</v>
      </c>
      <c r="I264" s="18">
        <v>37.340000000000003</v>
      </c>
      <c r="J264" s="19"/>
      <c r="K264" s="19"/>
      <c r="L264" s="18">
        <v>122.24</v>
      </c>
      <c r="M264" s="18">
        <v>61.26</v>
      </c>
      <c r="N264" s="18">
        <v>45.34</v>
      </c>
      <c r="O264" s="19"/>
      <c r="P264" s="19"/>
      <c r="Q264" s="19"/>
      <c r="R264" s="18">
        <v>2623.19</v>
      </c>
      <c r="S264" s="142">
        <f t="shared" si="35"/>
        <v>2224.0700000000002</v>
      </c>
      <c r="T264" s="142">
        <f t="shared" si="36"/>
        <v>0</v>
      </c>
      <c r="U264" s="142">
        <f t="shared" si="37"/>
        <v>45.34</v>
      </c>
      <c r="W264" s="601">
        <f t="shared" si="33"/>
        <v>2623.1900000000005</v>
      </c>
      <c r="X264" s="601">
        <f t="shared" si="34"/>
        <v>0</v>
      </c>
      <c r="Y264" s="123"/>
      <c r="Z264" s="692">
        <f t="shared" si="38"/>
        <v>2394.3500000000004</v>
      </c>
      <c r="AA264" s="124"/>
      <c r="AB264" s="124"/>
      <c r="AC264" s="124"/>
      <c r="AD264" s="124"/>
      <c r="AE264" s="124"/>
      <c r="AF264" s="124"/>
      <c r="AG264" s="124"/>
      <c r="AH264" s="124"/>
      <c r="AI264" s="124"/>
      <c r="AJ264" s="124"/>
      <c r="AK264" s="124"/>
      <c r="AL264" s="124"/>
      <c r="AM264" s="124"/>
      <c r="AN264" s="124"/>
      <c r="AO264" s="124"/>
    </row>
    <row r="265" spans="1:41" customFormat="1" ht="12.75" hidden="1" thickBot="1">
      <c r="A265" s="25" t="s">
        <v>1212</v>
      </c>
      <c r="B265" s="25" t="s">
        <v>1208</v>
      </c>
      <c r="C265" s="25" t="s">
        <v>1217</v>
      </c>
      <c r="D265" s="69" t="s">
        <v>680</v>
      </c>
      <c r="E265" s="77">
        <v>89</v>
      </c>
      <c r="F265" s="17">
        <v>10.75</v>
      </c>
      <c r="G265" s="17">
        <v>2.63</v>
      </c>
      <c r="H265" s="17">
        <v>2.4300000000000002</v>
      </c>
      <c r="I265" s="17">
        <v>0.12</v>
      </c>
      <c r="J265" s="20"/>
      <c r="K265" s="20"/>
      <c r="L265" s="17">
        <v>0.39</v>
      </c>
      <c r="M265" s="17">
        <v>0.2</v>
      </c>
      <c r="N265" s="17">
        <v>0.28999999999999998</v>
      </c>
      <c r="O265" s="20"/>
      <c r="P265" s="20"/>
      <c r="Q265" s="20"/>
      <c r="R265" s="17">
        <v>16.809999999999999</v>
      </c>
      <c r="S265" s="142">
        <f t="shared" si="35"/>
        <v>5.1800000000000006</v>
      </c>
      <c r="T265" s="142">
        <f t="shared" si="36"/>
        <v>0</v>
      </c>
      <c r="U265" s="142">
        <f t="shared" si="37"/>
        <v>0.28999999999999998</v>
      </c>
      <c r="W265" s="601">
        <f t="shared" ref="W265:W323" si="39">SUM(F265:Q265)</f>
        <v>16.809999999999995</v>
      </c>
      <c r="X265" s="601">
        <f t="shared" ref="X265:X323" si="40">W265-R265</f>
        <v>0</v>
      </c>
      <c r="Y265" s="123"/>
      <c r="Z265" s="692">
        <f t="shared" si="38"/>
        <v>15.929999999999998</v>
      </c>
      <c r="AA265" s="124"/>
      <c r="AB265" s="124"/>
      <c r="AC265" s="124"/>
      <c r="AD265" s="124"/>
      <c r="AE265" s="124"/>
      <c r="AF265" s="124"/>
      <c r="AG265" s="124"/>
      <c r="AH265" s="124"/>
      <c r="AI265" s="124"/>
      <c r="AJ265" s="124"/>
      <c r="AK265" s="124"/>
      <c r="AL265" s="124"/>
      <c r="AM265" s="124"/>
      <c r="AN265" s="124"/>
      <c r="AO265" s="124"/>
    </row>
    <row r="266" spans="1:41" customFormat="1" ht="12.75" hidden="1" thickBot="1">
      <c r="A266" s="25" t="s">
        <v>1212</v>
      </c>
      <c r="B266" s="25" t="s">
        <v>401</v>
      </c>
      <c r="C266" s="25" t="s">
        <v>402</v>
      </c>
      <c r="D266" s="69" t="s">
        <v>1125</v>
      </c>
      <c r="E266" s="19"/>
      <c r="F266" s="19"/>
      <c r="G266" s="19"/>
      <c r="H266" s="19"/>
      <c r="I266" s="19"/>
      <c r="J266" s="19"/>
      <c r="K266" s="19"/>
      <c r="L266" s="19"/>
      <c r="M266" s="19"/>
      <c r="N266" s="19"/>
      <c r="O266" s="19"/>
      <c r="P266" s="19"/>
      <c r="Q266" s="19"/>
      <c r="R266" s="19"/>
      <c r="S266" s="142">
        <f t="shared" si="35"/>
        <v>0</v>
      </c>
      <c r="T266" s="142">
        <f t="shared" si="36"/>
        <v>0</v>
      </c>
      <c r="U266" s="142">
        <f t="shared" si="37"/>
        <v>0</v>
      </c>
      <c r="W266" s="601">
        <f t="shared" si="39"/>
        <v>0</v>
      </c>
      <c r="X266" s="601">
        <f t="shared" si="40"/>
        <v>0</v>
      </c>
      <c r="Y266" s="123"/>
      <c r="Z266" s="692">
        <f t="shared" si="38"/>
        <v>0</v>
      </c>
      <c r="AA266" s="124"/>
      <c r="AB266" s="124"/>
      <c r="AC266" s="124"/>
      <c r="AD266" s="124"/>
      <c r="AE266" s="124"/>
      <c r="AF266" s="124"/>
      <c r="AG266" s="124"/>
      <c r="AH266" s="124"/>
      <c r="AI266" s="124"/>
      <c r="AJ266" s="124"/>
      <c r="AK266" s="124"/>
      <c r="AL266" s="124"/>
      <c r="AM266" s="124"/>
      <c r="AN266" s="124"/>
      <c r="AO266" s="124"/>
    </row>
    <row r="267" spans="1:41" customFormat="1" ht="12.75" hidden="1" thickBot="1">
      <c r="A267" s="25" t="s">
        <v>1212</v>
      </c>
      <c r="B267" s="25" t="s">
        <v>379</v>
      </c>
      <c r="C267" s="25" t="s">
        <v>934</v>
      </c>
      <c r="D267" s="235" t="s">
        <v>498</v>
      </c>
      <c r="E267" s="77">
        <v>3421</v>
      </c>
      <c r="F267" s="20"/>
      <c r="G267" s="17">
        <v>686.22</v>
      </c>
      <c r="H267" s="20"/>
      <c r="I267" s="20"/>
      <c r="J267" s="20"/>
      <c r="K267" s="20"/>
      <c r="L267" s="20"/>
      <c r="M267" s="17">
        <v>7.58</v>
      </c>
      <c r="N267" s="17">
        <v>12.24</v>
      </c>
      <c r="O267" s="20"/>
      <c r="P267" s="20"/>
      <c r="Q267" s="17">
        <v>0</v>
      </c>
      <c r="R267" s="17">
        <v>706.04</v>
      </c>
      <c r="S267" s="142">
        <f t="shared" si="35"/>
        <v>686.22</v>
      </c>
      <c r="T267" s="142">
        <f t="shared" si="36"/>
        <v>0</v>
      </c>
      <c r="U267" s="142">
        <f t="shared" si="37"/>
        <v>12.24</v>
      </c>
      <c r="W267" s="601">
        <f t="shared" si="39"/>
        <v>706.04000000000008</v>
      </c>
      <c r="X267" s="601">
        <f t="shared" si="40"/>
        <v>0</v>
      </c>
      <c r="Y267" s="123"/>
      <c r="Z267" s="692">
        <f t="shared" si="38"/>
        <v>686.22</v>
      </c>
      <c r="AA267" s="124"/>
      <c r="AB267" s="124"/>
      <c r="AC267" s="124"/>
      <c r="AD267" s="124"/>
      <c r="AE267" s="124"/>
      <c r="AF267" s="124"/>
      <c r="AG267" s="124"/>
      <c r="AH267" s="124"/>
      <c r="AI267" s="124"/>
      <c r="AJ267" s="124"/>
      <c r="AK267" s="124"/>
      <c r="AL267" s="124"/>
      <c r="AM267" s="124"/>
      <c r="AN267" s="124"/>
      <c r="AO267" s="124"/>
    </row>
    <row r="268" spans="1:41" customFormat="1" ht="12.75" hidden="1" thickBot="1">
      <c r="A268" s="25" t="s">
        <v>1212</v>
      </c>
      <c r="B268" s="25" t="s">
        <v>241</v>
      </c>
      <c r="C268" s="25" t="s">
        <v>935</v>
      </c>
      <c r="D268" s="235" t="s">
        <v>498</v>
      </c>
      <c r="E268" s="76">
        <v>366282</v>
      </c>
      <c r="F268" s="19"/>
      <c r="G268" s="18">
        <v>40083.699999999997</v>
      </c>
      <c r="H268" s="19"/>
      <c r="I268" s="19"/>
      <c r="J268" s="19"/>
      <c r="K268" s="19"/>
      <c r="L268" s="19"/>
      <c r="M268" s="18">
        <v>803.85</v>
      </c>
      <c r="N268" s="18">
        <v>728.65</v>
      </c>
      <c r="O268" s="19"/>
      <c r="P268" s="19"/>
      <c r="Q268" s="18">
        <v>0</v>
      </c>
      <c r="R268" s="18">
        <v>41616.199999999997</v>
      </c>
      <c r="S268" s="142">
        <f t="shared" si="35"/>
        <v>40083.699999999997</v>
      </c>
      <c r="T268" s="142">
        <f t="shared" si="36"/>
        <v>0</v>
      </c>
      <c r="U268" s="142">
        <f t="shared" si="37"/>
        <v>728.65</v>
      </c>
      <c r="W268" s="601">
        <f t="shared" si="39"/>
        <v>41616.199999999997</v>
      </c>
      <c r="X268" s="601">
        <f t="shared" si="40"/>
        <v>0</v>
      </c>
      <c r="Y268" s="123"/>
      <c r="Z268" s="692">
        <f t="shared" si="38"/>
        <v>40083.699999999997</v>
      </c>
      <c r="AA268" s="124"/>
      <c r="AB268" s="124"/>
      <c r="AC268" s="124"/>
      <c r="AD268" s="124"/>
      <c r="AE268" s="124"/>
      <c r="AF268" s="124"/>
      <c r="AG268" s="124"/>
      <c r="AH268" s="124"/>
      <c r="AI268" s="124"/>
      <c r="AJ268" s="124"/>
      <c r="AK268" s="124"/>
      <c r="AL268" s="124"/>
      <c r="AM268" s="124"/>
      <c r="AN268" s="124"/>
      <c r="AO268" s="124"/>
    </row>
    <row r="269" spans="1:41" customFormat="1" ht="12.75" hidden="1" thickBot="1">
      <c r="A269" s="25" t="s">
        <v>1212</v>
      </c>
      <c r="B269" s="25" t="s">
        <v>242</v>
      </c>
      <c r="C269" s="25" t="s">
        <v>936</v>
      </c>
      <c r="D269" s="235" t="s">
        <v>498</v>
      </c>
      <c r="E269" s="77">
        <v>587678</v>
      </c>
      <c r="F269" s="20"/>
      <c r="G269" s="17">
        <v>52320.2</v>
      </c>
      <c r="H269" s="20"/>
      <c r="I269" s="20"/>
      <c r="J269" s="20"/>
      <c r="K269" s="20"/>
      <c r="L269" s="20"/>
      <c r="M269" s="17">
        <v>1290.4000000000001</v>
      </c>
      <c r="N269" s="17">
        <v>948.36</v>
      </c>
      <c r="O269" s="20"/>
      <c r="P269" s="20"/>
      <c r="Q269" s="17">
        <v>0</v>
      </c>
      <c r="R269" s="17">
        <v>54558.96</v>
      </c>
      <c r="S269" s="142">
        <f t="shared" si="35"/>
        <v>52320.2</v>
      </c>
      <c r="T269" s="142">
        <f t="shared" si="36"/>
        <v>0</v>
      </c>
      <c r="U269" s="142">
        <f t="shared" si="37"/>
        <v>948.36</v>
      </c>
      <c r="W269" s="601">
        <f t="shared" si="39"/>
        <v>54558.96</v>
      </c>
      <c r="X269" s="601">
        <f t="shared" si="40"/>
        <v>0</v>
      </c>
      <c r="Y269" s="123"/>
      <c r="Z269" s="692">
        <f t="shared" si="38"/>
        <v>52320.2</v>
      </c>
      <c r="AA269" s="124"/>
      <c r="AB269" s="124"/>
      <c r="AC269" s="124"/>
      <c r="AD269" s="124"/>
      <c r="AE269" s="124"/>
      <c r="AF269" s="124"/>
      <c r="AG269" s="124"/>
      <c r="AH269" s="124"/>
      <c r="AI269" s="124"/>
      <c r="AJ269" s="124"/>
      <c r="AK269" s="124"/>
      <c r="AL269" s="124"/>
      <c r="AM269" s="124"/>
      <c r="AN269" s="124"/>
      <c r="AO269" s="124"/>
    </row>
    <row r="270" spans="1:41" customFormat="1" ht="12.75" hidden="1" thickBot="1">
      <c r="A270" s="25" t="s">
        <v>1212</v>
      </c>
      <c r="B270" s="25" t="s">
        <v>1209</v>
      </c>
      <c r="C270" s="25" t="s">
        <v>1210</v>
      </c>
      <c r="D270" s="69" t="s">
        <v>1125</v>
      </c>
      <c r="E270" s="76">
        <v>5465</v>
      </c>
      <c r="F270" s="19"/>
      <c r="G270" s="19"/>
      <c r="H270" s="19"/>
      <c r="I270" s="19"/>
      <c r="J270" s="19"/>
      <c r="K270" s="19"/>
      <c r="L270" s="19"/>
      <c r="M270" s="19"/>
      <c r="N270" s="19"/>
      <c r="O270" s="19"/>
      <c r="P270" s="19"/>
      <c r="Q270" s="19"/>
      <c r="R270" s="19"/>
      <c r="S270" s="142">
        <f t="shared" si="35"/>
        <v>0</v>
      </c>
      <c r="T270" s="142">
        <f t="shared" si="36"/>
        <v>0</v>
      </c>
      <c r="U270" s="142">
        <f t="shared" si="37"/>
        <v>0</v>
      </c>
      <c r="W270" s="601">
        <f t="shared" si="39"/>
        <v>0</v>
      </c>
      <c r="X270" s="601">
        <f t="shared" si="40"/>
        <v>0</v>
      </c>
      <c r="Y270" s="123"/>
      <c r="Z270" s="692">
        <f t="shared" si="38"/>
        <v>0</v>
      </c>
      <c r="AA270" s="124"/>
      <c r="AB270" s="124"/>
      <c r="AC270" s="124"/>
      <c r="AD270" s="124"/>
      <c r="AE270" s="124"/>
      <c r="AF270" s="124"/>
      <c r="AG270" s="124"/>
      <c r="AH270" s="124"/>
      <c r="AI270" s="124"/>
      <c r="AJ270" s="124"/>
      <c r="AK270" s="124"/>
      <c r="AL270" s="124"/>
      <c r="AM270" s="124"/>
      <c r="AN270" s="124"/>
      <c r="AO270" s="124"/>
    </row>
    <row r="271" spans="1:41" customFormat="1" ht="12.75" hidden="1" thickBot="1">
      <c r="A271" s="25" t="s">
        <v>1212</v>
      </c>
      <c r="B271" s="25" t="s">
        <v>243</v>
      </c>
      <c r="C271" s="25" t="s">
        <v>937</v>
      </c>
      <c r="D271" s="235" t="s">
        <v>498</v>
      </c>
      <c r="E271" s="77">
        <v>4352</v>
      </c>
      <c r="F271" s="20"/>
      <c r="G271" s="17">
        <v>1232.55</v>
      </c>
      <c r="H271" s="20"/>
      <c r="I271" s="20"/>
      <c r="J271" s="20"/>
      <c r="K271" s="20"/>
      <c r="L271" s="20"/>
      <c r="M271" s="17">
        <v>9.56</v>
      </c>
      <c r="N271" s="17">
        <v>21.86</v>
      </c>
      <c r="O271" s="20"/>
      <c r="P271" s="20"/>
      <c r="Q271" s="17">
        <v>0</v>
      </c>
      <c r="R271" s="17">
        <v>1263.97</v>
      </c>
      <c r="S271" s="142">
        <f t="shared" si="35"/>
        <v>1232.55</v>
      </c>
      <c r="T271" s="142">
        <f t="shared" si="36"/>
        <v>0</v>
      </c>
      <c r="U271" s="142">
        <f t="shared" si="37"/>
        <v>21.86</v>
      </c>
      <c r="W271" s="601">
        <f t="shared" si="39"/>
        <v>1263.9699999999998</v>
      </c>
      <c r="X271" s="601">
        <f t="shared" si="40"/>
        <v>0</v>
      </c>
      <c r="Y271" s="123"/>
      <c r="Z271" s="692">
        <f t="shared" si="38"/>
        <v>1232.55</v>
      </c>
      <c r="AA271" s="124"/>
      <c r="AB271" s="124"/>
      <c r="AC271" s="124"/>
      <c r="AD271" s="124"/>
      <c r="AE271" s="124"/>
      <c r="AF271" s="124"/>
      <c r="AG271" s="124"/>
      <c r="AH271" s="124"/>
      <c r="AI271" s="124"/>
      <c r="AJ271" s="124"/>
      <c r="AK271" s="124"/>
      <c r="AL271" s="124"/>
      <c r="AM271" s="124"/>
      <c r="AN271" s="124"/>
      <c r="AO271" s="124"/>
    </row>
    <row r="272" spans="1:41" customFormat="1" ht="12.75" hidden="1" thickBot="1">
      <c r="A272" s="25" t="s">
        <v>1212</v>
      </c>
      <c r="B272" s="25" t="s">
        <v>244</v>
      </c>
      <c r="C272" s="25" t="s">
        <v>938</v>
      </c>
      <c r="D272" s="235" t="s">
        <v>498</v>
      </c>
      <c r="E272" s="76">
        <v>127702</v>
      </c>
      <c r="F272" s="19"/>
      <c r="G272" s="18">
        <v>12540.31</v>
      </c>
      <c r="H272" s="19"/>
      <c r="I272" s="19"/>
      <c r="J272" s="19"/>
      <c r="K272" s="19"/>
      <c r="L272" s="19"/>
      <c r="M272" s="18">
        <v>276.31</v>
      </c>
      <c r="N272" s="18">
        <v>236.83</v>
      </c>
      <c r="O272" s="19"/>
      <c r="P272" s="19"/>
      <c r="Q272" s="18">
        <v>0</v>
      </c>
      <c r="R272" s="18">
        <v>13053.45</v>
      </c>
      <c r="S272" s="142">
        <f t="shared" si="35"/>
        <v>12540.31</v>
      </c>
      <c r="T272" s="142">
        <f t="shared" si="36"/>
        <v>0</v>
      </c>
      <c r="U272" s="142">
        <f t="shared" si="37"/>
        <v>236.83</v>
      </c>
      <c r="W272" s="601">
        <f t="shared" si="39"/>
        <v>13053.449999999999</v>
      </c>
      <c r="X272" s="601">
        <f t="shared" si="40"/>
        <v>0</v>
      </c>
      <c r="Y272" s="123"/>
      <c r="Z272" s="692">
        <f t="shared" si="38"/>
        <v>12540.31</v>
      </c>
      <c r="AA272" s="124"/>
      <c r="AB272" s="124"/>
      <c r="AC272" s="124"/>
      <c r="AD272" s="124"/>
      <c r="AE272" s="124"/>
      <c r="AF272" s="124"/>
      <c r="AG272" s="124"/>
      <c r="AH272" s="124"/>
      <c r="AI272" s="124"/>
      <c r="AJ272" s="124"/>
      <c r="AK272" s="124"/>
      <c r="AL272" s="124"/>
      <c r="AM272" s="124"/>
      <c r="AN272" s="124"/>
      <c r="AO272" s="124"/>
    </row>
    <row r="273" spans="1:41" customFormat="1" ht="12.75" hidden="1" thickBot="1">
      <c r="A273" s="25" t="s">
        <v>1212</v>
      </c>
      <c r="B273" s="25" t="s">
        <v>245</v>
      </c>
      <c r="C273" s="25" t="s">
        <v>939</v>
      </c>
      <c r="D273" s="235" t="s">
        <v>498</v>
      </c>
      <c r="E273" s="77">
        <v>102812</v>
      </c>
      <c r="F273" s="20"/>
      <c r="G273" s="17">
        <v>20382.099999999999</v>
      </c>
      <c r="H273" s="20"/>
      <c r="I273" s="20"/>
      <c r="J273" s="20"/>
      <c r="K273" s="20"/>
      <c r="L273" s="20"/>
      <c r="M273" s="17">
        <v>225.96</v>
      </c>
      <c r="N273" s="17">
        <v>363.47</v>
      </c>
      <c r="O273" s="20"/>
      <c r="P273" s="20"/>
      <c r="Q273" s="17">
        <v>0</v>
      </c>
      <c r="R273" s="17">
        <v>20971.53</v>
      </c>
      <c r="S273" s="142">
        <f t="shared" si="35"/>
        <v>20382.099999999999</v>
      </c>
      <c r="T273" s="142">
        <f t="shared" si="36"/>
        <v>0</v>
      </c>
      <c r="U273" s="142">
        <f t="shared" si="37"/>
        <v>363.47</v>
      </c>
      <c r="W273" s="601">
        <f t="shared" si="39"/>
        <v>20971.53</v>
      </c>
      <c r="X273" s="601">
        <f t="shared" si="40"/>
        <v>0</v>
      </c>
      <c r="Y273" s="123"/>
      <c r="Z273" s="692">
        <f t="shared" si="38"/>
        <v>20382.099999999999</v>
      </c>
      <c r="AA273" s="124"/>
      <c r="AB273" s="124"/>
      <c r="AC273" s="124"/>
      <c r="AD273" s="124"/>
      <c r="AE273" s="124"/>
      <c r="AF273" s="124"/>
      <c r="AG273" s="124"/>
      <c r="AH273" s="124"/>
      <c r="AI273" s="124"/>
      <c r="AJ273" s="124"/>
      <c r="AK273" s="124"/>
      <c r="AL273" s="124"/>
      <c r="AM273" s="124"/>
      <c r="AN273" s="124"/>
      <c r="AO273" s="124"/>
    </row>
    <row r="274" spans="1:41" customFormat="1" ht="12.75" hidden="1" thickBot="1">
      <c r="A274" s="25" t="s">
        <v>1212</v>
      </c>
      <c r="B274" s="25" t="s">
        <v>381</v>
      </c>
      <c r="C274" s="25" t="s">
        <v>940</v>
      </c>
      <c r="D274" s="235" t="s">
        <v>498</v>
      </c>
      <c r="E274" s="76">
        <v>17608</v>
      </c>
      <c r="F274" s="19"/>
      <c r="G274" s="18">
        <v>1267.8</v>
      </c>
      <c r="H274" s="19"/>
      <c r="I274" s="19"/>
      <c r="J274" s="19"/>
      <c r="K274" s="19"/>
      <c r="L274" s="19"/>
      <c r="M274" s="18">
        <v>38.49</v>
      </c>
      <c r="N274" s="18">
        <v>23.44</v>
      </c>
      <c r="O274" s="19"/>
      <c r="P274" s="19"/>
      <c r="Q274" s="18">
        <v>0</v>
      </c>
      <c r="R274" s="18">
        <v>1329.73</v>
      </c>
      <c r="S274" s="142">
        <f t="shared" si="35"/>
        <v>1267.8</v>
      </c>
      <c r="T274" s="142">
        <f t="shared" si="36"/>
        <v>0</v>
      </c>
      <c r="U274" s="142">
        <f t="shared" si="37"/>
        <v>23.44</v>
      </c>
      <c r="W274" s="601">
        <f t="shared" si="39"/>
        <v>1329.73</v>
      </c>
      <c r="X274" s="601">
        <f t="shared" si="40"/>
        <v>0</v>
      </c>
      <c r="Y274" s="123"/>
      <c r="Z274" s="692">
        <f t="shared" si="38"/>
        <v>1267.8</v>
      </c>
      <c r="AA274" s="124"/>
      <c r="AB274" s="124"/>
      <c r="AC274" s="124"/>
      <c r="AD274" s="124"/>
      <c r="AE274" s="124"/>
      <c r="AF274" s="124"/>
      <c r="AG274" s="124"/>
      <c r="AH274" s="124"/>
      <c r="AI274" s="124"/>
      <c r="AJ274" s="124"/>
      <c r="AK274" s="124"/>
      <c r="AL274" s="124"/>
      <c r="AM274" s="124"/>
      <c r="AN274" s="124"/>
      <c r="AO274" s="124"/>
    </row>
    <row r="275" spans="1:41" customFormat="1" ht="12.75" hidden="1" thickBot="1">
      <c r="A275" s="25" t="s">
        <v>1212</v>
      </c>
      <c r="B275" s="25" t="s">
        <v>246</v>
      </c>
      <c r="C275" s="25" t="s">
        <v>941</v>
      </c>
      <c r="D275" s="235" t="s">
        <v>498</v>
      </c>
      <c r="E275" s="76">
        <v>137884</v>
      </c>
      <c r="F275" s="19"/>
      <c r="G275" s="18">
        <v>10223.540000000001</v>
      </c>
      <c r="H275" s="19"/>
      <c r="I275" s="19"/>
      <c r="J275" s="19"/>
      <c r="K275" s="19"/>
      <c r="L275" s="19"/>
      <c r="M275" s="18">
        <v>300.60000000000002</v>
      </c>
      <c r="N275" s="18">
        <v>190.64</v>
      </c>
      <c r="O275" s="19"/>
      <c r="P275" s="19"/>
      <c r="Q275" s="18">
        <v>0</v>
      </c>
      <c r="R275" s="18">
        <v>10714.78</v>
      </c>
      <c r="S275" s="142">
        <f t="shared" si="35"/>
        <v>10223.540000000001</v>
      </c>
      <c r="T275" s="142">
        <f t="shared" si="36"/>
        <v>0</v>
      </c>
      <c r="U275" s="142">
        <f t="shared" si="37"/>
        <v>190.64</v>
      </c>
      <c r="W275" s="601">
        <f t="shared" si="39"/>
        <v>10714.78</v>
      </c>
      <c r="X275" s="601">
        <f t="shared" si="40"/>
        <v>0</v>
      </c>
      <c r="Y275" s="123"/>
      <c r="Z275" s="692">
        <f t="shared" si="38"/>
        <v>10223.540000000001</v>
      </c>
      <c r="AA275" s="124"/>
      <c r="AB275" s="124"/>
      <c r="AC275" s="124"/>
      <c r="AD275" s="124"/>
      <c r="AE275" s="124"/>
      <c r="AF275" s="124"/>
      <c r="AG275" s="124"/>
      <c r="AH275" s="124"/>
      <c r="AI275" s="124"/>
      <c r="AJ275" s="124"/>
      <c r="AK275" s="124"/>
      <c r="AL275" s="124"/>
      <c r="AM275" s="124"/>
      <c r="AN275" s="124"/>
      <c r="AO275" s="124"/>
    </row>
    <row r="276" spans="1:41" customFormat="1" ht="12.75" hidden="1" thickBot="1">
      <c r="A276" s="25" t="s">
        <v>1212</v>
      </c>
      <c r="B276" s="25" t="s">
        <v>252</v>
      </c>
      <c r="C276" s="25" t="s">
        <v>942</v>
      </c>
      <c r="D276" s="235" t="s">
        <v>498</v>
      </c>
      <c r="E276" s="77">
        <v>290278</v>
      </c>
      <c r="F276" s="20"/>
      <c r="G276" s="17">
        <v>39521.300000000003</v>
      </c>
      <c r="H276" s="20"/>
      <c r="I276" s="20"/>
      <c r="J276" s="20"/>
      <c r="K276" s="20"/>
      <c r="L276" s="20"/>
      <c r="M276" s="17">
        <v>618.83000000000004</v>
      </c>
      <c r="N276" s="17">
        <v>774.28</v>
      </c>
      <c r="O276" s="20"/>
      <c r="P276" s="20"/>
      <c r="Q276" s="17">
        <v>0</v>
      </c>
      <c r="R276" s="17">
        <v>40914.410000000003</v>
      </c>
      <c r="S276" s="142">
        <f t="shared" si="35"/>
        <v>39521.300000000003</v>
      </c>
      <c r="T276" s="142">
        <f t="shared" si="36"/>
        <v>0</v>
      </c>
      <c r="U276" s="142">
        <f t="shared" si="37"/>
        <v>774.28</v>
      </c>
      <c r="W276" s="601">
        <f t="shared" si="39"/>
        <v>40914.410000000003</v>
      </c>
      <c r="X276" s="601">
        <f t="shared" si="40"/>
        <v>0</v>
      </c>
      <c r="Y276" s="123"/>
      <c r="Z276" s="692">
        <f t="shared" si="38"/>
        <v>39521.300000000003</v>
      </c>
      <c r="AA276" s="124"/>
      <c r="AB276" s="124"/>
      <c r="AC276" s="124"/>
      <c r="AD276" s="124"/>
      <c r="AE276" s="124"/>
      <c r="AF276" s="124"/>
      <c r="AG276" s="124"/>
      <c r="AH276" s="124"/>
      <c r="AI276" s="124"/>
      <c r="AJ276" s="124"/>
      <c r="AK276" s="124"/>
      <c r="AL276" s="124"/>
      <c r="AM276" s="124"/>
      <c r="AN276" s="124"/>
      <c r="AO276" s="124"/>
    </row>
    <row r="277" spans="1:41" customFormat="1" ht="12.75" hidden="1" thickBot="1">
      <c r="A277" s="25" t="s">
        <v>1212</v>
      </c>
      <c r="B277" s="25" t="s">
        <v>263</v>
      </c>
      <c r="C277" s="25" t="s">
        <v>943</v>
      </c>
      <c r="D277" s="235" t="s">
        <v>498</v>
      </c>
      <c r="E277" s="76">
        <v>211470</v>
      </c>
      <c r="F277" s="19"/>
      <c r="G277" s="18">
        <v>55226.8</v>
      </c>
      <c r="H277" s="19"/>
      <c r="I277" s="19"/>
      <c r="J277" s="19"/>
      <c r="K277" s="19"/>
      <c r="L277" s="19"/>
      <c r="M277" s="18">
        <v>457.79</v>
      </c>
      <c r="N277" s="18">
        <v>1029</v>
      </c>
      <c r="O277" s="19"/>
      <c r="P277" s="19"/>
      <c r="Q277" s="18">
        <v>0</v>
      </c>
      <c r="R277" s="18">
        <v>56713.59</v>
      </c>
      <c r="S277" s="142">
        <f t="shared" si="35"/>
        <v>55226.8</v>
      </c>
      <c r="T277" s="142">
        <f t="shared" si="36"/>
        <v>0</v>
      </c>
      <c r="U277" s="142">
        <f t="shared" si="37"/>
        <v>1029</v>
      </c>
      <c r="W277" s="601">
        <f t="shared" si="39"/>
        <v>56713.590000000004</v>
      </c>
      <c r="X277" s="601">
        <f t="shared" si="40"/>
        <v>0</v>
      </c>
      <c r="Y277" s="123"/>
      <c r="Z277" s="692">
        <f t="shared" si="38"/>
        <v>55226.8</v>
      </c>
      <c r="AA277" s="124"/>
      <c r="AB277" s="124"/>
      <c r="AC277" s="124"/>
      <c r="AD277" s="124"/>
      <c r="AE277" s="124"/>
      <c r="AF277" s="124"/>
      <c r="AG277" s="124"/>
      <c r="AH277" s="124"/>
      <c r="AI277" s="124"/>
      <c r="AJ277" s="124"/>
      <c r="AK277" s="124"/>
      <c r="AL277" s="124"/>
      <c r="AM277" s="124"/>
      <c r="AN277" s="124"/>
      <c r="AO277" s="124"/>
    </row>
    <row r="278" spans="1:41" customFormat="1" ht="12.75" hidden="1" thickBot="1">
      <c r="A278" s="25" t="s">
        <v>1212</v>
      </c>
      <c r="B278" s="25" t="s">
        <v>264</v>
      </c>
      <c r="C278" s="25" t="s">
        <v>944</v>
      </c>
      <c r="D278" s="235" t="s">
        <v>498</v>
      </c>
      <c r="E278" s="77">
        <v>383736</v>
      </c>
      <c r="F278" s="20"/>
      <c r="G278" s="17">
        <v>69901.63</v>
      </c>
      <c r="H278" s="20"/>
      <c r="I278" s="20"/>
      <c r="J278" s="20"/>
      <c r="K278" s="20"/>
      <c r="L278" s="20"/>
      <c r="M278" s="17">
        <v>838.94</v>
      </c>
      <c r="N278" s="17">
        <v>1271.44</v>
      </c>
      <c r="O278" s="20"/>
      <c r="P278" s="20"/>
      <c r="Q278" s="17">
        <v>0</v>
      </c>
      <c r="R278" s="17">
        <v>72012.009999999995</v>
      </c>
      <c r="S278" s="142">
        <f t="shared" si="35"/>
        <v>69901.63</v>
      </c>
      <c r="T278" s="142">
        <f t="shared" si="36"/>
        <v>0</v>
      </c>
      <c r="U278" s="142">
        <f t="shared" si="37"/>
        <v>1271.44</v>
      </c>
      <c r="W278" s="601">
        <f t="shared" si="39"/>
        <v>72012.010000000009</v>
      </c>
      <c r="X278" s="601">
        <f t="shared" si="40"/>
        <v>0</v>
      </c>
      <c r="Y278" s="123"/>
      <c r="Z278" s="692">
        <f t="shared" si="38"/>
        <v>69901.63</v>
      </c>
      <c r="AA278" s="124"/>
      <c r="AB278" s="124"/>
      <c r="AC278" s="124"/>
      <c r="AD278" s="124"/>
      <c r="AE278" s="124"/>
      <c r="AF278" s="124"/>
      <c r="AG278" s="124"/>
      <c r="AH278" s="124"/>
      <c r="AI278" s="124"/>
      <c r="AJ278" s="124"/>
      <c r="AK278" s="124"/>
      <c r="AL278" s="124"/>
      <c r="AM278" s="124"/>
      <c r="AN278" s="124"/>
      <c r="AO278" s="124"/>
    </row>
    <row r="279" spans="1:41" customFormat="1" ht="12.75" hidden="1" thickBot="1">
      <c r="A279" s="25" t="s">
        <v>1212</v>
      </c>
      <c r="B279" s="25" t="s">
        <v>267</v>
      </c>
      <c r="C279" s="25" t="s">
        <v>945</v>
      </c>
      <c r="D279" s="235" t="s">
        <v>498</v>
      </c>
      <c r="E279" s="76">
        <v>866385</v>
      </c>
      <c r="F279" s="19"/>
      <c r="G279" s="18">
        <v>293834.8</v>
      </c>
      <c r="H279" s="19"/>
      <c r="I279" s="19"/>
      <c r="J279" s="19"/>
      <c r="K279" s="19"/>
      <c r="L279" s="19"/>
      <c r="M279" s="18">
        <v>1895.11</v>
      </c>
      <c r="N279" s="18">
        <v>5302.82</v>
      </c>
      <c r="O279" s="19"/>
      <c r="P279" s="19"/>
      <c r="Q279" s="18">
        <v>0</v>
      </c>
      <c r="R279" s="18">
        <v>301032.73</v>
      </c>
      <c r="S279" s="142">
        <f t="shared" si="35"/>
        <v>293834.8</v>
      </c>
      <c r="T279" s="142">
        <f t="shared" si="36"/>
        <v>0</v>
      </c>
      <c r="U279" s="142">
        <f t="shared" si="37"/>
        <v>5302.82</v>
      </c>
      <c r="W279" s="601">
        <f t="shared" si="39"/>
        <v>301032.73</v>
      </c>
      <c r="X279" s="601">
        <f t="shared" si="40"/>
        <v>0</v>
      </c>
      <c r="Y279" s="123"/>
      <c r="Z279" s="692">
        <f t="shared" si="38"/>
        <v>293834.8</v>
      </c>
      <c r="AA279" s="124"/>
      <c r="AB279" s="124"/>
      <c r="AC279" s="124"/>
      <c r="AD279" s="124"/>
      <c r="AE279" s="124"/>
      <c r="AF279" s="124"/>
      <c r="AG279" s="124"/>
      <c r="AH279" s="124"/>
      <c r="AI279" s="124"/>
      <c r="AJ279" s="124"/>
      <c r="AK279" s="124"/>
      <c r="AL279" s="124"/>
      <c r="AM279" s="124"/>
      <c r="AN279" s="124"/>
      <c r="AO279" s="124"/>
    </row>
    <row r="280" spans="1:41" customFormat="1" ht="12.75" hidden="1" thickBot="1">
      <c r="A280" s="25" t="s">
        <v>1212</v>
      </c>
      <c r="B280" s="25" t="s">
        <v>392</v>
      </c>
      <c r="C280" s="25" t="s">
        <v>946</v>
      </c>
      <c r="D280" s="235" t="s">
        <v>498</v>
      </c>
      <c r="E280" s="77">
        <v>37354</v>
      </c>
      <c r="F280" s="20"/>
      <c r="G280" s="17">
        <v>12808.39</v>
      </c>
      <c r="H280" s="20"/>
      <c r="I280" s="20"/>
      <c r="J280" s="20"/>
      <c r="K280" s="20"/>
      <c r="L280" s="20"/>
      <c r="M280" s="17">
        <v>78.44</v>
      </c>
      <c r="N280" s="17">
        <v>258.95999999999998</v>
      </c>
      <c r="O280" s="20"/>
      <c r="P280" s="20"/>
      <c r="Q280" s="17">
        <v>0</v>
      </c>
      <c r="R280" s="17">
        <v>13145.79</v>
      </c>
      <c r="S280" s="142">
        <f t="shared" si="35"/>
        <v>12808.39</v>
      </c>
      <c r="T280" s="142">
        <f t="shared" si="36"/>
        <v>0</v>
      </c>
      <c r="U280" s="142">
        <f t="shared" si="37"/>
        <v>258.95999999999998</v>
      </c>
      <c r="W280" s="601">
        <f t="shared" si="39"/>
        <v>13145.789999999999</v>
      </c>
      <c r="X280" s="601">
        <f t="shared" si="40"/>
        <v>0</v>
      </c>
      <c r="Y280" s="123"/>
      <c r="Z280" s="692">
        <f t="shared" si="38"/>
        <v>12808.39</v>
      </c>
      <c r="AA280" s="124"/>
      <c r="AB280" s="124"/>
      <c r="AC280" s="124"/>
      <c r="AD280" s="124"/>
      <c r="AE280" s="124"/>
      <c r="AF280" s="124"/>
      <c r="AG280" s="124"/>
      <c r="AH280" s="124"/>
      <c r="AI280" s="124"/>
      <c r="AJ280" s="124"/>
      <c r="AK280" s="124"/>
      <c r="AL280" s="124"/>
      <c r="AM280" s="124"/>
      <c r="AN280" s="124"/>
      <c r="AO280" s="124"/>
    </row>
    <row r="281" spans="1:41" customFormat="1" ht="12.75" hidden="1" thickBot="1">
      <c r="A281" s="25" t="s">
        <v>1212</v>
      </c>
      <c r="B281" s="25" t="s">
        <v>268</v>
      </c>
      <c r="C281" s="25" t="s">
        <v>947</v>
      </c>
      <c r="D281" s="235" t="s">
        <v>498</v>
      </c>
      <c r="E281" s="76">
        <v>52100</v>
      </c>
      <c r="F281" s="19"/>
      <c r="G281" s="18">
        <v>19240.5</v>
      </c>
      <c r="H281" s="19"/>
      <c r="I281" s="19"/>
      <c r="J281" s="19"/>
      <c r="K281" s="19"/>
      <c r="L281" s="19"/>
      <c r="M281" s="18">
        <v>114.18</v>
      </c>
      <c r="N281" s="18">
        <v>345.06</v>
      </c>
      <c r="O281" s="19"/>
      <c r="P281" s="19"/>
      <c r="Q281" s="18">
        <v>0</v>
      </c>
      <c r="R281" s="18">
        <v>19699.740000000002</v>
      </c>
      <c r="S281" s="142">
        <f t="shared" si="35"/>
        <v>19240.5</v>
      </c>
      <c r="T281" s="142">
        <f t="shared" si="36"/>
        <v>0</v>
      </c>
      <c r="U281" s="142">
        <f t="shared" si="37"/>
        <v>345.06</v>
      </c>
      <c r="W281" s="601">
        <f t="shared" si="39"/>
        <v>19699.740000000002</v>
      </c>
      <c r="X281" s="601">
        <f t="shared" si="40"/>
        <v>0</v>
      </c>
      <c r="Y281" s="123"/>
      <c r="Z281" s="692">
        <f t="shared" si="38"/>
        <v>19240.5</v>
      </c>
      <c r="AA281" s="124"/>
      <c r="AB281" s="124"/>
      <c r="AC281" s="124"/>
      <c r="AD281" s="124"/>
      <c r="AE281" s="124"/>
      <c r="AF281" s="124"/>
      <c r="AG281" s="124"/>
      <c r="AH281" s="124"/>
      <c r="AI281" s="124"/>
      <c r="AJ281" s="124"/>
      <c r="AK281" s="124"/>
      <c r="AL281" s="124"/>
      <c r="AM281" s="124"/>
      <c r="AN281" s="124"/>
      <c r="AO281" s="124"/>
    </row>
    <row r="282" spans="1:41" customFormat="1" ht="12.75" hidden="1" thickBot="1">
      <c r="A282" s="25" t="s">
        <v>1212</v>
      </c>
      <c r="B282" s="25" t="s">
        <v>269</v>
      </c>
      <c r="C282" s="25" t="s">
        <v>948</v>
      </c>
      <c r="D282" s="235" t="s">
        <v>498</v>
      </c>
      <c r="E282" s="77">
        <v>161592</v>
      </c>
      <c r="F282" s="20"/>
      <c r="G282" s="17">
        <v>51336.37</v>
      </c>
      <c r="H282" s="20"/>
      <c r="I282" s="20"/>
      <c r="J282" s="20"/>
      <c r="K282" s="20"/>
      <c r="L282" s="20"/>
      <c r="M282" s="17">
        <v>354.87</v>
      </c>
      <c r="N282" s="17">
        <v>916.69</v>
      </c>
      <c r="O282" s="20"/>
      <c r="P282" s="20"/>
      <c r="Q282" s="17">
        <v>0</v>
      </c>
      <c r="R282" s="17">
        <v>52607.93</v>
      </c>
      <c r="S282" s="142">
        <f t="shared" si="35"/>
        <v>51336.37</v>
      </c>
      <c r="T282" s="142">
        <f t="shared" si="36"/>
        <v>0</v>
      </c>
      <c r="U282" s="142">
        <f t="shared" si="37"/>
        <v>916.69</v>
      </c>
      <c r="W282" s="601">
        <f t="shared" si="39"/>
        <v>52607.930000000008</v>
      </c>
      <c r="X282" s="601">
        <f t="shared" si="40"/>
        <v>0</v>
      </c>
      <c r="Y282" s="123"/>
      <c r="Z282" s="692">
        <f t="shared" si="38"/>
        <v>51336.37</v>
      </c>
      <c r="AA282" s="124"/>
      <c r="AB282" s="124"/>
      <c r="AC282" s="124"/>
      <c r="AD282" s="124"/>
      <c r="AE282" s="124"/>
      <c r="AF282" s="124"/>
      <c r="AG282" s="124"/>
      <c r="AH282" s="124"/>
      <c r="AI282" s="124"/>
      <c r="AJ282" s="124"/>
      <c r="AK282" s="124"/>
      <c r="AL282" s="124"/>
      <c r="AM282" s="124"/>
      <c r="AN282" s="124"/>
      <c r="AO282" s="124"/>
    </row>
    <row r="283" spans="1:41" customFormat="1" ht="12.75" hidden="1" thickBot="1">
      <c r="A283" s="25" t="s">
        <v>1212</v>
      </c>
      <c r="B283" s="25" t="s">
        <v>393</v>
      </c>
      <c r="C283" s="25" t="s">
        <v>949</v>
      </c>
      <c r="D283" s="235" t="s">
        <v>498</v>
      </c>
      <c r="E283" s="76">
        <v>6812</v>
      </c>
      <c r="F283" s="19"/>
      <c r="G283" s="18">
        <v>1233.3499999999999</v>
      </c>
      <c r="H283" s="19"/>
      <c r="I283" s="19"/>
      <c r="J283" s="19"/>
      <c r="K283" s="19"/>
      <c r="L283" s="19"/>
      <c r="M283" s="18">
        <v>14.98</v>
      </c>
      <c r="N283" s="18">
        <v>21.98</v>
      </c>
      <c r="O283" s="19"/>
      <c r="P283" s="19"/>
      <c r="Q283" s="18">
        <v>0</v>
      </c>
      <c r="R283" s="18">
        <v>1270.31</v>
      </c>
      <c r="S283" s="142">
        <f t="shared" si="35"/>
        <v>1233.3499999999999</v>
      </c>
      <c r="T283" s="142">
        <f t="shared" si="36"/>
        <v>0</v>
      </c>
      <c r="U283" s="142">
        <f t="shared" si="37"/>
        <v>21.98</v>
      </c>
      <c r="W283" s="601">
        <f t="shared" si="39"/>
        <v>1270.31</v>
      </c>
      <c r="X283" s="601">
        <f t="shared" si="40"/>
        <v>0</v>
      </c>
      <c r="Y283" s="123"/>
      <c r="Z283" s="692">
        <f t="shared" si="38"/>
        <v>1233.3499999999999</v>
      </c>
      <c r="AA283" s="124"/>
      <c r="AB283" s="124"/>
      <c r="AC283" s="124"/>
      <c r="AD283" s="124"/>
      <c r="AE283" s="124"/>
      <c r="AF283" s="124"/>
      <c r="AG283" s="124"/>
      <c r="AH283" s="124"/>
      <c r="AI283" s="124"/>
      <c r="AJ283" s="124"/>
      <c r="AK283" s="124"/>
      <c r="AL283" s="124"/>
      <c r="AM283" s="124"/>
      <c r="AN283" s="124"/>
      <c r="AO283" s="124"/>
    </row>
    <row r="284" spans="1:41" customFormat="1" ht="12.75" hidden="1" thickBot="1">
      <c r="A284" s="25" t="s">
        <v>1212</v>
      </c>
      <c r="B284" s="25" t="s">
        <v>394</v>
      </c>
      <c r="C284" s="25" t="s">
        <v>950</v>
      </c>
      <c r="D284" s="235" t="s">
        <v>498</v>
      </c>
      <c r="E284" s="77">
        <v>4437</v>
      </c>
      <c r="F284" s="20"/>
      <c r="G284" s="17">
        <v>455.73</v>
      </c>
      <c r="H284" s="20"/>
      <c r="I284" s="20"/>
      <c r="J284" s="20"/>
      <c r="K284" s="20"/>
      <c r="L284" s="20"/>
      <c r="M284" s="17">
        <v>9.76</v>
      </c>
      <c r="N284" s="17">
        <v>8.19</v>
      </c>
      <c r="O284" s="20"/>
      <c r="P284" s="20"/>
      <c r="Q284" s="17">
        <v>0</v>
      </c>
      <c r="R284" s="17">
        <v>473.68</v>
      </c>
      <c r="S284" s="142">
        <f t="shared" si="35"/>
        <v>455.73</v>
      </c>
      <c r="T284" s="142">
        <f t="shared" si="36"/>
        <v>0</v>
      </c>
      <c r="U284" s="142">
        <f t="shared" si="37"/>
        <v>8.19</v>
      </c>
      <c r="W284" s="601">
        <f t="shared" si="39"/>
        <v>473.68</v>
      </c>
      <c r="X284" s="601">
        <f t="shared" si="40"/>
        <v>0</v>
      </c>
      <c r="Y284" s="123"/>
      <c r="Z284" s="692">
        <f t="shared" si="38"/>
        <v>455.73</v>
      </c>
      <c r="AA284" s="124"/>
      <c r="AB284" s="124"/>
      <c r="AC284" s="124"/>
      <c r="AD284" s="124"/>
      <c r="AE284" s="124"/>
      <c r="AF284" s="124"/>
      <c r="AG284" s="124"/>
      <c r="AH284" s="124"/>
      <c r="AI284" s="124"/>
      <c r="AJ284" s="124"/>
      <c r="AK284" s="124"/>
      <c r="AL284" s="124"/>
      <c r="AM284" s="124"/>
      <c r="AN284" s="124"/>
      <c r="AO284" s="124"/>
    </row>
    <row r="285" spans="1:41" customFormat="1" ht="12.75" hidden="1" thickBot="1">
      <c r="A285" s="25" t="s">
        <v>1212</v>
      </c>
      <c r="B285" s="25" t="s">
        <v>398</v>
      </c>
      <c r="C285" s="25" t="s">
        <v>951</v>
      </c>
      <c r="D285" s="235" t="s">
        <v>498</v>
      </c>
      <c r="E285" s="76">
        <v>1832</v>
      </c>
      <c r="F285" s="19"/>
      <c r="G285" s="18">
        <v>1626.54</v>
      </c>
      <c r="H285" s="19"/>
      <c r="I285" s="19"/>
      <c r="J285" s="19"/>
      <c r="K285" s="19"/>
      <c r="L285" s="19"/>
      <c r="M285" s="18">
        <v>4.03</v>
      </c>
      <c r="N285" s="18">
        <v>28.71</v>
      </c>
      <c r="O285" s="19"/>
      <c r="P285" s="19"/>
      <c r="Q285" s="18">
        <v>0</v>
      </c>
      <c r="R285" s="18">
        <v>1659.28</v>
      </c>
      <c r="S285" s="142">
        <f t="shared" si="35"/>
        <v>1626.54</v>
      </c>
      <c r="T285" s="142">
        <f t="shared" si="36"/>
        <v>0</v>
      </c>
      <c r="U285" s="142">
        <f t="shared" si="37"/>
        <v>28.71</v>
      </c>
      <c r="W285" s="601">
        <f t="shared" si="39"/>
        <v>1659.28</v>
      </c>
      <c r="X285" s="601">
        <f t="shared" si="40"/>
        <v>0</v>
      </c>
      <c r="Y285" s="123"/>
      <c r="Z285" s="692">
        <f t="shared" si="38"/>
        <v>1626.54</v>
      </c>
      <c r="AA285" s="124"/>
      <c r="AB285" s="124"/>
      <c r="AC285" s="124"/>
      <c r="AD285" s="124"/>
      <c r="AE285" s="124"/>
      <c r="AF285" s="124"/>
      <c r="AG285" s="124"/>
      <c r="AH285" s="124"/>
      <c r="AI285" s="124"/>
      <c r="AJ285" s="124"/>
      <c r="AK285" s="124"/>
      <c r="AL285" s="124"/>
      <c r="AM285" s="124"/>
      <c r="AN285" s="124"/>
      <c r="AO285" s="124"/>
    </row>
    <row r="286" spans="1:41" customFormat="1" ht="12.75" hidden="1" thickBot="1">
      <c r="A286" s="25" t="s">
        <v>1212</v>
      </c>
      <c r="B286" s="25" t="s">
        <v>395</v>
      </c>
      <c r="C286" s="25" t="s">
        <v>952</v>
      </c>
      <c r="D286" s="235" t="s">
        <v>498</v>
      </c>
      <c r="E286" s="77">
        <v>12493</v>
      </c>
      <c r="F286" s="20"/>
      <c r="G286" s="17">
        <v>8831.83</v>
      </c>
      <c r="H286" s="20"/>
      <c r="I286" s="20"/>
      <c r="J286" s="20"/>
      <c r="K286" s="20"/>
      <c r="L286" s="20"/>
      <c r="M286" s="17">
        <v>27.49</v>
      </c>
      <c r="N286" s="17">
        <v>155.93</v>
      </c>
      <c r="O286" s="20"/>
      <c r="P286" s="20"/>
      <c r="Q286" s="17">
        <v>0</v>
      </c>
      <c r="R286" s="17">
        <v>9015.25</v>
      </c>
      <c r="S286" s="142">
        <f t="shared" si="35"/>
        <v>8831.83</v>
      </c>
      <c r="T286" s="142">
        <f t="shared" si="36"/>
        <v>0</v>
      </c>
      <c r="U286" s="142">
        <f t="shared" si="37"/>
        <v>155.93</v>
      </c>
      <c r="W286" s="601">
        <f t="shared" si="39"/>
        <v>9015.25</v>
      </c>
      <c r="X286" s="601">
        <f t="shared" si="40"/>
        <v>0</v>
      </c>
      <c r="Y286" s="123"/>
      <c r="Z286" s="692">
        <f t="shared" si="38"/>
        <v>8831.83</v>
      </c>
      <c r="AA286" s="124"/>
      <c r="AB286" s="124"/>
      <c r="AC286" s="124"/>
      <c r="AD286" s="124"/>
      <c r="AE286" s="124"/>
      <c r="AF286" s="124"/>
      <c r="AG286" s="124"/>
      <c r="AH286" s="124"/>
      <c r="AI286" s="124"/>
      <c r="AJ286" s="124"/>
      <c r="AK286" s="124"/>
      <c r="AL286" s="124"/>
      <c r="AM286" s="124"/>
      <c r="AN286" s="124"/>
      <c r="AO286" s="124"/>
    </row>
    <row r="287" spans="1:41" customFormat="1" ht="12.75" hidden="1" thickBot="1">
      <c r="A287" s="25" t="s">
        <v>1212</v>
      </c>
      <c r="B287" s="25" t="s">
        <v>396</v>
      </c>
      <c r="C287" s="25" t="s">
        <v>953</v>
      </c>
      <c r="D287" s="235" t="s">
        <v>498</v>
      </c>
      <c r="E287" s="76">
        <v>4157</v>
      </c>
      <c r="F287" s="19"/>
      <c r="G287" s="18">
        <v>3059.79</v>
      </c>
      <c r="H287" s="19"/>
      <c r="I287" s="19"/>
      <c r="J287" s="19"/>
      <c r="K287" s="19"/>
      <c r="L287" s="19"/>
      <c r="M287" s="18">
        <v>9.14</v>
      </c>
      <c r="N287" s="18">
        <v>54.01</v>
      </c>
      <c r="O287" s="19"/>
      <c r="P287" s="19"/>
      <c r="Q287" s="18">
        <v>0</v>
      </c>
      <c r="R287" s="18">
        <v>3122.94</v>
      </c>
      <c r="S287" s="142">
        <f t="shared" si="35"/>
        <v>3059.79</v>
      </c>
      <c r="T287" s="142">
        <f t="shared" si="36"/>
        <v>0</v>
      </c>
      <c r="U287" s="142">
        <f t="shared" si="37"/>
        <v>54.01</v>
      </c>
      <c r="W287" s="601">
        <f t="shared" si="39"/>
        <v>3122.94</v>
      </c>
      <c r="X287" s="601">
        <f t="shared" si="40"/>
        <v>0</v>
      </c>
      <c r="Y287" s="123"/>
      <c r="Z287" s="692">
        <f t="shared" si="38"/>
        <v>3059.79</v>
      </c>
      <c r="AA287" s="124"/>
      <c r="AB287" s="124"/>
      <c r="AC287" s="124"/>
      <c r="AD287" s="124"/>
      <c r="AE287" s="124"/>
      <c r="AF287" s="124"/>
      <c r="AG287" s="124"/>
      <c r="AH287" s="124"/>
      <c r="AI287" s="124"/>
      <c r="AJ287" s="124"/>
      <c r="AK287" s="124"/>
      <c r="AL287" s="124"/>
      <c r="AM287" s="124"/>
      <c r="AN287" s="124"/>
      <c r="AO287" s="124"/>
    </row>
    <row r="288" spans="1:41" customFormat="1" ht="12.75" hidden="1" thickBot="1">
      <c r="A288" s="25" t="s">
        <v>1212</v>
      </c>
      <c r="B288" s="25" t="s">
        <v>397</v>
      </c>
      <c r="C288" s="25" t="s">
        <v>954</v>
      </c>
      <c r="D288" s="235" t="s">
        <v>498</v>
      </c>
      <c r="E288" s="77">
        <v>3960</v>
      </c>
      <c r="F288" s="20"/>
      <c r="G288" s="17">
        <v>2995.01</v>
      </c>
      <c r="H288" s="20"/>
      <c r="I288" s="20"/>
      <c r="J288" s="20"/>
      <c r="K288" s="20"/>
      <c r="L288" s="20"/>
      <c r="M288" s="17">
        <v>8.7200000000000006</v>
      </c>
      <c r="N288" s="17">
        <v>52.88</v>
      </c>
      <c r="O288" s="20"/>
      <c r="P288" s="20"/>
      <c r="Q288" s="17">
        <v>0</v>
      </c>
      <c r="R288" s="17">
        <v>3056.61</v>
      </c>
      <c r="S288" s="142">
        <f t="shared" si="35"/>
        <v>2995.01</v>
      </c>
      <c r="T288" s="142">
        <f t="shared" si="36"/>
        <v>0</v>
      </c>
      <c r="U288" s="142">
        <f t="shared" si="37"/>
        <v>52.88</v>
      </c>
      <c r="W288" s="601">
        <f t="shared" si="39"/>
        <v>3056.61</v>
      </c>
      <c r="X288" s="601">
        <f t="shared" si="40"/>
        <v>0</v>
      </c>
      <c r="Y288" s="123"/>
      <c r="Z288" s="692">
        <f t="shared" si="38"/>
        <v>2995.01</v>
      </c>
      <c r="AA288" s="124"/>
      <c r="AB288" s="124"/>
      <c r="AC288" s="124"/>
      <c r="AD288" s="124"/>
      <c r="AE288" s="124"/>
      <c r="AF288" s="124"/>
      <c r="AG288" s="124"/>
      <c r="AH288" s="124"/>
      <c r="AI288" s="124"/>
      <c r="AJ288" s="124"/>
      <c r="AK288" s="124"/>
      <c r="AL288" s="124"/>
      <c r="AM288" s="124"/>
      <c r="AN288" s="124"/>
      <c r="AO288" s="124"/>
    </row>
    <row r="289" spans="1:41" customFormat="1" ht="12.75" hidden="1" thickBot="1">
      <c r="A289" s="25" t="s">
        <v>1212</v>
      </c>
      <c r="B289" s="25" t="s">
        <v>287</v>
      </c>
      <c r="C289" s="25" t="s">
        <v>955</v>
      </c>
      <c r="D289" s="235" t="s">
        <v>498</v>
      </c>
      <c r="E289" s="76">
        <v>48433</v>
      </c>
      <c r="F289" s="19"/>
      <c r="G289" s="18">
        <v>9427.8700000000008</v>
      </c>
      <c r="H289" s="19"/>
      <c r="I289" s="19"/>
      <c r="J289" s="19"/>
      <c r="K289" s="19"/>
      <c r="L289" s="19"/>
      <c r="M289" s="18">
        <v>105.21</v>
      </c>
      <c r="N289" s="18">
        <v>174.08</v>
      </c>
      <c r="O289" s="19"/>
      <c r="P289" s="19"/>
      <c r="Q289" s="18">
        <v>0</v>
      </c>
      <c r="R289" s="18">
        <v>9707.16</v>
      </c>
      <c r="S289" s="142">
        <f t="shared" si="35"/>
        <v>9427.8700000000008</v>
      </c>
      <c r="T289" s="142">
        <f t="shared" si="36"/>
        <v>0</v>
      </c>
      <c r="U289" s="142">
        <f t="shared" si="37"/>
        <v>174.08</v>
      </c>
      <c r="W289" s="601">
        <f t="shared" si="39"/>
        <v>9707.16</v>
      </c>
      <c r="X289" s="601">
        <f t="shared" si="40"/>
        <v>0</v>
      </c>
      <c r="Y289" s="123"/>
      <c r="Z289" s="692">
        <f t="shared" si="38"/>
        <v>9427.8700000000008</v>
      </c>
      <c r="AA289" s="124"/>
      <c r="AB289" s="124"/>
      <c r="AC289" s="124"/>
      <c r="AD289" s="124"/>
      <c r="AE289" s="124"/>
      <c r="AF289" s="124"/>
      <c r="AG289" s="124"/>
      <c r="AH289" s="124"/>
      <c r="AI289" s="124"/>
      <c r="AJ289" s="124"/>
      <c r="AK289" s="124"/>
      <c r="AL289" s="124"/>
      <c r="AM289" s="124"/>
      <c r="AN289" s="124"/>
      <c r="AO289" s="124"/>
    </row>
    <row r="290" spans="1:41" customFormat="1" ht="12.75" hidden="1" thickBot="1">
      <c r="A290" s="25" t="s">
        <v>1212</v>
      </c>
      <c r="B290" s="25" t="s">
        <v>288</v>
      </c>
      <c r="C290" s="25" t="s">
        <v>956</v>
      </c>
      <c r="D290" s="235" t="s">
        <v>498</v>
      </c>
      <c r="E290" s="77">
        <v>78689</v>
      </c>
      <c r="F290" s="20"/>
      <c r="G290" s="17">
        <v>11990.19</v>
      </c>
      <c r="H290" s="20"/>
      <c r="I290" s="20"/>
      <c r="J290" s="20"/>
      <c r="K290" s="20"/>
      <c r="L290" s="20"/>
      <c r="M290" s="17">
        <v>173</v>
      </c>
      <c r="N290" s="17">
        <v>214.44</v>
      </c>
      <c r="O290" s="20"/>
      <c r="P290" s="20"/>
      <c r="Q290" s="17">
        <v>0</v>
      </c>
      <c r="R290" s="17">
        <v>12377.63</v>
      </c>
      <c r="S290" s="142">
        <f t="shared" si="35"/>
        <v>11990.19</v>
      </c>
      <c r="T290" s="142">
        <f t="shared" si="36"/>
        <v>0</v>
      </c>
      <c r="U290" s="142">
        <f t="shared" si="37"/>
        <v>214.44</v>
      </c>
      <c r="W290" s="601">
        <f t="shared" si="39"/>
        <v>12377.630000000001</v>
      </c>
      <c r="X290" s="601">
        <f t="shared" si="40"/>
        <v>0</v>
      </c>
      <c r="Y290" s="123"/>
      <c r="Z290" s="692">
        <f t="shared" si="38"/>
        <v>11990.19</v>
      </c>
      <c r="AA290" s="124"/>
      <c r="AB290" s="124"/>
      <c r="AC290" s="124"/>
      <c r="AD290" s="124"/>
      <c r="AE290" s="124"/>
      <c r="AF290" s="124"/>
      <c r="AG290" s="124"/>
      <c r="AH290" s="124"/>
      <c r="AI290" s="124"/>
      <c r="AJ290" s="124"/>
      <c r="AK290" s="124"/>
      <c r="AL290" s="124"/>
      <c r="AM290" s="124"/>
      <c r="AN290" s="124"/>
      <c r="AO290" s="124"/>
    </row>
    <row r="291" spans="1:41" customFormat="1" ht="12.75" hidden="1" thickBot="1">
      <c r="A291" s="25" t="s">
        <v>1212</v>
      </c>
      <c r="B291" s="25" t="s">
        <v>291</v>
      </c>
      <c r="C291" s="25" t="s">
        <v>957</v>
      </c>
      <c r="D291" s="235" t="s">
        <v>498</v>
      </c>
      <c r="E291" s="76">
        <v>3693</v>
      </c>
      <c r="F291" s="19"/>
      <c r="G291" s="18">
        <v>940.68</v>
      </c>
      <c r="H291" s="19"/>
      <c r="I291" s="19"/>
      <c r="J291" s="19"/>
      <c r="K291" s="19"/>
      <c r="L291" s="19"/>
      <c r="M291" s="18">
        <v>8.1300000000000008</v>
      </c>
      <c r="N291" s="18">
        <v>16.7</v>
      </c>
      <c r="O291" s="19"/>
      <c r="P291" s="19"/>
      <c r="Q291" s="18">
        <v>0</v>
      </c>
      <c r="R291" s="18">
        <v>965.51</v>
      </c>
      <c r="S291" s="142">
        <f t="shared" si="35"/>
        <v>940.68</v>
      </c>
      <c r="T291" s="142">
        <f t="shared" si="36"/>
        <v>0</v>
      </c>
      <c r="U291" s="142">
        <f t="shared" si="37"/>
        <v>16.7</v>
      </c>
      <c r="W291" s="601">
        <f t="shared" si="39"/>
        <v>965.51</v>
      </c>
      <c r="X291" s="601">
        <f t="shared" si="40"/>
        <v>0</v>
      </c>
      <c r="Y291" s="123"/>
      <c r="Z291" s="692">
        <f t="shared" si="38"/>
        <v>940.68</v>
      </c>
      <c r="AA291" s="124"/>
      <c r="AB291" s="124"/>
      <c r="AC291" s="124"/>
      <c r="AD291" s="124"/>
      <c r="AE291" s="124"/>
      <c r="AF291" s="124"/>
      <c r="AG291" s="124"/>
      <c r="AH291" s="124"/>
      <c r="AI291" s="124"/>
      <c r="AJ291" s="124"/>
      <c r="AK291" s="124"/>
      <c r="AL291" s="124"/>
      <c r="AM291" s="124"/>
      <c r="AN291" s="124"/>
      <c r="AO291" s="124"/>
    </row>
    <row r="292" spans="1:41" customFormat="1" ht="12.75" hidden="1" thickBot="1">
      <c r="A292" s="25" t="s">
        <v>1212</v>
      </c>
      <c r="B292" s="25" t="s">
        <v>297</v>
      </c>
      <c r="C292" s="25" t="s">
        <v>958</v>
      </c>
      <c r="D292" s="235" t="s">
        <v>498</v>
      </c>
      <c r="E292" s="77">
        <v>3909</v>
      </c>
      <c r="F292" s="20"/>
      <c r="G292" s="17">
        <v>524.79999999999995</v>
      </c>
      <c r="H292" s="20"/>
      <c r="I292" s="20"/>
      <c r="J292" s="20"/>
      <c r="K292" s="20"/>
      <c r="L292" s="20"/>
      <c r="M292" s="17">
        <v>8.6</v>
      </c>
      <c r="N292" s="17">
        <v>9.3800000000000008</v>
      </c>
      <c r="O292" s="20"/>
      <c r="P292" s="20"/>
      <c r="Q292" s="17">
        <v>0</v>
      </c>
      <c r="R292" s="17">
        <v>542.78</v>
      </c>
      <c r="S292" s="142">
        <f t="shared" si="35"/>
        <v>524.79999999999995</v>
      </c>
      <c r="T292" s="142">
        <f t="shared" si="36"/>
        <v>0</v>
      </c>
      <c r="U292" s="142">
        <f t="shared" si="37"/>
        <v>9.3800000000000008</v>
      </c>
      <c r="W292" s="601">
        <f t="shared" si="39"/>
        <v>542.78</v>
      </c>
      <c r="X292" s="601">
        <f t="shared" si="40"/>
        <v>0</v>
      </c>
      <c r="Y292" s="123"/>
      <c r="Z292" s="692">
        <f t="shared" si="38"/>
        <v>524.79999999999995</v>
      </c>
      <c r="AA292" s="124"/>
      <c r="AB292" s="124"/>
      <c r="AC292" s="124"/>
      <c r="AD292" s="124"/>
      <c r="AE292" s="124"/>
      <c r="AF292" s="124"/>
      <c r="AG292" s="124"/>
      <c r="AH292" s="124"/>
      <c r="AI292" s="124"/>
      <c r="AJ292" s="124"/>
      <c r="AK292" s="124"/>
      <c r="AL292" s="124"/>
      <c r="AM292" s="124"/>
      <c r="AN292" s="124"/>
      <c r="AO292" s="124"/>
    </row>
    <row r="293" spans="1:41" customFormat="1" ht="12.75" hidden="1" thickBot="1">
      <c r="A293" s="25" t="s">
        <v>1212</v>
      </c>
      <c r="B293" s="25" t="s">
        <v>299</v>
      </c>
      <c r="C293" s="25" t="s">
        <v>959</v>
      </c>
      <c r="D293" s="235" t="s">
        <v>498</v>
      </c>
      <c r="E293" s="76">
        <v>554</v>
      </c>
      <c r="F293" s="19"/>
      <c r="G293" s="18">
        <v>153.34</v>
      </c>
      <c r="H293" s="19"/>
      <c r="I293" s="19"/>
      <c r="J293" s="19"/>
      <c r="K293" s="19"/>
      <c r="L293" s="19"/>
      <c r="M293" s="18">
        <v>1.22</v>
      </c>
      <c r="N293" s="18">
        <v>2.72</v>
      </c>
      <c r="O293" s="19"/>
      <c r="P293" s="19"/>
      <c r="Q293" s="18">
        <v>0</v>
      </c>
      <c r="R293" s="18">
        <v>157.28</v>
      </c>
      <c r="S293" s="142">
        <f t="shared" si="35"/>
        <v>153.34</v>
      </c>
      <c r="T293" s="142">
        <f t="shared" si="36"/>
        <v>0</v>
      </c>
      <c r="U293" s="142">
        <f t="shared" si="37"/>
        <v>2.72</v>
      </c>
      <c r="W293" s="601">
        <f t="shared" si="39"/>
        <v>157.28</v>
      </c>
      <c r="X293" s="601">
        <f t="shared" si="40"/>
        <v>0</v>
      </c>
      <c r="Y293" s="123"/>
      <c r="Z293" s="692">
        <f t="shared" si="38"/>
        <v>153.34</v>
      </c>
      <c r="AA293" s="124"/>
      <c r="AB293" s="124"/>
      <c r="AC293" s="124"/>
      <c r="AD293" s="124"/>
      <c r="AE293" s="124"/>
      <c r="AF293" s="124"/>
      <c r="AG293" s="124"/>
      <c r="AH293" s="124"/>
      <c r="AI293" s="124"/>
      <c r="AJ293" s="124"/>
      <c r="AK293" s="124"/>
      <c r="AL293" s="124"/>
      <c r="AM293" s="124"/>
      <c r="AN293" s="124"/>
      <c r="AO293" s="124"/>
    </row>
    <row r="294" spans="1:41" customFormat="1" ht="12.75" hidden="1" thickBot="1">
      <c r="A294" s="25" t="s">
        <v>1212</v>
      </c>
      <c r="B294" s="25" t="s">
        <v>377</v>
      </c>
      <c r="C294" s="25" t="s">
        <v>960</v>
      </c>
      <c r="D294" s="235" t="s">
        <v>606</v>
      </c>
      <c r="E294" s="77">
        <v>583</v>
      </c>
      <c r="F294" s="20"/>
      <c r="G294" s="17">
        <v>841.77</v>
      </c>
      <c r="H294" s="20"/>
      <c r="I294" s="20"/>
      <c r="J294" s="20"/>
      <c r="K294" s="20"/>
      <c r="L294" s="20"/>
      <c r="M294" s="17">
        <v>1.28</v>
      </c>
      <c r="N294" s="17">
        <v>14.84</v>
      </c>
      <c r="O294" s="20"/>
      <c r="P294" s="20"/>
      <c r="Q294" s="20"/>
      <c r="R294" s="17">
        <v>857.89</v>
      </c>
      <c r="S294" s="142">
        <f t="shared" ref="S294:S338" si="41">G294+H294+I294</f>
        <v>841.77</v>
      </c>
      <c r="T294" s="142">
        <f t="shared" ref="T294:T338" si="42">J294+K294</f>
        <v>0</v>
      </c>
      <c r="U294" s="142">
        <f t="shared" ref="U294:U338" si="43">N294+O294</f>
        <v>14.84</v>
      </c>
      <c r="W294" s="601">
        <f t="shared" si="39"/>
        <v>857.89</v>
      </c>
      <c r="X294" s="601">
        <f t="shared" si="40"/>
        <v>0</v>
      </c>
      <c r="Y294" s="123"/>
      <c r="Z294" s="692">
        <f t="shared" si="38"/>
        <v>841.77</v>
      </c>
      <c r="AA294" s="124"/>
      <c r="AB294" s="124"/>
      <c r="AC294" s="124"/>
      <c r="AD294" s="124"/>
      <c r="AE294" s="124"/>
      <c r="AF294" s="124"/>
      <c r="AG294" s="124"/>
      <c r="AH294" s="124"/>
      <c r="AI294" s="124"/>
      <c r="AJ294" s="124"/>
      <c r="AK294" s="124"/>
      <c r="AL294" s="124"/>
      <c r="AM294" s="124"/>
      <c r="AN294" s="124"/>
      <c r="AO294" s="124"/>
    </row>
    <row r="295" spans="1:41" customFormat="1" ht="12.75" hidden="1" thickBot="1">
      <c r="A295" s="25" t="s">
        <v>1212</v>
      </c>
      <c r="B295" s="25" t="s">
        <v>737</v>
      </c>
      <c r="C295" s="25" t="s">
        <v>961</v>
      </c>
      <c r="D295" s="235" t="s">
        <v>606</v>
      </c>
      <c r="E295" s="76">
        <v>141</v>
      </c>
      <c r="F295" s="19"/>
      <c r="G295" s="18">
        <v>99.6</v>
      </c>
      <c r="H295" s="19"/>
      <c r="I295" s="19"/>
      <c r="J295" s="19"/>
      <c r="K295" s="19"/>
      <c r="L295" s="19"/>
      <c r="M295" s="18">
        <v>0.31</v>
      </c>
      <c r="N295" s="18">
        <v>1.76</v>
      </c>
      <c r="O295" s="19"/>
      <c r="P295" s="19"/>
      <c r="Q295" s="19"/>
      <c r="R295" s="18">
        <v>101.67</v>
      </c>
      <c r="S295" s="142">
        <f t="shared" si="41"/>
        <v>99.6</v>
      </c>
      <c r="T295" s="142">
        <f t="shared" si="42"/>
        <v>0</v>
      </c>
      <c r="U295" s="142">
        <f t="shared" si="43"/>
        <v>1.76</v>
      </c>
      <c r="W295" s="601">
        <f t="shared" si="39"/>
        <v>101.67</v>
      </c>
      <c r="X295" s="601">
        <f t="shared" si="40"/>
        <v>0</v>
      </c>
      <c r="Y295" s="123"/>
      <c r="Z295" s="692">
        <f t="shared" si="38"/>
        <v>99.6</v>
      </c>
      <c r="AA295" s="124"/>
      <c r="AB295" s="124"/>
      <c r="AC295" s="124"/>
      <c r="AD295" s="124"/>
      <c r="AE295" s="124"/>
      <c r="AF295" s="124"/>
      <c r="AG295" s="124"/>
      <c r="AH295" s="124"/>
      <c r="AI295" s="124"/>
      <c r="AJ295" s="124"/>
      <c r="AK295" s="124"/>
      <c r="AL295" s="124"/>
      <c r="AM295" s="124"/>
      <c r="AN295" s="124"/>
      <c r="AO295" s="124"/>
    </row>
    <row r="296" spans="1:41" customFormat="1" ht="12.75" hidden="1" thickBot="1">
      <c r="A296" s="25" t="s">
        <v>1212</v>
      </c>
      <c r="B296" s="25" t="s">
        <v>329</v>
      </c>
      <c r="C296" s="25" t="s">
        <v>962</v>
      </c>
      <c r="D296" s="235" t="s">
        <v>606</v>
      </c>
      <c r="E296" s="77">
        <v>6723</v>
      </c>
      <c r="F296" s="20"/>
      <c r="G296" s="17">
        <v>4472.54</v>
      </c>
      <c r="H296" s="20"/>
      <c r="I296" s="20"/>
      <c r="J296" s="20"/>
      <c r="K296" s="20"/>
      <c r="L296" s="20"/>
      <c r="M296" s="17">
        <v>14.77</v>
      </c>
      <c r="N296" s="17">
        <v>78.989999999999995</v>
      </c>
      <c r="O296" s="20"/>
      <c r="P296" s="20"/>
      <c r="Q296" s="17">
        <v>0</v>
      </c>
      <c r="R296" s="17">
        <v>4566.3</v>
      </c>
      <c r="S296" s="142">
        <f t="shared" si="41"/>
        <v>4472.54</v>
      </c>
      <c r="T296" s="142">
        <f t="shared" si="42"/>
        <v>0</v>
      </c>
      <c r="U296" s="142">
        <f t="shared" si="43"/>
        <v>78.989999999999995</v>
      </c>
      <c r="W296" s="601">
        <f t="shared" si="39"/>
        <v>4566.3</v>
      </c>
      <c r="X296" s="601">
        <f t="shared" si="40"/>
        <v>0</v>
      </c>
      <c r="Y296" s="123"/>
      <c r="Z296" s="692">
        <f t="shared" si="38"/>
        <v>4472.54</v>
      </c>
      <c r="AA296" s="124"/>
      <c r="AB296" s="124"/>
      <c r="AC296" s="124"/>
      <c r="AD296" s="124"/>
      <c r="AE296" s="124"/>
      <c r="AF296" s="124"/>
      <c r="AG296" s="124"/>
      <c r="AH296" s="124"/>
      <c r="AI296" s="124"/>
      <c r="AJ296" s="124"/>
      <c r="AK296" s="124"/>
      <c r="AL296" s="124"/>
      <c r="AM296" s="124"/>
      <c r="AN296" s="124"/>
      <c r="AO296" s="124"/>
    </row>
    <row r="297" spans="1:41" customFormat="1" ht="12.75" hidden="1" thickBot="1">
      <c r="A297" s="25" t="s">
        <v>1212</v>
      </c>
      <c r="B297" s="25" t="s">
        <v>330</v>
      </c>
      <c r="C297" s="25" t="s">
        <v>963</v>
      </c>
      <c r="D297" s="235" t="s">
        <v>606</v>
      </c>
      <c r="E297" s="76">
        <v>85134</v>
      </c>
      <c r="F297" s="19"/>
      <c r="G297" s="18">
        <v>42608.59</v>
      </c>
      <c r="H297" s="19"/>
      <c r="I297" s="19"/>
      <c r="J297" s="19"/>
      <c r="K297" s="19"/>
      <c r="L297" s="19"/>
      <c r="M297" s="18">
        <v>186.76</v>
      </c>
      <c r="N297" s="18">
        <v>760.08</v>
      </c>
      <c r="O297" s="19"/>
      <c r="P297" s="19"/>
      <c r="Q297" s="18">
        <v>0</v>
      </c>
      <c r="R297" s="18">
        <v>43555.43</v>
      </c>
      <c r="S297" s="142">
        <f t="shared" si="41"/>
        <v>42608.59</v>
      </c>
      <c r="T297" s="142">
        <f t="shared" si="42"/>
        <v>0</v>
      </c>
      <c r="U297" s="142">
        <f t="shared" si="43"/>
        <v>760.08</v>
      </c>
      <c r="W297" s="601">
        <f t="shared" si="39"/>
        <v>43555.43</v>
      </c>
      <c r="X297" s="601">
        <f t="shared" si="40"/>
        <v>0</v>
      </c>
      <c r="Y297" s="123"/>
      <c r="Z297" s="692">
        <f t="shared" si="38"/>
        <v>42608.59</v>
      </c>
      <c r="AA297" s="124"/>
      <c r="AB297" s="124"/>
      <c r="AC297" s="124"/>
      <c r="AD297" s="124"/>
      <c r="AE297" s="124"/>
      <c r="AF297" s="124"/>
      <c r="AG297" s="124"/>
      <c r="AH297" s="124"/>
      <c r="AI297" s="124"/>
      <c r="AJ297" s="124"/>
      <c r="AK297" s="124"/>
      <c r="AL297" s="124"/>
      <c r="AM297" s="124"/>
      <c r="AN297" s="124"/>
      <c r="AO297" s="124"/>
    </row>
    <row r="298" spans="1:41" customFormat="1" ht="12.75" hidden="1" thickBot="1">
      <c r="A298" s="25" t="s">
        <v>1212</v>
      </c>
      <c r="B298" s="25" t="s">
        <v>332</v>
      </c>
      <c r="C298" s="25" t="s">
        <v>964</v>
      </c>
      <c r="D298" s="235" t="s">
        <v>606</v>
      </c>
      <c r="E298" s="77">
        <v>929</v>
      </c>
      <c r="F298" s="20"/>
      <c r="G298" s="17">
        <v>645.76</v>
      </c>
      <c r="H298" s="20"/>
      <c r="I298" s="20"/>
      <c r="J298" s="20"/>
      <c r="K298" s="20"/>
      <c r="L298" s="20"/>
      <c r="M298" s="17">
        <v>2.0299999999999998</v>
      </c>
      <c r="N298" s="17">
        <v>11.44</v>
      </c>
      <c r="O298" s="20"/>
      <c r="P298" s="20"/>
      <c r="Q298" s="17">
        <v>0</v>
      </c>
      <c r="R298" s="17">
        <v>659.23</v>
      </c>
      <c r="S298" s="142">
        <f t="shared" si="41"/>
        <v>645.76</v>
      </c>
      <c r="T298" s="142">
        <f t="shared" si="42"/>
        <v>0</v>
      </c>
      <c r="U298" s="142">
        <f t="shared" si="43"/>
        <v>11.44</v>
      </c>
      <c r="W298" s="601">
        <f t="shared" si="39"/>
        <v>659.23</v>
      </c>
      <c r="X298" s="601">
        <f t="shared" si="40"/>
        <v>0</v>
      </c>
      <c r="Y298" s="123"/>
      <c r="Z298" s="692">
        <f t="shared" si="38"/>
        <v>645.76</v>
      </c>
      <c r="AA298" s="124"/>
      <c r="AB298" s="124"/>
      <c r="AC298" s="124"/>
      <c r="AD298" s="124"/>
      <c r="AE298" s="124"/>
      <c r="AF298" s="124"/>
      <c r="AG298" s="124"/>
      <c r="AH298" s="124"/>
      <c r="AI298" s="124"/>
      <c r="AJ298" s="124"/>
      <c r="AK298" s="124"/>
      <c r="AL298" s="124"/>
      <c r="AM298" s="124"/>
      <c r="AN298" s="124"/>
      <c r="AO298" s="124"/>
    </row>
    <row r="299" spans="1:41" customFormat="1" ht="12.75" hidden="1" thickBot="1">
      <c r="A299" s="25" t="s">
        <v>1212</v>
      </c>
      <c r="B299" s="25" t="s">
        <v>333</v>
      </c>
      <c r="C299" s="25" t="s">
        <v>965</v>
      </c>
      <c r="D299" s="235" t="s">
        <v>606</v>
      </c>
      <c r="E299" s="76">
        <v>77326</v>
      </c>
      <c r="F299" s="19"/>
      <c r="G299" s="18">
        <v>41981.53</v>
      </c>
      <c r="H299" s="19"/>
      <c r="I299" s="19"/>
      <c r="J299" s="19"/>
      <c r="K299" s="19"/>
      <c r="L299" s="19"/>
      <c r="M299" s="18">
        <v>170.07</v>
      </c>
      <c r="N299" s="18">
        <v>742.09</v>
      </c>
      <c r="O299" s="19"/>
      <c r="P299" s="19"/>
      <c r="Q299" s="18">
        <v>0</v>
      </c>
      <c r="R299" s="18">
        <v>42893.69</v>
      </c>
      <c r="S299" s="142">
        <f t="shared" si="41"/>
        <v>41981.53</v>
      </c>
      <c r="T299" s="142">
        <f t="shared" si="42"/>
        <v>0</v>
      </c>
      <c r="U299" s="142">
        <f t="shared" si="43"/>
        <v>742.09</v>
      </c>
      <c r="W299" s="601">
        <f t="shared" si="39"/>
        <v>42893.689999999995</v>
      </c>
      <c r="X299" s="601">
        <f t="shared" si="40"/>
        <v>0</v>
      </c>
      <c r="Y299" s="123"/>
      <c r="Z299" s="692">
        <f t="shared" si="38"/>
        <v>41981.53</v>
      </c>
      <c r="AA299" s="124"/>
      <c r="AB299" s="124"/>
      <c r="AC299" s="124"/>
      <c r="AD299" s="124"/>
      <c r="AE299" s="124"/>
      <c r="AF299" s="124"/>
      <c r="AG299" s="124"/>
      <c r="AH299" s="124"/>
      <c r="AI299" s="124"/>
      <c r="AJ299" s="124"/>
      <c r="AK299" s="124"/>
      <c r="AL299" s="124"/>
      <c r="AM299" s="124"/>
      <c r="AN299" s="124"/>
      <c r="AO299" s="124"/>
    </row>
    <row r="300" spans="1:41" customFormat="1" ht="12.75" hidden="1" thickBot="1">
      <c r="A300" s="25" t="s">
        <v>1212</v>
      </c>
      <c r="B300" s="25" t="s">
        <v>334</v>
      </c>
      <c r="C300" s="25" t="s">
        <v>966</v>
      </c>
      <c r="D300" s="235" t="s">
        <v>498</v>
      </c>
      <c r="E300" s="77">
        <v>1447</v>
      </c>
      <c r="F300" s="20"/>
      <c r="G300" s="17">
        <v>852.48</v>
      </c>
      <c r="H300" s="20"/>
      <c r="I300" s="20"/>
      <c r="J300" s="20"/>
      <c r="K300" s="20"/>
      <c r="L300" s="20"/>
      <c r="M300" s="17">
        <v>3.19</v>
      </c>
      <c r="N300" s="17">
        <v>15.07</v>
      </c>
      <c r="O300" s="20"/>
      <c r="P300" s="20"/>
      <c r="Q300" s="17">
        <v>0</v>
      </c>
      <c r="R300" s="17">
        <v>870.74</v>
      </c>
      <c r="S300" s="142">
        <f t="shared" si="41"/>
        <v>852.48</v>
      </c>
      <c r="T300" s="142">
        <f t="shared" si="42"/>
        <v>0</v>
      </c>
      <c r="U300" s="142">
        <f t="shared" si="43"/>
        <v>15.07</v>
      </c>
      <c r="W300" s="601">
        <f t="shared" si="39"/>
        <v>870.74000000000012</v>
      </c>
      <c r="X300" s="601">
        <f t="shared" si="40"/>
        <v>0</v>
      </c>
      <c r="Y300" s="123"/>
      <c r="Z300" s="692">
        <f t="shared" si="38"/>
        <v>852.48</v>
      </c>
      <c r="AA300" s="124"/>
      <c r="AB300" s="124"/>
      <c r="AC300" s="124"/>
      <c r="AD300" s="124"/>
      <c r="AE300" s="124"/>
      <c r="AF300" s="124"/>
      <c r="AG300" s="124"/>
      <c r="AH300" s="124"/>
      <c r="AI300" s="124"/>
      <c r="AJ300" s="124"/>
      <c r="AK300" s="124"/>
      <c r="AL300" s="124"/>
      <c r="AM300" s="124"/>
      <c r="AN300" s="124"/>
      <c r="AO300" s="124"/>
    </row>
    <row r="301" spans="1:41" customFormat="1" ht="12.75" hidden="1" thickBot="1">
      <c r="A301" s="25" t="s">
        <v>1212</v>
      </c>
      <c r="B301" s="25" t="s">
        <v>336</v>
      </c>
      <c r="C301" s="25" t="s">
        <v>967</v>
      </c>
      <c r="D301" s="235" t="s">
        <v>498</v>
      </c>
      <c r="E301" s="76">
        <v>7515</v>
      </c>
      <c r="F301" s="19"/>
      <c r="G301" s="18">
        <v>2799.01</v>
      </c>
      <c r="H301" s="19"/>
      <c r="I301" s="19"/>
      <c r="J301" s="19"/>
      <c r="K301" s="19"/>
      <c r="L301" s="19"/>
      <c r="M301" s="18">
        <v>16.54</v>
      </c>
      <c r="N301" s="18">
        <v>49.54</v>
      </c>
      <c r="O301" s="19"/>
      <c r="P301" s="19"/>
      <c r="Q301" s="18">
        <v>0</v>
      </c>
      <c r="R301" s="18">
        <v>2865.09</v>
      </c>
      <c r="S301" s="142">
        <f t="shared" si="41"/>
        <v>2799.01</v>
      </c>
      <c r="T301" s="142">
        <f t="shared" si="42"/>
        <v>0</v>
      </c>
      <c r="U301" s="142">
        <f t="shared" si="43"/>
        <v>49.54</v>
      </c>
      <c r="W301" s="601">
        <f t="shared" si="39"/>
        <v>2865.09</v>
      </c>
      <c r="X301" s="601">
        <f t="shared" si="40"/>
        <v>0</v>
      </c>
      <c r="Y301" s="123"/>
      <c r="Z301" s="692">
        <f t="shared" si="38"/>
        <v>2799.01</v>
      </c>
      <c r="AA301" s="124"/>
      <c r="AB301" s="124"/>
      <c r="AC301" s="124"/>
      <c r="AD301" s="124"/>
      <c r="AE301" s="124"/>
      <c r="AF301" s="124"/>
      <c r="AG301" s="124"/>
      <c r="AH301" s="124"/>
      <c r="AI301" s="124"/>
      <c r="AJ301" s="124"/>
      <c r="AK301" s="124"/>
      <c r="AL301" s="124"/>
      <c r="AM301" s="124"/>
      <c r="AN301" s="124"/>
      <c r="AO301" s="124"/>
    </row>
    <row r="302" spans="1:41" customFormat="1" ht="12.75" hidden="1" thickBot="1">
      <c r="A302" s="25" t="s">
        <v>1212</v>
      </c>
      <c r="B302" s="25" t="s">
        <v>337</v>
      </c>
      <c r="C302" s="25" t="s">
        <v>968</v>
      </c>
      <c r="D302" s="235" t="s">
        <v>606</v>
      </c>
      <c r="E302" s="77">
        <v>4028</v>
      </c>
      <c r="F302" s="20"/>
      <c r="G302" s="17">
        <v>1793.4</v>
      </c>
      <c r="H302" s="20"/>
      <c r="I302" s="20"/>
      <c r="J302" s="20"/>
      <c r="K302" s="20"/>
      <c r="L302" s="20"/>
      <c r="M302" s="17">
        <v>8.65</v>
      </c>
      <c r="N302" s="17">
        <v>34.53</v>
      </c>
      <c r="O302" s="20"/>
      <c r="P302" s="20"/>
      <c r="Q302" s="17">
        <v>0</v>
      </c>
      <c r="R302" s="17">
        <v>1836.58</v>
      </c>
      <c r="S302" s="142">
        <f t="shared" si="41"/>
        <v>1793.4</v>
      </c>
      <c r="T302" s="142">
        <f t="shared" si="42"/>
        <v>0</v>
      </c>
      <c r="U302" s="142">
        <f t="shared" si="43"/>
        <v>34.53</v>
      </c>
      <c r="W302" s="601">
        <f t="shared" si="39"/>
        <v>1836.5800000000002</v>
      </c>
      <c r="X302" s="601">
        <f t="shared" si="40"/>
        <v>0</v>
      </c>
      <c r="Y302" s="123"/>
      <c r="Z302" s="692">
        <f t="shared" si="38"/>
        <v>1793.4</v>
      </c>
      <c r="AA302" s="124"/>
      <c r="AB302" s="124"/>
      <c r="AC302" s="124"/>
      <c r="AD302" s="124"/>
      <c r="AE302" s="124"/>
      <c r="AF302" s="124"/>
      <c r="AG302" s="124"/>
      <c r="AH302" s="124"/>
      <c r="AI302" s="124"/>
      <c r="AJ302" s="124"/>
      <c r="AK302" s="124"/>
      <c r="AL302" s="124"/>
      <c r="AM302" s="124"/>
      <c r="AN302" s="124"/>
      <c r="AO302" s="124"/>
    </row>
    <row r="303" spans="1:41" customFormat="1" ht="12.75" hidden="1" thickBot="1">
      <c r="A303" s="25" t="s">
        <v>1212</v>
      </c>
      <c r="B303" s="25" t="s">
        <v>338</v>
      </c>
      <c r="C303" s="25" t="s">
        <v>969</v>
      </c>
      <c r="D303" s="235" t="s">
        <v>606</v>
      </c>
      <c r="E303" s="76">
        <v>18278</v>
      </c>
      <c r="F303" s="19"/>
      <c r="G303" s="18">
        <v>5881.94</v>
      </c>
      <c r="H303" s="19"/>
      <c r="I303" s="19"/>
      <c r="J303" s="19"/>
      <c r="K303" s="19"/>
      <c r="L303" s="19"/>
      <c r="M303" s="18">
        <v>40.159999999999997</v>
      </c>
      <c r="N303" s="18">
        <v>104.69</v>
      </c>
      <c r="O303" s="19"/>
      <c r="P303" s="19"/>
      <c r="Q303" s="18">
        <v>0</v>
      </c>
      <c r="R303" s="18">
        <v>6026.79</v>
      </c>
      <c r="S303" s="142">
        <f t="shared" si="41"/>
        <v>5881.94</v>
      </c>
      <c r="T303" s="142">
        <f t="shared" si="42"/>
        <v>0</v>
      </c>
      <c r="U303" s="142">
        <f t="shared" si="43"/>
        <v>104.69</v>
      </c>
      <c r="W303" s="601">
        <f t="shared" si="39"/>
        <v>6026.7899999999991</v>
      </c>
      <c r="X303" s="601">
        <f t="shared" si="40"/>
        <v>0</v>
      </c>
      <c r="Y303" s="123"/>
      <c r="Z303" s="692">
        <f t="shared" si="38"/>
        <v>5881.94</v>
      </c>
      <c r="AA303" s="124"/>
      <c r="AB303" s="124"/>
      <c r="AC303" s="124"/>
      <c r="AD303" s="124"/>
      <c r="AE303" s="124"/>
      <c r="AF303" s="124"/>
      <c r="AG303" s="124"/>
      <c r="AH303" s="124"/>
      <c r="AI303" s="124"/>
      <c r="AJ303" s="124"/>
      <c r="AK303" s="124"/>
      <c r="AL303" s="124"/>
      <c r="AM303" s="124"/>
      <c r="AN303" s="124"/>
      <c r="AO303" s="124"/>
    </row>
    <row r="304" spans="1:41" customFormat="1" ht="12.75" hidden="1" thickBot="1">
      <c r="A304" s="25" t="s">
        <v>1212</v>
      </c>
      <c r="B304" s="25" t="s">
        <v>339</v>
      </c>
      <c r="C304" s="25" t="s">
        <v>970</v>
      </c>
      <c r="D304" s="235" t="s">
        <v>606</v>
      </c>
      <c r="E304" s="77">
        <v>72281</v>
      </c>
      <c r="F304" s="20"/>
      <c r="G304" s="17">
        <v>16541.2</v>
      </c>
      <c r="H304" s="20"/>
      <c r="I304" s="20"/>
      <c r="J304" s="20"/>
      <c r="K304" s="20"/>
      <c r="L304" s="20"/>
      <c r="M304" s="17">
        <v>154.5</v>
      </c>
      <c r="N304" s="17">
        <v>316.12</v>
      </c>
      <c r="O304" s="20"/>
      <c r="P304" s="20"/>
      <c r="Q304" s="17">
        <v>0</v>
      </c>
      <c r="R304" s="17">
        <v>17011.82</v>
      </c>
      <c r="S304" s="142">
        <f t="shared" si="41"/>
        <v>16541.2</v>
      </c>
      <c r="T304" s="142">
        <f t="shared" si="42"/>
        <v>0</v>
      </c>
      <c r="U304" s="142">
        <f t="shared" si="43"/>
        <v>316.12</v>
      </c>
      <c r="W304" s="601">
        <f t="shared" si="39"/>
        <v>17011.82</v>
      </c>
      <c r="X304" s="601">
        <f t="shared" si="40"/>
        <v>0</v>
      </c>
      <c r="Y304" s="123"/>
      <c r="Z304" s="692">
        <f t="shared" si="38"/>
        <v>16541.2</v>
      </c>
      <c r="AA304" s="124"/>
      <c r="AB304" s="124"/>
      <c r="AC304" s="124"/>
      <c r="AD304" s="124"/>
      <c r="AE304" s="124"/>
      <c r="AF304" s="124"/>
      <c r="AG304" s="124"/>
      <c r="AH304" s="124"/>
      <c r="AI304" s="124"/>
      <c r="AJ304" s="124"/>
      <c r="AK304" s="124"/>
      <c r="AL304" s="124"/>
      <c r="AM304" s="124"/>
      <c r="AN304" s="124"/>
      <c r="AO304" s="124"/>
    </row>
    <row r="305" spans="1:41" customFormat="1" ht="12.75" hidden="1" thickBot="1">
      <c r="A305" s="25" t="s">
        <v>1212</v>
      </c>
      <c r="B305" s="25" t="s">
        <v>340</v>
      </c>
      <c r="C305" s="25" t="s">
        <v>971</v>
      </c>
      <c r="D305" s="235" t="s">
        <v>606</v>
      </c>
      <c r="E305" s="76">
        <v>1073</v>
      </c>
      <c r="F305" s="19"/>
      <c r="G305" s="18">
        <v>447.95</v>
      </c>
      <c r="H305" s="19"/>
      <c r="I305" s="19"/>
      <c r="J305" s="19"/>
      <c r="K305" s="19"/>
      <c r="L305" s="19"/>
      <c r="M305" s="18">
        <v>2.36</v>
      </c>
      <c r="N305" s="18">
        <v>7.96</v>
      </c>
      <c r="O305" s="19"/>
      <c r="P305" s="19"/>
      <c r="Q305" s="18">
        <v>0</v>
      </c>
      <c r="R305" s="18">
        <v>458.27</v>
      </c>
      <c r="S305" s="142">
        <f t="shared" si="41"/>
        <v>447.95</v>
      </c>
      <c r="T305" s="142">
        <f t="shared" si="42"/>
        <v>0</v>
      </c>
      <c r="U305" s="142">
        <f t="shared" si="43"/>
        <v>7.96</v>
      </c>
      <c r="W305" s="601">
        <f t="shared" si="39"/>
        <v>458.27</v>
      </c>
      <c r="X305" s="601">
        <f t="shared" si="40"/>
        <v>0</v>
      </c>
      <c r="Y305" s="123"/>
      <c r="Z305" s="692">
        <f t="shared" si="38"/>
        <v>447.95</v>
      </c>
      <c r="AA305" s="124"/>
      <c r="AB305" s="124"/>
      <c r="AC305" s="124"/>
      <c r="AD305" s="124"/>
      <c r="AE305" s="124"/>
      <c r="AF305" s="124"/>
      <c r="AG305" s="124"/>
      <c r="AH305" s="124"/>
      <c r="AI305" s="124"/>
      <c r="AJ305" s="124"/>
      <c r="AK305" s="124"/>
      <c r="AL305" s="124"/>
      <c r="AM305" s="124"/>
      <c r="AN305" s="124"/>
      <c r="AO305" s="124"/>
    </row>
    <row r="306" spans="1:41" customFormat="1" ht="12.75" hidden="1" thickBot="1">
      <c r="A306" s="25" t="s">
        <v>1212</v>
      </c>
      <c r="B306" s="25" t="s">
        <v>341</v>
      </c>
      <c r="C306" s="25" t="s">
        <v>972</v>
      </c>
      <c r="D306" s="235" t="s">
        <v>606</v>
      </c>
      <c r="E306" s="77">
        <v>38530</v>
      </c>
      <c r="F306" s="20"/>
      <c r="G306" s="17">
        <v>11405.5</v>
      </c>
      <c r="H306" s="20"/>
      <c r="I306" s="20"/>
      <c r="J306" s="20"/>
      <c r="K306" s="20"/>
      <c r="L306" s="20"/>
      <c r="M306" s="17">
        <v>84.76</v>
      </c>
      <c r="N306" s="17">
        <v>202.22</v>
      </c>
      <c r="O306" s="20"/>
      <c r="P306" s="20"/>
      <c r="Q306" s="17">
        <v>0</v>
      </c>
      <c r="R306" s="17">
        <v>11692.48</v>
      </c>
      <c r="S306" s="142">
        <f t="shared" si="41"/>
        <v>11405.5</v>
      </c>
      <c r="T306" s="142">
        <f t="shared" si="42"/>
        <v>0</v>
      </c>
      <c r="U306" s="142">
        <f t="shared" si="43"/>
        <v>202.22</v>
      </c>
      <c r="W306" s="601">
        <f t="shared" si="39"/>
        <v>11692.48</v>
      </c>
      <c r="X306" s="601">
        <f t="shared" si="40"/>
        <v>0</v>
      </c>
      <c r="Y306" s="123"/>
      <c r="Z306" s="692">
        <f t="shared" si="38"/>
        <v>11405.5</v>
      </c>
      <c r="AA306" s="124"/>
      <c r="AB306" s="124"/>
      <c r="AC306" s="124"/>
      <c r="AD306" s="124"/>
      <c r="AE306" s="124"/>
      <c r="AF306" s="124"/>
      <c r="AG306" s="124"/>
      <c r="AH306" s="124"/>
      <c r="AI306" s="124"/>
      <c r="AJ306" s="124"/>
      <c r="AK306" s="124"/>
      <c r="AL306" s="124"/>
      <c r="AM306" s="124"/>
      <c r="AN306" s="124"/>
      <c r="AO306" s="124"/>
    </row>
    <row r="307" spans="1:41" customFormat="1" ht="12.75" hidden="1" thickBot="1">
      <c r="A307" s="25" t="s">
        <v>1212</v>
      </c>
      <c r="B307" s="25" t="s">
        <v>342</v>
      </c>
      <c r="C307" s="25" t="s">
        <v>973</v>
      </c>
      <c r="D307" s="235" t="s">
        <v>606</v>
      </c>
      <c r="E307" s="76">
        <v>5706</v>
      </c>
      <c r="F307" s="19"/>
      <c r="G307" s="18">
        <v>1191.05</v>
      </c>
      <c r="H307" s="19"/>
      <c r="I307" s="19"/>
      <c r="J307" s="19"/>
      <c r="K307" s="19"/>
      <c r="L307" s="19"/>
      <c r="M307" s="18">
        <v>12.27</v>
      </c>
      <c r="N307" s="18">
        <v>22.76</v>
      </c>
      <c r="O307" s="19"/>
      <c r="P307" s="19"/>
      <c r="Q307" s="18">
        <v>0</v>
      </c>
      <c r="R307" s="18">
        <v>1226.08</v>
      </c>
      <c r="S307" s="142">
        <f t="shared" si="41"/>
        <v>1191.05</v>
      </c>
      <c r="T307" s="142">
        <f t="shared" si="42"/>
        <v>0</v>
      </c>
      <c r="U307" s="142">
        <f t="shared" si="43"/>
        <v>22.76</v>
      </c>
      <c r="W307" s="601">
        <f t="shared" si="39"/>
        <v>1226.08</v>
      </c>
      <c r="X307" s="601">
        <f t="shared" si="40"/>
        <v>0</v>
      </c>
      <c r="Y307" s="123"/>
      <c r="Z307" s="692">
        <f t="shared" si="38"/>
        <v>1191.05</v>
      </c>
      <c r="AA307" s="124"/>
      <c r="AB307" s="124"/>
      <c r="AC307" s="124"/>
      <c r="AD307" s="124"/>
      <c r="AE307" s="124"/>
      <c r="AF307" s="124"/>
      <c r="AG307" s="124"/>
      <c r="AH307" s="124"/>
      <c r="AI307" s="124"/>
      <c r="AJ307" s="124"/>
      <c r="AK307" s="124"/>
      <c r="AL307" s="124"/>
      <c r="AM307" s="124"/>
      <c r="AN307" s="124"/>
      <c r="AO307" s="124"/>
    </row>
    <row r="308" spans="1:41" customFormat="1" ht="12.75" hidden="1" thickBot="1">
      <c r="A308" s="25" t="s">
        <v>1212</v>
      </c>
      <c r="B308" s="25" t="s">
        <v>343</v>
      </c>
      <c r="C308" s="25" t="s">
        <v>974</v>
      </c>
      <c r="D308" s="235" t="s">
        <v>498</v>
      </c>
      <c r="E308" s="77">
        <v>1210</v>
      </c>
      <c r="F308" s="20"/>
      <c r="G308" s="17">
        <v>1383.38</v>
      </c>
      <c r="H308" s="20"/>
      <c r="I308" s="20"/>
      <c r="J308" s="20"/>
      <c r="K308" s="20"/>
      <c r="L308" s="20"/>
      <c r="M308" s="17">
        <v>2.66</v>
      </c>
      <c r="N308" s="17">
        <v>24.39</v>
      </c>
      <c r="O308" s="20"/>
      <c r="P308" s="20"/>
      <c r="Q308" s="17">
        <v>0</v>
      </c>
      <c r="R308" s="17">
        <v>1410.43</v>
      </c>
      <c r="S308" s="142">
        <f t="shared" si="41"/>
        <v>1383.38</v>
      </c>
      <c r="T308" s="142">
        <f t="shared" si="42"/>
        <v>0</v>
      </c>
      <c r="U308" s="142">
        <f t="shared" si="43"/>
        <v>24.39</v>
      </c>
      <c r="W308" s="601">
        <f t="shared" si="39"/>
        <v>1410.4300000000003</v>
      </c>
      <c r="X308" s="601">
        <f t="shared" si="40"/>
        <v>0</v>
      </c>
      <c r="Y308" s="123"/>
      <c r="Z308" s="692">
        <f t="shared" si="38"/>
        <v>1383.38</v>
      </c>
      <c r="AA308" s="124"/>
      <c r="AB308" s="124"/>
      <c r="AC308" s="124"/>
      <c r="AD308" s="124"/>
      <c r="AE308" s="124"/>
      <c r="AF308" s="124"/>
      <c r="AG308" s="124"/>
      <c r="AH308" s="124"/>
      <c r="AI308" s="124"/>
      <c r="AJ308" s="124"/>
      <c r="AK308" s="124"/>
      <c r="AL308" s="124"/>
      <c r="AM308" s="124"/>
      <c r="AN308" s="124"/>
      <c r="AO308" s="124"/>
    </row>
    <row r="309" spans="1:41" customFormat="1" ht="12.75" hidden="1" thickBot="1">
      <c r="A309" s="25" t="s">
        <v>1212</v>
      </c>
      <c r="B309" s="25" t="s">
        <v>344</v>
      </c>
      <c r="C309" s="25" t="s">
        <v>975</v>
      </c>
      <c r="D309" s="235" t="s">
        <v>606</v>
      </c>
      <c r="E309" s="76">
        <v>1564</v>
      </c>
      <c r="F309" s="19"/>
      <c r="G309" s="18">
        <v>1916.46</v>
      </c>
      <c r="H309" s="19"/>
      <c r="I309" s="19"/>
      <c r="J309" s="19"/>
      <c r="K309" s="19"/>
      <c r="L309" s="19"/>
      <c r="M309" s="18">
        <v>3.44</v>
      </c>
      <c r="N309" s="18">
        <v>33.79</v>
      </c>
      <c r="O309" s="19"/>
      <c r="P309" s="19"/>
      <c r="Q309" s="18">
        <v>0</v>
      </c>
      <c r="R309" s="18">
        <v>1953.69</v>
      </c>
      <c r="S309" s="142">
        <f t="shared" si="41"/>
        <v>1916.46</v>
      </c>
      <c r="T309" s="142">
        <f t="shared" si="42"/>
        <v>0</v>
      </c>
      <c r="U309" s="142">
        <f t="shared" si="43"/>
        <v>33.79</v>
      </c>
      <c r="W309" s="601">
        <f t="shared" si="39"/>
        <v>1953.69</v>
      </c>
      <c r="X309" s="601">
        <f t="shared" si="40"/>
        <v>0</v>
      </c>
      <c r="Y309" s="123"/>
      <c r="Z309" s="692">
        <f t="shared" si="38"/>
        <v>1916.46</v>
      </c>
      <c r="AA309" s="124"/>
      <c r="AB309" s="124"/>
      <c r="AC309" s="124"/>
      <c r="AD309" s="124"/>
      <c r="AE309" s="124"/>
      <c r="AF309" s="124"/>
      <c r="AG309" s="124"/>
      <c r="AH309" s="124"/>
      <c r="AI309" s="124"/>
      <c r="AJ309" s="124"/>
      <c r="AK309" s="124"/>
      <c r="AL309" s="124"/>
      <c r="AM309" s="124"/>
      <c r="AN309" s="124"/>
      <c r="AO309" s="124"/>
    </row>
    <row r="310" spans="1:41" customFormat="1" ht="12.75" hidden="1" thickBot="1">
      <c r="A310" s="25" t="s">
        <v>1212</v>
      </c>
      <c r="B310" s="25" t="s">
        <v>345</v>
      </c>
      <c r="C310" s="25" t="s">
        <v>976</v>
      </c>
      <c r="D310" s="235" t="s">
        <v>498</v>
      </c>
      <c r="E310" s="77">
        <v>8519</v>
      </c>
      <c r="F310" s="20"/>
      <c r="G310" s="17">
        <v>7356.99</v>
      </c>
      <c r="H310" s="20"/>
      <c r="I310" s="20"/>
      <c r="J310" s="20"/>
      <c r="K310" s="20"/>
      <c r="L310" s="20"/>
      <c r="M310" s="17">
        <v>18.73</v>
      </c>
      <c r="N310" s="17">
        <v>129.80000000000001</v>
      </c>
      <c r="O310" s="20"/>
      <c r="P310" s="20"/>
      <c r="Q310" s="17">
        <v>0</v>
      </c>
      <c r="R310" s="17">
        <v>7505.52</v>
      </c>
      <c r="S310" s="142">
        <f t="shared" si="41"/>
        <v>7356.99</v>
      </c>
      <c r="T310" s="142">
        <f t="shared" si="42"/>
        <v>0</v>
      </c>
      <c r="U310" s="142">
        <f t="shared" si="43"/>
        <v>129.80000000000001</v>
      </c>
      <c r="W310" s="601">
        <f t="shared" si="39"/>
        <v>7505.5199999999995</v>
      </c>
      <c r="X310" s="601">
        <f t="shared" si="40"/>
        <v>0</v>
      </c>
      <c r="Y310" s="123"/>
      <c r="Z310" s="692">
        <f t="shared" si="38"/>
        <v>7356.99</v>
      </c>
      <c r="AA310" s="124"/>
      <c r="AB310" s="124"/>
      <c r="AC310" s="124"/>
      <c r="AD310" s="124"/>
      <c r="AE310" s="124"/>
      <c r="AF310" s="124"/>
      <c r="AG310" s="124"/>
      <c r="AH310" s="124"/>
      <c r="AI310" s="124"/>
      <c r="AJ310" s="124"/>
      <c r="AK310" s="124"/>
      <c r="AL310" s="124"/>
      <c r="AM310" s="124"/>
      <c r="AN310" s="124"/>
      <c r="AO310" s="124"/>
    </row>
    <row r="311" spans="1:41" customFormat="1" ht="12.75" hidden="1" thickBot="1">
      <c r="A311" s="25" t="s">
        <v>1212</v>
      </c>
      <c r="B311" s="25" t="s">
        <v>346</v>
      </c>
      <c r="C311" s="25" t="s">
        <v>977</v>
      </c>
      <c r="D311" s="235" t="s">
        <v>606</v>
      </c>
      <c r="E311" s="76">
        <v>7505</v>
      </c>
      <c r="F311" s="19"/>
      <c r="G311" s="18">
        <v>7597.08</v>
      </c>
      <c r="H311" s="19"/>
      <c r="I311" s="19"/>
      <c r="J311" s="19"/>
      <c r="K311" s="19"/>
      <c r="L311" s="19"/>
      <c r="M311" s="18">
        <v>15.55</v>
      </c>
      <c r="N311" s="18">
        <v>157.96</v>
      </c>
      <c r="O311" s="19"/>
      <c r="P311" s="19"/>
      <c r="Q311" s="18">
        <v>0</v>
      </c>
      <c r="R311" s="18">
        <v>7770.59</v>
      </c>
      <c r="S311" s="142">
        <f t="shared" si="41"/>
        <v>7597.08</v>
      </c>
      <c r="T311" s="142">
        <f t="shared" si="42"/>
        <v>0</v>
      </c>
      <c r="U311" s="142">
        <f t="shared" si="43"/>
        <v>157.96</v>
      </c>
      <c r="W311" s="601">
        <f t="shared" si="39"/>
        <v>7770.59</v>
      </c>
      <c r="X311" s="601">
        <f t="shared" si="40"/>
        <v>0</v>
      </c>
      <c r="Y311" s="123"/>
      <c r="Z311" s="692">
        <f t="shared" si="38"/>
        <v>7597.08</v>
      </c>
      <c r="AA311" s="124"/>
      <c r="AB311" s="124"/>
      <c r="AC311" s="124"/>
      <c r="AD311" s="124"/>
      <c r="AE311" s="124"/>
      <c r="AF311" s="124"/>
      <c r="AG311" s="124"/>
      <c r="AH311" s="124"/>
      <c r="AI311" s="124"/>
      <c r="AJ311" s="124"/>
      <c r="AK311" s="124"/>
      <c r="AL311" s="124"/>
      <c r="AM311" s="124"/>
      <c r="AN311" s="124"/>
      <c r="AO311" s="124"/>
    </row>
    <row r="312" spans="1:41" customFormat="1" ht="12.75" hidden="1" thickBot="1">
      <c r="A312" s="25" t="s">
        <v>1212</v>
      </c>
      <c r="B312" s="25" t="s">
        <v>347</v>
      </c>
      <c r="C312" s="25" t="s">
        <v>978</v>
      </c>
      <c r="D312" s="235" t="s">
        <v>498</v>
      </c>
      <c r="E312" s="77">
        <v>356</v>
      </c>
      <c r="F312" s="20"/>
      <c r="G312" s="17">
        <v>419.38</v>
      </c>
      <c r="H312" s="20"/>
      <c r="I312" s="20"/>
      <c r="J312" s="20"/>
      <c r="K312" s="20"/>
      <c r="L312" s="20"/>
      <c r="M312" s="17">
        <v>0.78</v>
      </c>
      <c r="N312" s="17">
        <v>7.4</v>
      </c>
      <c r="O312" s="20"/>
      <c r="P312" s="20"/>
      <c r="Q312" s="17">
        <v>0</v>
      </c>
      <c r="R312" s="17">
        <v>427.56</v>
      </c>
      <c r="S312" s="142">
        <f t="shared" si="41"/>
        <v>419.38</v>
      </c>
      <c r="T312" s="142">
        <f t="shared" si="42"/>
        <v>0</v>
      </c>
      <c r="U312" s="142">
        <f t="shared" si="43"/>
        <v>7.4</v>
      </c>
      <c r="W312" s="601">
        <f t="shared" si="39"/>
        <v>427.55999999999995</v>
      </c>
      <c r="X312" s="601">
        <f t="shared" si="40"/>
        <v>0</v>
      </c>
      <c r="Y312" s="123"/>
      <c r="Z312" s="692">
        <f t="shared" si="38"/>
        <v>419.38</v>
      </c>
      <c r="AA312" s="124"/>
      <c r="AB312" s="124"/>
      <c r="AC312" s="124"/>
      <c r="AD312" s="124"/>
      <c r="AE312" s="124"/>
      <c r="AF312" s="124"/>
      <c r="AG312" s="124"/>
      <c r="AH312" s="124"/>
      <c r="AI312" s="124"/>
      <c r="AJ312" s="124"/>
      <c r="AK312" s="124"/>
      <c r="AL312" s="124"/>
      <c r="AM312" s="124"/>
      <c r="AN312" s="124"/>
      <c r="AO312" s="124"/>
    </row>
    <row r="313" spans="1:41" customFormat="1" ht="12.75" hidden="1" thickBot="1">
      <c r="A313" s="25" t="s">
        <v>1212</v>
      </c>
      <c r="B313" s="25" t="s">
        <v>348</v>
      </c>
      <c r="C313" s="25" t="s">
        <v>979</v>
      </c>
      <c r="D313" s="235" t="s">
        <v>606</v>
      </c>
      <c r="E313" s="76">
        <v>1337</v>
      </c>
      <c r="F313" s="19"/>
      <c r="G313" s="18">
        <v>1647.83</v>
      </c>
      <c r="H313" s="19"/>
      <c r="I313" s="19"/>
      <c r="J313" s="19"/>
      <c r="K313" s="19"/>
      <c r="L313" s="19"/>
      <c r="M313" s="18">
        <v>2.95</v>
      </c>
      <c r="N313" s="18">
        <v>29.06</v>
      </c>
      <c r="O313" s="19"/>
      <c r="P313" s="19"/>
      <c r="Q313" s="18">
        <v>0</v>
      </c>
      <c r="R313" s="18">
        <v>1679.84</v>
      </c>
      <c r="S313" s="142">
        <f t="shared" si="41"/>
        <v>1647.83</v>
      </c>
      <c r="T313" s="142">
        <f t="shared" si="42"/>
        <v>0</v>
      </c>
      <c r="U313" s="142">
        <f t="shared" si="43"/>
        <v>29.06</v>
      </c>
      <c r="W313" s="601">
        <f t="shared" si="39"/>
        <v>1679.84</v>
      </c>
      <c r="X313" s="601">
        <f t="shared" si="40"/>
        <v>0</v>
      </c>
      <c r="Y313" s="123"/>
      <c r="Z313" s="692">
        <f t="shared" si="38"/>
        <v>1647.83</v>
      </c>
      <c r="AA313" s="124"/>
      <c r="AB313" s="124"/>
      <c r="AC313" s="124"/>
      <c r="AD313" s="124"/>
      <c r="AE313" s="124"/>
      <c r="AF313" s="124"/>
      <c r="AG313" s="124"/>
      <c r="AH313" s="124"/>
      <c r="AI313" s="124"/>
      <c r="AJ313" s="124"/>
      <c r="AK313" s="124"/>
      <c r="AL313" s="124"/>
      <c r="AM313" s="124"/>
      <c r="AN313" s="124"/>
      <c r="AO313" s="124"/>
    </row>
    <row r="314" spans="1:41" customFormat="1" ht="12.75" hidden="1" thickBot="1">
      <c r="A314" s="25" t="s">
        <v>1212</v>
      </c>
      <c r="B314" s="25" t="s">
        <v>376</v>
      </c>
      <c r="C314" s="25" t="s">
        <v>980</v>
      </c>
      <c r="D314" s="235" t="s">
        <v>498</v>
      </c>
      <c r="E314" s="77">
        <v>443</v>
      </c>
      <c r="F314" s="20"/>
      <c r="G314" s="17">
        <v>346.77</v>
      </c>
      <c r="H314" s="20"/>
      <c r="I314" s="20"/>
      <c r="J314" s="20"/>
      <c r="K314" s="20"/>
      <c r="L314" s="20"/>
      <c r="M314" s="17">
        <v>0.97</v>
      </c>
      <c r="N314" s="17">
        <v>6.12</v>
      </c>
      <c r="O314" s="20"/>
      <c r="P314" s="20"/>
      <c r="Q314" s="17">
        <v>0</v>
      </c>
      <c r="R314" s="17">
        <v>353.86</v>
      </c>
      <c r="S314" s="142">
        <f t="shared" si="41"/>
        <v>346.77</v>
      </c>
      <c r="T314" s="142">
        <f t="shared" si="42"/>
        <v>0</v>
      </c>
      <c r="U314" s="142">
        <f t="shared" si="43"/>
        <v>6.12</v>
      </c>
      <c r="W314" s="601">
        <f t="shared" si="39"/>
        <v>353.86</v>
      </c>
      <c r="X314" s="601">
        <f t="shared" si="40"/>
        <v>0</v>
      </c>
      <c r="Y314" s="123"/>
      <c r="Z314" s="692">
        <f t="shared" ref="Z314:Z373" si="44">SUM(F314:K314)</f>
        <v>346.77</v>
      </c>
      <c r="AA314" s="124"/>
      <c r="AB314" s="124"/>
      <c r="AC314" s="124"/>
      <c r="AD314" s="124"/>
      <c r="AE314" s="124"/>
      <c r="AF314" s="124"/>
      <c r="AG314" s="124"/>
      <c r="AH314" s="124"/>
      <c r="AI314" s="124"/>
      <c r="AJ314" s="124"/>
      <c r="AK314" s="124"/>
      <c r="AL314" s="124"/>
      <c r="AM314" s="124"/>
      <c r="AN314" s="124"/>
      <c r="AO314" s="124"/>
    </row>
    <row r="315" spans="1:41" customFormat="1" ht="12.75" hidden="1" thickBot="1">
      <c r="A315" s="25" t="s">
        <v>1212</v>
      </c>
      <c r="B315" s="25" t="s">
        <v>349</v>
      </c>
      <c r="C315" s="25" t="s">
        <v>981</v>
      </c>
      <c r="D315" s="235" t="s">
        <v>606</v>
      </c>
      <c r="E315" s="76">
        <v>7654</v>
      </c>
      <c r="F315" s="19"/>
      <c r="G315" s="18">
        <v>7755.74</v>
      </c>
      <c r="H315" s="19"/>
      <c r="I315" s="19"/>
      <c r="J315" s="19"/>
      <c r="K315" s="19"/>
      <c r="L315" s="19"/>
      <c r="M315" s="18">
        <v>16.739999999999998</v>
      </c>
      <c r="N315" s="18">
        <v>139.19</v>
      </c>
      <c r="O315" s="19"/>
      <c r="P315" s="19"/>
      <c r="Q315" s="18">
        <v>0</v>
      </c>
      <c r="R315" s="18">
        <v>7911.67</v>
      </c>
      <c r="S315" s="142">
        <f t="shared" si="41"/>
        <v>7755.74</v>
      </c>
      <c r="T315" s="142">
        <f t="shared" si="42"/>
        <v>0</v>
      </c>
      <c r="U315" s="142">
        <f t="shared" si="43"/>
        <v>139.19</v>
      </c>
      <c r="W315" s="601">
        <f t="shared" si="39"/>
        <v>7911.6699999999992</v>
      </c>
      <c r="X315" s="601">
        <f t="shared" si="40"/>
        <v>0</v>
      </c>
      <c r="Y315" s="123"/>
      <c r="Z315" s="692">
        <f t="shared" si="44"/>
        <v>7755.74</v>
      </c>
      <c r="AA315" s="124"/>
      <c r="AB315" s="124"/>
      <c r="AC315" s="124"/>
      <c r="AD315" s="124"/>
      <c r="AE315" s="124"/>
      <c r="AF315" s="124"/>
      <c r="AG315" s="124"/>
      <c r="AH315" s="124"/>
      <c r="AI315" s="124"/>
      <c r="AJ315" s="124"/>
      <c r="AK315" s="124"/>
      <c r="AL315" s="124"/>
      <c r="AM315" s="124"/>
      <c r="AN315" s="124"/>
      <c r="AO315" s="124"/>
    </row>
    <row r="316" spans="1:41" customFormat="1" ht="12.75" hidden="1" thickBot="1">
      <c r="A316" s="25" t="s">
        <v>1212</v>
      </c>
      <c r="B316" s="25" t="s">
        <v>730</v>
      </c>
      <c r="C316" s="25" t="s">
        <v>982</v>
      </c>
      <c r="D316" s="235" t="s">
        <v>606</v>
      </c>
      <c r="E316" s="77">
        <v>208</v>
      </c>
      <c r="F316" s="20"/>
      <c r="G316" s="17">
        <v>36.56</v>
      </c>
      <c r="H316" s="20"/>
      <c r="I316" s="20"/>
      <c r="J316" s="20"/>
      <c r="K316" s="20"/>
      <c r="L316" s="20"/>
      <c r="M316" s="17">
        <v>0.46</v>
      </c>
      <c r="N316" s="17">
        <v>0.66</v>
      </c>
      <c r="O316" s="20"/>
      <c r="P316" s="20"/>
      <c r="Q316" s="20"/>
      <c r="R316" s="17">
        <v>37.68</v>
      </c>
      <c r="S316" s="142">
        <f t="shared" si="41"/>
        <v>36.56</v>
      </c>
      <c r="T316" s="142">
        <f t="shared" si="42"/>
        <v>0</v>
      </c>
      <c r="U316" s="142">
        <f t="shared" si="43"/>
        <v>0.66</v>
      </c>
      <c r="W316" s="601">
        <f t="shared" si="39"/>
        <v>37.68</v>
      </c>
      <c r="X316" s="601">
        <f t="shared" si="40"/>
        <v>0</v>
      </c>
      <c r="Y316" s="123"/>
      <c r="Z316" s="692">
        <f t="shared" si="44"/>
        <v>36.56</v>
      </c>
      <c r="AA316" s="124"/>
      <c r="AB316" s="124"/>
      <c r="AC316" s="124"/>
      <c r="AD316" s="124"/>
      <c r="AE316" s="124"/>
      <c r="AF316" s="124"/>
      <c r="AG316" s="124"/>
      <c r="AH316" s="124"/>
      <c r="AI316" s="124"/>
      <c r="AJ316" s="124"/>
      <c r="AK316" s="124"/>
      <c r="AL316" s="124"/>
      <c r="AM316" s="124"/>
      <c r="AN316" s="124"/>
      <c r="AO316" s="124"/>
    </row>
    <row r="317" spans="1:41" customFormat="1" ht="12.75" hidden="1" thickBot="1">
      <c r="A317" s="25" t="s">
        <v>1212</v>
      </c>
      <c r="B317" s="25" t="s">
        <v>378</v>
      </c>
      <c r="C317" s="25" t="s">
        <v>983</v>
      </c>
      <c r="D317" s="235" t="s">
        <v>606</v>
      </c>
      <c r="E317" s="76">
        <v>2314</v>
      </c>
      <c r="F317" s="19"/>
      <c r="G317" s="18">
        <v>312.48</v>
      </c>
      <c r="H317" s="19"/>
      <c r="I317" s="19"/>
      <c r="J317" s="19"/>
      <c r="K317" s="19"/>
      <c r="L317" s="19"/>
      <c r="M317" s="18">
        <v>5.01</v>
      </c>
      <c r="N317" s="18">
        <v>5.95</v>
      </c>
      <c r="O317" s="19"/>
      <c r="P317" s="19"/>
      <c r="Q317" s="19"/>
      <c r="R317" s="18">
        <v>323.44</v>
      </c>
      <c r="S317" s="142">
        <f t="shared" si="41"/>
        <v>312.48</v>
      </c>
      <c r="T317" s="142">
        <f t="shared" si="42"/>
        <v>0</v>
      </c>
      <c r="U317" s="142">
        <f t="shared" si="43"/>
        <v>5.95</v>
      </c>
      <c r="W317" s="601">
        <f t="shared" si="39"/>
        <v>323.44</v>
      </c>
      <c r="X317" s="601">
        <f t="shared" si="40"/>
        <v>0</v>
      </c>
      <c r="Y317" s="123"/>
      <c r="Z317" s="692">
        <f t="shared" si="44"/>
        <v>312.48</v>
      </c>
      <c r="AA317" s="124"/>
      <c r="AB317" s="124"/>
      <c r="AC317" s="124"/>
      <c r="AD317" s="124"/>
      <c r="AE317" s="124"/>
      <c r="AF317" s="124"/>
      <c r="AG317" s="124"/>
      <c r="AH317" s="124"/>
      <c r="AI317" s="124"/>
      <c r="AJ317" s="124"/>
      <c r="AK317" s="124"/>
      <c r="AL317" s="124"/>
      <c r="AM317" s="124"/>
      <c r="AN317" s="124"/>
      <c r="AO317" s="124"/>
    </row>
    <row r="318" spans="1:41" customFormat="1" ht="12.75" hidden="1" thickBot="1">
      <c r="A318" s="25" t="s">
        <v>1212</v>
      </c>
      <c r="B318" s="25" t="s">
        <v>354</v>
      </c>
      <c r="C318" s="25" t="s">
        <v>984</v>
      </c>
      <c r="D318" s="235" t="s">
        <v>606</v>
      </c>
      <c r="E318" s="77">
        <v>389758</v>
      </c>
      <c r="F318" s="20"/>
      <c r="G318" s="17">
        <v>81773.679999999993</v>
      </c>
      <c r="H318" s="20"/>
      <c r="I318" s="20"/>
      <c r="J318" s="20"/>
      <c r="K318" s="20"/>
      <c r="L318" s="20"/>
      <c r="M318" s="17">
        <v>856.58</v>
      </c>
      <c r="N318" s="17">
        <v>1460.36</v>
      </c>
      <c r="O318" s="20"/>
      <c r="P318" s="20"/>
      <c r="Q318" s="17">
        <v>0</v>
      </c>
      <c r="R318" s="17">
        <v>84090.62</v>
      </c>
      <c r="S318" s="142">
        <f t="shared" si="41"/>
        <v>81773.679999999993</v>
      </c>
      <c r="T318" s="142">
        <f t="shared" si="42"/>
        <v>0</v>
      </c>
      <c r="U318" s="142">
        <f t="shared" si="43"/>
        <v>1460.36</v>
      </c>
      <c r="W318" s="601">
        <f t="shared" si="39"/>
        <v>84090.62</v>
      </c>
      <c r="X318" s="601">
        <f t="shared" si="40"/>
        <v>0</v>
      </c>
      <c r="Y318" s="123"/>
      <c r="Z318" s="692">
        <f t="shared" si="44"/>
        <v>81773.679999999993</v>
      </c>
      <c r="AA318" s="124"/>
      <c r="AB318" s="124"/>
      <c r="AC318" s="124"/>
      <c r="AD318" s="124"/>
      <c r="AE318" s="124"/>
      <c r="AF318" s="124"/>
      <c r="AG318" s="124"/>
      <c r="AH318" s="124"/>
      <c r="AI318" s="124"/>
      <c r="AJ318" s="124"/>
      <c r="AK318" s="124"/>
      <c r="AL318" s="124"/>
      <c r="AM318" s="124"/>
      <c r="AN318" s="124"/>
      <c r="AO318" s="124"/>
    </row>
    <row r="319" spans="1:41" customFormat="1" ht="12.75" hidden="1" thickBot="1">
      <c r="A319" s="25" t="s">
        <v>1212</v>
      </c>
      <c r="B319" s="25" t="s">
        <v>355</v>
      </c>
      <c r="C319" s="25" t="s">
        <v>985</v>
      </c>
      <c r="D319" s="235" t="s">
        <v>606</v>
      </c>
      <c r="E319" s="77">
        <v>867017</v>
      </c>
      <c r="F319" s="20"/>
      <c r="G319" s="17">
        <v>135087.73000000001</v>
      </c>
      <c r="H319" s="20"/>
      <c r="I319" s="20"/>
      <c r="J319" s="20"/>
      <c r="K319" s="20"/>
      <c r="L319" s="20"/>
      <c r="M319" s="17">
        <v>1905.48</v>
      </c>
      <c r="N319" s="17">
        <v>2419.5100000000002</v>
      </c>
      <c r="O319" s="20"/>
      <c r="P319" s="20"/>
      <c r="Q319" s="17">
        <v>0</v>
      </c>
      <c r="R319" s="17">
        <v>139412.72</v>
      </c>
      <c r="S319" s="142">
        <f t="shared" si="41"/>
        <v>135087.73000000001</v>
      </c>
      <c r="T319" s="142">
        <f t="shared" si="42"/>
        <v>0</v>
      </c>
      <c r="U319" s="142">
        <f t="shared" si="43"/>
        <v>2419.5100000000002</v>
      </c>
      <c r="W319" s="601">
        <f t="shared" si="39"/>
        <v>139412.72000000003</v>
      </c>
      <c r="X319" s="601">
        <f t="shared" si="40"/>
        <v>0</v>
      </c>
      <c r="Y319" s="123"/>
      <c r="Z319" s="692">
        <f t="shared" si="44"/>
        <v>135087.73000000001</v>
      </c>
      <c r="AA319" s="124"/>
      <c r="AB319" s="124"/>
      <c r="AC319" s="124"/>
      <c r="AD319" s="124"/>
      <c r="AE319" s="124"/>
      <c r="AF319" s="124"/>
      <c r="AG319" s="124"/>
      <c r="AH319" s="124"/>
      <c r="AI319" s="124"/>
      <c r="AJ319" s="124"/>
      <c r="AK319" s="124"/>
      <c r="AL319" s="124"/>
      <c r="AM319" s="124"/>
      <c r="AN319" s="124"/>
      <c r="AO319" s="124"/>
    </row>
    <row r="320" spans="1:41" customFormat="1" ht="12.75" hidden="1" thickBot="1">
      <c r="A320" s="25" t="s">
        <v>1212</v>
      </c>
      <c r="B320" s="25" t="s">
        <v>356</v>
      </c>
      <c r="C320" s="25" t="s">
        <v>986</v>
      </c>
      <c r="D320" s="235" t="s">
        <v>606</v>
      </c>
      <c r="E320" s="77">
        <v>901658</v>
      </c>
      <c r="F320" s="20"/>
      <c r="G320" s="17">
        <v>99904.21</v>
      </c>
      <c r="H320" s="20"/>
      <c r="I320" s="20"/>
      <c r="J320" s="20"/>
      <c r="K320" s="20"/>
      <c r="L320" s="20"/>
      <c r="M320" s="17">
        <v>1974.76</v>
      </c>
      <c r="N320" s="17">
        <v>1818.27</v>
      </c>
      <c r="O320" s="20"/>
      <c r="P320" s="20"/>
      <c r="Q320" s="17">
        <v>0</v>
      </c>
      <c r="R320" s="17">
        <v>103697.24</v>
      </c>
      <c r="S320" s="142">
        <f t="shared" si="41"/>
        <v>99904.21</v>
      </c>
      <c r="T320" s="142">
        <f t="shared" si="42"/>
        <v>0</v>
      </c>
      <c r="U320" s="142">
        <f t="shared" si="43"/>
        <v>1818.27</v>
      </c>
      <c r="W320" s="601">
        <f t="shared" si="39"/>
        <v>103697.24</v>
      </c>
      <c r="X320" s="601">
        <f t="shared" si="40"/>
        <v>0</v>
      </c>
      <c r="Y320" s="123"/>
      <c r="Z320" s="692">
        <f t="shared" si="44"/>
        <v>99904.21</v>
      </c>
      <c r="AA320" s="124"/>
      <c r="AB320" s="124"/>
      <c r="AC320" s="124"/>
      <c r="AD320" s="124"/>
      <c r="AE320" s="124"/>
      <c r="AF320" s="124"/>
      <c r="AG320" s="124"/>
      <c r="AH320" s="124"/>
      <c r="AI320" s="124"/>
      <c r="AJ320" s="124"/>
      <c r="AK320" s="124"/>
      <c r="AL320" s="124"/>
      <c r="AM320" s="124"/>
      <c r="AN320" s="124"/>
      <c r="AO320" s="124"/>
    </row>
    <row r="321" spans="1:41" customFormat="1" ht="12.75" hidden="1" thickBot="1">
      <c r="A321" s="25" t="s">
        <v>1212</v>
      </c>
      <c r="B321" s="25" t="s">
        <v>357</v>
      </c>
      <c r="C321" s="25" t="s">
        <v>987</v>
      </c>
      <c r="D321" s="235" t="s">
        <v>606</v>
      </c>
      <c r="E321" s="77">
        <v>26863</v>
      </c>
      <c r="F321" s="20"/>
      <c r="G321" s="17">
        <v>5940.57</v>
      </c>
      <c r="H321" s="20"/>
      <c r="I321" s="20"/>
      <c r="J321" s="20"/>
      <c r="K321" s="20"/>
      <c r="L321" s="20"/>
      <c r="M321" s="17">
        <v>58.79</v>
      </c>
      <c r="N321" s="17">
        <v>105.64</v>
      </c>
      <c r="O321" s="20"/>
      <c r="P321" s="20"/>
      <c r="Q321" s="17">
        <v>0</v>
      </c>
      <c r="R321" s="17">
        <v>6105</v>
      </c>
      <c r="S321" s="142">
        <f t="shared" si="41"/>
        <v>5940.57</v>
      </c>
      <c r="T321" s="142">
        <f t="shared" si="42"/>
        <v>0</v>
      </c>
      <c r="U321" s="142">
        <f t="shared" si="43"/>
        <v>105.64</v>
      </c>
      <c r="W321" s="601">
        <f t="shared" si="39"/>
        <v>6105</v>
      </c>
      <c r="X321" s="601">
        <f t="shared" si="40"/>
        <v>0</v>
      </c>
      <c r="Y321" s="123"/>
      <c r="Z321" s="692">
        <f t="shared" si="44"/>
        <v>5940.57</v>
      </c>
      <c r="AA321" s="124"/>
      <c r="AB321" s="124"/>
      <c r="AC321" s="124"/>
      <c r="AD321" s="124"/>
      <c r="AE321" s="124"/>
      <c r="AF321" s="124"/>
      <c r="AG321" s="124"/>
      <c r="AH321" s="124"/>
      <c r="AI321" s="124"/>
      <c r="AJ321" s="124"/>
      <c r="AK321" s="124"/>
      <c r="AL321" s="124"/>
      <c r="AM321" s="124"/>
      <c r="AN321" s="124"/>
      <c r="AO321" s="124"/>
    </row>
    <row r="322" spans="1:41" customFormat="1" ht="12.75" hidden="1" thickBot="1">
      <c r="A322" s="25" t="s">
        <v>1212</v>
      </c>
      <c r="B322" s="25" t="s">
        <v>358</v>
      </c>
      <c r="C322" s="25" t="s">
        <v>988</v>
      </c>
      <c r="D322" s="235" t="s">
        <v>606</v>
      </c>
      <c r="E322" s="76">
        <v>2212760</v>
      </c>
      <c r="F322" s="19"/>
      <c r="G322" s="18">
        <v>247232.47</v>
      </c>
      <c r="H322" s="19"/>
      <c r="I322" s="19"/>
      <c r="J322" s="19"/>
      <c r="K322" s="19"/>
      <c r="L322" s="19"/>
      <c r="M322" s="18">
        <v>4826.8999999999996</v>
      </c>
      <c r="N322" s="18">
        <v>4544.6899999999996</v>
      </c>
      <c r="O322" s="19"/>
      <c r="P322" s="19"/>
      <c r="Q322" s="18">
        <v>0</v>
      </c>
      <c r="R322" s="18">
        <v>256604.06</v>
      </c>
      <c r="S322" s="142">
        <f t="shared" si="41"/>
        <v>247232.47</v>
      </c>
      <c r="T322" s="142">
        <f t="shared" si="42"/>
        <v>0</v>
      </c>
      <c r="U322" s="142">
        <f t="shared" si="43"/>
        <v>4544.6899999999996</v>
      </c>
      <c r="W322" s="601">
        <f t="shared" si="39"/>
        <v>256604.06</v>
      </c>
      <c r="X322" s="601">
        <f t="shared" si="40"/>
        <v>0</v>
      </c>
      <c r="Y322" s="123"/>
      <c r="Z322" s="692">
        <f t="shared" si="44"/>
        <v>247232.47</v>
      </c>
      <c r="AA322" s="124"/>
      <c r="AB322" s="124"/>
      <c r="AC322" s="124"/>
      <c r="AD322" s="124"/>
      <c r="AE322" s="124"/>
      <c r="AF322" s="124"/>
      <c r="AG322" s="124"/>
      <c r="AH322" s="124"/>
      <c r="AI322" s="124"/>
      <c r="AJ322" s="124"/>
      <c r="AK322" s="124"/>
      <c r="AL322" s="124"/>
      <c r="AM322" s="124"/>
      <c r="AN322" s="124"/>
      <c r="AO322" s="124"/>
    </row>
    <row r="323" spans="1:41" customFormat="1" ht="12.75" hidden="1" thickBot="1">
      <c r="A323" s="25" t="s">
        <v>1212</v>
      </c>
      <c r="B323" s="25" t="s">
        <v>359</v>
      </c>
      <c r="C323" s="25" t="s">
        <v>989</v>
      </c>
      <c r="D323" s="235" t="s">
        <v>606</v>
      </c>
      <c r="E323" s="76">
        <v>139706</v>
      </c>
      <c r="F323" s="19"/>
      <c r="G323" s="18">
        <v>37979.18</v>
      </c>
      <c r="H323" s="19"/>
      <c r="I323" s="19"/>
      <c r="J323" s="19"/>
      <c r="K323" s="19"/>
      <c r="L323" s="19"/>
      <c r="M323" s="18">
        <v>304.94</v>
      </c>
      <c r="N323" s="18">
        <v>674.25</v>
      </c>
      <c r="O323" s="19"/>
      <c r="P323" s="19"/>
      <c r="Q323" s="18">
        <v>0</v>
      </c>
      <c r="R323" s="18">
        <v>38958.370000000003</v>
      </c>
      <c r="S323" s="142">
        <f t="shared" si="41"/>
        <v>37979.18</v>
      </c>
      <c r="T323" s="142">
        <f t="shared" si="42"/>
        <v>0</v>
      </c>
      <c r="U323" s="142">
        <f t="shared" si="43"/>
        <v>674.25</v>
      </c>
      <c r="W323" s="601">
        <f t="shared" si="39"/>
        <v>38958.370000000003</v>
      </c>
      <c r="X323" s="601">
        <f t="shared" si="40"/>
        <v>0</v>
      </c>
      <c r="Y323" s="123"/>
      <c r="Z323" s="692">
        <f t="shared" si="44"/>
        <v>37979.18</v>
      </c>
      <c r="AA323" s="124"/>
      <c r="AB323" s="124"/>
      <c r="AC323" s="124"/>
      <c r="AD323" s="124"/>
      <c r="AE323" s="124"/>
      <c r="AF323" s="124"/>
      <c r="AG323" s="124"/>
      <c r="AH323" s="124"/>
      <c r="AI323" s="124"/>
      <c r="AJ323" s="124"/>
      <c r="AK323" s="124"/>
      <c r="AL323" s="124"/>
      <c r="AM323" s="124"/>
      <c r="AN323" s="124"/>
      <c r="AO323" s="124"/>
    </row>
    <row r="324" spans="1:41" customFormat="1" ht="12.75" hidden="1" thickBot="1">
      <c r="A324" s="25" t="s">
        <v>1212</v>
      </c>
      <c r="B324" s="25" t="s">
        <v>360</v>
      </c>
      <c r="C324" s="25" t="s">
        <v>990</v>
      </c>
      <c r="D324" s="235" t="s">
        <v>498</v>
      </c>
      <c r="E324" s="77">
        <v>362</v>
      </c>
      <c r="F324" s="20"/>
      <c r="G324" s="17">
        <v>55.65</v>
      </c>
      <c r="H324" s="20"/>
      <c r="I324" s="20"/>
      <c r="J324" s="20"/>
      <c r="K324" s="20"/>
      <c r="L324" s="20"/>
      <c r="M324" s="17">
        <v>0.8</v>
      </c>
      <c r="N324" s="17">
        <v>1</v>
      </c>
      <c r="O324" s="20"/>
      <c r="P324" s="20"/>
      <c r="Q324" s="17">
        <v>0</v>
      </c>
      <c r="R324" s="17">
        <v>57.45</v>
      </c>
      <c r="S324" s="142">
        <f t="shared" si="41"/>
        <v>55.65</v>
      </c>
      <c r="T324" s="142">
        <f t="shared" si="42"/>
        <v>0</v>
      </c>
      <c r="U324" s="142">
        <f t="shared" si="43"/>
        <v>1</v>
      </c>
      <c r="W324" s="601">
        <f t="shared" ref="W324:W350" si="45">SUM(F324:Q324)</f>
        <v>57.449999999999996</v>
      </c>
      <c r="X324" s="601">
        <f t="shared" ref="X324:X350" si="46">W324-R324</f>
        <v>0</v>
      </c>
      <c r="Y324" s="123"/>
      <c r="Z324" s="692">
        <f t="shared" si="44"/>
        <v>55.65</v>
      </c>
      <c r="AA324" s="124"/>
      <c r="AB324" s="124"/>
      <c r="AC324" s="124"/>
      <c r="AD324" s="124"/>
      <c r="AE324" s="124"/>
      <c r="AF324" s="124"/>
      <c r="AG324" s="124"/>
      <c r="AH324" s="124"/>
      <c r="AI324" s="124"/>
      <c r="AJ324" s="124"/>
      <c r="AK324" s="124"/>
      <c r="AL324" s="124"/>
      <c r="AM324" s="124"/>
      <c r="AN324" s="124"/>
      <c r="AO324" s="124"/>
    </row>
    <row r="325" spans="1:41" customFormat="1" ht="12.75" hidden="1" thickBot="1">
      <c r="A325" s="25" t="s">
        <v>1212</v>
      </c>
      <c r="B325" s="25" t="s">
        <v>365</v>
      </c>
      <c r="C325" s="25" t="s">
        <v>991</v>
      </c>
      <c r="D325" s="235" t="s">
        <v>606</v>
      </c>
      <c r="E325" s="76">
        <v>1187</v>
      </c>
      <c r="F325" s="19"/>
      <c r="G325" s="18">
        <v>285.5</v>
      </c>
      <c r="H325" s="19"/>
      <c r="I325" s="19"/>
      <c r="J325" s="19"/>
      <c r="K325" s="19"/>
      <c r="L325" s="19"/>
      <c r="M325" s="18">
        <v>2.63</v>
      </c>
      <c r="N325" s="18">
        <v>5.09</v>
      </c>
      <c r="O325" s="19"/>
      <c r="P325" s="19"/>
      <c r="Q325" s="18">
        <v>0</v>
      </c>
      <c r="R325" s="18">
        <v>293.22000000000003</v>
      </c>
      <c r="S325" s="142">
        <f t="shared" si="41"/>
        <v>285.5</v>
      </c>
      <c r="T325" s="142">
        <f t="shared" si="42"/>
        <v>0</v>
      </c>
      <c r="U325" s="142">
        <f t="shared" si="43"/>
        <v>5.09</v>
      </c>
      <c r="W325" s="601">
        <f t="shared" si="45"/>
        <v>293.21999999999997</v>
      </c>
      <c r="X325" s="601">
        <f t="shared" si="46"/>
        <v>0</v>
      </c>
      <c r="Y325" s="123"/>
      <c r="Z325" s="692">
        <f t="shared" si="44"/>
        <v>285.5</v>
      </c>
      <c r="AA325" s="124"/>
      <c r="AB325" s="124"/>
      <c r="AC325" s="124"/>
      <c r="AD325" s="124"/>
      <c r="AE325" s="124"/>
      <c r="AF325" s="124"/>
      <c r="AG325" s="124"/>
      <c r="AH325" s="124"/>
      <c r="AI325" s="124"/>
      <c r="AJ325" s="124"/>
      <c r="AK325" s="124"/>
      <c r="AL325" s="124"/>
      <c r="AM325" s="124"/>
      <c r="AN325" s="124"/>
      <c r="AO325" s="124"/>
    </row>
    <row r="326" spans="1:41" customFormat="1" ht="12.75" hidden="1" thickBot="1">
      <c r="A326" s="25" t="s">
        <v>1212</v>
      </c>
      <c r="B326" s="25" t="s">
        <v>366</v>
      </c>
      <c r="C326" s="25" t="s">
        <v>992</v>
      </c>
      <c r="D326" s="235" t="s">
        <v>498</v>
      </c>
      <c r="E326" s="77">
        <v>107</v>
      </c>
      <c r="F326" s="20"/>
      <c r="G326" s="17">
        <v>30.14</v>
      </c>
      <c r="H326" s="20"/>
      <c r="I326" s="20"/>
      <c r="J326" s="20"/>
      <c r="K326" s="20"/>
      <c r="L326" s="20"/>
      <c r="M326" s="17">
        <v>0.24</v>
      </c>
      <c r="N326" s="17">
        <v>0.54</v>
      </c>
      <c r="O326" s="20"/>
      <c r="P326" s="20"/>
      <c r="Q326" s="17">
        <v>0</v>
      </c>
      <c r="R326" s="17">
        <v>30.92</v>
      </c>
      <c r="S326" s="142">
        <f t="shared" si="41"/>
        <v>30.14</v>
      </c>
      <c r="T326" s="142">
        <f t="shared" si="42"/>
        <v>0</v>
      </c>
      <c r="U326" s="142">
        <f t="shared" si="43"/>
        <v>0.54</v>
      </c>
      <c r="W326" s="601">
        <f t="shared" si="45"/>
        <v>30.919999999999998</v>
      </c>
      <c r="X326" s="601">
        <f t="shared" si="46"/>
        <v>0</v>
      </c>
      <c r="Y326" s="123"/>
      <c r="Z326" s="692">
        <f t="shared" si="44"/>
        <v>30.14</v>
      </c>
      <c r="AA326" s="124"/>
      <c r="AB326" s="124"/>
      <c r="AC326" s="124"/>
      <c r="AD326" s="124"/>
      <c r="AE326" s="124"/>
      <c r="AF326" s="124"/>
      <c r="AG326" s="124"/>
      <c r="AH326" s="124"/>
      <c r="AI326" s="124"/>
      <c r="AJ326" s="124"/>
      <c r="AK326" s="124"/>
      <c r="AL326" s="124"/>
      <c r="AM326" s="124"/>
      <c r="AN326" s="124"/>
      <c r="AO326" s="124"/>
    </row>
    <row r="327" spans="1:41" customFormat="1" ht="12.75" hidden="1" thickBot="1">
      <c r="A327" s="25" t="s">
        <v>1212</v>
      </c>
      <c r="B327" s="25" t="s">
        <v>367</v>
      </c>
      <c r="C327" s="25" t="s">
        <v>993</v>
      </c>
      <c r="D327" s="235" t="s">
        <v>606</v>
      </c>
      <c r="E327" s="76">
        <v>40966</v>
      </c>
      <c r="F327" s="19"/>
      <c r="G327" s="18">
        <v>6222.22</v>
      </c>
      <c r="H327" s="19"/>
      <c r="I327" s="19"/>
      <c r="J327" s="19"/>
      <c r="K327" s="19"/>
      <c r="L327" s="19"/>
      <c r="M327" s="18">
        <v>88.94</v>
      </c>
      <c r="N327" s="18">
        <v>115.43</v>
      </c>
      <c r="O327" s="19"/>
      <c r="P327" s="19"/>
      <c r="Q327" s="18">
        <v>0</v>
      </c>
      <c r="R327" s="18">
        <v>6426.59</v>
      </c>
      <c r="S327" s="142">
        <f t="shared" si="41"/>
        <v>6222.22</v>
      </c>
      <c r="T327" s="142">
        <f t="shared" si="42"/>
        <v>0</v>
      </c>
      <c r="U327" s="142">
        <f t="shared" si="43"/>
        <v>115.43</v>
      </c>
      <c r="W327" s="601">
        <f t="shared" si="45"/>
        <v>6426.59</v>
      </c>
      <c r="X327" s="601">
        <f t="shared" si="46"/>
        <v>0</v>
      </c>
      <c r="Y327" s="123"/>
      <c r="Z327" s="692">
        <f t="shared" si="44"/>
        <v>6222.22</v>
      </c>
      <c r="AA327" s="124"/>
      <c r="AB327" s="124"/>
      <c r="AC327" s="124"/>
      <c r="AD327" s="124"/>
      <c r="AE327" s="124"/>
      <c r="AF327" s="124"/>
      <c r="AG327" s="124"/>
      <c r="AH327" s="124"/>
      <c r="AI327" s="124"/>
      <c r="AJ327" s="124"/>
      <c r="AK327" s="124"/>
      <c r="AL327" s="124"/>
      <c r="AM327" s="124"/>
      <c r="AN327" s="124"/>
      <c r="AO327" s="124"/>
    </row>
    <row r="328" spans="1:41" customFormat="1" ht="12.75" hidden="1" thickBot="1">
      <c r="A328" s="25" t="s">
        <v>1212</v>
      </c>
      <c r="B328" s="25" t="s">
        <v>368</v>
      </c>
      <c r="C328" s="25" t="s">
        <v>994</v>
      </c>
      <c r="D328" s="235" t="s">
        <v>498</v>
      </c>
      <c r="E328" s="77">
        <v>6762</v>
      </c>
      <c r="F328" s="20"/>
      <c r="G328" s="17">
        <v>1159.1199999999999</v>
      </c>
      <c r="H328" s="20"/>
      <c r="I328" s="20"/>
      <c r="J328" s="20"/>
      <c r="K328" s="20"/>
      <c r="L328" s="20"/>
      <c r="M328" s="17">
        <v>14.87</v>
      </c>
      <c r="N328" s="17">
        <v>20.6</v>
      </c>
      <c r="O328" s="20"/>
      <c r="P328" s="20"/>
      <c r="Q328" s="17">
        <v>0</v>
      </c>
      <c r="R328" s="17">
        <v>1194.5899999999999</v>
      </c>
      <c r="S328" s="142">
        <f t="shared" si="41"/>
        <v>1159.1199999999999</v>
      </c>
      <c r="T328" s="142">
        <f t="shared" si="42"/>
        <v>0</v>
      </c>
      <c r="U328" s="142">
        <f t="shared" si="43"/>
        <v>20.6</v>
      </c>
      <c r="W328" s="601">
        <f t="shared" si="45"/>
        <v>1194.5899999999997</v>
      </c>
      <c r="X328" s="601">
        <f t="shared" si="46"/>
        <v>0</v>
      </c>
      <c r="Y328" s="123"/>
      <c r="Z328" s="692">
        <f t="shared" si="44"/>
        <v>1159.1199999999999</v>
      </c>
      <c r="AA328" s="124"/>
      <c r="AB328" s="124"/>
      <c r="AC328" s="124"/>
      <c r="AD328" s="124"/>
      <c r="AE328" s="124"/>
      <c r="AF328" s="124"/>
      <c r="AG328" s="124"/>
      <c r="AH328" s="124"/>
      <c r="AI328" s="124"/>
      <c r="AJ328" s="124"/>
      <c r="AK328" s="124"/>
      <c r="AL328" s="124"/>
      <c r="AM328" s="124"/>
      <c r="AN328" s="124"/>
      <c r="AO328" s="124"/>
    </row>
    <row r="329" spans="1:41" customFormat="1" ht="12.75" hidden="1" thickBot="1">
      <c r="A329" s="25" t="s">
        <v>1212</v>
      </c>
      <c r="B329" s="25" t="s">
        <v>369</v>
      </c>
      <c r="C329" s="25" t="s">
        <v>995</v>
      </c>
      <c r="D329" s="235" t="s">
        <v>498</v>
      </c>
      <c r="E329" s="76">
        <v>246</v>
      </c>
      <c r="F329" s="19"/>
      <c r="G329" s="18">
        <v>56.84</v>
      </c>
      <c r="H329" s="19"/>
      <c r="I329" s="19"/>
      <c r="J329" s="19"/>
      <c r="K329" s="19"/>
      <c r="L329" s="19"/>
      <c r="M329" s="18">
        <v>0.54</v>
      </c>
      <c r="N329" s="18">
        <v>1.01</v>
      </c>
      <c r="O329" s="19"/>
      <c r="P329" s="19"/>
      <c r="Q329" s="18">
        <v>0</v>
      </c>
      <c r="R329" s="18">
        <v>58.39</v>
      </c>
      <c r="S329" s="142">
        <f t="shared" si="41"/>
        <v>56.84</v>
      </c>
      <c r="T329" s="142">
        <f t="shared" si="42"/>
        <v>0</v>
      </c>
      <c r="U329" s="142">
        <f t="shared" si="43"/>
        <v>1.01</v>
      </c>
      <c r="W329" s="601">
        <f t="shared" si="45"/>
        <v>58.39</v>
      </c>
      <c r="X329" s="601">
        <f t="shared" si="46"/>
        <v>0</v>
      </c>
      <c r="Y329" s="123"/>
      <c r="Z329" s="692">
        <f t="shared" si="44"/>
        <v>56.84</v>
      </c>
      <c r="AA329" s="124"/>
      <c r="AB329" s="124"/>
      <c r="AC329" s="124"/>
      <c r="AD329" s="124"/>
      <c r="AE329" s="124"/>
      <c r="AF329" s="124"/>
      <c r="AG329" s="124"/>
      <c r="AH329" s="124"/>
      <c r="AI329" s="124"/>
      <c r="AJ329" s="124"/>
      <c r="AK329" s="124"/>
      <c r="AL329" s="124"/>
      <c r="AM329" s="124"/>
      <c r="AN329" s="124"/>
      <c r="AO329" s="124"/>
    </row>
    <row r="330" spans="1:41" customFormat="1" ht="12.75" hidden="1" thickBot="1">
      <c r="A330" s="25" t="s">
        <v>1212</v>
      </c>
      <c r="B330" s="25" t="s">
        <v>370</v>
      </c>
      <c r="C330" s="25" t="s">
        <v>996</v>
      </c>
      <c r="D330" s="235" t="s">
        <v>606</v>
      </c>
      <c r="E330" s="77">
        <v>153794</v>
      </c>
      <c r="F330" s="20"/>
      <c r="G330" s="17">
        <v>15916.65</v>
      </c>
      <c r="H330" s="20"/>
      <c r="I330" s="20"/>
      <c r="J330" s="20"/>
      <c r="K330" s="20"/>
      <c r="L330" s="20"/>
      <c r="M330" s="17">
        <v>328.66</v>
      </c>
      <c r="N330" s="17">
        <v>296.20999999999998</v>
      </c>
      <c r="O330" s="20"/>
      <c r="P330" s="20"/>
      <c r="Q330" s="17">
        <v>0</v>
      </c>
      <c r="R330" s="17">
        <v>16541.52</v>
      </c>
      <c r="S330" s="142">
        <f t="shared" si="41"/>
        <v>15916.65</v>
      </c>
      <c r="T330" s="142">
        <f t="shared" si="42"/>
        <v>0</v>
      </c>
      <c r="U330" s="142">
        <f t="shared" si="43"/>
        <v>296.20999999999998</v>
      </c>
      <c r="W330" s="601">
        <f t="shared" si="45"/>
        <v>16541.52</v>
      </c>
      <c r="X330" s="601">
        <f t="shared" si="46"/>
        <v>0</v>
      </c>
      <c r="Y330" s="123"/>
      <c r="Z330" s="692">
        <f t="shared" si="44"/>
        <v>15916.65</v>
      </c>
      <c r="AA330" s="124"/>
      <c r="AB330" s="124"/>
      <c r="AC330" s="124"/>
      <c r="AD330" s="124"/>
      <c r="AE330" s="124"/>
      <c r="AF330" s="124"/>
      <c r="AG330" s="124"/>
      <c r="AH330" s="124"/>
      <c r="AI330" s="124"/>
      <c r="AJ330" s="124"/>
      <c r="AK330" s="124"/>
      <c r="AL330" s="124"/>
      <c r="AM330" s="124"/>
      <c r="AN330" s="124"/>
      <c r="AO330" s="124"/>
    </row>
    <row r="331" spans="1:41" customFormat="1" ht="12.75" hidden="1" thickBot="1">
      <c r="A331" s="25" t="s">
        <v>1212</v>
      </c>
      <c r="B331" s="25" t="s">
        <v>371</v>
      </c>
      <c r="C331" s="25" t="s">
        <v>997</v>
      </c>
      <c r="D331" s="235" t="s">
        <v>498</v>
      </c>
      <c r="E331" s="76">
        <v>23054</v>
      </c>
      <c r="F331" s="19"/>
      <c r="G331" s="18">
        <v>2643.51</v>
      </c>
      <c r="H331" s="19"/>
      <c r="I331" s="19"/>
      <c r="J331" s="19"/>
      <c r="K331" s="19"/>
      <c r="L331" s="19"/>
      <c r="M331" s="18">
        <v>50.72</v>
      </c>
      <c r="N331" s="18">
        <v>47.45</v>
      </c>
      <c r="O331" s="19"/>
      <c r="P331" s="19"/>
      <c r="Q331" s="18">
        <v>0</v>
      </c>
      <c r="R331" s="18">
        <v>2741.68</v>
      </c>
      <c r="S331" s="142">
        <f t="shared" si="41"/>
        <v>2643.51</v>
      </c>
      <c r="T331" s="142">
        <f t="shared" si="42"/>
        <v>0</v>
      </c>
      <c r="U331" s="142">
        <f t="shared" si="43"/>
        <v>47.45</v>
      </c>
      <c r="W331" s="601">
        <f t="shared" si="45"/>
        <v>2741.68</v>
      </c>
      <c r="X331" s="601">
        <f t="shared" si="46"/>
        <v>0</v>
      </c>
      <c r="Y331" s="123"/>
      <c r="Z331" s="692">
        <f t="shared" si="44"/>
        <v>2643.51</v>
      </c>
      <c r="AA331" s="124"/>
      <c r="AB331" s="124"/>
      <c r="AC331" s="124"/>
      <c r="AD331" s="124"/>
      <c r="AE331" s="124"/>
      <c r="AF331" s="124"/>
      <c r="AG331" s="124"/>
      <c r="AH331" s="124"/>
      <c r="AI331" s="124"/>
      <c r="AJ331" s="124"/>
      <c r="AK331" s="124"/>
      <c r="AL331" s="124"/>
      <c r="AM331" s="124"/>
      <c r="AN331" s="124"/>
      <c r="AO331" s="124"/>
    </row>
    <row r="332" spans="1:41" customFormat="1" ht="12.75" hidden="1" thickBot="1">
      <c r="A332" s="25" t="s">
        <v>1212</v>
      </c>
      <c r="B332" s="25" t="s">
        <v>659</v>
      </c>
      <c r="C332" s="25" t="s">
        <v>998</v>
      </c>
      <c r="D332" s="235" t="s">
        <v>606</v>
      </c>
      <c r="E332" s="77">
        <v>888</v>
      </c>
      <c r="F332" s="20"/>
      <c r="G332" s="17">
        <v>428.94</v>
      </c>
      <c r="H332" s="20"/>
      <c r="I332" s="20"/>
      <c r="J332" s="20"/>
      <c r="K332" s="20"/>
      <c r="L332" s="20"/>
      <c r="M332" s="17">
        <v>1.95</v>
      </c>
      <c r="N332" s="17">
        <v>7.58</v>
      </c>
      <c r="O332" s="20"/>
      <c r="P332" s="20"/>
      <c r="Q332" s="17">
        <v>0</v>
      </c>
      <c r="R332" s="17">
        <v>438.47</v>
      </c>
      <c r="S332" s="142">
        <f t="shared" si="41"/>
        <v>428.94</v>
      </c>
      <c r="T332" s="142">
        <f t="shared" si="42"/>
        <v>0</v>
      </c>
      <c r="U332" s="142">
        <f t="shared" si="43"/>
        <v>7.58</v>
      </c>
      <c r="W332" s="601">
        <f t="shared" si="45"/>
        <v>438.46999999999997</v>
      </c>
      <c r="X332" s="601">
        <f t="shared" si="46"/>
        <v>0</v>
      </c>
      <c r="Y332" s="123"/>
      <c r="Z332" s="692">
        <f t="shared" si="44"/>
        <v>428.94</v>
      </c>
      <c r="AA332" s="124"/>
      <c r="AB332" s="124"/>
      <c r="AC332" s="124"/>
      <c r="AD332" s="124"/>
      <c r="AE332" s="124"/>
      <c r="AF332" s="124"/>
      <c r="AG332" s="124"/>
      <c r="AH332" s="124"/>
      <c r="AI332" s="124"/>
      <c r="AJ332" s="124"/>
      <c r="AK332" s="124"/>
      <c r="AL332" s="124"/>
      <c r="AM332" s="124"/>
      <c r="AN332" s="124"/>
      <c r="AO332" s="124"/>
    </row>
    <row r="333" spans="1:41" customFormat="1" ht="12.75" hidden="1" thickBot="1">
      <c r="A333" s="25" t="s">
        <v>1212</v>
      </c>
      <c r="B333" s="25" t="s">
        <v>399</v>
      </c>
      <c r="C333" s="25" t="s">
        <v>999</v>
      </c>
      <c r="D333" s="235" t="s">
        <v>606</v>
      </c>
      <c r="E333" s="76">
        <v>507</v>
      </c>
      <c r="F333" s="19"/>
      <c r="G333" s="18">
        <v>81.84</v>
      </c>
      <c r="H333" s="19"/>
      <c r="I333" s="19"/>
      <c r="J333" s="19"/>
      <c r="K333" s="19"/>
      <c r="L333" s="19"/>
      <c r="M333" s="18">
        <v>1.1200000000000001</v>
      </c>
      <c r="N333" s="18">
        <v>1.46</v>
      </c>
      <c r="O333" s="19"/>
      <c r="P333" s="19"/>
      <c r="Q333" s="18">
        <v>0</v>
      </c>
      <c r="R333" s="18">
        <v>84.42</v>
      </c>
      <c r="S333" s="142">
        <f t="shared" si="41"/>
        <v>81.84</v>
      </c>
      <c r="T333" s="142">
        <f t="shared" si="42"/>
        <v>0</v>
      </c>
      <c r="U333" s="142">
        <f t="shared" si="43"/>
        <v>1.46</v>
      </c>
      <c r="W333" s="601">
        <f t="shared" si="45"/>
        <v>84.42</v>
      </c>
      <c r="X333" s="601">
        <f t="shared" si="46"/>
        <v>0</v>
      </c>
      <c r="Y333" s="123"/>
      <c r="Z333" s="692">
        <f t="shared" si="44"/>
        <v>81.84</v>
      </c>
      <c r="AA333" s="124"/>
      <c r="AB333" s="124"/>
      <c r="AC333" s="124"/>
      <c r="AD333" s="124"/>
      <c r="AE333" s="124"/>
      <c r="AF333" s="124"/>
      <c r="AG333" s="124"/>
      <c r="AH333" s="124"/>
      <c r="AI333" s="124"/>
      <c r="AJ333" s="124"/>
      <c r="AK333" s="124"/>
      <c r="AL333" s="124"/>
      <c r="AM333" s="124"/>
      <c r="AN333" s="124"/>
      <c r="AO333" s="124"/>
    </row>
    <row r="334" spans="1:41" customFormat="1" ht="12.75" hidden="1" thickBot="1">
      <c r="A334" s="25" t="s">
        <v>1212</v>
      </c>
      <c r="B334" s="25" t="s">
        <v>372</v>
      </c>
      <c r="C334" s="25" t="s">
        <v>1000</v>
      </c>
      <c r="D334" s="235" t="s">
        <v>606</v>
      </c>
      <c r="E334" s="77">
        <v>5275</v>
      </c>
      <c r="F334" s="20"/>
      <c r="G334" s="17">
        <v>1268.82</v>
      </c>
      <c r="H334" s="20"/>
      <c r="I334" s="20"/>
      <c r="J334" s="20"/>
      <c r="K334" s="20"/>
      <c r="L334" s="20"/>
      <c r="M334" s="17">
        <v>11.54</v>
      </c>
      <c r="N334" s="17">
        <v>23.02</v>
      </c>
      <c r="O334" s="20"/>
      <c r="P334" s="20"/>
      <c r="Q334" s="17">
        <v>0</v>
      </c>
      <c r="R334" s="17">
        <v>1303.3800000000001</v>
      </c>
      <c r="S334" s="142">
        <f t="shared" si="41"/>
        <v>1268.82</v>
      </c>
      <c r="T334" s="142">
        <f t="shared" si="42"/>
        <v>0</v>
      </c>
      <c r="U334" s="142">
        <f t="shared" si="43"/>
        <v>23.02</v>
      </c>
      <c r="W334" s="601">
        <f t="shared" si="45"/>
        <v>1303.3799999999999</v>
      </c>
      <c r="X334" s="601">
        <f t="shared" si="46"/>
        <v>0</v>
      </c>
      <c r="Y334" s="123"/>
      <c r="Z334" s="692">
        <f t="shared" si="44"/>
        <v>1268.82</v>
      </c>
      <c r="AA334" s="124"/>
      <c r="AB334" s="124"/>
      <c r="AC334" s="124"/>
      <c r="AD334" s="124"/>
      <c r="AE334" s="124"/>
      <c r="AF334" s="124"/>
      <c r="AG334" s="124"/>
      <c r="AH334" s="124"/>
      <c r="AI334" s="124"/>
      <c r="AJ334" s="124"/>
      <c r="AK334" s="124"/>
      <c r="AL334" s="124"/>
      <c r="AM334" s="124"/>
      <c r="AN334" s="124"/>
      <c r="AO334" s="124"/>
    </row>
    <row r="335" spans="1:41" customFormat="1" ht="12.75" hidden="1" thickBot="1">
      <c r="A335" s="25" t="s">
        <v>1212</v>
      </c>
      <c r="B335" s="25" t="s">
        <v>373</v>
      </c>
      <c r="C335" s="25" t="s">
        <v>1001</v>
      </c>
      <c r="D335" s="235" t="s">
        <v>606</v>
      </c>
      <c r="E335" s="76">
        <v>766</v>
      </c>
      <c r="F335" s="19"/>
      <c r="G335" s="18">
        <v>85.12</v>
      </c>
      <c r="H335" s="19"/>
      <c r="I335" s="19"/>
      <c r="J335" s="19"/>
      <c r="K335" s="19"/>
      <c r="L335" s="19"/>
      <c r="M335" s="18">
        <v>1.69</v>
      </c>
      <c r="N335" s="18">
        <v>1.53</v>
      </c>
      <c r="O335" s="19"/>
      <c r="P335" s="19"/>
      <c r="Q335" s="18">
        <v>0</v>
      </c>
      <c r="R335" s="18">
        <v>88.34</v>
      </c>
      <c r="S335" s="142">
        <f t="shared" si="41"/>
        <v>85.12</v>
      </c>
      <c r="T335" s="142">
        <f t="shared" si="42"/>
        <v>0</v>
      </c>
      <c r="U335" s="142">
        <f t="shared" si="43"/>
        <v>1.53</v>
      </c>
      <c r="W335" s="601">
        <f t="shared" si="45"/>
        <v>88.34</v>
      </c>
      <c r="X335" s="601">
        <f t="shared" si="46"/>
        <v>0</v>
      </c>
      <c r="Y335" s="123"/>
      <c r="Z335" s="692">
        <f t="shared" si="44"/>
        <v>85.12</v>
      </c>
      <c r="AA335" s="124"/>
      <c r="AB335" s="124"/>
      <c r="AC335" s="124"/>
      <c r="AD335" s="124"/>
      <c r="AE335" s="124"/>
      <c r="AF335" s="124"/>
      <c r="AG335" s="124"/>
      <c r="AH335" s="124"/>
      <c r="AI335" s="124"/>
      <c r="AJ335" s="124"/>
      <c r="AK335" s="124"/>
      <c r="AL335" s="124"/>
      <c r="AM335" s="124"/>
      <c r="AN335" s="124"/>
      <c r="AO335" s="124"/>
    </row>
    <row r="336" spans="1:41" customFormat="1" ht="12.75" hidden="1" thickBot="1">
      <c r="A336" s="25" t="s">
        <v>1212</v>
      </c>
      <c r="B336" s="25" t="s">
        <v>374</v>
      </c>
      <c r="C336" s="25" t="s">
        <v>1002</v>
      </c>
      <c r="D336" s="235" t="s">
        <v>606</v>
      </c>
      <c r="E336" s="77">
        <v>4930</v>
      </c>
      <c r="F336" s="20"/>
      <c r="G336" s="17">
        <v>680.03</v>
      </c>
      <c r="H336" s="20"/>
      <c r="I336" s="20"/>
      <c r="J336" s="20"/>
      <c r="K336" s="20"/>
      <c r="L336" s="20"/>
      <c r="M336" s="17">
        <v>10.84</v>
      </c>
      <c r="N336" s="17">
        <v>12.16</v>
      </c>
      <c r="O336" s="20"/>
      <c r="P336" s="20"/>
      <c r="Q336" s="17">
        <v>0</v>
      </c>
      <c r="R336" s="17">
        <v>703.03</v>
      </c>
      <c r="S336" s="142">
        <f t="shared" si="41"/>
        <v>680.03</v>
      </c>
      <c r="T336" s="142">
        <f t="shared" si="42"/>
        <v>0</v>
      </c>
      <c r="U336" s="142">
        <f t="shared" si="43"/>
        <v>12.16</v>
      </c>
      <c r="W336" s="601">
        <f t="shared" si="45"/>
        <v>703.03</v>
      </c>
      <c r="X336" s="601">
        <f t="shared" si="46"/>
        <v>0</v>
      </c>
      <c r="Y336" s="123"/>
      <c r="Z336" s="692">
        <f t="shared" si="44"/>
        <v>680.03</v>
      </c>
      <c r="AA336" s="124"/>
      <c r="AB336" s="124"/>
      <c r="AC336" s="124"/>
      <c r="AD336" s="124"/>
      <c r="AE336" s="124"/>
      <c r="AF336" s="124"/>
      <c r="AG336" s="124"/>
      <c r="AH336" s="124"/>
      <c r="AI336" s="124"/>
      <c r="AJ336" s="124"/>
      <c r="AK336" s="124"/>
      <c r="AL336" s="124"/>
      <c r="AM336" s="124"/>
      <c r="AN336" s="124"/>
      <c r="AO336" s="124"/>
    </row>
    <row r="337" spans="1:41" customFormat="1" ht="12.75" hidden="1" thickBot="1">
      <c r="A337" s="25" t="s">
        <v>1212</v>
      </c>
      <c r="B337" s="32" t="s">
        <v>7</v>
      </c>
      <c r="C337" s="33"/>
      <c r="D337" s="33"/>
      <c r="E337" s="79">
        <v>877124753</v>
      </c>
      <c r="F337" s="21">
        <v>5235184.67</v>
      </c>
      <c r="G337" s="21">
        <v>30151551.870000001</v>
      </c>
      <c r="H337" s="21">
        <v>23665090.609999999</v>
      </c>
      <c r="I337" s="21">
        <v>617917.23</v>
      </c>
      <c r="J337" s="21">
        <v>472475.11</v>
      </c>
      <c r="K337" s="21">
        <v>13398154.689999999</v>
      </c>
      <c r="L337" s="21">
        <v>1974978.35</v>
      </c>
      <c r="M337" s="21">
        <v>1890054.53</v>
      </c>
      <c r="N337" s="21">
        <v>596501.14</v>
      </c>
      <c r="O337" s="21">
        <v>835651.37</v>
      </c>
      <c r="P337" s="251"/>
      <c r="Q337" s="21">
        <v>-0.1</v>
      </c>
      <c r="R337" s="21">
        <v>78842716.680000007</v>
      </c>
      <c r="S337" s="142">
        <f t="shared" si="41"/>
        <v>54434559.710000001</v>
      </c>
      <c r="T337" s="142">
        <f t="shared" si="42"/>
        <v>13870629.799999999</v>
      </c>
      <c r="U337" s="142">
        <f t="shared" si="43"/>
        <v>1432152.51</v>
      </c>
      <c r="W337" s="601">
        <f t="shared" si="45"/>
        <v>78837559.469999999</v>
      </c>
      <c r="X337" s="601">
        <f t="shared" si="46"/>
        <v>-5157.2100000083447</v>
      </c>
      <c r="Y337" s="123"/>
      <c r="Z337" s="692">
        <f t="shared" si="44"/>
        <v>73540374.179999992</v>
      </c>
      <c r="AA337" s="124"/>
      <c r="AB337" s="124"/>
      <c r="AC337" s="124"/>
      <c r="AD337" s="124"/>
      <c r="AE337" s="124"/>
      <c r="AF337" s="124"/>
      <c r="AG337" s="124"/>
      <c r="AH337" s="124"/>
      <c r="AI337" s="124"/>
      <c r="AJ337" s="124"/>
      <c r="AK337" s="124"/>
      <c r="AL337" s="124"/>
      <c r="AM337" s="124"/>
      <c r="AN337" s="124"/>
      <c r="AO337" s="124"/>
    </row>
    <row r="338" spans="1:41" customFormat="1" ht="12.75" hidden="1" thickBot="1">
      <c r="A338" s="25" t="s">
        <v>1213</v>
      </c>
      <c r="B338" s="25" t="s">
        <v>928</v>
      </c>
      <c r="C338" s="25" t="s">
        <v>929</v>
      </c>
      <c r="D338" s="69" t="s">
        <v>881</v>
      </c>
      <c r="E338" s="20"/>
      <c r="F338" s="20"/>
      <c r="G338" s="20"/>
      <c r="H338" s="20"/>
      <c r="I338" s="20"/>
      <c r="J338" s="20"/>
      <c r="K338" s="20"/>
      <c r="L338" s="20"/>
      <c r="M338" s="20"/>
      <c r="N338" s="20"/>
      <c r="O338" s="20"/>
      <c r="P338" s="20"/>
      <c r="Q338" s="20"/>
      <c r="R338" s="17">
        <v>6614.04</v>
      </c>
      <c r="S338" s="142">
        <f t="shared" si="41"/>
        <v>0</v>
      </c>
      <c r="T338" s="142">
        <f t="shared" si="42"/>
        <v>0</v>
      </c>
      <c r="U338" s="142">
        <f t="shared" si="43"/>
        <v>0</v>
      </c>
      <c r="W338" s="601">
        <f t="shared" si="45"/>
        <v>0</v>
      </c>
      <c r="X338" s="601">
        <f t="shared" si="46"/>
        <v>-6614.04</v>
      </c>
      <c r="Y338" s="123"/>
      <c r="Z338" s="692">
        <f t="shared" si="44"/>
        <v>0</v>
      </c>
      <c r="AA338" s="124"/>
      <c r="AB338" s="124"/>
      <c r="AC338" s="124"/>
      <c r="AD338" s="124"/>
      <c r="AE338" s="124"/>
      <c r="AF338" s="124"/>
      <c r="AG338" s="124"/>
      <c r="AH338" s="124"/>
      <c r="AI338" s="124"/>
      <c r="AJ338" s="124"/>
      <c r="AK338" s="124"/>
      <c r="AL338" s="124"/>
      <c r="AM338" s="124"/>
      <c r="AN338" s="124"/>
      <c r="AO338" s="124"/>
    </row>
    <row r="339" spans="1:41" customFormat="1" ht="12.75" hidden="1" thickBot="1">
      <c r="A339" s="25" t="s">
        <v>1213</v>
      </c>
      <c r="B339" s="25" t="s">
        <v>848</v>
      </c>
      <c r="C339" s="25" t="s">
        <v>849</v>
      </c>
      <c r="D339" s="69" t="s">
        <v>881</v>
      </c>
      <c r="E339" s="19"/>
      <c r="F339" s="19"/>
      <c r="G339" s="19"/>
      <c r="H339" s="19"/>
      <c r="I339" s="19"/>
      <c r="J339" s="19"/>
      <c r="K339" s="19"/>
      <c r="L339" s="19"/>
      <c r="M339" s="19"/>
      <c r="N339" s="19"/>
      <c r="O339" s="19"/>
      <c r="P339" s="19"/>
      <c r="Q339" s="19"/>
      <c r="R339" s="18">
        <v>765.74</v>
      </c>
      <c r="S339" s="142">
        <f t="shared" ref="S339:S347" si="47">G339+H339+I339</f>
        <v>0</v>
      </c>
      <c r="T339" s="142">
        <f t="shared" ref="T339:T347" si="48">J339+K339</f>
        <v>0</v>
      </c>
      <c r="U339" s="142">
        <f t="shared" ref="U339:U347" si="49">N339+O339</f>
        <v>0</v>
      </c>
      <c r="W339" s="601">
        <f t="shared" si="45"/>
        <v>0</v>
      </c>
      <c r="X339" s="601">
        <f t="shared" si="46"/>
        <v>-765.74</v>
      </c>
      <c r="Y339" s="123"/>
      <c r="Z339" s="692">
        <f t="shared" si="44"/>
        <v>0</v>
      </c>
      <c r="AA339" s="124"/>
      <c r="AB339" s="124"/>
      <c r="AC339" s="124"/>
      <c r="AD339" s="124"/>
      <c r="AE339" s="124"/>
      <c r="AF339" s="124"/>
      <c r="AG339" s="124"/>
      <c r="AH339" s="124"/>
      <c r="AI339" s="124"/>
      <c r="AJ339" s="124"/>
      <c r="AK339" s="124"/>
      <c r="AL339" s="124"/>
      <c r="AM339" s="124"/>
      <c r="AN339" s="124"/>
      <c r="AO339" s="124"/>
    </row>
    <row r="340" spans="1:41" customFormat="1" ht="12.75" hidden="1" thickBot="1">
      <c r="A340" s="25" t="s">
        <v>1213</v>
      </c>
      <c r="B340" s="25" t="s">
        <v>930</v>
      </c>
      <c r="C340" s="25" t="s">
        <v>931</v>
      </c>
      <c r="D340" s="69" t="s">
        <v>881</v>
      </c>
      <c r="E340" s="20"/>
      <c r="F340" s="20"/>
      <c r="G340" s="20"/>
      <c r="H340" s="20"/>
      <c r="I340" s="20"/>
      <c r="J340" s="20"/>
      <c r="K340" s="20"/>
      <c r="L340" s="20"/>
      <c r="M340" s="20"/>
      <c r="N340" s="20"/>
      <c r="O340" s="20"/>
      <c r="P340" s="20"/>
      <c r="Q340" s="20"/>
      <c r="R340" s="17">
        <v>1636.67</v>
      </c>
      <c r="S340" s="142">
        <f t="shared" si="47"/>
        <v>0</v>
      </c>
      <c r="T340" s="142">
        <f t="shared" si="48"/>
        <v>0</v>
      </c>
      <c r="U340" s="142">
        <f t="shared" si="49"/>
        <v>0</v>
      </c>
      <c r="W340" s="601">
        <f t="shared" si="45"/>
        <v>0</v>
      </c>
      <c r="X340" s="601">
        <f t="shared" si="46"/>
        <v>-1636.67</v>
      </c>
      <c r="Y340" s="123"/>
      <c r="Z340" s="692">
        <f t="shared" si="44"/>
        <v>0</v>
      </c>
      <c r="AA340" s="124"/>
      <c r="AB340" s="124"/>
      <c r="AC340" s="124"/>
      <c r="AD340" s="124"/>
      <c r="AE340" s="124"/>
      <c r="AF340" s="124"/>
      <c r="AG340" s="124"/>
      <c r="AH340" s="124"/>
      <c r="AI340" s="124"/>
      <c r="AJ340" s="124"/>
      <c r="AK340" s="124"/>
      <c r="AL340" s="124"/>
      <c r="AM340" s="124"/>
      <c r="AN340" s="124"/>
      <c r="AO340" s="124"/>
    </row>
    <row r="341" spans="1:41" customFormat="1" ht="12.75" hidden="1" thickBot="1">
      <c r="A341" s="25" t="s">
        <v>1213</v>
      </c>
      <c r="B341" s="25" t="s">
        <v>1011</v>
      </c>
      <c r="C341" s="25" t="s">
        <v>1119</v>
      </c>
      <c r="D341" s="69" t="s">
        <v>881</v>
      </c>
      <c r="E341" s="19"/>
      <c r="F341" s="19"/>
      <c r="G341" s="19"/>
      <c r="H341" s="19"/>
      <c r="I341" s="19"/>
      <c r="J341" s="19"/>
      <c r="K341" s="19"/>
      <c r="L341" s="19"/>
      <c r="M341" s="19"/>
      <c r="N341" s="19"/>
      <c r="O341" s="19"/>
      <c r="P341" s="19"/>
      <c r="Q341" s="19"/>
      <c r="R341" s="18">
        <v>5</v>
      </c>
      <c r="S341" s="142">
        <f t="shared" si="47"/>
        <v>0</v>
      </c>
      <c r="T341" s="142">
        <f t="shared" si="48"/>
        <v>0</v>
      </c>
      <c r="U341" s="142">
        <f t="shared" si="49"/>
        <v>0</v>
      </c>
      <c r="W341" s="601">
        <f t="shared" si="45"/>
        <v>0</v>
      </c>
      <c r="X341" s="601">
        <f t="shared" si="46"/>
        <v>-5</v>
      </c>
      <c r="Y341" s="123"/>
      <c r="Z341" s="692">
        <f t="shared" si="44"/>
        <v>0</v>
      </c>
      <c r="AA341" s="123"/>
      <c r="AB341" s="123"/>
      <c r="AC341" s="123"/>
      <c r="AD341" s="123"/>
      <c r="AE341" s="123"/>
      <c r="AF341" s="123"/>
      <c r="AG341" s="123"/>
      <c r="AH341" s="123"/>
      <c r="AI341" s="123"/>
      <c r="AJ341" s="123"/>
      <c r="AK341" s="123"/>
      <c r="AL341" s="124"/>
      <c r="AM341" s="124"/>
      <c r="AN341" s="124"/>
      <c r="AO341" s="124"/>
    </row>
    <row r="342" spans="1:41" customFormat="1" ht="12.75" hidden="1" thickBot="1">
      <c r="A342" s="25" t="s">
        <v>1213</v>
      </c>
      <c r="B342" s="25" t="s">
        <v>852</v>
      </c>
      <c r="C342" s="25" t="s">
        <v>1215</v>
      </c>
      <c r="D342" s="69" t="s">
        <v>1125</v>
      </c>
      <c r="E342" s="20"/>
      <c r="F342" s="20"/>
      <c r="G342" s="20"/>
      <c r="H342" s="20"/>
      <c r="I342" s="20"/>
      <c r="J342" s="20"/>
      <c r="K342" s="20"/>
      <c r="L342" s="20"/>
      <c r="M342" s="20"/>
      <c r="N342" s="20"/>
      <c r="O342" s="20"/>
      <c r="P342" s="20"/>
      <c r="Q342" s="20"/>
      <c r="R342" s="20"/>
      <c r="S342" s="142">
        <f t="shared" si="47"/>
        <v>0</v>
      </c>
      <c r="T342" s="142">
        <f t="shared" si="48"/>
        <v>0</v>
      </c>
      <c r="U342" s="142">
        <f t="shared" si="49"/>
        <v>0</v>
      </c>
      <c r="W342" s="601">
        <f t="shared" si="45"/>
        <v>0</v>
      </c>
      <c r="X342" s="601">
        <f t="shared" si="46"/>
        <v>0</v>
      </c>
      <c r="Y342" s="123"/>
      <c r="Z342" s="692">
        <f t="shared" si="44"/>
        <v>0</v>
      </c>
      <c r="AA342" s="123"/>
      <c r="AB342" s="123"/>
      <c r="AC342" s="123"/>
      <c r="AD342" s="123"/>
      <c r="AE342" s="123"/>
      <c r="AF342" s="123"/>
      <c r="AG342" s="123"/>
      <c r="AH342" s="123"/>
      <c r="AI342" s="123"/>
      <c r="AJ342" s="123"/>
      <c r="AK342" s="123"/>
      <c r="AL342" s="124"/>
      <c r="AM342" s="124"/>
      <c r="AN342" s="124"/>
      <c r="AO342" s="124"/>
    </row>
    <row r="343" spans="1:41" customFormat="1" ht="12.75" hidden="1" thickBot="1">
      <c r="A343" s="25" t="s">
        <v>1213</v>
      </c>
      <c r="B343" s="25" t="s">
        <v>407</v>
      </c>
      <c r="C343" s="25" t="s">
        <v>1120</v>
      </c>
      <c r="D343" s="98" t="s">
        <v>892</v>
      </c>
      <c r="E343" s="76">
        <v>9858</v>
      </c>
      <c r="F343" s="19"/>
      <c r="G343" s="18">
        <v>615.34</v>
      </c>
      <c r="H343" s="18">
        <v>268.62</v>
      </c>
      <c r="I343" s="18">
        <v>16.47</v>
      </c>
      <c r="J343" s="19"/>
      <c r="K343" s="19"/>
      <c r="L343" s="18">
        <v>29.87</v>
      </c>
      <c r="M343" s="18">
        <v>14.75</v>
      </c>
      <c r="N343" s="18">
        <v>0</v>
      </c>
      <c r="O343" s="18">
        <v>19.78</v>
      </c>
      <c r="P343" s="19"/>
      <c r="Q343" s="19"/>
      <c r="R343" s="18">
        <v>964.83</v>
      </c>
      <c r="S343" s="142">
        <f t="shared" si="47"/>
        <v>900.43000000000006</v>
      </c>
      <c r="T343" s="142">
        <f t="shared" si="48"/>
        <v>0</v>
      </c>
      <c r="U343" s="142">
        <f t="shared" si="49"/>
        <v>19.78</v>
      </c>
      <c r="W343" s="601">
        <f t="shared" si="45"/>
        <v>964.83</v>
      </c>
      <c r="X343" s="601">
        <f t="shared" si="46"/>
        <v>0</v>
      </c>
      <c r="Y343" s="123"/>
      <c r="Z343" s="692">
        <f t="shared" si="44"/>
        <v>900.43000000000006</v>
      </c>
      <c r="AA343" s="123"/>
      <c r="AB343" s="123"/>
      <c r="AC343" s="123"/>
      <c r="AD343" s="123"/>
      <c r="AE343" s="123"/>
      <c r="AF343" s="123"/>
      <c r="AG343" s="123"/>
      <c r="AH343" s="123"/>
      <c r="AI343" s="123"/>
      <c r="AJ343" s="123"/>
      <c r="AK343" s="123"/>
      <c r="AL343" s="124"/>
      <c r="AM343" s="124"/>
      <c r="AN343" s="124"/>
      <c r="AO343" s="124"/>
    </row>
    <row r="344" spans="1:41" customFormat="1" ht="12.75" hidden="1" thickBot="1">
      <c r="A344" s="25" t="s">
        <v>1213</v>
      </c>
      <c r="B344" s="25" t="s">
        <v>409</v>
      </c>
      <c r="C344" s="25" t="s">
        <v>140</v>
      </c>
      <c r="D344" s="98" t="s">
        <v>892</v>
      </c>
      <c r="E344" s="77">
        <v>31085013</v>
      </c>
      <c r="F344" s="17">
        <v>575701.42000000004</v>
      </c>
      <c r="G344" s="17">
        <v>1940312.86</v>
      </c>
      <c r="H344" s="17">
        <v>847056.42</v>
      </c>
      <c r="I344" s="17">
        <v>51906.12</v>
      </c>
      <c r="J344" s="20"/>
      <c r="K344" s="20"/>
      <c r="L344" s="17">
        <v>94046</v>
      </c>
      <c r="M344" s="17">
        <v>46725.77</v>
      </c>
      <c r="N344" s="17">
        <v>-1.1100000000000001</v>
      </c>
      <c r="O344" s="17">
        <v>79436.61</v>
      </c>
      <c r="P344" s="20"/>
      <c r="Q344" s="20"/>
      <c r="R344" s="17">
        <v>3635184.09</v>
      </c>
      <c r="S344" s="142">
        <f t="shared" si="47"/>
        <v>2839275.4000000004</v>
      </c>
      <c r="T344" s="142">
        <f t="shared" si="48"/>
        <v>0</v>
      </c>
      <c r="U344" s="142">
        <f t="shared" si="49"/>
        <v>79435.5</v>
      </c>
      <c r="W344" s="601">
        <f t="shared" si="45"/>
        <v>3635184.0900000003</v>
      </c>
      <c r="X344" s="601">
        <f t="shared" si="46"/>
        <v>0</v>
      </c>
      <c r="Y344" s="123"/>
      <c r="Z344" s="692">
        <f t="shared" si="44"/>
        <v>3414976.8200000003</v>
      </c>
      <c r="AA344" s="123"/>
      <c r="AB344" s="123"/>
      <c r="AC344" s="123"/>
      <c r="AD344" s="123"/>
      <c r="AE344" s="123"/>
      <c r="AF344" s="123"/>
      <c r="AG344" s="123"/>
      <c r="AH344" s="123"/>
      <c r="AI344" s="123"/>
      <c r="AJ344" s="123"/>
      <c r="AK344" s="123"/>
      <c r="AL344" s="124"/>
      <c r="AM344" s="124"/>
      <c r="AN344" s="124"/>
      <c r="AO344" s="124"/>
    </row>
    <row r="345" spans="1:41" customFormat="1" ht="12.75" hidden="1" thickBot="1">
      <c r="A345" s="25" t="s">
        <v>1213</v>
      </c>
      <c r="B345" s="25" t="s">
        <v>410</v>
      </c>
      <c r="C345" s="25" t="s">
        <v>1121</v>
      </c>
      <c r="D345" s="98" t="s">
        <v>892</v>
      </c>
      <c r="E345" s="76">
        <v>13802</v>
      </c>
      <c r="F345" s="18">
        <v>2060</v>
      </c>
      <c r="G345" s="18">
        <v>861.52</v>
      </c>
      <c r="H345" s="18">
        <v>376.1</v>
      </c>
      <c r="I345" s="18">
        <v>23.05</v>
      </c>
      <c r="J345" s="19"/>
      <c r="K345" s="19"/>
      <c r="L345" s="18">
        <v>41.82</v>
      </c>
      <c r="M345" s="18">
        <v>20.56</v>
      </c>
      <c r="N345" s="18">
        <v>0</v>
      </c>
      <c r="O345" s="18">
        <v>89.29</v>
      </c>
      <c r="P345" s="19"/>
      <c r="Q345" s="19"/>
      <c r="R345" s="18">
        <v>3472.34</v>
      </c>
      <c r="S345" s="142">
        <f t="shared" si="47"/>
        <v>1260.6699999999998</v>
      </c>
      <c r="T345" s="142">
        <f t="shared" si="48"/>
        <v>0</v>
      </c>
      <c r="U345" s="142">
        <f t="shared" si="49"/>
        <v>89.29</v>
      </c>
      <c r="W345" s="601">
        <f t="shared" si="45"/>
        <v>3472.34</v>
      </c>
      <c r="X345" s="601">
        <f t="shared" si="46"/>
        <v>0</v>
      </c>
      <c r="Y345" s="123"/>
      <c r="Z345" s="692">
        <f t="shared" si="44"/>
        <v>3320.67</v>
      </c>
      <c r="AA345" s="123"/>
      <c r="AB345" s="123"/>
      <c r="AC345" s="123"/>
      <c r="AD345" s="123"/>
      <c r="AE345" s="123"/>
      <c r="AF345" s="123"/>
      <c r="AG345" s="123"/>
      <c r="AH345" s="123"/>
      <c r="AI345" s="123"/>
      <c r="AJ345" s="123"/>
      <c r="AK345" s="123"/>
      <c r="AL345" s="124"/>
      <c r="AM345" s="124"/>
      <c r="AN345" s="124"/>
      <c r="AO345" s="124"/>
    </row>
    <row r="346" spans="1:41" customFormat="1" ht="12.75" hidden="1" thickBot="1">
      <c r="A346" s="25" t="s">
        <v>1213</v>
      </c>
      <c r="B346" s="25" t="s">
        <v>411</v>
      </c>
      <c r="C346" s="25" t="s">
        <v>1122</v>
      </c>
      <c r="D346" s="98" t="s">
        <v>892</v>
      </c>
      <c r="E346" s="77">
        <v>142709</v>
      </c>
      <c r="F346" s="20"/>
      <c r="G346" s="17">
        <v>8907.85</v>
      </c>
      <c r="H346" s="17">
        <v>3888.81</v>
      </c>
      <c r="I346" s="17">
        <v>238.35</v>
      </c>
      <c r="J346" s="20"/>
      <c r="K346" s="20"/>
      <c r="L346" s="17">
        <v>432.08</v>
      </c>
      <c r="M346" s="17">
        <v>215.04</v>
      </c>
      <c r="N346" s="17">
        <v>0</v>
      </c>
      <c r="O346" s="17">
        <v>285.91000000000003</v>
      </c>
      <c r="P346" s="20"/>
      <c r="Q346" s="20"/>
      <c r="R346" s="17">
        <v>13968.04</v>
      </c>
      <c r="S346" s="142">
        <f t="shared" si="47"/>
        <v>13035.01</v>
      </c>
      <c r="T346" s="142">
        <f t="shared" si="48"/>
        <v>0</v>
      </c>
      <c r="U346" s="142">
        <f t="shared" si="49"/>
        <v>285.91000000000003</v>
      </c>
      <c r="W346" s="601">
        <f t="shared" si="45"/>
        <v>13968.04</v>
      </c>
      <c r="X346" s="601">
        <f t="shared" si="46"/>
        <v>0</v>
      </c>
      <c r="Y346" s="123"/>
      <c r="Z346" s="692">
        <f t="shared" si="44"/>
        <v>13035.01</v>
      </c>
      <c r="AA346" s="123"/>
      <c r="AB346" s="123"/>
      <c r="AC346" s="123"/>
      <c r="AD346" s="123"/>
      <c r="AE346" s="123"/>
      <c r="AF346" s="123"/>
      <c r="AG346" s="123"/>
      <c r="AH346" s="123"/>
      <c r="AI346" s="123"/>
      <c r="AJ346" s="123"/>
      <c r="AK346" s="123"/>
      <c r="AL346" s="124"/>
      <c r="AM346" s="124"/>
      <c r="AN346" s="124"/>
      <c r="AO346" s="124"/>
    </row>
    <row r="347" spans="1:41" customFormat="1" ht="12.75" hidden="1" thickBot="1">
      <c r="A347" s="25" t="s">
        <v>1213</v>
      </c>
      <c r="B347" s="25" t="s">
        <v>413</v>
      </c>
      <c r="C347" s="25" t="s">
        <v>454</v>
      </c>
      <c r="D347" s="98" t="s">
        <v>892</v>
      </c>
      <c r="E347" s="76">
        <v>2779</v>
      </c>
      <c r="F347" s="18">
        <v>140</v>
      </c>
      <c r="G347" s="18">
        <v>173.47</v>
      </c>
      <c r="H347" s="18">
        <v>75.73</v>
      </c>
      <c r="I347" s="18">
        <v>4.6399999999999997</v>
      </c>
      <c r="J347" s="19"/>
      <c r="K347" s="19"/>
      <c r="L347" s="18">
        <v>8.42</v>
      </c>
      <c r="M347" s="18">
        <v>4.1399999999999997</v>
      </c>
      <c r="N347" s="18">
        <v>0</v>
      </c>
      <c r="O347" s="18">
        <v>9.77</v>
      </c>
      <c r="P347" s="19"/>
      <c r="Q347" s="19"/>
      <c r="R347" s="18">
        <v>416.17</v>
      </c>
      <c r="S347" s="142">
        <f t="shared" si="47"/>
        <v>253.83999999999997</v>
      </c>
      <c r="T347" s="142">
        <f t="shared" si="48"/>
        <v>0</v>
      </c>
      <c r="U347" s="142">
        <f t="shared" si="49"/>
        <v>9.77</v>
      </c>
      <c r="W347" s="601">
        <f t="shared" si="45"/>
        <v>416.17</v>
      </c>
      <c r="X347" s="601">
        <f t="shared" si="46"/>
        <v>0</v>
      </c>
      <c r="Y347" s="123"/>
      <c r="Z347" s="692">
        <f t="shared" si="44"/>
        <v>393.84000000000003</v>
      </c>
      <c r="AA347" s="123"/>
      <c r="AB347" s="123"/>
      <c r="AC347" s="123"/>
      <c r="AD347" s="123"/>
      <c r="AE347" s="123"/>
      <c r="AF347" s="123"/>
      <c r="AG347" s="123"/>
      <c r="AH347" s="123"/>
      <c r="AI347" s="123"/>
      <c r="AJ347" s="123"/>
      <c r="AK347" s="123"/>
      <c r="AL347" s="124"/>
      <c r="AM347" s="124"/>
      <c r="AN347" s="124"/>
      <c r="AO347" s="124"/>
    </row>
    <row r="348" spans="1:41" customFormat="1" ht="12.75" hidden="1" thickBot="1">
      <c r="A348" s="25" t="s">
        <v>1213</v>
      </c>
      <c r="B348" s="25" t="s">
        <v>414</v>
      </c>
      <c r="C348" s="25" t="s">
        <v>445</v>
      </c>
      <c r="D348" s="25" t="s">
        <v>20</v>
      </c>
      <c r="E348" s="77">
        <v>122572976</v>
      </c>
      <c r="F348" s="17">
        <v>226898.59</v>
      </c>
      <c r="G348" s="17">
        <v>1635740.01</v>
      </c>
      <c r="H348" s="17">
        <v>3336508.1</v>
      </c>
      <c r="I348" s="20"/>
      <c r="J348" s="17">
        <v>166719.4</v>
      </c>
      <c r="K348" s="17">
        <v>4732363.0199999996</v>
      </c>
      <c r="L348" s="17">
        <v>168343.37</v>
      </c>
      <c r="M348" s="17">
        <v>188883.83</v>
      </c>
      <c r="N348" s="17">
        <v>0</v>
      </c>
      <c r="O348" s="17">
        <v>206396.46</v>
      </c>
      <c r="P348" s="20"/>
      <c r="Q348" s="20"/>
      <c r="R348" s="17">
        <v>10661852.779999999</v>
      </c>
      <c r="S348" s="142">
        <f t="shared" ref="S348:S373" si="50">G348+H348+I348</f>
        <v>4972248.1100000003</v>
      </c>
      <c r="T348" s="142">
        <f t="shared" ref="T348:T373" si="51">J348+K348</f>
        <v>4899082.42</v>
      </c>
      <c r="U348" s="142">
        <f t="shared" ref="U348:U373" si="52">N348+O348</f>
        <v>206396.46</v>
      </c>
      <c r="W348" s="601">
        <f t="shared" si="45"/>
        <v>10661852.780000001</v>
      </c>
      <c r="X348" s="601">
        <f t="shared" si="46"/>
        <v>0</v>
      </c>
      <c r="Y348" s="123"/>
      <c r="Z348" s="692">
        <f t="shared" si="44"/>
        <v>10098229.120000001</v>
      </c>
      <c r="AA348" s="123"/>
      <c r="AB348" s="123"/>
      <c r="AC348" s="123"/>
      <c r="AD348" s="123"/>
      <c r="AE348" s="123"/>
      <c r="AF348" s="123"/>
      <c r="AG348" s="123"/>
      <c r="AH348" s="123"/>
      <c r="AI348" s="123"/>
      <c r="AJ348" s="123"/>
      <c r="AK348" s="123"/>
      <c r="AL348" s="124"/>
      <c r="AM348" s="124"/>
      <c r="AN348" s="124"/>
      <c r="AO348" s="124"/>
    </row>
    <row r="349" spans="1:41" ht="12.75" hidden="1" thickBot="1">
      <c r="A349" s="147" t="s">
        <v>1213</v>
      </c>
      <c r="B349" s="147" t="s">
        <v>415</v>
      </c>
      <c r="C349" s="147" t="s">
        <v>443</v>
      </c>
      <c r="D349" s="153" t="s">
        <v>21</v>
      </c>
      <c r="E349" s="593">
        <v>10973920</v>
      </c>
      <c r="F349" s="594">
        <v>9372.67</v>
      </c>
      <c r="G349" s="594">
        <v>131796.79</v>
      </c>
      <c r="H349" s="594">
        <v>299039.32</v>
      </c>
      <c r="I349" s="595"/>
      <c r="J349" s="594">
        <v>12050.14</v>
      </c>
      <c r="K349" s="594">
        <v>280668.32</v>
      </c>
      <c r="L349" s="594">
        <v>15146.98</v>
      </c>
      <c r="M349" s="594">
        <v>16654.349999999999</v>
      </c>
      <c r="N349" s="594">
        <v>0</v>
      </c>
      <c r="O349" s="594">
        <v>13393.98</v>
      </c>
      <c r="P349" s="595"/>
      <c r="Q349" s="595"/>
      <c r="R349" s="594">
        <v>778122.55</v>
      </c>
      <c r="S349" s="590">
        <f t="shared" si="50"/>
        <v>430836.11</v>
      </c>
      <c r="T349" s="590">
        <f t="shared" si="51"/>
        <v>292718.46000000002</v>
      </c>
      <c r="U349" s="590">
        <f t="shared" si="52"/>
        <v>13393.98</v>
      </c>
      <c r="W349" s="368">
        <f t="shared" si="45"/>
        <v>778122.54999999993</v>
      </c>
      <c r="X349" s="368">
        <f t="shared" si="46"/>
        <v>0</v>
      </c>
      <c r="Y349" s="592"/>
      <c r="Z349" s="692">
        <f t="shared" si="44"/>
        <v>732927.24</v>
      </c>
      <c r="AA349" s="592"/>
      <c r="AB349" s="592"/>
      <c r="AC349" s="592"/>
      <c r="AD349" s="592"/>
      <c r="AE349" s="592"/>
      <c r="AF349" s="592"/>
      <c r="AG349" s="592"/>
      <c r="AH349" s="592"/>
      <c r="AI349" s="592"/>
      <c r="AJ349" s="592"/>
      <c r="AK349" s="592"/>
      <c r="AL349" s="591"/>
      <c r="AM349" s="591"/>
      <c r="AN349" s="591"/>
      <c r="AO349" s="591"/>
    </row>
    <row r="350" spans="1:41" customFormat="1" ht="12.75" hidden="1" thickBot="1">
      <c r="A350" s="25" t="s">
        <v>1213</v>
      </c>
      <c r="B350" s="25" t="s">
        <v>416</v>
      </c>
      <c r="C350" s="25" t="s">
        <v>446</v>
      </c>
      <c r="D350" s="69" t="s">
        <v>20</v>
      </c>
      <c r="E350" s="77">
        <v>89040</v>
      </c>
      <c r="F350" s="17">
        <v>90</v>
      </c>
      <c r="G350" s="17">
        <v>1188.68</v>
      </c>
      <c r="H350" s="17">
        <v>2426.34</v>
      </c>
      <c r="I350" s="20"/>
      <c r="J350" s="17">
        <v>112.78</v>
      </c>
      <c r="K350" s="17">
        <v>3178.87</v>
      </c>
      <c r="L350" s="17">
        <v>101.51</v>
      </c>
      <c r="M350" s="17">
        <v>195.89</v>
      </c>
      <c r="N350" s="17">
        <v>0</v>
      </c>
      <c r="O350" s="17">
        <v>131.28</v>
      </c>
      <c r="P350" s="20"/>
      <c r="Q350" s="20"/>
      <c r="R350" s="17">
        <v>7425.35</v>
      </c>
      <c r="S350" s="142">
        <f t="shared" si="50"/>
        <v>3615.0200000000004</v>
      </c>
      <c r="T350" s="142">
        <f t="shared" si="51"/>
        <v>3291.65</v>
      </c>
      <c r="U350" s="142">
        <f t="shared" si="52"/>
        <v>131.28</v>
      </c>
      <c r="W350" s="601">
        <f t="shared" si="45"/>
        <v>7425.35</v>
      </c>
      <c r="X350" s="601">
        <f t="shared" si="46"/>
        <v>0</v>
      </c>
      <c r="Y350" s="123"/>
      <c r="Z350" s="692">
        <f t="shared" si="44"/>
        <v>6996.67</v>
      </c>
      <c r="AA350" s="123"/>
      <c r="AB350" s="123"/>
      <c r="AC350" s="123"/>
      <c r="AD350" s="123"/>
      <c r="AE350" s="123"/>
      <c r="AF350" s="123"/>
      <c r="AG350" s="123"/>
      <c r="AH350" s="123"/>
      <c r="AI350" s="123"/>
      <c r="AJ350" s="123"/>
      <c r="AK350" s="123"/>
      <c r="AL350" s="124"/>
      <c r="AM350" s="124"/>
      <c r="AN350" s="124"/>
      <c r="AO350" s="124"/>
    </row>
    <row r="351" spans="1:41" customFormat="1" ht="12.75" hidden="1" thickBot="1">
      <c r="A351" s="25" t="s">
        <v>1213</v>
      </c>
      <c r="B351" s="25" t="s">
        <v>417</v>
      </c>
      <c r="C351" s="25" t="s">
        <v>932</v>
      </c>
      <c r="D351" s="69" t="s">
        <v>920</v>
      </c>
      <c r="E351" s="76">
        <v>51325675</v>
      </c>
      <c r="F351" s="18">
        <v>39872.18</v>
      </c>
      <c r="G351" s="18">
        <v>649269.76000000001</v>
      </c>
      <c r="H351" s="18">
        <v>1398624.7</v>
      </c>
      <c r="I351" s="19"/>
      <c r="J351" s="18">
        <v>54729.98</v>
      </c>
      <c r="K351" s="18">
        <v>1602950.69</v>
      </c>
      <c r="L351" s="18">
        <v>38606.04</v>
      </c>
      <c r="M351" s="18">
        <v>78793.06</v>
      </c>
      <c r="N351" s="18">
        <v>0</v>
      </c>
      <c r="O351" s="18">
        <v>71027.44</v>
      </c>
      <c r="P351" s="19"/>
      <c r="Q351" s="19"/>
      <c r="R351" s="18">
        <v>3933873.85</v>
      </c>
      <c r="S351" s="142">
        <f t="shared" si="50"/>
        <v>2047894.46</v>
      </c>
      <c r="T351" s="142">
        <f t="shared" si="51"/>
        <v>1657680.67</v>
      </c>
      <c r="U351" s="142">
        <f t="shared" si="52"/>
        <v>71027.44</v>
      </c>
      <c r="W351" s="601">
        <f t="shared" ref="W351" si="53">SUM(F351:Q351)</f>
        <v>3933873.85</v>
      </c>
      <c r="X351" s="601">
        <f t="shared" ref="X351" si="54">W351-R351</f>
        <v>0</v>
      </c>
      <c r="Y351" s="123"/>
      <c r="Z351" s="692">
        <f t="shared" si="44"/>
        <v>3745447.31</v>
      </c>
      <c r="AA351" s="123"/>
      <c r="AB351" s="123"/>
      <c r="AC351" s="123"/>
      <c r="AD351" s="123"/>
      <c r="AE351" s="123"/>
      <c r="AF351" s="123"/>
      <c r="AG351" s="123"/>
      <c r="AH351" s="123"/>
      <c r="AI351" s="123"/>
      <c r="AJ351" s="123"/>
      <c r="AK351" s="123"/>
      <c r="AL351" s="124"/>
      <c r="AM351" s="124"/>
      <c r="AN351" s="124"/>
      <c r="AO351" s="124"/>
    </row>
    <row r="352" spans="1:41" customFormat="1" ht="12.75" hidden="1" thickBot="1">
      <c r="A352" s="25" t="s">
        <v>1213</v>
      </c>
      <c r="B352" s="25" t="s">
        <v>418</v>
      </c>
      <c r="C352" s="25" t="s">
        <v>447</v>
      </c>
      <c r="D352" s="69" t="s">
        <v>448</v>
      </c>
      <c r="E352" s="77">
        <v>28902300</v>
      </c>
      <c r="F352" s="17">
        <v>10500</v>
      </c>
      <c r="G352" s="17">
        <v>313589.95</v>
      </c>
      <c r="H352" s="17">
        <v>787587.68</v>
      </c>
      <c r="I352" s="20"/>
      <c r="J352" s="17">
        <v>27767.06</v>
      </c>
      <c r="K352" s="17">
        <v>887462.87</v>
      </c>
      <c r="L352" s="17">
        <v>21597.68</v>
      </c>
      <c r="M352" s="17">
        <v>49597.57</v>
      </c>
      <c r="N352" s="17">
        <v>0</v>
      </c>
      <c r="O352" s="17">
        <v>37056.83</v>
      </c>
      <c r="P352" s="20"/>
      <c r="Q352" s="20"/>
      <c r="R352" s="17">
        <v>2135159.64</v>
      </c>
      <c r="S352" s="142">
        <f t="shared" si="50"/>
        <v>1101177.6300000001</v>
      </c>
      <c r="T352" s="142">
        <f t="shared" si="51"/>
        <v>915229.93</v>
      </c>
      <c r="U352" s="142">
        <f t="shared" si="52"/>
        <v>37056.83</v>
      </c>
      <c r="W352" s="601">
        <f t="shared" ref="W352:W413" si="55">SUM(F352:Q352)</f>
        <v>2135159.64</v>
      </c>
      <c r="X352" s="601">
        <f t="shared" ref="X352:X413" si="56">W352-R352</f>
        <v>0</v>
      </c>
      <c r="Y352" s="123"/>
      <c r="Z352" s="692">
        <f t="shared" si="44"/>
        <v>2026907.56</v>
      </c>
      <c r="AA352" s="123"/>
      <c r="AB352" s="123"/>
      <c r="AC352" s="123"/>
      <c r="AD352" s="123"/>
      <c r="AE352" s="123"/>
      <c r="AF352" s="123"/>
      <c r="AG352" s="123"/>
      <c r="AH352" s="123"/>
      <c r="AI352" s="123"/>
      <c r="AJ352" s="123"/>
      <c r="AK352" s="123"/>
      <c r="AL352" s="124"/>
      <c r="AM352" s="124"/>
      <c r="AN352" s="124"/>
      <c r="AO352" s="124"/>
    </row>
    <row r="353" spans="1:41" customFormat="1" ht="12.75" hidden="1" thickBot="1">
      <c r="A353" s="25" t="s">
        <v>1213</v>
      </c>
      <c r="B353" s="25" t="s">
        <v>420</v>
      </c>
      <c r="C353" s="25" t="s">
        <v>59</v>
      </c>
      <c r="D353" s="69" t="s">
        <v>14</v>
      </c>
      <c r="E353" s="76">
        <v>61163635</v>
      </c>
      <c r="F353" s="18">
        <v>503702.01</v>
      </c>
      <c r="G353" s="18">
        <v>3817869.9</v>
      </c>
      <c r="H353" s="18">
        <v>1666867.62</v>
      </c>
      <c r="I353" s="18">
        <v>102242.89</v>
      </c>
      <c r="J353" s="19"/>
      <c r="K353" s="19"/>
      <c r="L353" s="18">
        <v>174070.16</v>
      </c>
      <c r="M353" s="18">
        <v>92074.78</v>
      </c>
      <c r="N353" s="18">
        <v>-23.95</v>
      </c>
      <c r="O353" s="18">
        <v>137369.24</v>
      </c>
      <c r="P353" s="19"/>
      <c r="Q353" s="18">
        <v>0</v>
      </c>
      <c r="R353" s="18">
        <v>6494172.6500000004</v>
      </c>
      <c r="S353" s="142">
        <f t="shared" si="50"/>
        <v>5586980.4099999992</v>
      </c>
      <c r="T353" s="142">
        <f t="shared" si="51"/>
        <v>0</v>
      </c>
      <c r="U353" s="142">
        <f t="shared" si="52"/>
        <v>137345.28999999998</v>
      </c>
      <c r="W353" s="601">
        <f t="shared" si="55"/>
        <v>6494172.6500000004</v>
      </c>
      <c r="X353" s="601">
        <f t="shared" si="56"/>
        <v>0</v>
      </c>
      <c r="Y353" s="123"/>
      <c r="Z353" s="692">
        <f t="shared" si="44"/>
        <v>6090682.4199999999</v>
      </c>
      <c r="AA353" s="123"/>
      <c r="AB353" s="123"/>
      <c r="AC353" s="123"/>
      <c r="AD353" s="123"/>
      <c r="AE353" s="123"/>
      <c r="AF353" s="123"/>
      <c r="AG353" s="123"/>
      <c r="AH353" s="123"/>
      <c r="AI353" s="123"/>
      <c r="AJ353" s="123"/>
      <c r="AK353" s="123"/>
      <c r="AL353" s="124"/>
      <c r="AM353" s="124"/>
      <c r="AN353" s="124"/>
      <c r="AO353" s="124"/>
    </row>
    <row r="354" spans="1:41" customFormat="1" ht="12.75" hidden="1" thickBot="1">
      <c r="A354" s="25" t="s">
        <v>1213</v>
      </c>
      <c r="B354" s="25" t="s">
        <v>421</v>
      </c>
      <c r="C354" s="25" t="s">
        <v>1216</v>
      </c>
      <c r="D354" s="69" t="s">
        <v>14</v>
      </c>
      <c r="E354" s="77">
        <v>1365373</v>
      </c>
      <c r="F354" s="20"/>
      <c r="G354" s="17">
        <v>85226.48</v>
      </c>
      <c r="H354" s="17">
        <v>37206.53</v>
      </c>
      <c r="I354" s="17">
        <v>2280.21</v>
      </c>
      <c r="J354" s="20"/>
      <c r="K354" s="20"/>
      <c r="L354" s="17">
        <v>4135.51</v>
      </c>
      <c r="M354" s="17">
        <v>2045.09</v>
      </c>
      <c r="N354" s="17">
        <v>0</v>
      </c>
      <c r="O354" s="17">
        <v>2738.2</v>
      </c>
      <c r="P354" s="20"/>
      <c r="Q354" s="20"/>
      <c r="R354" s="17">
        <v>133632.01999999999</v>
      </c>
      <c r="S354" s="142">
        <f t="shared" si="50"/>
        <v>124713.22</v>
      </c>
      <c r="T354" s="142">
        <f t="shared" si="51"/>
        <v>0</v>
      </c>
      <c r="U354" s="142">
        <f t="shared" si="52"/>
        <v>2738.2</v>
      </c>
      <c r="W354" s="601">
        <f t="shared" si="55"/>
        <v>133632.01999999999</v>
      </c>
      <c r="X354" s="601">
        <f t="shared" si="56"/>
        <v>0</v>
      </c>
      <c r="Y354" s="123"/>
      <c r="Z354" s="692">
        <f t="shared" si="44"/>
        <v>124713.22</v>
      </c>
      <c r="AA354" s="123"/>
      <c r="AB354" s="123"/>
      <c r="AC354" s="123"/>
      <c r="AD354" s="123"/>
      <c r="AE354" s="123"/>
      <c r="AF354" s="123"/>
      <c r="AG354" s="123"/>
      <c r="AH354" s="123"/>
      <c r="AI354" s="123"/>
      <c r="AJ354" s="123"/>
      <c r="AK354" s="123"/>
      <c r="AL354" s="124"/>
      <c r="AM354" s="124"/>
      <c r="AN354" s="124"/>
      <c r="AO354" s="124"/>
    </row>
    <row r="355" spans="1:41" customFormat="1" ht="12.75" hidden="1" thickBot="1">
      <c r="A355" s="25" t="s">
        <v>1213</v>
      </c>
      <c r="B355" s="25" t="s">
        <v>423</v>
      </c>
      <c r="C355" s="25" t="s">
        <v>452</v>
      </c>
      <c r="D355" s="69" t="s">
        <v>14</v>
      </c>
      <c r="E355" s="76">
        <v>123699</v>
      </c>
      <c r="F355" s="18">
        <v>280</v>
      </c>
      <c r="G355" s="18">
        <v>7721.26</v>
      </c>
      <c r="H355" s="18">
        <v>3370.81</v>
      </c>
      <c r="I355" s="18">
        <v>206.59</v>
      </c>
      <c r="J355" s="19"/>
      <c r="K355" s="19"/>
      <c r="L355" s="18">
        <v>373.79</v>
      </c>
      <c r="M355" s="18">
        <v>190.91</v>
      </c>
      <c r="N355" s="18">
        <v>0</v>
      </c>
      <c r="O355" s="18">
        <v>255.41</v>
      </c>
      <c r="P355" s="19"/>
      <c r="Q355" s="19"/>
      <c r="R355" s="18">
        <v>12398.77</v>
      </c>
      <c r="S355" s="142">
        <f t="shared" si="50"/>
        <v>11298.66</v>
      </c>
      <c r="T355" s="142">
        <f t="shared" si="51"/>
        <v>0</v>
      </c>
      <c r="U355" s="142">
        <f t="shared" si="52"/>
        <v>255.41</v>
      </c>
      <c r="W355" s="601">
        <f t="shared" si="55"/>
        <v>12398.77</v>
      </c>
      <c r="X355" s="601">
        <f t="shared" si="56"/>
        <v>0</v>
      </c>
      <c r="Y355" s="123"/>
      <c r="Z355" s="692">
        <f t="shared" si="44"/>
        <v>11578.66</v>
      </c>
      <c r="AA355" s="123"/>
      <c r="AB355" s="123"/>
      <c r="AC355" s="123"/>
      <c r="AD355" s="123"/>
      <c r="AE355" s="123"/>
      <c r="AF355" s="123"/>
      <c r="AG355" s="123"/>
      <c r="AH355" s="123"/>
      <c r="AI355" s="123"/>
      <c r="AJ355" s="123"/>
      <c r="AK355" s="123"/>
      <c r="AL355" s="124"/>
      <c r="AM355" s="124"/>
      <c r="AN355" s="124"/>
      <c r="AO355" s="124"/>
    </row>
    <row r="356" spans="1:41" customFormat="1" ht="12.75" hidden="1" thickBot="1">
      <c r="A356" s="25" t="s">
        <v>1213</v>
      </c>
      <c r="B356" s="25" t="s">
        <v>424</v>
      </c>
      <c r="C356" s="25" t="s">
        <v>463</v>
      </c>
      <c r="D356" s="25" t="s">
        <v>464</v>
      </c>
      <c r="E356" s="77">
        <v>4389600</v>
      </c>
      <c r="F356" s="20"/>
      <c r="G356" s="17">
        <v>42886.39</v>
      </c>
      <c r="H356" s="17">
        <v>119616.6</v>
      </c>
      <c r="I356" s="20"/>
      <c r="J356" s="17">
        <v>3557.32</v>
      </c>
      <c r="K356" s="17">
        <v>95951.72</v>
      </c>
      <c r="L356" s="20"/>
      <c r="M356" s="17">
        <v>6540.51</v>
      </c>
      <c r="N356" s="17">
        <v>0</v>
      </c>
      <c r="O356" s="17">
        <v>4257.62</v>
      </c>
      <c r="P356" s="20"/>
      <c r="Q356" s="20"/>
      <c r="R356" s="17">
        <v>272810.15999999997</v>
      </c>
      <c r="S356" s="142">
        <f t="shared" si="50"/>
        <v>162502.99</v>
      </c>
      <c r="T356" s="142">
        <f t="shared" si="51"/>
        <v>99509.040000000008</v>
      </c>
      <c r="U356" s="142">
        <f t="shared" si="52"/>
        <v>4257.62</v>
      </c>
      <c r="W356" s="601">
        <f t="shared" si="55"/>
        <v>272810.15999999997</v>
      </c>
      <c r="X356" s="601">
        <f t="shared" si="56"/>
        <v>0</v>
      </c>
      <c r="Y356" s="123"/>
      <c r="Z356" s="692">
        <f t="shared" si="44"/>
        <v>262012.03</v>
      </c>
      <c r="AA356" s="123"/>
      <c r="AB356" s="123"/>
      <c r="AC356" s="123"/>
      <c r="AD356" s="123"/>
      <c r="AE356" s="123"/>
      <c r="AF356" s="123"/>
      <c r="AG356" s="123"/>
      <c r="AH356" s="123"/>
      <c r="AI356" s="123"/>
      <c r="AJ356" s="123"/>
      <c r="AK356" s="123"/>
      <c r="AL356" s="124"/>
      <c r="AM356" s="124"/>
      <c r="AN356" s="124"/>
      <c r="AO356" s="124"/>
    </row>
    <row r="357" spans="1:41" customFormat="1" ht="12.75" hidden="1" thickBot="1">
      <c r="A357" s="25" t="s">
        <v>1213</v>
      </c>
      <c r="B357" s="25" t="s">
        <v>1204</v>
      </c>
      <c r="C357" s="25" t="s">
        <v>1206</v>
      </c>
      <c r="D357" s="69" t="s">
        <v>63</v>
      </c>
      <c r="E357" s="19"/>
      <c r="F357" s="19"/>
      <c r="G357" s="19"/>
      <c r="H357" s="19"/>
      <c r="I357" s="19"/>
      <c r="J357" s="19"/>
      <c r="K357" s="19"/>
      <c r="L357" s="19"/>
      <c r="M357" s="19"/>
      <c r="N357" s="19"/>
      <c r="O357" s="19"/>
      <c r="P357" s="18">
        <v>-217811.92</v>
      </c>
      <c r="Q357" s="19"/>
      <c r="R357" s="18">
        <v>-217811.92</v>
      </c>
      <c r="S357" s="142">
        <f t="shared" si="50"/>
        <v>0</v>
      </c>
      <c r="T357" s="142">
        <f t="shared" si="51"/>
        <v>0</v>
      </c>
      <c r="U357" s="142">
        <f t="shared" si="52"/>
        <v>0</v>
      </c>
      <c r="W357" s="601">
        <f t="shared" si="55"/>
        <v>-217811.92</v>
      </c>
      <c r="X357" s="601">
        <f t="shared" si="56"/>
        <v>0</v>
      </c>
      <c r="Y357" s="123"/>
      <c r="Z357" s="692">
        <f t="shared" si="44"/>
        <v>0</v>
      </c>
      <c r="AA357" s="123"/>
      <c r="AB357" s="123"/>
      <c r="AC357" s="123"/>
      <c r="AD357" s="123"/>
      <c r="AE357" s="123"/>
      <c r="AF357" s="123"/>
      <c r="AG357" s="123"/>
      <c r="AH357" s="123"/>
      <c r="AI357" s="123"/>
      <c r="AJ357" s="123"/>
      <c r="AK357" s="123"/>
      <c r="AL357" s="124"/>
      <c r="AM357" s="124"/>
      <c r="AN357" s="124"/>
      <c r="AO357" s="124"/>
    </row>
    <row r="358" spans="1:41" customFormat="1" ht="12.75" hidden="1" thickBot="1">
      <c r="A358" s="25" t="s">
        <v>1213</v>
      </c>
      <c r="B358" s="25" t="s">
        <v>425</v>
      </c>
      <c r="C358" s="25" t="s">
        <v>444</v>
      </c>
      <c r="D358" s="69" t="s">
        <v>63</v>
      </c>
      <c r="E358" s="20"/>
      <c r="F358" s="20"/>
      <c r="G358" s="20"/>
      <c r="H358" s="20"/>
      <c r="I358" s="20"/>
      <c r="J358" s="20"/>
      <c r="K358" s="20"/>
      <c r="L358" s="20"/>
      <c r="M358" s="20"/>
      <c r="N358" s="20"/>
      <c r="O358" s="20"/>
      <c r="P358" s="17">
        <v>-79921.22</v>
      </c>
      <c r="Q358" s="20"/>
      <c r="R358" s="17">
        <v>-79921.22</v>
      </c>
      <c r="S358" s="142">
        <f t="shared" si="50"/>
        <v>0</v>
      </c>
      <c r="T358" s="142">
        <f t="shared" si="51"/>
        <v>0</v>
      </c>
      <c r="U358" s="142">
        <f t="shared" si="52"/>
        <v>0</v>
      </c>
      <c r="W358" s="601">
        <f t="shared" si="55"/>
        <v>-79921.22</v>
      </c>
      <c r="X358" s="601">
        <f t="shared" si="56"/>
        <v>0</v>
      </c>
      <c r="Y358" s="123"/>
      <c r="Z358" s="692">
        <f t="shared" si="44"/>
        <v>0</v>
      </c>
      <c r="AA358" s="123"/>
      <c r="AB358" s="123"/>
      <c r="AC358" s="123"/>
      <c r="AD358" s="123"/>
      <c r="AE358" s="123"/>
      <c r="AF358" s="123"/>
      <c r="AG358" s="123"/>
      <c r="AH358" s="123"/>
      <c r="AI358" s="123"/>
      <c r="AJ358" s="123"/>
      <c r="AK358" s="123"/>
      <c r="AL358" s="124"/>
      <c r="AM358" s="124"/>
      <c r="AN358" s="124"/>
      <c r="AO358" s="124"/>
    </row>
    <row r="359" spans="1:41" customFormat="1" ht="12.75" hidden="1" thickBot="1">
      <c r="A359" s="25" t="s">
        <v>1213</v>
      </c>
      <c r="B359" s="25" t="s">
        <v>854</v>
      </c>
      <c r="C359" s="25" t="s">
        <v>855</v>
      </c>
      <c r="D359" s="69" t="s">
        <v>1125</v>
      </c>
      <c r="E359" s="19"/>
      <c r="F359" s="19"/>
      <c r="G359" s="19"/>
      <c r="H359" s="19"/>
      <c r="I359" s="19"/>
      <c r="J359" s="19"/>
      <c r="K359" s="19"/>
      <c r="L359" s="19"/>
      <c r="M359" s="19"/>
      <c r="N359" s="19"/>
      <c r="O359" s="19"/>
      <c r="P359" s="19"/>
      <c r="Q359" s="19"/>
      <c r="R359" s="19"/>
      <c r="S359" s="142">
        <f t="shared" si="50"/>
        <v>0</v>
      </c>
      <c r="T359" s="142">
        <f t="shared" si="51"/>
        <v>0</v>
      </c>
      <c r="U359" s="142">
        <f t="shared" si="52"/>
        <v>0</v>
      </c>
      <c r="W359" s="601">
        <f t="shared" si="55"/>
        <v>0</v>
      </c>
      <c r="X359" s="601">
        <f t="shared" si="56"/>
        <v>0</v>
      </c>
      <c r="Y359" s="123"/>
      <c r="Z359" s="692">
        <f t="shared" si="44"/>
        <v>0</v>
      </c>
      <c r="AA359" s="123"/>
      <c r="AB359" s="123"/>
      <c r="AC359" s="123"/>
      <c r="AD359" s="123"/>
      <c r="AE359" s="123"/>
      <c r="AF359" s="123"/>
      <c r="AG359" s="123"/>
      <c r="AH359" s="123"/>
      <c r="AI359" s="123"/>
      <c r="AJ359" s="123"/>
      <c r="AK359" s="123"/>
      <c r="AL359" s="124"/>
      <c r="AM359" s="124"/>
      <c r="AN359" s="124"/>
      <c r="AO359" s="124"/>
    </row>
    <row r="360" spans="1:41" customFormat="1" ht="12.75" hidden="1" thickBot="1">
      <c r="A360" s="25" t="s">
        <v>1213</v>
      </c>
      <c r="B360" s="25" t="s">
        <v>426</v>
      </c>
      <c r="C360" s="25" t="s">
        <v>450</v>
      </c>
      <c r="D360" s="69" t="s">
        <v>451</v>
      </c>
      <c r="E360" s="77">
        <v>16319000</v>
      </c>
      <c r="F360" s="20"/>
      <c r="G360" s="17">
        <v>165637.85</v>
      </c>
      <c r="H360" s="17">
        <v>444692.75</v>
      </c>
      <c r="I360" s="20"/>
      <c r="J360" s="17">
        <v>12776.4</v>
      </c>
      <c r="K360" s="17">
        <v>373927.88</v>
      </c>
      <c r="L360" s="20"/>
      <c r="M360" s="17">
        <v>35901.800000000003</v>
      </c>
      <c r="N360" s="17">
        <v>0</v>
      </c>
      <c r="O360" s="17">
        <v>15520.81</v>
      </c>
      <c r="P360" s="20"/>
      <c r="Q360" s="20"/>
      <c r="R360" s="17">
        <v>1048457.49</v>
      </c>
      <c r="S360" s="142">
        <f t="shared" si="50"/>
        <v>610330.6</v>
      </c>
      <c r="T360" s="142">
        <f t="shared" si="51"/>
        <v>386704.28</v>
      </c>
      <c r="U360" s="142">
        <f t="shared" si="52"/>
        <v>15520.81</v>
      </c>
      <c r="W360" s="601">
        <f t="shared" si="55"/>
        <v>1048457.4900000001</v>
      </c>
      <c r="X360" s="601">
        <f t="shared" si="56"/>
        <v>0</v>
      </c>
      <c r="Y360" s="123"/>
      <c r="Z360" s="692">
        <f t="shared" si="44"/>
        <v>997034.88</v>
      </c>
      <c r="AA360" s="123"/>
      <c r="AB360" s="123"/>
      <c r="AC360" s="123"/>
      <c r="AD360" s="123"/>
      <c r="AE360" s="123"/>
      <c r="AF360" s="123"/>
      <c r="AG360" s="123"/>
      <c r="AH360" s="123"/>
      <c r="AI360" s="123"/>
      <c r="AJ360" s="123"/>
      <c r="AK360" s="123"/>
      <c r="AL360" s="124"/>
      <c r="AM360" s="124"/>
      <c r="AN360" s="124"/>
      <c r="AO360" s="124"/>
    </row>
    <row r="361" spans="1:41" customFormat="1" ht="12.75" hidden="1" thickBot="1">
      <c r="A361" s="25" t="s">
        <v>1213</v>
      </c>
      <c r="B361" s="25" t="s">
        <v>427</v>
      </c>
      <c r="C361" s="25" t="s">
        <v>54</v>
      </c>
      <c r="D361" s="25" t="s">
        <v>15</v>
      </c>
      <c r="E361" s="76">
        <v>63755110</v>
      </c>
      <c r="F361" s="18">
        <v>9000</v>
      </c>
      <c r="G361" s="18">
        <v>564232.72</v>
      </c>
      <c r="H361" s="18">
        <v>1737326.75</v>
      </c>
      <c r="I361" s="19"/>
      <c r="J361" s="18">
        <v>43046.53</v>
      </c>
      <c r="K361" s="18">
        <v>1252806.23</v>
      </c>
      <c r="L361" s="18">
        <v>0</v>
      </c>
      <c r="M361" s="18">
        <v>130405.73</v>
      </c>
      <c r="N361" s="18">
        <v>0</v>
      </c>
      <c r="O361" s="18">
        <v>53451.88</v>
      </c>
      <c r="P361" s="19"/>
      <c r="Q361" s="19"/>
      <c r="R361" s="18">
        <v>3790269.84</v>
      </c>
      <c r="S361" s="142">
        <f t="shared" si="50"/>
        <v>2301559.4699999997</v>
      </c>
      <c r="T361" s="142">
        <f t="shared" si="51"/>
        <v>1295852.76</v>
      </c>
      <c r="U361" s="142">
        <f t="shared" si="52"/>
        <v>53451.88</v>
      </c>
      <c r="W361" s="601">
        <f t="shared" si="55"/>
        <v>3790269.8399999994</v>
      </c>
      <c r="X361" s="601">
        <f t="shared" si="56"/>
        <v>0</v>
      </c>
      <c r="Y361" s="123"/>
      <c r="Z361" s="692">
        <f t="shared" si="44"/>
        <v>3606412.2299999995</v>
      </c>
      <c r="AA361" s="123"/>
      <c r="AB361" s="123"/>
      <c r="AC361" s="123"/>
      <c r="AD361" s="123"/>
      <c r="AE361" s="123"/>
      <c r="AF361" s="123"/>
      <c r="AG361" s="123"/>
      <c r="AH361" s="123"/>
      <c r="AI361" s="123"/>
      <c r="AJ361" s="123"/>
      <c r="AK361" s="123"/>
      <c r="AL361" s="124"/>
      <c r="AM361" s="124"/>
      <c r="AN361" s="124"/>
      <c r="AO361" s="124"/>
    </row>
    <row r="362" spans="1:41" customFormat="1" ht="12.75" hidden="1" thickBot="1">
      <c r="A362" s="25" t="s">
        <v>1213</v>
      </c>
      <c r="B362" s="25" t="s">
        <v>428</v>
      </c>
      <c r="C362" s="25" t="s">
        <v>458</v>
      </c>
      <c r="D362" s="69" t="s">
        <v>20</v>
      </c>
      <c r="E362" s="77">
        <v>23614645</v>
      </c>
      <c r="F362" s="17">
        <v>21763.97</v>
      </c>
      <c r="G362" s="17">
        <v>315255.49</v>
      </c>
      <c r="H362" s="17">
        <v>643499.12</v>
      </c>
      <c r="I362" s="20"/>
      <c r="J362" s="17">
        <v>33414.870000000003</v>
      </c>
      <c r="K362" s="17">
        <v>941068.06</v>
      </c>
      <c r="L362" s="17">
        <v>0</v>
      </c>
      <c r="M362" s="17">
        <v>35322.11</v>
      </c>
      <c r="N362" s="17">
        <v>0</v>
      </c>
      <c r="O362" s="17">
        <v>39116.050000000003</v>
      </c>
      <c r="P362" s="20"/>
      <c r="Q362" s="20"/>
      <c r="R362" s="17">
        <v>2029439.67</v>
      </c>
      <c r="S362" s="142">
        <f t="shared" si="50"/>
        <v>958754.61</v>
      </c>
      <c r="T362" s="142">
        <f t="shared" si="51"/>
        <v>974482.93</v>
      </c>
      <c r="U362" s="142">
        <f t="shared" si="52"/>
        <v>39116.050000000003</v>
      </c>
      <c r="W362" s="601">
        <f t="shared" si="55"/>
        <v>2029439.6700000002</v>
      </c>
      <c r="X362" s="601">
        <f t="shared" si="56"/>
        <v>0</v>
      </c>
      <c r="Y362" s="123"/>
      <c r="Z362" s="692">
        <f t="shared" si="44"/>
        <v>1955001.51</v>
      </c>
      <c r="AA362" s="123"/>
      <c r="AB362" s="123"/>
      <c r="AC362" s="123"/>
      <c r="AD362" s="123"/>
      <c r="AE362" s="123"/>
      <c r="AF362" s="123"/>
      <c r="AG362" s="123"/>
      <c r="AH362" s="123"/>
      <c r="AI362" s="123"/>
      <c r="AJ362" s="123"/>
      <c r="AK362" s="123"/>
      <c r="AL362" s="124"/>
      <c r="AM362" s="124"/>
      <c r="AN362" s="124"/>
      <c r="AO362" s="124"/>
    </row>
    <row r="363" spans="1:41" customFormat="1" ht="12.75" hidden="1" thickBot="1">
      <c r="A363" s="25" t="s">
        <v>1213</v>
      </c>
      <c r="B363" s="25" t="s">
        <v>429</v>
      </c>
      <c r="C363" s="25" t="s">
        <v>457</v>
      </c>
      <c r="D363" s="153" t="s">
        <v>21</v>
      </c>
      <c r="E363" s="76">
        <v>1014660</v>
      </c>
      <c r="F363" s="18">
        <v>3740</v>
      </c>
      <c r="G363" s="18">
        <v>12186.04</v>
      </c>
      <c r="H363" s="18">
        <v>27649.49</v>
      </c>
      <c r="I363" s="19"/>
      <c r="J363" s="18">
        <v>2130.85</v>
      </c>
      <c r="K363" s="18">
        <v>49630.78</v>
      </c>
      <c r="L363" s="18">
        <v>0</v>
      </c>
      <c r="M363" s="18">
        <v>1654.58</v>
      </c>
      <c r="N363" s="18">
        <v>0</v>
      </c>
      <c r="O363" s="18">
        <v>2008.56</v>
      </c>
      <c r="P363" s="19"/>
      <c r="Q363" s="19"/>
      <c r="R363" s="18">
        <v>99000.3</v>
      </c>
      <c r="S363" s="142">
        <f t="shared" si="50"/>
        <v>39835.53</v>
      </c>
      <c r="T363" s="142">
        <f t="shared" si="51"/>
        <v>51761.63</v>
      </c>
      <c r="U363" s="142">
        <f t="shared" si="52"/>
        <v>2008.56</v>
      </c>
      <c r="W363" s="601">
        <f t="shared" si="55"/>
        <v>99000.3</v>
      </c>
      <c r="X363" s="601">
        <f t="shared" si="56"/>
        <v>0</v>
      </c>
      <c r="Y363" s="123"/>
      <c r="Z363" s="692">
        <f t="shared" si="44"/>
        <v>95337.16</v>
      </c>
      <c r="AA363" s="123"/>
      <c r="AB363" s="123"/>
      <c r="AC363" s="123"/>
      <c r="AD363" s="123"/>
      <c r="AE363" s="123"/>
      <c r="AF363" s="123"/>
      <c r="AG363" s="123"/>
      <c r="AH363" s="123"/>
      <c r="AI363" s="123"/>
      <c r="AJ363" s="123"/>
      <c r="AK363" s="123"/>
      <c r="AL363" s="124"/>
      <c r="AM363" s="124"/>
      <c r="AN363" s="124"/>
      <c r="AO363" s="124"/>
    </row>
    <row r="364" spans="1:41" customFormat="1" ht="12.75" hidden="1" thickBot="1">
      <c r="A364" s="25" t="s">
        <v>1213</v>
      </c>
      <c r="B364" s="25" t="s">
        <v>430</v>
      </c>
      <c r="C364" s="25" t="s">
        <v>933</v>
      </c>
      <c r="D364" s="69" t="s">
        <v>920</v>
      </c>
      <c r="E364" s="77">
        <v>17924420</v>
      </c>
      <c r="F364" s="17">
        <v>14668.97</v>
      </c>
      <c r="G364" s="17">
        <v>226743.86</v>
      </c>
      <c r="H364" s="17">
        <v>488440.49</v>
      </c>
      <c r="I364" s="20"/>
      <c r="J364" s="17">
        <v>22195.02</v>
      </c>
      <c r="K364" s="17">
        <v>649985.80000000005</v>
      </c>
      <c r="L364" s="17">
        <v>0</v>
      </c>
      <c r="M364" s="17">
        <v>26896.95</v>
      </c>
      <c r="N364" s="17">
        <v>0</v>
      </c>
      <c r="O364" s="17">
        <v>27290.2</v>
      </c>
      <c r="P364" s="20"/>
      <c r="Q364" s="20"/>
      <c r="R364" s="17">
        <v>1456221.29</v>
      </c>
      <c r="S364" s="142">
        <f t="shared" si="50"/>
        <v>715184.35</v>
      </c>
      <c r="T364" s="142">
        <f t="shared" si="51"/>
        <v>672180.82000000007</v>
      </c>
      <c r="U364" s="142">
        <f t="shared" si="52"/>
        <v>27290.2</v>
      </c>
      <c r="W364" s="601">
        <f t="shared" si="55"/>
        <v>1456221.29</v>
      </c>
      <c r="X364" s="601">
        <f t="shared" si="56"/>
        <v>0</v>
      </c>
      <c r="Y364" s="123"/>
      <c r="Z364" s="692">
        <f t="shared" si="44"/>
        <v>1402034.1400000001</v>
      </c>
      <c r="AA364" s="123"/>
      <c r="AB364" s="123"/>
      <c r="AC364" s="123"/>
      <c r="AD364" s="123"/>
      <c r="AE364" s="123"/>
      <c r="AF364" s="123"/>
      <c r="AG364" s="123"/>
      <c r="AH364" s="123"/>
      <c r="AI364" s="123"/>
      <c r="AJ364" s="123"/>
      <c r="AK364" s="123"/>
      <c r="AL364" s="124"/>
      <c r="AM364" s="124"/>
      <c r="AN364" s="124"/>
      <c r="AO364" s="124"/>
    </row>
    <row r="365" spans="1:41" customFormat="1" ht="12.75" hidden="1" thickBot="1">
      <c r="A365" s="25" t="s">
        <v>1213</v>
      </c>
      <c r="B365" s="25" t="s">
        <v>431</v>
      </c>
      <c r="C365" s="25" t="s">
        <v>459</v>
      </c>
      <c r="D365" s="69" t="s">
        <v>460</v>
      </c>
      <c r="E365" s="76">
        <v>119109000</v>
      </c>
      <c r="F365" s="18">
        <v>18600</v>
      </c>
      <c r="G365" s="18">
        <v>968356.15</v>
      </c>
      <c r="H365" s="18">
        <v>3245720.25</v>
      </c>
      <c r="I365" s="19"/>
      <c r="J365" s="18">
        <v>111981.64</v>
      </c>
      <c r="K365" s="18">
        <v>3093912.61</v>
      </c>
      <c r="L365" s="18">
        <v>0</v>
      </c>
      <c r="M365" s="18">
        <v>199200.98</v>
      </c>
      <c r="N365" s="18">
        <v>0</v>
      </c>
      <c r="O365" s="18">
        <v>123714.35</v>
      </c>
      <c r="P365" s="19"/>
      <c r="Q365" s="19"/>
      <c r="R365" s="18">
        <v>7761485.9800000004</v>
      </c>
      <c r="S365" s="142">
        <f t="shared" si="50"/>
        <v>4214076.4000000004</v>
      </c>
      <c r="T365" s="142">
        <f t="shared" si="51"/>
        <v>3205894.25</v>
      </c>
      <c r="U365" s="142">
        <f t="shared" si="52"/>
        <v>123714.35</v>
      </c>
      <c r="W365" s="601">
        <f t="shared" si="55"/>
        <v>7761485.9800000004</v>
      </c>
      <c r="X365" s="601">
        <f t="shared" si="56"/>
        <v>0</v>
      </c>
      <c r="Y365" s="123"/>
      <c r="Z365" s="692">
        <f t="shared" si="44"/>
        <v>7438570.6500000004</v>
      </c>
      <c r="AA365" s="123"/>
      <c r="AB365" s="123"/>
      <c r="AC365" s="123"/>
      <c r="AD365" s="123"/>
      <c r="AE365" s="123"/>
      <c r="AF365" s="123"/>
      <c r="AG365" s="123"/>
      <c r="AH365" s="123"/>
      <c r="AI365" s="123"/>
      <c r="AJ365" s="123"/>
      <c r="AK365" s="123"/>
      <c r="AL365" s="124"/>
      <c r="AM365" s="124"/>
      <c r="AN365" s="124"/>
      <c r="AO365" s="124"/>
    </row>
    <row r="366" spans="1:41" customFormat="1" ht="12.75" hidden="1" thickBot="1">
      <c r="A366" s="25" t="s">
        <v>1213</v>
      </c>
      <c r="B366" s="25" t="s">
        <v>433</v>
      </c>
      <c r="C366" s="25" t="s">
        <v>462</v>
      </c>
      <c r="D366" s="69" t="s">
        <v>17</v>
      </c>
      <c r="E366" s="77">
        <v>196</v>
      </c>
      <c r="F366" s="20"/>
      <c r="G366" s="17">
        <v>7.1</v>
      </c>
      <c r="H366" s="17">
        <v>5.34</v>
      </c>
      <c r="I366" s="17">
        <v>0.22</v>
      </c>
      <c r="J366" s="20"/>
      <c r="K366" s="20"/>
      <c r="L366" s="20"/>
      <c r="M366" s="17">
        <v>0.28999999999999998</v>
      </c>
      <c r="N366" s="17">
        <v>0.24</v>
      </c>
      <c r="O366" s="20"/>
      <c r="P366" s="20"/>
      <c r="Q366" s="20"/>
      <c r="R366" s="17">
        <v>13.19</v>
      </c>
      <c r="S366" s="142">
        <f t="shared" si="50"/>
        <v>12.66</v>
      </c>
      <c r="T366" s="142">
        <f t="shared" si="51"/>
        <v>0</v>
      </c>
      <c r="U366" s="142">
        <f t="shared" si="52"/>
        <v>0.24</v>
      </c>
      <c r="W366" s="601">
        <f t="shared" si="55"/>
        <v>13.19</v>
      </c>
      <c r="X366" s="601">
        <f t="shared" si="56"/>
        <v>0</v>
      </c>
      <c r="Y366" s="123"/>
      <c r="Z366" s="692">
        <f t="shared" si="44"/>
        <v>12.66</v>
      </c>
      <c r="AA366" s="123"/>
      <c r="AB366" s="123"/>
      <c r="AC366" s="123"/>
      <c r="AD366" s="123"/>
      <c r="AE366" s="123"/>
      <c r="AF366" s="123"/>
      <c r="AG366" s="123"/>
      <c r="AH366" s="123"/>
      <c r="AI366" s="123"/>
      <c r="AJ366" s="123"/>
      <c r="AK366" s="123"/>
      <c r="AL366" s="124"/>
      <c r="AM366" s="124"/>
      <c r="AN366" s="124"/>
      <c r="AO366" s="124"/>
    </row>
    <row r="367" spans="1:41" customFormat="1" ht="12.75" hidden="1" thickBot="1">
      <c r="A367" s="25" t="s">
        <v>1213</v>
      </c>
      <c r="B367" s="25" t="s">
        <v>434</v>
      </c>
      <c r="C367" s="25" t="s">
        <v>462</v>
      </c>
      <c r="D367" s="69" t="s">
        <v>17</v>
      </c>
      <c r="E367" s="76">
        <v>170467</v>
      </c>
      <c r="F367" s="19"/>
      <c r="G367" s="18">
        <v>6181.08</v>
      </c>
      <c r="H367" s="18">
        <v>4645.26</v>
      </c>
      <c r="I367" s="18">
        <v>187.55</v>
      </c>
      <c r="J367" s="19"/>
      <c r="K367" s="19"/>
      <c r="L367" s="19"/>
      <c r="M367" s="18">
        <v>264.68</v>
      </c>
      <c r="N367" s="18">
        <v>209.75</v>
      </c>
      <c r="O367" s="19"/>
      <c r="P367" s="19"/>
      <c r="Q367" s="19"/>
      <c r="R367" s="18">
        <v>11488.32</v>
      </c>
      <c r="S367" s="142">
        <f t="shared" si="50"/>
        <v>11013.89</v>
      </c>
      <c r="T367" s="142">
        <f t="shared" si="51"/>
        <v>0</v>
      </c>
      <c r="U367" s="142">
        <f t="shared" si="52"/>
        <v>209.75</v>
      </c>
      <c r="W367" s="601">
        <f t="shared" si="55"/>
        <v>11488.32</v>
      </c>
      <c r="X367" s="601">
        <f t="shared" si="56"/>
        <v>0</v>
      </c>
      <c r="Y367" s="123"/>
      <c r="Z367" s="692">
        <f t="shared" si="44"/>
        <v>11013.89</v>
      </c>
      <c r="AA367" s="123"/>
      <c r="AB367" s="123"/>
      <c r="AC367" s="123"/>
      <c r="AD367" s="123"/>
      <c r="AE367" s="123"/>
      <c r="AF367" s="123"/>
      <c r="AG367" s="123"/>
      <c r="AH367" s="123"/>
      <c r="AI367" s="123"/>
      <c r="AJ367" s="123"/>
      <c r="AK367" s="123"/>
      <c r="AL367" s="124"/>
      <c r="AM367" s="124"/>
      <c r="AN367" s="124"/>
      <c r="AO367" s="124"/>
    </row>
    <row r="368" spans="1:41" customFormat="1" ht="12.75" hidden="1" thickBot="1">
      <c r="A368" s="25" t="s">
        <v>1213</v>
      </c>
      <c r="B368" s="25" t="s">
        <v>435</v>
      </c>
      <c r="C368" s="25" t="s">
        <v>462</v>
      </c>
      <c r="D368" s="69" t="s">
        <v>17</v>
      </c>
      <c r="E368" s="77">
        <v>86895</v>
      </c>
      <c r="F368" s="20"/>
      <c r="G368" s="17">
        <v>3150.8</v>
      </c>
      <c r="H368" s="17">
        <v>2367.89</v>
      </c>
      <c r="I368" s="17">
        <v>95.59</v>
      </c>
      <c r="J368" s="20"/>
      <c r="K368" s="20"/>
      <c r="L368" s="20"/>
      <c r="M368" s="17">
        <v>130.19999999999999</v>
      </c>
      <c r="N368" s="17">
        <v>107.36</v>
      </c>
      <c r="O368" s="20"/>
      <c r="P368" s="20"/>
      <c r="Q368" s="20"/>
      <c r="R368" s="17">
        <v>5851.84</v>
      </c>
      <c r="S368" s="142">
        <f t="shared" si="50"/>
        <v>5614.2800000000007</v>
      </c>
      <c r="T368" s="142">
        <f t="shared" si="51"/>
        <v>0</v>
      </c>
      <c r="U368" s="142">
        <f t="shared" si="52"/>
        <v>107.36</v>
      </c>
      <c r="W368" s="601">
        <f t="shared" si="55"/>
        <v>5851.84</v>
      </c>
      <c r="X368" s="601">
        <f t="shared" si="56"/>
        <v>0</v>
      </c>
      <c r="Y368" s="123"/>
      <c r="Z368" s="692">
        <f t="shared" si="44"/>
        <v>5614.2800000000007</v>
      </c>
      <c r="AA368" s="123"/>
      <c r="AB368" s="123"/>
      <c r="AC368" s="123"/>
      <c r="AD368" s="123"/>
      <c r="AE368" s="123"/>
      <c r="AF368" s="123"/>
      <c r="AG368" s="123"/>
      <c r="AH368" s="123"/>
      <c r="AI368" s="123"/>
      <c r="AJ368" s="123"/>
      <c r="AK368" s="123"/>
      <c r="AL368" s="124"/>
      <c r="AM368" s="124"/>
      <c r="AN368" s="124"/>
      <c r="AO368" s="124"/>
    </row>
    <row r="369" spans="1:41" customFormat="1" ht="12.75" hidden="1" thickBot="1">
      <c r="A369" s="25" t="s">
        <v>1213</v>
      </c>
      <c r="B369" s="25" t="s">
        <v>436</v>
      </c>
      <c r="C369" s="25" t="s">
        <v>55</v>
      </c>
      <c r="D369" s="69" t="s">
        <v>18</v>
      </c>
      <c r="E369" s="76">
        <v>181626</v>
      </c>
      <c r="F369" s="18">
        <v>2898.95</v>
      </c>
      <c r="G369" s="18">
        <v>8759.93</v>
      </c>
      <c r="H369" s="18">
        <v>4949.37</v>
      </c>
      <c r="I369" s="18">
        <v>200.25</v>
      </c>
      <c r="J369" s="19"/>
      <c r="K369" s="19"/>
      <c r="L369" s="19"/>
      <c r="M369" s="18">
        <v>282.72000000000003</v>
      </c>
      <c r="N369" s="18">
        <v>317.64</v>
      </c>
      <c r="O369" s="19"/>
      <c r="P369" s="19"/>
      <c r="Q369" s="19"/>
      <c r="R369" s="18">
        <v>17408.86</v>
      </c>
      <c r="S369" s="142">
        <f t="shared" si="50"/>
        <v>13909.55</v>
      </c>
      <c r="T369" s="142">
        <f t="shared" si="51"/>
        <v>0</v>
      </c>
      <c r="U369" s="142">
        <f t="shared" si="52"/>
        <v>317.64</v>
      </c>
      <c r="W369" s="601">
        <f t="shared" si="55"/>
        <v>17408.86</v>
      </c>
      <c r="X369" s="601">
        <f t="shared" si="56"/>
        <v>0</v>
      </c>
      <c r="Y369" s="123"/>
      <c r="Z369" s="692">
        <f t="shared" si="44"/>
        <v>16808.5</v>
      </c>
      <c r="AA369" s="123"/>
      <c r="AB369" s="123"/>
      <c r="AC369" s="123"/>
      <c r="AD369" s="123"/>
      <c r="AE369" s="123"/>
      <c r="AF369" s="123"/>
      <c r="AG369" s="123"/>
      <c r="AH369" s="123"/>
      <c r="AI369" s="123"/>
      <c r="AJ369" s="123"/>
      <c r="AK369" s="123"/>
      <c r="AL369" s="124"/>
      <c r="AM369" s="124"/>
      <c r="AN369" s="124"/>
      <c r="AO369" s="124"/>
    </row>
    <row r="370" spans="1:41" customFormat="1" ht="12.75" hidden="1" thickBot="1">
      <c r="A370" s="25" t="s">
        <v>1213</v>
      </c>
      <c r="B370" s="25" t="s">
        <v>437</v>
      </c>
      <c r="C370" s="25" t="s">
        <v>55</v>
      </c>
      <c r="D370" s="69" t="s">
        <v>18</v>
      </c>
      <c r="E370" s="77">
        <v>68742</v>
      </c>
      <c r="F370" s="17">
        <v>435.5</v>
      </c>
      <c r="G370" s="17">
        <v>3315.44</v>
      </c>
      <c r="H370" s="17">
        <v>1873.21</v>
      </c>
      <c r="I370" s="17">
        <v>75.61</v>
      </c>
      <c r="J370" s="20"/>
      <c r="K370" s="20"/>
      <c r="L370" s="20"/>
      <c r="M370" s="17">
        <v>102.43</v>
      </c>
      <c r="N370" s="17">
        <v>108.49</v>
      </c>
      <c r="O370" s="20"/>
      <c r="P370" s="20"/>
      <c r="Q370" s="20"/>
      <c r="R370" s="17">
        <v>5910.68</v>
      </c>
      <c r="S370" s="142">
        <f t="shared" si="50"/>
        <v>5264.2599999999993</v>
      </c>
      <c r="T370" s="142">
        <f t="shared" si="51"/>
        <v>0</v>
      </c>
      <c r="U370" s="142">
        <f t="shared" si="52"/>
        <v>108.49</v>
      </c>
      <c r="W370" s="601">
        <f t="shared" si="55"/>
        <v>5910.6799999999994</v>
      </c>
      <c r="X370" s="601">
        <f t="shared" si="56"/>
        <v>0</v>
      </c>
      <c r="Y370" s="123"/>
      <c r="Z370" s="692">
        <f t="shared" si="44"/>
        <v>5699.7599999999993</v>
      </c>
      <c r="AA370" s="123"/>
      <c r="AB370" s="123"/>
      <c r="AC370" s="123"/>
      <c r="AD370" s="123"/>
      <c r="AE370" s="123"/>
      <c r="AF370" s="123"/>
      <c r="AG370" s="123"/>
      <c r="AH370" s="123"/>
      <c r="AI370" s="123"/>
      <c r="AJ370" s="123"/>
      <c r="AK370" s="123"/>
      <c r="AL370" s="124"/>
      <c r="AM370" s="124"/>
      <c r="AN370" s="124"/>
      <c r="AO370" s="124"/>
    </row>
    <row r="371" spans="1:41" customFormat="1" ht="12.75" hidden="1" thickBot="1">
      <c r="A371" s="25" t="s">
        <v>1213</v>
      </c>
      <c r="B371" s="25" t="s">
        <v>856</v>
      </c>
      <c r="C371" s="25" t="s">
        <v>857</v>
      </c>
      <c r="D371" s="69" t="s">
        <v>1125</v>
      </c>
      <c r="E371" s="19"/>
      <c r="F371" s="19"/>
      <c r="G371" s="19"/>
      <c r="H371" s="19"/>
      <c r="I371" s="19"/>
      <c r="J371" s="19"/>
      <c r="K371" s="19"/>
      <c r="L371" s="19"/>
      <c r="M371" s="19"/>
      <c r="N371" s="19"/>
      <c r="O371" s="19"/>
      <c r="P371" s="19"/>
      <c r="Q371" s="19"/>
      <c r="R371" s="19"/>
      <c r="S371" s="142">
        <f t="shared" si="50"/>
        <v>0</v>
      </c>
      <c r="T371" s="142">
        <f t="shared" si="51"/>
        <v>0</v>
      </c>
      <c r="U371" s="142">
        <f t="shared" si="52"/>
        <v>0</v>
      </c>
      <c r="W371" s="601">
        <f t="shared" si="55"/>
        <v>0</v>
      </c>
      <c r="X371" s="601">
        <f t="shared" si="56"/>
        <v>0</v>
      </c>
      <c r="Y371" s="123"/>
      <c r="Z371" s="692">
        <f t="shared" si="44"/>
        <v>0</v>
      </c>
      <c r="AA371" s="123"/>
      <c r="AB371" s="123"/>
      <c r="AC371" s="123"/>
      <c r="AD371" s="123"/>
      <c r="AE371" s="123"/>
      <c r="AF371" s="123"/>
      <c r="AG371" s="123"/>
      <c r="AH371" s="123"/>
      <c r="AI371" s="123"/>
      <c r="AJ371" s="123"/>
      <c r="AK371" s="123"/>
      <c r="AL371" s="124"/>
      <c r="AM371" s="124"/>
      <c r="AN371" s="124"/>
      <c r="AO371" s="124"/>
    </row>
    <row r="372" spans="1:41" customFormat="1" ht="12.75" hidden="1" thickBot="1">
      <c r="A372" s="25" t="s">
        <v>1213</v>
      </c>
      <c r="B372" s="25" t="s">
        <v>438</v>
      </c>
      <c r="C372" s="25" t="s">
        <v>469</v>
      </c>
      <c r="D372" s="69" t="s">
        <v>13</v>
      </c>
      <c r="E372" s="77">
        <v>831206</v>
      </c>
      <c r="F372" s="20"/>
      <c r="G372" s="17">
        <v>43363.55</v>
      </c>
      <c r="H372" s="17">
        <v>22651.08</v>
      </c>
      <c r="I372" s="17">
        <v>1114.18</v>
      </c>
      <c r="J372" s="20"/>
      <c r="K372" s="20"/>
      <c r="L372" s="17">
        <v>4512.66</v>
      </c>
      <c r="M372" s="17">
        <v>1242.07</v>
      </c>
      <c r="N372" s="17">
        <v>1360.07</v>
      </c>
      <c r="O372" s="20"/>
      <c r="P372" s="20"/>
      <c r="Q372" s="17">
        <v>0</v>
      </c>
      <c r="R372" s="17">
        <v>74243.61</v>
      </c>
      <c r="S372" s="142">
        <f t="shared" si="50"/>
        <v>67128.81</v>
      </c>
      <c r="T372" s="142">
        <f t="shared" si="51"/>
        <v>0</v>
      </c>
      <c r="U372" s="142">
        <f t="shared" si="52"/>
        <v>1360.07</v>
      </c>
      <c r="W372" s="601">
        <f t="shared" si="55"/>
        <v>74243.610000000015</v>
      </c>
      <c r="X372" s="601">
        <f t="shared" si="56"/>
        <v>0</v>
      </c>
      <c r="Y372" s="123"/>
      <c r="Z372" s="692">
        <f t="shared" si="44"/>
        <v>67128.81</v>
      </c>
      <c r="AA372" s="123"/>
      <c r="AB372" s="123"/>
      <c r="AC372" s="123"/>
      <c r="AD372" s="123"/>
      <c r="AE372" s="123"/>
      <c r="AF372" s="123"/>
      <c r="AG372" s="123"/>
      <c r="AH372" s="123"/>
      <c r="AI372" s="123"/>
      <c r="AJ372" s="123"/>
      <c r="AK372" s="123"/>
      <c r="AL372" s="124"/>
      <c r="AM372" s="124"/>
      <c r="AN372" s="124"/>
      <c r="AO372" s="124"/>
    </row>
    <row r="373" spans="1:41" customFormat="1" ht="12.75" hidden="1" thickBot="1">
      <c r="A373" s="25" t="s">
        <v>1213</v>
      </c>
      <c r="B373" s="25" t="s">
        <v>439</v>
      </c>
      <c r="C373" s="25" t="s">
        <v>466</v>
      </c>
      <c r="D373" s="69" t="s">
        <v>13</v>
      </c>
      <c r="E373" s="76">
        <v>249761470</v>
      </c>
      <c r="F373" s="18">
        <v>3779067.26</v>
      </c>
      <c r="G373" s="18">
        <v>13030017.550000001</v>
      </c>
      <c r="H373" s="18">
        <v>6806076.4900000002</v>
      </c>
      <c r="I373" s="18">
        <v>334677.23</v>
      </c>
      <c r="J373" s="19"/>
      <c r="K373" s="19"/>
      <c r="L373" s="18">
        <v>1356276.92</v>
      </c>
      <c r="M373" s="18">
        <v>372129.37</v>
      </c>
      <c r="N373" s="18">
        <v>480139.54</v>
      </c>
      <c r="O373" s="19"/>
      <c r="P373" s="19"/>
      <c r="Q373" s="18">
        <v>0</v>
      </c>
      <c r="R373" s="18">
        <v>26158384.359999999</v>
      </c>
      <c r="S373" s="142">
        <f t="shared" si="50"/>
        <v>20170771.27</v>
      </c>
      <c r="T373" s="142">
        <f t="shared" si="51"/>
        <v>0</v>
      </c>
      <c r="U373" s="142">
        <f t="shared" si="52"/>
        <v>480139.54</v>
      </c>
      <c r="W373" s="601">
        <f t="shared" si="55"/>
        <v>26158384.360000003</v>
      </c>
      <c r="X373" s="601">
        <f t="shared" si="56"/>
        <v>0</v>
      </c>
      <c r="Y373" s="123"/>
      <c r="Z373" s="692">
        <f t="shared" si="44"/>
        <v>23949838.530000005</v>
      </c>
      <c r="AA373" s="123"/>
      <c r="AB373" s="123"/>
      <c r="AC373" s="123"/>
      <c r="AD373" s="123"/>
      <c r="AE373" s="123"/>
      <c r="AF373" s="123"/>
      <c r="AG373" s="123"/>
      <c r="AH373" s="123"/>
      <c r="AI373" s="123"/>
      <c r="AJ373" s="123"/>
      <c r="AK373" s="123"/>
      <c r="AL373" s="124"/>
      <c r="AM373" s="124"/>
      <c r="AN373" s="124"/>
      <c r="AO373" s="124"/>
    </row>
    <row r="374" spans="1:41" customFormat="1" ht="12.75" hidden="1" thickBot="1">
      <c r="A374" s="25" t="s">
        <v>1213</v>
      </c>
      <c r="B374" s="25" t="s">
        <v>440</v>
      </c>
      <c r="C374" s="25" t="s">
        <v>467</v>
      </c>
      <c r="D374" s="69" t="s">
        <v>13</v>
      </c>
      <c r="E374" s="77">
        <v>88307</v>
      </c>
      <c r="F374" s="17">
        <v>1365.25</v>
      </c>
      <c r="G374" s="17">
        <v>4607.04</v>
      </c>
      <c r="H374" s="17">
        <v>2406.33</v>
      </c>
      <c r="I374" s="17">
        <v>118.35</v>
      </c>
      <c r="J374" s="20"/>
      <c r="K374" s="20"/>
      <c r="L374" s="17">
        <v>479.53</v>
      </c>
      <c r="M374" s="17">
        <v>131.58000000000001</v>
      </c>
      <c r="N374" s="17">
        <v>170.27</v>
      </c>
      <c r="O374" s="20"/>
      <c r="P374" s="20"/>
      <c r="Q374" s="17">
        <v>0</v>
      </c>
      <c r="R374" s="17">
        <v>9278.35</v>
      </c>
      <c r="S374" s="142">
        <f t="shared" ref="S374:S434" si="57">G374+H374+I374</f>
        <v>7131.72</v>
      </c>
      <c r="T374" s="142">
        <f t="shared" ref="T374:T434" si="58">J374+K374</f>
        <v>0</v>
      </c>
      <c r="U374" s="142">
        <f t="shared" ref="U374:U434" si="59">N374+O374</f>
        <v>170.27</v>
      </c>
      <c r="W374" s="601">
        <f t="shared" si="55"/>
        <v>9278.35</v>
      </c>
      <c r="X374" s="601">
        <f t="shared" si="56"/>
        <v>0</v>
      </c>
      <c r="Y374" s="123"/>
      <c r="Z374" s="692">
        <f t="shared" ref="Z374:Z434" si="60">SUM(F374:K374)</f>
        <v>8496.9699999999993</v>
      </c>
      <c r="AA374" s="123"/>
      <c r="AB374" s="123"/>
      <c r="AC374" s="123"/>
      <c r="AD374" s="123"/>
      <c r="AE374" s="123"/>
      <c r="AF374" s="123"/>
      <c r="AG374" s="123"/>
      <c r="AH374" s="123"/>
      <c r="AI374" s="123"/>
      <c r="AJ374" s="123"/>
      <c r="AK374" s="123"/>
      <c r="AL374" s="124"/>
      <c r="AM374" s="124"/>
      <c r="AN374" s="124"/>
      <c r="AO374" s="124"/>
    </row>
    <row r="375" spans="1:41" customFormat="1" ht="12.75" hidden="1" thickBot="1">
      <c r="A375" s="25" t="s">
        <v>1213</v>
      </c>
      <c r="B375" s="25" t="s">
        <v>441</v>
      </c>
      <c r="C375" s="25" t="s">
        <v>468</v>
      </c>
      <c r="D375" s="69" t="s">
        <v>13</v>
      </c>
      <c r="E375" s="76">
        <v>27519</v>
      </c>
      <c r="F375" s="18">
        <v>64.5</v>
      </c>
      <c r="G375" s="18">
        <v>1435.66</v>
      </c>
      <c r="H375" s="18">
        <v>749.89</v>
      </c>
      <c r="I375" s="18">
        <v>36.880000000000003</v>
      </c>
      <c r="J375" s="19"/>
      <c r="K375" s="19"/>
      <c r="L375" s="18">
        <v>149.43</v>
      </c>
      <c r="M375" s="18">
        <v>41.01</v>
      </c>
      <c r="N375" s="18">
        <v>46.34</v>
      </c>
      <c r="O375" s="19"/>
      <c r="P375" s="19"/>
      <c r="Q375" s="18">
        <v>0</v>
      </c>
      <c r="R375" s="18">
        <v>2523.71</v>
      </c>
      <c r="S375" s="142">
        <f t="shared" si="57"/>
        <v>2222.4300000000003</v>
      </c>
      <c r="T375" s="142">
        <f t="shared" si="58"/>
        <v>0</v>
      </c>
      <c r="U375" s="142">
        <f t="shared" si="59"/>
        <v>46.34</v>
      </c>
      <c r="W375" s="601">
        <f t="shared" si="55"/>
        <v>2523.7100000000005</v>
      </c>
      <c r="X375" s="601">
        <f t="shared" si="56"/>
        <v>0</v>
      </c>
      <c r="Y375" s="123"/>
      <c r="Z375" s="692">
        <f t="shared" si="60"/>
        <v>2286.9300000000003</v>
      </c>
      <c r="AA375" s="123"/>
      <c r="AB375" s="123"/>
      <c r="AC375" s="123"/>
      <c r="AD375" s="123"/>
      <c r="AE375" s="123"/>
      <c r="AF375" s="123"/>
      <c r="AG375" s="123"/>
      <c r="AH375" s="123"/>
      <c r="AI375" s="123"/>
      <c r="AJ375" s="123"/>
      <c r="AK375" s="123"/>
      <c r="AL375" s="124"/>
      <c r="AM375" s="124"/>
      <c r="AN375" s="124"/>
      <c r="AO375" s="124"/>
    </row>
    <row r="376" spans="1:41" customFormat="1" ht="12.75" hidden="1" thickBot="1">
      <c r="A376" s="25" t="s">
        <v>1213</v>
      </c>
      <c r="B376" s="25" t="s">
        <v>755</v>
      </c>
      <c r="C376" s="25" t="s">
        <v>1124</v>
      </c>
      <c r="D376" s="69" t="s">
        <v>680</v>
      </c>
      <c r="E376" s="77">
        <v>21652</v>
      </c>
      <c r="F376" s="17">
        <v>180.24</v>
      </c>
      <c r="G376" s="17">
        <v>1087.97</v>
      </c>
      <c r="H376" s="17">
        <v>589.98</v>
      </c>
      <c r="I376" s="17">
        <v>29.04</v>
      </c>
      <c r="J376" s="20"/>
      <c r="K376" s="20"/>
      <c r="L376" s="17">
        <v>117.59</v>
      </c>
      <c r="M376" s="17">
        <v>32.25</v>
      </c>
      <c r="N376" s="17">
        <v>38.090000000000003</v>
      </c>
      <c r="O376" s="20"/>
      <c r="P376" s="20"/>
      <c r="Q376" s="20"/>
      <c r="R376" s="17">
        <v>2075.16</v>
      </c>
      <c r="S376" s="142">
        <f t="shared" si="57"/>
        <v>1706.99</v>
      </c>
      <c r="T376" s="142">
        <f t="shared" si="58"/>
        <v>0</v>
      </c>
      <c r="U376" s="142">
        <f t="shared" si="59"/>
        <v>38.090000000000003</v>
      </c>
      <c r="W376" s="601">
        <f t="shared" si="55"/>
        <v>2075.16</v>
      </c>
      <c r="X376" s="601">
        <f t="shared" si="56"/>
        <v>0</v>
      </c>
      <c r="Y376" s="123"/>
      <c r="Z376" s="692">
        <f t="shared" si="60"/>
        <v>1887.23</v>
      </c>
      <c r="AA376" s="123"/>
      <c r="AB376" s="123"/>
      <c r="AC376" s="123"/>
      <c r="AD376" s="123"/>
      <c r="AE376" s="123"/>
      <c r="AF376" s="123"/>
      <c r="AG376" s="123"/>
      <c r="AH376" s="123"/>
      <c r="AI376" s="123"/>
      <c r="AJ376" s="123"/>
      <c r="AK376" s="123"/>
      <c r="AL376" s="124"/>
      <c r="AM376" s="124"/>
      <c r="AN376" s="124"/>
      <c r="AO376" s="124"/>
    </row>
    <row r="377" spans="1:41" customFormat="1" ht="12.75" hidden="1" thickBot="1">
      <c r="A377" s="25" t="s">
        <v>1213</v>
      </c>
      <c r="B377" s="25" t="s">
        <v>1208</v>
      </c>
      <c r="C377" s="25" t="s">
        <v>1217</v>
      </c>
      <c r="D377" s="69" t="s">
        <v>680</v>
      </c>
      <c r="E377" s="76">
        <v>114</v>
      </c>
      <c r="F377" s="18">
        <v>10.75</v>
      </c>
      <c r="G377" s="18">
        <v>3.37</v>
      </c>
      <c r="H377" s="18">
        <v>3.11</v>
      </c>
      <c r="I377" s="18">
        <v>0.15</v>
      </c>
      <c r="J377" s="19"/>
      <c r="K377" s="19"/>
      <c r="L377" s="18">
        <v>0.62</v>
      </c>
      <c r="M377" s="18">
        <v>0.17</v>
      </c>
      <c r="N377" s="18">
        <v>0.34</v>
      </c>
      <c r="O377" s="19"/>
      <c r="P377" s="19"/>
      <c r="Q377" s="19"/>
      <c r="R377" s="18">
        <v>18.510000000000002</v>
      </c>
      <c r="S377" s="142">
        <f t="shared" si="57"/>
        <v>6.6300000000000008</v>
      </c>
      <c r="T377" s="142">
        <f t="shared" si="58"/>
        <v>0</v>
      </c>
      <c r="U377" s="142">
        <f t="shared" si="59"/>
        <v>0.34</v>
      </c>
      <c r="W377" s="601">
        <f t="shared" si="55"/>
        <v>18.510000000000002</v>
      </c>
      <c r="X377" s="601">
        <f t="shared" si="56"/>
        <v>0</v>
      </c>
      <c r="Y377" s="123"/>
      <c r="Z377" s="692">
        <f t="shared" si="60"/>
        <v>17.38</v>
      </c>
      <c r="AA377" s="123"/>
      <c r="AB377" s="123"/>
      <c r="AC377" s="123"/>
      <c r="AD377" s="123"/>
      <c r="AE377" s="123"/>
      <c r="AF377" s="123"/>
      <c r="AG377" s="123"/>
      <c r="AH377" s="123"/>
      <c r="AI377" s="123"/>
      <c r="AJ377" s="123"/>
      <c r="AK377" s="123"/>
      <c r="AL377" s="124"/>
      <c r="AM377" s="124"/>
      <c r="AN377" s="124"/>
      <c r="AO377" s="124"/>
    </row>
    <row r="378" spans="1:41" customFormat="1" ht="12.75" hidden="1" thickBot="1">
      <c r="A378" s="25" t="s">
        <v>1213</v>
      </c>
      <c r="B378" s="25" t="s">
        <v>401</v>
      </c>
      <c r="C378" s="25" t="s">
        <v>402</v>
      </c>
      <c r="D378" s="69" t="s">
        <v>1125</v>
      </c>
      <c r="E378" s="20"/>
      <c r="F378" s="20"/>
      <c r="G378" s="20"/>
      <c r="H378" s="20"/>
      <c r="I378" s="20"/>
      <c r="J378" s="20"/>
      <c r="K378" s="20"/>
      <c r="L378" s="20"/>
      <c r="M378" s="20"/>
      <c r="N378" s="20"/>
      <c r="O378" s="20"/>
      <c r="P378" s="20"/>
      <c r="Q378" s="20"/>
      <c r="R378" s="20"/>
      <c r="S378" s="142">
        <f t="shared" si="57"/>
        <v>0</v>
      </c>
      <c r="T378" s="142">
        <f t="shared" si="58"/>
        <v>0</v>
      </c>
      <c r="U378" s="142">
        <f t="shared" si="59"/>
        <v>0</v>
      </c>
      <c r="W378" s="601">
        <f t="shared" si="55"/>
        <v>0</v>
      </c>
      <c r="X378" s="601">
        <f t="shared" si="56"/>
        <v>0</v>
      </c>
      <c r="Y378" s="123"/>
      <c r="Z378" s="692">
        <f t="shared" si="60"/>
        <v>0</v>
      </c>
      <c r="AA378" s="123"/>
      <c r="AB378" s="123"/>
      <c r="AC378" s="123"/>
      <c r="AD378" s="123"/>
      <c r="AE378" s="123"/>
      <c r="AF378" s="123"/>
      <c r="AG378" s="123"/>
      <c r="AH378" s="123"/>
      <c r="AI378" s="123"/>
      <c r="AJ378" s="123"/>
      <c r="AK378" s="123"/>
      <c r="AL378" s="124"/>
      <c r="AM378" s="124"/>
      <c r="AN378" s="124"/>
      <c r="AO378" s="124"/>
    </row>
    <row r="379" spans="1:41" customFormat="1" ht="12.75" hidden="1" thickBot="1">
      <c r="A379" s="25" t="s">
        <v>1213</v>
      </c>
      <c r="B379" s="25" t="s">
        <v>222</v>
      </c>
      <c r="C379" s="57" t="s">
        <v>1310</v>
      </c>
      <c r="D379" s="235" t="s">
        <v>498</v>
      </c>
      <c r="E379" s="76">
        <v>0</v>
      </c>
      <c r="F379" s="19"/>
      <c r="G379" s="18">
        <v>0</v>
      </c>
      <c r="H379" s="19"/>
      <c r="I379" s="19"/>
      <c r="J379" s="19"/>
      <c r="K379" s="19"/>
      <c r="L379" s="19"/>
      <c r="M379" s="18">
        <v>0</v>
      </c>
      <c r="N379" s="18">
        <v>0</v>
      </c>
      <c r="O379" s="19"/>
      <c r="P379" s="19"/>
      <c r="Q379" s="18">
        <v>0</v>
      </c>
      <c r="R379" s="18">
        <v>0</v>
      </c>
      <c r="S379" s="142">
        <f t="shared" si="57"/>
        <v>0</v>
      </c>
      <c r="T379" s="142">
        <f t="shared" si="58"/>
        <v>0</v>
      </c>
      <c r="U379" s="142">
        <f t="shared" si="59"/>
        <v>0</v>
      </c>
      <c r="W379" s="601">
        <f t="shared" si="55"/>
        <v>0</v>
      </c>
      <c r="X379" s="601">
        <f t="shared" si="56"/>
        <v>0</v>
      </c>
      <c r="Y379" s="123"/>
      <c r="Z379" s="692">
        <f t="shared" si="60"/>
        <v>0</v>
      </c>
      <c r="AA379" s="123"/>
      <c r="AB379" s="123"/>
      <c r="AC379" s="123"/>
      <c r="AD379" s="123"/>
      <c r="AE379" s="123"/>
      <c r="AF379" s="123"/>
      <c r="AG379" s="123"/>
      <c r="AH379" s="123"/>
      <c r="AI379" s="123"/>
      <c r="AJ379" s="123"/>
      <c r="AK379" s="123"/>
      <c r="AL379" s="124"/>
      <c r="AM379" s="124"/>
      <c r="AN379" s="124"/>
      <c r="AO379" s="124"/>
    </row>
    <row r="380" spans="1:41" customFormat="1" ht="12.75" hidden="1" thickBot="1">
      <c r="A380" s="25" t="s">
        <v>1213</v>
      </c>
      <c r="B380" s="25" t="s">
        <v>225</v>
      </c>
      <c r="C380" s="57" t="s">
        <v>1311</v>
      </c>
      <c r="D380" s="235" t="s">
        <v>498</v>
      </c>
      <c r="E380" s="77">
        <v>0</v>
      </c>
      <c r="F380" s="20"/>
      <c r="G380" s="17">
        <v>0</v>
      </c>
      <c r="H380" s="20"/>
      <c r="I380" s="20"/>
      <c r="J380" s="20"/>
      <c r="K380" s="20"/>
      <c r="L380" s="20"/>
      <c r="M380" s="17">
        <v>0</v>
      </c>
      <c r="N380" s="17">
        <v>0</v>
      </c>
      <c r="O380" s="20"/>
      <c r="P380" s="20"/>
      <c r="Q380" s="17">
        <v>0</v>
      </c>
      <c r="R380" s="17">
        <v>0</v>
      </c>
      <c r="S380" s="142">
        <f t="shared" si="57"/>
        <v>0</v>
      </c>
      <c r="T380" s="142">
        <f t="shared" si="58"/>
        <v>0</v>
      </c>
      <c r="U380" s="142">
        <f t="shared" si="59"/>
        <v>0</v>
      </c>
      <c r="W380" s="601">
        <f t="shared" si="55"/>
        <v>0</v>
      </c>
      <c r="X380" s="601">
        <f t="shared" si="56"/>
        <v>0</v>
      </c>
      <c r="Y380" s="123"/>
      <c r="Z380" s="692">
        <f t="shared" si="60"/>
        <v>0</v>
      </c>
      <c r="AA380" s="123"/>
      <c r="AB380" s="123"/>
      <c r="AC380" s="123"/>
      <c r="AD380" s="123"/>
      <c r="AE380" s="123"/>
      <c r="AF380" s="123"/>
      <c r="AG380" s="123"/>
      <c r="AH380" s="123"/>
      <c r="AI380" s="123"/>
      <c r="AJ380" s="123"/>
      <c r="AK380" s="123"/>
      <c r="AL380" s="124"/>
      <c r="AM380" s="124"/>
      <c r="AN380" s="124"/>
      <c r="AO380" s="124"/>
    </row>
    <row r="381" spans="1:41" customFormat="1" ht="12.75" hidden="1" thickBot="1">
      <c r="A381" s="25" t="s">
        <v>1213</v>
      </c>
      <c r="B381" s="25" t="s">
        <v>229</v>
      </c>
      <c r="C381" s="57" t="s">
        <v>1312</v>
      </c>
      <c r="D381" s="235" t="s">
        <v>498</v>
      </c>
      <c r="E381" s="76">
        <v>0</v>
      </c>
      <c r="F381" s="19"/>
      <c r="G381" s="18">
        <v>0</v>
      </c>
      <c r="H381" s="19"/>
      <c r="I381" s="19"/>
      <c r="J381" s="19"/>
      <c r="K381" s="19"/>
      <c r="L381" s="19"/>
      <c r="M381" s="18">
        <v>0</v>
      </c>
      <c r="N381" s="18">
        <v>0</v>
      </c>
      <c r="O381" s="19"/>
      <c r="P381" s="19"/>
      <c r="Q381" s="18">
        <v>0</v>
      </c>
      <c r="R381" s="18">
        <v>0</v>
      </c>
      <c r="S381" s="142">
        <f t="shared" si="57"/>
        <v>0</v>
      </c>
      <c r="T381" s="142">
        <f t="shared" si="58"/>
        <v>0</v>
      </c>
      <c r="U381" s="142">
        <f t="shared" si="59"/>
        <v>0</v>
      </c>
      <c r="W381" s="601">
        <f t="shared" si="55"/>
        <v>0</v>
      </c>
      <c r="X381" s="601">
        <f t="shared" si="56"/>
        <v>0</v>
      </c>
      <c r="Y381" s="123"/>
      <c r="Z381" s="692">
        <f t="shared" si="60"/>
        <v>0</v>
      </c>
      <c r="AA381" s="123"/>
      <c r="AB381" s="123"/>
      <c r="AC381" s="123"/>
      <c r="AD381" s="123"/>
      <c r="AE381" s="123"/>
      <c r="AF381" s="123"/>
      <c r="AG381" s="123"/>
      <c r="AH381" s="123"/>
      <c r="AI381" s="123"/>
      <c r="AJ381" s="123"/>
      <c r="AK381" s="123"/>
      <c r="AL381" s="124"/>
      <c r="AM381" s="124"/>
      <c r="AN381" s="124"/>
      <c r="AO381" s="124"/>
    </row>
    <row r="382" spans="1:41" customFormat="1" ht="12.75" hidden="1" thickBot="1">
      <c r="A382" s="25" t="s">
        <v>1213</v>
      </c>
      <c r="B382" s="25" t="s">
        <v>379</v>
      </c>
      <c r="C382" s="25" t="s">
        <v>934</v>
      </c>
      <c r="D382" s="235" t="s">
        <v>498</v>
      </c>
      <c r="E382" s="77">
        <v>3175</v>
      </c>
      <c r="F382" s="20"/>
      <c r="G382" s="17">
        <v>676.02</v>
      </c>
      <c r="H382" s="20"/>
      <c r="I382" s="20"/>
      <c r="J382" s="20"/>
      <c r="K382" s="20"/>
      <c r="L382" s="20"/>
      <c r="M382" s="17">
        <v>4.78</v>
      </c>
      <c r="N382" s="17">
        <v>12.64</v>
      </c>
      <c r="O382" s="20"/>
      <c r="P382" s="20"/>
      <c r="Q382" s="17">
        <v>0</v>
      </c>
      <c r="R382" s="17">
        <v>693.44</v>
      </c>
      <c r="S382" s="142">
        <f t="shared" si="57"/>
        <v>676.02</v>
      </c>
      <c r="T382" s="142">
        <f t="shared" si="58"/>
        <v>0</v>
      </c>
      <c r="U382" s="142">
        <f t="shared" si="59"/>
        <v>12.64</v>
      </c>
      <c r="W382" s="601">
        <f t="shared" si="55"/>
        <v>693.43999999999994</v>
      </c>
      <c r="X382" s="601">
        <f t="shared" si="56"/>
        <v>0</v>
      </c>
      <c r="Y382" s="123"/>
      <c r="Z382" s="692">
        <f t="shared" si="60"/>
        <v>676.02</v>
      </c>
      <c r="AA382" s="123"/>
      <c r="AB382" s="123"/>
      <c r="AC382" s="123"/>
      <c r="AD382" s="123"/>
      <c r="AE382" s="123"/>
      <c r="AF382" s="123"/>
      <c r="AG382" s="123"/>
      <c r="AH382" s="123"/>
      <c r="AI382" s="123"/>
      <c r="AJ382" s="123"/>
      <c r="AK382" s="123"/>
      <c r="AL382" s="124"/>
      <c r="AM382" s="124"/>
      <c r="AN382" s="124"/>
      <c r="AO382" s="124"/>
    </row>
    <row r="383" spans="1:41" customFormat="1" ht="12.75" hidden="1" thickBot="1">
      <c r="A383" s="25" t="s">
        <v>1213</v>
      </c>
      <c r="B383" s="25" t="s">
        <v>241</v>
      </c>
      <c r="C383" s="25" t="s">
        <v>935</v>
      </c>
      <c r="D383" s="235" t="s">
        <v>498</v>
      </c>
      <c r="E383" s="76">
        <v>366748</v>
      </c>
      <c r="F383" s="19"/>
      <c r="G383" s="18">
        <v>42071.79</v>
      </c>
      <c r="H383" s="19"/>
      <c r="I383" s="19"/>
      <c r="J383" s="19"/>
      <c r="K383" s="19"/>
      <c r="L383" s="19"/>
      <c r="M383" s="18">
        <v>566.19000000000005</v>
      </c>
      <c r="N383" s="18">
        <v>795.52</v>
      </c>
      <c r="O383" s="19"/>
      <c r="P383" s="19"/>
      <c r="Q383" s="18">
        <v>0</v>
      </c>
      <c r="R383" s="18">
        <v>43433.5</v>
      </c>
      <c r="S383" s="142">
        <f t="shared" si="57"/>
        <v>42071.79</v>
      </c>
      <c r="T383" s="142">
        <f t="shared" si="58"/>
        <v>0</v>
      </c>
      <c r="U383" s="142">
        <f t="shared" si="59"/>
        <v>795.52</v>
      </c>
      <c r="W383" s="601">
        <f t="shared" si="55"/>
        <v>43433.5</v>
      </c>
      <c r="X383" s="601">
        <f t="shared" si="56"/>
        <v>0</v>
      </c>
      <c r="Y383" s="123"/>
      <c r="Z383" s="692">
        <f t="shared" si="60"/>
        <v>42071.79</v>
      </c>
      <c r="AA383" s="123"/>
      <c r="AB383" s="123"/>
      <c r="AC383" s="123"/>
      <c r="AD383" s="123"/>
      <c r="AE383" s="123"/>
      <c r="AF383" s="123"/>
      <c r="AG383" s="123"/>
      <c r="AH383" s="123"/>
      <c r="AI383" s="123"/>
      <c r="AJ383" s="123"/>
      <c r="AK383" s="123"/>
      <c r="AL383" s="124"/>
      <c r="AM383" s="124"/>
      <c r="AN383" s="124"/>
      <c r="AO383" s="124"/>
    </row>
    <row r="384" spans="1:41" customFormat="1" ht="12.75" hidden="1" thickBot="1">
      <c r="A384" s="25" t="s">
        <v>1213</v>
      </c>
      <c r="B384" s="25" t="s">
        <v>242</v>
      </c>
      <c r="C384" s="25" t="s">
        <v>936</v>
      </c>
      <c r="D384" s="235" t="s">
        <v>498</v>
      </c>
      <c r="E384" s="77">
        <v>568896</v>
      </c>
      <c r="F384" s="20"/>
      <c r="G384" s="17">
        <v>52237.67</v>
      </c>
      <c r="H384" s="20"/>
      <c r="I384" s="20"/>
      <c r="J384" s="20"/>
      <c r="K384" s="20"/>
      <c r="L384" s="20"/>
      <c r="M384" s="17">
        <v>855.62</v>
      </c>
      <c r="N384" s="17">
        <v>992.78</v>
      </c>
      <c r="O384" s="20"/>
      <c r="P384" s="20"/>
      <c r="Q384" s="17">
        <v>0</v>
      </c>
      <c r="R384" s="17">
        <v>54086.07</v>
      </c>
      <c r="S384" s="142">
        <f t="shared" si="57"/>
        <v>52237.67</v>
      </c>
      <c r="T384" s="142">
        <f t="shared" si="58"/>
        <v>0</v>
      </c>
      <c r="U384" s="142">
        <f t="shared" si="59"/>
        <v>992.78</v>
      </c>
      <c r="W384" s="601">
        <f t="shared" si="55"/>
        <v>54086.07</v>
      </c>
      <c r="X384" s="601">
        <f t="shared" si="56"/>
        <v>0</v>
      </c>
      <c r="Y384" s="123"/>
      <c r="Z384" s="692">
        <f t="shared" si="60"/>
        <v>52237.67</v>
      </c>
      <c r="AA384" s="123"/>
      <c r="AB384" s="123"/>
      <c r="AC384" s="123"/>
      <c r="AD384" s="123"/>
      <c r="AE384" s="123"/>
      <c r="AF384" s="123"/>
      <c r="AG384" s="123"/>
      <c r="AH384" s="123"/>
      <c r="AI384" s="123"/>
      <c r="AJ384" s="123"/>
      <c r="AK384" s="123"/>
      <c r="AL384" s="124"/>
      <c r="AM384" s="124"/>
      <c r="AN384" s="124"/>
      <c r="AO384" s="124"/>
    </row>
    <row r="385" spans="1:41" customFormat="1" ht="12.75" hidden="1" thickBot="1">
      <c r="A385" s="25" t="s">
        <v>1213</v>
      </c>
      <c r="B385" s="25" t="s">
        <v>243</v>
      </c>
      <c r="C385" s="25" t="s">
        <v>937</v>
      </c>
      <c r="D385" s="235" t="s">
        <v>498</v>
      </c>
      <c r="E385" s="77">
        <v>3927</v>
      </c>
      <c r="F385" s="20"/>
      <c r="G385" s="17">
        <v>1221.7</v>
      </c>
      <c r="H385" s="20"/>
      <c r="I385" s="20"/>
      <c r="J385" s="20"/>
      <c r="K385" s="20"/>
      <c r="L385" s="20"/>
      <c r="M385" s="17">
        <v>5.84</v>
      </c>
      <c r="N385" s="17">
        <v>22.97</v>
      </c>
      <c r="O385" s="20"/>
      <c r="P385" s="20"/>
      <c r="Q385" s="17">
        <v>0</v>
      </c>
      <c r="R385" s="17">
        <v>1250.51</v>
      </c>
      <c r="S385" s="142">
        <f t="shared" si="57"/>
        <v>1221.7</v>
      </c>
      <c r="T385" s="142">
        <f t="shared" si="58"/>
        <v>0</v>
      </c>
      <c r="U385" s="142">
        <f t="shared" si="59"/>
        <v>22.97</v>
      </c>
      <c r="W385" s="601">
        <f t="shared" si="55"/>
        <v>1250.51</v>
      </c>
      <c r="X385" s="601">
        <f t="shared" si="56"/>
        <v>0</v>
      </c>
      <c r="Y385" s="123"/>
      <c r="Z385" s="692">
        <f t="shared" si="60"/>
        <v>1221.7</v>
      </c>
      <c r="AA385" s="123"/>
      <c r="AB385" s="123"/>
      <c r="AC385" s="123"/>
      <c r="AD385" s="123"/>
      <c r="AE385" s="123"/>
      <c r="AF385" s="123"/>
      <c r="AG385" s="123"/>
      <c r="AH385" s="123"/>
      <c r="AI385" s="123"/>
      <c r="AJ385" s="123"/>
      <c r="AK385" s="123"/>
      <c r="AL385" s="124"/>
      <c r="AM385" s="124"/>
      <c r="AN385" s="124"/>
      <c r="AO385" s="124"/>
    </row>
    <row r="386" spans="1:41" customFormat="1" ht="12.75" hidden="1" thickBot="1">
      <c r="A386" s="25" t="s">
        <v>1213</v>
      </c>
      <c r="B386" s="25" t="s">
        <v>244</v>
      </c>
      <c r="C386" s="25" t="s">
        <v>938</v>
      </c>
      <c r="D386" s="235" t="s">
        <v>498</v>
      </c>
      <c r="E386" s="76">
        <v>108848</v>
      </c>
      <c r="F386" s="19"/>
      <c r="G386" s="18">
        <v>12038.84</v>
      </c>
      <c r="H386" s="19"/>
      <c r="I386" s="19"/>
      <c r="J386" s="19"/>
      <c r="K386" s="19"/>
      <c r="L386" s="19"/>
      <c r="M386" s="18">
        <v>166.54</v>
      </c>
      <c r="N386" s="18">
        <v>226.34</v>
      </c>
      <c r="O386" s="19"/>
      <c r="P386" s="19"/>
      <c r="Q386" s="18">
        <v>0</v>
      </c>
      <c r="R386" s="18">
        <v>12431.72</v>
      </c>
      <c r="S386" s="142">
        <f t="shared" si="57"/>
        <v>12038.84</v>
      </c>
      <c r="T386" s="142">
        <f t="shared" si="58"/>
        <v>0</v>
      </c>
      <c r="U386" s="142">
        <f t="shared" si="59"/>
        <v>226.34</v>
      </c>
      <c r="W386" s="601">
        <f t="shared" si="55"/>
        <v>12431.720000000001</v>
      </c>
      <c r="X386" s="601">
        <f t="shared" si="56"/>
        <v>0</v>
      </c>
      <c r="Y386" s="123"/>
      <c r="Z386" s="692">
        <f t="shared" si="60"/>
        <v>12038.84</v>
      </c>
      <c r="AA386" s="123"/>
      <c r="AB386" s="123"/>
      <c r="AC386" s="123"/>
      <c r="AD386" s="123"/>
      <c r="AE386" s="123"/>
      <c r="AF386" s="123"/>
      <c r="AG386" s="123"/>
      <c r="AH386" s="123"/>
      <c r="AI386" s="123"/>
      <c r="AJ386" s="123"/>
      <c r="AK386" s="123"/>
      <c r="AL386" s="124"/>
      <c r="AM386" s="124"/>
      <c r="AN386" s="124"/>
      <c r="AO386" s="124"/>
    </row>
    <row r="387" spans="1:41" customFormat="1" ht="12.75" hidden="1" thickBot="1">
      <c r="A387" s="25" t="s">
        <v>1213</v>
      </c>
      <c r="B387" s="25" t="s">
        <v>245</v>
      </c>
      <c r="C387" s="25" t="s">
        <v>939</v>
      </c>
      <c r="D387" s="235" t="s">
        <v>498</v>
      </c>
      <c r="E387" s="77">
        <v>95071</v>
      </c>
      <c r="F387" s="20"/>
      <c r="G387" s="17">
        <v>20303.39</v>
      </c>
      <c r="H387" s="20"/>
      <c r="I387" s="20"/>
      <c r="J387" s="20"/>
      <c r="K387" s="20"/>
      <c r="L387" s="20"/>
      <c r="M387" s="17">
        <v>141.86000000000001</v>
      </c>
      <c r="N387" s="17">
        <v>382.35</v>
      </c>
      <c r="O387" s="20"/>
      <c r="P387" s="20"/>
      <c r="Q387" s="17">
        <v>0</v>
      </c>
      <c r="R387" s="17">
        <v>20827.599999999999</v>
      </c>
      <c r="S387" s="142">
        <f t="shared" si="57"/>
        <v>20303.39</v>
      </c>
      <c r="T387" s="142">
        <f t="shared" si="58"/>
        <v>0</v>
      </c>
      <c r="U387" s="142">
        <f t="shared" si="59"/>
        <v>382.35</v>
      </c>
      <c r="W387" s="601">
        <f t="shared" si="55"/>
        <v>20827.599999999999</v>
      </c>
      <c r="X387" s="601">
        <f t="shared" si="56"/>
        <v>0</v>
      </c>
      <c r="Y387" s="123"/>
      <c r="Z387" s="692">
        <f t="shared" si="60"/>
        <v>20303.39</v>
      </c>
      <c r="AA387" s="123"/>
      <c r="AB387" s="123"/>
      <c r="AC387" s="123"/>
      <c r="AD387" s="123"/>
      <c r="AE387" s="123"/>
      <c r="AF387" s="123"/>
      <c r="AG387" s="123"/>
      <c r="AH387" s="123"/>
      <c r="AI387" s="123"/>
      <c r="AJ387" s="123"/>
      <c r="AK387" s="123"/>
      <c r="AL387" s="124"/>
      <c r="AM387" s="124"/>
      <c r="AN387" s="124"/>
      <c r="AO387" s="124"/>
    </row>
    <row r="388" spans="1:41" customFormat="1" ht="12.75" hidden="1" thickBot="1">
      <c r="A388" s="25" t="s">
        <v>1213</v>
      </c>
      <c r="B388" s="25" t="s">
        <v>381</v>
      </c>
      <c r="C388" s="25" t="s">
        <v>940</v>
      </c>
      <c r="D388" s="235" t="s">
        <v>498</v>
      </c>
      <c r="E388" s="76">
        <v>15824</v>
      </c>
      <c r="F388" s="19"/>
      <c r="G388" s="18">
        <v>1297.4000000000001</v>
      </c>
      <c r="H388" s="19"/>
      <c r="I388" s="19"/>
      <c r="J388" s="19"/>
      <c r="K388" s="19"/>
      <c r="L388" s="19"/>
      <c r="M388" s="18">
        <v>24.09</v>
      </c>
      <c r="N388" s="18">
        <v>24.69</v>
      </c>
      <c r="O388" s="19"/>
      <c r="P388" s="19"/>
      <c r="Q388" s="18">
        <v>0</v>
      </c>
      <c r="R388" s="18">
        <v>1346.18</v>
      </c>
      <c r="S388" s="142">
        <f t="shared" si="57"/>
        <v>1297.4000000000001</v>
      </c>
      <c r="T388" s="142">
        <f t="shared" si="58"/>
        <v>0</v>
      </c>
      <c r="U388" s="142">
        <f t="shared" si="59"/>
        <v>24.69</v>
      </c>
      <c r="W388" s="601">
        <f t="shared" si="55"/>
        <v>1346.18</v>
      </c>
      <c r="X388" s="601">
        <f t="shared" si="56"/>
        <v>0</v>
      </c>
      <c r="Y388" s="123"/>
      <c r="Z388" s="692">
        <f t="shared" si="60"/>
        <v>1297.4000000000001</v>
      </c>
      <c r="AA388" s="123"/>
      <c r="AB388" s="123"/>
      <c r="AC388" s="123"/>
      <c r="AD388" s="123"/>
      <c r="AE388" s="123"/>
      <c r="AF388" s="123"/>
      <c r="AG388" s="123"/>
      <c r="AH388" s="123"/>
      <c r="AI388" s="123"/>
      <c r="AJ388" s="123"/>
      <c r="AK388" s="123"/>
      <c r="AL388" s="124"/>
      <c r="AM388" s="124"/>
      <c r="AN388" s="124"/>
      <c r="AO388" s="124"/>
    </row>
    <row r="389" spans="1:41" customFormat="1" ht="12.75" hidden="1" thickBot="1">
      <c r="A389" s="25" t="s">
        <v>1213</v>
      </c>
      <c r="B389" s="25" t="s">
        <v>246</v>
      </c>
      <c r="C389" s="25" t="s">
        <v>941</v>
      </c>
      <c r="D389" s="235" t="s">
        <v>498</v>
      </c>
      <c r="E389" s="76">
        <v>122625</v>
      </c>
      <c r="F389" s="19"/>
      <c r="G389" s="18">
        <v>10361.26</v>
      </c>
      <c r="H389" s="19"/>
      <c r="I389" s="19"/>
      <c r="J389" s="19"/>
      <c r="K389" s="19"/>
      <c r="L389" s="19"/>
      <c r="M389" s="18">
        <v>188.93</v>
      </c>
      <c r="N389" s="18">
        <v>196.57</v>
      </c>
      <c r="O389" s="19"/>
      <c r="P389" s="19"/>
      <c r="Q389" s="18">
        <v>0</v>
      </c>
      <c r="R389" s="18">
        <v>10746.76</v>
      </c>
      <c r="S389" s="142">
        <f t="shared" si="57"/>
        <v>10361.26</v>
      </c>
      <c r="T389" s="142">
        <f t="shared" si="58"/>
        <v>0</v>
      </c>
      <c r="U389" s="142">
        <f t="shared" si="59"/>
        <v>196.57</v>
      </c>
      <c r="W389" s="601">
        <f t="shared" si="55"/>
        <v>10746.76</v>
      </c>
      <c r="X389" s="601">
        <f t="shared" si="56"/>
        <v>0</v>
      </c>
      <c r="Y389" s="123"/>
      <c r="Z389" s="692">
        <f t="shared" si="60"/>
        <v>10361.26</v>
      </c>
      <c r="AA389" s="123"/>
      <c r="AB389" s="123"/>
      <c r="AC389" s="123"/>
      <c r="AD389" s="123"/>
      <c r="AE389" s="123"/>
      <c r="AF389" s="123"/>
      <c r="AG389" s="123"/>
      <c r="AH389" s="123"/>
      <c r="AI389" s="123"/>
      <c r="AJ389" s="123"/>
      <c r="AK389" s="123"/>
      <c r="AL389" s="124"/>
      <c r="AM389" s="124"/>
      <c r="AN389" s="124"/>
      <c r="AO389" s="124"/>
    </row>
    <row r="390" spans="1:41" customFormat="1" ht="12.75" hidden="1" thickBot="1">
      <c r="A390" s="25" t="s">
        <v>1213</v>
      </c>
      <c r="B390" s="25" t="s">
        <v>252</v>
      </c>
      <c r="C390" s="25" t="s">
        <v>942</v>
      </c>
      <c r="D390" s="235" t="s">
        <v>498</v>
      </c>
      <c r="E390" s="77">
        <v>272490</v>
      </c>
      <c r="F390" s="20"/>
      <c r="G390" s="17">
        <v>40163.75</v>
      </c>
      <c r="H390" s="20"/>
      <c r="I390" s="20"/>
      <c r="J390" s="20"/>
      <c r="K390" s="20"/>
      <c r="L390" s="20"/>
      <c r="M390" s="17">
        <v>434.29</v>
      </c>
      <c r="N390" s="17">
        <v>752.65</v>
      </c>
      <c r="O390" s="20"/>
      <c r="P390" s="20"/>
      <c r="Q390" s="17">
        <v>0</v>
      </c>
      <c r="R390" s="17">
        <v>41350.69</v>
      </c>
      <c r="S390" s="142">
        <f t="shared" si="57"/>
        <v>40163.75</v>
      </c>
      <c r="T390" s="142">
        <f t="shared" si="58"/>
        <v>0</v>
      </c>
      <c r="U390" s="142">
        <f t="shared" si="59"/>
        <v>752.65</v>
      </c>
      <c r="W390" s="601">
        <f t="shared" si="55"/>
        <v>41350.69</v>
      </c>
      <c r="X390" s="601">
        <f t="shared" si="56"/>
        <v>0</v>
      </c>
      <c r="Y390" s="123"/>
      <c r="Z390" s="692">
        <f t="shared" si="60"/>
        <v>40163.75</v>
      </c>
      <c r="AA390" s="123"/>
      <c r="AB390" s="123"/>
      <c r="AC390" s="123"/>
      <c r="AD390" s="123"/>
      <c r="AE390" s="123"/>
      <c r="AF390" s="123"/>
      <c r="AG390" s="123"/>
      <c r="AH390" s="123"/>
      <c r="AI390" s="123"/>
      <c r="AJ390" s="123"/>
      <c r="AK390" s="123"/>
      <c r="AL390" s="124"/>
      <c r="AM390" s="124"/>
      <c r="AN390" s="124"/>
      <c r="AO390" s="124"/>
    </row>
    <row r="391" spans="1:41" customFormat="1" ht="12.75" hidden="1" thickBot="1">
      <c r="A391" s="25" t="s">
        <v>1213</v>
      </c>
      <c r="B391" s="25" t="s">
        <v>261</v>
      </c>
      <c r="C391" s="25" t="s">
        <v>262</v>
      </c>
      <c r="D391" s="235" t="s">
        <v>498</v>
      </c>
      <c r="E391" s="76">
        <v>0</v>
      </c>
      <c r="F391" s="19"/>
      <c r="G391" s="18">
        <v>0</v>
      </c>
      <c r="H391" s="19"/>
      <c r="I391" s="19"/>
      <c r="J391" s="19"/>
      <c r="K391" s="19"/>
      <c r="L391" s="19"/>
      <c r="M391" s="18">
        <v>0</v>
      </c>
      <c r="N391" s="18">
        <v>0</v>
      </c>
      <c r="O391" s="19"/>
      <c r="P391" s="19"/>
      <c r="Q391" s="18">
        <v>0</v>
      </c>
      <c r="R391" s="18">
        <v>0</v>
      </c>
      <c r="S391" s="142">
        <f t="shared" si="57"/>
        <v>0</v>
      </c>
      <c r="T391" s="142">
        <f t="shared" si="58"/>
        <v>0</v>
      </c>
      <c r="U391" s="142">
        <f t="shared" si="59"/>
        <v>0</v>
      </c>
      <c r="W391" s="601">
        <f t="shared" si="55"/>
        <v>0</v>
      </c>
      <c r="X391" s="601">
        <f t="shared" si="56"/>
        <v>0</v>
      </c>
      <c r="Y391" s="123"/>
      <c r="Z391" s="692">
        <f t="shared" si="60"/>
        <v>0</v>
      </c>
      <c r="AA391" s="123"/>
      <c r="AB391" s="123"/>
      <c r="AC391" s="123"/>
      <c r="AD391" s="123"/>
      <c r="AE391" s="123"/>
      <c r="AF391" s="123"/>
      <c r="AG391" s="123"/>
      <c r="AH391" s="123"/>
      <c r="AI391" s="123"/>
      <c r="AJ391" s="123"/>
      <c r="AK391" s="123"/>
      <c r="AL391" s="124"/>
      <c r="AM391" s="124"/>
      <c r="AN391" s="124"/>
      <c r="AO391" s="124"/>
    </row>
    <row r="392" spans="1:41" customFormat="1" ht="12.75" hidden="1" thickBot="1">
      <c r="A392" s="25" t="s">
        <v>1213</v>
      </c>
      <c r="B392" s="25" t="s">
        <v>263</v>
      </c>
      <c r="C392" s="25" t="s">
        <v>943</v>
      </c>
      <c r="D392" s="235" t="s">
        <v>498</v>
      </c>
      <c r="E392" s="77">
        <v>208194</v>
      </c>
      <c r="F392" s="20"/>
      <c r="G392" s="17">
        <v>56468.04</v>
      </c>
      <c r="H392" s="20"/>
      <c r="I392" s="20"/>
      <c r="J392" s="20"/>
      <c r="K392" s="20"/>
      <c r="L392" s="20"/>
      <c r="M392" s="17">
        <v>321.99</v>
      </c>
      <c r="N392" s="17">
        <v>1056.78</v>
      </c>
      <c r="O392" s="20"/>
      <c r="P392" s="20"/>
      <c r="Q392" s="17">
        <v>0</v>
      </c>
      <c r="R392" s="17">
        <v>57846.81</v>
      </c>
      <c r="S392" s="142">
        <f t="shared" si="57"/>
        <v>56468.04</v>
      </c>
      <c r="T392" s="142">
        <f t="shared" si="58"/>
        <v>0</v>
      </c>
      <c r="U392" s="142">
        <f t="shared" si="59"/>
        <v>1056.78</v>
      </c>
      <c r="W392" s="601">
        <f t="shared" si="55"/>
        <v>57846.81</v>
      </c>
      <c r="X392" s="601">
        <f t="shared" si="56"/>
        <v>0</v>
      </c>
      <c r="Y392" s="123"/>
      <c r="Z392" s="692">
        <f t="shared" si="60"/>
        <v>56468.04</v>
      </c>
      <c r="AA392" s="123"/>
      <c r="AB392" s="123"/>
      <c r="AC392" s="123"/>
      <c r="AD392" s="123"/>
      <c r="AE392" s="123"/>
      <c r="AF392" s="123"/>
      <c r="AG392" s="123"/>
      <c r="AH392" s="123"/>
      <c r="AI392" s="123"/>
      <c r="AJ392" s="123"/>
      <c r="AK392" s="123"/>
      <c r="AL392" s="124"/>
      <c r="AM392" s="124"/>
      <c r="AN392" s="124"/>
      <c r="AO392" s="124"/>
    </row>
    <row r="393" spans="1:41" customFormat="1" ht="12.75" hidden="1" thickBot="1">
      <c r="A393" s="25" t="s">
        <v>1213</v>
      </c>
      <c r="B393" s="25" t="s">
        <v>264</v>
      </c>
      <c r="C393" s="25" t="s">
        <v>944</v>
      </c>
      <c r="D393" s="235" t="s">
        <v>498</v>
      </c>
      <c r="E393" s="76">
        <v>357954</v>
      </c>
      <c r="F393" s="19"/>
      <c r="G393" s="18">
        <v>70984.929999999993</v>
      </c>
      <c r="H393" s="19"/>
      <c r="I393" s="19"/>
      <c r="J393" s="19"/>
      <c r="K393" s="19"/>
      <c r="L393" s="19"/>
      <c r="M393" s="18">
        <v>546.61</v>
      </c>
      <c r="N393" s="18">
        <v>1333.28</v>
      </c>
      <c r="O393" s="19"/>
      <c r="P393" s="19"/>
      <c r="Q393" s="18">
        <v>0</v>
      </c>
      <c r="R393" s="18">
        <v>72864.820000000007</v>
      </c>
      <c r="S393" s="142">
        <f t="shared" si="57"/>
        <v>70984.929999999993</v>
      </c>
      <c r="T393" s="142">
        <f t="shared" si="58"/>
        <v>0</v>
      </c>
      <c r="U393" s="142">
        <f t="shared" si="59"/>
        <v>1333.28</v>
      </c>
      <c r="W393" s="601">
        <f t="shared" si="55"/>
        <v>72864.819999999992</v>
      </c>
      <c r="X393" s="601">
        <f t="shared" si="56"/>
        <v>0</v>
      </c>
      <c r="Y393" s="123"/>
      <c r="Z393" s="692">
        <f t="shared" si="60"/>
        <v>70984.929999999993</v>
      </c>
      <c r="AA393" s="123"/>
      <c r="AB393" s="123"/>
      <c r="AC393" s="123"/>
      <c r="AD393" s="123"/>
      <c r="AE393" s="123"/>
      <c r="AF393" s="123"/>
      <c r="AG393" s="123"/>
      <c r="AH393" s="123"/>
      <c r="AI393" s="123"/>
      <c r="AJ393" s="123"/>
      <c r="AK393" s="123"/>
      <c r="AL393" s="124"/>
      <c r="AM393" s="124"/>
      <c r="AN393" s="124"/>
      <c r="AO393" s="124"/>
    </row>
    <row r="394" spans="1:41" customFormat="1" ht="12.75" hidden="1" thickBot="1">
      <c r="A394" s="25" t="s">
        <v>1213</v>
      </c>
      <c r="B394" s="25" t="s">
        <v>267</v>
      </c>
      <c r="C394" s="25" t="s">
        <v>945</v>
      </c>
      <c r="D394" s="235" t="s">
        <v>498</v>
      </c>
      <c r="E394" s="77">
        <v>790009</v>
      </c>
      <c r="F394" s="20"/>
      <c r="G394" s="17">
        <v>294731.01</v>
      </c>
      <c r="H394" s="20"/>
      <c r="I394" s="20"/>
      <c r="J394" s="20"/>
      <c r="K394" s="20"/>
      <c r="L394" s="20"/>
      <c r="M394" s="17">
        <v>1192.5999999999999</v>
      </c>
      <c r="N394" s="17">
        <v>5522.64</v>
      </c>
      <c r="O394" s="20"/>
      <c r="P394" s="20"/>
      <c r="Q394" s="17">
        <v>0</v>
      </c>
      <c r="R394" s="17">
        <v>301446.25</v>
      </c>
      <c r="S394" s="142">
        <f t="shared" si="57"/>
        <v>294731.01</v>
      </c>
      <c r="T394" s="142">
        <f t="shared" si="58"/>
        <v>0</v>
      </c>
      <c r="U394" s="142">
        <f t="shared" si="59"/>
        <v>5522.64</v>
      </c>
      <c r="W394" s="601">
        <f t="shared" si="55"/>
        <v>301446.25</v>
      </c>
      <c r="X394" s="601">
        <f t="shared" si="56"/>
        <v>0</v>
      </c>
      <c r="Y394" s="123"/>
      <c r="Z394" s="692">
        <f t="shared" si="60"/>
        <v>294731.01</v>
      </c>
      <c r="AA394" s="123"/>
      <c r="AB394" s="123"/>
      <c r="AC394" s="123"/>
      <c r="AD394" s="123"/>
      <c r="AE394" s="123"/>
      <c r="AF394" s="123"/>
      <c r="AG394" s="123"/>
      <c r="AH394" s="123"/>
      <c r="AI394" s="123"/>
      <c r="AJ394" s="123"/>
      <c r="AK394" s="123"/>
      <c r="AL394" s="124"/>
      <c r="AM394" s="124"/>
      <c r="AN394" s="124"/>
      <c r="AO394" s="124"/>
    </row>
    <row r="395" spans="1:41" customFormat="1" ht="12.75" hidden="1" thickBot="1">
      <c r="A395" s="25" t="s">
        <v>1213</v>
      </c>
      <c r="B395" s="25" t="s">
        <v>392</v>
      </c>
      <c r="C395" s="25" t="s">
        <v>946</v>
      </c>
      <c r="D395" s="235" t="s">
        <v>498</v>
      </c>
      <c r="E395" s="76">
        <v>33533</v>
      </c>
      <c r="F395" s="19"/>
      <c r="G395" s="18">
        <v>12917.91</v>
      </c>
      <c r="H395" s="19"/>
      <c r="I395" s="19"/>
      <c r="J395" s="19"/>
      <c r="K395" s="19"/>
      <c r="L395" s="19"/>
      <c r="M395" s="18">
        <v>54.75</v>
      </c>
      <c r="N395" s="18">
        <v>239.81</v>
      </c>
      <c r="O395" s="19"/>
      <c r="P395" s="19"/>
      <c r="Q395" s="18">
        <v>0</v>
      </c>
      <c r="R395" s="18">
        <v>13212.47</v>
      </c>
      <c r="S395" s="142">
        <f t="shared" si="57"/>
        <v>12917.91</v>
      </c>
      <c r="T395" s="142">
        <f t="shared" si="58"/>
        <v>0</v>
      </c>
      <c r="U395" s="142">
        <f t="shared" si="59"/>
        <v>239.81</v>
      </c>
      <c r="W395" s="601">
        <f t="shared" si="55"/>
        <v>13212.47</v>
      </c>
      <c r="X395" s="601">
        <f t="shared" si="56"/>
        <v>0</v>
      </c>
      <c r="Y395" s="123"/>
      <c r="Z395" s="692">
        <f t="shared" si="60"/>
        <v>12917.91</v>
      </c>
      <c r="AA395" s="123"/>
      <c r="AB395" s="123"/>
      <c r="AC395" s="123"/>
      <c r="AD395" s="123"/>
      <c r="AE395" s="123"/>
      <c r="AF395" s="123"/>
      <c r="AG395" s="123"/>
      <c r="AH395" s="123"/>
      <c r="AI395" s="123"/>
      <c r="AJ395" s="123"/>
      <c r="AK395" s="123"/>
      <c r="AL395" s="124"/>
      <c r="AM395" s="124"/>
      <c r="AN395" s="124"/>
      <c r="AO395" s="124"/>
    </row>
    <row r="396" spans="1:41" customFormat="1" ht="12.75" hidden="1" thickBot="1">
      <c r="A396" s="25" t="s">
        <v>1213</v>
      </c>
      <c r="B396" s="25" t="s">
        <v>268</v>
      </c>
      <c r="C396" s="25" t="s">
        <v>947</v>
      </c>
      <c r="D396" s="235" t="s">
        <v>498</v>
      </c>
      <c r="E396" s="77">
        <v>47649</v>
      </c>
      <c r="F396" s="20"/>
      <c r="G396" s="17">
        <v>19156.419999999998</v>
      </c>
      <c r="H396" s="20"/>
      <c r="I396" s="20"/>
      <c r="J396" s="20"/>
      <c r="K396" s="20"/>
      <c r="L396" s="20"/>
      <c r="M396" s="17">
        <v>71.31</v>
      </c>
      <c r="N396" s="17">
        <v>360.47</v>
      </c>
      <c r="O396" s="20"/>
      <c r="P396" s="20"/>
      <c r="Q396" s="17">
        <v>0</v>
      </c>
      <c r="R396" s="17">
        <v>19588.2</v>
      </c>
      <c r="S396" s="142">
        <f t="shared" si="57"/>
        <v>19156.419999999998</v>
      </c>
      <c r="T396" s="142">
        <f t="shared" si="58"/>
        <v>0</v>
      </c>
      <c r="U396" s="142">
        <f t="shared" si="59"/>
        <v>360.47</v>
      </c>
      <c r="W396" s="601">
        <f t="shared" si="55"/>
        <v>19588.2</v>
      </c>
      <c r="X396" s="601">
        <f t="shared" si="56"/>
        <v>0</v>
      </c>
      <c r="Y396" s="123"/>
      <c r="Z396" s="692">
        <f t="shared" si="60"/>
        <v>19156.419999999998</v>
      </c>
      <c r="AA396" s="123"/>
      <c r="AB396" s="123"/>
      <c r="AC396" s="123"/>
      <c r="AD396" s="123"/>
      <c r="AE396" s="123"/>
      <c r="AF396" s="123"/>
      <c r="AG396" s="123"/>
      <c r="AH396" s="123"/>
      <c r="AI396" s="123"/>
      <c r="AJ396" s="123"/>
      <c r="AK396" s="123"/>
      <c r="AL396" s="124"/>
      <c r="AM396" s="124"/>
      <c r="AN396" s="124"/>
      <c r="AO396" s="124"/>
    </row>
    <row r="397" spans="1:41" customFormat="1" ht="12.75" hidden="1" thickBot="1">
      <c r="A397" s="25" t="s">
        <v>1213</v>
      </c>
      <c r="B397" s="25" t="s">
        <v>269</v>
      </c>
      <c r="C397" s="25" t="s">
        <v>948</v>
      </c>
      <c r="D397" s="235" t="s">
        <v>498</v>
      </c>
      <c r="E397" s="76">
        <v>146672</v>
      </c>
      <c r="F397" s="19"/>
      <c r="G397" s="18">
        <v>51343.25</v>
      </c>
      <c r="H397" s="19"/>
      <c r="I397" s="19"/>
      <c r="J397" s="19"/>
      <c r="K397" s="19"/>
      <c r="L397" s="19"/>
      <c r="M397" s="18">
        <v>219.37</v>
      </c>
      <c r="N397" s="18">
        <v>964.06</v>
      </c>
      <c r="O397" s="19"/>
      <c r="P397" s="19"/>
      <c r="Q397" s="18">
        <v>0</v>
      </c>
      <c r="R397" s="18">
        <v>52526.68</v>
      </c>
      <c r="S397" s="142">
        <f t="shared" si="57"/>
        <v>51343.25</v>
      </c>
      <c r="T397" s="142">
        <f t="shared" si="58"/>
        <v>0</v>
      </c>
      <c r="U397" s="142">
        <f t="shared" si="59"/>
        <v>964.06</v>
      </c>
      <c r="W397" s="601">
        <f t="shared" si="55"/>
        <v>52526.68</v>
      </c>
      <c r="X397" s="601">
        <f t="shared" si="56"/>
        <v>0</v>
      </c>
      <c r="Y397" s="123"/>
      <c r="Z397" s="692">
        <f t="shared" si="60"/>
        <v>51343.25</v>
      </c>
      <c r="AA397" s="123"/>
      <c r="AB397" s="123"/>
      <c r="AC397" s="123"/>
      <c r="AD397" s="123"/>
      <c r="AE397" s="123"/>
      <c r="AF397" s="123"/>
      <c r="AG397" s="123"/>
      <c r="AH397" s="123"/>
      <c r="AI397" s="123"/>
      <c r="AJ397" s="123"/>
      <c r="AK397" s="123"/>
      <c r="AL397" s="124"/>
      <c r="AM397" s="124"/>
      <c r="AN397" s="124"/>
      <c r="AO397" s="124"/>
    </row>
    <row r="398" spans="1:41" customFormat="1" ht="12.75" hidden="1" thickBot="1">
      <c r="A398" s="25" t="s">
        <v>1213</v>
      </c>
      <c r="B398" s="25" t="s">
        <v>393</v>
      </c>
      <c r="C398" s="25" t="s">
        <v>949</v>
      </c>
      <c r="D398" s="235" t="s">
        <v>498</v>
      </c>
      <c r="E398" s="77">
        <v>5956</v>
      </c>
      <c r="F398" s="20"/>
      <c r="G398" s="17">
        <v>1233.3499999999999</v>
      </c>
      <c r="H398" s="20"/>
      <c r="I398" s="20"/>
      <c r="J398" s="20"/>
      <c r="K398" s="20"/>
      <c r="L398" s="20"/>
      <c r="M398" s="17">
        <v>8.8699999999999992</v>
      </c>
      <c r="N398" s="17">
        <v>23.22</v>
      </c>
      <c r="O398" s="20"/>
      <c r="P398" s="20"/>
      <c r="Q398" s="17">
        <v>0</v>
      </c>
      <c r="R398" s="17">
        <v>1265.44</v>
      </c>
      <c r="S398" s="142">
        <f t="shared" si="57"/>
        <v>1233.3499999999999</v>
      </c>
      <c r="T398" s="142">
        <f t="shared" si="58"/>
        <v>0</v>
      </c>
      <c r="U398" s="142">
        <f t="shared" si="59"/>
        <v>23.22</v>
      </c>
      <c r="W398" s="601">
        <f t="shared" si="55"/>
        <v>1265.4399999999998</v>
      </c>
      <c r="X398" s="601">
        <f t="shared" si="56"/>
        <v>0</v>
      </c>
      <c r="Y398" s="123"/>
      <c r="Z398" s="692">
        <f t="shared" si="60"/>
        <v>1233.3499999999999</v>
      </c>
      <c r="AA398" s="123"/>
      <c r="AB398" s="123"/>
      <c r="AC398" s="123"/>
      <c r="AD398" s="123"/>
      <c r="AE398" s="123"/>
      <c r="AF398" s="123"/>
      <c r="AG398" s="123"/>
      <c r="AH398" s="123"/>
      <c r="AI398" s="123"/>
      <c r="AJ398" s="123"/>
      <c r="AK398" s="123"/>
      <c r="AL398" s="124"/>
      <c r="AM398" s="124"/>
      <c r="AN398" s="124"/>
      <c r="AO398" s="124"/>
    </row>
    <row r="399" spans="1:41" customFormat="1" ht="12.75" hidden="1" thickBot="1">
      <c r="A399" s="25" t="s">
        <v>1213</v>
      </c>
      <c r="B399" s="25" t="s">
        <v>394</v>
      </c>
      <c r="C399" s="25" t="s">
        <v>950</v>
      </c>
      <c r="D399" s="235" t="s">
        <v>498</v>
      </c>
      <c r="E399" s="76">
        <v>3777</v>
      </c>
      <c r="F399" s="19"/>
      <c r="G399" s="18">
        <v>455.73</v>
      </c>
      <c r="H399" s="19"/>
      <c r="I399" s="19"/>
      <c r="J399" s="19"/>
      <c r="K399" s="19"/>
      <c r="L399" s="19"/>
      <c r="M399" s="18">
        <v>5.62</v>
      </c>
      <c r="N399" s="18">
        <v>8.6300000000000008</v>
      </c>
      <c r="O399" s="19"/>
      <c r="P399" s="19"/>
      <c r="Q399" s="18">
        <v>0</v>
      </c>
      <c r="R399" s="18">
        <v>469.98</v>
      </c>
      <c r="S399" s="142">
        <f t="shared" si="57"/>
        <v>455.73</v>
      </c>
      <c r="T399" s="142">
        <f t="shared" si="58"/>
        <v>0</v>
      </c>
      <c r="U399" s="142">
        <f t="shared" si="59"/>
        <v>8.6300000000000008</v>
      </c>
      <c r="W399" s="601">
        <f t="shared" si="55"/>
        <v>469.98</v>
      </c>
      <c r="X399" s="601">
        <f t="shared" si="56"/>
        <v>0</v>
      </c>
      <c r="Y399" s="123"/>
      <c r="Z399" s="692">
        <f t="shared" si="60"/>
        <v>455.73</v>
      </c>
      <c r="AA399" s="123"/>
      <c r="AB399" s="123"/>
      <c r="AC399" s="123"/>
      <c r="AD399" s="123"/>
      <c r="AE399" s="123"/>
      <c r="AF399" s="123"/>
      <c r="AG399" s="123"/>
      <c r="AH399" s="123"/>
      <c r="AI399" s="123"/>
      <c r="AJ399" s="123"/>
      <c r="AK399" s="123"/>
      <c r="AL399" s="124"/>
      <c r="AM399" s="124"/>
      <c r="AN399" s="124"/>
      <c r="AO399" s="124"/>
    </row>
    <row r="400" spans="1:41" customFormat="1" ht="12.75" hidden="1" thickBot="1">
      <c r="A400" s="25" t="s">
        <v>1213</v>
      </c>
      <c r="B400" s="25" t="s">
        <v>398</v>
      </c>
      <c r="C400" s="25" t="s">
        <v>951</v>
      </c>
      <c r="D400" s="235" t="s">
        <v>498</v>
      </c>
      <c r="E400" s="77">
        <v>1588</v>
      </c>
      <c r="F400" s="20"/>
      <c r="G400" s="17">
        <v>1626.54</v>
      </c>
      <c r="H400" s="20"/>
      <c r="I400" s="20"/>
      <c r="J400" s="20"/>
      <c r="K400" s="20"/>
      <c r="L400" s="20"/>
      <c r="M400" s="17">
        <v>2.36</v>
      </c>
      <c r="N400" s="17">
        <v>30.46</v>
      </c>
      <c r="O400" s="20"/>
      <c r="P400" s="20"/>
      <c r="Q400" s="17">
        <v>0</v>
      </c>
      <c r="R400" s="17">
        <v>1659.36</v>
      </c>
      <c r="S400" s="142">
        <f t="shared" si="57"/>
        <v>1626.54</v>
      </c>
      <c r="T400" s="142">
        <f t="shared" si="58"/>
        <v>0</v>
      </c>
      <c r="U400" s="142">
        <f t="shared" si="59"/>
        <v>30.46</v>
      </c>
      <c r="W400" s="601">
        <f t="shared" si="55"/>
        <v>1659.36</v>
      </c>
      <c r="X400" s="601">
        <f t="shared" si="56"/>
        <v>0</v>
      </c>
      <c r="Y400" s="123"/>
      <c r="Z400" s="692">
        <f t="shared" si="60"/>
        <v>1626.54</v>
      </c>
      <c r="AA400" s="123"/>
      <c r="AB400" s="123"/>
      <c r="AC400" s="123"/>
      <c r="AD400" s="123"/>
      <c r="AE400" s="123"/>
      <c r="AF400" s="123"/>
      <c r="AG400" s="123"/>
      <c r="AH400" s="123"/>
      <c r="AI400" s="123"/>
      <c r="AJ400" s="123"/>
      <c r="AK400" s="123"/>
      <c r="AL400" s="124"/>
      <c r="AM400" s="124"/>
      <c r="AN400" s="124"/>
      <c r="AO400" s="124"/>
    </row>
    <row r="401" spans="1:41" customFormat="1" ht="12.75" hidden="1" thickBot="1">
      <c r="A401" s="25" t="s">
        <v>1213</v>
      </c>
      <c r="B401" s="25" t="s">
        <v>395</v>
      </c>
      <c r="C401" s="25" t="s">
        <v>952</v>
      </c>
      <c r="D401" s="235" t="s">
        <v>498</v>
      </c>
      <c r="E401" s="76">
        <v>11169</v>
      </c>
      <c r="F401" s="19"/>
      <c r="G401" s="18">
        <v>8831.83</v>
      </c>
      <c r="H401" s="19"/>
      <c r="I401" s="19"/>
      <c r="J401" s="19"/>
      <c r="K401" s="19"/>
      <c r="L401" s="19"/>
      <c r="M401" s="18">
        <v>16.64</v>
      </c>
      <c r="N401" s="18">
        <v>165.48</v>
      </c>
      <c r="O401" s="19"/>
      <c r="P401" s="19"/>
      <c r="Q401" s="18">
        <v>0</v>
      </c>
      <c r="R401" s="18">
        <v>9013.9500000000007</v>
      </c>
      <c r="S401" s="142">
        <f t="shared" si="57"/>
        <v>8831.83</v>
      </c>
      <c r="T401" s="142">
        <f t="shared" si="58"/>
        <v>0</v>
      </c>
      <c r="U401" s="142">
        <f t="shared" si="59"/>
        <v>165.48</v>
      </c>
      <c r="W401" s="601">
        <f t="shared" si="55"/>
        <v>9013.9499999999989</v>
      </c>
      <c r="X401" s="601">
        <f t="shared" si="56"/>
        <v>0</v>
      </c>
      <c r="Y401" s="123"/>
      <c r="Z401" s="692">
        <f t="shared" si="60"/>
        <v>8831.83</v>
      </c>
      <c r="AA401" s="123"/>
      <c r="AB401" s="123"/>
      <c r="AC401" s="123"/>
      <c r="AD401" s="123"/>
      <c r="AE401" s="123"/>
      <c r="AF401" s="123"/>
      <c r="AG401" s="123"/>
      <c r="AH401" s="123"/>
      <c r="AI401" s="123"/>
      <c r="AJ401" s="123"/>
      <c r="AK401" s="123"/>
      <c r="AL401" s="124"/>
      <c r="AM401" s="124"/>
      <c r="AN401" s="124"/>
      <c r="AO401" s="124"/>
    </row>
    <row r="402" spans="1:41" customFormat="1" ht="12.75" hidden="1" thickBot="1">
      <c r="A402" s="25" t="s">
        <v>1213</v>
      </c>
      <c r="B402" s="25" t="s">
        <v>396</v>
      </c>
      <c r="C402" s="25" t="s">
        <v>953</v>
      </c>
      <c r="D402" s="235" t="s">
        <v>498</v>
      </c>
      <c r="E402" s="77">
        <v>3622</v>
      </c>
      <c r="F402" s="20"/>
      <c r="G402" s="17">
        <v>3059.79</v>
      </c>
      <c r="H402" s="20"/>
      <c r="I402" s="20"/>
      <c r="J402" s="20"/>
      <c r="K402" s="20"/>
      <c r="L402" s="20"/>
      <c r="M402" s="17">
        <v>5.4</v>
      </c>
      <c r="N402" s="17">
        <v>57.32</v>
      </c>
      <c r="O402" s="20"/>
      <c r="P402" s="20"/>
      <c r="Q402" s="17">
        <v>0</v>
      </c>
      <c r="R402" s="17">
        <v>3122.51</v>
      </c>
      <c r="S402" s="142">
        <f t="shared" si="57"/>
        <v>3059.79</v>
      </c>
      <c r="T402" s="142">
        <f t="shared" si="58"/>
        <v>0</v>
      </c>
      <c r="U402" s="142">
        <f t="shared" si="59"/>
        <v>57.32</v>
      </c>
      <c r="W402" s="601">
        <f t="shared" si="55"/>
        <v>3122.51</v>
      </c>
      <c r="X402" s="601">
        <f t="shared" si="56"/>
        <v>0</v>
      </c>
      <c r="Y402" s="123"/>
      <c r="Z402" s="692">
        <f t="shared" si="60"/>
        <v>3059.79</v>
      </c>
      <c r="AA402" s="123"/>
      <c r="AB402" s="123"/>
      <c r="AC402" s="123"/>
      <c r="AD402" s="123"/>
      <c r="AE402" s="123"/>
      <c r="AF402" s="123"/>
      <c r="AG402" s="123"/>
      <c r="AH402" s="123"/>
      <c r="AI402" s="123"/>
      <c r="AJ402" s="123"/>
      <c r="AK402" s="123"/>
      <c r="AL402" s="124"/>
      <c r="AM402" s="124"/>
      <c r="AN402" s="124"/>
      <c r="AO402" s="124"/>
    </row>
    <row r="403" spans="1:41" customFormat="1" ht="12.75" hidden="1" thickBot="1">
      <c r="A403" s="25" t="s">
        <v>1213</v>
      </c>
      <c r="B403" s="25" t="s">
        <v>397</v>
      </c>
      <c r="C403" s="25" t="s">
        <v>954</v>
      </c>
      <c r="D403" s="235" t="s">
        <v>498</v>
      </c>
      <c r="E403" s="76">
        <v>3810</v>
      </c>
      <c r="F403" s="19"/>
      <c r="G403" s="18">
        <v>2995.01</v>
      </c>
      <c r="H403" s="19"/>
      <c r="I403" s="19"/>
      <c r="J403" s="19"/>
      <c r="K403" s="19"/>
      <c r="L403" s="19"/>
      <c r="M403" s="18">
        <v>5.66</v>
      </c>
      <c r="N403" s="18">
        <v>56.13</v>
      </c>
      <c r="O403" s="19"/>
      <c r="P403" s="19"/>
      <c r="Q403" s="18">
        <v>0</v>
      </c>
      <c r="R403" s="18">
        <v>3056.8</v>
      </c>
      <c r="S403" s="142">
        <f t="shared" si="57"/>
        <v>2995.01</v>
      </c>
      <c r="T403" s="142">
        <f t="shared" si="58"/>
        <v>0</v>
      </c>
      <c r="U403" s="142">
        <f t="shared" si="59"/>
        <v>56.13</v>
      </c>
      <c r="W403" s="601">
        <f t="shared" si="55"/>
        <v>3056.8</v>
      </c>
      <c r="X403" s="601">
        <f t="shared" si="56"/>
        <v>0</v>
      </c>
      <c r="Y403" s="123"/>
      <c r="Z403" s="692">
        <f t="shared" si="60"/>
        <v>2995.01</v>
      </c>
      <c r="AA403" s="123"/>
      <c r="AB403" s="123"/>
      <c r="AC403" s="123"/>
      <c r="AD403" s="123"/>
      <c r="AE403" s="123"/>
      <c r="AF403" s="123"/>
      <c r="AG403" s="123"/>
      <c r="AH403" s="123"/>
      <c r="AI403" s="123"/>
      <c r="AJ403" s="123"/>
      <c r="AK403" s="123"/>
      <c r="AL403" s="124"/>
      <c r="AM403" s="124"/>
      <c r="AN403" s="124"/>
      <c r="AO403" s="124"/>
    </row>
    <row r="404" spans="1:41" customFormat="1" ht="12.75" hidden="1" thickBot="1">
      <c r="A404" s="25" t="s">
        <v>1213</v>
      </c>
      <c r="B404" s="25" t="s">
        <v>287</v>
      </c>
      <c r="C404" s="25" t="s">
        <v>955</v>
      </c>
      <c r="D404" s="235" t="s">
        <v>498</v>
      </c>
      <c r="E404" s="77">
        <v>51328</v>
      </c>
      <c r="F404" s="20"/>
      <c r="G404" s="17">
        <v>10202.4</v>
      </c>
      <c r="H404" s="20"/>
      <c r="I404" s="20"/>
      <c r="J404" s="20"/>
      <c r="K404" s="20"/>
      <c r="L404" s="20"/>
      <c r="M404" s="17">
        <v>81.349999999999994</v>
      </c>
      <c r="N404" s="17">
        <v>190.8</v>
      </c>
      <c r="O404" s="20"/>
      <c r="P404" s="20"/>
      <c r="Q404" s="17">
        <v>0</v>
      </c>
      <c r="R404" s="17">
        <v>10474.549999999999</v>
      </c>
      <c r="S404" s="142">
        <f t="shared" si="57"/>
        <v>10202.4</v>
      </c>
      <c r="T404" s="142">
        <f t="shared" si="58"/>
        <v>0</v>
      </c>
      <c r="U404" s="142">
        <f t="shared" si="59"/>
        <v>190.8</v>
      </c>
      <c r="W404" s="601">
        <f t="shared" si="55"/>
        <v>10474.549999999999</v>
      </c>
      <c r="X404" s="601">
        <f t="shared" si="56"/>
        <v>0</v>
      </c>
      <c r="Y404" s="123"/>
      <c r="Z404" s="692">
        <f t="shared" si="60"/>
        <v>10202.4</v>
      </c>
      <c r="AA404" s="123"/>
      <c r="AB404" s="123"/>
      <c r="AC404" s="123"/>
      <c r="AD404" s="123"/>
      <c r="AE404" s="123"/>
      <c r="AF404" s="123"/>
      <c r="AG404" s="123"/>
      <c r="AH404" s="123"/>
      <c r="AI404" s="123"/>
      <c r="AJ404" s="123"/>
      <c r="AK404" s="123"/>
      <c r="AL404" s="124"/>
      <c r="AM404" s="124"/>
      <c r="AN404" s="124"/>
      <c r="AO404" s="124"/>
    </row>
    <row r="405" spans="1:41" customFormat="1" ht="12.75" hidden="1" thickBot="1">
      <c r="A405" s="25" t="s">
        <v>1213</v>
      </c>
      <c r="B405" s="25" t="s">
        <v>288</v>
      </c>
      <c r="C405" s="25" t="s">
        <v>956</v>
      </c>
      <c r="D405" s="235" t="s">
        <v>498</v>
      </c>
      <c r="E405" s="76">
        <v>76919</v>
      </c>
      <c r="F405" s="19"/>
      <c r="G405" s="18">
        <v>11798.45</v>
      </c>
      <c r="H405" s="19"/>
      <c r="I405" s="19"/>
      <c r="J405" s="19"/>
      <c r="K405" s="19"/>
      <c r="L405" s="19"/>
      <c r="M405" s="18">
        <v>114.72</v>
      </c>
      <c r="N405" s="18">
        <v>222.74</v>
      </c>
      <c r="O405" s="19"/>
      <c r="P405" s="19"/>
      <c r="Q405" s="18">
        <v>0</v>
      </c>
      <c r="R405" s="18">
        <v>12135.91</v>
      </c>
      <c r="S405" s="142">
        <f t="shared" si="57"/>
        <v>11798.45</v>
      </c>
      <c r="T405" s="142">
        <f t="shared" si="58"/>
        <v>0</v>
      </c>
      <c r="U405" s="142">
        <f t="shared" si="59"/>
        <v>222.74</v>
      </c>
      <c r="W405" s="601">
        <f t="shared" si="55"/>
        <v>12135.91</v>
      </c>
      <c r="X405" s="601">
        <f t="shared" si="56"/>
        <v>0</v>
      </c>
      <c r="Y405" s="123"/>
      <c r="Z405" s="692">
        <f t="shared" si="60"/>
        <v>11798.45</v>
      </c>
      <c r="AA405" s="123"/>
      <c r="AB405" s="123"/>
      <c r="AC405" s="123"/>
      <c r="AD405" s="123"/>
      <c r="AE405" s="123"/>
      <c r="AF405" s="123"/>
      <c r="AG405" s="123"/>
      <c r="AH405" s="123"/>
      <c r="AI405" s="123"/>
      <c r="AJ405" s="123"/>
      <c r="AK405" s="123"/>
      <c r="AL405" s="124"/>
      <c r="AM405" s="124"/>
      <c r="AN405" s="124"/>
      <c r="AO405" s="124"/>
    </row>
    <row r="406" spans="1:41" customFormat="1" ht="12.75" hidden="1" thickBot="1">
      <c r="A406" s="25" t="s">
        <v>1213</v>
      </c>
      <c r="B406" s="25" t="s">
        <v>291</v>
      </c>
      <c r="C406" s="25" t="s">
        <v>957</v>
      </c>
      <c r="D406" s="235" t="s">
        <v>498</v>
      </c>
      <c r="E406" s="77">
        <v>3678</v>
      </c>
      <c r="F406" s="20"/>
      <c r="G406" s="17">
        <v>940.68</v>
      </c>
      <c r="H406" s="20"/>
      <c r="I406" s="20"/>
      <c r="J406" s="20"/>
      <c r="K406" s="20"/>
      <c r="L406" s="20"/>
      <c r="M406" s="17">
        <v>5.46</v>
      </c>
      <c r="N406" s="17">
        <v>17.72</v>
      </c>
      <c r="O406" s="20"/>
      <c r="P406" s="20"/>
      <c r="Q406" s="17">
        <v>0</v>
      </c>
      <c r="R406" s="17">
        <v>963.86</v>
      </c>
      <c r="S406" s="142">
        <f t="shared" si="57"/>
        <v>940.68</v>
      </c>
      <c r="T406" s="142">
        <f t="shared" si="58"/>
        <v>0</v>
      </c>
      <c r="U406" s="142">
        <f t="shared" si="59"/>
        <v>17.72</v>
      </c>
      <c r="W406" s="601">
        <f t="shared" si="55"/>
        <v>963.86</v>
      </c>
      <c r="X406" s="601">
        <f t="shared" si="56"/>
        <v>0</v>
      </c>
      <c r="Y406" s="123"/>
      <c r="Z406" s="692">
        <f t="shared" si="60"/>
        <v>940.68</v>
      </c>
      <c r="AA406" s="123"/>
      <c r="AB406" s="123"/>
      <c r="AC406" s="123"/>
      <c r="AD406" s="123"/>
      <c r="AE406" s="123"/>
      <c r="AF406" s="123"/>
      <c r="AG406" s="123"/>
      <c r="AH406" s="123"/>
      <c r="AI406" s="123"/>
      <c r="AJ406" s="123"/>
      <c r="AK406" s="123"/>
      <c r="AL406" s="124"/>
      <c r="AM406" s="124"/>
      <c r="AN406" s="124"/>
      <c r="AO406" s="124"/>
    </row>
    <row r="407" spans="1:41" customFormat="1" ht="12.75" hidden="1" thickBot="1">
      <c r="A407" s="25" t="s">
        <v>1213</v>
      </c>
      <c r="B407" s="25" t="s">
        <v>297</v>
      </c>
      <c r="C407" s="25" t="s">
        <v>958</v>
      </c>
      <c r="D407" s="235" t="s">
        <v>498</v>
      </c>
      <c r="E407" s="76">
        <v>3896</v>
      </c>
      <c r="F407" s="19"/>
      <c r="G407" s="18">
        <v>524.79999999999995</v>
      </c>
      <c r="H407" s="19"/>
      <c r="I407" s="19"/>
      <c r="J407" s="19"/>
      <c r="K407" s="19"/>
      <c r="L407" s="19"/>
      <c r="M407" s="18">
        <v>5.82</v>
      </c>
      <c r="N407" s="18">
        <v>9.92</v>
      </c>
      <c r="O407" s="19"/>
      <c r="P407" s="19"/>
      <c r="Q407" s="18">
        <v>0</v>
      </c>
      <c r="R407" s="18">
        <v>540.54</v>
      </c>
      <c r="S407" s="142">
        <f t="shared" si="57"/>
        <v>524.79999999999995</v>
      </c>
      <c r="T407" s="142">
        <f t="shared" si="58"/>
        <v>0</v>
      </c>
      <c r="U407" s="142">
        <f t="shared" si="59"/>
        <v>9.92</v>
      </c>
      <c r="W407" s="601">
        <f t="shared" si="55"/>
        <v>540.54</v>
      </c>
      <c r="X407" s="601">
        <f t="shared" si="56"/>
        <v>0</v>
      </c>
      <c r="Y407" s="123"/>
      <c r="Z407" s="692">
        <f t="shared" si="60"/>
        <v>524.79999999999995</v>
      </c>
      <c r="AA407" s="123"/>
      <c r="AB407" s="123"/>
      <c r="AC407" s="123"/>
      <c r="AD407" s="123"/>
      <c r="AE407" s="123"/>
      <c r="AF407" s="123"/>
      <c r="AG407" s="123"/>
      <c r="AH407" s="123"/>
      <c r="AI407" s="123"/>
      <c r="AJ407" s="123"/>
      <c r="AK407" s="123"/>
      <c r="AL407" s="124"/>
      <c r="AM407" s="124"/>
      <c r="AN407" s="124"/>
      <c r="AO407" s="124"/>
    </row>
    <row r="408" spans="1:41" customFormat="1" ht="12.75" hidden="1" thickBot="1">
      <c r="A408" s="25" t="s">
        <v>1213</v>
      </c>
      <c r="B408" s="25" t="s">
        <v>299</v>
      </c>
      <c r="C408" s="25" t="s">
        <v>959</v>
      </c>
      <c r="D408" s="235" t="s">
        <v>498</v>
      </c>
      <c r="E408" s="77">
        <v>552</v>
      </c>
      <c r="F408" s="20"/>
      <c r="G408" s="17">
        <v>153.34</v>
      </c>
      <c r="H408" s="20"/>
      <c r="I408" s="20"/>
      <c r="J408" s="20"/>
      <c r="K408" s="20"/>
      <c r="L408" s="20"/>
      <c r="M408" s="17">
        <v>0.82</v>
      </c>
      <c r="N408" s="17">
        <v>2.88</v>
      </c>
      <c r="O408" s="20"/>
      <c r="P408" s="20"/>
      <c r="Q408" s="17">
        <v>0</v>
      </c>
      <c r="R408" s="17">
        <v>157.04</v>
      </c>
      <c r="S408" s="142">
        <f t="shared" si="57"/>
        <v>153.34</v>
      </c>
      <c r="T408" s="142">
        <f t="shared" si="58"/>
        <v>0</v>
      </c>
      <c r="U408" s="142">
        <f t="shared" si="59"/>
        <v>2.88</v>
      </c>
      <c r="W408" s="601">
        <f t="shared" si="55"/>
        <v>157.04</v>
      </c>
      <c r="X408" s="601">
        <f t="shared" si="56"/>
        <v>0</v>
      </c>
      <c r="Y408" s="123"/>
      <c r="Z408" s="692">
        <f t="shared" si="60"/>
        <v>153.34</v>
      </c>
      <c r="AA408" s="123"/>
      <c r="AB408" s="123"/>
      <c r="AC408" s="123"/>
      <c r="AD408" s="123"/>
      <c r="AE408" s="123"/>
      <c r="AF408" s="123"/>
      <c r="AG408" s="123"/>
      <c r="AH408" s="123"/>
      <c r="AI408" s="123"/>
      <c r="AJ408" s="123"/>
      <c r="AK408" s="123"/>
      <c r="AL408" s="124"/>
      <c r="AM408" s="124"/>
      <c r="AN408" s="124"/>
      <c r="AO408" s="124"/>
    </row>
    <row r="409" spans="1:41" customFormat="1" ht="12.75" hidden="1" thickBot="1">
      <c r="A409" s="25" t="s">
        <v>1213</v>
      </c>
      <c r="B409" s="25" t="s">
        <v>377</v>
      </c>
      <c r="C409" s="25" t="s">
        <v>960</v>
      </c>
      <c r="D409" s="235" t="s">
        <v>606</v>
      </c>
      <c r="E409" s="76">
        <v>574</v>
      </c>
      <c r="F409" s="19"/>
      <c r="G409" s="18">
        <v>913.44</v>
      </c>
      <c r="H409" s="19"/>
      <c r="I409" s="19"/>
      <c r="J409" s="19"/>
      <c r="K409" s="19"/>
      <c r="L409" s="19"/>
      <c r="M409" s="18">
        <v>0.85</v>
      </c>
      <c r="N409" s="18">
        <v>17.100000000000001</v>
      </c>
      <c r="O409" s="19"/>
      <c r="P409" s="19"/>
      <c r="Q409" s="19"/>
      <c r="R409" s="18">
        <v>931.39</v>
      </c>
      <c r="S409" s="142">
        <f t="shared" si="57"/>
        <v>913.44</v>
      </c>
      <c r="T409" s="142">
        <f t="shared" si="58"/>
        <v>0</v>
      </c>
      <c r="U409" s="142">
        <f t="shared" si="59"/>
        <v>17.100000000000001</v>
      </c>
      <c r="W409" s="601">
        <f t="shared" si="55"/>
        <v>931.3900000000001</v>
      </c>
      <c r="X409" s="601">
        <f t="shared" si="56"/>
        <v>0</v>
      </c>
      <c r="Y409" s="123"/>
      <c r="Z409" s="692">
        <f t="shared" si="60"/>
        <v>913.44</v>
      </c>
      <c r="AA409" s="123"/>
      <c r="AB409" s="123"/>
      <c r="AC409" s="123"/>
      <c r="AD409" s="123"/>
      <c r="AE409" s="123"/>
      <c r="AF409" s="123"/>
      <c r="AG409" s="123"/>
      <c r="AH409" s="123"/>
      <c r="AI409" s="123"/>
      <c r="AJ409" s="123"/>
      <c r="AK409" s="123"/>
      <c r="AL409" s="124"/>
      <c r="AM409" s="124"/>
      <c r="AN409" s="124"/>
      <c r="AO409" s="124"/>
    </row>
    <row r="410" spans="1:41" customFormat="1" ht="12.75" hidden="1" thickBot="1">
      <c r="A410" s="25" t="s">
        <v>1213</v>
      </c>
      <c r="B410" s="25" t="s">
        <v>737</v>
      </c>
      <c r="C410" s="25" t="s">
        <v>961</v>
      </c>
      <c r="D410" s="235" t="s">
        <v>606</v>
      </c>
      <c r="E410" s="77">
        <v>132</v>
      </c>
      <c r="F410" s="20"/>
      <c r="G410" s="17">
        <v>99.6</v>
      </c>
      <c r="H410" s="20"/>
      <c r="I410" s="20"/>
      <c r="J410" s="20"/>
      <c r="K410" s="20"/>
      <c r="L410" s="20"/>
      <c r="M410" s="17">
        <v>0.2</v>
      </c>
      <c r="N410" s="17">
        <v>1.87</v>
      </c>
      <c r="O410" s="20"/>
      <c r="P410" s="20"/>
      <c r="Q410" s="20"/>
      <c r="R410" s="17">
        <v>101.67</v>
      </c>
      <c r="S410" s="142">
        <f t="shared" si="57"/>
        <v>99.6</v>
      </c>
      <c r="T410" s="142">
        <f t="shared" si="58"/>
        <v>0</v>
      </c>
      <c r="U410" s="142">
        <f t="shared" si="59"/>
        <v>1.87</v>
      </c>
      <c r="W410" s="601">
        <f t="shared" si="55"/>
        <v>101.67</v>
      </c>
      <c r="X410" s="601">
        <f t="shared" si="56"/>
        <v>0</v>
      </c>
      <c r="Y410" s="123"/>
      <c r="Z410" s="692">
        <f t="shared" si="60"/>
        <v>99.6</v>
      </c>
      <c r="AA410" s="123"/>
      <c r="AB410" s="123"/>
      <c r="AC410" s="123"/>
      <c r="AD410" s="123"/>
      <c r="AE410" s="123"/>
      <c r="AF410" s="123"/>
      <c r="AG410" s="123"/>
      <c r="AH410" s="123"/>
      <c r="AI410" s="123"/>
      <c r="AJ410" s="123"/>
      <c r="AK410" s="123"/>
      <c r="AL410" s="124"/>
      <c r="AM410" s="124"/>
      <c r="AN410" s="124"/>
      <c r="AO410" s="124"/>
    </row>
    <row r="411" spans="1:41" customFormat="1" ht="12.75" hidden="1" thickBot="1">
      <c r="A411" s="25" t="s">
        <v>1213</v>
      </c>
      <c r="B411" s="25" t="s">
        <v>329</v>
      </c>
      <c r="C411" s="25" t="s">
        <v>962</v>
      </c>
      <c r="D411" s="235" t="s">
        <v>606</v>
      </c>
      <c r="E411" s="76">
        <v>6050</v>
      </c>
      <c r="F411" s="19"/>
      <c r="G411" s="18">
        <v>4472.54</v>
      </c>
      <c r="H411" s="19"/>
      <c r="I411" s="19"/>
      <c r="J411" s="19"/>
      <c r="K411" s="19"/>
      <c r="L411" s="19"/>
      <c r="M411" s="18">
        <v>9.0399999999999991</v>
      </c>
      <c r="N411" s="18">
        <v>83.8</v>
      </c>
      <c r="O411" s="19"/>
      <c r="P411" s="19"/>
      <c r="Q411" s="18">
        <v>0</v>
      </c>
      <c r="R411" s="18">
        <v>4565.38</v>
      </c>
      <c r="S411" s="142">
        <f t="shared" si="57"/>
        <v>4472.54</v>
      </c>
      <c r="T411" s="142">
        <f t="shared" si="58"/>
        <v>0</v>
      </c>
      <c r="U411" s="142">
        <f t="shared" si="59"/>
        <v>83.8</v>
      </c>
      <c r="W411" s="601">
        <f t="shared" si="55"/>
        <v>4565.38</v>
      </c>
      <c r="X411" s="601">
        <f t="shared" si="56"/>
        <v>0</v>
      </c>
      <c r="Y411" s="123"/>
      <c r="Z411" s="692">
        <f t="shared" si="60"/>
        <v>4472.54</v>
      </c>
      <c r="AA411" s="123"/>
      <c r="AB411" s="123"/>
      <c r="AC411" s="123"/>
      <c r="AD411" s="123"/>
      <c r="AE411" s="123"/>
      <c r="AF411" s="123"/>
      <c r="AG411" s="123"/>
      <c r="AH411" s="123"/>
      <c r="AI411" s="123"/>
      <c r="AJ411" s="123"/>
      <c r="AK411" s="123"/>
      <c r="AL411" s="124"/>
      <c r="AM411" s="124"/>
      <c r="AN411" s="124"/>
      <c r="AO411" s="124"/>
    </row>
    <row r="412" spans="1:41" customFormat="1" ht="12.75" hidden="1" thickBot="1">
      <c r="A412" s="25" t="s">
        <v>1213</v>
      </c>
      <c r="B412" s="25" t="s">
        <v>330</v>
      </c>
      <c r="C412" s="25" t="s">
        <v>963</v>
      </c>
      <c r="D412" s="235" t="s">
        <v>606</v>
      </c>
      <c r="E412" s="77">
        <v>78570</v>
      </c>
      <c r="F412" s="20"/>
      <c r="G412" s="17">
        <v>42931.73</v>
      </c>
      <c r="H412" s="20"/>
      <c r="I412" s="20"/>
      <c r="J412" s="20"/>
      <c r="K412" s="20"/>
      <c r="L412" s="20"/>
      <c r="M412" s="17">
        <v>117.75</v>
      </c>
      <c r="N412" s="17">
        <v>804.09</v>
      </c>
      <c r="O412" s="20"/>
      <c r="P412" s="20"/>
      <c r="Q412" s="17">
        <v>0</v>
      </c>
      <c r="R412" s="17">
        <v>43853.57</v>
      </c>
      <c r="S412" s="142">
        <f t="shared" si="57"/>
        <v>42931.73</v>
      </c>
      <c r="T412" s="142">
        <f t="shared" si="58"/>
        <v>0</v>
      </c>
      <c r="U412" s="142">
        <f t="shared" si="59"/>
        <v>804.09</v>
      </c>
      <c r="W412" s="601">
        <f t="shared" si="55"/>
        <v>43853.57</v>
      </c>
      <c r="X412" s="601">
        <f t="shared" si="56"/>
        <v>0</v>
      </c>
      <c r="Y412" s="123"/>
      <c r="Z412" s="692">
        <f t="shared" si="60"/>
        <v>42931.73</v>
      </c>
      <c r="AA412" s="123"/>
      <c r="AB412" s="123"/>
      <c r="AC412" s="123"/>
      <c r="AD412" s="123"/>
      <c r="AE412" s="123"/>
      <c r="AF412" s="123"/>
      <c r="AG412" s="123"/>
      <c r="AH412" s="123"/>
      <c r="AI412" s="123"/>
      <c r="AJ412" s="123"/>
      <c r="AK412" s="123"/>
      <c r="AL412" s="124"/>
      <c r="AM412" s="124"/>
      <c r="AN412" s="124"/>
      <c r="AO412" s="124"/>
    </row>
    <row r="413" spans="1:41" customFormat="1" ht="12.75" hidden="1" thickBot="1">
      <c r="A413" s="25" t="s">
        <v>1213</v>
      </c>
      <c r="B413" s="25" t="s">
        <v>332</v>
      </c>
      <c r="C413" s="25" t="s">
        <v>964</v>
      </c>
      <c r="D413" s="235" t="s">
        <v>606</v>
      </c>
      <c r="E413" s="76">
        <v>961</v>
      </c>
      <c r="F413" s="19"/>
      <c r="G413" s="18">
        <v>739.93</v>
      </c>
      <c r="H413" s="19"/>
      <c r="I413" s="19"/>
      <c r="J413" s="19"/>
      <c r="K413" s="19"/>
      <c r="L413" s="19"/>
      <c r="M413" s="18">
        <v>1.45</v>
      </c>
      <c r="N413" s="18">
        <v>13.87</v>
      </c>
      <c r="O413" s="19"/>
      <c r="P413" s="19"/>
      <c r="Q413" s="18">
        <v>0</v>
      </c>
      <c r="R413" s="18">
        <v>755.25</v>
      </c>
      <c r="S413" s="142">
        <f t="shared" si="57"/>
        <v>739.93</v>
      </c>
      <c r="T413" s="142">
        <f t="shared" si="58"/>
        <v>0</v>
      </c>
      <c r="U413" s="142">
        <f t="shared" si="59"/>
        <v>13.87</v>
      </c>
      <c r="W413" s="601">
        <f t="shared" si="55"/>
        <v>755.25</v>
      </c>
      <c r="X413" s="601">
        <f t="shared" si="56"/>
        <v>0</v>
      </c>
      <c r="Y413" s="123"/>
      <c r="Z413" s="692">
        <f t="shared" si="60"/>
        <v>739.93</v>
      </c>
      <c r="AA413" s="123"/>
      <c r="AB413" s="123"/>
      <c r="AC413" s="123"/>
      <c r="AD413" s="123"/>
      <c r="AE413" s="123"/>
      <c r="AF413" s="123"/>
      <c r="AG413" s="123"/>
      <c r="AH413" s="123"/>
      <c r="AI413" s="123"/>
      <c r="AJ413" s="123"/>
      <c r="AK413" s="123"/>
      <c r="AL413" s="124"/>
      <c r="AM413" s="124"/>
      <c r="AN413" s="124"/>
      <c r="AO413" s="124"/>
    </row>
    <row r="414" spans="1:41" customFormat="1" ht="12.75" hidden="1" thickBot="1">
      <c r="A414" s="25" t="s">
        <v>1213</v>
      </c>
      <c r="B414" s="25" t="s">
        <v>333</v>
      </c>
      <c r="C414" s="25" t="s">
        <v>965</v>
      </c>
      <c r="D414" s="235" t="s">
        <v>606</v>
      </c>
      <c r="E414" s="77">
        <v>68475</v>
      </c>
      <c r="F414" s="20"/>
      <c r="G414" s="17">
        <v>41293.07</v>
      </c>
      <c r="H414" s="20"/>
      <c r="I414" s="20"/>
      <c r="J414" s="20"/>
      <c r="K414" s="20"/>
      <c r="L414" s="20"/>
      <c r="M414" s="17">
        <v>102.11</v>
      </c>
      <c r="N414" s="17">
        <v>773.95</v>
      </c>
      <c r="O414" s="20"/>
      <c r="P414" s="20"/>
      <c r="Q414" s="17">
        <v>0</v>
      </c>
      <c r="R414" s="17">
        <v>42169.13</v>
      </c>
      <c r="S414" s="142">
        <f t="shared" si="57"/>
        <v>41293.07</v>
      </c>
      <c r="T414" s="142">
        <f t="shared" si="58"/>
        <v>0</v>
      </c>
      <c r="U414" s="142">
        <f t="shared" si="59"/>
        <v>773.95</v>
      </c>
      <c r="W414" s="601">
        <f t="shared" ref="W414:W473" si="61">SUM(F414:Q414)</f>
        <v>42169.13</v>
      </c>
      <c r="X414" s="601">
        <f t="shared" ref="X414:X473" si="62">W414-R414</f>
        <v>0</v>
      </c>
      <c r="Y414" s="123"/>
      <c r="Z414" s="692">
        <f t="shared" si="60"/>
        <v>41293.07</v>
      </c>
      <c r="AA414" s="123"/>
      <c r="AB414" s="123"/>
      <c r="AC414" s="123"/>
      <c r="AD414" s="123"/>
      <c r="AE414" s="123"/>
      <c r="AF414" s="123"/>
      <c r="AG414" s="123"/>
      <c r="AH414" s="123"/>
      <c r="AI414" s="123"/>
      <c r="AJ414" s="123"/>
      <c r="AK414" s="123"/>
      <c r="AL414" s="124"/>
      <c r="AM414" s="124"/>
      <c r="AN414" s="124"/>
      <c r="AO414" s="124"/>
    </row>
    <row r="415" spans="1:41" customFormat="1" ht="12.75" hidden="1" thickBot="1">
      <c r="A415" s="25" t="s">
        <v>1213</v>
      </c>
      <c r="B415" s="25" t="s">
        <v>334</v>
      </c>
      <c r="C415" s="25" t="s">
        <v>966</v>
      </c>
      <c r="D415" s="235" t="s">
        <v>498</v>
      </c>
      <c r="E415" s="76">
        <v>1478</v>
      </c>
      <c r="F415" s="19"/>
      <c r="G415" s="18">
        <v>947.2</v>
      </c>
      <c r="H415" s="19"/>
      <c r="I415" s="19"/>
      <c r="J415" s="19"/>
      <c r="K415" s="19"/>
      <c r="L415" s="19"/>
      <c r="M415" s="18">
        <v>2.2000000000000002</v>
      </c>
      <c r="N415" s="18">
        <v>17.75</v>
      </c>
      <c r="O415" s="19"/>
      <c r="P415" s="19"/>
      <c r="Q415" s="18">
        <v>0</v>
      </c>
      <c r="R415" s="18">
        <v>967.15</v>
      </c>
      <c r="S415" s="142">
        <f t="shared" si="57"/>
        <v>947.2</v>
      </c>
      <c r="T415" s="142">
        <f t="shared" si="58"/>
        <v>0</v>
      </c>
      <c r="U415" s="142">
        <f t="shared" si="59"/>
        <v>17.75</v>
      </c>
      <c r="W415" s="601">
        <f t="shared" si="61"/>
        <v>967.15000000000009</v>
      </c>
      <c r="X415" s="601">
        <f t="shared" si="62"/>
        <v>0</v>
      </c>
      <c r="Y415" s="123"/>
      <c r="Z415" s="692">
        <f t="shared" si="60"/>
        <v>947.2</v>
      </c>
      <c r="AA415" s="123"/>
      <c r="AB415" s="123"/>
      <c r="AC415" s="123"/>
      <c r="AD415" s="123"/>
      <c r="AE415" s="123"/>
      <c r="AF415" s="123"/>
      <c r="AG415" s="123"/>
      <c r="AH415" s="123"/>
      <c r="AI415" s="123"/>
      <c r="AJ415" s="123"/>
      <c r="AK415" s="123"/>
      <c r="AL415" s="124"/>
      <c r="AM415" s="124"/>
      <c r="AN415" s="124"/>
      <c r="AO415" s="124"/>
    </row>
    <row r="416" spans="1:41" customFormat="1" ht="12.75" hidden="1" thickBot="1">
      <c r="A416" s="25" t="s">
        <v>1213</v>
      </c>
      <c r="B416" s="25" t="s">
        <v>336</v>
      </c>
      <c r="C416" s="25" t="s">
        <v>967</v>
      </c>
      <c r="D416" s="235" t="s">
        <v>498</v>
      </c>
      <c r="E416" s="77">
        <v>6422</v>
      </c>
      <c r="F416" s="20"/>
      <c r="G416" s="17">
        <v>2799.01</v>
      </c>
      <c r="H416" s="20"/>
      <c r="I416" s="20"/>
      <c r="J416" s="20"/>
      <c r="K416" s="20"/>
      <c r="L416" s="20"/>
      <c r="M416" s="17">
        <v>9.57</v>
      </c>
      <c r="N416" s="17">
        <v>52.51</v>
      </c>
      <c r="O416" s="20"/>
      <c r="P416" s="20"/>
      <c r="Q416" s="17">
        <v>0</v>
      </c>
      <c r="R416" s="17">
        <v>2861.09</v>
      </c>
      <c r="S416" s="142">
        <f t="shared" si="57"/>
        <v>2799.01</v>
      </c>
      <c r="T416" s="142">
        <f t="shared" si="58"/>
        <v>0</v>
      </c>
      <c r="U416" s="142">
        <f t="shared" si="59"/>
        <v>52.51</v>
      </c>
      <c r="W416" s="601">
        <f t="shared" si="61"/>
        <v>2861.0900000000006</v>
      </c>
      <c r="X416" s="601">
        <f t="shared" si="62"/>
        <v>0</v>
      </c>
      <c r="Y416" s="123"/>
      <c r="Z416" s="692">
        <f t="shared" si="60"/>
        <v>2799.01</v>
      </c>
      <c r="AA416" s="123"/>
      <c r="AB416" s="123"/>
      <c r="AC416" s="123"/>
      <c r="AD416" s="123"/>
      <c r="AE416" s="123"/>
      <c r="AF416" s="123"/>
      <c r="AG416" s="123"/>
      <c r="AH416" s="123"/>
      <c r="AI416" s="123"/>
      <c r="AJ416" s="123"/>
      <c r="AK416" s="123"/>
      <c r="AL416" s="124"/>
      <c r="AM416" s="124"/>
      <c r="AN416" s="124"/>
      <c r="AO416" s="124"/>
    </row>
    <row r="417" spans="1:41" customFormat="1" ht="12.75" hidden="1" thickBot="1">
      <c r="A417" s="25" t="s">
        <v>1213</v>
      </c>
      <c r="B417" s="25" t="s">
        <v>337</v>
      </c>
      <c r="C417" s="25" t="s">
        <v>968</v>
      </c>
      <c r="D417" s="235" t="s">
        <v>606</v>
      </c>
      <c r="E417" s="76">
        <v>3094</v>
      </c>
      <c r="F417" s="19"/>
      <c r="G417" s="18">
        <v>1614.06</v>
      </c>
      <c r="H417" s="19"/>
      <c r="I417" s="19"/>
      <c r="J417" s="19"/>
      <c r="K417" s="19"/>
      <c r="L417" s="19"/>
      <c r="M417" s="18">
        <v>4.6100000000000003</v>
      </c>
      <c r="N417" s="18">
        <v>30.25</v>
      </c>
      <c r="O417" s="19"/>
      <c r="P417" s="19"/>
      <c r="Q417" s="18">
        <v>0</v>
      </c>
      <c r="R417" s="18">
        <v>1648.92</v>
      </c>
      <c r="S417" s="142">
        <f t="shared" si="57"/>
        <v>1614.06</v>
      </c>
      <c r="T417" s="142">
        <f t="shared" si="58"/>
        <v>0</v>
      </c>
      <c r="U417" s="142">
        <f t="shared" si="59"/>
        <v>30.25</v>
      </c>
      <c r="W417" s="601">
        <f t="shared" si="61"/>
        <v>1648.9199999999998</v>
      </c>
      <c r="X417" s="601">
        <f t="shared" si="62"/>
        <v>0</v>
      </c>
      <c r="Y417" s="123"/>
      <c r="Z417" s="692">
        <f t="shared" si="60"/>
        <v>1614.06</v>
      </c>
      <c r="AA417" s="123"/>
      <c r="AB417" s="123"/>
      <c r="AC417" s="123"/>
      <c r="AD417" s="123"/>
      <c r="AE417" s="123"/>
      <c r="AF417" s="123"/>
      <c r="AG417" s="123"/>
      <c r="AH417" s="123"/>
      <c r="AI417" s="123"/>
      <c r="AJ417" s="123"/>
      <c r="AK417" s="123"/>
      <c r="AL417" s="124"/>
      <c r="AM417" s="124"/>
      <c r="AN417" s="124"/>
      <c r="AO417" s="124"/>
    </row>
    <row r="418" spans="1:41" customFormat="1" ht="12.75" hidden="1" thickBot="1">
      <c r="A418" s="25" t="s">
        <v>1213</v>
      </c>
      <c r="B418" s="25" t="s">
        <v>338</v>
      </c>
      <c r="C418" s="25" t="s">
        <v>969</v>
      </c>
      <c r="D418" s="235" t="s">
        <v>606</v>
      </c>
      <c r="E418" s="77">
        <v>17471</v>
      </c>
      <c r="F418" s="20"/>
      <c r="G418" s="17">
        <v>6028.71</v>
      </c>
      <c r="H418" s="20"/>
      <c r="I418" s="20"/>
      <c r="J418" s="20"/>
      <c r="K418" s="20"/>
      <c r="L418" s="20"/>
      <c r="M418" s="17">
        <v>26.24</v>
      </c>
      <c r="N418" s="17">
        <v>113.3</v>
      </c>
      <c r="O418" s="20"/>
      <c r="P418" s="20"/>
      <c r="Q418" s="17">
        <v>0</v>
      </c>
      <c r="R418" s="17">
        <v>6168.25</v>
      </c>
      <c r="S418" s="142">
        <f t="shared" si="57"/>
        <v>6028.71</v>
      </c>
      <c r="T418" s="142">
        <f t="shared" si="58"/>
        <v>0</v>
      </c>
      <c r="U418" s="142">
        <f t="shared" si="59"/>
        <v>113.3</v>
      </c>
      <c r="W418" s="601">
        <f t="shared" si="61"/>
        <v>6168.25</v>
      </c>
      <c r="X418" s="601">
        <f t="shared" si="62"/>
        <v>0</v>
      </c>
      <c r="Y418" s="123"/>
      <c r="Z418" s="692">
        <f t="shared" si="60"/>
        <v>6028.71</v>
      </c>
      <c r="AA418" s="123"/>
      <c r="AB418" s="123"/>
      <c r="AC418" s="123"/>
      <c r="AD418" s="123"/>
      <c r="AE418" s="123"/>
      <c r="AF418" s="123"/>
      <c r="AG418" s="123"/>
      <c r="AH418" s="123"/>
      <c r="AI418" s="123"/>
      <c r="AJ418" s="123"/>
      <c r="AK418" s="123"/>
      <c r="AL418" s="124"/>
      <c r="AM418" s="124"/>
      <c r="AN418" s="124"/>
      <c r="AO418" s="124"/>
    </row>
    <row r="419" spans="1:41" customFormat="1" ht="12.75" hidden="1" thickBot="1">
      <c r="A419" s="25" t="s">
        <v>1213</v>
      </c>
      <c r="B419" s="25" t="s">
        <v>339</v>
      </c>
      <c r="C419" s="25" t="s">
        <v>970</v>
      </c>
      <c r="D419" s="235" t="s">
        <v>606</v>
      </c>
      <c r="E419" s="76">
        <v>59541</v>
      </c>
      <c r="F419" s="19"/>
      <c r="G419" s="18">
        <v>15239.55</v>
      </c>
      <c r="H419" s="19"/>
      <c r="I419" s="19"/>
      <c r="J419" s="19"/>
      <c r="K419" s="19"/>
      <c r="L419" s="19"/>
      <c r="M419" s="18">
        <v>89.06</v>
      </c>
      <c r="N419" s="18">
        <v>286.45999999999998</v>
      </c>
      <c r="O419" s="19"/>
      <c r="P419" s="19"/>
      <c r="Q419" s="18">
        <v>0</v>
      </c>
      <c r="R419" s="18">
        <v>15615.07</v>
      </c>
      <c r="S419" s="142">
        <f t="shared" si="57"/>
        <v>15239.55</v>
      </c>
      <c r="T419" s="142">
        <f t="shared" si="58"/>
        <v>0</v>
      </c>
      <c r="U419" s="142">
        <f t="shared" si="59"/>
        <v>286.45999999999998</v>
      </c>
      <c r="W419" s="601">
        <f t="shared" si="61"/>
        <v>15615.069999999998</v>
      </c>
      <c r="X419" s="601">
        <f t="shared" si="62"/>
        <v>0</v>
      </c>
      <c r="Y419" s="123"/>
      <c r="Z419" s="692">
        <f t="shared" si="60"/>
        <v>15239.55</v>
      </c>
      <c r="AA419" s="123"/>
      <c r="AB419" s="123"/>
      <c r="AC419" s="123"/>
      <c r="AD419" s="123"/>
      <c r="AE419" s="123"/>
      <c r="AF419" s="123"/>
      <c r="AG419" s="123"/>
      <c r="AH419" s="123"/>
      <c r="AI419" s="123"/>
      <c r="AJ419" s="123"/>
      <c r="AK419" s="123"/>
      <c r="AL419" s="124"/>
      <c r="AM419" s="124"/>
      <c r="AN419" s="124"/>
      <c r="AO419" s="124"/>
    </row>
    <row r="420" spans="1:41" customFormat="1" ht="12.75" hidden="1" thickBot="1">
      <c r="A420" s="25" t="s">
        <v>1213</v>
      </c>
      <c r="B420" s="25" t="s">
        <v>340</v>
      </c>
      <c r="C420" s="25" t="s">
        <v>971</v>
      </c>
      <c r="D420" s="235" t="s">
        <v>606</v>
      </c>
      <c r="E420" s="77">
        <v>990</v>
      </c>
      <c r="F420" s="20"/>
      <c r="G420" s="17">
        <v>447.95</v>
      </c>
      <c r="H420" s="20"/>
      <c r="I420" s="20"/>
      <c r="J420" s="20"/>
      <c r="K420" s="20"/>
      <c r="L420" s="20"/>
      <c r="M420" s="17">
        <v>1.47</v>
      </c>
      <c r="N420" s="17">
        <v>8.36</v>
      </c>
      <c r="O420" s="20"/>
      <c r="P420" s="20"/>
      <c r="Q420" s="17">
        <v>0</v>
      </c>
      <c r="R420" s="17">
        <v>457.78</v>
      </c>
      <c r="S420" s="142">
        <f t="shared" si="57"/>
        <v>447.95</v>
      </c>
      <c r="T420" s="142">
        <f t="shared" si="58"/>
        <v>0</v>
      </c>
      <c r="U420" s="142">
        <f t="shared" si="59"/>
        <v>8.36</v>
      </c>
      <c r="W420" s="601">
        <f t="shared" si="61"/>
        <v>457.78000000000003</v>
      </c>
      <c r="X420" s="601">
        <f t="shared" si="62"/>
        <v>0</v>
      </c>
      <c r="Y420" s="123"/>
      <c r="Z420" s="692">
        <f t="shared" si="60"/>
        <v>447.95</v>
      </c>
      <c r="AA420" s="123"/>
      <c r="AB420" s="123"/>
      <c r="AC420" s="123"/>
      <c r="AD420" s="123"/>
      <c r="AE420" s="123"/>
      <c r="AF420" s="123"/>
      <c r="AG420" s="123"/>
      <c r="AH420" s="123"/>
      <c r="AI420" s="123"/>
      <c r="AJ420" s="123"/>
      <c r="AK420" s="123"/>
      <c r="AL420" s="124"/>
      <c r="AM420" s="124"/>
      <c r="AN420" s="124"/>
      <c r="AO420" s="124"/>
    </row>
    <row r="421" spans="1:41" customFormat="1" ht="12.75" hidden="1" thickBot="1">
      <c r="A421" s="25" t="s">
        <v>1213</v>
      </c>
      <c r="B421" s="25" t="s">
        <v>341</v>
      </c>
      <c r="C421" s="25" t="s">
        <v>972</v>
      </c>
      <c r="D421" s="235" t="s">
        <v>606</v>
      </c>
      <c r="E421" s="76">
        <v>42565</v>
      </c>
      <c r="F421" s="19"/>
      <c r="G421" s="18">
        <v>12703.8</v>
      </c>
      <c r="H421" s="19"/>
      <c r="I421" s="19"/>
      <c r="J421" s="19"/>
      <c r="K421" s="19"/>
      <c r="L421" s="19"/>
      <c r="M421" s="18">
        <v>65.23</v>
      </c>
      <c r="N421" s="18">
        <v>237.89</v>
      </c>
      <c r="O421" s="19"/>
      <c r="P421" s="19"/>
      <c r="Q421" s="18">
        <v>0</v>
      </c>
      <c r="R421" s="18">
        <v>13006.92</v>
      </c>
      <c r="S421" s="142">
        <f t="shared" si="57"/>
        <v>12703.8</v>
      </c>
      <c r="T421" s="142">
        <f t="shared" si="58"/>
        <v>0</v>
      </c>
      <c r="U421" s="142">
        <f t="shared" si="59"/>
        <v>237.89</v>
      </c>
      <c r="W421" s="601">
        <f t="shared" si="61"/>
        <v>13006.919999999998</v>
      </c>
      <c r="X421" s="601">
        <f t="shared" si="62"/>
        <v>0</v>
      </c>
      <c r="Y421" s="123"/>
      <c r="Z421" s="692">
        <f t="shared" si="60"/>
        <v>12703.8</v>
      </c>
      <c r="AA421" s="123"/>
      <c r="AB421" s="123"/>
      <c r="AC421" s="123"/>
      <c r="AD421" s="123"/>
      <c r="AE421" s="123"/>
      <c r="AF421" s="123"/>
      <c r="AG421" s="123"/>
      <c r="AH421" s="123"/>
      <c r="AI421" s="123"/>
      <c r="AJ421" s="123"/>
      <c r="AK421" s="123"/>
      <c r="AL421" s="124"/>
      <c r="AM421" s="124"/>
      <c r="AN421" s="124"/>
      <c r="AO421" s="124"/>
    </row>
    <row r="422" spans="1:41" customFormat="1" ht="12.75" hidden="1" thickBot="1">
      <c r="A422" s="25" t="s">
        <v>1213</v>
      </c>
      <c r="B422" s="25" t="s">
        <v>342</v>
      </c>
      <c r="C422" s="25" t="s">
        <v>973</v>
      </c>
      <c r="D422" s="235" t="s">
        <v>606</v>
      </c>
      <c r="E422" s="77">
        <v>5288</v>
      </c>
      <c r="F422" s="20"/>
      <c r="G422" s="17">
        <v>1191.05</v>
      </c>
      <c r="H422" s="20"/>
      <c r="I422" s="20"/>
      <c r="J422" s="20"/>
      <c r="K422" s="20"/>
      <c r="L422" s="20"/>
      <c r="M422" s="17">
        <v>8.2200000000000006</v>
      </c>
      <c r="N422" s="17">
        <v>22.29</v>
      </c>
      <c r="O422" s="20"/>
      <c r="P422" s="20"/>
      <c r="Q422" s="17">
        <v>0</v>
      </c>
      <c r="R422" s="17">
        <v>1221.56</v>
      </c>
      <c r="S422" s="142">
        <f t="shared" si="57"/>
        <v>1191.05</v>
      </c>
      <c r="T422" s="142">
        <f t="shared" si="58"/>
        <v>0</v>
      </c>
      <c r="U422" s="142">
        <f t="shared" si="59"/>
        <v>22.29</v>
      </c>
      <c r="W422" s="601">
        <f t="shared" si="61"/>
        <v>1221.56</v>
      </c>
      <c r="X422" s="601">
        <f t="shared" si="62"/>
        <v>0</v>
      </c>
      <c r="Y422" s="123"/>
      <c r="Z422" s="692">
        <f t="shared" si="60"/>
        <v>1191.05</v>
      </c>
      <c r="AA422" s="123"/>
      <c r="AB422" s="123"/>
      <c r="AC422" s="123"/>
      <c r="AD422" s="123"/>
      <c r="AE422" s="123"/>
      <c r="AF422" s="123"/>
      <c r="AG422" s="123"/>
      <c r="AH422" s="123"/>
      <c r="AI422" s="123"/>
      <c r="AJ422" s="123"/>
      <c r="AK422" s="123"/>
      <c r="AL422" s="124"/>
      <c r="AM422" s="124"/>
      <c r="AN422" s="124"/>
      <c r="AO422" s="124"/>
    </row>
    <row r="423" spans="1:41" customFormat="1" ht="12.75" hidden="1" thickBot="1">
      <c r="A423" s="25" t="s">
        <v>1213</v>
      </c>
      <c r="B423" s="25" t="s">
        <v>343</v>
      </c>
      <c r="C423" s="25" t="s">
        <v>974</v>
      </c>
      <c r="D423" s="235" t="s">
        <v>498</v>
      </c>
      <c r="E423" s="76">
        <v>1065</v>
      </c>
      <c r="F423" s="19"/>
      <c r="G423" s="18">
        <v>1383.38</v>
      </c>
      <c r="H423" s="19"/>
      <c r="I423" s="19"/>
      <c r="J423" s="19"/>
      <c r="K423" s="19"/>
      <c r="L423" s="19"/>
      <c r="M423" s="18">
        <v>1.58</v>
      </c>
      <c r="N423" s="18">
        <v>25.9</v>
      </c>
      <c r="O423" s="19"/>
      <c r="P423" s="19"/>
      <c r="Q423" s="18">
        <v>0</v>
      </c>
      <c r="R423" s="18">
        <v>1410.86</v>
      </c>
      <c r="S423" s="142">
        <f t="shared" si="57"/>
        <v>1383.38</v>
      </c>
      <c r="T423" s="142">
        <f t="shared" si="58"/>
        <v>0</v>
      </c>
      <c r="U423" s="142">
        <f t="shared" si="59"/>
        <v>25.9</v>
      </c>
      <c r="W423" s="601">
        <f t="shared" si="61"/>
        <v>1410.8600000000001</v>
      </c>
      <c r="X423" s="601">
        <f t="shared" si="62"/>
        <v>0</v>
      </c>
      <c r="Y423" s="123"/>
      <c r="Z423" s="692">
        <f t="shared" si="60"/>
        <v>1383.38</v>
      </c>
      <c r="AA423" s="123"/>
      <c r="AB423" s="123"/>
      <c r="AC423" s="123"/>
      <c r="AD423" s="123"/>
      <c r="AE423" s="123"/>
      <c r="AF423" s="123"/>
      <c r="AG423" s="123"/>
      <c r="AH423" s="123"/>
      <c r="AI423" s="123"/>
      <c r="AJ423" s="123"/>
      <c r="AK423" s="123"/>
      <c r="AL423" s="124"/>
      <c r="AM423" s="124"/>
      <c r="AN423" s="124"/>
      <c r="AO423" s="124"/>
    </row>
    <row r="424" spans="1:41" customFormat="1" ht="12.75" hidden="1" thickBot="1">
      <c r="A424" s="25" t="s">
        <v>1213</v>
      </c>
      <c r="B424" s="25" t="s">
        <v>344</v>
      </c>
      <c r="C424" s="25" t="s">
        <v>975</v>
      </c>
      <c r="D424" s="235" t="s">
        <v>606</v>
      </c>
      <c r="E424" s="77">
        <v>1376</v>
      </c>
      <c r="F424" s="20"/>
      <c r="G424" s="17">
        <v>1916.46</v>
      </c>
      <c r="H424" s="20"/>
      <c r="I424" s="20"/>
      <c r="J424" s="20"/>
      <c r="K424" s="20"/>
      <c r="L424" s="20"/>
      <c r="M424" s="17">
        <v>2.04</v>
      </c>
      <c r="N424" s="17">
        <v>35.869999999999997</v>
      </c>
      <c r="O424" s="20"/>
      <c r="P424" s="20"/>
      <c r="Q424" s="17">
        <v>0</v>
      </c>
      <c r="R424" s="17">
        <v>1954.37</v>
      </c>
      <c r="S424" s="142">
        <f t="shared" si="57"/>
        <v>1916.46</v>
      </c>
      <c r="T424" s="142">
        <f t="shared" si="58"/>
        <v>0</v>
      </c>
      <c r="U424" s="142">
        <f t="shared" si="59"/>
        <v>35.869999999999997</v>
      </c>
      <c r="W424" s="601">
        <f t="shared" si="61"/>
        <v>1954.37</v>
      </c>
      <c r="X424" s="601">
        <f t="shared" si="62"/>
        <v>0</v>
      </c>
      <c r="Y424" s="123"/>
      <c r="Z424" s="692">
        <f t="shared" si="60"/>
        <v>1916.46</v>
      </c>
      <c r="AA424" s="123"/>
      <c r="AB424" s="123"/>
      <c r="AC424" s="123"/>
      <c r="AD424" s="123"/>
      <c r="AE424" s="123"/>
      <c r="AF424" s="123"/>
      <c r="AG424" s="123"/>
      <c r="AH424" s="123"/>
      <c r="AI424" s="123"/>
      <c r="AJ424" s="123"/>
      <c r="AK424" s="123"/>
      <c r="AL424" s="124"/>
      <c r="AM424" s="124"/>
      <c r="AN424" s="124"/>
      <c r="AO424" s="124"/>
    </row>
    <row r="425" spans="1:41" customFormat="1" ht="12.75" hidden="1" thickBot="1">
      <c r="A425" s="25" t="s">
        <v>1213</v>
      </c>
      <c r="B425" s="25" t="s">
        <v>345</v>
      </c>
      <c r="C425" s="25" t="s">
        <v>976</v>
      </c>
      <c r="D425" s="235" t="s">
        <v>498</v>
      </c>
      <c r="E425" s="76">
        <v>7638</v>
      </c>
      <c r="F425" s="19"/>
      <c r="G425" s="18">
        <v>7356.99</v>
      </c>
      <c r="H425" s="19"/>
      <c r="I425" s="19"/>
      <c r="J425" s="19"/>
      <c r="K425" s="19"/>
      <c r="L425" s="19"/>
      <c r="M425" s="18">
        <v>11.39</v>
      </c>
      <c r="N425" s="18">
        <v>137.81</v>
      </c>
      <c r="O425" s="19"/>
      <c r="P425" s="19"/>
      <c r="Q425" s="18">
        <v>0</v>
      </c>
      <c r="R425" s="18">
        <v>7506.19</v>
      </c>
      <c r="S425" s="142">
        <f t="shared" si="57"/>
        <v>7356.99</v>
      </c>
      <c r="T425" s="142">
        <f t="shared" si="58"/>
        <v>0</v>
      </c>
      <c r="U425" s="142">
        <f t="shared" si="59"/>
        <v>137.81</v>
      </c>
      <c r="W425" s="601">
        <f t="shared" si="61"/>
        <v>7506.1900000000005</v>
      </c>
      <c r="X425" s="601">
        <f t="shared" si="62"/>
        <v>0</v>
      </c>
      <c r="Y425" s="123"/>
      <c r="Z425" s="692">
        <f t="shared" si="60"/>
        <v>7356.99</v>
      </c>
      <c r="AA425" s="123"/>
      <c r="AB425" s="123"/>
      <c r="AC425" s="123"/>
      <c r="AD425" s="123"/>
      <c r="AE425" s="123"/>
      <c r="AF425" s="123"/>
      <c r="AG425" s="123"/>
      <c r="AH425" s="123"/>
      <c r="AI425" s="123"/>
      <c r="AJ425" s="123"/>
      <c r="AK425" s="123"/>
      <c r="AL425" s="124"/>
      <c r="AM425" s="124"/>
      <c r="AN425" s="124"/>
      <c r="AO425" s="124"/>
    </row>
    <row r="426" spans="1:41" customFormat="1" ht="12.75" hidden="1" thickBot="1">
      <c r="A426" s="25" t="s">
        <v>1213</v>
      </c>
      <c r="B426" s="25" t="s">
        <v>346</v>
      </c>
      <c r="C426" s="25" t="s">
        <v>977</v>
      </c>
      <c r="D426" s="235" t="s">
        <v>606</v>
      </c>
      <c r="E426" s="77">
        <v>7121</v>
      </c>
      <c r="F426" s="20"/>
      <c r="G426" s="17">
        <v>7977.54</v>
      </c>
      <c r="H426" s="20"/>
      <c r="I426" s="20"/>
      <c r="J426" s="20"/>
      <c r="K426" s="20"/>
      <c r="L426" s="20"/>
      <c r="M426" s="17">
        <v>11.68</v>
      </c>
      <c r="N426" s="17">
        <v>147.68</v>
      </c>
      <c r="O426" s="20"/>
      <c r="P426" s="20"/>
      <c r="Q426" s="17">
        <v>0</v>
      </c>
      <c r="R426" s="17">
        <v>8136.9</v>
      </c>
      <c r="S426" s="142">
        <f t="shared" si="57"/>
        <v>7977.54</v>
      </c>
      <c r="T426" s="142">
        <f t="shared" si="58"/>
        <v>0</v>
      </c>
      <c r="U426" s="142">
        <f t="shared" si="59"/>
        <v>147.68</v>
      </c>
      <c r="W426" s="601">
        <f t="shared" si="61"/>
        <v>8136.9000000000005</v>
      </c>
      <c r="X426" s="601">
        <f t="shared" si="62"/>
        <v>0</v>
      </c>
      <c r="Y426" s="123"/>
      <c r="Z426" s="692">
        <f t="shared" si="60"/>
        <v>7977.54</v>
      </c>
      <c r="AA426" s="123"/>
      <c r="AB426" s="123"/>
      <c r="AC426" s="123"/>
      <c r="AD426" s="123"/>
      <c r="AE426" s="123"/>
      <c r="AF426" s="123"/>
      <c r="AG426" s="123"/>
      <c r="AH426" s="123"/>
      <c r="AI426" s="123"/>
      <c r="AJ426" s="123"/>
      <c r="AK426" s="123"/>
      <c r="AL426" s="124"/>
      <c r="AM426" s="124"/>
      <c r="AN426" s="124"/>
      <c r="AO426" s="124"/>
    </row>
    <row r="427" spans="1:41" customFormat="1" ht="12.75" hidden="1" thickBot="1">
      <c r="A427" s="25" t="s">
        <v>1213</v>
      </c>
      <c r="B427" s="25" t="s">
        <v>347</v>
      </c>
      <c r="C427" s="25" t="s">
        <v>978</v>
      </c>
      <c r="D427" s="235" t="s">
        <v>498</v>
      </c>
      <c r="E427" s="76">
        <v>349</v>
      </c>
      <c r="F427" s="19"/>
      <c r="G427" s="18">
        <v>419.38</v>
      </c>
      <c r="H427" s="19"/>
      <c r="I427" s="19"/>
      <c r="J427" s="19"/>
      <c r="K427" s="19"/>
      <c r="L427" s="19"/>
      <c r="M427" s="18">
        <v>0.52</v>
      </c>
      <c r="N427" s="18">
        <v>7.85</v>
      </c>
      <c r="O427" s="19"/>
      <c r="P427" s="19"/>
      <c r="Q427" s="18">
        <v>0</v>
      </c>
      <c r="R427" s="18">
        <v>427.75</v>
      </c>
      <c r="S427" s="142">
        <f t="shared" si="57"/>
        <v>419.38</v>
      </c>
      <c r="T427" s="142">
        <f t="shared" si="58"/>
        <v>0</v>
      </c>
      <c r="U427" s="142">
        <f t="shared" si="59"/>
        <v>7.85</v>
      </c>
      <c r="W427" s="601">
        <f t="shared" si="61"/>
        <v>427.75</v>
      </c>
      <c r="X427" s="601">
        <f t="shared" si="62"/>
        <v>0</v>
      </c>
      <c r="Y427" s="123"/>
      <c r="Z427" s="692">
        <f t="shared" si="60"/>
        <v>419.38</v>
      </c>
      <c r="AA427" s="123"/>
      <c r="AB427" s="123"/>
      <c r="AC427" s="123"/>
      <c r="AD427" s="123"/>
      <c r="AE427" s="123"/>
      <c r="AF427" s="123"/>
      <c r="AG427" s="123"/>
      <c r="AH427" s="123"/>
      <c r="AI427" s="123"/>
      <c r="AJ427" s="123"/>
      <c r="AK427" s="123"/>
      <c r="AL427" s="124"/>
      <c r="AM427" s="124"/>
      <c r="AN427" s="124"/>
      <c r="AO427" s="124"/>
    </row>
    <row r="428" spans="1:41" customFormat="1" ht="12.75" hidden="1" thickBot="1">
      <c r="A428" s="25" t="s">
        <v>1213</v>
      </c>
      <c r="B428" s="25" t="s">
        <v>348</v>
      </c>
      <c r="C428" s="25" t="s">
        <v>979</v>
      </c>
      <c r="D428" s="235" t="s">
        <v>606</v>
      </c>
      <c r="E428" s="77">
        <v>1195</v>
      </c>
      <c r="F428" s="20"/>
      <c r="G428" s="17">
        <v>1647.83</v>
      </c>
      <c r="H428" s="20"/>
      <c r="I428" s="20"/>
      <c r="J428" s="20"/>
      <c r="K428" s="20"/>
      <c r="L428" s="20"/>
      <c r="M428" s="17">
        <v>1.79</v>
      </c>
      <c r="N428" s="17">
        <v>30.86</v>
      </c>
      <c r="O428" s="20"/>
      <c r="P428" s="20"/>
      <c r="Q428" s="17">
        <v>0</v>
      </c>
      <c r="R428" s="17">
        <v>1680.48</v>
      </c>
      <c r="S428" s="142">
        <f t="shared" si="57"/>
        <v>1647.83</v>
      </c>
      <c r="T428" s="142">
        <f t="shared" si="58"/>
        <v>0</v>
      </c>
      <c r="U428" s="142">
        <f t="shared" si="59"/>
        <v>30.86</v>
      </c>
      <c r="W428" s="601">
        <f t="shared" si="61"/>
        <v>1680.4799999999998</v>
      </c>
      <c r="X428" s="601">
        <f t="shared" si="62"/>
        <v>0</v>
      </c>
      <c r="Y428" s="123"/>
      <c r="Z428" s="692">
        <f t="shared" si="60"/>
        <v>1647.83</v>
      </c>
      <c r="AA428" s="123"/>
      <c r="AB428" s="123"/>
      <c r="AC428" s="123"/>
      <c r="AD428" s="123"/>
      <c r="AE428" s="123"/>
      <c r="AF428" s="123"/>
      <c r="AG428" s="123"/>
      <c r="AH428" s="123"/>
      <c r="AI428" s="123"/>
      <c r="AJ428" s="123"/>
      <c r="AK428" s="123"/>
      <c r="AL428" s="124"/>
      <c r="AM428" s="124"/>
      <c r="AN428" s="124"/>
      <c r="AO428" s="124"/>
    </row>
    <row r="429" spans="1:41" customFormat="1" ht="12.75" hidden="1" thickBot="1">
      <c r="A429" s="25" t="s">
        <v>1213</v>
      </c>
      <c r="B429" s="25" t="s">
        <v>376</v>
      </c>
      <c r="C429" s="25" t="s">
        <v>980</v>
      </c>
      <c r="D429" s="235" t="s">
        <v>498</v>
      </c>
      <c r="E429" s="76">
        <v>369</v>
      </c>
      <c r="F429" s="19"/>
      <c r="G429" s="18">
        <v>346.77</v>
      </c>
      <c r="H429" s="19"/>
      <c r="I429" s="19"/>
      <c r="J429" s="19"/>
      <c r="K429" s="19"/>
      <c r="L429" s="19"/>
      <c r="M429" s="18">
        <v>0.55000000000000004</v>
      </c>
      <c r="N429" s="18">
        <v>6.5</v>
      </c>
      <c r="O429" s="19"/>
      <c r="P429" s="19"/>
      <c r="Q429" s="18">
        <v>0</v>
      </c>
      <c r="R429" s="18">
        <v>353.82</v>
      </c>
      <c r="S429" s="142">
        <f t="shared" si="57"/>
        <v>346.77</v>
      </c>
      <c r="T429" s="142">
        <f t="shared" si="58"/>
        <v>0</v>
      </c>
      <c r="U429" s="142">
        <f t="shared" si="59"/>
        <v>6.5</v>
      </c>
      <c r="W429" s="601">
        <f t="shared" si="61"/>
        <v>353.82</v>
      </c>
      <c r="X429" s="601">
        <f t="shared" si="62"/>
        <v>0</v>
      </c>
      <c r="Y429" s="123"/>
      <c r="Z429" s="692">
        <f t="shared" si="60"/>
        <v>346.77</v>
      </c>
      <c r="AA429" s="123"/>
      <c r="AB429" s="123"/>
      <c r="AC429" s="123"/>
      <c r="AD429" s="123"/>
      <c r="AE429" s="123"/>
      <c r="AF429" s="123"/>
      <c r="AG429" s="123"/>
      <c r="AH429" s="123"/>
      <c r="AI429" s="123"/>
      <c r="AJ429" s="123"/>
      <c r="AK429" s="123"/>
      <c r="AL429" s="124"/>
      <c r="AM429" s="124"/>
      <c r="AN429" s="124"/>
      <c r="AO429" s="124"/>
    </row>
    <row r="430" spans="1:41" customFormat="1" ht="12.75" hidden="1" thickBot="1">
      <c r="A430" s="25" t="s">
        <v>1213</v>
      </c>
      <c r="B430" s="25" t="s">
        <v>349</v>
      </c>
      <c r="C430" s="25" t="s">
        <v>981</v>
      </c>
      <c r="D430" s="235" t="s">
        <v>606</v>
      </c>
      <c r="E430" s="77">
        <v>7371</v>
      </c>
      <c r="F430" s="20"/>
      <c r="G430" s="17">
        <v>7755.74</v>
      </c>
      <c r="H430" s="20"/>
      <c r="I430" s="20"/>
      <c r="J430" s="20"/>
      <c r="K430" s="20"/>
      <c r="L430" s="20"/>
      <c r="M430" s="17">
        <v>11.07</v>
      </c>
      <c r="N430" s="17">
        <v>145.04</v>
      </c>
      <c r="O430" s="20"/>
      <c r="P430" s="20"/>
      <c r="Q430" s="17">
        <v>0</v>
      </c>
      <c r="R430" s="17">
        <v>7911.85</v>
      </c>
      <c r="S430" s="142">
        <f t="shared" si="57"/>
        <v>7755.74</v>
      </c>
      <c r="T430" s="142">
        <f t="shared" si="58"/>
        <v>0</v>
      </c>
      <c r="U430" s="142">
        <f t="shared" si="59"/>
        <v>145.04</v>
      </c>
      <c r="W430" s="601">
        <f t="shared" si="61"/>
        <v>7911.8499999999995</v>
      </c>
      <c r="X430" s="601">
        <f t="shared" si="62"/>
        <v>0</v>
      </c>
      <c r="Y430" s="123"/>
      <c r="Z430" s="692">
        <f t="shared" si="60"/>
        <v>7755.74</v>
      </c>
      <c r="AA430" s="123"/>
      <c r="AB430" s="123"/>
      <c r="AC430" s="123"/>
      <c r="AD430" s="123"/>
      <c r="AE430" s="123"/>
      <c r="AF430" s="123"/>
      <c r="AG430" s="123"/>
      <c r="AH430" s="123"/>
      <c r="AI430" s="123"/>
      <c r="AJ430" s="123"/>
      <c r="AK430" s="123"/>
      <c r="AL430" s="124"/>
      <c r="AM430" s="124"/>
      <c r="AN430" s="124"/>
      <c r="AO430" s="124"/>
    </row>
    <row r="431" spans="1:41" customFormat="1" ht="12.75" hidden="1" thickBot="1">
      <c r="A431" s="25" t="s">
        <v>1213</v>
      </c>
      <c r="B431" s="25" t="s">
        <v>730</v>
      </c>
      <c r="C431" s="25" t="s">
        <v>982</v>
      </c>
      <c r="D431" s="235" t="s">
        <v>606</v>
      </c>
      <c r="E431" s="76">
        <v>188</v>
      </c>
      <c r="F431" s="19"/>
      <c r="G431" s="18">
        <v>36.56</v>
      </c>
      <c r="H431" s="19"/>
      <c r="I431" s="19"/>
      <c r="J431" s="19"/>
      <c r="K431" s="19"/>
      <c r="L431" s="19"/>
      <c r="M431" s="18">
        <v>0.28000000000000003</v>
      </c>
      <c r="N431" s="18">
        <v>0.68</v>
      </c>
      <c r="O431" s="19"/>
      <c r="P431" s="19"/>
      <c r="Q431" s="19"/>
      <c r="R431" s="18">
        <v>37.520000000000003</v>
      </c>
      <c r="S431" s="142">
        <f t="shared" si="57"/>
        <v>36.56</v>
      </c>
      <c r="T431" s="142">
        <f t="shared" si="58"/>
        <v>0</v>
      </c>
      <c r="U431" s="142">
        <f t="shared" si="59"/>
        <v>0.68</v>
      </c>
      <c r="W431" s="601">
        <f t="shared" si="61"/>
        <v>37.520000000000003</v>
      </c>
      <c r="X431" s="601">
        <f t="shared" si="62"/>
        <v>0</v>
      </c>
      <c r="Y431" s="123"/>
      <c r="Z431" s="692">
        <f t="shared" si="60"/>
        <v>36.56</v>
      </c>
      <c r="AA431" s="123"/>
      <c r="AB431" s="123"/>
      <c r="AC431" s="123"/>
      <c r="AD431" s="123"/>
      <c r="AE431" s="123"/>
      <c r="AF431" s="123"/>
      <c r="AG431" s="123"/>
      <c r="AH431" s="123"/>
      <c r="AI431" s="123"/>
      <c r="AJ431" s="123"/>
      <c r="AK431" s="123"/>
      <c r="AL431" s="124"/>
      <c r="AM431" s="124"/>
      <c r="AN431" s="124"/>
      <c r="AO431" s="124"/>
    </row>
    <row r="432" spans="1:41" customFormat="1" ht="12.75" hidden="1" thickBot="1">
      <c r="A432" s="25" t="s">
        <v>1213</v>
      </c>
      <c r="B432" s="25" t="s">
        <v>378</v>
      </c>
      <c r="C432" s="25" t="s">
        <v>983</v>
      </c>
      <c r="D432" s="235" t="s">
        <v>606</v>
      </c>
      <c r="E432" s="77">
        <v>2010</v>
      </c>
      <c r="F432" s="20"/>
      <c r="G432" s="17">
        <v>298.33999999999997</v>
      </c>
      <c r="H432" s="20"/>
      <c r="I432" s="20"/>
      <c r="J432" s="20"/>
      <c r="K432" s="20"/>
      <c r="L432" s="20"/>
      <c r="M432" s="17">
        <v>3.03</v>
      </c>
      <c r="N432" s="17">
        <v>5.61</v>
      </c>
      <c r="O432" s="20"/>
      <c r="P432" s="20"/>
      <c r="Q432" s="20"/>
      <c r="R432" s="17">
        <v>306.98</v>
      </c>
      <c r="S432" s="142">
        <f t="shared" si="57"/>
        <v>298.33999999999997</v>
      </c>
      <c r="T432" s="142">
        <f t="shared" si="58"/>
        <v>0</v>
      </c>
      <c r="U432" s="142">
        <f t="shared" si="59"/>
        <v>5.61</v>
      </c>
      <c r="W432" s="601">
        <f t="shared" si="61"/>
        <v>306.97999999999996</v>
      </c>
      <c r="X432" s="601">
        <f t="shared" si="62"/>
        <v>0</v>
      </c>
      <c r="Y432" s="123"/>
      <c r="Z432" s="692">
        <f t="shared" si="60"/>
        <v>298.33999999999997</v>
      </c>
      <c r="AA432" s="123"/>
      <c r="AB432" s="123"/>
      <c r="AC432" s="123"/>
      <c r="AD432" s="123"/>
      <c r="AE432" s="123"/>
      <c r="AF432" s="123"/>
      <c r="AG432" s="123"/>
      <c r="AH432" s="123"/>
      <c r="AI432" s="123"/>
      <c r="AJ432" s="123"/>
      <c r="AK432" s="123"/>
      <c r="AL432" s="124"/>
      <c r="AM432" s="124"/>
      <c r="AN432" s="124"/>
      <c r="AO432" s="124"/>
    </row>
    <row r="433" spans="1:41" customFormat="1" ht="12.75" hidden="1" thickBot="1">
      <c r="A433" s="25" t="s">
        <v>1213</v>
      </c>
      <c r="B433" s="25" t="s">
        <v>354</v>
      </c>
      <c r="C433" s="25" t="s">
        <v>984</v>
      </c>
      <c r="D433" s="235" t="s">
        <v>606</v>
      </c>
      <c r="E433" s="76">
        <v>384941</v>
      </c>
      <c r="F433" s="19"/>
      <c r="G433" s="18">
        <v>85777.600000000006</v>
      </c>
      <c r="H433" s="19"/>
      <c r="I433" s="19"/>
      <c r="J433" s="19"/>
      <c r="K433" s="19"/>
      <c r="L433" s="19"/>
      <c r="M433" s="18">
        <v>583.6</v>
      </c>
      <c r="N433" s="18">
        <v>1609.74</v>
      </c>
      <c r="O433" s="19"/>
      <c r="P433" s="19"/>
      <c r="Q433" s="18">
        <v>0</v>
      </c>
      <c r="R433" s="18">
        <v>87970.94</v>
      </c>
      <c r="S433" s="142">
        <f t="shared" si="57"/>
        <v>85777.600000000006</v>
      </c>
      <c r="T433" s="142">
        <f t="shared" si="58"/>
        <v>0</v>
      </c>
      <c r="U433" s="142">
        <f t="shared" si="59"/>
        <v>1609.74</v>
      </c>
      <c r="W433" s="601">
        <f t="shared" si="61"/>
        <v>87970.940000000017</v>
      </c>
      <c r="X433" s="601">
        <f t="shared" si="62"/>
        <v>0</v>
      </c>
      <c r="Y433" s="123"/>
      <c r="Z433" s="692">
        <f t="shared" si="60"/>
        <v>85777.600000000006</v>
      </c>
      <c r="AA433" s="123"/>
      <c r="AB433" s="123"/>
      <c r="AC433" s="123"/>
      <c r="AD433" s="123"/>
      <c r="AE433" s="123"/>
      <c r="AF433" s="123"/>
      <c r="AG433" s="123"/>
      <c r="AH433" s="123"/>
      <c r="AI433" s="123"/>
      <c r="AJ433" s="123"/>
      <c r="AK433" s="123"/>
      <c r="AL433" s="124"/>
      <c r="AM433" s="124"/>
      <c r="AN433" s="124"/>
      <c r="AO433" s="124"/>
    </row>
    <row r="434" spans="1:41" customFormat="1" ht="12.75" hidden="1" thickBot="1">
      <c r="A434" s="25" t="s">
        <v>1213</v>
      </c>
      <c r="B434" s="25" t="s">
        <v>355</v>
      </c>
      <c r="C434" s="25" t="s">
        <v>985</v>
      </c>
      <c r="D434" s="235" t="s">
        <v>606</v>
      </c>
      <c r="E434" s="76">
        <v>887221</v>
      </c>
      <c r="F434" s="19"/>
      <c r="G434" s="18">
        <v>141767.67000000001</v>
      </c>
      <c r="H434" s="19"/>
      <c r="I434" s="19"/>
      <c r="J434" s="19"/>
      <c r="K434" s="19"/>
      <c r="L434" s="19"/>
      <c r="M434" s="18">
        <v>1347.28</v>
      </c>
      <c r="N434" s="18">
        <v>2666.88</v>
      </c>
      <c r="O434" s="19"/>
      <c r="P434" s="19"/>
      <c r="Q434" s="18">
        <v>0</v>
      </c>
      <c r="R434" s="18">
        <v>145781.82999999999</v>
      </c>
      <c r="S434" s="142">
        <f t="shared" si="57"/>
        <v>141767.67000000001</v>
      </c>
      <c r="T434" s="142">
        <f t="shared" si="58"/>
        <v>0</v>
      </c>
      <c r="U434" s="142">
        <f t="shared" si="59"/>
        <v>2666.88</v>
      </c>
      <c r="W434" s="601">
        <f t="shared" si="61"/>
        <v>145781.83000000002</v>
      </c>
      <c r="X434" s="601">
        <f t="shared" si="62"/>
        <v>0</v>
      </c>
      <c r="Y434" s="123"/>
      <c r="Z434" s="692">
        <f t="shared" si="60"/>
        <v>141767.67000000001</v>
      </c>
      <c r="AA434" s="123"/>
      <c r="AB434" s="123"/>
      <c r="AC434" s="123"/>
      <c r="AD434" s="123"/>
      <c r="AE434" s="123"/>
      <c r="AF434" s="123"/>
      <c r="AG434" s="123"/>
      <c r="AH434" s="123"/>
      <c r="AI434" s="123"/>
      <c r="AJ434" s="123"/>
      <c r="AK434" s="123"/>
      <c r="AL434" s="124"/>
      <c r="AM434" s="124"/>
      <c r="AN434" s="124"/>
      <c r="AO434" s="124"/>
    </row>
    <row r="435" spans="1:41" customFormat="1" ht="12.75" hidden="1" thickBot="1">
      <c r="A435" s="25" t="s">
        <v>1213</v>
      </c>
      <c r="B435" s="25" t="s">
        <v>356</v>
      </c>
      <c r="C435" s="25" t="s">
        <v>986</v>
      </c>
      <c r="D435" s="235" t="s">
        <v>606</v>
      </c>
      <c r="E435" s="76">
        <v>842859</v>
      </c>
      <c r="F435" s="19"/>
      <c r="G435" s="18">
        <v>99924.44</v>
      </c>
      <c r="H435" s="19"/>
      <c r="I435" s="19"/>
      <c r="J435" s="19"/>
      <c r="K435" s="19"/>
      <c r="L435" s="19"/>
      <c r="M435" s="18">
        <v>1269.72</v>
      </c>
      <c r="N435" s="18">
        <v>1892.33</v>
      </c>
      <c r="O435" s="19"/>
      <c r="P435" s="19"/>
      <c r="Q435" s="18">
        <v>0</v>
      </c>
      <c r="R435" s="18">
        <v>103086.49</v>
      </c>
      <c r="S435" s="142">
        <f t="shared" ref="S435:S453" si="63">G435+H435+I435</f>
        <v>99924.44</v>
      </c>
      <c r="T435" s="142">
        <f t="shared" ref="T435:T453" si="64">J435+K435</f>
        <v>0</v>
      </c>
      <c r="U435" s="142">
        <f t="shared" ref="U435:U453" si="65">N435+O435</f>
        <v>1892.33</v>
      </c>
      <c r="W435" s="601">
        <f t="shared" si="61"/>
        <v>103086.49</v>
      </c>
      <c r="X435" s="601">
        <f t="shared" si="62"/>
        <v>0</v>
      </c>
      <c r="Y435" s="123"/>
      <c r="Z435" s="692">
        <f t="shared" ref="Z435:Z495" si="66">SUM(F435:K435)</f>
        <v>99924.44</v>
      </c>
      <c r="AA435" s="123"/>
      <c r="AB435" s="123"/>
      <c r="AC435" s="123"/>
      <c r="AD435" s="123"/>
      <c r="AE435" s="123"/>
      <c r="AF435" s="123"/>
      <c r="AG435" s="123"/>
      <c r="AH435" s="123"/>
      <c r="AI435" s="123"/>
      <c r="AJ435" s="123"/>
      <c r="AK435" s="123"/>
      <c r="AL435" s="124"/>
      <c r="AM435" s="124"/>
      <c r="AN435" s="124"/>
      <c r="AO435" s="124"/>
    </row>
    <row r="436" spans="1:41" customFormat="1" ht="12.75" hidden="1" thickBot="1">
      <c r="A436" s="25" t="s">
        <v>1213</v>
      </c>
      <c r="B436" s="25" t="s">
        <v>357</v>
      </c>
      <c r="C436" s="25" t="s">
        <v>987</v>
      </c>
      <c r="D436" s="235" t="s">
        <v>606</v>
      </c>
      <c r="E436" s="76">
        <v>23448</v>
      </c>
      <c r="F436" s="19"/>
      <c r="G436" s="18">
        <v>5797.1</v>
      </c>
      <c r="H436" s="19"/>
      <c r="I436" s="19"/>
      <c r="J436" s="19"/>
      <c r="K436" s="19"/>
      <c r="L436" s="19"/>
      <c r="M436" s="18">
        <v>34.99</v>
      </c>
      <c r="N436" s="18">
        <v>109.36</v>
      </c>
      <c r="O436" s="19"/>
      <c r="P436" s="19"/>
      <c r="Q436" s="18">
        <v>0</v>
      </c>
      <c r="R436" s="18">
        <v>5941.45</v>
      </c>
      <c r="S436" s="142">
        <f t="shared" si="63"/>
        <v>5797.1</v>
      </c>
      <c r="T436" s="142">
        <f t="shared" si="64"/>
        <v>0</v>
      </c>
      <c r="U436" s="142">
        <f t="shared" si="65"/>
        <v>109.36</v>
      </c>
      <c r="W436" s="601">
        <f t="shared" si="61"/>
        <v>5941.45</v>
      </c>
      <c r="X436" s="601">
        <f t="shared" si="62"/>
        <v>0</v>
      </c>
      <c r="Y436" s="123"/>
      <c r="Z436" s="692">
        <f t="shared" si="66"/>
        <v>5797.1</v>
      </c>
      <c r="AA436" s="123"/>
      <c r="AB436" s="123"/>
      <c r="AC436" s="123"/>
      <c r="AD436" s="123"/>
      <c r="AE436" s="123"/>
      <c r="AF436" s="123"/>
      <c r="AG436" s="123"/>
      <c r="AH436" s="123"/>
      <c r="AI436" s="123"/>
      <c r="AJ436" s="123"/>
      <c r="AK436" s="123"/>
      <c r="AL436" s="124"/>
      <c r="AM436" s="124"/>
      <c r="AN436" s="124"/>
      <c r="AO436" s="124"/>
    </row>
    <row r="437" spans="1:41" customFormat="1" ht="12.75" hidden="1" thickBot="1">
      <c r="A437" s="25" t="s">
        <v>1213</v>
      </c>
      <c r="B437" s="25" t="s">
        <v>358</v>
      </c>
      <c r="C437" s="25" t="s">
        <v>988</v>
      </c>
      <c r="D437" s="235" t="s">
        <v>606</v>
      </c>
      <c r="E437" s="77">
        <v>1952909</v>
      </c>
      <c r="F437" s="20"/>
      <c r="G437" s="17">
        <v>244805.76000000001</v>
      </c>
      <c r="H437" s="20"/>
      <c r="I437" s="20"/>
      <c r="J437" s="20"/>
      <c r="K437" s="20"/>
      <c r="L437" s="20"/>
      <c r="M437" s="17">
        <v>2949.28</v>
      </c>
      <c r="N437" s="17">
        <v>4618.24</v>
      </c>
      <c r="O437" s="20"/>
      <c r="P437" s="20"/>
      <c r="Q437" s="17">
        <v>0</v>
      </c>
      <c r="R437" s="17">
        <v>252373.28</v>
      </c>
      <c r="S437" s="142">
        <f t="shared" si="63"/>
        <v>244805.76000000001</v>
      </c>
      <c r="T437" s="142">
        <f t="shared" si="64"/>
        <v>0</v>
      </c>
      <c r="U437" s="142">
        <f t="shared" si="65"/>
        <v>4618.24</v>
      </c>
      <c r="W437" s="601">
        <f t="shared" si="61"/>
        <v>252373.28</v>
      </c>
      <c r="X437" s="601">
        <f t="shared" si="62"/>
        <v>0</v>
      </c>
      <c r="Y437" s="123"/>
      <c r="Z437" s="692">
        <f t="shared" si="66"/>
        <v>244805.76000000001</v>
      </c>
      <c r="AA437" s="123"/>
      <c r="AB437" s="123"/>
      <c r="AC437" s="123"/>
      <c r="AD437" s="123"/>
      <c r="AE437" s="123"/>
      <c r="AF437" s="123"/>
      <c r="AG437" s="123"/>
      <c r="AH437" s="123"/>
      <c r="AI437" s="123"/>
      <c r="AJ437" s="123"/>
      <c r="AK437" s="123"/>
      <c r="AL437" s="124"/>
      <c r="AM437" s="124"/>
      <c r="AN437" s="124"/>
      <c r="AO437" s="124"/>
    </row>
    <row r="438" spans="1:41" customFormat="1" ht="12.75" hidden="1" thickBot="1">
      <c r="A438" s="25" t="s">
        <v>1213</v>
      </c>
      <c r="B438" s="25" t="s">
        <v>359</v>
      </c>
      <c r="C438" s="25" t="s">
        <v>989</v>
      </c>
      <c r="D438" s="235" t="s">
        <v>606</v>
      </c>
      <c r="E438" s="77">
        <v>125104</v>
      </c>
      <c r="F438" s="20"/>
      <c r="G438" s="17">
        <v>38039.449999999997</v>
      </c>
      <c r="H438" s="20"/>
      <c r="I438" s="20"/>
      <c r="J438" s="20"/>
      <c r="K438" s="20"/>
      <c r="L438" s="20"/>
      <c r="M438" s="17">
        <v>190.75</v>
      </c>
      <c r="N438" s="17">
        <v>705.98</v>
      </c>
      <c r="O438" s="20"/>
      <c r="P438" s="20"/>
      <c r="Q438" s="17">
        <v>0</v>
      </c>
      <c r="R438" s="17">
        <v>38936.18</v>
      </c>
      <c r="S438" s="142">
        <f t="shared" si="63"/>
        <v>38039.449999999997</v>
      </c>
      <c r="T438" s="142">
        <f t="shared" si="64"/>
        <v>0</v>
      </c>
      <c r="U438" s="142">
        <f t="shared" si="65"/>
        <v>705.98</v>
      </c>
      <c r="W438" s="601">
        <f t="shared" si="61"/>
        <v>38936.18</v>
      </c>
      <c r="X438" s="601">
        <f t="shared" si="62"/>
        <v>0</v>
      </c>
      <c r="Y438" s="123"/>
      <c r="Z438" s="692">
        <f t="shared" si="66"/>
        <v>38039.449999999997</v>
      </c>
      <c r="AA438" s="123"/>
      <c r="AB438" s="123"/>
      <c r="AC438" s="123"/>
      <c r="AD438" s="123"/>
      <c r="AE438" s="123"/>
      <c r="AF438" s="123"/>
      <c r="AG438" s="123"/>
      <c r="AH438" s="123"/>
      <c r="AI438" s="123"/>
      <c r="AJ438" s="123"/>
      <c r="AK438" s="123"/>
      <c r="AL438" s="124"/>
      <c r="AM438" s="124"/>
      <c r="AN438" s="124"/>
      <c r="AO438" s="124"/>
    </row>
    <row r="439" spans="1:41" customFormat="1" ht="12.75" hidden="1" thickBot="1">
      <c r="A439" s="25" t="s">
        <v>1213</v>
      </c>
      <c r="B439" s="25" t="s">
        <v>360</v>
      </c>
      <c r="C439" s="25" t="s">
        <v>990</v>
      </c>
      <c r="D439" s="235" t="s">
        <v>498</v>
      </c>
      <c r="E439" s="76">
        <v>343</v>
      </c>
      <c r="F439" s="19"/>
      <c r="G439" s="18">
        <v>55.65</v>
      </c>
      <c r="H439" s="19"/>
      <c r="I439" s="19"/>
      <c r="J439" s="19"/>
      <c r="K439" s="19"/>
      <c r="L439" s="19"/>
      <c r="M439" s="18">
        <v>0.51</v>
      </c>
      <c r="N439" s="18">
        <v>1.05</v>
      </c>
      <c r="O439" s="19"/>
      <c r="P439" s="19"/>
      <c r="Q439" s="18">
        <v>0</v>
      </c>
      <c r="R439" s="18">
        <v>57.21</v>
      </c>
      <c r="S439" s="142">
        <f t="shared" si="63"/>
        <v>55.65</v>
      </c>
      <c r="T439" s="142">
        <f t="shared" si="64"/>
        <v>0</v>
      </c>
      <c r="U439" s="142">
        <f t="shared" si="65"/>
        <v>1.05</v>
      </c>
      <c r="W439" s="601">
        <f t="shared" si="61"/>
        <v>57.209999999999994</v>
      </c>
      <c r="X439" s="601">
        <f t="shared" si="62"/>
        <v>0</v>
      </c>
      <c r="Y439" s="123"/>
      <c r="Z439" s="692">
        <f t="shared" si="66"/>
        <v>55.65</v>
      </c>
      <c r="AA439" s="123"/>
      <c r="AB439" s="123"/>
      <c r="AC439" s="123"/>
      <c r="AD439" s="123"/>
      <c r="AE439" s="123"/>
      <c r="AF439" s="123"/>
      <c r="AG439" s="123"/>
      <c r="AH439" s="123"/>
      <c r="AI439" s="123"/>
      <c r="AJ439" s="123"/>
      <c r="AK439" s="123"/>
      <c r="AL439" s="124"/>
      <c r="AM439" s="124"/>
      <c r="AN439" s="124"/>
      <c r="AO439" s="124"/>
    </row>
    <row r="440" spans="1:41" customFormat="1" ht="12.75" hidden="1" thickBot="1">
      <c r="A440" s="25" t="s">
        <v>1213</v>
      </c>
      <c r="B440" s="25" t="s">
        <v>365</v>
      </c>
      <c r="C440" s="25" t="s">
        <v>991</v>
      </c>
      <c r="D440" s="235" t="s">
        <v>606</v>
      </c>
      <c r="E440" s="77">
        <v>1039</v>
      </c>
      <c r="F440" s="20"/>
      <c r="G440" s="17">
        <v>285.5</v>
      </c>
      <c r="H440" s="20"/>
      <c r="I440" s="20"/>
      <c r="J440" s="20"/>
      <c r="K440" s="20"/>
      <c r="L440" s="20"/>
      <c r="M440" s="17">
        <v>1.54</v>
      </c>
      <c r="N440" s="17">
        <v>5.36</v>
      </c>
      <c r="O440" s="20"/>
      <c r="P440" s="20"/>
      <c r="Q440" s="17">
        <v>0</v>
      </c>
      <c r="R440" s="17">
        <v>292.39999999999998</v>
      </c>
      <c r="S440" s="142">
        <f t="shared" si="63"/>
        <v>285.5</v>
      </c>
      <c r="T440" s="142">
        <f t="shared" si="64"/>
        <v>0</v>
      </c>
      <c r="U440" s="142">
        <f t="shared" si="65"/>
        <v>5.36</v>
      </c>
      <c r="W440" s="601">
        <f t="shared" si="61"/>
        <v>292.40000000000003</v>
      </c>
      <c r="X440" s="601">
        <f t="shared" si="62"/>
        <v>0</v>
      </c>
      <c r="Y440" s="123"/>
      <c r="Z440" s="692">
        <f t="shared" si="66"/>
        <v>285.5</v>
      </c>
      <c r="AA440" s="123"/>
      <c r="AB440" s="123"/>
      <c r="AC440" s="123"/>
      <c r="AD440" s="123"/>
      <c r="AE440" s="123"/>
      <c r="AF440" s="123"/>
      <c r="AG440" s="123"/>
      <c r="AH440" s="123"/>
      <c r="AI440" s="123"/>
      <c r="AJ440" s="123"/>
      <c r="AK440" s="123"/>
      <c r="AL440" s="124"/>
      <c r="AM440" s="124"/>
      <c r="AN440" s="124"/>
      <c r="AO440" s="124"/>
    </row>
    <row r="441" spans="1:41" customFormat="1" ht="12.75" hidden="1" thickBot="1">
      <c r="A441" s="25" t="s">
        <v>1213</v>
      </c>
      <c r="B441" s="25" t="s">
        <v>366</v>
      </c>
      <c r="C441" s="25" t="s">
        <v>992</v>
      </c>
      <c r="D441" s="235" t="s">
        <v>498</v>
      </c>
      <c r="E441" s="76">
        <v>98</v>
      </c>
      <c r="F441" s="19"/>
      <c r="G441" s="18">
        <v>30.14</v>
      </c>
      <c r="H441" s="19"/>
      <c r="I441" s="19"/>
      <c r="J441" s="19"/>
      <c r="K441" s="19"/>
      <c r="L441" s="19"/>
      <c r="M441" s="18">
        <v>0.14000000000000001</v>
      </c>
      <c r="N441" s="18">
        <v>0.56000000000000005</v>
      </c>
      <c r="O441" s="19"/>
      <c r="P441" s="19"/>
      <c r="Q441" s="18">
        <v>0</v>
      </c>
      <c r="R441" s="18">
        <v>30.84</v>
      </c>
      <c r="S441" s="142">
        <f t="shared" si="63"/>
        <v>30.14</v>
      </c>
      <c r="T441" s="142">
        <f t="shared" si="64"/>
        <v>0</v>
      </c>
      <c r="U441" s="142">
        <f t="shared" si="65"/>
        <v>0.56000000000000005</v>
      </c>
      <c r="W441" s="601">
        <f t="shared" si="61"/>
        <v>30.84</v>
      </c>
      <c r="X441" s="601">
        <f t="shared" si="62"/>
        <v>0</v>
      </c>
      <c r="Y441" s="123"/>
      <c r="Z441" s="692">
        <f t="shared" si="66"/>
        <v>30.14</v>
      </c>
      <c r="AA441" s="123"/>
      <c r="AB441" s="123"/>
      <c r="AC441" s="123"/>
      <c r="AD441" s="123"/>
      <c r="AE441" s="123"/>
      <c r="AF441" s="123"/>
      <c r="AG441" s="123"/>
      <c r="AH441" s="123"/>
      <c r="AI441" s="123"/>
      <c r="AJ441" s="123"/>
      <c r="AK441" s="123"/>
      <c r="AL441" s="124"/>
      <c r="AM441" s="124"/>
      <c r="AN441" s="124"/>
      <c r="AO441" s="124"/>
    </row>
    <row r="442" spans="1:41" customFormat="1" ht="12.75" hidden="1" thickBot="1">
      <c r="A442" s="25" t="s">
        <v>1213</v>
      </c>
      <c r="B442" s="25" t="s">
        <v>367</v>
      </c>
      <c r="C442" s="25" t="s">
        <v>993</v>
      </c>
      <c r="D442" s="235" t="s">
        <v>606</v>
      </c>
      <c r="E442" s="77">
        <v>58271</v>
      </c>
      <c r="F442" s="20"/>
      <c r="G442" s="17">
        <v>9501.69</v>
      </c>
      <c r="H442" s="20"/>
      <c r="I442" s="20"/>
      <c r="J442" s="20"/>
      <c r="K442" s="20"/>
      <c r="L442" s="20"/>
      <c r="M442" s="17">
        <v>74.89</v>
      </c>
      <c r="N442" s="17">
        <v>200.6</v>
      </c>
      <c r="O442" s="20"/>
      <c r="P442" s="20"/>
      <c r="Q442" s="17">
        <v>0</v>
      </c>
      <c r="R442" s="17">
        <v>9777.18</v>
      </c>
      <c r="S442" s="142">
        <f t="shared" si="63"/>
        <v>9501.69</v>
      </c>
      <c r="T442" s="142">
        <f t="shared" si="64"/>
        <v>0</v>
      </c>
      <c r="U442" s="142">
        <f t="shared" si="65"/>
        <v>200.6</v>
      </c>
      <c r="W442" s="601">
        <f t="shared" si="61"/>
        <v>9777.18</v>
      </c>
      <c r="X442" s="601">
        <f t="shared" si="62"/>
        <v>0</v>
      </c>
      <c r="Y442" s="123"/>
      <c r="Z442" s="692">
        <f t="shared" si="66"/>
        <v>9501.69</v>
      </c>
      <c r="AA442" s="123"/>
      <c r="AB442" s="123"/>
      <c r="AC442" s="123"/>
      <c r="AD442" s="123"/>
      <c r="AE442" s="123"/>
      <c r="AF442" s="123"/>
      <c r="AG442" s="123"/>
      <c r="AH442" s="123"/>
      <c r="AI442" s="123"/>
      <c r="AJ442" s="123"/>
      <c r="AK442" s="123"/>
      <c r="AL442" s="124"/>
      <c r="AM442" s="124"/>
      <c r="AN442" s="124"/>
      <c r="AO442" s="124"/>
    </row>
    <row r="443" spans="1:41" customFormat="1" ht="12.75" hidden="1" thickBot="1">
      <c r="A443" s="25" t="s">
        <v>1213</v>
      </c>
      <c r="B443" s="25" t="s">
        <v>368</v>
      </c>
      <c r="C443" s="25" t="s">
        <v>994</v>
      </c>
      <c r="D443" s="235" t="s">
        <v>498</v>
      </c>
      <c r="E443" s="76">
        <v>6055</v>
      </c>
      <c r="F443" s="19"/>
      <c r="G443" s="18">
        <v>1171.7</v>
      </c>
      <c r="H443" s="19"/>
      <c r="I443" s="19"/>
      <c r="J443" s="19"/>
      <c r="K443" s="19"/>
      <c r="L443" s="19"/>
      <c r="M443" s="18">
        <v>9</v>
      </c>
      <c r="N443" s="18">
        <v>22.18</v>
      </c>
      <c r="O443" s="19"/>
      <c r="P443" s="19"/>
      <c r="Q443" s="18">
        <v>0</v>
      </c>
      <c r="R443" s="18">
        <v>1202.8800000000001</v>
      </c>
      <c r="S443" s="142">
        <f t="shared" si="63"/>
        <v>1171.7</v>
      </c>
      <c r="T443" s="142">
        <f t="shared" si="64"/>
        <v>0</v>
      </c>
      <c r="U443" s="142">
        <f t="shared" si="65"/>
        <v>22.18</v>
      </c>
      <c r="W443" s="601">
        <f t="shared" si="61"/>
        <v>1202.8800000000001</v>
      </c>
      <c r="X443" s="601">
        <f t="shared" si="62"/>
        <v>0</v>
      </c>
      <c r="Y443" s="123"/>
      <c r="Z443" s="692">
        <f t="shared" si="66"/>
        <v>1171.7</v>
      </c>
      <c r="AA443" s="123"/>
      <c r="AB443" s="123"/>
      <c r="AC443" s="123"/>
      <c r="AD443" s="123"/>
      <c r="AE443" s="123"/>
      <c r="AF443" s="123"/>
      <c r="AG443" s="123"/>
      <c r="AH443" s="123"/>
      <c r="AI443" s="123"/>
      <c r="AJ443" s="123"/>
      <c r="AK443" s="123"/>
      <c r="AL443" s="124"/>
      <c r="AM443" s="124"/>
      <c r="AN443" s="124"/>
      <c r="AO443" s="124"/>
    </row>
    <row r="444" spans="1:41" customFormat="1" ht="12.75" hidden="1" thickBot="1">
      <c r="A444" s="25" t="s">
        <v>1213</v>
      </c>
      <c r="B444" s="25" t="s">
        <v>369</v>
      </c>
      <c r="C444" s="25" t="s">
        <v>995</v>
      </c>
      <c r="D444" s="235" t="s">
        <v>498</v>
      </c>
      <c r="E444" s="77">
        <v>215</v>
      </c>
      <c r="F444" s="20"/>
      <c r="G444" s="17">
        <v>56.84</v>
      </c>
      <c r="H444" s="20"/>
      <c r="I444" s="20"/>
      <c r="J444" s="20"/>
      <c r="K444" s="20"/>
      <c r="L444" s="20"/>
      <c r="M444" s="17">
        <v>0.32</v>
      </c>
      <c r="N444" s="17">
        <v>1.06</v>
      </c>
      <c r="O444" s="20"/>
      <c r="P444" s="20"/>
      <c r="Q444" s="17">
        <v>0</v>
      </c>
      <c r="R444" s="17">
        <v>58.22</v>
      </c>
      <c r="S444" s="142">
        <f t="shared" si="63"/>
        <v>56.84</v>
      </c>
      <c r="T444" s="142">
        <f t="shared" si="64"/>
        <v>0</v>
      </c>
      <c r="U444" s="142">
        <f t="shared" si="65"/>
        <v>1.06</v>
      </c>
      <c r="W444" s="601">
        <f t="shared" si="61"/>
        <v>58.220000000000006</v>
      </c>
      <c r="X444" s="601">
        <f t="shared" si="62"/>
        <v>0</v>
      </c>
      <c r="Y444" s="123"/>
      <c r="Z444" s="692">
        <f t="shared" si="66"/>
        <v>56.84</v>
      </c>
      <c r="AA444" s="123"/>
      <c r="AB444" s="123"/>
      <c r="AC444" s="123"/>
      <c r="AD444" s="123"/>
      <c r="AE444" s="123"/>
      <c r="AF444" s="123"/>
      <c r="AG444" s="123"/>
      <c r="AH444" s="123"/>
      <c r="AI444" s="123"/>
      <c r="AJ444" s="123"/>
      <c r="AK444" s="123"/>
      <c r="AL444" s="124"/>
      <c r="AM444" s="124"/>
      <c r="AN444" s="124"/>
      <c r="AO444" s="124"/>
    </row>
    <row r="445" spans="1:41" customFormat="1" ht="12.75" hidden="1" thickBot="1">
      <c r="A445" s="25" t="s">
        <v>1213</v>
      </c>
      <c r="B445" s="25" t="s">
        <v>370</v>
      </c>
      <c r="C445" s="25" t="s">
        <v>996</v>
      </c>
      <c r="D445" s="235" t="s">
        <v>606</v>
      </c>
      <c r="E445" s="76">
        <v>134495</v>
      </c>
      <c r="F445" s="19"/>
      <c r="G445" s="18">
        <v>15586.31</v>
      </c>
      <c r="H445" s="19"/>
      <c r="I445" s="19"/>
      <c r="J445" s="19"/>
      <c r="K445" s="19"/>
      <c r="L445" s="19"/>
      <c r="M445" s="18">
        <v>202.4</v>
      </c>
      <c r="N445" s="18">
        <v>295.14999999999998</v>
      </c>
      <c r="O445" s="19"/>
      <c r="P445" s="19"/>
      <c r="Q445" s="18">
        <v>0</v>
      </c>
      <c r="R445" s="18">
        <v>16083.86</v>
      </c>
      <c r="S445" s="142">
        <f t="shared" si="63"/>
        <v>15586.31</v>
      </c>
      <c r="T445" s="142">
        <f t="shared" si="64"/>
        <v>0</v>
      </c>
      <c r="U445" s="142">
        <f t="shared" si="65"/>
        <v>295.14999999999998</v>
      </c>
      <c r="W445" s="601">
        <f t="shared" si="61"/>
        <v>16083.859999999999</v>
      </c>
      <c r="X445" s="601">
        <f t="shared" si="62"/>
        <v>0</v>
      </c>
      <c r="Y445" s="123"/>
      <c r="Z445" s="692">
        <f t="shared" si="66"/>
        <v>15586.31</v>
      </c>
      <c r="AA445" s="123"/>
      <c r="AB445" s="123"/>
      <c r="AC445" s="123"/>
      <c r="AD445" s="123"/>
      <c r="AE445" s="123"/>
      <c r="AF445" s="123"/>
      <c r="AG445" s="123"/>
      <c r="AH445" s="123"/>
      <c r="AI445" s="123"/>
      <c r="AJ445" s="123"/>
      <c r="AK445" s="123"/>
      <c r="AL445" s="124"/>
      <c r="AM445" s="124"/>
      <c r="AN445" s="124"/>
      <c r="AO445" s="124"/>
    </row>
    <row r="446" spans="1:41" customFormat="1" ht="12.75" hidden="1" thickBot="1">
      <c r="A446" s="25" t="s">
        <v>1213</v>
      </c>
      <c r="B446" s="25" t="s">
        <v>371</v>
      </c>
      <c r="C446" s="25" t="s">
        <v>997</v>
      </c>
      <c r="D446" s="235" t="s">
        <v>498</v>
      </c>
      <c r="E446" s="77">
        <v>20562</v>
      </c>
      <c r="F446" s="20"/>
      <c r="G446" s="17">
        <v>2557.9499999999998</v>
      </c>
      <c r="H446" s="20"/>
      <c r="I446" s="20"/>
      <c r="J446" s="20"/>
      <c r="K446" s="20"/>
      <c r="L446" s="20"/>
      <c r="M446" s="17">
        <v>30.66</v>
      </c>
      <c r="N446" s="17">
        <v>48.41</v>
      </c>
      <c r="O446" s="20"/>
      <c r="P446" s="20"/>
      <c r="Q446" s="17">
        <v>0</v>
      </c>
      <c r="R446" s="17">
        <v>2637.02</v>
      </c>
      <c r="S446" s="142">
        <f t="shared" si="63"/>
        <v>2557.9499999999998</v>
      </c>
      <c r="T446" s="142">
        <f t="shared" si="64"/>
        <v>0</v>
      </c>
      <c r="U446" s="142">
        <f t="shared" si="65"/>
        <v>48.41</v>
      </c>
      <c r="W446" s="601">
        <f t="shared" si="61"/>
        <v>2637.0199999999995</v>
      </c>
      <c r="X446" s="601">
        <f t="shared" si="62"/>
        <v>0</v>
      </c>
      <c r="Y446" s="123"/>
      <c r="Z446" s="692">
        <f t="shared" si="66"/>
        <v>2557.9499999999998</v>
      </c>
      <c r="AA446" s="123"/>
      <c r="AB446" s="123"/>
      <c r="AC446" s="123"/>
      <c r="AD446" s="123"/>
      <c r="AE446" s="123"/>
      <c r="AF446" s="123"/>
      <c r="AG446" s="123"/>
      <c r="AH446" s="123"/>
      <c r="AI446" s="123"/>
      <c r="AJ446" s="123"/>
      <c r="AK446" s="123"/>
      <c r="AL446" s="124"/>
      <c r="AM446" s="124"/>
      <c r="AN446" s="124"/>
      <c r="AO446" s="124"/>
    </row>
    <row r="447" spans="1:41" customFormat="1" ht="12.75" hidden="1" thickBot="1">
      <c r="A447" s="25" t="s">
        <v>1213</v>
      </c>
      <c r="B447" s="25" t="s">
        <v>659</v>
      </c>
      <c r="C447" s="25" t="s">
        <v>998</v>
      </c>
      <c r="D447" s="235" t="s">
        <v>606</v>
      </c>
      <c r="E447" s="76">
        <v>831</v>
      </c>
      <c r="F447" s="19"/>
      <c r="G447" s="18">
        <v>428.94</v>
      </c>
      <c r="H447" s="19"/>
      <c r="I447" s="19"/>
      <c r="J447" s="19"/>
      <c r="K447" s="19"/>
      <c r="L447" s="19"/>
      <c r="M447" s="18">
        <v>1.24</v>
      </c>
      <c r="N447" s="18">
        <v>8.0399999999999991</v>
      </c>
      <c r="O447" s="19"/>
      <c r="P447" s="19"/>
      <c r="Q447" s="18">
        <v>0</v>
      </c>
      <c r="R447" s="18">
        <v>438.22</v>
      </c>
      <c r="S447" s="142">
        <f t="shared" si="63"/>
        <v>428.94</v>
      </c>
      <c r="T447" s="142">
        <f t="shared" si="64"/>
        <v>0</v>
      </c>
      <c r="U447" s="142">
        <f t="shared" si="65"/>
        <v>8.0399999999999991</v>
      </c>
      <c r="W447" s="601">
        <f t="shared" si="61"/>
        <v>438.22</v>
      </c>
      <c r="X447" s="601">
        <f t="shared" si="62"/>
        <v>0</v>
      </c>
      <c r="Y447" s="123"/>
      <c r="Z447" s="692">
        <f t="shared" si="66"/>
        <v>428.94</v>
      </c>
      <c r="AA447" s="123"/>
      <c r="AB447" s="123"/>
      <c r="AC447" s="123"/>
      <c r="AD447" s="123"/>
      <c r="AE447" s="123"/>
      <c r="AF447" s="123"/>
      <c r="AG447" s="123"/>
      <c r="AH447" s="123"/>
      <c r="AI447" s="123"/>
      <c r="AJ447" s="123"/>
      <c r="AK447" s="123"/>
      <c r="AL447" s="124"/>
      <c r="AM447" s="124"/>
      <c r="AN447" s="124"/>
      <c r="AO447" s="124"/>
    </row>
    <row r="448" spans="1:41" customFormat="1" ht="12.75" hidden="1" thickBot="1">
      <c r="A448" s="25" t="s">
        <v>1213</v>
      </c>
      <c r="B448" s="25" t="s">
        <v>399</v>
      </c>
      <c r="C448" s="25" t="s">
        <v>999</v>
      </c>
      <c r="D448" s="235" t="s">
        <v>606</v>
      </c>
      <c r="E448" s="77">
        <v>462</v>
      </c>
      <c r="F448" s="20"/>
      <c r="G448" s="17">
        <v>81.84</v>
      </c>
      <c r="H448" s="20"/>
      <c r="I448" s="20"/>
      <c r="J448" s="20"/>
      <c r="K448" s="20"/>
      <c r="L448" s="20"/>
      <c r="M448" s="17">
        <v>0.69</v>
      </c>
      <c r="N448" s="17">
        <v>1.54</v>
      </c>
      <c r="O448" s="20"/>
      <c r="P448" s="20"/>
      <c r="Q448" s="17">
        <v>0</v>
      </c>
      <c r="R448" s="17">
        <v>84.07</v>
      </c>
      <c r="S448" s="142">
        <f t="shared" si="63"/>
        <v>81.84</v>
      </c>
      <c r="T448" s="142">
        <f t="shared" si="64"/>
        <v>0</v>
      </c>
      <c r="U448" s="142">
        <f t="shared" si="65"/>
        <v>1.54</v>
      </c>
      <c r="W448" s="601">
        <f t="shared" si="61"/>
        <v>84.070000000000007</v>
      </c>
      <c r="X448" s="601">
        <f t="shared" si="62"/>
        <v>0</v>
      </c>
      <c r="Y448" s="123"/>
      <c r="Z448" s="692">
        <f t="shared" si="66"/>
        <v>81.84</v>
      </c>
      <c r="AA448" s="123"/>
      <c r="AB448" s="123"/>
      <c r="AC448" s="123"/>
      <c r="AD448" s="123"/>
      <c r="AE448" s="123"/>
      <c r="AF448" s="123"/>
      <c r="AG448" s="123"/>
      <c r="AH448" s="123"/>
      <c r="AI448" s="123"/>
      <c r="AJ448" s="123"/>
      <c r="AK448" s="123"/>
      <c r="AL448" s="124"/>
      <c r="AM448" s="124"/>
      <c r="AN448" s="124"/>
      <c r="AO448" s="124"/>
    </row>
    <row r="449" spans="1:43" customFormat="1" ht="12.75" hidden="1" thickBot="1">
      <c r="A449" s="25" t="s">
        <v>1213</v>
      </c>
      <c r="B449" s="25" t="s">
        <v>372</v>
      </c>
      <c r="C449" s="25" t="s">
        <v>1000</v>
      </c>
      <c r="D449" s="235" t="s">
        <v>606</v>
      </c>
      <c r="E449" s="76">
        <v>4655</v>
      </c>
      <c r="F449" s="19"/>
      <c r="G449" s="18">
        <v>1238.6099999999999</v>
      </c>
      <c r="H449" s="19"/>
      <c r="I449" s="19"/>
      <c r="J449" s="19"/>
      <c r="K449" s="19"/>
      <c r="L449" s="19"/>
      <c r="M449" s="18">
        <v>6.93</v>
      </c>
      <c r="N449" s="18">
        <v>23.29</v>
      </c>
      <c r="O449" s="19"/>
      <c r="P449" s="19"/>
      <c r="Q449" s="18">
        <v>0</v>
      </c>
      <c r="R449" s="18">
        <v>1268.83</v>
      </c>
      <c r="S449" s="142">
        <f t="shared" si="63"/>
        <v>1238.6099999999999</v>
      </c>
      <c r="T449" s="142">
        <f t="shared" si="64"/>
        <v>0</v>
      </c>
      <c r="U449" s="142">
        <f t="shared" si="65"/>
        <v>23.29</v>
      </c>
      <c r="W449" s="601">
        <f t="shared" si="61"/>
        <v>1268.83</v>
      </c>
      <c r="X449" s="601">
        <f t="shared" si="62"/>
        <v>0</v>
      </c>
      <c r="Y449" s="123"/>
      <c r="Z449" s="692">
        <f t="shared" si="66"/>
        <v>1238.6099999999999</v>
      </c>
      <c r="AA449" s="123"/>
      <c r="AB449" s="123"/>
      <c r="AC449" s="123"/>
      <c r="AD449" s="123"/>
      <c r="AE449" s="123"/>
      <c r="AF449" s="123"/>
      <c r="AG449" s="123"/>
      <c r="AH449" s="123"/>
      <c r="AI449" s="123"/>
      <c r="AJ449" s="123"/>
      <c r="AK449" s="123"/>
      <c r="AL449" s="124"/>
      <c r="AM449" s="124"/>
      <c r="AN449" s="124"/>
      <c r="AO449" s="124"/>
    </row>
    <row r="450" spans="1:43" customFormat="1" ht="12.75" hidden="1" thickBot="1">
      <c r="A450" s="25" t="s">
        <v>1213</v>
      </c>
      <c r="B450" s="25" t="s">
        <v>373</v>
      </c>
      <c r="C450" s="25" t="s">
        <v>1001</v>
      </c>
      <c r="D450" s="235" t="s">
        <v>606</v>
      </c>
      <c r="E450" s="77">
        <v>674</v>
      </c>
      <c r="F450" s="20"/>
      <c r="G450" s="17">
        <v>85.12</v>
      </c>
      <c r="H450" s="20"/>
      <c r="I450" s="20"/>
      <c r="J450" s="20"/>
      <c r="K450" s="20"/>
      <c r="L450" s="20"/>
      <c r="M450" s="17">
        <v>1</v>
      </c>
      <c r="N450" s="17">
        <v>1.61</v>
      </c>
      <c r="O450" s="20"/>
      <c r="P450" s="20"/>
      <c r="Q450" s="17">
        <v>0</v>
      </c>
      <c r="R450" s="17">
        <v>87.73</v>
      </c>
      <c r="S450" s="142">
        <f t="shared" si="63"/>
        <v>85.12</v>
      </c>
      <c r="T450" s="142">
        <f t="shared" si="64"/>
        <v>0</v>
      </c>
      <c r="U450" s="142">
        <f t="shared" si="65"/>
        <v>1.61</v>
      </c>
      <c r="W450" s="601">
        <f t="shared" si="61"/>
        <v>87.73</v>
      </c>
      <c r="X450" s="601">
        <f t="shared" si="62"/>
        <v>0</v>
      </c>
      <c r="Y450" s="123"/>
      <c r="Z450" s="692">
        <f t="shared" si="66"/>
        <v>85.12</v>
      </c>
      <c r="AA450" s="123"/>
      <c r="AB450" s="123"/>
      <c r="AC450" s="123"/>
      <c r="AD450" s="123"/>
      <c r="AE450" s="123"/>
      <c r="AF450" s="123"/>
      <c r="AG450" s="123"/>
      <c r="AH450" s="123"/>
      <c r="AI450" s="123"/>
      <c r="AJ450" s="123"/>
      <c r="AK450" s="123"/>
      <c r="AL450" s="124"/>
      <c r="AM450" s="124"/>
      <c r="AN450" s="124"/>
      <c r="AO450" s="124"/>
    </row>
    <row r="451" spans="1:43" customFormat="1" ht="12.75" hidden="1" thickBot="1">
      <c r="A451" s="25" t="s">
        <v>1213</v>
      </c>
      <c r="B451" s="25" t="s">
        <v>374</v>
      </c>
      <c r="C451" s="25" t="s">
        <v>1002</v>
      </c>
      <c r="D451" s="235" t="s">
        <v>606</v>
      </c>
      <c r="E451" s="76">
        <v>4422</v>
      </c>
      <c r="F451" s="19"/>
      <c r="G451" s="18">
        <v>680.03</v>
      </c>
      <c r="H451" s="19"/>
      <c r="I451" s="19"/>
      <c r="J451" s="19"/>
      <c r="K451" s="19"/>
      <c r="L451" s="19"/>
      <c r="M451" s="18">
        <v>6.59</v>
      </c>
      <c r="N451" s="18">
        <v>12.84</v>
      </c>
      <c r="O451" s="19"/>
      <c r="P451" s="19"/>
      <c r="Q451" s="18">
        <v>0</v>
      </c>
      <c r="R451" s="18">
        <v>699.46</v>
      </c>
      <c r="S451" s="142">
        <f t="shared" si="63"/>
        <v>680.03</v>
      </c>
      <c r="T451" s="142">
        <f t="shared" si="64"/>
        <v>0</v>
      </c>
      <c r="U451" s="142">
        <f t="shared" si="65"/>
        <v>12.84</v>
      </c>
      <c r="W451" s="601">
        <f t="shared" si="61"/>
        <v>699.46</v>
      </c>
      <c r="X451" s="601">
        <f t="shared" si="62"/>
        <v>0</v>
      </c>
      <c r="Y451" s="123"/>
      <c r="Z451" s="692">
        <f t="shared" si="66"/>
        <v>680.03</v>
      </c>
      <c r="AA451" s="123"/>
      <c r="AB451" s="123"/>
      <c r="AC451" s="123"/>
      <c r="AD451" s="123"/>
      <c r="AE451" s="123"/>
      <c r="AF451" s="123"/>
      <c r="AG451" s="123"/>
      <c r="AH451" s="123"/>
      <c r="AI451" s="123"/>
      <c r="AJ451" s="123"/>
      <c r="AK451" s="123"/>
      <c r="AL451" s="124"/>
      <c r="AM451" s="124"/>
      <c r="AN451" s="124"/>
      <c r="AO451" s="124"/>
    </row>
    <row r="452" spans="1:43" customFormat="1" ht="12.75" hidden="1" thickBot="1">
      <c r="A452" s="25" t="s">
        <v>1213</v>
      </c>
      <c r="B452" s="32" t="s">
        <v>7</v>
      </c>
      <c r="C452" s="33"/>
      <c r="D452" s="185"/>
      <c r="E452" s="79">
        <v>813239332</v>
      </c>
      <c r="F452" s="21">
        <v>5220412.26</v>
      </c>
      <c r="G452" s="21">
        <v>25526730.129999999</v>
      </c>
      <c r="H452" s="21">
        <v>21936560.18</v>
      </c>
      <c r="I452" s="21">
        <v>493453.37</v>
      </c>
      <c r="J452" s="21">
        <v>490481.99</v>
      </c>
      <c r="K452" s="21">
        <v>13963906.85</v>
      </c>
      <c r="L452" s="21">
        <v>1878469.98</v>
      </c>
      <c r="M452" s="21">
        <v>1297936.1200000001</v>
      </c>
      <c r="N452" s="21">
        <v>511373.43</v>
      </c>
      <c r="O452" s="21">
        <v>813569.67</v>
      </c>
      <c r="P452" s="21">
        <v>-297733.14</v>
      </c>
      <c r="Q452" s="21">
        <v>0</v>
      </c>
      <c r="R452" s="21">
        <v>71844182.290000007</v>
      </c>
      <c r="S452" s="142">
        <f t="shared" si="63"/>
        <v>47956743.68</v>
      </c>
      <c r="T452" s="142">
        <f t="shared" si="64"/>
        <v>14454388.84</v>
      </c>
      <c r="U452" s="142">
        <f t="shared" si="65"/>
        <v>1324943.1000000001</v>
      </c>
      <c r="W452" s="601">
        <f t="shared" si="61"/>
        <v>71835160.840000018</v>
      </c>
      <c r="X452" s="601">
        <f t="shared" si="62"/>
        <v>-9021.4499999880791</v>
      </c>
      <c r="Y452" s="123"/>
      <c r="Z452" s="692">
        <f t="shared" si="66"/>
        <v>67631544.780000001</v>
      </c>
      <c r="AA452" s="123"/>
      <c r="AB452" s="123"/>
      <c r="AC452" s="123"/>
      <c r="AD452" s="123"/>
      <c r="AE452" s="123"/>
      <c r="AF452" s="123"/>
      <c r="AG452" s="123"/>
      <c r="AH452" s="123"/>
      <c r="AI452" s="123"/>
      <c r="AJ452" s="123"/>
      <c r="AK452" s="123"/>
      <c r="AL452" s="124"/>
      <c r="AM452" s="124"/>
      <c r="AN452" s="124"/>
      <c r="AO452" s="124"/>
    </row>
    <row r="453" spans="1:43" customFormat="1" ht="12.75" hidden="1" thickBot="1">
      <c r="A453" s="25" t="s">
        <v>1214</v>
      </c>
      <c r="B453" s="25" t="s">
        <v>928</v>
      </c>
      <c r="C453" s="25" t="s">
        <v>929</v>
      </c>
      <c r="D453" s="69" t="s">
        <v>881</v>
      </c>
      <c r="E453" s="20"/>
      <c r="F453" s="20"/>
      <c r="G453" s="20"/>
      <c r="H453" s="20"/>
      <c r="I453" s="20"/>
      <c r="J453" s="20"/>
      <c r="K453" s="20"/>
      <c r="L453" s="20"/>
      <c r="M453" s="20"/>
      <c r="N453" s="20"/>
      <c r="O453" s="20"/>
      <c r="P453" s="20"/>
      <c r="Q453" s="20"/>
      <c r="R453" s="17">
        <v>6614.04</v>
      </c>
      <c r="S453" s="142">
        <f t="shared" si="63"/>
        <v>0</v>
      </c>
      <c r="T453" s="142">
        <f t="shared" si="64"/>
        <v>0</v>
      </c>
      <c r="U453" s="142">
        <f t="shared" si="65"/>
        <v>0</v>
      </c>
      <c r="W453" s="601">
        <f t="shared" si="61"/>
        <v>0</v>
      </c>
      <c r="X453" s="601">
        <f t="shared" si="62"/>
        <v>-6614.04</v>
      </c>
      <c r="Y453" s="123"/>
      <c r="Z453" s="692">
        <f t="shared" si="66"/>
        <v>0</v>
      </c>
      <c r="AA453" s="123"/>
      <c r="AB453" s="123"/>
      <c r="AC453" s="123"/>
      <c r="AD453" s="123"/>
      <c r="AE453" s="123"/>
      <c r="AF453" s="123"/>
      <c r="AG453" s="123"/>
      <c r="AH453" s="123"/>
      <c r="AI453" s="123"/>
      <c r="AJ453" s="123"/>
      <c r="AK453" s="123"/>
      <c r="AL453" s="124"/>
      <c r="AM453" s="124"/>
      <c r="AN453" s="124"/>
      <c r="AO453" s="124"/>
    </row>
    <row r="454" spans="1:43" customFormat="1" ht="12.75" hidden="1" thickBot="1">
      <c r="A454" s="25" t="s">
        <v>1214</v>
      </c>
      <c r="B454" s="25" t="s">
        <v>848</v>
      </c>
      <c r="C454" s="25" t="s">
        <v>849</v>
      </c>
      <c r="D454" s="69" t="s">
        <v>881</v>
      </c>
      <c r="E454" s="19"/>
      <c r="F454" s="19"/>
      <c r="G454" s="19"/>
      <c r="H454" s="19"/>
      <c r="I454" s="19"/>
      <c r="J454" s="19"/>
      <c r="K454" s="19"/>
      <c r="L454" s="19"/>
      <c r="M454" s="19"/>
      <c r="N454" s="19"/>
      <c r="O454" s="19"/>
      <c r="P454" s="19"/>
      <c r="Q454" s="19"/>
      <c r="R454" s="18">
        <v>765.74</v>
      </c>
      <c r="S454" s="142">
        <f t="shared" ref="S454:S515" si="67">G454+H454+I454</f>
        <v>0</v>
      </c>
      <c r="T454" s="142">
        <f t="shared" ref="T454:T515" si="68">J454+K454</f>
        <v>0</v>
      </c>
      <c r="U454" s="142">
        <f t="shared" ref="U454:U515" si="69">N454+O454</f>
        <v>0</v>
      </c>
      <c r="W454" s="601">
        <f t="shared" si="61"/>
        <v>0</v>
      </c>
      <c r="X454" s="601">
        <f t="shared" si="62"/>
        <v>-765.74</v>
      </c>
      <c r="Y454" s="123"/>
      <c r="Z454" s="692">
        <f t="shared" si="66"/>
        <v>0</v>
      </c>
      <c r="AA454" s="124"/>
      <c r="AB454" s="124"/>
      <c r="AC454" s="124"/>
      <c r="AD454" s="124"/>
      <c r="AE454" s="124"/>
      <c r="AF454" s="124"/>
      <c r="AG454" s="124"/>
      <c r="AH454" s="124"/>
      <c r="AI454" s="124"/>
      <c r="AJ454" s="124"/>
      <c r="AK454" s="124"/>
      <c r="AL454" s="124"/>
      <c r="AM454" s="124"/>
      <c r="AN454" s="124"/>
      <c r="AO454" s="124"/>
      <c r="AP454" s="124"/>
      <c r="AQ454" s="124"/>
    </row>
    <row r="455" spans="1:43" customFormat="1" ht="12.75" hidden="1" thickBot="1">
      <c r="A455" s="25" t="s">
        <v>1214</v>
      </c>
      <c r="B455" s="25" t="s">
        <v>930</v>
      </c>
      <c r="C455" s="25" t="s">
        <v>931</v>
      </c>
      <c r="D455" s="69" t="s">
        <v>881</v>
      </c>
      <c r="E455" s="20"/>
      <c r="F455" s="20"/>
      <c r="G455" s="20"/>
      <c r="H455" s="20"/>
      <c r="I455" s="20"/>
      <c r="J455" s="20"/>
      <c r="K455" s="20"/>
      <c r="L455" s="20"/>
      <c r="M455" s="20"/>
      <c r="N455" s="20"/>
      <c r="O455" s="20"/>
      <c r="P455" s="20"/>
      <c r="Q455" s="20"/>
      <c r="R455" s="17">
        <v>1292.17</v>
      </c>
      <c r="S455" s="142">
        <f t="shared" si="67"/>
        <v>0</v>
      </c>
      <c r="T455" s="142">
        <f t="shared" si="68"/>
        <v>0</v>
      </c>
      <c r="U455" s="142">
        <f t="shared" si="69"/>
        <v>0</v>
      </c>
      <c r="W455" s="601">
        <f t="shared" si="61"/>
        <v>0</v>
      </c>
      <c r="X455" s="601">
        <f t="shared" si="62"/>
        <v>-1292.17</v>
      </c>
      <c r="Y455" s="123"/>
      <c r="Z455" s="692">
        <f t="shared" si="66"/>
        <v>0</v>
      </c>
      <c r="AA455" s="124"/>
      <c r="AB455" s="124"/>
      <c r="AC455" s="124"/>
      <c r="AD455" s="124"/>
      <c r="AE455" s="124"/>
      <c r="AF455" s="124"/>
      <c r="AG455" s="124"/>
      <c r="AH455" s="124"/>
      <c r="AI455" s="124"/>
      <c r="AJ455" s="124"/>
      <c r="AK455" s="124"/>
      <c r="AL455" s="124"/>
      <c r="AM455" s="124"/>
      <c r="AN455" s="124"/>
      <c r="AO455" s="124"/>
      <c r="AP455" s="124"/>
      <c r="AQ455" s="124"/>
    </row>
    <row r="456" spans="1:43" customFormat="1" ht="12.75" hidden="1" thickBot="1">
      <c r="A456" s="25" t="s">
        <v>1214</v>
      </c>
      <c r="B456" s="25" t="s">
        <v>1011</v>
      </c>
      <c r="C456" s="25" t="s">
        <v>1119</v>
      </c>
      <c r="D456" s="69" t="s">
        <v>881</v>
      </c>
      <c r="E456" s="19"/>
      <c r="F456" s="19"/>
      <c r="G456" s="19"/>
      <c r="H456" s="19"/>
      <c r="I456" s="19"/>
      <c r="J456" s="19"/>
      <c r="K456" s="19"/>
      <c r="L456" s="19"/>
      <c r="M456" s="19"/>
      <c r="N456" s="19"/>
      <c r="O456" s="19"/>
      <c r="P456" s="19"/>
      <c r="Q456" s="19"/>
      <c r="R456" s="18">
        <v>5</v>
      </c>
      <c r="S456" s="142">
        <f t="shared" si="67"/>
        <v>0</v>
      </c>
      <c r="T456" s="142">
        <f t="shared" si="68"/>
        <v>0</v>
      </c>
      <c r="U456" s="142">
        <f t="shared" si="69"/>
        <v>0</v>
      </c>
      <c r="W456" s="601">
        <f t="shared" si="61"/>
        <v>0</v>
      </c>
      <c r="X456" s="601">
        <f t="shared" si="62"/>
        <v>-5</v>
      </c>
      <c r="Y456" s="123"/>
      <c r="Z456" s="692">
        <f t="shared" si="66"/>
        <v>0</v>
      </c>
      <c r="AA456" s="124"/>
      <c r="AB456" s="124"/>
      <c r="AC456" s="124"/>
      <c r="AD456" s="124"/>
      <c r="AE456" s="124"/>
      <c r="AF456" s="124"/>
      <c r="AG456" s="124"/>
      <c r="AH456" s="124"/>
      <c r="AI456" s="124"/>
      <c r="AJ456" s="124"/>
      <c r="AK456" s="124"/>
      <c r="AL456" s="124"/>
      <c r="AM456" s="124"/>
      <c r="AN456" s="124"/>
      <c r="AO456" s="124"/>
      <c r="AP456" s="124"/>
      <c r="AQ456" s="124"/>
    </row>
    <row r="457" spans="1:43" customFormat="1" ht="12.75" hidden="1" thickBot="1">
      <c r="A457" s="25" t="s">
        <v>1214</v>
      </c>
      <c r="B457" s="25" t="s">
        <v>852</v>
      </c>
      <c r="C457" s="25" t="s">
        <v>1215</v>
      </c>
      <c r="D457" s="69" t="s">
        <v>1125</v>
      </c>
      <c r="E457" s="20"/>
      <c r="F457" s="20"/>
      <c r="G457" s="20"/>
      <c r="H457" s="20"/>
      <c r="I457" s="20"/>
      <c r="J457" s="20"/>
      <c r="K457" s="20"/>
      <c r="L457" s="20"/>
      <c r="M457" s="20"/>
      <c r="N457" s="20"/>
      <c r="O457" s="20"/>
      <c r="P457" s="20"/>
      <c r="Q457" s="20"/>
      <c r="R457" s="20"/>
      <c r="S457" s="142">
        <f t="shared" si="67"/>
        <v>0</v>
      </c>
      <c r="T457" s="142">
        <f t="shared" si="68"/>
        <v>0</v>
      </c>
      <c r="U457" s="142">
        <f t="shared" si="69"/>
        <v>0</v>
      </c>
      <c r="W457" s="601">
        <f t="shared" si="61"/>
        <v>0</v>
      </c>
      <c r="X457" s="601">
        <f t="shared" si="62"/>
        <v>0</v>
      </c>
      <c r="Y457" s="123"/>
      <c r="Z457" s="692">
        <f t="shared" si="66"/>
        <v>0</v>
      </c>
      <c r="AA457" s="124"/>
      <c r="AB457" s="124"/>
      <c r="AC457" s="124"/>
      <c r="AD457" s="124"/>
      <c r="AE457" s="124"/>
      <c r="AF457" s="124"/>
      <c r="AG457" s="124"/>
      <c r="AH457" s="124"/>
      <c r="AI457" s="124"/>
      <c r="AJ457" s="124"/>
      <c r="AK457" s="124"/>
      <c r="AL457" s="124"/>
      <c r="AM457" s="124"/>
      <c r="AN457" s="124"/>
      <c r="AO457" s="124"/>
      <c r="AP457" s="124"/>
      <c r="AQ457" s="124"/>
    </row>
    <row r="458" spans="1:43" customFormat="1" ht="12.75" hidden="1" thickBot="1">
      <c r="A458" s="25" t="s">
        <v>1214</v>
      </c>
      <c r="B458" s="25" t="s">
        <v>407</v>
      </c>
      <c r="C458" s="25" t="s">
        <v>1120</v>
      </c>
      <c r="D458" s="98" t="s">
        <v>892</v>
      </c>
      <c r="E458" s="76">
        <v>10322</v>
      </c>
      <c r="F458" s="19"/>
      <c r="G458" s="18">
        <v>644.29</v>
      </c>
      <c r="H458" s="18">
        <v>281.27</v>
      </c>
      <c r="I458" s="18">
        <v>17.25</v>
      </c>
      <c r="J458" s="19"/>
      <c r="K458" s="19"/>
      <c r="L458" s="18">
        <v>31.27</v>
      </c>
      <c r="M458" s="18">
        <v>16.5</v>
      </c>
      <c r="N458" s="18">
        <v>0</v>
      </c>
      <c r="O458" s="18">
        <v>25.8</v>
      </c>
      <c r="P458" s="19"/>
      <c r="Q458" s="19"/>
      <c r="R458" s="18">
        <v>1016.38</v>
      </c>
      <c r="S458" s="142">
        <f t="shared" si="67"/>
        <v>942.81</v>
      </c>
      <c r="T458" s="142">
        <f t="shared" si="68"/>
        <v>0</v>
      </c>
      <c r="U458" s="142">
        <f t="shared" si="69"/>
        <v>25.8</v>
      </c>
      <c r="W458" s="601">
        <f t="shared" si="61"/>
        <v>1016.3799999999999</v>
      </c>
      <c r="X458" s="601">
        <f t="shared" si="62"/>
        <v>0</v>
      </c>
      <c r="Y458" s="123"/>
      <c r="Z458" s="692">
        <f t="shared" si="66"/>
        <v>942.81</v>
      </c>
      <c r="AA458" s="124"/>
      <c r="AB458" s="124"/>
      <c r="AC458" s="124"/>
      <c r="AD458" s="124"/>
      <c r="AE458" s="124"/>
      <c r="AF458" s="124"/>
      <c r="AG458" s="124"/>
      <c r="AH458" s="124"/>
      <c r="AI458" s="124"/>
      <c r="AJ458" s="124"/>
      <c r="AK458" s="124"/>
      <c r="AL458" s="124"/>
      <c r="AM458" s="124"/>
      <c r="AN458" s="124"/>
      <c r="AO458" s="124"/>
      <c r="AP458" s="124"/>
      <c r="AQ458" s="124"/>
    </row>
    <row r="459" spans="1:43" customFormat="1" ht="12.75" hidden="1" thickBot="1">
      <c r="A459" s="25" t="s">
        <v>1214</v>
      </c>
      <c r="B459" s="25" t="s">
        <v>409</v>
      </c>
      <c r="C459" s="25" t="s">
        <v>140</v>
      </c>
      <c r="D459" s="98" t="s">
        <v>892</v>
      </c>
      <c r="E459" s="77">
        <v>33603505</v>
      </c>
      <c r="F459" s="17">
        <v>583535.52</v>
      </c>
      <c r="G459" s="17">
        <v>2097386.73</v>
      </c>
      <c r="H459" s="17">
        <v>915375.81</v>
      </c>
      <c r="I459" s="17">
        <v>56005.99</v>
      </c>
      <c r="J459" s="20"/>
      <c r="K459" s="20"/>
      <c r="L459" s="17">
        <v>101640.21</v>
      </c>
      <c r="M459" s="17">
        <v>53924.78</v>
      </c>
      <c r="N459" s="17">
        <v>0</v>
      </c>
      <c r="O459" s="17">
        <v>105389.51</v>
      </c>
      <c r="P459" s="20"/>
      <c r="Q459" s="17">
        <v>0</v>
      </c>
      <c r="R459" s="17">
        <v>3913258.55</v>
      </c>
      <c r="S459" s="142">
        <f t="shared" si="67"/>
        <v>3068768.5300000003</v>
      </c>
      <c r="T459" s="142">
        <f t="shared" si="68"/>
        <v>0</v>
      </c>
      <c r="U459" s="142">
        <f t="shared" si="69"/>
        <v>105389.51</v>
      </c>
      <c r="W459" s="601">
        <f t="shared" si="61"/>
        <v>3913258.55</v>
      </c>
      <c r="X459" s="601">
        <f t="shared" si="62"/>
        <v>0</v>
      </c>
      <c r="Y459" s="123"/>
      <c r="Z459" s="692">
        <f t="shared" si="66"/>
        <v>3652304.0500000003</v>
      </c>
      <c r="AA459" s="124"/>
      <c r="AB459" s="124"/>
      <c r="AC459" s="124"/>
      <c r="AD459" s="124"/>
      <c r="AE459" s="124"/>
      <c r="AF459" s="124"/>
      <c r="AG459" s="124"/>
      <c r="AH459" s="124"/>
      <c r="AI459" s="124"/>
      <c r="AJ459" s="124"/>
      <c r="AK459" s="124"/>
      <c r="AL459" s="124"/>
      <c r="AM459" s="124"/>
      <c r="AN459" s="124"/>
      <c r="AO459" s="124"/>
      <c r="AP459" s="124"/>
      <c r="AQ459" s="124"/>
    </row>
    <row r="460" spans="1:43" customFormat="1" ht="12.75" hidden="1" thickBot="1">
      <c r="A460" s="25" t="s">
        <v>1214</v>
      </c>
      <c r="B460" s="25" t="s">
        <v>410</v>
      </c>
      <c r="C460" s="25" t="s">
        <v>1121</v>
      </c>
      <c r="D460" s="98" t="s">
        <v>892</v>
      </c>
      <c r="E460" s="76">
        <v>13802</v>
      </c>
      <c r="F460" s="18">
        <v>2060</v>
      </c>
      <c r="G460" s="18">
        <v>861.52</v>
      </c>
      <c r="H460" s="18">
        <v>376.1</v>
      </c>
      <c r="I460" s="18">
        <v>23.05</v>
      </c>
      <c r="J460" s="19"/>
      <c r="K460" s="19"/>
      <c r="L460" s="18">
        <v>41.82</v>
      </c>
      <c r="M460" s="18">
        <v>22.08</v>
      </c>
      <c r="N460" s="18">
        <v>0</v>
      </c>
      <c r="O460" s="18">
        <v>111.39</v>
      </c>
      <c r="P460" s="19"/>
      <c r="Q460" s="19"/>
      <c r="R460" s="18">
        <v>3495.96</v>
      </c>
      <c r="S460" s="142">
        <f t="shared" si="67"/>
        <v>1260.6699999999998</v>
      </c>
      <c r="T460" s="142">
        <f t="shared" si="68"/>
        <v>0</v>
      </c>
      <c r="U460" s="142">
        <f t="shared" si="69"/>
        <v>111.39</v>
      </c>
      <c r="W460" s="601">
        <f t="shared" si="61"/>
        <v>3495.96</v>
      </c>
      <c r="X460" s="601">
        <f t="shared" si="62"/>
        <v>0</v>
      </c>
      <c r="Y460" s="123"/>
      <c r="Z460" s="692">
        <f t="shared" si="66"/>
        <v>3320.67</v>
      </c>
      <c r="AA460" s="124"/>
      <c r="AB460" s="124"/>
      <c r="AC460" s="124"/>
      <c r="AD460" s="124"/>
      <c r="AE460" s="124"/>
      <c r="AF460" s="124"/>
      <c r="AG460" s="124"/>
      <c r="AH460" s="124"/>
      <c r="AI460" s="124"/>
      <c r="AJ460" s="124"/>
      <c r="AK460" s="124"/>
      <c r="AL460" s="124"/>
      <c r="AM460" s="124"/>
      <c r="AN460" s="124"/>
      <c r="AO460" s="124"/>
      <c r="AP460" s="124"/>
      <c r="AQ460" s="124"/>
    </row>
    <row r="461" spans="1:43" customFormat="1" ht="12.75" hidden="1" thickBot="1">
      <c r="A461" s="25" t="s">
        <v>1214</v>
      </c>
      <c r="B461" s="25" t="s">
        <v>411</v>
      </c>
      <c r="C461" s="25" t="s">
        <v>1122</v>
      </c>
      <c r="D461" s="98" t="s">
        <v>892</v>
      </c>
      <c r="E461" s="77">
        <v>86350</v>
      </c>
      <c r="F461" s="20"/>
      <c r="G461" s="17">
        <v>5390.02</v>
      </c>
      <c r="H461" s="17">
        <v>2353</v>
      </c>
      <c r="I461" s="17">
        <v>144.22</v>
      </c>
      <c r="J461" s="20"/>
      <c r="K461" s="20"/>
      <c r="L461" s="17">
        <v>261.63</v>
      </c>
      <c r="M461" s="17">
        <v>137.96</v>
      </c>
      <c r="N461" s="17">
        <v>0</v>
      </c>
      <c r="O461" s="17">
        <v>215.09</v>
      </c>
      <c r="P461" s="20"/>
      <c r="Q461" s="20"/>
      <c r="R461" s="17">
        <v>8501.92</v>
      </c>
      <c r="S461" s="142">
        <f t="shared" si="67"/>
        <v>7887.2400000000007</v>
      </c>
      <c r="T461" s="142">
        <f t="shared" si="68"/>
        <v>0</v>
      </c>
      <c r="U461" s="142">
        <f t="shared" si="69"/>
        <v>215.09</v>
      </c>
      <c r="W461" s="601">
        <f t="shared" si="61"/>
        <v>8501.92</v>
      </c>
      <c r="X461" s="601">
        <f t="shared" si="62"/>
        <v>0</v>
      </c>
      <c r="Y461" s="123"/>
      <c r="Z461" s="692">
        <f t="shared" si="66"/>
        <v>7887.2400000000007</v>
      </c>
      <c r="AA461" s="124"/>
      <c r="AB461" s="124"/>
      <c r="AC461" s="124"/>
      <c r="AD461" s="124"/>
      <c r="AE461" s="124"/>
      <c r="AF461" s="124"/>
      <c r="AG461" s="124"/>
      <c r="AH461" s="124"/>
      <c r="AI461" s="124"/>
      <c r="AJ461" s="124"/>
      <c r="AK461" s="124"/>
      <c r="AL461" s="124"/>
      <c r="AM461" s="124"/>
      <c r="AN461" s="124"/>
      <c r="AO461" s="124"/>
      <c r="AP461" s="124"/>
      <c r="AQ461" s="124"/>
    </row>
    <row r="462" spans="1:43" customFormat="1" ht="12.75" hidden="1" thickBot="1">
      <c r="A462" s="25" t="s">
        <v>1214</v>
      </c>
      <c r="B462" s="25" t="s">
        <v>413</v>
      </c>
      <c r="C462" s="25" t="s">
        <v>454</v>
      </c>
      <c r="D462" s="98" t="s">
        <v>892</v>
      </c>
      <c r="E462" s="76">
        <v>1464</v>
      </c>
      <c r="F462" s="18">
        <v>140</v>
      </c>
      <c r="G462" s="18">
        <v>91.38</v>
      </c>
      <c r="H462" s="18">
        <v>39.89</v>
      </c>
      <c r="I462" s="18">
        <v>2.4500000000000002</v>
      </c>
      <c r="J462" s="19"/>
      <c r="K462" s="19"/>
      <c r="L462" s="18">
        <v>4.4400000000000004</v>
      </c>
      <c r="M462" s="18">
        <v>2.34</v>
      </c>
      <c r="N462" s="18">
        <v>0</v>
      </c>
      <c r="O462" s="18">
        <v>8.91</v>
      </c>
      <c r="P462" s="19"/>
      <c r="Q462" s="19"/>
      <c r="R462" s="18">
        <v>289.41000000000003</v>
      </c>
      <c r="S462" s="142">
        <f t="shared" si="67"/>
        <v>133.71999999999997</v>
      </c>
      <c r="T462" s="142">
        <f t="shared" si="68"/>
        <v>0</v>
      </c>
      <c r="U462" s="142">
        <f t="shared" si="69"/>
        <v>8.91</v>
      </c>
      <c r="W462" s="601">
        <f t="shared" si="61"/>
        <v>289.40999999999997</v>
      </c>
      <c r="X462" s="601">
        <f t="shared" si="62"/>
        <v>0</v>
      </c>
      <c r="Y462" s="123"/>
      <c r="Z462" s="692">
        <f t="shared" si="66"/>
        <v>273.71999999999997</v>
      </c>
      <c r="AA462" s="124"/>
      <c r="AB462" s="124"/>
      <c r="AC462" s="124"/>
      <c r="AD462" s="124"/>
      <c r="AE462" s="124"/>
      <c r="AF462" s="124"/>
      <c r="AG462" s="124"/>
      <c r="AH462" s="124"/>
      <c r="AI462" s="124"/>
      <c r="AJ462" s="124"/>
      <c r="AK462" s="124"/>
      <c r="AL462" s="124"/>
      <c r="AM462" s="124"/>
      <c r="AN462" s="124"/>
      <c r="AO462" s="124"/>
      <c r="AP462" s="124"/>
      <c r="AQ462" s="124"/>
    </row>
    <row r="463" spans="1:43" customFormat="1" ht="12.75" hidden="1" thickBot="1">
      <c r="A463" s="25" t="s">
        <v>1214</v>
      </c>
      <c r="B463" s="25" t="s">
        <v>414</v>
      </c>
      <c r="C463" s="25" t="s">
        <v>445</v>
      </c>
      <c r="D463" s="25" t="s">
        <v>20</v>
      </c>
      <c r="E463" s="77">
        <v>137149217</v>
      </c>
      <c r="F463" s="17">
        <v>236500.55</v>
      </c>
      <c r="G463" s="17">
        <v>1830940.81</v>
      </c>
      <c r="H463" s="17">
        <v>3737317.41</v>
      </c>
      <c r="I463" s="20"/>
      <c r="J463" s="17">
        <v>185206.62</v>
      </c>
      <c r="K463" s="17">
        <v>6077787.9500000002</v>
      </c>
      <c r="L463" s="17">
        <v>190641.82</v>
      </c>
      <c r="M463" s="17">
        <v>218630.09</v>
      </c>
      <c r="N463" s="17">
        <v>-62.29</v>
      </c>
      <c r="O463" s="17">
        <v>315908.02</v>
      </c>
      <c r="P463" s="20"/>
      <c r="Q463" s="20"/>
      <c r="R463" s="17">
        <v>12792870.98</v>
      </c>
      <c r="S463" s="142">
        <f t="shared" si="67"/>
        <v>5568258.2200000007</v>
      </c>
      <c r="T463" s="142">
        <f t="shared" si="68"/>
        <v>6262994.5700000003</v>
      </c>
      <c r="U463" s="142">
        <f t="shared" si="69"/>
        <v>315845.73000000004</v>
      </c>
      <c r="W463" s="601">
        <f t="shared" si="61"/>
        <v>12792870.98</v>
      </c>
      <c r="X463" s="601">
        <f t="shared" si="62"/>
        <v>0</v>
      </c>
      <c r="Y463" s="123"/>
      <c r="Z463" s="692">
        <f t="shared" si="66"/>
        <v>12067753.34</v>
      </c>
      <c r="AA463" s="124"/>
      <c r="AB463" s="124"/>
      <c r="AC463" s="124"/>
      <c r="AD463" s="124"/>
      <c r="AE463" s="124"/>
      <c r="AF463" s="124"/>
      <c r="AG463" s="124"/>
      <c r="AH463" s="124"/>
      <c r="AI463" s="124"/>
      <c r="AJ463" s="124"/>
      <c r="AK463" s="124"/>
      <c r="AL463" s="124"/>
      <c r="AM463" s="124"/>
      <c r="AN463" s="124"/>
      <c r="AO463" s="124"/>
      <c r="AP463" s="124"/>
      <c r="AQ463" s="124"/>
    </row>
    <row r="464" spans="1:43" ht="12.75" hidden="1" thickBot="1">
      <c r="A464" s="147" t="s">
        <v>1214</v>
      </c>
      <c r="B464" s="147" t="s">
        <v>415</v>
      </c>
      <c r="C464" s="147" t="s">
        <v>443</v>
      </c>
      <c r="D464" s="153" t="s">
        <v>21</v>
      </c>
      <c r="E464" s="593">
        <v>1758760</v>
      </c>
      <c r="F464" s="594">
        <v>7161.22</v>
      </c>
      <c r="G464" s="594">
        <v>20998.3</v>
      </c>
      <c r="H464" s="594">
        <v>76463.78</v>
      </c>
      <c r="I464" s="595"/>
      <c r="J464" s="594">
        <v>16436.349999999999</v>
      </c>
      <c r="K464" s="594">
        <v>279742.81</v>
      </c>
      <c r="L464" s="594">
        <v>7224.2</v>
      </c>
      <c r="M464" s="594">
        <v>-19977.78</v>
      </c>
      <c r="N464" s="594">
        <v>0</v>
      </c>
      <c r="O464" s="594">
        <v>15476.37</v>
      </c>
      <c r="P464" s="595"/>
      <c r="Q464" s="595"/>
      <c r="R464" s="594">
        <v>403525.25</v>
      </c>
      <c r="S464" s="590">
        <f t="shared" si="67"/>
        <v>97462.080000000002</v>
      </c>
      <c r="T464" s="590">
        <f t="shared" si="68"/>
        <v>296179.15999999997</v>
      </c>
      <c r="U464" s="590">
        <f t="shared" si="69"/>
        <v>15476.37</v>
      </c>
      <c r="W464" s="368">
        <f t="shared" si="61"/>
        <v>403525.25</v>
      </c>
      <c r="X464" s="368">
        <f t="shared" si="62"/>
        <v>0</v>
      </c>
      <c r="Y464" s="592"/>
      <c r="Z464" s="692">
        <f t="shared" si="66"/>
        <v>400802.45999999996</v>
      </c>
      <c r="AA464" s="591"/>
      <c r="AB464" s="591"/>
      <c r="AC464" s="591"/>
      <c r="AD464" s="591"/>
      <c r="AE464" s="591"/>
      <c r="AF464" s="591"/>
      <c r="AG464" s="591"/>
      <c r="AH464" s="591"/>
      <c r="AI464" s="591"/>
      <c r="AJ464" s="591"/>
      <c r="AK464" s="591"/>
      <c r="AL464" s="591"/>
      <c r="AM464" s="591"/>
      <c r="AN464" s="591"/>
      <c r="AO464" s="591"/>
      <c r="AP464" s="591"/>
      <c r="AQ464" s="591"/>
    </row>
    <row r="465" spans="1:43" customFormat="1" ht="12.75" hidden="1" thickBot="1">
      <c r="A465" s="25" t="s">
        <v>1214</v>
      </c>
      <c r="B465" s="25" t="s">
        <v>416</v>
      </c>
      <c r="C465" s="25" t="s">
        <v>446</v>
      </c>
      <c r="D465" s="69" t="s">
        <v>20</v>
      </c>
      <c r="E465" s="77">
        <v>89760</v>
      </c>
      <c r="F465" s="17">
        <v>90</v>
      </c>
      <c r="G465" s="17">
        <v>1198.3</v>
      </c>
      <c r="H465" s="17">
        <v>2445.96</v>
      </c>
      <c r="I465" s="20"/>
      <c r="J465" s="17">
        <v>149.04</v>
      </c>
      <c r="K465" s="17">
        <v>4201.07</v>
      </c>
      <c r="L465" s="17">
        <v>124.77</v>
      </c>
      <c r="M465" s="17">
        <v>133.74</v>
      </c>
      <c r="N465" s="17">
        <v>0</v>
      </c>
      <c r="O465" s="17">
        <v>172.32</v>
      </c>
      <c r="P465" s="20"/>
      <c r="Q465" s="20"/>
      <c r="R465" s="17">
        <v>8515.2000000000007</v>
      </c>
      <c r="S465" s="142">
        <f t="shared" si="67"/>
        <v>3644.26</v>
      </c>
      <c r="T465" s="142">
        <f t="shared" si="68"/>
        <v>4350.1099999999997</v>
      </c>
      <c r="U465" s="142">
        <f t="shared" si="69"/>
        <v>172.32</v>
      </c>
      <c r="W465" s="601">
        <f t="shared" si="61"/>
        <v>8515.1999999999989</v>
      </c>
      <c r="X465" s="601">
        <f t="shared" si="62"/>
        <v>0</v>
      </c>
      <c r="Y465" s="123"/>
      <c r="Z465" s="692">
        <f t="shared" si="66"/>
        <v>8084.37</v>
      </c>
      <c r="AA465" s="124"/>
      <c r="AB465" s="124"/>
      <c r="AC465" s="124"/>
      <c r="AD465" s="124"/>
      <c r="AE465" s="124"/>
      <c r="AF465" s="124"/>
      <c r="AG465" s="124"/>
      <c r="AH465" s="124"/>
      <c r="AI465" s="124"/>
      <c r="AJ465" s="124"/>
      <c r="AK465" s="124"/>
      <c r="AL465" s="124"/>
      <c r="AM465" s="124"/>
      <c r="AN465" s="124"/>
      <c r="AO465" s="124"/>
      <c r="AP465" s="124"/>
      <c r="AQ465" s="124"/>
    </row>
    <row r="466" spans="1:43" customFormat="1" ht="12.75" hidden="1" thickBot="1">
      <c r="A466" s="25" t="s">
        <v>1214</v>
      </c>
      <c r="B466" s="25" t="s">
        <v>417</v>
      </c>
      <c r="C466" s="25" t="s">
        <v>932</v>
      </c>
      <c r="D466" s="69" t="s">
        <v>920</v>
      </c>
      <c r="E466" s="76">
        <v>56220092</v>
      </c>
      <c r="F466" s="18">
        <v>44077.21</v>
      </c>
      <c r="G466" s="18">
        <v>711184.13</v>
      </c>
      <c r="H466" s="18">
        <v>1531997.57</v>
      </c>
      <c r="I466" s="19"/>
      <c r="J466" s="18">
        <v>61734.85</v>
      </c>
      <c r="K466" s="18">
        <v>1811962.54</v>
      </c>
      <c r="L466" s="18">
        <v>42727.27</v>
      </c>
      <c r="M466" s="18">
        <v>89598.54</v>
      </c>
      <c r="N466" s="18">
        <v>0</v>
      </c>
      <c r="O466" s="18">
        <v>98390.42</v>
      </c>
      <c r="P466" s="19"/>
      <c r="Q466" s="19"/>
      <c r="R466" s="18">
        <v>4391672.53</v>
      </c>
      <c r="S466" s="142">
        <f t="shared" si="67"/>
        <v>2243181.7000000002</v>
      </c>
      <c r="T466" s="142">
        <f t="shared" si="68"/>
        <v>1873697.3900000001</v>
      </c>
      <c r="U466" s="142">
        <f t="shared" si="69"/>
        <v>98390.42</v>
      </c>
      <c r="W466" s="601">
        <f t="shared" si="61"/>
        <v>4391672.53</v>
      </c>
      <c r="X466" s="601">
        <f t="shared" si="62"/>
        <v>0</v>
      </c>
      <c r="Y466" s="123"/>
      <c r="Z466" s="692">
        <f t="shared" si="66"/>
        <v>4160956.3000000003</v>
      </c>
      <c r="AA466" s="124"/>
      <c r="AB466" s="124"/>
      <c r="AC466" s="124"/>
      <c r="AD466" s="124"/>
      <c r="AE466" s="124"/>
      <c r="AF466" s="124"/>
      <c r="AG466" s="124"/>
      <c r="AH466" s="124"/>
      <c r="AI466" s="124"/>
      <c r="AJ466" s="124"/>
      <c r="AK466" s="124"/>
      <c r="AL466" s="124"/>
      <c r="AM466" s="124"/>
      <c r="AN466" s="124"/>
      <c r="AO466" s="124"/>
      <c r="AP466" s="124"/>
      <c r="AQ466" s="124"/>
    </row>
    <row r="467" spans="1:43" customFormat="1" ht="12.75" hidden="1" thickBot="1">
      <c r="A467" s="25" t="s">
        <v>1214</v>
      </c>
      <c r="B467" s="25" t="s">
        <v>418</v>
      </c>
      <c r="C467" s="25" t="s">
        <v>447</v>
      </c>
      <c r="D467" s="69" t="s">
        <v>448</v>
      </c>
      <c r="E467" s="77">
        <v>33395700</v>
      </c>
      <c r="F467" s="17">
        <v>11120</v>
      </c>
      <c r="G467" s="17">
        <v>362343.34</v>
      </c>
      <c r="H467" s="17">
        <v>910032.83</v>
      </c>
      <c r="I467" s="20"/>
      <c r="J467" s="17">
        <v>30742.23</v>
      </c>
      <c r="K467" s="17">
        <v>984628.76</v>
      </c>
      <c r="L467" s="17">
        <v>25380.720000000001</v>
      </c>
      <c r="M467" s="17">
        <v>52253.84</v>
      </c>
      <c r="N467" s="17">
        <v>0</v>
      </c>
      <c r="O467" s="17">
        <v>49740.35</v>
      </c>
      <c r="P467" s="20"/>
      <c r="Q467" s="20"/>
      <c r="R467" s="17">
        <v>2426242.0699999998</v>
      </c>
      <c r="S467" s="142">
        <f t="shared" si="67"/>
        <v>1272376.17</v>
      </c>
      <c r="T467" s="142">
        <f t="shared" si="68"/>
        <v>1015370.99</v>
      </c>
      <c r="U467" s="142">
        <f t="shared" si="69"/>
        <v>49740.35</v>
      </c>
      <c r="W467" s="601">
        <f t="shared" si="61"/>
        <v>2426242.0700000003</v>
      </c>
      <c r="X467" s="601">
        <f t="shared" si="62"/>
        <v>0</v>
      </c>
      <c r="Y467" s="123"/>
      <c r="Z467" s="692">
        <f t="shared" si="66"/>
        <v>2298867.16</v>
      </c>
      <c r="AA467" s="124"/>
      <c r="AB467" s="124"/>
      <c r="AC467" s="124"/>
      <c r="AD467" s="124"/>
      <c r="AE467" s="124"/>
      <c r="AF467" s="124"/>
      <c r="AG467" s="124"/>
      <c r="AH467" s="124"/>
      <c r="AI467" s="124"/>
      <c r="AJ467" s="124"/>
      <c r="AK467" s="124"/>
      <c r="AL467" s="124"/>
      <c r="AM467" s="124"/>
      <c r="AN467" s="124"/>
      <c r="AO467" s="124"/>
      <c r="AP467" s="124"/>
      <c r="AQ467" s="124"/>
    </row>
    <row r="468" spans="1:43" customFormat="1" ht="12.75" hidden="1" thickBot="1">
      <c r="A468" s="25" t="s">
        <v>1214</v>
      </c>
      <c r="B468" s="25" t="s">
        <v>420</v>
      </c>
      <c r="C468" s="25" t="s">
        <v>59</v>
      </c>
      <c r="D468" s="69" t="s">
        <v>14</v>
      </c>
      <c r="E468" s="76">
        <v>69079625</v>
      </c>
      <c r="F468" s="18">
        <v>506117.13</v>
      </c>
      <c r="G468" s="18">
        <v>4311945.0999999996</v>
      </c>
      <c r="H468" s="18">
        <v>1882424.2</v>
      </c>
      <c r="I468" s="18">
        <v>115362.58</v>
      </c>
      <c r="J468" s="19"/>
      <c r="K468" s="19"/>
      <c r="L468" s="18">
        <v>206230.13</v>
      </c>
      <c r="M468" s="18">
        <v>110260.56</v>
      </c>
      <c r="N468" s="18">
        <v>0</v>
      </c>
      <c r="O468" s="18">
        <v>190407.41</v>
      </c>
      <c r="P468" s="19"/>
      <c r="Q468" s="19"/>
      <c r="R468" s="18">
        <v>7322747.1100000003</v>
      </c>
      <c r="S468" s="142">
        <f t="shared" si="67"/>
        <v>6309731.8799999999</v>
      </c>
      <c r="T468" s="142">
        <f t="shared" si="68"/>
        <v>0</v>
      </c>
      <c r="U468" s="142">
        <f t="shared" si="69"/>
        <v>190407.41</v>
      </c>
      <c r="W468" s="601">
        <f t="shared" si="61"/>
        <v>7322747.1099999994</v>
      </c>
      <c r="X468" s="601">
        <f t="shared" si="62"/>
        <v>0</v>
      </c>
      <c r="Y468" s="123"/>
      <c r="Z468" s="692">
        <f t="shared" si="66"/>
        <v>6815849.0099999998</v>
      </c>
      <c r="AA468" s="124"/>
      <c r="AB468" s="124"/>
      <c r="AC468" s="124"/>
      <c r="AD468" s="124"/>
      <c r="AE468" s="124"/>
      <c r="AF468" s="124"/>
      <c r="AG468" s="124"/>
      <c r="AH468" s="124"/>
      <c r="AI468" s="124"/>
      <c r="AJ468" s="124"/>
      <c r="AK468" s="124"/>
      <c r="AL468" s="124"/>
      <c r="AM468" s="124"/>
      <c r="AN468" s="124"/>
      <c r="AO468" s="124"/>
      <c r="AP468" s="124"/>
      <c r="AQ468" s="124"/>
    </row>
    <row r="469" spans="1:43" customFormat="1" ht="12.75" hidden="1" thickBot="1">
      <c r="A469" s="25" t="s">
        <v>1214</v>
      </c>
      <c r="B469" s="25" t="s">
        <v>421</v>
      </c>
      <c r="C469" s="25" t="s">
        <v>1216</v>
      </c>
      <c r="D469" s="69" t="s">
        <v>14</v>
      </c>
      <c r="E469" s="77">
        <v>1231413</v>
      </c>
      <c r="F469" s="20"/>
      <c r="G469" s="17">
        <v>76864.77</v>
      </c>
      <c r="H469" s="17">
        <v>33555.919999999998</v>
      </c>
      <c r="I469" s="17">
        <v>2056.6</v>
      </c>
      <c r="J469" s="20"/>
      <c r="K469" s="20"/>
      <c r="L469" s="17">
        <v>3731.18</v>
      </c>
      <c r="M469" s="17">
        <v>1962.85</v>
      </c>
      <c r="N469" s="17">
        <v>0</v>
      </c>
      <c r="O469" s="17">
        <v>3049.85</v>
      </c>
      <c r="P469" s="20"/>
      <c r="Q469" s="20"/>
      <c r="R469" s="17">
        <v>121221.17</v>
      </c>
      <c r="S469" s="142">
        <f t="shared" si="67"/>
        <v>112477.29000000001</v>
      </c>
      <c r="T469" s="142">
        <f t="shared" si="68"/>
        <v>0</v>
      </c>
      <c r="U469" s="142">
        <f t="shared" si="69"/>
        <v>3049.85</v>
      </c>
      <c r="W469" s="601">
        <f t="shared" si="61"/>
        <v>121221.17000000001</v>
      </c>
      <c r="X469" s="601">
        <f t="shared" si="62"/>
        <v>0</v>
      </c>
      <c r="Y469" s="123"/>
      <c r="Z469" s="692">
        <f t="shared" si="66"/>
        <v>112477.29000000001</v>
      </c>
      <c r="AA469" s="124"/>
      <c r="AB469" s="124"/>
      <c r="AC469" s="124"/>
      <c r="AD469" s="124"/>
      <c r="AE469" s="124"/>
      <c r="AF469" s="124"/>
      <c r="AG469" s="124"/>
      <c r="AH469" s="124"/>
      <c r="AI469" s="124"/>
      <c r="AJ469" s="124"/>
      <c r="AK469" s="124"/>
      <c r="AL469" s="124"/>
      <c r="AM469" s="124"/>
      <c r="AN469" s="124"/>
      <c r="AO469" s="124"/>
      <c r="AP469" s="124"/>
      <c r="AQ469" s="124"/>
    </row>
    <row r="470" spans="1:43" customFormat="1" ht="12.75" hidden="1" thickBot="1">
      <c r="A470" s="25" t="s">
        <v>1214</v>
      </c>
      <c r="B470" s="25" t="s">
        <v>423</v>
      </c>
      <c r="C470" s="25" t="s">
        <v>452</v>
      </c>
      <c r="D470" s="69" t="s">
        <v>14</v>
      </c>
      <c r="E470" s="76">
        <v>134835</v>
      </c>
      <c r="F470" s="18">
        <v>280</v>
      </c>
      <c r="G470" s="18">
        <v>8416.3700000000008</v>
      </c>
      <c r="H470" s="18">
        <v>3674.26</v>
      </c>
      <c r="I470" s="18">
        <v>225.18</v>
      </c>
      <c r="J470" s="19"/>
      <c r="K470" s="19"/>
      <c r="L470" s="18">
        <v>408.54</v>
      </c>
      <c r="M470" s="18">
        <v>214.99</v>
      </c>
      <c r="N470" s="18">
        <v>0</v>
      </c>
      <c r="O470" s="18">
        <v>344.41</v>
      </c>
      <c r="P470" s="19"/>
      <c r="Q470" s="19"/>
      <c r="R470" s="18">
        <v>13563.75</v>
      </c>
      <c r="S470" s="142">
        <f t="shared" si="67"/>
        <v>12315.810000000001</v>
      </c>
      <c r="T470" s="142">
        <f t="shared" si="68"/>
        <v>0</v>
      </c>
      <c r="U470" s="142">
        <f t="shared" si="69"/>
        <v>344.41</v>
      </c>
      <c r="W470" s="601">
        <f t="shared" si="61"/>
        <v>13563.750000000002</v>
      </c>
      <c r="X470" s="601">
        <f t="shared" si="62"/>
        <v>0</v>
      </c>
      <c r="Y470" s="123"/>
      <c r="Z470" s="692">
        <f t="shared" si="66"/>
        <v>12595.810000000001</v>
      </c>
      <c r="AA470" s="124"/>
      <c r="AB470" s="124"/>
      <c r="AC470" s="124"/>
      <c r="AD470" s="124"/>
      <c r="AE470" s="124"/>
      <c r="AF470" s="124"/>
      <c r="AG470" s="124"/>
      <c r="AH470" s="124"/>
      <c r="AI470" s="124"/>
      <c r="AJ470" s="124"/>
      <c r="AK470" s="124"/>
      <c r="AL470" s="124"/>
      <c r="AM470" s="124"/>
      <c r="AN470" s="124"/>
      <c r="AO470" s="124"/>
      <c r="AP470" s="124"/>
      <c r="AQ470" s="124"/>
    </row>
    <row r="471" spans="1:43" customFormat="1" ht="12.75" hidden="1" thickBot="1">
      <c r="A471" s="25" t="s">
        <v>1214</v>
      </c>
      <c r="B471" s="25" t="s">
        <v>424</v>
      </c>
      <c r="C471" s="25" t="s">
        <v>463</v>
      </c>
      <c r="D471" s="25" t="s">
        <v>464</v>
      </c>
      <c r="E471" s="77">
        <v>4348800</v>
      </c>
      <c r="F471" s="20"/>
      <c r="G471" s="17">
        <v>42487.78</v>
      </c>
      <c r="H471" s="17">
        <v>118504.8</v>
      </c>
      <c r="I471" s="20"/>
      <c r="J471" s="17">
        <v>3557.32</v>
      </c>
      <c r="K471" s="17">
        <v>95951.72</v>
      </c>
      <c r="L471" s="20"/>
      <c r="M471" s="17">
        <v>6958.08</v>
      </c>
      <c r="N471" s="17">
        <v>0</v>
      </c>
      <c r="O471" s="17">
        <v>5296.48</v>
      </c>
      <c r="P471" s="20"/>
      <c r="Q471" s="20"/>
      <c r="R471" s="17">
        <v>272756.18</v>
      </c>
      <c r="S471" s="142">
        <f t="shared" si="67"/>
        <v>160992.58000000002</v>
      </c>
      <c r="T471" s="142">
        <f t="shared" si="68"/>
        <v>99509.040000000008</v>
      </c>
      <c r="U471" s="142">
        <f t="shared" si="69"/>
        <v>5296.48</v>
      </c>
      <c r="W471" s="601">
        <f t="shared" si="61"/>
        <v>272756.18</v>
      </c>
      <c r="X471" s="601">
        <f t="shared" si="62"/>
        <v>0</v>
      </c>
      <c r="Y471" s="123"/>
      <c r="Z471" s="692">
        <f t="shared" si="66"/>
        <v>260501.62000000002</v>
      </c>
      <c r="AA471" s="124"/>
      <c r="AB471" s="124"/>
      <c r="AC471" s="124"/>
      <c r="AD471" s="124"/>
      <c r="AE471" s="124"/>
      <c r="AF471" s="124"/>
      <c r="AG471" s="124"/>
      <c r="AH471" s="124"/>
      <c r="AI471" s="124"/>
      <c r="AJ471" s="124"/>
      <c r="AK471" s="124"/>
      <c r="AL471" s="124"/>
      <c r="AM471" s="124"/>
      <c r="AN471" s="124"/>
      <c r="AO471" s="124"/>
      <c r="AP471" s="124"/>
      <c r="AQ471" s="124"/>
    </row>
    <row r="472" spans="1:43" customFormat="1" ht="12.75" hidden="1" thickBot="1">
      <c r="A472" s="25" t="s">
        <v>1214</v>
      </c>
      <c r="B472" s="25" t="s">
        <v>1204</v>
      </c>
      <c r="C472" s="25" t="s">
        <v>1206</v>
      </c>
      <c r="D472" s="69" t="s">
        <v>63</v>
      </c>
      <c r="E472" s="19"/>
      <c r="F472" s="19"/>
      <c r="G472" s="19"/>
      <c r="H472" s="19"/>
      <c r="I472" s="19"/>
      <c r="J472" s="19"/>
      <c r="K472" s="19"/>
      <c r="L472" s="19"/>
      <c r="M472" s="19"/>
      <c r="N472" s="19"/>
      <c r="O472" s="19"/>
      <c r="P472" s="18">
        <v>-225370.78</v>
      </c>
      <c r="Q472" s="19"/>
      <c r="R472" s="18">
        <v>-225370.78</v>
      </c>
      <c r="S472" s="142">
        <f t="shared" si="67"/>
        <v>0</v>
      </c>
      <c r="T472" s="142">
        <f t="shared" si="68"/>
        <v>0</v>
      </c>
      <c r="U472" s="142">
        <f t="shared" si="69"/>
        <v>0</v>
      </c>
      <c r="W472" s="601">
        <f t="shared" si="61"/>
        <v>-225370.78</v>
      </c>
      <c r="X472" s="601">
        <f t="shared" si="62"/>
        <v>0</v>
      </c>
      <c r="Y472" s="123"/>
      <c r="Z472" s="692">
        <f t="shared" si="66"/>
        <v>0</v>
      </c>
      <c r="AA472" s="124"/>
      <c r="AB472" s="124"/>
      <c r="AC472" s="124"/>
      <c r="AD472" s="124"/>
      <c r="AE472" s="124"/>
      <c r="AF472" s="124"/>
      <c r="AG472" s="124"/>
      <c r="AH472" s="124"/>
      <c r="AI472" s="124"/>
      <c r="AJ472" s="124"/>
      <c r="AK472" s="124"/>
      <c r="AL472" s="124"/>
      <c r="AM472" s="124"/>
      <c r="AN472" s="124"/>
      <c r="AO472" s="124"/>
      <c r="AP472" s="124"/>
      <c r="AQ472" s="124"/>
    </row>
    <row r="473" spans="1:43" customFormat="1" ht="12.75" hidden="1" thickBot="1">
      <c r="A473" s="25" t="s">
        <v>1214</v>
      </c>
      <c r="B473" s="25" t="s">
        <v>425</v>
      </c>
      <c r="C473" s="25" t="s">
        <v>444</v>
      </c>
      <c r="D473" s="69" t="s">
        <v>63</v>
      </c>
      <c r="E473" s="20"/>
      <c r="F473" s="20"/>
      <c r="G473" s="20"/>
      <c r="H473" s="20"/>
      <c r="I473" s="20"/>
      <c r="J473" s="20"/>
      <c r="K473" s="20"/>
      <c r="L473" s="20"/>
      <c r="M473" s="20"/>
      <c r="N473" s="20"/>
      <c r="O473" s="20"/>
      <c r="P473" s="17">
        <v>-93846.25</v>
      </c>
      <c r="Q473" s="20"/>
      <c r="R473" s="17">
        <v>-93846.25</v>
      </c>
      <c r="S473" s="142">
        <f t="shared" si="67"/>
        <v>0</v>
      </c>
      <c r="T473" s="142">
        <f t="shared" si="68"/>
        <v>0</v>
      </c>
      <c r="U473" s="142">
        <f t="shared" si="69"/>
        <v>0</v>
      </c>
      <c r="W473" s="601">
        <f t="shared" si="61"/>
        <v>-93846.25</v>
      </c>
      <c r="X473" s="601">
        <f t="shared" si="62"/>
        <v>0</v>
      </c>
      <c r="Y473" s="123"/>
      <c r="Z473" s="692">
        <f t="shared" si="66"/>
        <v>0</v>
      </c>
      <c r="AA473" s="124"/>
      <c r="AB473" s="124"/>
      <c r="AC473" s="124"/>
      <c r="AD473" s="124"/>
      <c r="AE473" s="124"/>
      <c r="AF473" s="124"/>
      <c r="AG473" s="124"/>
      <c r="AH473" s="124"/>
      <c r="AI473" s="124"/>
      <c r="AJ473" s="124"/>
      <c r="AK473" s="124"/>
      <c r="AL473" s="124"/>
      <c r="AM473" s="124"/>
      <c r="AN473" s="124"/>
      <c r="AO473" s="124"/>
      <c r="AP473" s="124"/>
      <c r="AQ473" s="124"/>
    </row>
    <row r="474" spans="1:43" customFormat="1" ht="12.75" hidden="1" thickBot="1">
      <c r="A474" s="25" t="s">
        <v>1214</v>
      </c>
      <c r="B474" s="25" t="s">
        <v>854</v>
      </c>
      <c r="C474" s="25" t="s">
        <v>855</v>
      </c>
      <c r="D474" s="69" t="s">
        <v>1125</v>
      </c>
      <c r="E474" s="19"/>
      <c r="F474" s="19"/>
      <c r="G474" s="19"/>
      <c r="H474" s="19"/>
      <c r="I474" s="19"/>
      <c r="J474" s="19"/>
      <c r="K474" s="19"/>
      <c r="L474" s="19"/>
      <c r="M474" s="19"/>
      <c r="N474" s="19"/>
      <c r="O474" s="19"/>
      <c r="P474" s="19"/>
      <c r="Q474" s="19"/>
      <c r="R474" s="19"/>
      <c r="S474" s="142">
        <f t="shared" si="67"/>
        <v>0</v>
      </c>
      <c r="T474" s="142">
        <f t="shared" si="68"/>
        <v>0</v>
      </c>
      <c r="U474" s="142">
        <f t="shared" si="69"/>
        <v>0</v>
      </c>
      <c r="W474" s="601">
        <f t="shared" ref="W474:W535" si="70">SUM(F474:Q474)</f>
        <v>0</v>
      </c>
      <c r="X474" s="601">
        <f t="shared" ref="X474:X535" si="71">W474-R474</f>
        <v>0</v>
      </c>
      <c r="Y474" s="123"/>
      <c r="Z474" s="692">
        <f t="shared" si="66"/>
        <v>0</v>
      </c>
      <c r="AA474" s="124"/>
      <c r="AB474" s="124"/>
      <c r="AC474" s="124"/>
      <c r="AD474" s="124"/>
      <c r="AE474" s="124"/>
      <c r="AF474" s="124"/>
      <c r="AG474" s="124"/>
      <c r="AH474" s="124"/>
      <c r="AI474" s="124"/>
      <c r="AJ474" s="124"/>
      <c r="AK474" s="124"/>
      <c r="AL474" s="124"/>
      <c r="AM474" s="124"/>
      <c r="AN474" s="124"/>
      <c r="AO474" s="124"/>
      <c r="AP474" s="124"/>
      <c r="AQ474" s="124"/>
    </row>
    <row r="475" spans="1:43" customFormat="1" ht="12.75" hidden="1" thickBot="1">
      <c r="A475" s="25" t="s">
        <v>1214</v>
      </c>
      <c r="B475" s="25" t="s">
        <v>426</v>
      </c>
      <c r="C475" s="25" t="s">
        <v>450</v>
      </c>
      <c r="D475" s="69" t="s">
        <v>451</v>
      </c>
      <c r="E475" s="77">
        <v>14360000</v>
      </c>
      <c r="F475" s="20"/>
      <c r="G475" s="17">
        <v>145754</v>
      </c>
      <c r="H475" s="17">
        <v>391310</v>
      </c>
      <c r="I475" s="20"/>
      <c r="J475" s="17">
        <v>10572.12</v>
      </c>
      <c r="K475" s="17">
        <v>309415.05</v>
      </c>
      <c r="L475" s="20"/>
      <c r="M475" s="17">
        <v>21396.400000000001</v>
      </c>
      <c r="N475" s="17">
        <v>0</v>
      </c>
      <c r="O475" s="17">
        <v>13925.66</v>
      </c>
      <c r="P475" s="20"/>
      <c r="Q475" s="20"/>
      <c r="R475" s="17">
        <v>892373.23</v>
      </c>
      <c r="S475" s="142">
        <f t="shared" si="67"/>
        <v>537064</v>
      </c>
      <c r="T475" s="142">
        <f t="shared" si="68"/>
        <v>319987.17</v>
      </c>
      <c r="U475" s="142">
        <f t="shared" si="69"/>
        <v>13925.66</v>
      </c>
      <c r="W475" s="601">
        <f t="shared" si="70"/>
        <v>892373.23</v>
      </c>
      <c r="X475" s="601">
        <f t="shared" si="71"/>
        <v>0</v>
      </c>
      <c r="Y475" s="123"/>
      <c r="Z475" s="692">
        <f t="shared" si="66"/>
        <v>857051.16999999993</v>
      </c>
      <c r="AA475" s="124"/>
      <c r="AB475" s="124"/>
      <c r="AC475" s="124"/>
      <c r="AD475" s="124"/>
      <c r="AE475" s="124"/>
      <c r="AF475" s="124"/>
      <c r="AG475" s="124"/>
      <c r="AH475" s="124"/>
      <c r="AI475" s="124"/>
      <c r="AJ475" s="124"/>
      <c r="AK475" s="124"/>
      <c r="AL475" s="124"/>
      <c r="AM475" s="124"/>
      <c r="AN475" s="124"/>
      <c r="AO475" s="124"/>
      <c r="AP475" s="124"/>
      <c r="AQ475" s="124"/>
    </row>
    <row r="476" spans="1:43" customFormat="1" ht="12.75" hidden="1" thickBot="1">
      <c r="A476" s="25" t="s">
        <v>1214</v>
      </c>
      <c r="B476" s="25" t="s">
        <v>427</v>
      </c>
      <c r="C476" s="25" t="s">
        <v>54</v>
      </c>
      <c r="D476" s="25" t="s">
        <v>15</v>
      </c>
      <c r="E476" s="76">
        <v>69750524</v>
      </c>
      <c r="F476" s="18">
        <v>7500</v>
      </c>
      <c r="G476" s="18">
        <v>617292.14</v>
      </c>
      <c r="H476" s="18">
        <v>1900701.78</v>
      </c>
      <c r="I476" s="19"/>
      <c r="J476" s="18">
        <v>41511.279999999999</v>
      </c>
      <c r="K476" s="18">
        <v>1205373.8999999999</v>
      </c>
      <c r="L476" s="18">
        <v>0</v>
      </c>
      <c r="M476" s="18">
        <v>105454.53</v>
      </c>
      <c r="N476" s="18">
        <v>0</v>
      </c>
      <c r="O476" s="18">
        <v>59286.67</v>
      </c>
      <c r="P476" s="19"/>
      <c r="Q476" s="19"/>
      <c r="R476" s="18">
        <v>3937120.3</v>
      </c>
      <c r="S476" s="142">
        <f t="shared" si="67"/>
        <v>2517993.92</v>
      </c>
      <c r="T476" s="142">
        <f t="shared" si="68"/>
        <v>1246885.18</v>
      </c>
      <c r="U476" s="142">
        <f t="shared" si="69"/>
        <v>59286.67</v>
      </c>
      <c r="W476" s="601">
        <f t="shared" si="70"/>
        <v>3937120.2999999993</v>
      </c>
      <c r="X476" s="601">
        <f t="shared" si="71"/>
        <v>0</v>
      </c>
      <c r="Y476" s="123"/>
      <c r="Z476" s="692">
        <f t="shared" si="66"/>
        <v>3772379.0999999996</v>
      </c>
      <c r="AA476" s="124"/>
      <c r="AB476" s="124"/>
      <c r="AC476" s="124"/>
      <c r="AD476" s="124"/>
      <c r="AE476" s="124"/>
      <c r="AF476" s="124"/>
      <c r="AG476" s="124"/>
      <c r="AH476" s="124"/>
      <c r="AI476" s="124"/>
      <c r="AJ476" s="124"/>
      <c r="AK476" s="124"/>
      <c r="AL476" s="124"/>
      <c r="AM476" s="124"/>
      <c r="AN476" s="124"/>
      <c r="AO476" s="124"/>
      <c r="AP476" s="124"/>
      <c r="AQ476" s="124"/>
    </row>
    <row r="477" spans="1:43" customFormat="1" ht="12.75" hidden="1" thickBot="1">
      <c r="A477" s="25" t="s">
        <v>1214</v>
      </c>
      <c r="B477" s="25" t="s">
        <v>428</v>
      </c>
      <c r="C477" s="25" t="s">
        <v>458</v>
      </c>
      <c r="D477" s="69" t="s">
        <v>20</v>
      </c>
      <c r="E477" s="77">
        <v>24660519</v>
      </c>
      <c r="F477" s="17">
        <v>22410</v>
      </c>
      <c r="G477" s="17">
        <v>329217.90999999997</v>
      </c>
      <c r="H477" s="17">
        <v>671999.19</v>
      </c>
      <c r="I477" s="20"/>
      <c r="J477" s="17">
        <v>35203.730000000003</v>
      </c>
      <c r="K477" s="17">
        <v>1162336.48</v>
      </c>
      <c r="L477" s="17">
        <v>0</v>
      </c>
      <c r="M477" s="17">
        <v>39435.089999999997</v>
      </c>
      <c r="N477" s="17">
        <v>0</v>
      </c>
      <c r="O477" s="17">
        <v>57535.99</v>
      </c>
      <c r="P477" s="20"/>
      <c r="Q477" s="20"/>
      <c r="R477" s="17">
        <v>2318138.39</v>
      </c>
      <c r="S477" s="142">
        <f t="shared" si="67"/>
        <v>1001217.0999999999</v>
      </c>
      <c r="T477" s="142">
        <f t="shared" si="68"/>
        <v>1197540.21</v>
      </c>
      <c r="U477" s="142">
        <f t="shared" si="69"/>
        <v>57535.99</v>
      </c>
      <c r="W477" s="601">
        <f t="shared" si="70"/>
        <v>2318138.3899999997</v>
      </c>
      <c r="X477" s="601">
        <f t="shared" si="71"/>
        <v>0</v>
      </c>
      <c r="Y477" s="123"/>
      <c r="Z477" s="692">
        <f t="shared" si="66"/>
        <v>2221167.3099999996</v>
      </c>
      <c r="AA477" s="124"/>
      <c r="AB477" s="124"/>
      <c r="AC477" s="124"/>
      <c r="AD477" s="124"/>
      <c r="AE477" s="124"/>
      <c r="AF477" s="124"/>
      <c r="AG477" s="124"/>
      <c r="AH477" s="124"/>
      <c r="AI477" s="124"/>
      <c r="AJ477" s="124"/>
      <c r="AK477" s="124"/>
      <c r="AL477" s="124"/>
      <c r="AM477" s="124"/>
      <c r="AN477" s="124"/>
      <c r="AO477" s="124"/>
      <c r="AP477" s="124"/>
      <c r="AQ477" s="124"/>
    </row>
    <row r="478" spans="1:43" customFormat="1" ht="12.75" hidden="1" thickBot="1">
      <c r="A478" s="25" t="s">
        <v>1214</v>
      </c>
      <c r="B478" s="25" t="s">
        <v>429</v>
      </c>
      <c r="C478" s="25" t="s">
        <v>457</v>
      </c>
      <c r="D478" s="153" t="s">
        <v>21</v>
      </c>
      <c r="E478" s="76">
        <v>11983995</v>
      </c>
      <c r="F478" s="18">
        <v>6778.78</v>
      </c>
      <c r="G478" s="18">
        <v>144052.38</v>
      </c>
      <c r="H478" s="18">
        <v>298026.3</v>
      </c>
      <c r="I478" s="19"/>
      <c r="J478" s="18">
        <v>6530.45</v>
      </c>
      <c r="K478" s="18">
        <v>349149.75</v>
      </c>
      <c r="L478" s="18">
        <v>0</v>
      </c>
      <c r="M478" s="18">
        <v>42502.5</v>
      </c>
      <c r="N478" s="18">
        <v>0</v>
      </c>
      <c r="O478" s="18">
        <v>14984.39</v>
      </c>
      <c r="P478" s="19"/>
      <c r="Q478" s="19"/>
      <c r="R478" s="18">
        <v>862024.55</v>
      </c>
      <c r="S478" s="142">
        <f t="shared" si="67"/>
        <v>442078.68</v>
      </c>
      <c r="T478" s="142">
        <f t="shared" si="68"/>
        <v>355680.2</v>
      </c>
      <c r="U478" s="142">
        <f t="shared" si="69"/>
        <v>14984.39</v>
      </c>
      <c r="W478" s="601">
        <f t="shared" si="70"/>
        <v>862024.54999999993</v>
      </c>
      <c r="X478" s="601">
        <f t="shared" si="71"/>
        <v>0</v>
      </c>
      <c r="Y478" s="123"/>
      <c r="Z478" s="692">
        <f t="shared" si="66"/>
        <v>804537.65999999992</v>
      </c>
      <c r="AA478" s="124"/>
      <c r="AB478" s="124"/>
      <c r="AC478" s="124"/>
      <c r="AD478" s="124"/>
      <c r="AE478" s="124"/>
      <c r="AF478" s="124"/>
      <c r="AG478" s="124"/>
      <c r="AH478" s="124"/>
      <c r="AI478" s="124"/>
      <c r="AJ478" s="124"/>
      <c r="AK478" s="124"/>
      <c r="AL478" s="124"/>
      <c r="AM478" s="124"/>
      <c r="AN478" s="124"/>
      <c r="AO478" s="124"/>
      <c r="AP478" s="124"/>
      <c r="AQ478" s="124"/>
    </row>
    <row r="479" spans="1:43" customFormat="1" ht="12.75" hidden="1" thickBot="1">
      <c r="A479" s="25" t="s">
        <v>1214</v>
      </c>
      <c r="B479" s="25" t="s">
        <v>430</v>
      </c>
      <c r="C479" s="25" t="s">
        <v>933</v>
      </c>
      <c r="D479" s="69" t="s">
        <v>920</v>
      </c>
      <c r="E479" s="77">
        <v>18380980</v>
      </c>
      <c r="F479" s="17">
        <v>15200</v>
      </c>
      <c r="G479" s="17">
        <v>232519.39</v>
      </c>
      <c r="H479" s="17">
        <v>500881.73</v>
      </c>
      <c r="I479" s="20"/>
      <c r="J479" s="17">
        <v>22750.2</v>
      </c>
      <c r="K479" s="17">
        <v>666583.63</v>
      </c>
      <c r="L479" s="17">
        <v>0</v>
      </c>
      <c r="M479" s="17">
        <v>29370.81</v>
      </c>
      <c r="N479" s="17">
        <v>0</v>
      </c>
      <c r="O479" s="17">
        <v>34807.25</v>
      </c>
      <c r="P479" s="20"/>
      <c r="Q479" s="20"/>
      <c r="R479" s="17">
        <v>1502113.01</v>
      </c>
      <c r="S479" s="142">
        <f t="shared" si="67"/>
        <v>733401.12</v>
      </c>
      <c r="T479" s="142">
        <f t="shared" si="68"/>
        <v>689333.83</v>
      </c>
      <c r="U479" s="142">
        <f t="shared" si="69"/>
        <v>34807.25</v>
      </c>
      <c r="W479" s="601">
        <f t="shared" si="70"/>
        <v>1502113.01</v>
      </c>
      <c r="X479" s="601">
        <f t="shared" si="71"/>
        <v>0</v>
      </c>
      <c r="Y479" s="123"/>
      <c r="Z479" s="692">
        <f t="shared" si="66"/>
        <v>1437934.95</v>
      </c>
      <c r="AA479" s="124"/>
      <c r="AB479" s="124"/>
      <c r="AC479" s="124"/>
      <c r="AD479" s="124"/>
      <c r="AE479" s="124"/>
      <c r="AF479" s="124"/>
      <c r="AG479" s="124"/>
      <c r="AH479" s="124"/>
      <c r="AI479" s="124"/>
      <c r="AJ479" s="124"/>
      <c r="AK479" s="124"/>
      <c r="AL479" s="124"/>
      <c r="AM479" s="124"/>
      <c r="AN479" s="124"/>
      <c r="AO479" s="124"/>
      <c r="AP479" s="124"/>
      <c r="AQ479" s="124"/>
    </row>
    <row r="480" spans="1:43" customFormat="1" ht="12.75" hidden="1" thickBot="1">
      <c r="A480" s="25" t="s">
        <v>1214</v>
      </c>
      <c r="B480" s="25" t="s">
        <v>431</v>
      </c>
      <c r="C480" s="25" t="s">
        <v>459</v>
      </c>
      <c r="D480" s="69" t="s">
        <v>460</v>
      </c>
      <c r="E480" s="76">
        <v>147409800</v>
      </c>
      <c r="F480" s="18">
        <v>21000</v>
      </c>
      <c r="G480" s="18">
        <v>1198441.71</v>
      </c>
      <c r="H480" s="18">
        <v>4016917.05</v>
      </c>
      <c r="I480" s="19"/>
      <c r="J480" s="18">
        <v>139222.04</v>
      </c>
      <c r="K480" s="18">
        <v>3848313.65</v>
      </c>
      <c r="L480" s="18">
        <v>0</v>
      </c>
      <c r="M480" s="18">
        <v>230843.92</v>
      </c>
      <c r="N480" s="18">
        <v>0</v>
      </c>
      <c r="O480" s="18">
        <v>184084.78</v>
      </c>
      <c r="P480" s="19"/>
      <c r="Q480" s="19"/>
      <c r="R480" s="18">
        <v>9638823.1500000004</v>
      </c>
      <c r="S480" s="142">
        <f t="shared" si="67"/>
        <v>5215358.76</v>
      </c>
      <c r="T480" s="142">
        <f t="shared" si="68"/>
        <v>3987535.69</v>
      </c>
      <c r="U480" s="142">
        <f t="shared" si="69"/>
        <v>184084.78</v>
      </c>
      <c r="W480" s="601">
        <f t="shared" si="70"/>
        <v>9638823.1499999985</v>
      </c>
      <c r="X480" s="601">
        <f t="shared" si="71"/>
        <v>0</v>
      </c>
      <c r="Y480" s="123"/>
      <c r="Z480" s="692">
        <f t="shared" si="66"/>
        <v>9223894.4499999993</v>
      </c>
      <c r="AA480" s="124"/>
      <c r="AB480" s="124"/>
      <c r="AC480" s="124"/>
      <c r="AD480" s="124"/>
      <c r="AE480" s="124"/>
      <c r="AF480" s="124"/>
      <c r="AG480" s="124"/>
      <c r="AH480" s="124"/>
      <c r="AI480" s="124"/>
      <c r="AJ480" s="124"/>
      <c r="AK480" s="124"/>
      <c r="AL480" s="124"/>
      <c r="AM480" s="124"/>
      <c r="AN480" s="124"/>
      <c r="AO480" s="124"/>
      <c r="AP480" s="124"/>
      <c r="AQ480" s="124"/>
    </row>
    <row r="481" spans="1:43" customFormat="1" ht="12.75" hidden="1" thickBot="1">
      <c r="A481" s="25" t="s">
        <v>1214</v>
      </c>
      <c r="B481" s="25" t="s">
        <v>433</v>
      </c>
      <c r="C481" s="25" t="s">
        <v>462</v>
      </c>
      <c r="D481" s="69" t="s">
        <v>17</v>
      </c>
      <c r="E481" s="77">
        <v>196</v>
      </c>
      <c r="F481" s="20"/>
      <c r="G481" s="17">
        <v>7.1</v>
      </c>
      <c r="H481" s="17">
        <v>5.34</v>
      </c>
      <c r="I481" s="17">
        <v>0.22</v>
      </c>
      <c r="J481" s="20"/>
      <c r="K481" s="20"/>
      <c r="L481" s="20"/>
      <c r="M481" s="17">
        <v>0.31</v>
      </c>
      <c r="N481" s="17">
        <v>0.3</v>
      </c>
      <c r="O481" s="20"/>
      <c r="P481" s="20"/>
      <c r="Q481" s="20"/>
      <c r="R481" s="17">
        <v>13.27</v>
      </c>
      <c r="S481" s="142">
        <f t="shared" si="67"/>
        <v>12.66</v>
      </c>
      <c r="T481" s="142">
        <f t="shared" si="68"/>
        <v>0</v>
      </c>
      <c r="U481" s="142">
        <f t="shared" si="69"/>
        <v>0.3</v>
      </c>
      <c r="W481" s="601">
        <f t="shared" si="70"/>
        <v>13.270000000000001</v>
      </c>
      <c r="X481" s="601">
        <f t="shared" si="71"/>
        <v>0</v>
      </c>
      <c r="Y481" s="123"/>
      <c r="Z481" s="692">
        <f t="shared" si="66"/>
        <v>12.66</v>
      </c>
      <c r="AA481" s="124"/>
      <c r="AB481" s="124"/>
      <c r="AC481" s="124"/>
      <c r="AD481" s="124"/>
      <c r="AE481" s="124"/>
      <c r="AF481" s="124"/>
      <c r="AG481" s="124"/>
      <c r="AH481" s="124"/>
      <c r="AI481" s="124"/>
      <c r="AJ481" s="124"/>
      <c r="AK481" s="124"/>
      <c r="AL481" s="124"/>
      <c r="AM481" s="124"/>
      <c r="AN481" s="124"/>
      <c r="AO481" s="124"/>
      <c r="AP481" s="124"/>
      <c r="AQ481" s="124"/>
    </row>
    <row r="482" spans="1:43" customFormat="1" ht="12.75" hidden="1" thickBot="1">
      <c r="A482" s="25" t="s">
        <v>1214</v>
      </c>
      <c r="B482" s="25" t="s">
        <v>434</v>
      </c>
      <c r="C482" s="25" t="s">
        <v>462</v>
      </c>
      <c r="D482" s="69" t="s">
        <v>17</v>
      </c>
      <c r="E482" s="76">
        <v>152460</v>
      </c>
      <c r="F482" s="19"/>
      <c r="G482" s="18">
        <v>5528.17</v>
      </c>
      <c r="H482" s="18">
        <v>4154.59</v>
      </c>
      <c r="I482" s="18">
        <v>167.72</v>
      </c>
      <c r="J482" s="19"/>
      <c r="K482" s="19"/>
      <c r="L482" s="19"/>
      <c r="M482" s="18">
        <v>242.71</v>
      </c>
      <c r="N482" s="18">
        <v>231.75</v>
      </c>
      <c r="O482" s="19"/>
      <c r="P482" s="19"/>
      <c r="Q482" s="19"/>
      <c r="R482" s="18">
        <v>10324.94</v>
      </c>
      <c r="S482" s="142">
        <f t="shared" si="67"/>
        <v>9850.48</v>
      </c>
      <c r="T482" s="142">
        <f t="shared" si="68"/>
        <v>0</v>
      </c>
      <c r="U482" s="142">
        <f t="shared" si="69"/>
        <v>231.75</v>
      </c>
      <c r="W482" s="601">
        <f t="shared" si="70"/>
        <v>10324.939999999999</v>
      </c>
      <c r="X482" s="601">
        <f t="shared" si="71"/>
        <v>0</v>
      </c>
      <c r="Y482" s="123"/>
      <c r="Z482" s="692">
        <f t="shared" si="66"/>
        <v>9850.48</v>
      </c>
      <c r="AA482" s="124"/>
      <c r="AB482" s="124"/>
      <c r="AC482" s="124"/>
      <c r="AD482" s="124"/>
      <c r="AE482" s="124"/>
      <c r="AF482" s="124"/>
      <c r="AG482" s="124"/>
      <c r="AH482" s="124"/>
      <c r="AI482" s="124"/>
      <c r="AJ482" s="124"/>
      <c r="AK482" s="124"/>
      <c r="AL482" s="124"/>
      <c r="AM482" s="124"/>
      <c r="AN482" s="124"/>
      <c r="AO482" s="124"/>
      <c r="AP482" s="124"/>
      <c r="AQ482" s="124"/>
    </row>
    <row r="483" spans="1:43" customFormat="1" ht="12.75" hidden="1" thickBot="1">
      <c r="A483" s="25" t="s">
        <v>1214</v>
      </c>
      <c r="B483" s="25" t="s">
        <v>435</v>
      </c>
      <c r="C483" s="25" t="s">
        <v>462</v>
      </c>
      <c r="D483" s="69" t="s">
        <v>17</v>
      </c>
      <c r="E483" s="77">
        <v>8149</v>
      </c>
      <c r="F483" s="20"/>
      <c r="G483" s="17">
        <v>295.5</v>
      </c>
      <c r="H483" s="17">
        <v>222.06</v>
      </c>
      <c r="I483" s="17">
        <v>8.9600000000000009</v>
      </c>
      <c r="J483" s="20"/>
      <c r="K483" s="20"/>
      <c r="L483" s="20"/>
      <c r="M483" s="17">
        <v>12.92</v>
      </c>
      <c r="N483" s="17">
        <v>12.25</v>
      </c>
      <c r="O483" s="20"/>
      <c r="P483" s="20"/>
      <c r="Q483" s="20"/>
      <c r="R483" s="17">
        <v>551.69000000000005</v>
      </c>
      <c r="S483" s="142">
        <f t="shared" si="67"/>
        <v>526.52</v>
      </c>
      <c r="T483" s="142">
        <f t="shared" si="68"/>
        <v>0</v>
      </c>
      <c r="U483" s="142">
        <f t="shared" si="69"/>
        <v>12.25</v>
      </c>
      <c r="W483" s="601">
        <f t="shared" si="70"/>
        <v>551.68999999999994</v>
      </c>
      <c r="X483" s="601">
        <f t="shared" si="71"/>
        <v>0</v>
      </c>
      <c r="Y483" s="123"/>
      <c r="Z483" s="692">
        <f t="shared" si="66"/>
        <v>526.52</v>
      </c>
      <c r="AA483" s="124"/>
      <c r="AB483" s="124"/>
      <c r="AC483" s="124"/>
      <c r="AD483" s="124"/>
      <c r="AE483" s="124"/>
      <c r="AF483" s="124"/>
      <c r="AG483" s="124"/>
      <c r="AH483" s="124"/>
      <c r="AI483" s="124"/>
      <c r="AJ483" s="124"/>
      <c r="AK483" s="124"/>
      <c r="AL483" s="124"/>
      <c r="AM483" s="124"/>
      <c r="AN483" s="124"/>
      <c r="AO483" s="124"/>
      <c r="AP483" s="124"/>
      <c r="AQ483" s="124"/>
    </row>
    <row r="484" spans="1:43" customFormat="1" ht="12.75" hidden="1" thickBot="1">
      <c r="A484" s="25" t="s">
        <v>1214</v>
      </c>
      <c r="B484" s="25" t="s">
        <v>436</v>
      </c>
      <c r="C484" s="25" t="s">
        <v>55</v>
      </c>
      <c r="D484" s="69" t="s">
        <v>18</v>
      </c>
      <c r="E484" s="76">
        <v>177436</v>
      </c>
      <c r="F484" s="18">
        <v>2912</v>
      </c>
      <c r="G484" s="18">
        <v>8557.4599999999991</v>
      </c>
      <c r="H484" s="18">
        <v>4835.24</v>
      </c>
      <c r="I484" s="18">
        <v>195.29</v>
      </c>
      <c r="J484" s="19"/>
      <c r="K484" s="19"/>
      <c r="L484" s="19"/>
      <c r="M484" s="18">
        <v>282.60000000000002</v>
      </c>
      <c r="N484" s="18">
        <v>385.17</v>
      </c>
      <c r="O484" s="19"/>
      <c r="P484" s="19"/>
      <c r="Q484" s="19"/>
      <c r="R484" s="18">
        <v>17167.759999999998</v>
      </c>
      <c r="S484" s="142">
        <f t="shared" si="67"/>
        <v>13587.99</v>
      </c>
      <c r="T484" s="142">
        <f t="shared" si="68"/>
        <v>0</v>
      </c>
      <c r="U484" s="142">
        <f t="shared" si="69"/>
        <v>385.17</v>
      </c>
      <c r="W484" s="601">
        <f t="shared" si="70"/>
        <v>17167.759999999995</v>
      </c>
      <c r="X484" s="601">
        <f t="shared" si="71"/>
        <v>0</v>
      </c>
      <c r="Y484" s="123"/>
      <c r="Z484" s="692">
        <f t="shared" si="66"/>
        <v>16499.989999999998</v>
      </c>
      <c r="AA484" s="124"/>
      <c r="AB484" s="124"/>
      <c r="AC484" s="124"/>
      <c r="AD484" s="124"/>
      <c r="AE484" s="124"/>
      <c r="AF484" s="124"/>
      <c r="AG484" s="124"/>
      <c r="AH484" s="124"/>
      <c r="AI484" s="124"/>
      <c r="AJ484" s="124"/>
      <c r="AK484" s="124"/>
      <c r="AL484" s="124"/>
      <c r="AM484" s="124"/>
      <c r="AN484" s="124"/>
      <c r="AO484" s="124"/>
      <c r="AP484" s="124"/>
      <c r="AQ484" s="124"/>
    </row>
    <row r="485" spans="1:43" customFormat="1" ht="12.75" hidden="1" thickBot="1">
      <c r="A485" s="25" t="s">
        <v>1214</v>
      </c>
      <c r="B485" s="25" t="s">
        <v>437</v>
      </c>
      <c r="C485" s="25" t="s">
        <v>55</v>
      </c>
      <c r="D485" s="69" t="s">
        <v>18</v>
      </c>
      <c r="E485" s="77">
        <v>68742</v>
      </c>
      <c r="F485" s="17">
        <v>435.5</v>
      </c>
      <c r="G485" s="17">
        <v>3315.44</v>
      </c>
      <c r="H485" s="17">
        <v>1873.21</v>
      </c>
      <c r="I485" s="17">
        <v>75.61</v>
      </c>
      <c r="J485" s="20"/>
      <c r="K485" s="20"/>
      <c r="L485" s="20"/>
      <c r="M485" s="17">
        <v>110</v>
      </c>
      <c r="N485" s="17">
        <v>135.37</v>
      </c>
      <c r="O485" s="20"/>
      <c r="P485" s="20"/>
      <c r="Q485" s="20"/>
      <c r="R485" s="17">
        <v>5945.13</v>
      </c>
      <c r="S485" s="142">
        <f t="shared" si="67"/>
        <v>5264.2599999999993</v>
      </c>
      <c r="T485" s="142">
        <f t="shared" si="68"/>
        <v>0</v>
      </c>
      <c r="U485" s="142">
        <f t="shared" si="69"/>
        <v>135.37</v>
      </c>
      <c r="W485" s="601">
        <f t="shared" si="70"/>
        <v>5945.1299999999992</v>
      </c>
      <c r="X485" s="601">
        <f t="shared" si="71"/>
        <v>0</v>
      </c>
      <c r="Y485" s="123"/>
      <c r="Z485" s="692">
        <f t="shared" si="66"/>
        <v>5699.7599999999993</v>
      </c>
      <c r="AA485" s="124"/>
      <c r="AB485" s="124"/>
      <c r="AC485" s="124"/>
      <c r="AD485" s="124"/>
      <c r="AE485" s="124"/>
      <c r="AF485" s="124"/>
      <c r="AG485" s="124"/>
      <c r="AH485" s="124"/>
      <c r="AI485" s="124"/>
      <c r="AJ485" s="124"/>
      <c r="AK485" s="124"/>
      <c r="AL485" s="124"/>
      <c r="AM485" s="124"/>
      <c r="AN485" s="124"/>
      <c r="AO485" s="124"/>
      <c r="AP485" s="124"/>
      <c r="AQ485" s="124"/>
    </row>
    <row r="486" spans="1:43" customFormat="1" ht="12.75" hidden="1" thickBot="1">
      <c r="A486" s="25" t="s">
        <v>1214</v>
      </c>
      <c r="B486" s="25" t="s">
        <v>856</v>
      </c>
      <c r="C486" s="25" t="s">
        <v>857</v>
      </c>
      <c r="D486" s="69" t="s">
        <v>1125</v>
      </c>
      <c r="E486" s="19"/>
      <c r="F486" s="19"/>
      <c r="G486" s="19"/>
      <c r="H486" s="19"/>
      <c r="I486" s="19"/>
      <c r="J486" s="19"/>
      <c r="K486" s="19"/>
      <c r="L486" s="19"/>
      <c r="M486" s="19"/>
      <c r="N486" s="19"/>
      <c r="O486" s="19"/>
      <c r="P486" s="19"/>
      <c r="Q486" s="19"/>
      <c r="R486" s="19"/>
      <c r="S486" s="142">
        <f t="shared" si="67"/>
        <v>0</v>
      </c>
      <c r="T486" s="142">
        <f t="shared" si="68"/>
        <v>0</v>
      </c>
      <c r="U486" s="142">
        <f t="shared" si="69"/>
        <v>0</v>
      </c>
      <c r="W486" s="601">
        <f t="shared" si="70"/>
        <v>0</v>
      </c>
      <c r="X486" s="601">
        <f t="shared" si="71"/>
        <v>0</v>
      </c>
      <c r="Y486" s="123"/>
      <c r="Z486" s="692">
        <f t="shared" si="66"/>
        <v>0</v>
      </c>
      <c r="AA486" s="124"/>
      <c r="AB486" s="124"/>
      <c r="AC486" s="124"/>
      <c r="AD486" s="124"/>
      <c r="AE486" s="124"/>
      <c r="AF486" s="124"/>
      <c r="AG486" s="124"/>
      <c r="AH486" s="124"/>
      <c r="AI486" s="124"/>
      <c r="AJ486" s="124"/>
      <c r="AK486" s="124"/>
      <c r="AL486" s="124"/>
      <c r="AM486" s="124"/>
      <c r="AN486" s="124"/>
      <c r="AO486" s="124"/>
      <c r="AP486" s="124"/>
      <c r="AQ486" s="124"/>
    </row>
    <row r="487" spans="1:43" customFormat="1" ht="12.75" hidden="1" thickBot="1">
      <c r="A487" s="25" t="s">
        <v>1214</v>
      </c>
      <c r="B487" s="25" t="s">
        <v>438</v>
      </c>
      <c r="C487" s="25" t="s">
        <v>469</v>
      </c>
      <c r="D487" s="69" t="s">
        <v>13</v>
      </c>
      <c r="E487" s="77">
        <v>768882</v>
      </c>
      <c r="F487" s="20"/>
      <c r="G487" s="17">
        <v>40111.94</v>
      </c>
      <c r="H487" s="17">
        <v>20952.46</v>
      </c>
      <c r="I487" s="17">
        <v>1030.5999999999999</v>
      </c>
      <c r="J487" s="20"/>
      <c r="K487" s="20"/>
      <c r="L487" s="17">
        <v>4175.67</v>
      </c>
      <c r="M487" s="17">
        <v>1230.56</v>
      </c>
      <c r="N487" s="17">
        <v>1572.64</v>
      </c>
      <c r="O487" s="20"/>
      <c r="P487" s="20"/>
      <c r="Q487" s="17">
        <v>0</v>
      </c>
      <c r="R487" s="17">
        <v>69073.87</v>
      </c>
      <c r="S487" s="142">
        <f t="shared" si="67"/>
        <v>62095</v>
      </c>
      <c r="T487" s="142">
        <f t="shared" si="68"/>
        <v>0</v>
      </c>
      <c r="U487" s="142">
        <f t="shared" si="69"/>
        <v>1572.64</v>
      </c>
      <c r="W487" s="601">
        <f t="shared" si="70"/>
        <v>69073.87</v>
      </c>
      <c r="X487" s="601">
        <f t="shared" si="71"/>
        <v>0</v>
      </c>
      <c r="Y487" s="123"/>
      <c r="Z487" s="692">
        <f t="shared" si="66"/>
        <v>62095</v>
      </c>
      <c r="AA487" s="124"/>
      <c r="AB487" s="124"/>
      <c r="AC487" s="124"/>
      <c r="AD487" s="124"/>
      <c r="AE487" s="124"/>
      <c r="AF487" s="124"/>
      <c r="AG487" s="124"/>
      <c r="AH487" s="124"/>
      <c r="AI487" s="124"/>
      <c r="AJ487" s="124"/>
      <c r="AK487" s="124"/>
      <c r="AL487" s="124"/>
      <c r="AM487" s="124"/>
      <c r="AN487" s="124"/>
      <c r="AO487" s="124"/>
      <c r="AP487" s="124"/>
      <c r="AQ487" s="124"/>
    </row>
    <row r="488" spans="1:43" customFormat="1" ht="12.75" hidden="1" thickBot="1">
      <c r="A488" s="25" t="s">
        <v>1214</v>
      </c>
      <c r="B488" s="25" t="s">
        <v>439</v>
      </c>
      <c r="C488" s="25" t="s">
        <v>466</v>
      </c>
      <c r="D488" s="69" t="s">
        <v>13</v>
      </c>
      <c r="E488" s="76">
        <v>262861434</v>
      </c>
      <c r="F488" s="18">
        <v>3774896.69</v>
      </c>
      <c r="G488" s="18">
        <v>13713423.65</v>
      </c>
      <c r="H488" s="18">
        <v>7163001.7400000002</v>
      </c>
      <c r="I488" s="18">
        <v>352225.8</v>
      </c>
      <c r="J488" s="19"/>
      <c r="K488" s="19"/>
      <c r="L488" s="18">
        <v>1427341.6</v>
      </c>
      <c r="M488" s="18">
        <v>420602.84</v>
      </c>
      <c r="N488" s="18">
        <v>625624.16</v>
      </c>
      <c r="O488" s="19"/>
      <c r="P488" s="19"/>
      <c r="Q488" s="18">
        <v>0</v>
      </c>
      <c r="R488" s="18">
        <v>27477116.48</v>
      </c>
      <c r="S488" s="142">
        <f t="shared" si="67"/>
        <v>21228651.190000001</v>
      </c>
      <c r="T488" s="142">
        <f t="shared" si="68"/>
        <v>0</v>
      </c>
      <c r="U488" s="142">
        <f t="shared" si="69"/>
        <v>625624.16</v>
      </c>
      <c r="W488" s="601">
        <f t="shared" si="70"/>
        <v>27477116.48</v>
      </c>
      <c r="X488" s="601">
        <f t="shared" si="71"/>
        <v>0</v>
      </c>
      <c r="Y488" s="123"/>
      <c r="Z488" s="692">
        <f t="shared" si="66"/>
        <v>25003547.879999999</v>
      </c>
      <c r="AA488" s="124"/>
      <c r="AB488" s="124"/>
      <c r="AC488" s="124"/>
      <c r="AD488" s="124"/>
      <c r="AE488" s="124"/>
      <c r="AF488" s="124"/>
      <c r="AG488" s="124"/>
      <c r="AH488" s="124"/>
      <c r="AI488" s="124"/>
      <c r="AJ488" s="124"/>
      <c r="AK488" s="124"/>
      <c r="AL488" s="124"/>
      <c r="AM488" s="124"/>
      <c r="AN488" s="124"/>
      <c r="AO488" s="124"/>
      <c r="AP488" s="124"/>
      <c r="AQ488" s="124"/>
    </row>
    <row r="489" spans="1:43" customFormat="1" ht="12.75" hidden="1" thickBot="1">
      <c r="A489" s="25" t="s">
        <v>1214</v>
      </c>
      <c r="B489" s="25" t="s">
        <v>440</v>
      </c>
      <c r="C489" s="25" t="s">
        <v>467</v>
      </c>
      <c r="D489" s="69" t="s">
        <v>13</v>
      </c>
      <c r="E489" s="77">
        <v>79310</v>
      </c>
      <c r="F489" s="17">
        <v>1355.57</v>
      </c>
      <c r="G489" s="17">
        <v>4137.5200000000004</v>
      </c>
      <c r="H489" s="17">
        <v>2161.27</v>
      </c>
      <c r="I489" s="17">
        <v>106.3</v>
      </c>
      <c r="J489" s="20"/>
      <c r="K489" s="20"/>
      <c r="L489" s="17">
        <v>430.7</v>
      </c>
      <c r="M489" s="17">
        <v>126.92</v>
      </c>
      <c r="N489" s="17">
        <v>193.84</v>
      </c>
      <c r="O489" s="20"/>
      <c r="P489" s="20"/>
      <c r="Q489" s="17">
        <v>0</v>
      </c>
      <c r="R489" s="17">
        <v>8512.1200000000008</v>
      </c>
      <c r="S489" s="142">
        <f t="shared" si="67"/>
        <v>6405.0900000000011</v>
      </c>
      <c r="T489" s="142">
        <f t="shared" si="68"/>
        <v>0</v>
      </c>
      <c r="U489" s="142">
        <f t="shared" si="69"/>
        <v>193.84</v>
      </c>
      <c r="W489" s="601">
        <f t="shared" si="70"/>
        <v>8512.1200000000008</v>
      </c>
      <c r="X489" s="601">
        <f t="shared" si="71"/>
        <v>0</v>
      </c>
      <c r="Y489" s="123"/>
      <c r="Z489" s="692">
        <f t="shared" si="66"/>
        <v>7760.6600000000008</v>
      </c>
      <c r="AA489" s="124"/>
      <c r="AB489" s="124"/>
      <c r="AC489" s="124"/>
      <c r="AD489" s="124"/>
      <c r="AE489" s="124"/>
      <c r="AF489" s="124"/>
      <c r="AG489" s="124"/>
      <c r="AH489" s="124"/>
      <c r="AI489" s="124"/>
      <c r="AJ489" s="124"/>
      <c r="AK489" s="124"/>
      <c r="AL489" s="124"/>
      <c r="AM489" s="124"/>
      <c r="AN489" s="124"/>
      <c r="AO489" s="124"/>
      <c r="AP489" s="124"/>
      <c r="AQ489" s="124"/>
    </row>
    <row r="490" spans="1:43" customFormat="1" ht="12.75" hidden="1" thickBot="1">
      <c r="A490" s="25" t="s">
        <v>1214</v>
      </c>
      <c r="B490" s="25" t="s">
        <v>441</v>
      </c>
      <c r="C490" s="25" t="s">
        <v>468</v>
      </c>
      <c r="D490" s="69" t="s">
        <v>13</v>
      </c>
      <c r="E490" s="76">
        <v>32308</v>
      </c>
      <c r="F490" s="18">
        <v>64.5</v>
      </c>
      <c r="G490" s="18">
        <v>1685.52</v>
      </c>
      <c r="H490" s="18">
        <v>880.4</v>
      </c>
      <c r="I490" s="18">
        <v>43.28</v>
      </c>
      <c r="J490" s="19"/>
      <c r="K490" s="19"/>
      <c r="L490" s="18">
        <v>175.43</v>
      </c>
      <c r="M490" s="18">
        <v>51.69</v>
      </c>
      <c r="N490" s="18">
        <v>67.59</v>
      </c>
      <c r="O490" s="19"/>
      <c r="P490" s="19"/>
      <c r="Q490" s="18">
        <v>0</v>
      </c>
      <c r="R490" s="18">
        <v>2968.41</v>
      </c>
      <c r="S490" s="142">
        <f t="shared" si="67"/>
        <v>2609.2000000000003</v>
      </c>
      <c r="T490" s="142">
        <f t="shared" si="68"/>
        <v>0</v>
      </c>
      <c r="U490" s="142">
        <f t="shared" si="69"/>
        <v>67.59</v>
      </c>
      <c r="W490" s="601">
        <f t="shared" si="70"/>
        <v>2968.4100000000003</v>
      </c>
      <c r="X490" s="601">
        <f t="shared" si="71"/>
        <v>0</v>
      </c>
      <c r="Y490" s="123"/>
      <c r="Z490" s="692">
        <f t="shared" si="66"/>
        <v>2673.7000000000003</v>
      </c>
      <c r="AA490" s="124"/>
      <c r="AB490" s="124"/>
      <c r="AC490" s="124"/>
      <c r="AD490" s="124"/>
      <c r="AE490" s="124"/>
      <c r="AF490" s="124"/>
      <c r="AG490" s="124"/>
      <c r="AH490" s="124"/>
      <c r="AI490" s="124"/>
      <c r="AJ490" s="124"/>
      <c r="AK490" s="124"/>
      <c r="AL490" s="124"/>
      <c r="AM490" s="124"/>
      <c r="AN490" s="124"/>
      <c r="AO490" s="124"/>
      <c r="AP490" s="124"/>
      <c r="AQ490" s="124"/>
    </row>
    <row r="491" spans="1:43" customFormat="1" ht="12.75" hidden="1" thickBot="1">
      <c r="A491" s="25" t="s">
        <v>1214</v>
      </c>
      <c r="B491" s="25" t="s">
        <v>755</v>
      </c>
      <c r="C491" s="25" t="s">
        <v>1124</v>
      </c>
      <c r="D491" s="69" t="s">
        <v>680</v>
      </c>
      <c r="E491" s="77">
        <v>21503</v>
      </c>
      <c r="F491" s="17">
        <v>204.25</v>
      </c>
      <c r="G491" s="17">
        <v>1074.17</v>
      </c>
      <c r="H491" s="17">
        <v>586.01</v>
      </c>
      <c r="I491" s="17">
        <v>28.81</v>
      </c>
      <c r="J491" s="20"/>
      <c r="K491" s="20"/>
      <c r="L491" s="17">
        <v>116.77</v>
      </c>
      <c r="M491" s="17">
        <v>34.21</v>
      </c>
      <c r="N491" s="17">
        <v>46.92</v>
      </c>
      <c r="O491" s="20"/>
      <c r="P491" s="20"/>
      <c r="Q491" s="20"/>
      <c r="R491" s="17">
        <v>2091.14</v>
      </c>
      <c r="S491" s="142">
        <f t="shared" si="67"/>
        <v>1688.99</v>
      </c>
      <c r="T491" s="142">
        <f t="shared" si="68"/>
        <v>0</v>
      </c>
      <c r="U491" s="142">
        <f t="shared" si="69"/>
        <v>46.92</v>
      </c>
      <c r="W491" s="601">
        <f t="shared" si="70"/>
        <v>2091.14</v>
      </c>
      <c r="X491" s="601">
        <f t="shared" si="71"/>
        <v>0</v>
      </c>
      <c r="Y491" s="123"/>
      <c r="Z491" s="692">
        <f t="shared" si="66"/>
        <v>1893.24</v>
      </c>
      <c r="AA491" s="124"/>
      <c r="AB491" s="124"/>
      <c r="AC491" s="124"/>
      <c r="AD491" s="124"/>
      <c r="AE491" s="124"/>
      <c r="AF491" s="124"/>
      <c r="AG491" s="124"/>
      <c r="AH491" s="124"/>
      <c r="AI491" s="124"/>
      <c r="AJ491" s="124"/>
      <c r="AK491" s="124"/>
      <c r="AL491" s="124"/>
      <c r="AM491" s="124"/>
      <c r="AN491" s="124"/>
      <c r="AO491" s="124"/>
      <c r="AP491" s="124"/>
      <c r="AQ491" s="124"/>
    </row>
    <row r="492" spans="1:43" customFormat="1" ht="12.75" hidden="1" thickBot="1">
      <c r="A492" s="25" t="s">
        <v>1214</v>
      </c>
      <c r="B492" s="25" t="s">
        <v>1208</v>
      </c>
      <c r="C492" s="25" t="s">
        <v>1217</v>
      </c>
      <c r="D492" s="69" t="s">
        <v>680</v>
      </c>
      <c r="E492" s="76">
        <v>79</v>
      </c>
      <c r="F492" s="18">
        <v>10.75</v>
      </c>
      <c r="G492" s="18">
        <v>2.34</v>
      </c>
      <c r="H492" s="18">
        <v>2.15</v>
      </c>
      <c r="I492" s="18">
        <v>0.11</v>
      </c>
      <c r="J492" s="19"/>
      <c r="K492" s="19"/>
      <c r="L492" s="18">
        <v>0.43</v>
      </c>
      <c r="M492" s="18">
        <v>0.13</v>
      </c>
      <c r="N492" s="18">
        <v>0.37</v>
      </c>
      <c r="O492" s="19"/>
      <c r="P492" s="19"/>
      <c r="Q492" s="19"/>
      <c r="R492" s="18">
        <v>16.28</v>
      </c>
      <c r="S492" s="142">
        <f t="shared" si="67"/>
        <v>4.6000000000000005</v>
      </c>
      <c r="T492" s="142">
        <f t="shared" si="68"/>
        <v>0</v>
      </c>
      <c r="U492" s="142">
        <f t="shared" si="69"/>
        <v>0.37</v>
      </c>
      <c r="W492" s="601">
        <f t="shared" si="70"/>
        <v>16.28</v>
      </c>
      <c r="X492" s="601">
        <f t="shared" si="71"/>
        <v>0</v>
      </c>
      <c r="Y492" s="123"/>
      <c r="Z492" s="692">
        <f t="shared" si="66"/>
        <v>15.35</v>
      </c>
      <c r="AA492" s="124"/>
      <c r="AB492" s="124"/>
      <c r="AC492" s="124"/>
      <c r="AD492" s="124"/>
      <c r="AE492" s="124"/>
      <c r="AF492" s="124"/>
      <c r="AG492" s="124"/>
      <c r="AH492" s="124"/>
      <c r="AI492" s="124"/>
      <c r="AJ492" s="124"/>
      <c r="AK492" s="124"/>
      <c r="AL492" s="124"/>
      <c r="AM492" s="124"/>
      <c r="AN492" s="124"/>
      <c r="AO492" s="124"/>
      <c r="AP492" s="124"/>
      <c r="AQ492" s="124"/>
    </row>
    <row r="493" spans="1:43" customFormat="1" ht="12.75" hidden="1" thickBot="1">
      <c r="A493" s="25" t="s">
        <v>1214</v>
      </c>
      <c r="B493" s="25" t="s">
        <v>401</v>
      </c>
      <c r="C493" s="25" t="s">
        <v>402</v>
      </c>
      <c r="D493" s="69" t="s">
        <v>1125</v>
      </c>
      <c r="E493" s="20"/>
      <c r="F493" s="20"/>
      <c r="G493" s="20"/>
      <c r="H493" s="20"/>
      <c r="I493" s="20"/>
      <c r="J493" s="20"/>
      <c r="K493" s="20"/>
      <c r="L493" s="20"/>
      <c r="M493" s="20"/>
      <c r="N493" s="20"/>
      <c r="O493" s="20"/>
      <c r="P493" s="20"/>
      <c r="Q493" s="20"/>
      <c r="R493" s="20"/>
      <c r="S493" s="142">
        <f t="shared" si="67"/>
        <v>0</v>
      </c>
      <c r="T493" s="142">
        <f t="shared" si="68"/>
        <v>0</v>
      </c>
      <c r="U493" s="142">
        <f t="shared" si="69"/>
        <v>0</v>
      </c>
      <c r="W493" s="601">
        <f t="shared" si="70"/>
        <v>0</v>
      </c>
      <c r="X493" s="601">
        <f t="shared" si="71"/>
        <v>0</v>
      </c>
      <c r="Y493" s="123"/>
      <c r="Z493" s="692">
        <f t="shared" si="66"/>
        <v>0</v>
      </c>
      <c r="AA493" s="124"/>
      <c r="AB493" s="124"/>
      <c r="AC493" s="124"/>
      <c r="AD493" s="124"/>
      <c r="AE493" s="124"/>
      <c r="AF493" s="124"/>
      <c r="AG493" s="124"/>
      <c r="AH493" s="124"/>
      <c r="AI493" s="124"/>
      <c r="AJ493" s="124"/>
      <c r="AK493" s="124"/>
      <c r="AL493" s="124"/>
      <c r="AM493" s="124"/>
      <c r="AN493" s="124"/>
      <c r="AO493" s="124"/>
      <c r="AP493" s="124"/>
      <c r="AQ493" s="124"/>
    </row>
    <row r="494" spans="1:43" customFormat="1" ht="12.75" hidden="1" thickBot="1">
      <c r="A494" s="25" t="s">
        <v>1214</v>
      </c>
      <c r="B494" s="25" t="s">
        <v>182</v>
      </c>
      <c r="C494" s="57" t="s">
        <v>1313</v>
      </c>
      <c r="D494" s="235" t="s">
        <v>498</v>
      </c>
      <c r="E494" s="76">
        <v>0</v>
      </c>
      <c r="F494" s="19"/>
      <c r="G494" s="18">
        <v>0</v>
      </c>
      <c r="H494" s="19"/>
      <c r="I494" s="19"/>
      <c r="J494" s="19"/>
      <c r="K494" s="19"/>
      <c r="L494" s="19"/>
      <c r="M494" s="18">
        <v>0</v>
      </c>
      <c r="N494" s="18">
        <v>0</v>
      </c>
      <c r="O494" s="19"/>
      <c r="P494" s="19"/>
      <c r="Q494" s="18">
        <v>0</v>
      </c>
      <c r="R494" s="18">
        <v>0</v>
      </c>
      <c r="S494" s="142">
        <f t="shared" si="67"/>
        <v>0</v>
      </c>
      <c r="T494" s="142">
        <f t="shared" si="68"/>
        <v>0</v>
      </c>
      <c r="U494" s="142">
        <f t="shared" si="69"/>
        <v>0</v>
      </c>
      <c r="W494" s="601">
        <f t="shared" si="70"/>
        <v>0</v>
      </c>
      <c r="X494" s="601">
        <f t="shared" si="71"/>
        <v>0</v>
      </c>
      <c r="Y494" s="123"/>
      <c r="Z494" s="692">
        <f t="shared" si="66"/>
        <v>0</v>
      </c>
      <c r="AA494" s="124"/>
      <c r="AB494" s="124"/>
      <c r="AC494" s="124"/>
      <c r="AD494" s="124"/>
      <c r="AE494" s="124"/>
      <c r="AF494" s="124"/>
      <c r="AG494" s="124"/>
      <c r="AH494" s="124"/>
      <c r="AI494" s="124"/>
      <c r="AJ494" s="124"/>
      <c r="AK494" s="124"/>
      <c r="AL494" s="124"/>
      <c r="AM494" s="124"/>
      <c r="AN494" s="124"/>
      <c r="AO494" s="124"/>
      <c r="AP494" s="124"/>
      <c r="AQ494" s="124"/>
    </row>
    <row r="495" spans="1:43" customFormat="1" ht="12.75" hidden="1" thickBot="1">
      <c r="A495" s="25" t="s">
        <v>1214</v>
      </c>
      <c r="B495" s="25" t="s">
        <v>198</v>
      </c>
      <c r="C495" s="57" t="s">
        <v>1314</v>
      </c>
      <c r="D495" s="235" t="s">
        <v>498</v>
      </c>
      <c r="E495" s="77">
        <v>0</v>
      </c>
      <c r="F495" s="20"/>
      <c r="G495" s="17">
        <v>0</v>
      </c>
      <c r="H495" s="20"/>
      <c r="I495" s="20"/>
      <c r="J495" s="20"/>
      <c r="K495" s="20"/>
      <c r="L495" s="20"/>
      <c r="M495" s="17">
        <v>0</v>
      </c>
      <c r="N495" s="17">
        <v>0</v>
      </c>
      <c r="O495" s="20"/>
      <c r="P495" s="20"/>
      <c r="Q495" s="17">
        <v>0</v>
      </c>
      <c r="R495" s="17">
        <v>0</v>
      </c>
      <c r="S495" s="142">
        <f t="shared" si="67"/>
        <v>0</v>
      </c>
      <c r="T495" s="142">
        <f t="shared" si="68"/>
        <v>0</v>
      </c>
      <c r="U495" s="142">
        <f t="shared" si="69"/>
        <v>0</v>
      </c>
      <c r="W495" s="601">
        <f t="shared" si="70"/>
        <v>0</v>
      </c>
      <c r="X495" s="601">
        <f t="shared" si="71"/>
        <v>0</v>
      </c>
      <c r="Y495" s="123"/>
      <c r="Z495" s="692">
        <f t="shared" si="66"/>
        <v>0</v>
      </c>
      <c r="AA495" s="124"/>
      <c r="AB495" s="124"/>
      <c r="AC495" s="124"/>
      <c r="AD495" s="124"/>
      <c r="AE495" s="124"/>
      <c r="AF495" s="124"/>
      <c r="AG495" s="124"/>
      <c r="AH495" s="124"/>
      <c r="AI495" s="124"/>
      <c r="AJ495" s="124"/>
      <c r="AK495" s="124"/>
      <c r="AL495" s="124"/>
      <c r="AM495" s="124"/>
      <c r="AN495" s="124"/>
      <c r="AO495" s="124"/>
      <c r="AP495" s="124"/>
      <c r="AQ495" s="124"/>
    </row>
    <row r="496" spans="1:43" customFormat="1" ht="12.75" hidden="1" thickBot="1">
      <c r="A496" s="25" t="s">
        <v>1214</v>
      </c>
      <c r="B496" s="25" t="s">
        <v>199</v>
      </c>
      <c r="C496" s="57" t="s">
        <v>1315</v>
      </c>
      <c r="D496" s="235" t="s">
        <v>498</v>
      </c>
      <c r="E496" s="76">
        <v>0</v>
      </c>
      <c r="F496" s="19"/>
      <c r="G496" s="18">
        <v>0</v>
      </c>
      <c r="H496" s="19"/>
      <c r="I496" s="19"/>
      <c r="J496" s="19"/>
      <c r="K496" s="19"/>
      <c r="L496" s="19"/>
      <c r="M496" s="18">
        <v>0</v>
      </c>
      <c r="N496" s="18">
        <v>0</v>
      </c>
      <c r="O496" s="19"/>
      <c r="P496" s="19"/>
      <c r="Q496" s="18">
        <v>0</v>
      </c>
      <c r="R496" s="18">
        <v>0</v>
      </c>
      <c r="S496" s="142">
        <f t="shared" si="67"/>
        <v>0</v>
      </c>
      <c r="T496" s="142">
        <f t="shared" si="68"/>
        <v>0</v>
      </c>
      <c r="U496" s="142">
        <f t="shared" si="69"/>
        <v>0</v>
      </c>
      <c r="W496" s="601">
        <f t="shared" si="70"/>
        <v>0</v>
      </c>
      <c r="X496" s="601">
        <f t="shared" si="71"/>
        <v>0</v>
      </c>
      <c r="Y496" s="123"/>
      <c r="Z496" s="692">
        <f t="shared" ref="Z496:Z554" si="72">SUM(F496:K496)</f>
        <v>0</v>
      </c>
      <c r="AA496" s="124"/>
      <c r="AB496" s="124"/>
      <c r="AC496" s="124"/>
      <c r="AD496" s="124"/>
      <c r="AE496" s="124"/>
      <c r="AF496" s="124"/>
      <c r="AG496" s="124"/>
      <c r="AH496" s="124"/>
      <c r="AI496" s="124"/>
      <c r="AJ496" s="124"/>
      <c r="AK496" s="124"/>
      <c r="AL496" s="124"/>
      <c r="AM496" s="124"/>
      <c r="AN496" s="124"/>
      <c r="AO496" s="124"/>
      <c r="AP496" s="124"/>
      <c r="AQ496" s="124"/>
    </row>
    <row r="497" spans="1:43" customFormat="1" ht="12.75" hidden="1" thickBot="1">
      <c r="A497" s="25" t="s">
        <v>1214</v>
      </c>
      <c r="B497" s="25" t="s">
        <v>222</v>
      </c>
      <c r="C497" s="57" t="s">
        <v>1310</v>
      </c>
      <c r="D497" s="235" t="s">
        <v>498</v>
      </c>
      <c r="E497" s="77">
        <v>0</v>
      </c>
      <c r="F497" s="20"/>
      <c r="G497" s="17">
        <v>0</v>
      </c>
      <c r="H497" s="20"/>
      <c r="I497" s="20"/>
      <c r="J497" s="20"/>
      <c r="K497" s="20"/>
      <c r="L497" s="20"/>
      <c r="M497" s="17">
        <v>0</v>
      </c>
      <c r="N497" s="17">
        <v>0</v>
      </c>
      <c r="O497" s="20"/>
      <c r="P497" s="20"/>
      <c r="Q497" s="17">
        <v>0</v>
      </c>
      <c r="R497" s="17">
        <v>0</v>
      </c>
      <c r="S497" s="142">
        <f t="shared" si="67"/>
        <v>0</v>
      </c>
      <c r="T497" s="142">
        <f t="shared" si="68"/>
        <v>0</v>
      </c>
      <c r="U497" s="142">
        <f t="shared" si="69"/>
        <v>0</v>
      </c>
      <c r="W497" s="601">
        <f t="shared" si="70"/>
        <v>0</v>
      </c>
      <c r="X497" s="601">
        <f t="shared" si="71"/>
        <v>0</v>
      </c>
      <c r="Y497" s="123"/>
      <c r="Z497" s="692">
        <f t="shared" si="72"/>
        <v>0</v>
      </c>
      <c r="AA497" s="124"/>
      <c r="AB497" s="124"/>
      <c r="AC497" s="124"/>
      <c r="AD497" s="124"/>
      <c r="AE497" s="124"/>
      <c r="AF497" s="124"/>
      <c r="AG497" s="124"/>
      <c r="AH497" s="124"/>
      <c r="AI497" s="124"/>
      <c r="AJ497" s="124"/>
      <c r="AK497" s="124"/>
      <c r="AL497" s="124"/>
      <c r="AM497" s="124"/>
      <c r="AN497" s="124"/>
      <c r="AO497" s="124"/>
      <c r="AP497" s="124"/>
      <c r="AQ497" s="124"/>
    </row>
    <row r="498" spans="1:43" customFormat="1" ht="12.75" hidden="1" thickBot="1">
      <c r="A498" s="25" t="s">
        <v>1214</v>
      </c>
      <c r="B498" s="25" t="s">
        <v>223</v>
      </c>
      <c r="C498" s="57" t="s">
        <v>1316</v>
      </c>
      <c r="D498" s="235" t="s">
        <v>498</v>
      </c>
      <c r="E498" s="76">
        <v>0</v>
      </c>
      <c r="F498" s="19"/>
      <c r="G498" s="18">
        <v>0</v>
      </c>
      <c r="H498" s="19"/>
      <c r="I498" s="19"/>
      <c r="J498" s="19"/>
      <c r="K498" s="19"/>
      <c r="L498" s="19"/>
      <c r="M498" s="18">
        <v>0</v>
      </c>
      <c r="N498" s="18">
        <v>0</v>
      </c>
      <c r="O498" s="19"/>
      <c r="P498" s="19"/>
      <c r="Q498" s="18">
        <v>0</v>
      </c>
      <c r="R498" s="18">
        <v>0</v>
      </c>
      <c r="S498" s="142">
        <f t="shared" si="67"/>
        <v>0</v>
      </c>
      <c r="T498" s="142">
        <f t="shared" si="68"/>
        <v>0</v>
      </c>
      <c r="U498" s="142">
        <f t="shared" si="69"/>
        <v>0</v>
      </c>
      <c r="W498" s="601">
        <f t="shared" si="70"/>
        <v>0</v>
      </c>
      <c r="X498" s="601">
        <f t="shared" si="71"/>
        <v>0</v>
      </c>
      <c r="Y498" s="123"/>
      <c r="Z498" s="692">
        <f t="shared" si="72"/>
        <v>0</v>
      </c>
      <c r="AA498" s="124"/>
      <c r="AB498" s="124"/>
      <c r="AC498" s="124"/>
      <c r="AD498" s="124"/>
      <c r="AE498" s="124"/>
      <c r="AF498" s="124"/>
      <c r="AG498" s="124"/>
      <c r="AH498" s="124"/>
      <c r="AI498" s="124"/>
      <c r="AJ498" s="124"/>
      <c r="AK498" s="124"/>
      <c r="AL498" s="124"/>
      <c r="AM498" s="124"/>
      <c r="AN498" s="124"/>
      <c r="AO498" s="124"/>
      <c r="AP498" s="124"/>
      <c r="AQ498" s="124"/>
    </row>
    <row r="499" spans="1:43" customFormat="1" ht="12.75" hidden="1" thickBot="1">
      <c r="A499" s="25" t="s">
        <v>1214</v>
      </c>
      <c r="B499" s="25" t="s">
        <v>224</v>
      </c>
      <c r="C499" s="57" t="s">
        <v>1317</v>
      </c>
      <c r="D499" s="235" t="s">
        <v>498</v>
      </c>
      <c r="E499" s="77">
        <v>0</v>
      </c>
      <c r="F499" s="20"/>
      <c r="G499" s="17">
        <v>0</v>
      </c>
      <c r="H499" s="20"/>
      <c r="I499" s="20"/>
      <c r="J499" s="20"/>
      <c r="K499" s="20"/>
      <c r="L499" s="20"/>
      <c r="M499" s="17">
        <v>0</v>
      </c>
      <c r="N499" s="17">
        <v>0</v>
      </c>
      <c r="O499" s="20"/>
      <c r="P499" s="20"/>
      <c r="Q499" s="17">
        <v>0</v>
      </c>
      <c r="R499" s="17">
        <v>0</v>
      </c>
      <c r="S499" s="142">
        <f t="shared" si="67"/>
        <v>0</v>
      </c>
      <c r="T499" s="142">
        <f t="shared" si="68"/>
        <v>0</v>
      </c>
      <c r="U499" s="142">
        <f t="shared" si="69"/>
        <v>0</v>
      </c>
      <c r="W499" s="601">
        <f t="shared" si="70"/>
        <v>0</v>
      </c>
      <c r="X499" s="601">
        <f t="shared" si="71"/>
        <v>0</v>
      </c>
      <c r="Y499" s="123"/>
      <c r="Z499" s="692">
        <f t="shared" si="72"/>
        <v>0</v>
      </c>
      <c r="AA499" s="124"/>
      <c r="AB499" s="124"/>
      <c r="AC499" s="124"/>
      <c r="AD499" s="124"/>
      <c r="AE499" s="124"/>
      <c r="AF499" s="124"/>
      <c r="AG499" s="124"/>
      <c r="AH499" s="124"/>
      <c r="AI499" s="124"/>
      <c r="AJ499" s="124"/>
      <c r="AK499" s="124"/>
      <c r="AL499" s="124"/>
      <c r="AM499" s="124"/>
      <c r="AN499" s="124"/>
      <c r="AO499" s="124"/>
      <c r="AP499" s="124"/>
      <c r="AQ499" s="124"/>
    </row>
    <row r="500" spans="1:43" customFormat="1" ht="12.75" hidden="1" thickBot="1">
      <c r="A500" s="25" t="s">
        <v>1214</v>
      </c>
      <c r="B500" s="57" t="s">
        <v>264</v>
      </c>
      <c r="C500" s="57" t="s">
        <v>1318</v>
      </c>
      <c r="D500" s="235" t="s">
        <v>498</v>
      </c>
      <c r="E500" s="76">
        <v>-7358</v>
      </c>
      <c r="F500" s="19"/>
      <c r="G500" s="18">
        <v>-1227.1500000000001</v>
      </c>
      <c r="H500" s="19"/>
      <c r="I500" s="19"/>
      <c r="J500" s="19"/>
      <c r="K500" s="19"/>
      <c r="L500" s="19"/>
      <c r="M500" s="18">
        <v>-7.81</v>
      </c>
      <c r="N500" s="18">
        <v>-11.27</v>
      </c>
      <c r="O500" s="19"/>
      <c r="P500" s="19"/>
      <c r="Q500" s="18">
        <v>0</v>
      </c>
      <c r="R500" s="18">
        <v>-1246.23</v>
      </c>
      <c r="S500" s="142">
        <f t="shared" si="67"/>
        <v>-1227.1500000000001</v>
      </c>
      <c r="T500" s="142">
        <f t="shared" si="68"/>
        <v>0</v>
      </c>
      <c r="U500" s="142">
        <f t="shared" si="69"/>
        <v>-11.27</v>
      </c>
      <c r="W500" s="601">
        <f t="shared" si="70"/>
        <v>-1246.23</v>
      </c>
      <c r="X500" s="601">
        <f t="shared" si="71"/>
        <v>0</v>
      </c>
      <c r="Y500" s="123"/>
      <c r="Z500" s="692">
        <f t="shared" si="72"/>
        <v>-1227.1500000000001</v>
      </c>
      <c r="AA500" s="124"/>
      <c r="AB500" s="124"/>
      <c r="AC500" s="124"/>
      <c r="AD500" s="124"/>
      <c r="AE500" s="124"/>
      <c r="AF500" s="124"/>
      <c r="AG500" s="124"/>
      <c r="AH500" s="124"/>
      <c r="AI500" s="124"/>
      <c r="AJ500" s="124"/>
      <c r="AK500" s="124"/>
      <c r="AL500" s="124"/>
      <c r="AM500" s="124"/>
      <c r="AN500" s="124"/>
      <c r="AO500" s="124"/>
      <c r="AP500" s="124"/>
      <c r="AQ500" s="124"/>
    </row>
    <row r="501" spans="1:43" customFormat="1" ht="12.75" hidden="1" thickBot="1">
      <c r="A501" s="25" t="s">
        <v>1214</v>
      </c>
      <c r="B501" s="25" t="s">
        <v>228</v>
      </c>
      <c r="C501" s="57" t="s">
        <v>1319</v>
      </c>
      <c r="D501" s="235" t="s">
        <v>498</v>
      </c>
      <c r="E501" s="77">
        <v>0</v>
      </c>
      <c r="F501" s="20"/>
      <c r="G501" s="17">
        <v>0</v>
      </c>
      <c r="H501" s="20"/>
      <c r="I501" s="20"/>
      <c r="J501" s="20"/>
      <c r="K501" s="20"/>
      <c r="L501" s="20"/>
      <c r="M501" s="17">
        <v>0</v>
      </c>
      <c r="N501" s="17">
        <v>0</v>
      </c>
      <c r="O501" s="20"/>
      <c r="P501" s="20"/>
      <c r="Q501" s="17">
        <v>0</v>
      </c>
      <c r="R501" s="17">
        <v>0</v>
      </c>
      <c r="S501" s="142">
        <f t="shared" si="67"/>
        <v>0</v>
      </c>
      <c r="T501" s="142">
        <f t="shared" si="68"/>
        <v>0</v>
      </c>
      <c r="U501" s="142">
        <f t="shared" si="69"/>
        <v>0</v>
      </c>
      <c r="W501" s="601">
        <f t="shared" si="70"/>
        <v>0</v>
      </c>
      <c r="X501" s="601">
        <f t="shared" si="71"/>
        <v>0</v>
      </c>
      <c r="Y501" s="123"/>
      <c r="Z501" s="692">
        <f t="shared" si="72"/>
        <v>0</v>
      </c>
      <c r="AA501" s="124"/>
      <c r="AB501" s="124"/>
      <c r="AC501" s="124"/>
      <c r="AD501" s="124"/>
      <c r="AE501" s="124"/>
      <c r="AF501" s="124"/>
      <c r="AG501" s="124"/>
      <c r="AH501" s="124"/>
      <c r="AI501" s="124"/>
      <c r="AJ501" s="124"/>
      <c r="AK501" s="124"/>
      <c r="AL501" s="124"/>
      <c r="AM501" s="124"/>
      <c r="AN501" s="124"/>
      <c r="AO501" s="124"/>
      <c r="AP501" s="124"/>
      <c r="AQ501" s="124"/>
    </row>
    <row r="502" spans="1:43" customFormat="1" ht="12.75" hidden="1" thickBot="1">
      <c r="A502" s="25" t="s">
        <v>1214</v>
      </c>
      <c r="B502" s="25" t="s">
        <v>379</v>
      </c>
      <c r="C502" s="25" t="s">
        <v>934</v>
      </c>
      <c r="D502" s="235" t="s">
        <v>498</v>
      </c>
      <c r="E502" s="76">
        <v>1801</v>
      </c>
      <c r="F502" s="19"/>
      <c r="G502" s="18">
        <v>489.01</v>
      </c>
      <c r="H502" s="19"/>
      <c r="I502" s="19"/>
      <c r="J502" s="19"/>
      <c r="K502" s="19"/>
      <c r="L502" s="19"/>
      <c r="M502" s="18">
        <v>0.92</v>
      </c>
      <c r="N502" s="18">
        <v>12.73</v>
      </c>
      <c r="O502" s="19"/>
      <c r="P502" s="19"/>
      <c r="Q502" s="18">
        <v>0</v>
      </c>
      <c r="R502" s="18">
        <v>502.66</v>
      </c>
      <c r="S502" s="142">
        <f t="shared" si="67"/>
        <v>489.01</v>
      </c>
      <c r="T502" s="142">
        <f t="shared" si="68"/>
        <v>0</v>
      </c>
      <c r="U502" s="142">
        <f t="shared" si="69"/>
        <v>12.73</v>
      </c>
      <c r="W502" s="601">
        <f t="shared" si="70"/>
        <v>502.66</v>
      </c>
      <c r="X502" s="601">
        <f t="shared" si="71"/>
        <v>0</v>
      </c>
      <c r="Y502" s="123"/>
      <c r="Z502" s="692">
        <f t="shared" si="72"/>
        <v>489.01</v>
      </c>
      <c r="AA502" s="124"/>
      <c r="AB502" s="124"/>
      <c r="AC502" s="124"/>
      <c r="AD502" s="124"/>
      <c r="AE502" s="124"/>
      <c r="AF502" s="124"/>
      <c r="AG502" s="124"/>
      <c r="AH502" s="124"/>
      <c r="AI502" s="124"/>
      <c r="AJ502" s="124"/>
      <c r="AK502" s="124"/>
      <c r="AL502" s="124"/>
      <c r="AM502" s="124"/>
      <c r="AN502" s="124"/>
      <c r="AO502" s="124"/>
      <c r="AP502" s="124"/>
      <c r="AQ502" s="124"/>
    </row>
    <row r="503" spans="1:43" customFormat="1" ht="12.75" hidden="1" thickBot="1">
      <c r="A503" s="25" t="s">
        <v>1214</v>
      </c>
      <c r="B503" s="25" t="s">
        <v>241</v>
      </c>
      <c r="C503" s="25" t="s">
        <v>935</v>
      </c>
      <c r="D503" s="235" t="s">
        <v>498</v>
      </c>
      <c r="E503" s="77">
        <v>171786</v>
      </c>
      <c r="F503" s="20"/>
      <c r="G503" s="17">
        <v>22025.279999999999</v>
      </c>
      <c r="H503" s="20"/>
      <c r="I503" s="20"/>
      <c r="J503" s="20"/>
      <c r="K503" s="20"/>
      <c r="L503" s="20"/>
      <c r="M503" s="17">
        <v>272</v>
      </c>
      <c r="N503" s="17">
        <v>505.76</v>
      </c>
      <c r="O503" s="20"/>
      <c r="P503" s="20"/>
      <c r="Q503" s="17">
        <v>0</v>
      </c>
      <c r="R503" s="17">
        <v>22803.040000000001</v>
      </c>
      <c r="S503" s="142">
        <f t="shared" si="67"/>
        <v>22025.279999999999</v>
      </c>
      <c r="T503" s="142">
        <f t="shared" si="68"/>
        <v>0</v>
      </c>
      <c r="U503" s="142">
        <f t="shared" si="69"/>
        <v>505.76</v>
      </c>
      <c r="W503" s="601">
        <f t="shared" si="70"/>
        <v>22803.039999999997</v>
      </c>
      <c r="X503" s="601">
        <f t="shared" si="71"/>
        <v>0</v>
      </c>
      <c r="Y503" s="123"/>
      <c r="Z503" s="692">
        <f t="shared" si="72"/>
        <v>22025.279999999999</v>
      </c>
      <c r="AA503" s="124"/>
      <c r="AB503" s="124"/>
      <c r="AC503" s="124"/>
      <c r="AD503" s="124"/>
      <c r="AE503" s="124"/>
      <c r="AF503" s="124"/>
      <c r="AG503" s="124"/>
      <c r="AH503" s="124"/>
      <c r="AI503" s="124"/>
      <c r="AJ503" s="124"/>
      <c r="AK503" s="124"/>
      <c r="AL503" s="124"/>
      <c r="AM503" s="124"/>
      <c r="AN503" s="124"/>
      <c r="AO503" s="124"/>
      <c r="AP503" s="124"/>
      <c r="AQ503" s="124"/>
    </row>
    <row r="504" spans="1:43" customFormat="1" ht="12.75" hidden="1" thickBot="1">
      <c r="A504" s="25" t="s">
        <v>1214</v>
      </c>
      <c r="B504" s="25" t="s">
        <v>242</v>
      </c>
      <c r="C504" s="25" t="s">
        <v>936</v>
      </c>
      <c r="D504" s="235" t="s">
        <v>498</v>
      </c>
      <c r="E504" s="76">
        <v>132274</v>
      </c>
      <c r="F504" s="19"/>
      <c r="G504" s="18">
        <v>14008.81</v>
      </c>
      <c r="H504" s="19"/>
      <c r="I504" s="19"/>
      <c r="J504" s="19"/>
      <c r="K504" s="19"/>
      <c r="L504" s="19"/>
      <c r="M504" s="18">
        <v>210.24</v>
      </c>
      <c r="N504" s="18">
        <v>326.39999999999998</v>
      </c>
      <c r="O504" s="19"/>
      <c r="P504" s="19"/>
      <c r="Q504" s="18">
        <v>0</v>
      </c>
      <c r="R504" s="18">
        <v>14545.45</v>
      </c>
      <c r="S504" s="142">
        <f t="shared" si="67"/>
        <v>14008.81</v>
      </c>
      <c r="T504" s="142">
        <f t="shared" si="68"/>
        <v>0</v>
      </c>
      <c r="U504" s="142">
        <f t="shared" si="69"/>
        <v>326.39999999999998</v>
      </c>
      <c r="W504" s="601">
        <f t="shared" si="70"/>
        <v>14545.449999999999</v>
      </c>
      <c r="X504" s="601">
        <f t="shared" si="71"/>
        <v>0</v>
      </c>
      <c r="Y504" s="123"/>
      <c r="Z504" s="692">
        <f t="shared" si="72"/>
        <v>14008.81</v>
      </c>
      <c r="AA504" s="124"/>
      <c r="AB504" s="124"/>
      <c r="AC504" s="124"/>
      <c r="AD504" s="124"/>
      <c r="AE504" s="124"/>
      <c r="AF504" s="124"/>
      <c r="AG504" s="124"/>
      <c r="AH504" s="124"/>
      <c r="AI504" s="124"/>
      <c r="AJ504" s="124"/>
      <c r="AK504" s="124"/>
      <c r="AL504" s="124"/>
      <c r="AM504" s="124"/>
      <c r="AN504" s="124"/>
      <c r="AO504" s="124"/>
      <c r="AP504" s="124"/>
      <c r="AQ504" s="124"/>
    </row>
    <row r="505" spans="1:43" customFormat="1" ht="12.75" hidden="1" thickBot="1">
      <c r="A505" s="25" t="s">
        <v>1214</v>
      </c>
      <c r="B505" s="25" t="s">
        <v>243</v>
      </c>
      <c r="C505" s="25" t="s">
        <v>937</v>
      </c>
      <c r="D505" s="235" t="s">
        <v>498</v>
      </c>
      <c r="E505" s="76">
        <v>3521</v>
      </c>
      <c r="F505" s="19"/>
      <c r="G505" s="18">
        <v>1216.3699999999999</v>
      </c>
      <c r="H505" s="19"/>
      <c r="I505" s="19"/>
      <c r="J505" s="19"/>
      <c r="K505" s="19"/>
      <c r="L505" s="19"/>
      <c r="M505" s="18">
        <v>5.64</v>
      </c>
      <c r="N505" s="18">
        <v>28.47</v>
      </c>
      <c r="O505" s="19"/>
      <c r="P505" s="19"/>
      <c r="Q505" s="18">
        <v>0</v>
      </c>
      <c r="R505" s="18">
        <v>1250.48</v>
      </c>
      <c r="S505" s="142">
        <f t="shared" si="67"/>
        <v>1216.3699999999999</v>
      </c>
      <c r="T505" s="142">
        <f t="shared" si="68"/>
        <v>0</v>
      </c>
      <c r="U505" s="142">
        <f t="shared" si="69"/>
        <v>28.47</v>
      </c>
      <c r="W505" s="601">
        <f t="shared" si="70"/>
        <v>1250.48</v>
      </c>
      <c r="X505" s="601">
        <f t="shared" si="71"/>
        <v>0</v>
      </c>
      <c r="Y505" s="123"/>
      <c r="Z505" s="692">
        <f t="shared" si="72"/>
        <v>1216.3699999999999</v>
      </c>
      <c r="AA505" s="124"/>
      <c r="AB505" s="124"/>
      <c r="AC505" s="124"/>
      <c r="AD505" s="124"/>
      <c r="AE505" s="124"/>
      <c r="AF505" s="124"/>
      <c r="AG505" s="124"/>
      <c r="AH505" s="124"/>
      <c r="AI505" s="124"/>
      <c r="AJ505" s="124"/>
      <c r="AK505" s="124"/>
      <c r="AL505" s="124"/>
      <c r="AM505" s="124"/>
      <c r="AN505" s="124"/>
      <c r="AO505" s="124"/>
      <c r="AP505" s="124"/>
      <c r="AQ505" s="124"/>
    </row>
    <row r="506" spans="1:43" customFormat="1" ht="12.75" hidden="1" thickBot="1">
      <c r="A506" s="25" t="s">
        <v>1214</v>
      </c>
      <c r="B506" s="25" t="s">
        <v>244</v>
      </c>
      <c r="C506" s="25" t="s">
        <v>938</v>
      </c>
      <c r="D506" s="235" t="s">
        <v>498</v>
      </c>
      <c r="E506" s="77">
        <v>104653</v>
      </c>
      <c r="F506" s="20"/>
      <c r="G506" s="17">
        <v>12690.14</v>
      </c>
      <c r="H506" s="20"/>
      <c r="I506" s="20"/>
      <c r="J506" s="20"/>
      <c r="K506" s="20"/>
      <c r="L506" s="20"/>
      <c r="M506" s="17">
        <v>166.44</v>
      </c>
      <c r="N506" s="17">
        <v>294.58</v>
      </c>
      <c r="O506" s="20"/>
      <c r="P506" s="20"/>
      <c r="Q506" s="17">
        <v>0</v>
      </c>
      <c r="R506" s="17">
        <v>13151.16</v>
      </c>
      <c r="S506" s="142">
        <f t="shared" si="67"/>
        <v>12690.14</v>
      </c>
      <c r="T506" s="142">
        <f t="shared" si="68"/>
        <v>0</v>
      </c>
      <c r="U506" s="142">
        <f t="shared" si="69"/>
        <v>294.58</v>
      </c>
      <c r="W506" s="601">
        <f t="shared" si="70"/>
        <v>13151.16</v>
      </c>
      <c r="X506" s="601">
        <f t="shared" si="71"/>
        <v>0</v>
      </c>
      <c r="Y506" s="123"/>
      <c r="Z506" s="692">
        <f t="shared" si="72"/>
        <v>12690.14</v>
      </c>
      <c r="AA506" s="124"/>
      <c r="AB506" s="124"/>
      <c r="AC506" s="124"/>
      <c r="AD506" s="124"/>
      <c r="AE506" s="124"/>
      <c r="AF506" s="124"/>
      <c r="AG506" s="124"/>
      <c r="AH506" s="124"/>
      <c r="AI506" s="124"/>
      <c r="AJ506" s="124"/>
      <c r="AK506" s="124"/>
      <c r="AL506" s="124"/>
      <c r="AM506" s="124"/>
      <c r="AN506" s="124"/>
      <c r="AO506" s="124"/>
      <c r="AP506" s="124"/>
      <c r="AQ506" s="124"/>
    </row>
    <row r="507" spans="1:43" customFormat="1" ht="12.75" hidden="1" thickBot="1">
      <c r="A507" s="25" t="s">
        <v>1214</v>
      </c>
      <c r="B507" s="25" t="s">
        <v>245</v>
      </c>
      <c r="C507" s="25" t="s">
        <v>939</v>
      </c>
      <c r="D507" s="235" t="s">
        <v>498</v>
      </c>
      <c r="E507" s="76">
        <v>63206</v>
      </c>
      <c r="F507" s="19"/>
      <c r="G507" s="18">
        <v>14870.83</v>
      </c>
      <c r="H507" s="19"/>
      <c r="I507" s="19"/>
      <c r="J507" s="19"/>
      <c r="K507" s="19"/>
      <c r="L507" s="19"/>
      <c r="M507" s="18">
        <v>101.18</v>
      </c>
      <c r="N507" s="18">
        <v>348.34</v>
      </c>
      <c r="O507" s="19"/>
      <c r="P507" s="19"/>
      <c r="Q507" s="18">
        <v>0</v>
      </c>
      <c r="R507" s="18">
        <v>15320.35</v>
      </c>
      <c r="S507" s="142">
        <f t="shared" si="67"/>
        <v>14870.83</v>
      </c>
      <c r="T507" s="142">
        <f t="shared" si="68"/>
        <v>0</v>
      </c>
      <c r="U507" s="142">
        <f t="shared" si="69"/>
        <v>348.34</v>
      </c>
      <c r="W507" s="601">
        <f t="shared" si="70"/>
        <v>15320.35</v>
      </c>
      <c r="X507" s="601">
        <f t="shared" si="71"/>
        <v>0</v>
      </c>
      <c r="Y507" s="123"/>
      <c r="Z507" s="692">
        <f t="shared" si="72"/>
        <v>14870.83</v>
      </c>
      <c r="AA507" s="124"/>
      <c r="AB507" s="124"/>
      <c r="AC507" s="124"/>
      <c r="AD507" s="124"/>
      <c r="AE507" s="124"/>
      <c r="AF507" s="124"/>
      <c r="AG507" s="124"/>
      <c r="AH507" s="124"/>
      <c r="AI507" s="124"/>
      <c r="AJ507" s="124"/>
      <c r="AK507" s="124"/>
      <c r="AL507" s="124"/>
      <c r="AM507" s="124"/>
      <c r="AN507" s="124"/>
      <c r="AO507" s="124"/>
      <c r="AP507" s="124"/>
      <c r="AQ507" s="124"/>
    </row>
    <row r="508" spans="1:43" customFormat="1" ht="12.75" hidden="1" thickBot="1">
      <c r="A508" s="25" t="s">
        <v>1214</v>
      </c>
      <c r="B508" s="25" t="s">
        <v>381</v>
      </c>
      <c r="C508" s="25" t="s">
        <v>940</v>
      </c>
      <c r="D508" s="235" t="s">
        <v>498</v>
      </c>
      <c r="E508" s="77">
        <v>13849</v>
      </c>
      <c r="F508" s="20"/>
      <c r="G508" s="17">
        <v>1240.1099999999999</v>
      </c>
      <c r="H508" s="20"/>
      <c r="I508" s="20"/>
      <c r="J508" s="20"/>
      <c r="K508" s="20"/>
      <c r="L508" s="20"/>
      <c r="M508" s="17">
        <v>22.12</v>
      </c>
      <c r="N508" s="17">
        <v>29.29</v>
      </c>
      <c r="O508" s="20"/>
      <c r="P508" s="20"/>
      <c r="Q508" s="17">
        <v>0</v>
      </c>
      <c r="R508" s="17">
        <v>1291.52</v>
      </c>
      <c r="S508" s="142">
        <f t="shared" si="67"/>
        <v>1240.1099999999999</v>
      </c>
      <c r="T508" s="142">
        <f t="shared" si="68"/>
        <v>0</v>
      </c>
      <c r="U508" s="142">
        <f t="shared" si="69"/>
        <v>29.29</v>
      </c>
      <c r="W508" s="601">
        <f t="shared" si="70"/>
        <v>1291.5199999999998</v>
      </c>
      <c r="X508" s="601">
        <f t="shared" si="71"/>
        <v>0</v>
      </c>
      <c r="Y508" s="123"/>
      <c r="Z508" s="692">
        <f t="shared" si="72"/>
        <v>1240.1099999999999</v>
      </c>
      <c r="AA508" s="124"/>
      <c r="AB508" s="124"/>
      <c r="AC508" s="124"/>
      <c r="AD508" s="124"/>
      <c r="AE508" s="124"/>
      <c r="AF508" s="124"/>
      <c r="AG508" s="124"/>
      <c r="AH508" s="124"/>
      <c r="AI508" s="124"/>
      <c r="AJ508" s="124"/>
      <c r="AK508" s="124"/>
      <c r="AL508" s="124"/>
      <c r="AM508" s="124"/>
      <c r="AN508" s="124"/>
      <c r="AO508" s="124"/>
      <c r="AP508" s="124"/>
      <c r="AQ508" s="124"/>
    </row>
    <row r="509" spans="1:43" customFormat="1" ht="12.75" hidden="1" thickBot="1">
      <c r="A509" s="25" t="s">
        <v>1214</v>
      </c>
      <c r="B509" s="25" t="s">
        <v>246</v>
      </c>
      <c r="C509" s="25" t="s">
        <v>941</v>
      </c>
      <c r="D509" s="235" t="s">
        <v>498</v>
      </c>
      <c r="E509" s="77">
        <v>118014</v>
      </c>
      <c r="F509" s="20"/>
      <c r="G509" s="17">
        <v>10820.32</v>
      </c>
      <c r="H509" s="20"/>
      <c r="I509" s="20"/>
      <c r="J509" s="20"/>
      <c r="K509" s="20"/>
      <c r="L509" s="20"/>
      <c r="M509" s="17">
        <v>187.78</v>
      </c>
      <c r="N509" s="17">
        <v>252.65</v>
      </c>
      <c r="O509" s="20"/>
      <c r="P509" s="20"/>
      <c r="Q509" s="17">
        <v>0</v>
      </c>
      <c r="R509" s="17">
        <v>11260.75</v>
      </c>
      <c r="S509" s="142">
        <f t="shared" si="67"/>
        <v>10820.32</v>
      </c>
      <c r="T509" s="142">
        <f t="shared" si="68"/>
        <v>0</v>
      </c>
      <c r="U509" s="142">
        <f t="shared" si="69"/>
        <v>252.65</v>
      </c>
      <c r="W509" s="601">
        <f t="shared" si="70"/>
        <v>11260.75</v>
      </c>
      <c r="X509" s="601">
        <f t="shared" si="71"/>
        <v>0</v>
      </c>
      <c r="Y509" s="123"/>
      <c r="Z509" s="692">
        <f t="shared" si="72"/>
        <v>10820.32</v>
      </c>
      <c r="AA509" s="124"/>
      <c r="AB509" s="124"/>
      <c r="AC509" s="124"/>
      <c r="AD509" s="124"/>
      <c r="AE509" s="124"/>
      <c r="AF509" s="124"/>
      <c r="AG509" s="124"/>
      <c r="AH509" s="124"/>
      <c r="AI509" s="124"/>
      <c r="AJ509" s="124"/>
      <c r="AK509" s="124"/>
      <c r="AL509" s="124"/>
      <c r="AM509" s="124"/>
      <c r="AN509" s="124"/>
      <c r="AO509" s="124"/>
      <c r="AP509" s="124"/>
      <c r="AQ509" s="124"/>
    </row>
    <row r="510" spans="1:43" customFormat="1" ht="12.75" hidden="1" thickBot="1">
      <c r="A510" s="25" t="s">
        <v>1214</v>
      </c>
      <c r="B510" s="25" t="s">
        <v>252</v>
      </c>
      <c r="C510" s="25" t="s">
        <v>942</v>
      </c>
      <c r="D510" s="235" t="s">
        <v>498</v>
      </c>
      <c r="E510" s="76">
        <v>188679</v>
      </c>
      <c r="F510" s="19"/>
      <c r="G510" s="18">
        <v>30688.27</v>
      </c>
      <c r="H510" s="19"/>
      <c r="I510" s="19"/>
      <c r="J510" s="19"/>
      <c r="K510" s="19"/>
      <c r="L510" s="19"/>
      <c r="M510" s="18">
        <v>298.48</v>
      </c>
      <c r="N510" s="18">
        <v>701.18</v>
      </c>
      <c r="O510" s="19"/>
      <c r="P510" s="19"/>
      <c r="Q510" s="18">
        <v>0</v>
      </c>
      <c r="R510" s="18">
        <v>31687.93</v>
      </c>
      <c r="S510" s="142">
        <f t="shared" si="67"/>
        <v>30688.27</v>
      </c>
      <c r="T510" s="142">
        <f t="shared" si="68"/>
        <v>0</v>
      </c>
      <c r="U510" s="142">
        <f t="shared" si="69"/>
        <v>701.18</v>
      </c>
      <c r="W510" s="601">
        <f t="shared" si="70"/>
        <v>31687.93</v>
      </c>
      <c r="X510" s="601">
        <f t="shared" si="71"/>
        <v>0</v>
      </c>
      <c r="Y510" s="123"/>
      <c r="Z510" s="692">
        <f t="shared" si="72"/>
        <v>30688.27</v>
      </c>
      <c r="AA510" s="124"/>
      <c r="AB510" s="124"/>
      <c r="AC510" s="124"/>
      <c r="AD510" s="124"/>
      <c r="AE510" s="124"/>
      <c r="AF510" s="124"/>
      <c r="AG510" s="124"/>
      <c r="AH510" s="124"/>
      <c r="AI510" s="124"/>
      <c r="AJ510" s="124"/>
      <c r="AK510" s="124"/>
      <c r="AL510" s="124"/>
      <c r="AM510" s="124"/>
      <c r="AN510" s="124"/>
      <c r="AO510" s="124"/>
      <c r="AP510" s="124"/>
      <c r="AQ510" s="124"/>
    </row>
    <row r="511" spans="1:43" customFormat="1" ht="12.75" hidden="1" thickBot="1">
      <c r="A511" s="25" t="s">
        <v>1214</v>
      </c>
      <c r="B511" s="25" t="s">
        <v>259</v>
      </c>
      <c r="C511" s="25" t="s">
        <v>260</v>
      </c>
      <c r="D511" s="235" t="s">
        <v>498</v>
      </c>
      <c r="E511" s="77">
        <v>0</v>
      </c>
      <c r="F511" s="20"/>
      <c r="G511" s="17">
        <v>0</v>
      </c>
      <c r="H511" s="20"/>
      <c r="I511" s="20"/>
      <c r="J511" s="20"/>
      <c r="K511" s="20"/>
      <c r="L511" s="20"/>
      <c r="M511" s="17">
        <v>0</v>
      </c>
      <c r="N511" s="17">
        <v>0</v>
      </c>
      <c r="O511" s="20"/>
      <c r="P511" s="20"/>
      <c r="Q511" s="17">
        <v>0</v>
      </c>
      <c r="R511" s="17">
        <v>0</v>
      </c>
      <c r="S511" s="142">
        <f t="shared" si="67"/>
        <v>0</v>
      </c>
      <c r="T511" s="142">
        <f t="shared" si="68"/>
        <v>0</v>
      </c>
      <c r="U511" s="142">
        <f t="shared" si="69"/>
        <v>0</v>
      </c>
      <c r="W511" s="601">
        <f t="shared" si="70"/>
        <v>0</v>
      </c>
      <c r="X511" s="601">
        <f t="shared" si="71"/>
        <v>0</v>
      </c>
      <c r="Y511" s="123"/>
      <c r="Z511" s="692">
        <f t="shared" si="72"/>
        <v>0</v>
      </c>
      <c r="AA511" s="124"/>
      <c r="AB511" s="124"/>
      <c r="AC511" s="124"/>
      <c r="AD511" s="124"/>
      <c r="AE511" s="124"/>
      <c r="AF511" s="124"/>
      <c r="AG511" s="124"/>
      <c r="AH511" s="124"/>
      <c r="AI511" s="124"/>
      <c r="AJ511" s="124"/>
      <c r="AK511" s="124"/>
      <c r="AL511" s="124"/>
      <c r="AM511" s="124"/>
      <c r="AN511" s="124"/>
      <c r="AO511" s="124"/>
      <c r="AP511" s="124"/>
      <c r="AQ511" s="124"/>
    </row>
    <row r="512" spans="1:43" customFormat="1" ht="12.75" hidden="1" thickBot="1">
      <c r="A512" s="25" t="s">
        <v>1214</v>
      </c>
      <c r="B512" s="25" t="s">
        <v>261</v>
      </c>
      <c r="C512" s="25" t="s">
        <v>262</v>
      </c>
      <c r="D512" s="235" t="s">
        <v>498</v>
      </c>
      <c r="E512" s="76">
        <v>0</v>
      </c>
      <c r="F512" s="19"/>
      <c r="G512" s="18">
        <v>0</v>
      </c>
      <c r="H512" s="19"/>
      <c r="I512" s="19"/>
      <c r="J512" s="19"/>
      <c r="K512" s="19"/>
      <c r="L512" s="19"/>
      <c r="M512" s="18">
        <v>0</v>
      </c>
      <c r="N512" s="18">
        <v>0</v>
      </c>
      <c r="O512" s="19"/>
      <c r="P512" s="19"/>
      <c r="Q512" s="18">
        <v>0</v>
      </c>
      <c r="R512" s="18">
        <v>0</v>
      </c>
      <c r="S512" s="142">
        <f t="shared" si="67"/>
        <v>0</v>
      </c>
      <c r="T512" s="142">
        <f t="shared" si="68"/>
        <v>0</v>
      </c>
      <c r="U512" s="142">
        <f t="shared" si="69"/>
        <v>0</v>
      </c>
      <c r="W512" s="601">
        <f t="shared" si="70"/>
        <v>0</v>
      </c>
      <c r="X512" s="601">
        <f t="shared" si="71"/>
        <v>0</v>
      </c>
      <c r="Y512" s="123"/>
      <c r="Z512" s="692">
        <f t="shared" si="72"/>
        <v>0</v>
      </c>
      <c r="AA512" s="124"/>
      <c r="AB512" s="124"/>
      <c r="AC512" s="124"/>
      <c r="AD512" s="124"/>
      <c r="AE512" s="124"/>
      <c r="AF512" s="124"/>
      <c r="AG512" s="124"/>
      <c r="AH512" s="124"/>
      <c r="AI512" s="124"/>
      <c r="AJ512" s="124"/>
      <c r="AK512" s="124"/>
      <c r="AL512" s="124"/>
      <c r="AM512" s="124"/>
      <c r="AN512" s="124"/>
      <c r="AO512" s="124"/>
      <c r="AP512" s="124"/>
      <c r="AQ512" s="124"/>
    </row>
    <row r="513" spans="1:43" customFormat="1" ht="12.75" hidden="1" thickBot="1">
      <c r="A513" s="25" t="s">
        <v>1214</v>
      </c>
      <c r="B513" s="25" t="s">
        <v>263</v>
      </c>
      <c r="C513" s="25" t="s">
        <v>943</v>
      </c>
      <c r="D513" s="235" t="s">
        <v>498</v>
      </c>
      <c r="E513" s="77">
        <v>75161</v>
      </c>
      <c r="F513" s="20"/>
      <c r="G513" s="17">
        <v>22042.65</v>
      </c>
      <c r="H513" s="20"/>
      <c r="I513" s="20"/>
      <c r="J513" s="20"/>
      <c r="K513" s="20"/>
      <c r="L513" s="20"/>
      <c r="M513" s="17">
        <v>118.43</v>
      </c>
      <c r="N513" s="17">
        <v>494.8</v>
      </c>
      <c r="O513" s="20"/>
      <c r="P513" s="20"/>
      <c r="Q513" s="17">
        <v>0</v>
      </c>
      <c r="R513" s="17">
        <v>22655.88</v>
      </c>
      <c r="S513" s="142">
        <f t="shared" si="67"/>
        <v>22042.65</v>
      </c>
      <c r="T513" s="142">
        <f t="shared" si="68"/>
        <v>0</v>
      </c>
      <c r="U513" s="142">
        <f t="shared" si="69"/>
        <v>494.8</v>
      </c>
      <c r="W513" s="601">
        <f t="shared" si="70"/>
        <v>22655.88</v>
      </c>
      <c r="X513" s="601">
        <f t="shared" si="71"/>
        <v>0</v>
      </c>
      <c r="Y513" s="123"/>
      <c r="Z513" s="692">
        <f t="shared" si="72"/>
        <v>22042.65</v>
      </c>
      <c r="AA513" s="124"/>
      <c r="AB513" s="124"/>
      <c r="AC513" s="124"/>
      <c r="AD513" s="124"/>
      <c r="AE513" s="124"/>
      <c r="AF513" s="124"/>
      <c r="AG513" s="124"/>
      <c r="AH513" s="124"/>
      <c r="AI513" s="124"/>
      <c r="AJ513" s="124"/>
      <c r="AK513" s="124"/>
      <c r="AL513" s="124"/>
      <c r="AM513" s="124"/>
      <c r="AN513" s="124"/>
      <c r="AO513" s="124"/>
      <c r="AP513" s="124"/>
      <c r="AQ513" s="124"/>
    </row>
    <row r="514" spans="1:43" customFormat="1" ht="12.75" hidden="1" thickBot="1">
      <c r="A514" s="25" t="s">
        <v>1214</v>
      </c>
      <c r="B514" s="25" t="s">
        <v>264</v>
      </c>
      <c r="C514" s="25" t="s">
        <v>944</v>
      </c>
      <c r="D514" s="235" t="s">
        <v>498</v>
      </c>
      <c r="E514" s="76">
        <v>266936</v>
      </c>
      <c r="F514" s="19"/>
      <c r="G514" s="18">
        <v>57806.97</v>
      </c>
      <c r="H514" s="19"/>
      <c r="I514" s="19"/>
      <c r="J514" s="19"/>
      <c r="K514" s="19"/>
      <c r="L514" s="19"/>
      <c r="M514" s="18">
        <v>402.44</v>
      </c>
      <c r="N514" s="18">
        <v>1360.36</v>
      </c>
      <c r="O514" s="19"/>
      <c r="P514" s="19"/>
      <c r="Q514" s="18">
        <v>0</v>
      </c>
      <c r="R514" s="18">
        <v>59569.77</v>
      </c>
      <c r="S514" s="142">
        <f t="shared" si="67"/>
        <v>57806.97</v>
      </c>
      <c r="T514" s="142">
        <f t="shared" si="68"/>
        <v>0</v>
      </c>
      <c r="U514" s="142">
        <f t="shared" si="69"/>
        <v>1360.36</v>
      </c>
      <c r="W514" s="601">
        <f t="shared" si="70"/>
        <v>59569.770000000004</v>
      </c>
      <c r="X514" s="601">
        <f t="shared" si="71"/>
        <v>0</v>
      </c>
      <c r="Y514" s="123"/>
      <c r="Z514" s="692">
        <f t="shared" si="72"/>
        <v>57806.97</v>
      </c>
      <c r="AA514" s="124"/>
      <c r="AB514" s="124"/>
      <c r="AC514" s="124"/>
      <c r="AD514" s="124"/>
      <c r="AE514" s="124"/>
      <c r="AF514" s="124"/>
      <c r="AG514" s="124"/>
      <c r="AH514" s="124"/>
      <c r="AI514" s="124"/>
      <c r="AJ514" s="124"/>
      <c r="AK514" s="124"/>
      <c r="AL514" s="124"/>
      <c r="AM514" s="124"/>
      <c r="AN514" s="124"/>
      <c r="AO514" s="124"/>
      <c r="AP514" s="124"/>
      <c r="AQ514" s="124"/>
    </row>
    <row r="515" spans="1:43" customFormat="1" ht="12.75" hidden="1" thickBot="1">
      <c r="A515" s="25" t="s">
        <v>1214</v>
      </c>
      <c r="B515" s="25" t="s">
        <v>267</v>
      </c>
      <c r="C515" s="25" t="s">
        <v>945</v>
      </c>
      <c r="D515" s="235" t="s">
        <v>498</v>
      </c>
      <c r="E515" s="77">
        <v>710811</v>
      </c>
      <c r="F515" s="20"/>
      <c r="G515" s="17">
        <v>287042.5</v>
      </c>
      <c r="H515" s="20"/>
      <c r="I515" s="20"/>
      <c r="J515" s="20"/>
      <c r="K515" s="20"/>
      <c r="L515" s="20"/>
      <c r="M515" s="17">
        <v>1134.8499999999999</v>
      </c>
      <c r="N515" s="17">
        <v>6677.64</v>
      </c>
      <c r="O515" s="20"/>
      <c r="P515" s="20"/>
      <c r="Q515" s="17">
        <v>0</v>
      </c>
      <c r="R515" s="17">
        <v>294854.99</v>
      </c>
      <c r="S515" s="142">
        <f t="shared" si="67"/>
        <v>287042.5</v>
      </c>
      <c r="T515" s="142">
        <f t="shared" si="68"/>
        <v>0</v>
      </c>
      <c r="U515" s="142">
        <f t="shared" si="69"/>
        <v>6677.64</v>
      </c>
      <c r="W515" s="601">
        <f t="shared" si="70"/>
        <v>294854.99</v>
      </c>
      <c r="X515" s="601">
        <f t="shared" si="71"/>
        <v>0</v>
      </c>
      <c r="Y515" s="123"/>
      <c r="Z515" s="692">
        <f t="shared" si="72"/>
        <v>287042.5</v>
      </c>
      <c r="AA515" s="124"/>
      <c r="AB515" s="124"/>
      <c r="AC515" s="124"/>
      <c r="AD515" s="124"/>
      <c r="AE515" s="124"/>
      <c r="AF515" s="124"/>
      <c r="AG515" s="124"/>
      <c r="AH515" s="124"/>
      <c r="AI515" s="124"/>
      <c r="AJ515" s="124"/>
      <c r="AK515" s="124"/>
      <c r="AL515" s="124"/>
      <c r="AM515" s="124"/>
      <c r="AN515" s="124"/>
      <c r="AO515" s="124"/>
      <c r="AP515" s="124"/>
      <c r="AQ515" s="124"/>
    </row>
    <row r="516" spans="1:43" customFormat="1" ht="12.75" hidden="1" thickBot="1">
      <c r="A516" s="25" t="s">
        <v>1214</v>
      </c>
      <c r="B516" s="25" t="s">
        <v>392</v>
      </c>
      <c r="C516" s="25" t="s">
        <v>946</v>
      </c>
      <c r="D516" s="235" t="s">
        <v>498</v>
      </c>
      <c r="E516" s="76">
        <v>27752</v>
      </c>
      <c r="F516" s="19"/>
      <c r="G516" s="18">
        <v>11723.19</v>
      </c>
      <c r="H516" s="19"/>
      <c r="I516" s="19"/>
      <c r="J516" s="19"/>
      <c r="K516" s="19"/>
      <c r="L516" s="19"/>
      <c r="M516" s="18">
        <v>43.64</v>
      </c>
      <c r="N516" s="18">
        <v>261.51</v>
      </c>
      <c r="O516" s="19"/>
      <c r="P516" s="19"/>
      <c r="Q516" s="18">
        <v>0</v>
      </c>
      <c r="R516" s="18">
        <v>12028.34</v>
      </c>
      <c r="S516" s="142">
        <f t="shared" ref="S516:S570" si="73">G516+H516+I516</f>
        <v>11723.19</v>
      </c>
      <c r="T516" s="142">
        <f t="shared" ref="T516:T570" si="74">J516+K516</f>
        <v>0</v>
      </c>
      <c r="U516" s="142">
        <f t="shared" ref="U516:U570" si="75">N516+O516</f>
        <v>261.51</v>
      </c>
      <c r="W516" s="601">
        <f t="shared" si="70"/>
        <v>12028.34</v>
      </c>
      <c r="X516" s="601">
        <f t="shared" si="71"/>
        <v>0</v>
      </c>
      <c r="Y516" s="123"/>
      <c r="Z516" s="692">
        <f t="shared" si="72"/>
        <v>11723.19</v>
      </c>
      <c r="AA516" s="124"/>
      <c r="AB516" s="124"/>
      <c r="AC516" s="124"/>
      <c r="AD516" s="124"/>
      <c r="AE516" s="124"/>
      <c r="AF516" s="124"/>
      <c r="AG516" s="124"/>
      <c r="AH516" s="124"/>
      <c r="AI516" s="124"/>
      <c r="AJ516" s="124"/>
      <c r="AK516" s="124"/>
      <c r="AL516" s="124"/>
      <c r="AM516" s="124"/>
      <c r="AN516" s="124"/>
      <c r="AO516" s="124"/>
      <c r="AP516" s="124"/>
      <c r="AQ516" s="124"/>
    </row>
    <row r="517" spans="1:43" customFormat="1" ht="12.75" hidden="1" thickBot="1">
      <c r="A517" s="25" t="s">
        <v>1214</v>
      </c>
      <c r="B517" s="25" t="s">
        <v>268</v>
      </c>
      <c r="C517" s="25" t="s">
        <v>947</v>
      </c>
      <c r="D517" s="235" t="s">
        <v>498</v>
      </c>
      <c r="E517" s="77">
        <v>42781</v>
      </c>
      <c r="F517" s="20"/>
      <c r="G517" s="17">
        <v>19103.05</v>
      </c>
      <c r="H517" s="20"/>
      <c r="I517" s="20"/>
      <c r="J517" s="20"/>
      <c r="K517" s="20"/>
      <c r="L517" s="20"/>
      <c r="M517" s="17">
        <v>68.319999999999993</v>
      </c>
      <c r="N517" s="17">
        <v>444.68</v>
      </c>
      <c r="O517" s="20"/>
      <c r="P517" s="20"/>
      <c r="Q517" s="17">
        <v>0</v>
      </c>
      <c r="R517" s="17">
        <v>19616.05</v>
      </c>
      <c r="S517" s="142">
        <f t="shared" si="73"/>
        <v>19103.05</v>
      </c>
      <c r="T517" s="142">
        <f t="shared" si="74"/>
        <v>0</v>
      </c>
      <c r="U517" s="142">
        <f t="shared" si="75"/>
        <v>444.68</v>
      </c>
      <c r="W517" s="601">
        <f t="shared" si="70"/>
        <v>19616.05</v>
      </c>
      <c r="X517" s="601">
        <f t="shared" si="71"/>
        <v>0</v>
      </c>
      <c r="Y517" s="123"/>
      <c r="Z517" s="692">
        <f t="shared" si="72"/>
        <v>19103.05</v>
      </c>
      <c r="AA517" s="124"/>
      <c r="AB517" s="124"/>
      <c r="AC517" s="124"/>
      <c r="AD517" s="124"/>
      <c r="AE517" s="124"/>
      <c r="AF517" s="124"/>
      <c r="AG517" s="124"/>
      <c r="AH517" s="124"/>
      <c r="AI517" s="124"/>
      <c r="AJ517" s="124"/>
      <c r="AK517" s="124"/>
      <c r="AL517" s="124"/>
      <c r="AM517" s="124"/>
      <c r="AN517" s="124"/>
      <c r="AO517" s="124"/>
      <c r="AP517" s="124"/>
      <c r="AQ517" s="124"/>
    </row>
    <row r="518" spans="1:43" customFormat="1" ht="12.75" hidden="1" thickBot="1">
      <c r="A518" s="25" t="s">
        <v>1214</v>
      </c>
      <c r="B518" s="25" t="s">
        <v>269</v>
      </c>
      <c r="C518" s="25" t="s">
        <v>948</v>
      </c>
      <c r="D518" s="235" t="s">
        <v>498</v>
      </c>
      <c r="E518" s="76">
        <v>121133</v>
      </c>
      <c r="F518" s="19"/>
      <c r="G518" s="18">
        <v>46020.37</v>
      </c>
      <c r="H518" s="19"/>
      <c r="I518" s="19"/>
      <c r="J518" s="19"/>
      <c r="K518" s="19"/>
      <c r="L518" s="19"/>
      <c r="M518" s="18">
        <v>193.69</v>
      </c>
      <c r="N518" s="18">
        <v>1074.6400000000001</v>
      </c>
      <c r="O518" s="19"/>
      <c r="P518" s="19"/>
      <c r="Q518" s="18">
        <v>0</v>
      </c>
      <c r="R518" s="18">
        <v>47288.7</v>
      </c>
      <c r="S518" s="142">
        <f t="shared" si="73"/>
        <v>46020.37</v>
      </c>
      <c r="T518" s="142">
        <f t="shared" si="74"/>
        <v>0</v>
      </c>
      <c r="U518" s="142">
        <f t="shared" si="75"/>
        <v>1074.6400000000001</v>
      </c>
      <c r="W518" s="601">
        <f t="shared" si="70"/>
        <v>47288.700000000004</v>
      </c>
      <c r="X518" s="601">
        <f t="shared" si="71"/>
        <v>0</v>
      </c>
      <c r="Y518" s="123"/>
      <c r="Z518" s="692">
        <f t="shared" si="72"/>
        <v>46020.37</v>
      </c>
      <c r="AA518" s="124"/>
      <c r="AB518" s="124"/>
      <c r="AC518" s="124"/>
      <c r="AD518" s="124"/>
      <c r="AE518" s="124"/>
      <c r="AF518" s="124"/>
      <c r="AG518" s="124"/>
      <c r="AH518" s="124"/>
      <c r="AI518" s="124"/>
      <c r="AJ518" s="124"/>
      <c r="AK518" s="124"/>
      <c r="AL518" s="124"/>
      <c r="AM518" s="124"/>
      <c r="AN518" s="124"/>
      <c r="AO518" s="124"/>
      <c r="AP518" s="124"/>
      <c r="AQ518" s="124"/>
    </row>
    <row r="519" spans="1:43" customFormat="1" ht="12.75" hidden="1" thickBot="1">
      <c r="A519" s="25" t="s">
        <v>1214</v>
      </c>
      <c r="B519" s="25" t="s">
        <v>393</v>
      </c>
      <c r="C519" s="25" t="s">
        <v>949</v>
      </c>
      <c r="D519" s="235" t="s">
        <v>498</v>
      </c>
      <c r="E519" s="77">
        <v>5388</v>
      </c>
      <c r="F519" s="20"/>
      <c r="G519" s="17">
        <v>1233.3499999999999</v>
      </c>
      <c r="H519" s="20"/>
      <c r="I519" s="20"/>
      <c r="J519" s="20"/>
      <c r="K519" s="20"/>
      <c r="L519" s="20"/>
      <c r="M519" s="17">
        <v>8.6199999999999992</v>
      </c>
      <c r="N519" s="17">
        <v>28.93</v>
      </c>
      <c r="O519" s="20"/>
      <c r="P519" s="20"/>
      <c r="Q519" s="17">
        <v>0</v>
      </c>
      <c r="R519" s="17">
        <v>1270.9000000000001</v>
      </c>
      <c r="S519" s="142">
        <f t="shared" si="73"/>
        <v>1233.3499999999999</v>
      </c>
      <c r="T519" s="142">
        <f t="shared" si="74"/>
        <v>0</v>
      </c>
      <c r="U519" s="142">
        <f t="shared" si="75"/>
        <v>28.93</v>
      </c>
      <c r="W519" s="601">
        <f t="shared" si="70"/>
        <v>1270.8999999999999</v>
      </c>
      <c r="X519" s="601">
        <f t="shared" si="71"/>
        <v>0</v>
      </c>
      <c r="Y519" s="123"/>
      <c r="Z519" s="692">
        <f t="shared" si="72"/>
        <v>1233.3499999999999</v>
      </c>
      <c r="AA519" s="124"/>
      <c r="AB519" s="124"/>
      <c r="AC519" s="124"/>
      <c r="AD519" s="124"/>
      <c r="AE519" s="124"/>
      <c r="AF519" s="124"/>
      <c r="AG519" s="124"/>
      <c r="AH519" s="124"/>
      <c r="AI519" s="124"/>
      <c r="AJ519" s="124"/>
      <c r="AK519" s="124"/>
      <c r="AL519" s="124"/>
      <c r="AM519" s="124"/>
      <c r="AN519" s="124"/>
      <c r="AO519" s="124"/>
      <c r="AP519" s="124"/>
      <c r="AQ519" s="124"/>
    </row>
    <row r="520" spans="1:43" customFormat="1" ht="12.75" hidden="1" thickBot="1">
      <c r="A520" s="25" t="s">
        <v>1214</v>
      </c>
      <c r="B520" s="25" t="s">
        <v>394</v>
      </c>
      <c r="C520" s="25" t="s">
        <v>950</v>
      </c>
      <c r="D520" s="235" t="s">
        <v>498</v>
      </c>
      <c r="E520" s="76">
        <v>3495</v>
      </c>
      <c r="F520" s="19"/>
      <c r="G520" s="18">
        <v>455.73</v>
      </c>
      <c r="H520" s="19"/>
      <c r="I520" s="19"/>
      <c r="J520" s="19"/>
      <c r="K520" s="19"/>
      <c r="L520" s="19"/>
      <c r="M520" s="18">
        <v>5.59</v>
      </c>
      <c r="N520" s="18">
        <v>10.74</v>
      </c>
      <c r="O520" s="19"/>
      <c r="P520" s="19"/>
      <c r="Q520" s="18">
        <v>0</v>
      </c>
      <c r="R520" s="18">
        <v>472.06</v>
      </c>
      <c r="S520" s="142">
        <f t="shared" si="73"/>
        <v>455.73</v>
      </c>
      <c r="T520" s="142">
        <f t="shared" si="74"/>
        <v>0</v>
      </c>
      <c r="U520" s="142">
        <f t="shared" si="75"/>
        <v>10.74</v>
      </c>
      <c r="W520" s="601">
        <f t="shared" si="70"/>
        <v>472.06</v>
      </c>
      <c r="X520" s="601">
        <f t="shared" si="71"/>
        <v>0</v>
      </c>
      <c r="Y520" s="123"/>
      <c r="Z520" s="692">
        <f t="shared" si="72"/>
        <v>455.73</v>
      </c>
      <c r="AA520" s="124"/>
      <c r="AB520" s="124"/>
      <c r="AC520" s="124"/>
      <c r="AD520" s="124"/>
      <c r="AE520" s="124"/>
      <c r="AF520" s="124"/>
      <c r="AG520" s="124"/>
      <c r="AH520" s="124"/>
      <c r="AI520" s="124"/>
      <c r="AJ520" s="124"/>
      <c r="AK520" s="124"/>
      <c r="AL520" s="124"/>
      <c r="AM520" s="124"/>
      <c r="AN520" s="124"/>
      <c r="AO520" s="124"/>
      <c r="AP520" s="124"/>
      <c r="AQ520" s="124"/>
    </row>
    <row r="521" spans="1:43" customFormat="1" ht="12.75" hidden="1" thickBot="1">
      <c r="A521" s="25" t="s">
        <v>1214</v>
      </c>
      <c r="B521" s="25" t="s">
        <v>398</v>
      </c>
      <c r="C521" s="25" t="s">
        <v>951</v>
      </c>
      <c r="D521" s="235" t="s">
        <v>498</v>
      </c>
      <c r="E521" s="77">
        <v>1547</v>
      </c>
      <c r="F521" s="20"/>
      <c r="G521" s="17">
        <v>1626.54</v>
      </c>
      <c r="H521" s="20"/>
      <c r="I521" s="20"/>
      <c r="J521" s="20"/>
      <c r="K521" s="20"/>
      <c r="L521" s="20"/>
      <c r="M521" s="17">
        <v>2.4700000000000002</v>
      </c>
      <c r="N521" s="17">
        <v>37.94</v>
      </c>
      <c r="O521" s="20"/>
      <c r="P521" s="20"/>
      <c r="Q521" s="17">
        <v>0</v>
      </c>
      <c r="R521" s="17">
        <v>1666.95</v>
      </c>
      <c r="S521" s="142">
        <f t="shared" si="73"/>
        <v>1626.54</v>
      </c>
      <c r="T521" s="142">
        <f t="shared" si="74"/>
        <v>0</v>
      </c>
      <c r="U521" s="142">
        <f t="shared" si="75"/>
        <v>37.94</v>
      </c>
      <c r="W521" s="601">
        <f t="shared" si="70"/>
        <v>1666.95</v>
      </c>
      <c r="X521" s="601">
        <f t="shared" si="71"/>
        <v>0</v>
      </c>
      <c r="Y521" s="123"/>
      <c r="Z521" s="692">
        <f t="shared" si="72"/>
        <v>1626.54</v>
      </c>
      <c r="AA521" s="124"/>
      <c r="AB521" s="124"/>
      <c r="AC521" s="124"/>
      <c r="AD521" s="124"/>
      <c r="AE521" s="124"/>
      <c r="AF521" s="124"/>
      <c r="AG521" s="124"/>
      <c r="AH521" s="124"/>
      <c r="AI521" s="124"/>
      <c r="AJ521" s="124"/>
      <c r="AK521" s="124"/>
      <c r="AL521" s="124"/>
      <c r="AM521" s="124"/>
      <c r="AN521" s="124"/>
      <c r="AO521" s="124"/>
      <c r="AP521" s="124"/>
      <c r="AQ521" s="124"/>
    </row>
    <row r="522" spans="1:43" customFormat="1" ht="12.75" hidden="1" thickBot="1">
      <c r="A522" s="25" t="s">
        <v>1214</v>
      </c>
      <c r="B522" s="25" t="s">
        <v>395</v>
      </c>
      <c r="C522" s="25" t="s">
        <v>952</v>
      </c>
      <c r="D522" s="235" t="s">
        <v>498</v>
      </c>
      <c r="E522" s="76">
        <v>10448</v>
      </c>
      <c r="F522" s="19"/>
      <c r="G522" s="18">
        <v>8831.83</v>
      </c>
      <c r="H522" s="19"/>
      <c r="I522" s="19"/>
      <c r="J522" s="19"/>
      <c r="K522" s="19"/>
      <c r="L522" s="19"/>
      <c r="M522" s="18">
        <v>16.73</v>
      </c>
      <c r="N522" s="18">
        <v>206.14</v>
      </c>
      <c r="O522" s="19"/>
      <c r="P522" s="19"/>
      <c r="Q522" s="18">
        <v>0</v>
      </c>
      <c r="R522" s="18">
        <v>9054.7000000000007</v>
      </c>
      <c r="S522" s="142">
        <f t="shared" si="73"/>
        <v>8831.83</v>
      </c>
      <c r="T522" s="142">
        <f t="shared" si="74"/>
        <v>0</v>
      </c>
      <c r="U522" s="142">
        <f t="shared" si="75"/>
        <v>206.14</v>
      </c>
      <c r="W522" s="601">
        <f t="shared" si="70"/>
        <v>9054.6999999999989</v>
      </c>
      <c r="X522" s="601">
        <f t="shared" si="71"/>
        <v>0</v>
      </c>
      <c r="Y522" s="123"/>
      <c r="Z522" s="692">
        <f t="shared" si="72"/>
        <v>8831.83</v>
      </c>
      <c r="AA522" s="124"/>
      <c r="AB522" s="124"/>
      <c r="AC522" s="124"/>
      <c r="AD522" s="124"/>
      <c r="AE522" s="124"/>
      <c r="AF522" s="124"/>
      <c r="AG522" s="124"/>
      <c r="AH522" s="124"/>
      <c r="AI522" s="124"/>
      <c r="AJ522" s="124"/>
      <c r="AK522" s="124"/>
      <c r="AL522" s="124"/>
      <c r="AM522" s="124"/>
      <c r="AN522" s="124"/>
      <c r="AO522" s="124"/>
      <c r="AP522" s="124"/>
      <c r="AQ522" s="124"/>
    </row>
    <row r="523" spans="1:43" customFormat="1" ht="12.75" hidden="1" thickBot="1">
      <c r="A523" s="25" t="s">
        <v>1214</v>
      </c>
      <c r="B523" s="25" t="s">
        <v>396</v>
      </c>
      <c r="C523" s="25" t="s">
        <v>953</v>
      </c>
      <c r="D523" s="235" t="s">
        <v>498</v>
      </c>
      <c r="E523" s="77">
        <v>3434</v>
      </c>
      <c r="F523" s="20"/>
      <c r="G523" s="17">
        <v>3059.79</v>
      </c>
      <c r="H523" s="20"/>
      <c r="I523" s="20"/>
      <c r="J523" s="20"/>
      <c r="K523" s="20"/>
      <c r="L523" s="20"/>
      <c r="M523" s="17">
        <v>5.49</v>
      </c>
      <c r="N523" s="17">
        <v>71.430000000000007</v>
      </c>
      <c r="O523" s="20"/>
      <c r="P523" s="20"/>
      <c r="Q523" s="17">
        <v>0</v>
      </c>
      <c r="R523" s="17">
        <v>3136.71</v>
      </c>
      <c r="S523" s="142">
        <f t="shared" si="73"/>
        <v>3059.79</v>
      </c>
      <c r="T523" s="142">
        <f t="shared" si="74"/>
        <v>0</v>
      </c>
      <c r="U523" s="142">
        <f t="shared" si="75"/>
        <v>71.430000000000007</v>
      </c>
      <c r="W523" s="601">
        <f t="shared" si="70"/>
        <v>3136.7099999999996</v>
      </c>
      <c r="X523" s="601">
        <f t="shared" si="71"/>
        <v>0</v>
      </c>
      <c r="Y523" s="123"/>
      <c r="Z523" s="692">
        <f t="shared" si="72"/>
        <v>3059.79</v>
      </c>
      <c r="AA523" s="124"/>
      <c r="AB523" s="124"/>
      <c r="AC523" s="124"/>
      <c r="AD523" s="124"/>
      <c r="AE523" s="124"/>
      <c r="AF523" s="124"/>
      <c r="AG523" s="124"/>
      <c r="AH523" s="124"/>
      <c r="AI523" s="124"/>
      <c r="AJ523" s="124"/>
      <c r="AK523" s="124"/>
      <c r="AL523" s="124"/>
      <c r="AM523" s="124"/>
      <c r="AN523" s="124"/>
      <c r="AO523" s="124"/>
      <c r="AP523" s="124"/>
      <c r="AQ523" s="124"/>
    </row>
    <row r="524" spans="1:43" customFormat="1" ht="12.75" hidden="1" thickBot="1">
      <c r="A524" s="25" t="s">
        <v>1214</v>
      </c>
      <c r="B524" s="25" t="s">
        <v>397</v>
      </c>
      <c r="C524" s="25" t="s">
        <v>954</v>
      </c>
      <c r="D524" s="235" t="s">
        <v>498</v>
      </c>
      <c r="E524" s="76">
        <v>3367</v>
      </c>
      <c r="F524" s="19"/>
      <c r="G524" s="18">
        <v>2995.01</v>
      </c>
      <c r="H524" s="19"/>
      <c r="I524" s="19"/>
      <c r="J524" s="19"/>
      <c r="K524" s="19"/>
      <c r="L524" s="19"/>
      <c r="M524" s="18">
        <v>5.39</v>
      </c>
      <c r="N524" s="18">
        <v>69.91</v>
      </c>
      <c r="O524" s="19"/>
      <c r="P524" s="19"/>
      <c r="Q524" s="18">
        <v>0</v>
      </c>
      <c r="R524" s="18">
        <v>3070.31</v>
      </c>
      <c r="S524" s="142">
        <f t="shared" si="73"/>
        <v>2995.01</v>
      </c>
      <c r="T524" s="142">
        <f t="shared" si="74"/>
        <v>0</v>
      </c>
      <c r="U524" s="142">
        <f t="shared" si="75"/>
        <v>69.91</v>
      </c>
      <c r="W524" s="601">
        <f t="shared" si="70"/>
        <v>3070.31</v>
      </c>
      <c r="X524" s="601">
        <f t="shared" si="71"/>
        <v>0</v>
      </c>
      <c r="Y524" s="123"/>
      <c r="Z524" s="692">
        <f t="shared" si="72"/>
        <v>2995.01</v>
      </c>
      <c r="AA524" s="124"/>
      <c r="AB524" s="124"/>
      <c r="AC524" s="124"/>
      <c r="AD524" s="124"/>
      <c r="AE524" s="124"/>
      <c r="AF524" s="124"/>
      <c r="AG524" s="124"/>
      <c r="AH524" s="124"/>
      <c r="AI524" s="124"/>
      <c r="AJ524" s="124"/>
      <c r="AK524" s="124"/>
      <c r="AL524" s="124"/>
      <c r="AM524" s="124"/>
      <c r="AN524" s="124"/>
      <c r="AO524" s="124"/>
      <c r="AP524" s="124"/>
      <c r="AQ524" s="124"/>
    </row>
    <row r="525" spans="1:43" customFormat="1" ht="12.75" hidden="1" thickBot="1">
      <c r="A525" s="25" t="s">
        <v>1214</v>
      </c>
      <c r="B525" s="25" t="s">
        <v>287</v>
      </c>
      <c r="C525" s="25" t="s">
        <v>955</v>
      </c>
      <c r="D525" s="235" t="s">
        <v>498</v>
      </c>
      <c r="E525" s="77">
        <v>9800</v>
      </c>
      <c r="F525" s="20"/>
      <c r="G525" s="17">
        <v>2035.2</v>
      </c>
      <c r="H525" s="20"/>
      <c r="I525" s="20"/>
      <c r="J525" s="20"/>
      <c r="K525" s="20"/>
      <c r="L525" s="20"/>
      <c r="M525" s="17">
        <v>14.93</v>
      </c>
      <c r="N525" s="17">
        <v>41.45</v>
      </c>
      <c r="O525" s="20"/>
      <c r="P525" s="20"/>
      <c r="Q525" s="17">
        <v>0</v>
      </c>
      <c r="R525" s="17">
        <v>2091.58</v>
      </c>
      <c r="S525" s="142">
        <f t="shared" si="73"/>
        <v>2035.2</v>
      </c>
      <c r="T525" s="142">
        <f t="shared" si="74"/>
        <v>0</v>
      </c>
      <c r="U525" s="142">
        <f t="shared" si="75"/>
        <v>41.45</v>
      </c>
      <c r="W525" s="601">
        <f t="shared" si="70"/>
        <v>2091.58</v>
      </c>
      <c r="X525" s="601">
        <f t="shared" si="71"/>
        <v>0</v>
      </c>
      <c r="Y525" s="123"/>
      <c r="Z525" s="692">
        <f t="shared" si="72"/>
        <v>2035.2</v>
      </c>
      <c r="AA525" s="124"/>
      <c r="AB525" s="124"/>
      <c r="AC525" s="124"/>
      <c r="AD525" s="124"/>
      <c r="AE525" s="124"/>
      <c r="AF525" s="124"/>
      <c r="AG525" s="124"/>
      <c r="AH525" s="124"/>
      <c r="AI525" s="124"/>
      <c r="AJ525" s="124"/>
      <c r="AK525" s="124"/>
      <c r="AL525" s="124"/>
      <c r="AM525" s="124"/>
      <c r="AN525" s="124"/>
      <c r="AO525" s="124"/>
      <c r="AP525" s="124"/>
      <c r="AQ525" s="124"/>
    </row>
    <row r="526" spans="1:43" customFormat="1" ht="12.75" hidden="1" thickBot="1">
      <c r="A526" s="25" t="s">
        <v>1214</v>
      </c>
      <c r="B526" s="25" t="s">
        <v>288</v>
      </c>
      <c r="C526" s="25" t="s">
        <v>956</v>
      </c>
      <c r="D526" s="235" t="s">
        <v>498</v>
      </c>
      <c r="E526" s="76">
        <v>3347</v>
      </c>
      <c r="F526" s="19"/>
      <c r="G526" s="18">
        <v>573.75</v>
      </c>
      <c r="H526" s="19"/>
      <c r="I526" s="19"/>
      <c r="J526" s="19"/>
      <c r="K526" s="19"/>
      <c r="L526" s="19"/>
      <c r="M526" s="18">
        <v>5.36</v>
      </c>
      <c r="N526" s="18">
        <v>13.39</v>
      </c>
      <c r="O526" s="19"/>
      <c r="P526" s="19"/>
      <c r="Q526" s="18">
        <v>0</v>
      </c>
      <c r="R526" s="18">
        <v>592.5</v>
      </c>
      <c r="S526" s="142">
        <f t="shared" si="73"/>
        <v>573.75</v>
      </c>
      <c r="T526" s="142">
        <f t="shared" si="74"/>
        <v>0</v>
      </c>
      <c r="U526" s="142">
        <f t="shared" si="75"/>
        <v>13.39</v>
      </c>
      <c r="W526" s="601">
        <f t="shared" si="70"/>
        <v>592.5</v>
      </c>
      <c r="X526" s="601">
        <f t="shared" si="71"/>
        <v>0</v>
      </c>
      <c r="Y526" s="123"/>
      <c r="Z526" s="692">
        <f t="shared" si="72"/>
        <v>573.75</v>
      </c>
      <c r="AA526" s="124"/>
      <c r="AB526" s="124"/>
      <c r="AC526" s="124"/>
      <c r="AD526" s="124"/>
      <c r="AE526" s="124"/>
      <c r="AF526" s="124"/>
      <c r="AG526" s="124"/>
      <c r="AH526" s="124"/>
      <c r="AI526" s="124"/>
      <c r="AJ526" s="124"/>
      <c r="AK526" s="124"/>
      <c r="AL526" s="124"/>
      <c r="AM526" s="124"/>
      <c r="AN526" s="124"/>
      <c r="AO526" s="124"/>
      <c r="AP526" s="124"/>
      <c r="AQ526" s="124"/>
    </row>
    <row r="527" spans="1:43" customFormat="1" ht="12.75" hidden="1" thickBot="1">
      <c r="A527" s="25" t="s">
        <v>1214</v>
      </c>
      <c r="B527" s="25" t="s">
        <v>377</v>
      </c>
      <c r="C527" s="25" t="s">
        <v>960</v>
      </c>
      <c r="D527" s="235" t="s">
        <v>606</v>
      </c>
      <c r="E527" s="77">
        <v>525</v>
      </c>
      <c r="F527" s="20"/>
      <c r="G527" s="17">
        <v>913.44</v>
      </c>
      <c r="H527" s="20"/>
      <c r="I527" s="20"/>
      <c r="J527" s="20"/>
      <c r="K527" s="20"/>
      <c r="L527" s="20"/>
      <c r="M527" s="17">
        <v>0.84</v>
      </c>
      <c r="N527" s="17">
        <v>21.3</v>
      </c>
      <c r="O527" s="20"/>
      <c r="P527" s="20"/>
      <c r="Q527" s="20"/>
      <c r="R527" s="17">
        <v>935.58</v>
      </c>
      <c r="S527" s="142">
        <f t="shared" si="73"/>
        <v>913.44</v>
      </c>
      <c r="T527" s="142">
        <f t="shared" si="74"/>
        <v>0</v>
      </c>
      <c r="U527" s="142">
        <f t="shared" si="75"/>
        <v>21.3</v>
      </c>
      <c r="W527" s="601">
        <f t="shared" si="70"/>
        <v>935.58</v>
      </c>
      <c r="X527" s="601">
        <f t="shared" si="71"/>
        <v>0</v>
      </c>
      <c r="Y527" s="123"/>
      <c r="Z527" s="692">
        <f t="shared" si="72"/>
        <v>913.44</v>
      </c>
      <c r="AA527" s="124"/>
      <c r="AB527" s="124"/>
      <c r="AC527" s="124"/>
      <c r="AD527" s="124"/>
      <c r="AE527" s="124"/>
      <c r="AF527" s="124"/>
      <c r="AG527" s="124"/>
      <c r="AH527" s="124"/>
      <c r="AI527" s="124"/>
      <c r="AJ527" s="124"/>
      <c r="AK527" s="124"/>
      <c r="AL527" s="124"/>
      <c r="AM527" s="124"/>
      <c r="AN527" s="124"/>
      <c r="AO527" s="124"/>
      <c r="AP527" s="124"/>
      <c r="AQ527" s="124"/>
    </row>
    <row r="528" spans="1:43" customFormat="1" ht="12.75" hidden="1" thickBot="1">
      <c r="A528" s="25" t="s">
        <v>1214</v>
      </c>
      <c r="B528" s="25" t="s">
        <v>737</v>
      </c>
      <c r="C528" s="25" t="s">
        <v>961</v>
      </c>
      <c r="D528" s="235" t="s">
        <v>606</v>
      </c>
      <c r="E528" s="76">
        <v>115</v>
      </c>
      <c r="F528" s="19"/>
      <c r="G528" s="18">
        <v>99.6</v>
      </c>
      <c r="H528" s="19"/>
      <c r="I528" s="19"/>
      <c r="J528" s="19"/>
      <c r="K528" s="19"/>
      <c r="L528" s="19"/>
      <c r="M528" s="18">
        <v>0.18</v>
      </c>
      <c r="N528" s="18">
        <v>2.3199999999999998</v>
      </c>
      <c r="O528" s="19"/>
      <c r="P528" s="19"/>
      <c r="Q528" s="19"/>
      <c r="R528" s="18">
        <v>102.1</v>
      </c>
      <c r="S528" s="142">
        <f t="shared" si="73"/>
        <v>99.6</v>
      </c>
      <c r="T528" s="142">
        <f t="shared" si="74"/>
        <v>0</v>
      </c>
      <c r="U528" s="142">
        <f t="shared" si="75"/>
        <v>2.3199999999999998</v>
      </c>
      <c r="W528" s="601">
        <f t="shared" si="70"/>
        <v>102.1</v>
      </c>
      <c r="X528" s="601">
        <f t="shared" si="71"/>
        <v>0</v>
      </c>
      <c r="Y528" s="123"/>
      <c r="Z528" s="692">
        <f t="shared" si="72"/>
        <v>99.6</v>
      </c>
      <c r="AA528" s="124"/>
      <c r="AB528" s="124"/>
      <c r="AC528" s="124"/>
      <c r="AD528" s="124"/>
      <c r="AE528" s="124"/>
      <c r="AF528" s="124"/>
      <c r="AG528" s="124"/>
      <c r="AH528" s="124"/>
      <c r="AI528" s="124"/>
      <c r="AJ528" s="124"/>
      <c r="AK528" s="124"/>
      <c r="AL528" s="124"/>
      <c r="AM528" s="124"/>
      <c r="AN528" s="124"/>
      <c r="AO528" s="124"/>
      <c r="AP528" s="124"/>
      <c r="AQ528" s="124"/>
    </row>
    <row r="529" spans="1:43" customFormat="1" ht="12.75" hidden="1" thickBot="1">
      <c r="A529" s="25" t="s">
        <v>1214</v>
      </c>
      <c r="B529" s="25" t="s">
        <v>329</v>
      </c>
      <c r="C529" s="25" t="s">
        <v>962</v>
      </c>
      <c r="D529" s="235" t="s">
        <v>606</v>
      </c>
      <c r="E529" s="77">
        <v>5359</v>
      </c>
      <c r="F529" s="20"/>
      <c r="G529" s="17">
        <v>4477.16</v>
      </c>
      <c r="H529" s="20"/>
      <c r="I529" s="20"/>
      <c r="J529" s="20"/>
      <c r="K529" s="20"/>
      <c r="L529" s="20"/>
      <c r="M529" s="17">
        <v>8.6199999999999992</v>
      </c>
      <c r="N529" s="17">
        <v>104.47</v>
      </c>
      <c r="O529" s="20"/>
      <c r="P529" s="20"/>
      <c r="Q529" s="17">
        <v>0</v>
      </c>
      <c r="R529" s="17">
        <v>4590.25</v>
      </c>
      <c r="S529" s="142">
        <f t="shared" si="73"/>
        <v>4477.16</v>
      </c>
      <c r="T529" s="142">
        <f t="shared" si="74"/>
        <v>0</v>
      </c>
      <c r="U529" s="142">
        <f t="shared" si="75"/>
        <v>104.47</v>
      </c>
      <c r="W529" s="601">
        <f t="shared" si="70"/>
        <v>4590.25</v>
      </c>
      <c r="X529" s="601">
        <f t="shared" si="71"/>
        <v>0</v>
      </c>
      <c r="Y529" s="123"/>
      <c r="Z529" s="692">
        <f t="shared" si="72"/>
        <v>4477.16</v>
      </c>
      <c r="AA529" s="124"/>
      <c r="AB529" s="124"/>
      <c r="AC529" s="124"/>
      <c r="AD529" s="124"/>
      <c r="AE529" s="124"/>
      <c r="AF529" s="124"/>
      <c r="AG529" s="124"/>
      <c r="AH529" s="124"/>
      <c r="AI529" s="124"/>
      <c r="AJ529" s="124"/>
      <c r="AK529" s="124"/>
      <c r="AL529" s="124"/>
      <c r="AM529" s="124"/>
      <c r="AN529" s="124"/>
      <c r="AO529" s="124"/>
      <c r="AP529" s="124"/>
      <c r="AQ529" s="124"/>
    </row>
    <row r="530" spans="1:43" customFormat="1" ht="12.75" hidden="1" thickBot="1">
      <c r="A530" s="25" t="s">
        <v>1214</v>
      </c>
      <c r="B530" s="25" t="s">
        <v>330</v>
      </c>
      <c r="C530" s="25" t="s">
        <v>963</v>
      </c>
      <c r="D530" s="235" t="s">
        <v>606</v>
      </c>
      <c r="E530" s="76">
        <v>69903</v>
      </c>
      <c r="F530" s="19"/>
      <c r="G530" s="18">
        <v>42105.07</v>
      </c>
      <c r="H530" s="19"/>
      <c r="I530" s="19"/>
      <c r="J530" s="19"/>
      <c r="K530" s="19"/>
      <c r="L530" s="19"/>
      <c r="M530" s="18">
        <v>111.69</v>
      </c>
      <c r="N530" s="18">
        <v>982.11</v>
      </c>
      <c r="O530" s="19"/>
      <c r="P530" s="19"/>
      <c r="Q530" s="18">
        <v>0</v>
      </c>
      <c r="R530" s="18">
        <v>43198.87</v>
      </c>
      <c r="S530" s="142">
        <f t="shared" si="73"/>
        <v>42105.07</v>
      </c>
      <c r="T530" s="142">
        <f t="shared" si="74"/>
        <v>0</v>
      </c>
      <c r="U530" s="142">
        <f t="shared" si="75"/>
        <v>982.11</v>
      </c>
      <c r="W530" s="601">
        <f t="shared" si="70"/>
        <v>43198.87</v>
      </c>
      <c r="X530" s="601">
        <f t="shared" si="71"/>
        <v>0</v>
      </c>
      <c r="Y530" s="123"/>
      <c r="Z530" s="692">
        <f t="shared" si="72"/>
        <v>42105.07</v>
      </c>
      <c r="AA530" s="124"/>
      <c r="AB530" s="124"/>
      <c r="AC530" s="124"/>
      <c r="AD530" s="124"/>
      <c r="AE530" s="124"/>
      <c r="AF530" s="124"/>
      <c r="AG530" s="124"/>
      <c r="AH530" s="124"/>
      <c r="AI530" s="124"/>
      <c r="AJ530" s="124"/>
      <c r="AK530" s="124"/>
      <c r="AL530" s="124"/>
      <c r="AM530" s="124"/>
      <c r="AN530" s="124"/>
      <c r="AO530" s="124"/>
      <c r="AP530" s="124"/>
      <c r="AQ530" s="124"/>
    </row>
    <row r="531" spans="1:43" customFormat="1" ht="12.75" hidden="1" thickBot="1">
      <c r="A531" s="25" t="s">
        <v>1214</v>
      </c>
      <c r="B531" s="25" t="s">
        <v>332</v>
      </c>
      <c r="C531" s="25" t="s">
        <v>964</v>
      </c>
      <c r="D531" s="235" t="s">
        <v>606</v>
      </c>
      <c r="E531" s="77">
        <v>942</v>
      </c>
      <c r="F531" s="20"/>
      <c r="G531" s="17">
        <v>766.84</v>
      </c>
      <c r="H531" s="20"/>
      <c r="I531" s="20"/>
      <c r="J531" s="20"/>
      <c r="K531" s="20"/>
      <c r="L531" s="20"/>
      <c r="M531" s="17">
        <v>1.53</v>
      </c>
      <c r="N531" s="17">
        <v>17.78</v>
      </c>
      <c r="O531" s="20"/>
      <c r="P531" s="20"/>
      <c r="Q531" s="17">
        <v>0</v>
      </c>
      <c r="R531" s="17">
        <v>786.15</v>
      </c>
      <c r="S531" s="142">
        <f t="shared" si="73"/>
        <v>766.84</v>
      </c>
      <c r="T531" s="142">
        <f t="shared" si="74"/>
        <v>0</v>
      </c>
      <c r="U531" s="142">
        <f t="shared" si="75"/>
        <v>17.78</v>
      </c>
      <c r="W531" s="601">
        <f t="shared" si="70"/>
        <v>786.15</v>
      </c>
      <c r="X531" s="601">
        <f t="shared" si="71"/>
        <v>0</v>
      </c>
      <c r="Y531" s="123"/>
      <c r="Z531" s="692">
        <f t="shared" si="72"/>
        <v>766.84</v>
      </c>
      <c r="AA531" s="124"/>
      <c r="AB531" s="124"/>
      <c r="AC531" s="124"/>
      <c r="AD531" s="124"/>
      <c r="AE531" s="124"/>
      <c r="AF531" s="124"/>
      <c r="AG531" s="124"/>
      <c r="AH531" s="124"/>
      <c r="AI531" s="124"/>
      <c r="AJ531" s="124"/>
      <c r="AK531" s="124"/>
      <c r="AL531" s="124"/>
      <c r="AM531" s="124"/>
      <c r="AN531" s="124"/>
      <c r="AO531" s="124"/>
      <c r="AP531" s="124"/>
      <c r="AQ531" s="124"/>
    </row>
    <row r="532" spans="1:43" customFormat="1" ht="12.75" hidden="1" thickBot="1">
      <c r="A532" s="25" t="s">
        <v>1214</v>
      </c>
      <c r="B532" s="25" t="s">
        <v>333</v>
      </c>
      <c r="C532" s="25" t="s">
        <v>965</v>
      </c>
      <c r="D532" s="235" t="s">
        <v>606</v>
      </c>
      <c r="E532" s="76">
        <v>63796</v>
      </c>
      <c r="F532" s="19"/>
      <c r="G532" s="18">
        <v>41822.480000000003</v>
      </c>
      <c r="H532" s="19"/>
      <c r="I532" s="19"/>
      <c r="J532" s="19"/>
      <c r="K532" s="19"/>
      <c r="L532" s="19"/>
      <c r="M532" s="18">
        <v>102.04</v>
      </c>
      <c r="N532" s="18">
        <v>976.39</v>
      </c>
      <c r="O532" s="19"/>
      <c r="P532" s="19"/>
      <c r="Q532" s="18">
        <v>0</v>
      </c>
      <c r="R532" s="18">
        <v>42900.91</v>
      </c>
      <c r="S532" s="142">
        <f t="shared" si="73"/>
        <v>41822.480000000003</v>
      </c>
      <c r="T532" s="142">
        <f t="shared" si="74"/>
        <v>0</v>
      </c>
      <c r="U532" s="142">
        <f t="shared" si="75"/>
        <v>976.39</v>
      </c>
      <c r="W532" s="601">
        <f t="shared" si="70"/>
        <v>42900.91</v>
      </c>
      <c r="X532" s="601">
        <f t="shared" si="71"/>
        <v>0</v>
      </c>
      <c r="Y532" s="123"/>
      <c r="Z532" s="692">
        <f t="shared" si="72"/>
        <v>41822.480000000003</v>
      </c>
      <c r="AA532" s="124"/>
      <c r="AB532" s="124"/>
      <c r="AC532" s="124"/>
      <c r="AD532" s="124"/>
      <c r="AE532" s="124"/>
      <c r="AF532" s="124"/>
      <c r="AG532" s="124"/>
      <c r="AH532" s="124"/>
      <c r="AI532" s="124"/>
      <c r="AJ532" s="124"/>
      <c r="AK532" s="124"/>
      <c r="AL532" s="124"/>
      <c r="AM532" s="124"/>
      <c r="AN532" s="124"/>
      <c r="AO532" s="124"/>
      <c r="AP532" s="124"/>
      <c r="AQ532" s="124"/>
    </row>
    <row r="533" spans="1:43" customFormat="1" ht="12.75" hidden="1" thickBot="1">
      <c r="A533" s="25" t="s">
        <v>1214</v>
      </c>
      <c r="B533" s="25" t="s">
        <v>334</v>
      </c>
      <c r="C533" s="25" t="s">
        <v>966</v>
      </c>
      <c r="D533" s="235" t="s">
        <v>498</v>
      </c>
      <c r="E533" s="77">
        <v>1350</v>
      </c>
      <c r="F533" s="20"/>
      <c r="G533" s="17">
        <v>947.2</v>
      </c>
      <c r="H533" s="20"/>
      <c r="I533" s="20"/>
      <c r="J533" s="20"/>
      <c r="K533" s="20"/>
      <c r="L533" s="20"/>
      <c r="M533" s="17">
        <v>2.16</v>
      </c>
      <c r="N533" s="17">
        <v>22.12</v>
      </c>
      <c r="O533" s="20"/>
      <c r="P533" s="20"/>
      <c r="Q533" s="17">
        <v>0</v>
      </c>
      <c r="R533" s="17">
        <v>971.48</v>
      </c>
      <c r="S533" s="142">
        <f t="shared" si="73"/>
        <v>947.2</v>
      </c>
      <c r="T533" s="142">
        <f t="shared" si="74"/>
        <v>0</v>
      </c>
      <c r="U533" s="142">
        <f t="shared" si="75"/>
        <v>22.12</v>
      </c>
      <c r="W533" s="601">
        <f t="shared" si="70"/>
        <v>971.48</v>
      </c>
      <c r="X533" s="601">
        <f t="shared" si="71"/>
        <v>0</v>
      </c>
      <c r="Y533" s="123"/>
      <c r="Z533" s="692">
        <f t="shared" si="72"/>
        <v>947.2</v>
      </c>
      <c r="AA533" s="124"/>
      <c r="AB533" s="124"/>
      <c r="AC533" s="124"/>
      <c r="AD533" s="124"/>
      <c r="AE533" s="124"/>
      <c r="AF533" s="124"/>
      <c r="AG533" s="124"/>
      <c r="AH533" s="124"/>
      <c r="AI533" s="124"/>
      <c r="AJ533" s="124"/>
      <c r="AK533" s="124"/>
      <c r="AL533" s="124"/>
      <c r="AM533" s="124"/>
      <c r="AN533" s="124"/>
      <c r="AO533" s="124"/>
      <c r="AP533" s="124"/>
      <c r="AQ533" s="124"/>
    </row>
    <row r="534" spans="1:43" customFormat="1" ht="12.75" hidden="1" thickBot="1">
      <c r="A534" s="25" t="s">
        <v>1214</v>
      </c>
      <c r="B534" s="25" t="s">
        <v>336</v>
      </c>
      <c r="C534" s="25" t="s">
        <v>967</v>
      </c>
      <c r="D534" s="235" t="s">
        <v>498</v>
      </c>
      <c r="E534" s="76">
        <v>6131</v>
      </c>
      <c r="F534" s="19"/>
      <c r="G534" s="18">
        <v>2799.01</v>
      </c>
      <c r="H534" s="19"/>
      <c r="I534" s="19"/>
      <c r="J534" s="19"/>
      <c r="K534" s="19"/>
      <c r="L534" s="19"/>
      <c r="M534" s="18">
        <v>9.81</v>
      </c>
      <c r="N534" s="18">
        <v>65.45</v>
      </c>
      <c r="O534" s="19"/>
      <c r="P534" s="19"/>
      <c r="Q534" s="18">
        <v>0</v>
      </c>
      <c r="R534" s="18">
        <v>2874.27</v>
      </c>
      <c r="S534" s="142">
        <f t="shared" si="73"/>
        <v>2799.01</v>
      </c>
      <c r="T534" s="142">
        <f t="shared" si="74"/>
        <v>0</v>
      </c>
      <c r="U534" s="142">
        <f t="shared" si="75"/>
        <v>65.45</v>
      </c>
      <c r="W534" s="601">
        <f t="shared" si="70"/>
        <v>2874.27</v>
      </c>
      <c r="X534" s="601">
        <f t="shared" si="71"/>
        <v>0</v>
      </c>
      <c r="Y534" s="123"/>
      <c r="Z534" s="692">
        <f t="shared" si="72"/>
        <v>2799.01</v>
      </c>
      <c r="AA534" s="124"/>
      <c r="AB534" s="124"/>
      <c r="AC534" s="124"/>
      <c r="AD534" s="124"/>
      <c r="AE534" s="124"/>
      <c r="AF534" s="124"/>
      <c r="AG534" s="124"/>
      <c r="AH534" s="124"/>
      <c r="AI534" s="124"/>
      <c r="AJ534" s="124"/>
      <c r="AK534" s="124"/>
      <c r="AL534" s="124"/>
      <c r="AM534" s="124"/>
      <c r="AN534" s="124"/>
      <c r="AO534" s="124"/>
      <c r="AP534" s="124"/>
      <c r="AQ534" s="124"/>
    </row>
    <row r="535" spans="1:43" customFormat="1" ht="12.75" hidden="1" thickBot="1">
      <c r="A535" s="25" t="s">
        <v>1214</v>
      </c>
      <c r="B535" s="25" t="s">
        <v>337</v>
      </c>
      <c r="C535" s="25" t="s">
        <v>968</v>
      </c>
      <c r="D535" s="235" t="s">
        <v>606</v>
      </c>
      <c r="E535" s="77">
        <v>2833</v>
      </c>
      <c r="F535" s="20"/>
      <c r="G535" s="17">
        <v>1614.06</v>
      </c>
      <c r="H535" s="20"/>
      <c r="I535" s="20"/>
      <c r="J535" s="20"/>
      <c r="K535" s="20"/>
      <c r="L535" s="20"/>
      <c r="M535" s="17">
        <v>4.5199999999999996</v>
      </c>
      <c r="N535" s="17">
        <v>37.74</v>
      </c>
      <c r="O535" s="20"/>
      <c r="P535" s="20"/>
      <c r="Q535" s="17">
        <v>0</v>
      </c>
      <c r="R535" s="17">
        <v>1656.32</v>
      </c>
      <c r="S535" s="142">
        <f t="shared" si="73"/>
        <v>1614.06</v>
      </c>
      <c r="T535" s="142">
        <f t="shared" si="74"/>
        <v>0</v>
      </c>
      <c r="U535" s="142">
        <f t="shared" si="75"/>
        <v>37.74</v>
      </c>
      <c r="W535" s="601">
        <f t="shared" si="70"/>
        <v>1656.32</v>
      </c>
      <c r="X535" s="601">
        <f t="shared" si="71"/>
        <v>0</v>
      </c>
      <c r="Y535" s="123"/>
      <c r="Z535" s="692">
        <f t="shared" si="72"/>
        <v>1614.06</v>
      </c>
      <c r="AA535" s="124"/>
      <c r="AB535" s="124"/>
      <c r="AC535" s="124"/>
      <c r="AD535" s="124"/>
      <c r="AE535" s="124"/>
      <c r="AF535" s="124"/>
      <c r="AG535" s="124"/>
      <c r="AH535" s="124"/>
      <c r="AI535" s="124"/>
      <c r="AJ535" s="124"/>
      <c r="AK535" s="124"/>
      <c r="AL535" s="124"/>
      <c r="AM535" s="124"/>
      <c r="AN535" s="124"/>
      <c r="AO535" s="124"/>
      <c r="AP535" s="124"/>
      <c r="AQ535" s="124"/>
    </row>
    <row r="536" spans="1:43" customFormat="1" ht="12.75" hidden="1" thickBot="1">
      <c r="A536" s="25" t="s">
        <v>1214</v>
      </c>
      <c r="B536" s="25" t="s">
        <v>338</v>
      </c>
      <c r="C536" s="25" t="s">
        <v>969</v>
      </c>
      <c r="D536" s="235" t="s">
        <v>606</v>
      </c>
      <c r="E536" s="76">
        <v>14856</v>
      </c>
      <c r="F536" s="19"/>
      <c r="G536" s="18">
        <v>5783.36</v>
      </c>
      <c r="H536" s="19"/>
      <c r="I536" s="19"/>
      <c r="J536" s="19"/>
      <c r="K536" s="19"/>
      <c r="L536" s="19"/>
      <c r="M536" s="18">
        <v>23.79</v>
      </c>
      <c r="N536" s="18">
        <v>135.19999999999999</v>
      </c>
      <c r="O536" s="19"/>
      <c r="P536" s="19"/>
      <c r="Q536" s="18">
        <v>0</v>
      </c>
      <c r="R536" s="18">
        <v>5942.35</v>
      </c>
      <c r="S536" s="142">
        <f t="shared" si="73"/>
        <v>5783.36</v>
      </c>
      <c r="T536" s="142">
        <f t="shared" si="74"/>
        <v>0</v>
      </c>
      <c r="U536" s="142">
        <f t="shared" si="75"/>
        <v>135.19999999999999</v>
      </c>
      <c r="W536" s="601">
        <f t="shared" ref="W536:W595" si="76">SUM(F536:Q536)</f>
        <v>5942.3499999999995</v>
      </c>
      <c r="X536" s="601">
        <f t="shared" ref="X536:X595" si="77">W536-R536</f>
        <v>0</v>
      </c>
      <c r="Y536" s="123"/>
      <c r="Z536" s="692">
        <f t="shared" si="72"/>
        <v>5783.36</v>
      </c>
      <c r="AA536" s="124"/>
      <c r="AB536" s="124"/>
      <c r="AC536" s="124"/>
      <c r="AD536" s="124"/>
      <c r="AE536" s="124"/>
      <c r="AF536" s="124"/>
      <c r="AG536" s="124"/>
      <c r="AH536" s="124"/>
      <c r="AI536" s="124"/>
      <c r="AJ536" s="124"/>
      <c r="AK536" s="124"/>
      <c r="AL536" s="124"/>
      <c r="AM536" s="124"/>
      <c r="AN536" s="124"/>
      <c r="AO536" s="124"/>
      <c r="AP536" s="124"/>
      <c r="AQ536" s="124"/>
    </row>
    <row r="537" spans="1:43" customFormat="1" ht="12.75" hidden="1" thickBot="1">
      <c r="A537" s="25" t="s">
        <v>1214</v>
      </c>
      <c r="B537" s="25" t="s">
        <v>339</v>
      </c>
      <c r="C537" s="25" t="s">
        <v>970</v>
      </c>
      <c r="D537" s="235" t="s">
        <v>606</v>
      </c>
      <c r="E537" s="77">
        <v>54304</v>
      </c>
      <c r="F537" s="20"/>
      <c r="G537" s="17">
        <v>14946.82</v>
      </c>
      <c r="H537" s="20"/>
      <c r="I537" s="20"/>
      <c r="J537" s="20"/>
      <c r="K537" s="20"/>
      <c r="L537" s="20"/>
      <c r="M537" s="17">
        <v>86.78</v>
      </c>
      <c r="N537" s="17">
        <v>349.66</v>
      </c>
      <c r="O537" s="20"/>
      <c r="P537" s="20"/>
      <c r="Q537" s="17">
        <v>0</v>
      </c>
      <c r="R537" s="17">
        <v>15383.26</v>
      </c>
      <c r="S537" s="142">
        <f t="shared" si="73"/>
        <v>14946.82</v>
      </c>
      <c r="T537" s="142">
        <f t="shared" si="74"/>
        <v>0</v>
      </c>
      <c r="U537" s="142">
        <f t="shared" si="75"/>
        <v>349.66</v>
      </c>
      <c r="W537" s="601">
        <f t="shared" si="76"/>
        <v>15383.26</v>
      </c>
      <c r="X537" s="601">
        <f t="shared" si="77"/>
        <v>0</v>
      </c>
      <c r="Y537" s="123"/>
      <c r="Z537" s="692">
        <f t="shared" si="72"/>
        <v>14946.82</v>
      </c>
      <c r="AA537" s="124"/>
      <c r="AB537" s="124"/>
      <c r="AC537" s="124"/>
      <c r="AD537" s="124"/>
      <c r="AE537" s="124"/>
      <c r="AF537" s="124"/>
      <c r="AG537" s="124"/>
      <c r="AH537" s="124"/>
      <c r="AI537" s="124"/>
      <c r="AJ537" s="124"/>
      <c r="AK537" s="124"/>
      <c r="AL537" s="124"/>
      <c r="AM537" s="124"/>
      <c r="AN537" s="124"/>
      <c r="AO537" s="124"/>
      <c r="AP537" s="124"/>
      <c r="AQ537" s="124"/>
    </row>
    <row r="538" spans="1:43" customFormat="1" ht="12.75" hidden="1" thickBot="1">
      <c r="A538" s="25" t="s">
        <v>1214</v>
      </c>
      <c r="B538" s="25" t="s">
        <v>340</v>
      </c>
      <c r="C538" s="25" t="s">
        <v>971</v>
      </c>
      <c r="D538" s="235" t="s">
        <v>606</v>
      </c>
      <c r="E538" s="76">
        <v>681</v>
      </c>
      <c r="F538" s="19"/>
      <c r="G538" s="18">
        <v>342.55</v>
      </c>
      <c r="H538" s="19"/>
      <c r="I538" s="19"/>
      <c r="J538" s="19"/>
      <c r="K538" s="19"/>
      <c r="L538" s="19"/>
      <c r="M538" s="18">
        <v>1.08</v>
      </c>
      <c r="N538" s="18">
        <v>8.0399999999999991</v>
      </c>
      <c r="O538" s="19"/>
      <c r="P538" s="19"/>
      <c r="Q538" s="18">
        <v>0</v>
      </c>
      <c r="R538" s="18">
        <v>351.67</v>
      </c>
      <c r="S538" s="142">
        <f t="shared" si="73"/>
        <v>342.55</v>
      </c>
      <c r="T538" s="142">
        <f t="shared" si="74"/>
        <v>0</v>
      </c>
      <c r="U538" s="142">
        <f t="shared" si="75"/>
        <v>8.0399999999999991</v>
      </c>
      <c r="W538" s="601">
        <f t="shared" si="76"/>
        <v>351.67</v>
      </c>
      <c r="X538" s="601">
        <f t="shared" si="77"/>
        <v>0</v>
      </c>
      <c r="Y538" s="123"/>
      <c r="Z538" s="692">
        <f t="shared" si="72"/>
        <v>342.55</v>
      </c>
      <c r="AA538" s="124"/>
      <c r="AB538" s="124"/>
      <c r="AC538" s="124"/>
      <c r="AD538" s="124"/>
      <c r="AE538" s="124"/>
      <c r="AF538" s="124"/>
      <c r="AG538" s="124"/>
      <c r="AH538" s="124"/>
      <c r="AI538" s="124"/>
      <c r="AJ538" s="124"/>
      <c r="AK538" s="124"/>
      <c r="AL538" s="124"/>
      <c r="AM538" s="124"/>
      <c r="AN538" s="124"/>
      <c r="AO538" s="124"/>
      <c r="AP538" s="124"/>
      <c r="AQ538" s="124"/>
    </row>
    <row r="539" spans="1:43" customFormat="1" ht="12.75" hidden="1" thickBot="1">
      <c r="A539" s="25" t="s">
        <v>1214</v>
      </c>
      <c r="B539" s="25" t="s">
        <v>341</v>
      </c>
      <c r="C539" s="25" t="s">
        <v>972</v>
      </c>
      <c r="D539" s="235" t="s">
        <v>606</v>
      </c>
      <c r="E539" s="77">
        <v>3707</v>
      </c>
      <c r="F539" s="20"/>
      <c r="G539" s="17">
        <v>1138</v>
      </c>
      <c r="H539" s="20"/>
      <c r="I539" s="20"/>
      <c r="J539" s="20"/>
      <c r="K539" s="20"/>
      <c r="L539" s="20"/>
      <c r="M539" s="17">
        <v>5.65</v>
      </c>
      <c r="N539" s="17">
        <v>23.12</v>
      </c>
      <c r="O539" s="20"/>
      <c r="P539" s="20"/>
      <c r="Q539" s="17">
        <v>0</v>
      </c>
      <c r="R539" s="17">
        <v>1166.77</v>
      </c>
      <c r="S539" s="142">
        <f t="shared" si="73"/>
        <v>1138</v>
      </c>
      <c r="T539" s="142">
        <f t="shared" si="74"/>
        <v>0</v>
      </c>
      <c r="U539" s="142">
        <f t="shared" si="75"/>
        <v>23.12</v>
      </c>
      <c r="W539" s="601">
        <f t="shared" si="76"/>
        <v>1166.77</v>
      </c>
      <c r="X539" s="601">
        <f t="shared" si="77"/>
        <v>0</v>
      </c>
      <c r="Y539" s="123"/>
      <c r="Z539" s="692">
        <f t="shared" si="72"/>
        <v>1138</v>
      </c>
      <c r="AA539" s="124"/>
      <c r="AB539" s="124"/>
      <c r="AC539" s="124"/>
      <c r="AD539" s="124"/>
      <c r="AE539" s="124"/>
      <c r="AF539" s="124"/>
      <c r="AG539" s="124"/>
      <c r="AH539" s="124"/>
      <c r="AI539" s="124"/>
      <c r="AJ539" s="124"/>
      <c r="AK539" s="124"/>
      <c r="AL539" s="124"/>
      <c r="AM539" s="124"/>
      <c r="AN539" s="124"/>
      <c r="AO539" s="124"/>
      <c r="AP539" s="124"/>
      <c r="AQ539" s="124"/>
    </row>
    <row r="540" spans="1:43" customFormat="1" ht="12.75" hidden="1" thickBot="1">
      <c r="A540" s="25" t="s">
        <v>1214</v>
      </c>
      <c r="B540" s="25" t="s">
        <v>342</v>
      </c>
      <c r="C540" s="25" t="s">
        <v>973</v>
      </c>
      <c r="D540" s="235" t="s">
        <v>606</v>
      </c>
      <c r="E540" s="76">
        <v>3753</v>
      </c>
      <c r="F540" s="19"/>
      <c r="G540" s="18">
        <v>918.81</v>
      </c>
      <c r="H540" s="19"/>
      <c r="I540" s="19"/>
      <c r="J540" s="19"/>
      <c r="K540" s="19"/>
      <c r="L540" s="19"/>
      <c r="M540" s="18">
        <v>5.95</v>
      </c>
      <c r="N540" s="18">
        <v>21.1</v>
      </c>
      <c r="O540" s="19"/>
      <c r="P540" s="19"/>
      <c r="Q540" s="18">
        <v>0</v>
      </c>
      <c r="R540" s="18">
        <v>945.86</v>
      </c>
      <c r="S540" s="142">
        <f t="shared" si="73"/>
        <v>918.81</v>
      </c>
      <c r="T540" s="142">
        <f t="shared" si="74"/>
        <v>0</v>
      </c>
      <c r="U540" s="142">
        <f t="shared" si="75"/>
        <v>21.1</v>
      </c>
      <c r="W540" s="601">
        <f t="shared" si="76"/>
        <v>945.86</v>
      </c>
      <c r="X540" s="601">
        <f t="shared" si="77"/>
        <v>0</v>
      </c>
      <c r="Y540" s="123"/>
      <c r="Z540" s="692">
        <f t="shared" si="72"/>
        <v>918.81</v>
      </c>
      <c r="AA540" s="124"/>
      <c r="AB540" s="124"/>
      <c r="AC540" s="124"/>
      <c r="AD540" s="124"/>
      <c r="AE540" s="124"/>
      <c r="AF540" s="124"/>
      <c r="AG540" s="124"/>
      <c r="AH540" s="124"/>
      <c r="AI540" s="124"/>
      <c r="AJ540" s="124"/>
      <c r="AK540" s="124"/>
      <c r="AL540" s="124"/>
      <c r="AM540" s="124"/>
      <c r="AN540" s="124"/>
      <c r="AO540" s="124"/>
      <c r="AP540" s="124"/>
      <c r="AQ540" s="124"/>
    </row>
    <row r="541" spans="1:43" customFormat="1" ht="12.75" hidden="1" thickBot="1">
      <c r="A541" s="25" t="s">
        <v>1214</v>
      </c>
      <c r="B541" s="25" t="s">
        <v>343</v>
      </c>
      <c r="C541" s="25" t="s">
        <v>974</v>
      </c>
      <c r="D541" s="235" t="s">
        <v>498</v>
      </c>
      <c r="E541" s="77">
        <v>1053</v>
      </c>
      <c r="F541" s="20"/>
      <c r="G541" s="17">
        <v>1383.38</v>
      </c>
      <c r="H541" s="20"/>
      <c r="I541" s="20"/>
      <c r="J541" s="20"/>
      <c r="K541" s="20"/>
      <c r="L541" s="20"/>
      <c r="M541" s="17">
        <v>1.69</v>
      </c>
      <c r="N541" s="17">
        <v>32.270000000000003</v>
      </c>
      <c r="O541" s="20"/>
      <c r="P541" s="20"/>
      <c r="Q541" s="17">
        <v>0</v>
      </c>
      <c r="R541" s="17">
        <v>1417.34</v>
      </c>
      <c r="S541" s="142">
        <f t="shared" si="73"/>
        <v>1383.38</v>
      </c>
      <c r="T541" s="142">
        <f t="shared" si="74"/>
        <v>0</v>
      </c>
      <c r="U541" s="142">
        <f t="shared" si="75"/>
        <v>32.270000000000003</v>
      </c>
      <c r="W541" s="601">
        <f t="shared" si="76"/>
        <v>1417.3400000000001</v>
      </c>
      <c r="X541" s="601">
        <f t="shared" si="77"/>
        <v>0</v>
      </c>
      <c r="Y541" s="123"/>
      <c r="Z541" s="692">
        <f t="shared" si="72"/>
        <v>1383.38</v>
      </c>
      <c r="AA541" s="124"/>
      <c r="AB541" s="124"/>
      <c r="AC541" s="124"/>
      <c r="AD541" s="124"/>
      <c r="AE541" s="124"/>
      <c r="AF541" s="124"/>
      <c r="AG541" s="124"/>
      <c r="AH541" s="124"/>
      <c r="AI541" s="124"/>
      <c r="AJ541" s="124"/>
      <c r="AK541" s="124"/>
      <c r="AL541" s="124"/>
      <c r="AM541" s="124"/>
      <c r="AN541" s="124"/>
      <c r="AO541" s="124"/>
      <c r="AP541" s="124"/>
      <c r="AQ541" s="124"/>
    </row>
    <row r="542" spans="1:43" customFormat="1" ht="12.75" hidden="1" thickBot="1">
      <c r="A542" s="25" t="s">
        <v>1214</v>
      </c>
      <c r="B542" s="25" t="s">
        <v>344</v>
      </c>
      <c r="C542" s="25" t="s">
        <v>975</v>
      </c>
      <c r="D542" s="235" t="s">
        <v>606</v>
      </c>
      <c r="E542" s="76">
        <v>1289</v>
      </c>
      <c r="F542" s="19"/>
      <c r="G542" s="18">
        <v>1838.6</v>
      </c>
      <c r="H542" s="19"/>
      <c r="I542" s="19"/>
      <c r="J542" s="19"/>
      <c r="K542" s="19"/>
      <c r="L542" s="19"/>
      <c r="M542" s="18">
        <v>2.0499999999999998</v>
      </c>
      <c r="N542" s="18">
        <v>42.89</v>
      </c>
      <c r="O542" s="19"/>
      <c r="P542" s="19"/>
      <c r="Q542" s="18">
        <v>0</v>
      </c>
      <c r="R542" s="18">
        <v>1883.54</v>
      </c>
      <c r="S542" s="142">
        <f t="shared" si="73"/>
        <v>1838.6</v>
      </c>
      <c r="T542" s="142">
        <f t="shared" si="74"/>
        <v>0</v>
      </c>
      <c r="U542" s="142">
        <f t="shared" si="75"/>
        <v>42.89</v>
      </c>
      <c r="W542" s="601">
        <f t="shared" si="76"/>
        <v>1883.54</v>
      </c>
      <c r="X542" s="601">
        <f t="shared" si="77"/>
        <v>0</v>
      </c>
      <c r="Y542" s="123"/>
      <c r="Z542" s="692">
        <f t="shared" si="72"/>
        <v>1838.6</v>
      </c>
      <c r="AA542" s="124"/>
      <c r="AB542" s="124"/>
      <c r="AC542" s="124"/>
      <c r="AD542" s="124"/>
      <c r="AE542" s="124"/>
      <c r="AF542" s="124"/>
      <c r="AG542" s="124"/>
      <c r="AH542" s="124"/>
      <c r="AI542" s="124"/>
      <c r="AJ542" s="124"/>
      <c r="AK542" s="124"/>
      <c r="AL542" s="124"/>
      <c r="AM542" s="124"/>
      <c r="AN542" s="124"/>
      <c r="AO542" s="124"/>
      <c r="AP542" s="124"/>
      <c r="AQ542" s="124"/>
    </row>
    <row r="543" spans="1:43" customFormat="1" ht="12.75" hidden="1" thickBot="1">
      <c r="A543" s="25" t="s">
        <v>1214</v>
      </c>
      <c r="B543" s="25" t="s">
        <v>345</v>
      </c>
      <c r="C543" s="25" t="s">
        <v>976</v>
      </c>
      <c r="D543" s="235" t="s">
        <v>498</v>
      </c>
      <c r="E543" s="77">
        <v>7401</v>
      </c>
      <c r="F543" s="20"/>
      <c r="G543" s="17">
        <v>7356.99</v>
      </c>
      <c r="H543" s="20"/>
      <c r="I543" s="20"/>
      <c r="J543" s="20"/>
      <c r="K543" s="20"/>
      <c r="L543" s="20"/>
      <c r="M543" s="17">
        <v>11.86</v>
      </c>
      <c r="N543" s="17">
        <v>171.69</v>
      </c>
      <c r="O543" s="20"/>
      <c r="P543" s="20"/>
      <c r="Q543" s="17">
        <v>0</v>
      </c>
      <c r="R543" s="17">
        <v>7540.54</v>
      </c>
      <c r="S543" s="142">
        <f t="shared" si="73"/>
        <v>7356.99</v>
      </c>
      <c r="T543" s="142">
        <f t="shared" si="74"/>
        <v>0</v>
      </c>
      <c r="U543" s="142">
        <f t="shared" si="75"/>
        <v>171.69</v>
      </c>
      <c r="W543" s="601">
        <f t="shared" si="76"/>
        <v>7540.5399999999991</v>
      </c>
      <c r="X543" s="601">
        <f t="shared" si="77"/>
        <v>0</v>
      </c>
      <c r="Y543" s="123"/>
      <c r="Z543" s="692">
        <f t="shared" si="72"/>
        <v>7356.99</v>
      </c>
      <c r="AA543" s="124"/>
      <c r="AB543" s="124"/>
      <c r="AC543" s="124"/>
      <c r="AD543" s="124"/>
      <c r="AE543" s="124"/>
      <c r="AF543" s="124"/>
      <c r="AG543" s="124"/>
      <c r="AH543" s="124"/>
      <c r="AI543" s="124"/>
      <c r="AJ543" s="124"/>
      <c r="AK543" s="124"/>
      <c r="AL543" s="124"/>
      <c r="AM543" s="124"/>
      <c r="AN543" s="124"/>
      <c r="AO543" s="124"/>
      <c r="AP543" s="124"/>
      <c r="AQ543" s="124"/>
    </row>
    <row r="544" spans="1:43" customFormat="1" ht="12.75" hidden="1" thickBot="1">
      <c r="A544" s="25" t="s">
        <v>1214</v>
      </c>
      <c r="B544" s="25" t="s">
        <v>346</v>
      </c>
      <c r="C544" s="25" t="s">
        <v>977</v>
      </c>
      <c r="D544" s="235" t="s">
        <v>606</v>
      </c>
      <c r="E544" s="76">
        <v>6943</v>
      </c>
      <c r="F544" s="19"/>
      <c r="G544" s="18">
        <v>7705.29</v>
      </c>
      <c r="H544" s="19"/>
      <c r="I544" s="19"/>
      <c r="J544" s="19"/>
      <c r="K544" s="19"/>
      <c r="L544" s="19"/>
      <c r="M544" s="18">
        <v>11.02</v>
      </c>
      <c r="N544" s="18">
        <v>172.61</v>
      </c>
      <c r="O544" s="19"/>
      <c r="P544" s="19"/>
      <c r="Q544" s="18">
        <v>0</v>
      </c>
      <c r="R544" s="18">
        <v>7888.92</v>
      </c>
      <c r="S544" s="142">
        <f t="shared" si="73"/>
        <v>7705.29</v>
      </c>
      <c r="T544" s="142">
        <f t="shared" si="74"/>
        <v>0</v>
      </c>
      <c r="U544" s="142">
        <f t="shared" si="75"/>
        <v>172.61</v>
      </c>
      <c r="W544" s="601">
        <f t="shared" si="76"/>
        <v>7888.92</v>
      </c>
      <c r="X544" s="601">
        <f t="shared" si="77"/>
        <v>0</v>
      </c>
      <c r="Y544" s="123"/>
      <c r="Z544" s="692">
        <f t="shared" si="72"/>
        <v>7705.29</v>
      </c>
      <c r="AA544" s="124"/>
      <c r="AB544" s="124"/>
      <c r="AC544" s="124"/>
      <c r="AD544" s="124"/>
      <c r="AE544" s="124"/>
      <c r="AF544" s="124"/>
      <c r="AG544" s="124"/>
      <c r="AH544" s="124"/>
      <c r="AI544" s="124"/>
      <c r="AJ544" s="124"/>
      <c r="AK544" s="124"/>
      <c r="AL544" s="124"/>
      <c r="AM544" s="124"/>
      <c r="AN544" s="124"/>
      <c r="AO544" s="124"/>
      <c r="AP544" s="124"/>
      <c r="AQ544" s="124"/>
    </row>
    <row r="545" spans="1:43" customFormat="1" ht="12.75" hidden="1" thickBot="1">
      <c r="A545" s="25" t="s">
        <v>1214</v>
      </c>
      <c r="B545" s="25" t="s">
        <v>347</v>
      </c>
      <c r="C545" s="25" t="s">
        <v>978</v>
      </c>
      <c r="D545" s="235" t="s">
        <v>498</v>
      </c>
      <c r="E545" s="77">
        <v>24</v>
      </c>
      <c r="F545" s="20"/>
      <c r="G545" s="17">
        <v>32.26</v>
      </c>
      <c r="H545" s="20"/>
      <c r="I545" s="20"/>
      <c r="J545" s="20"/>
      <c r="K545" s="20"/>
      <c r="L545" s="20"/>
      <c r="M545" s="17">
        <v>0.04</v>
      </c>
      <c r="N545" s="17">
        <v>0.75</v>
      </c>
      <c r="O545" s="20"/>
      <c r="P545" s="20"/>
      <c r="Q545" s="17">
        <v>0</v>
      </c>
      <c r="R545" s="17">
        <v>33.049999999999997</v>
      </c>
      <c r="S545" s="142">
        <f t="shared" si="73"/>
        <v>32.26</v>
      </c>
      <c r="T545" s="142">
        <f t="shared" si="74"/>
        <v>0</v>
      </c>
      <c r="U545" s="142">
        <f t="shared" si="75"/>
        <v>0.75</v>
      </c>
      <c r="W545" s="601">
        <f t="shared" si="76"/>
        <v>33.049999999999997</v>
      </c>
      <c r="X545" s="601">
        <f t="shared" si="77"/>
        <v>0</v>
      </c>
      <c r="Y545" s="123"/>
      <c r="Z545" s="692">
        <f t="shared" si="72"/>
        <v>32.26</v>
      </c>
      <c r="AA545" s="124"/>
      <c r="AB545" s="124"/>
      <c r="AC545" s="124"/>
      <c r="AD545" s="124"/>
      <c r="AE545" s="124"/>
      <c r="AF545" s="124"/>
      <c r="AG545" s="124"/>
      <c r="AH545" s="124"/>
      <c r="AI545" s="124"/>
      <c r="AJ545" s="124"/>
      <c r="AK545" s="124"/>
      <c r="AL545" s="124"/>
      <c r="AM545" s="124"/>
      <c r="AN545" s="124"/>
      <c r="AO545" s="124"/>
      <c r="AP545" s="124"/>
      <c r="AQ545" s="124"/>
    </row>
    <row r="546" spans="1:43" customFormat="1" ht="12.75" hidden="1" thickBot="1">
      <c r="A546" s="25" t="s">
        <v>1214</v>
      </c>
      <c r="B546" s="25" t="s">
        <v>348</v>
      </c>
      <c r="C546" s="25" t="s">
        <v>979</v>
      </c>
      <c r="D546" s="235" t="s">
        <v>606</v>
      </c>
      <c r="E546" s="76">
        <v>1119</v>
      </c>
      <c r="F546" s="19"/>
      <c r="G546" s="18">
        <v>1647.83</v>
      </c>
      <c r="H546" s="19"/>
      <c r="I546" s="19"/>
      <c r="J546" s="19"/>
      <c r="K546" s="19"/>
      <c r="L546" s="19"/>
      <c r="M546" s="18">
        <v>1.78</v>
      </c>
      <c r="N546" s="18">
        <v>38.46</v>
      </c>
      <c r="O546" s="19"/>
      <c r="P546" s="19"/>
      <c r="Q546" s="18">
        <v>0</v>
      </c>
      <c r="R546" s="18">
        <v>1688.07</v>
      </c>
      <c r="S546" s="142">
        <f t="shared" si="73"/>
        <v>1647.83</v>
      </c>
      <c r="T546" s="142">
        <f t="shared" si="74"/>
        <v>0</v>
      </c>
      <c r="U546" s="142">
        <f t="shared" si="75"/>
        <v>38.46</v>
      </c>
      <c r="W546" s="601">
        <f t="shared" si="76"/>
        <v>1688.07</v>
      </c>
      <c r="X546" s="601">
        <f t="shared" si="77"/>
        <v>0</v>
      </c>
      <c r="Y546" s="123"/>
      <c r="Z546" s="692">
        <f t="shared" si="72"/>
        <v>1647.83</v>
      </c>
      <c r="AA546" s="124"/>
      <c r="AB546" s="124"/>
      <c r="AC546" s="124"/>
      <c r="AD546" s="124"/>
      <c r="AE546" s="124"/>
      <c r="AF546" s="124"/>
      <c r="AG546" s="124"/>
      <c r="AH546" s="124"/>
      <c r="AI546" s="124"/>
      <c r="AJ546" s="124"/>
      <c r="AK546" s="124"/>
      <c r="AL546" s="124"/>
      <c r="AM546" s="124"/>
      <c r="AN546" s="124"/>
      <c r="AO546" s="124"/>
      <c r="AP546" s="124"/>
      <c r="AQ546" s="124"/>
    </row>
    <row r="547" spans="1:43" customFormat="1" ht="12.75" hidden="1" thickBot="1">
      <c r="A547" s="25" t="s">
        <v>1214</v>
      </c>
      <c r="B547" s="25" t="s">
        <v>376</v>
      </c>
      <c r="C547" s="25" t="s">
        <v>980</v>
      </c>
      <c r="D547" s="235" t="s">
        <v>498</v>
      </c>
      <c r="E547" s="77">
        <v>345</v>
      </c>
      <c r="F547" s="20"/>
      <c r="G547" s="17">
        <v>346.77</v>
      </c>
      <c r="H547" s="20"/>
      <c r="I547" s="20"/>
      <c r="J547" s="20"/>
      <c r="K547" s="20"/>
      <c r="L547" s="20"/>
      <c r="M547" s="17">
        <v>0.55000000000000004</v>
      </c>
      <c r="N547" s="17">
        <v>8.09</v>
      </c>
      <c r="O547" s="20"/>
      <c r="P547" s="20"/>
      <c r="Q547" s="17">
        <v>0</v>
      </c>
      <c r="R547" s="17">
        <v>355.41</v>
      </c>
      <c r="S547" s="142">
        <f t="shared" si="73"/>
        <v>346.77</v>
      </c>
      <c r="T547" s="142">
        <f t="shared" si="74"/>
        <v>0</v>
      </c>
      <c r="U547" s="142">
        <f t="shared" si="75"/>
        <v>8.09</v>
      </c>
      <c r="W547" s="601">
        <f t="shared" si="76"/>
        <v>355.40999999999997</v>
      </c>
      <c r="X547" s="601">
        <f t="shared" si="77"/>
        <v>0</v>
      </c>
      <c r="Y547" s="123"/>
      <c r="Z547" s="692">
        <f t="shared" si="72"/>
        <v>346.77</v>
      </c>
      <c r="AA547" s="124"/>
      <c r="AB547" s="124"/>
      <c r="AC547" s="124"/>
      <c r="AD547" s="124"/>
      <c r="AE547" s="124"/>
      <c r="AF547" s="124"/>
      <c r="AG547" s="124"/>
      <c r="AH547" s="124"/>
      <c r="AI547" s="124"/>
      <c r="AJ547" s="124"/>
      <c r="AK547" s="124"/>
      <c r="AL547" s="124"/>
      <c r="AM547" s="124"/>
      <c r="AN547" s="124"/>
      <c r="AO547" s="124"/>
      <c r="AP547" s="124"/>
      <c r="AQ547" s="124"/>
    </row>
    <row r="548" spans="1:43" customFormat="1" ht="12.75" hidden="1" thickBot="1">
      <c r="A548" s="25" t="s">
        <v>1214</v>
      </c>
      <c r="B548" s="25" t="s">
        <v>349</v>
      </c>
      <c r="C548" s="25" t="s">
        <v>981</v>
      </c>
      <c r="D548" s="235" t="s">
        <v>606</v>
      </c>
      <c r="E548" s="76">
        <v>6489</v>
      </c>
      <c r="F548" s="19"/>
      <c r="G548" s="18">
        <v>7755.74</v>
      </c>
      <c r="H548" s="19"/>
      <c r="I548" s="19"/>
      <c r="J548" s="19"/>
      <c r="K548" s="19"/>
      <c r="L548" s="19"/>
      <c r="M548" s="18">
        <v>10.36</v>
      </c>
      <c r="N548" s="18">
        <v>180.24</v>
      </c>
      <c r="O548" s="19"/>
      <c r="P548" s="19"/>
      <c r="Q548" s="18">
        <v>0</v>
      </c>
      <c r="R548" s="18">
        <v>7946.34</v>
      </c>
      <c r="S548" s="142">
        <f t="shared" si="73"/>
        <v>7755.74</v>
      </c>
      <c r="T548" s="142">
        <f t="shared" si="74"/>
        <v>0</v>
      </c>
      <c r="U548" s="142">
        <f t="shared" si="75"/>
        <v>180.24</v>
      </c>
      <c r="W548" s="601">
        <f t="shared" si="76"/>
        <v>7946.3399999999992</v>
      </c>
      <c r="X548" s="601">
        <f t="shared" si="77"/>
        <v>0</v>
      </c>
      <c r="Y548" s="123"/>
      <c r="Z548" s="692">
        <f t="shared" si="72"/>
        <v>7755.74</v>
      </c>
      <c r="AA548" s="124"/>
      <c r="AB548" s="124"/>
      <c r="AC548" s="124"/>
      <c r="AD548" s="124"/>
      <c r="AE548" s="124"/>
      <c r="AF548" s="124"/>
      <c r="AG548" s="124"/>
      <c r="AH548" s="124"/>
      <c r="AI548" s="124"/>
      <c r="AJ548" s="124"/>
      <c r="AK548" s="124"/>
      <c r="AL548" s="124"/>
      <c r="AM548" s="124"/>
      <c r="AN548" s="124"/>
      <c r="AO548" s="124"/>
      <c r="AP548" s="124"/>
      <c r="AQ548" s="124"/>
    </row>
    <row r="549" spans="1:43" customFormat="1" ht="12.75" hidden="1" thickBot="1">
      <c r="A549" s="25" t="s">
        <v>1214</v>
      </c>
      <c r="B549" s="25" t="s">
        <v>730</v>
      </c>
      <c r="C549" s="25" t="s">
        <v>982</v>
      </c>
      <c r="D549" s="235" t="s">
        <v>606</v>
      </c>
      <c r="E549" s="77">
        <v>164</v>
      </c>
      <c r="F549" s="20"/>
      <c r="G549" s="17">
        <v>36.56</v>
      </c>
      <c r="H549" s="20"/>
      <c r="I549" s="20"/>
      <c r="J549" s="20"/>
      <c r="K549" s="20"/>
      <c r="L549" s="20"/>
      <c r="M549" s="17">
        <v>0.26</v>
      </c>
      <c r="N549" s="17">
        <v>0.86</v>
      </c>
      <c r="O549" s="20"/>
      <c r="P549" s="20"/>
      <c r="Q549" s="20"/>
      <c r="R549" s="17">
        <v>37.68</v>
      </c>
      <c r="S549" s="142">
        <f t="shared" si="73"/>
        <v>36.56</v>
      </c>
      <c r="T549" s="142">
        <f t="shared" si="74"/>
        <v>0</v>
      </c>
      <c r="U549" s="142">
        <f t="shared" si="75"/>
        <v>0.86</v>
      </c>
      <c r="W549" s="601">
        <f t="shared" si="76"/>
        <v>37.68</v>
      </c>
      <c r="X549" s="601">
        <f t="shared" si="77"/>
        <v>0</v>
      </c>
      <c r="Y549" s="123"/>
      <c r="Z549" s="692">
        <f t="shared" si="72"/>
        <v>36.56</v>
      </c>
      <c r="AA549" s="124"/>
      <c r="AB549" s="124"/>
      <c r="AC549" s="124"/>
      <c r="AD549" s="124"/>
      <c r="AE549" s="124"/>
      <c r="AF549" s="124"/>
      <c r="AG549" s="124"/>
      <c r="AH549" s="124"/>
      <c r="AI549" s="124"/>
      <c r="AJ549" s="124"/>
      <c r="AK549" s="124"/>
      <c r="AL549" s="124"/>
      <c r="AM549" s="124"/>
      <c r="AN549" s="124"/>
      <c r="AO549" s="124"/>
      <c r="AP549" s="124"/>
      <c r="AQ549" s="124"/>
    </row>
    <row r="550" spans="1:43" customFormat="1" ht="12.75" hidden="1" thickBot="1">
      <c r="A550" s="25" t="s">
        <v>1214</v>
      </c>
      <c r="B550" s="25" t="s">
        <v>378</v>
      </c>
      <c r="C550" s="25" t="s">
        <v>983</v>
      </c>
      <c r="D550" s="235" t="s">
        <v>606</v>
      </c>
      <c r="E550" s="76">
        <v>2065</v>
      </c>
      <c r="F550" s="19"/>
      <c r="G550" s="18">
        <v>334.8</v>
      </c>
      <c r="H550" s="19"/>
      <c r="I550" s="19"/>
      <c r="J550" s="19"/>
      <c r="K550" s="19"/>
      <c r="L550" s="19"/>
      <c r="M550" s="18">
        <v>3.27</v>
      </c>
      <c r="N550" s="18">
        <v>7.77</v>
      </c>
      <c r="O550" s="19"/>
      <c r="P550" s="19"/>
      <c r="Q550" s="19"/>
      <c r="R550" s="18">
        <v>345.84</v>
      </c>
      <c r="S550" s="142">
        <f t="shared" si="73"/>
        <v>334.8</v>
      </c>
      <c r="T550" s="142">
        <f t="shared" si="74"/>
        <v>0</v>
      </c>
      <c r="U550" s="142">
        <f t="shared" si="75"/>
        <v>7.77</v>
      </c>
      <c r="W550" s="601">
        <f t="shared" si="76"/>
        <v>345.84</v>
      </c>
      <c r="X550" s="601">
        <f t="shared" si="77"/>
        <v>0</v>
      </c>
      <c r="Y550" s="123"/>
      <c r="Z550" s="692">
        <f t="shared" si="72"/>
        <v>334.8</v>
      </c>
      <c r="AA550" s="124"/>
      <c r="AB550" s="124"/>
      <c r="AC550" s="124"/>
      <c r="AD550" s="124"/>
      <c r="AE550" s="124"/>
      <c r="AF550" s="124"/>
      <c r="AG550" s="124"/>
      <c r="AH550" s="124"/>
      <c r="AI550" s="124"/>
      <c r="AJ550" s="124"/>
      <c r="AK550" s="124"/>
      <c r="AL550" s="124"/>
      <c r="AM550" s="124"/>
      <c r="AN550" s="124"/>
      <c r="AO550" s="124"/>
      <c r="AP550" s="124"/>
      <c r="AQ550" s="124"/>
    </row>
    <row r="551" spans="1:43" customFormat="1" ht="12.75" hidden="1" thickBot="1">
      <c r="A551" s="25" t="s">
        <v>1214</v>
      </c>
      <c r="B551" s="25" t="s">
        <v>354</v>
      </c>
      <c r="C551" s="25" t="s">
        <v>984</v>
      </c>
      <c r="D551" s="235" t="s">
        <v>606</v>
      </c>
      <c r="E551" s="77">
        <v>179674</v>
      </c>
      <c r="F551" s="20"/>
      <c r="G551" s="17">
        <v>44749.57</v>
      </c>
      <c r="H551" s="20"/>
      <c r="I551" s="20"/>
      <c r="J551" s="20"/>
      <c r="K551" s="20"/>
      <c r="L551" s="20"/>
      <c r="M551" s="17">
        <v>285.61</v>
      </c>
      <c r="N551" s="17">
        <v>1037.31</v>
      </c>
      <c r="O551" s="20"/>
      <c r="P551" s="20"/>
      <c r="Q551" s="17">
        <v>0</v>
      </c>
      <c r="R551" s="17">
        <v>46072.49</v>
      </c>
      <c r="S551" s="142">
        <f t="shared" si="73"/>
        <v>44749.57</v>
      </c>
      <c r="T551" s="142">
        <f t="shared" si="74"/>
        <v>0</v>
      </c>
      <c r="U551" s="142">
        <f t="shared" si="75"/>
        <v>1037.31</v>
      </c>
      <c r="W551" s="601">
        <f t="shared" si="76"/>
        <v>46072.49</v>
      </c>
      <c r="X551" s="601">
        <f t="shared" si="77"/>
        <v>0</v>
      </c>
      <c r="Y551" s="123"/>
      <c r="Z551" s="692">
        <f t="shared" si="72"/>
        <v>44749.57</v>
      </c>
      <c r="AA551" s="124"/>
      <c r="AB551" s="124"/>
      <c r="AC551" s="124"/>
      <c r="AD551" s="124"/>
      <c r="AE551" s="124"/>
      <c r="AF551" s="124"/>
      <c r="AG551" s="124"/>
      <c r="AH551" s="124"/>
      <c r="AI551" s="124"/>
      <c r="AJ551" s="124"/>
      <c r="AK551" s="124"/>
      <c r="AL551" s="124"/>
      <c r="AM551" s="124"/>
      <c r="AN551" s="124"/>
      <c r="AO551" s="124"/>
      <c r="AP551" s="124"/>
      <c r="AQ551" s="124"/>
    </row>
    <row r="552" spans="1:43" customFormat="1" ht="12.75" hidden="1" thickBot="1">
      <c r="A552" s="25" t="s">
        <v>1214</v>
      </c>
      <c r="B552" s="25" t="s">
        <v>355</v>
      </c>
      <c r="C552" s="25" t="s">
        <v>985</v>
      </c>
      <c r="D552" s="235" t="s">
        <v>606</v>
      </c>
      <c r="E552" s="77">
        <v>193689</v>
      </c>
      <c r="F552" s="20"/>
      <c r="G552" s="17">
        <v>34720.480000000003</v>
      </c>
      <c r="H552" s="20"/>
      <c r="I552" s="20"/>
      <c r="J552" s="20"/>
      <c r="K552" s="20"/>
      <c r="L552" s="20"/>
      <c r="M552" s="17">
        <v>306.75</v>
      </c>
      <c r="N552" s="17">
        <v>786.84</v>
      </c>
      <c r="O552" s="20"/>
      <c r="P552" s="20"/>
      <c r="Q552" s="17">
        <v>0</v>
      </c>
      <c r="R552" s="17">
        <v>35814.07</v>
      </c>
      <c r="S552" s="142">
        <f t="shared" si="73"/>
        <v>34720.480000000003</v>
      </c>
      <c r="T552" s="142">
        <f t="shared" si="74"/>
        <v>0</v>
      </c>
      <c r="U552" s="142">
        <f t="shared" si="75"/>
        <v>786.84</v>
      </c>
      <c r="W552" s="601">
        <f t="shared" si="76"/>
        <v>35814.07</v>
      </c>
      <c r="X552" s="601">
        <f t="shared" si="77"/>
        <v>0</v>
      </c>
      <c r="Y552" s="123"/>
      <c r="Z552" s="692">
        <f t="shared" si="72"/>
        <v>34720.480000000003</v>
      </c>
      <c r="AA552" s="124"/>
      <c r="AB552" s="124"/>
      <c r="AC552" s="124"/>
      <c r="AD552" s="124"/>
      <c r="AE552" s="124"/>
      <c r="AF552" s="124"/>
      <c r="AG552" s="124"/>
      <c r="AH552" s="124"/>
      <c r="AI552" s="124"/>
      <c r="AJ552" s="124"/>
      <c r="AK552" s="124"/>
      <c r="AL552" s="124"/>
      <c r="AM552" s="124"/>
      <c r="AN552" s="124"/>
      <c r="AO552" s="124"/>
      <c r="AP552" s="124"/>
      <c r="AQ552" s="124"/>
    </row>
    <row r="553" spans="1:43" customFormat="1" ht="12.75" hidden="1" thickBot="1">
      <c r="A553" s="25" t="s">
        <v>1214</v>
      </c>
      <c r="B553" s="25" t="s">
        <v>356</v>
      </c>
      <c r="C553" s="25" t="s">
        <v>986</v>
      </c>
      <c r="D553" s="235" t="s">
        <v>606</v>
      </c>
      <c r="E553" s="77">
        <v>477507</v>
      </c>
      <c r="F553" s="20"/>
      <c r="G553" s="17">
        <v>63447.66</v>
      </c>
      <c r="H553" s="20"/>
      <c r="I553" s="20"/>
      <c r="J553" s="20"/>
      <c r="K553" s="20"/>
      <c r="L553" s="20"/>
      <c r="M553" s="17">
        <v>761.62</v>
      </c>
      <c r="N553" s="17">
        <v>1484.67</v>
      </c>
      <c r="O553" s="20"/>
      <c r="P553" s="20"/>
      <c r="Q553" s="17">
        <v>0</v>
      </c>
      <c r="R553" s="17">
        <v>65693.95</v>
      </c>
      <c r="S553" s="142">
        <f t="shared" si="73"/>
        <v>63447.66</v>
      </c>
      <c r="T553" s="142">
        <f t="shared" si="74"/>
        <v>0</v>
      </c>
      <c r="U553" s="142">
        <f t="shared" si="75"/>
        <v>1484.67</v>
      </c>
      <c r="W553" s="601">
        <f t="shared" si="76"/>
        <v>65693.950000000012</v>
      </c>
      <c r="X553" s="601">
        <f t="shared" si="77"/>
        <v>0</v>
      </c>
      <c r="Y553" s="123"/>
      <c r="Z553" s="692">
        <f t="shared" si="72"/>
        <v>63447.66</v>
      </c>
      <c r="AA553" s="124"/>
      <c r="AB553" s="124"/>
      <c r="AC553" s="124"/>
      <c r="AD553" s="124"/>
      <c r="AE553" s="124"/>
      <c r="AF553" s="124"/>
      <c r="AG553" s="124"/>
      <c r="AH553" s="124"/>
      <c r="AI553" s="124"/>
      <c r="AJ553" s="124"/>
      <c r="AK553" s="124"/>
      <c r="AL553" s="124"/>
      <c r="AM553" s="124"/>
      <c r="AN553" s="124"/>
      <c r="AO553" s="124"/>
      <c r="AP553" s="124"/>
      <c r="AQ553" s="124"/>
    </row>
    <row r="554" spans="1:43" customFormat="1" ht="12.75" hidden="1" thickBot="1">
      <c r="A554" s="25" t="s">
        <v>1214</v>
      </c>
      <c r="B554" s="25" t="s">
        <v>357</v>
      </c>
      <c r="C554" s="25" t="s">
        <v>987</v>
      </c>
      <c r="D554" s="235" t="s">
        <v>606</v>
      </c>
      <c r="E554" s="77">
        <v>21893</v>
      </c>
      <c r="F554" s="20"/>
      <c r="G554" s="17">
        <v>5970.83</v>
      </c>
      <c r="H554" s="20"/>
      <c r="I554" s="20"/>
      <c r="J554" s="20"/>
      <c r="K554" s="20"/>
      <c r="L554" s="20"/>
      <c r="M554" s="17">
        <v>34.79</v>
      </c>
      <c r="N554" s="17">
        <v>138.63999999999999</v>
      </c>
      <c r="O554" s="20"/>
      <c r="P554" s="20"/>
      <c r="Q554" s="17">
        <v>0</v>
      </c>
      <c r="R554" s="17">
        <v>6144.26</v>
      </c>
      <c r="S554" s="142">
        <f t="shared" si="73"/>
        <v>5970.83</v>
      </c>
      <c r="T554" s="142">
        <f t="shared" si="74"/>
        <v>0</v>
      </c>
      <c r="U554" s="142">
        <f t="shared" si="75"/>
        <v>138.63999999999999</v>
      </c>
      <c r="W554" s="601">
        <f t="shared" si="76"/>
        <v>6144.26</v>
      </c>
      <c r="X554" s="601">
        <f t="shared" si="77"/>
        <v>0</v>
      </c>
      <c r="Y554" s="123"/>
      <c r="Z554" s="692">
        <f t="shared" si="72"/>
        <v>5970.83</v>
      </c>
      <c r="AA554" s="124"/>
      <c r="AB554" s="124"/>
      <c r="AC554" s="124"/>
      <c r="AD554" s="124"/>
      <c r="AE554" s="124"/>
      <c r="AF554" s="124"/>
      <c r="AG554" s="124"/>
      <c r="AH554" s="124"/>
      <c r="AI554" s="124"/>
      <c r="AJ554" s="124"/>
      <c r="AK554" s="124"/>
      <c r="AL554" s="124"/>
      <c r="AM554" s="124"/>
      <c r="AN554" s="124"/>
      <c r="AO554" s="124"/>
      <c r="AP554" s="124"/>
      <c r="AQ554" s="124"/>
    </row>
    <row r="555" spans="1:43" customFormat="1" ht="12.75" hidden="1" thickBot="1">
      <c r="A555" s="25" t="s">
        <v>1214</v>
      </c>
      <c r="B555" s="25" t="s">
        <v>358</v>
      </c>
      <c r="C555" s="25" t="s">
        <v>988</v>
      </c>
      <c r="D555" s="235" t="s">
        <v>606</v>
      </c>
      <c r="E555" s="76">
        <v>1803728</v>
      </c>
      <c r="F555" s="19"/>
      <c r="G555" s="18">
        <v>247520.56</v>
      </c>
      <c r="H555" s="19"/>
      <c r="I555" s="19"/>
      <c r="J555" s="19"/>
      <c r="K555" s="19"/>
      <c r="L555" s="19"/>
      <c r="M555" s="18">
        <v>2877.83</v>
      </c>
      <c r="N555" s="18">
        <v>5800.39</v>
      </c>
      <c r="O555" s="19"/>
      <c r="P555" s="19"/>
      <c r="Q555" s="18">
        <v>0</v>
      </c>
      <c r="R555" s="18">
        <v>256198.78</v>
      </c>
      <c r="S555" s="142">
        <f t="shared" si="73"/>
        <v>247520.56</v>
      </c>
      <c r="T555" s="142">
        <f t="shared" si="74"/>
        <v>0</v>
      </c>
      <c r="U555" s="142">
        <f t="shared" si="75"/>
        <v>5800.39</v>
      </c>
      <c r="W555" s="601">
        <f t="shared" si="76"/>
        <v>256198.78</v>
      </c>
      <c r="X555" s="601">
        <f t="shared" si="77"/>
        <v>0</v>
      </c>
      <c r="Y555" s="123"/>
      <c r="Z555" s="692">
        <f t="shared" ref="Z555:Z616" si="78">SUM(F555:K555)</f>
        <v>247520.56</v>
      </c>
      <c r="AA555" s="124"/>
      <c r="AB555" s="124"/>
      <c r="AC555" s="124"/>
      <c r="AD555" s="124"/>
      <c r="AE555" s="124"/>
      <c r="AF555" s="124"/>
      <c r="AG555" s="124"/>
      <c r="AH555" s="124"/>
      <c r="AI555" s="124"/>
      <c r="AJ555" s="124"/>
      <c r="AK555" s="124"/>
      <c r="AL555" s="124"/>
      <c r="AM555" s="124"/>
      <c r="AN555" s="124"/>
      <c r="AO555" s="124"/>
      <c r="AP555" s="124"/>
      <c r="AQ555" s="124"/>
    </row>
    <row r="556" spans="1:43" customFormat="1" ht="12.75" hidden="1" thickBot="1">
      <c r="A556" s="25" t="s">
        <v>1214</v>
      </c>
      <c r="B556" s="25" t="s">
        <v>359</v>
      </c>
      <c r="C556" s="25" t="s">
        <v>989</v>
      </c>
      <c r="D556" s="235" t="s">
        <v>606</v>
      </c>
      <c r="E556" s="76">
        <v>114937</v>
      </c>
      <c r="F556" s="19"/>
      <c r="G556" s="18">
        <v>38175.839999999997</v>
      </c>
      <c r="H556" s="19"/>
      <c r="I556" s="19"/>
      <c r="J556" s="19"/>
      <c r="K556" s="19"/>
      <c r="L556" s="19"/>
      <c r="M556" s="18">
        <v>182.66</v>
      </c>
      <c r="N556" s="18">
        <v>883.25</v>
      </c>
      <c r="O556" s="19"/>
      <c r="P556" s="19"/>
      <c r="Q556" s="18">
        <v>0</v>
      </c>
      <c r="R556" s="18">
        <v>39241.75</v>
      </c>
      <c r="S556" s="142">
        <f t="shared" si="73"/>
        <v>38175.839999999997</v>
      </c>
      <c r="T556" s="142">
        <f t="shared" si="74"/>
        <v>0</v>
      </c>
      <c r="U556" s="142">
        <f t="shared" si="75"/>
        <v>883.25</v>
      </c>
      <c r="W556" s="601">
        <f t="shared" si="76"/>
        <v>39241.75</v>
      </c>
      <c r="X556" s="601">
        <f t="shared" si="77"/>
        <v>0</v>
      </c>
      <c r="Y556" s="123"/>
      <c r="Z556" s="692">
        <f t="shared" si="78"/>
        <v>38175.839999999997</v>
      </c>
      <c r="AA556" s="124"/>
      <c r="AB556" s="124"/>
      <c r="AC556" s="124"/>
      <c r="AD556" s="124"/>
      <c r="AE556" s="124"/>
      <c r="AF556" s="124"/>
      <c r="AG556" s="124"/>
      <c r="AH556" s="124"/>
      <c r="AI556" s="124"/>
      <c r="AJ556" s="124"/>
      <c r="AK556" s="124"/>
      <c r="AL556" s="124"/>
      <c r="AM556" s="124"/>
      <c r="AN556" s="124"/>
      <c r="AO556" s="124"/>
      <c r="AP556" s="124"/>
      <c r="AQ556" s="124"/>
    </row>
    <row r="557" spans="1:43" customFormat="1" ht="12.75" hidden="1" thickBot="1">
      <c r="A557" s="25" t="s">
        <v>1214</v>
      </c>
      <c r="B557" s="25" t="s">
        <v>360</v>
      </c>
      <c r="C557" s="25" t="s">
        <v>990</v>
      </c>
      <c r="D557" s="235" t="s">
        <v>498</v>
      </c>
      <c r="E557" s="77">
        <v>238</v>
      </c>
      <c r="F557" s="20"/>
      <c r="G557" s="17">
        <v>44.52</v>
      </c>
      <c r="H557" s="20"/>
      <c r="I557" s="20"/>
      <c r="J557" s="20"/>
      <c r="K557" s="20"/>
      <c r="L557" s="20"/>
      <c r="M557" s="17">
        <v>0.38</v>
      </c>
      <c r="N557" s="17">
        <v>1.04</v>
      </c>
      <c r="O557" s="20"/>
      <c r="P557" s="20"/>
      <c r="Q557" s="17">
        <v>0</v>
      </c>
      <c r="R557" s="17">
        <v>45.94</v>
      </c>
      <c r="S557" s="142">
        <f t="shared" si="73"/>
        <v>44.52</v>
      </c>
      <c r="T557" s="142">
        <f t="shared" si="74"/>
        <v>0</v>
      </c>
      <c r="U557" s="142">
        <f t="shared" si="75"/>
        <v>1.04</v>
      </c>
      <c r="W557" s="601">
        <f t="shared" si="76"/>
        <v>45.940000000000005</v>
      </c>
      <c r="X557" s="601">
        <f t="shared" si="77"/>
        <v>0</v>
      </c>
      <c r="Y557" s="123"/>
      <c r="Z557" s="692">
        <f t="shared" si="78"/>
        <v>44.52</v>
      </c>
      <c r="AA557" s="124"/>
      <c r="AB557" s="124"/>
      <c r="AC557" s="124"/>
      <c r="AD557" s="124"/>
      <c r="AE557" s="124"/>
      <c r="AF557" s="124"/>
      <c r="AG557" s="124"/>
      <c r="AH557" s="124"/>
      <c r="AI557" s="124"/>
      <c r="AJ557" s="124"/>
      <c r="AK557" s="124"/>
      <c r="AL557" s="124"/>
      <c r="AM557" s="124"/>
      <c r="AN557" s="124"/>
      <c r="AO557" s="124"/>
      <c r="AP557" s="124"/>
      <c r="AQ557" s="124"/>
    </row>
    <row r="558" spans="1:43" customFormat="1" ht="12.75" hidden="1" thickBot="1">
      <c r="A558" s="25" t="s">
        <v>1214</v>
      </c>
      <c r="B558" s="25" t="s">
        <v>365</v>
      </c>
      <c r="C558" s="25" t="s">
        <v>991</v>
      </c>
      <c r="D558" s="235" t="s">
        <v>606</v>
      </c>
      <c r="E558" s="76">
        <v>1065</v>
      </c>
      <c r="F558" s="19"/>
      <c r="G558" s="18">
        <v>311.08</v>
      </c>
      <c r="H558" s="19"/>
      <c r="I558" s="19"/>
      <c r="J558" s="19"/>
      <c r="K558" s="19"/>
      <c r="L558" s="19"/>
      <c r="M558" s="18">
        <v>1.71</v>
      </c>
      <c r="N558" s="18">
        <v>7.3</v>
      </c>
      <c r="O558" s="19"/>
      <c r="P558" s="19"/>
      <c r="Q558" s="18">
        <v>0</v>
      </c>
      <c r="R558" s="18">
        <v>320.08999999999997</v>
      </c>
      <c r="S558" s="142">
        <f t="shared" si="73"/>
        <v>311.08</v>
      </c>
      <c r="T558" s="142">
        <f t="shared" si="74"/>
        <v>0</v>
      </c>
      <c r="U558" s="142">
        <f t="shared" si="75"/>
        <v>7.3</v>
      </c>
      <c r="W558" s="601">
        <f t="shared" si="76"/>
        <v>320.08999999999997</v>
      </c>
      <c r="X558" s="601">
        <f t="shared" si="77"/>
        <v>0</v>
      </c>
      <c r="Y558" s="123"/>
      <c r="Z558" s="692">
        <f t="shared" si="78"/>
        <v>311.08</v>
      </c>
      <c r="AA558" s="124"/>
      <c r="AB558" s="124"/>
      <c r="AC558" s="124"/>
      <c r="AD558" s="124"/>
      <c r="AE558" s="124"/>
      <c r="AF558" s="124"/>
      <c r="AG558" s="124"/>
      <c r="AH558" s="124"/>
      <c r="AI558" s="124"/>
      <c r="AJ558" s="124"/>
      <c r="AK558" s="124"/>
      <c r="AL558" s="124"/>
      <c r="AM558" s="124"/>
      <c r="AN558" s="124"/>
      <c r="AO558" s="124"/>
      <c r="AP558" s="124"/>
      <c r="AQ558" s="124"/>
    </row>
    <row r="559" spans="1:43" customFormat="1" ht="12.75" hidden="1" thickBot="1">
      <c r="A559" s="25" t="s">
        <v>1214</v>
      </c>
      <c r="B559" s="25" t="s">
        <v>366</v>
      </c>
      <c r="C559" s="25" t="s">
        <v>992</v>
      </c>
      <c r="D559" s="235" t="s">
        <v>498</v>
      </c>
      <c r="E559" s="77">
        <v>90</v>
      </c>
      <c r="F559" s="20"/>
      <c r="G559" s="17">
        <v>30.14</v>
      </c>
      <c r="H559" s="20"/>
      <c r="I559" s="20"/>
      <c r="J559" s="20"/>
      <c r="K559" s="20"/>
      <c r="L559" s="20"/>
      <c r="M559" s="17">
        <v>0.15</v>
      </c>
      <c r="N559" s="17">
        <v>0.7</v>
      </c>
      <c r="O559" s="20"/>
      <c r="P559" s="20"/>
      <c r="Q559" s="17">
        <v>0</v>
      </c>
      <c r="R559" s="17">
        <v>30.99</v>
      </c>
      <c r="S559" s="142">
        <f t="shared" si="73"/>
        <v>30.14</v>
      </c>
      <c r="T559" s="142">
        <f t="shared" si="74"/>
        <v>0</v>
      </c>
      <c r="U559" s="142">
        <f t="shared" si="75"/>
        <v>0.7</v>
      </c>
      <c r="W559" s="601">
        <f t="shared" si="76"/>
        <v>30.99</v>
      </c>
      <c r="X559" s="601">
        <f t="shared" si="77"/>
        <v>0</v>
      </c>
      <c r="Y559" s="123"/>
      <c r="Z559" s="692">
        <f t="shared" si="78"/>
        <v>30.14</v>
      </c>
      <c r="AA559" s="124"/>
      <c r="AB559" s="124"/>
      <c r="AC559" s="124"/>
      <c r="AD559" s="124"/>
      <c r="AE559" s="124"/>
      <c r="AF559" s="124"/>
      <c r="AG559" s="124"/>
      <c r="AH559" s="124"/>
      <c r="AI559" s="124"/>
      <c r="AJ559" s="124"/>
      <c r="AK559" s="124"/>
      <c r="AL559" s="124"/>
      <c r="AM559" s="124"/>
      <c r="AN559" s="124"/>
      <c r="AO559" s="124"/>
      <c r="AP559" s="124"/>
      <c r="AQ559" s="124"/>
    </row>
    <row r="560" spans="1:43" customFormat="1" ht="12.75" hidden="1" thickBot="1">
      <c r="A560" s="25" t="s">
        <v>1214</v>
      </c>
      <c r="B560" s="25" t="s">
        <v>367</v>
      </c>
      <c r="C560" s="25" t="s">
        <v>993</v>
      </c>
      <c r="D560" s="235" t="s">
        <v>606</v>
      </c>
      <c r="E560" s="76">
        <v>42195</v>
      </c>
      <c r="F560" s="19"/>
      <c r="G560" s="18">
        <v>7714.26</v>
      </c>
      <c r="H560" s="19"/>
      <c r="I560" s="19"/>
      <c r="J560" s="19"/>
      <c r="K560" s="19"/>
      <c r="L560" s="19"/>
      <c r="M560" s="18">
        <v>64.739999999999995</v>
      </c>
      <c r="N560" s="18">
        <v>182.11</v>
      </c>
      <c r="O560" s="19"/>
      <c r="P560" s="19"/>
      <c r="Q560" s="18">
        <v>0</v>
      </c>
      <c r="R560" s="18">
        <v>7961.11</v>
      </c>
      <c r="S560" s="142">
        <f t="shared" si="73"/>
        <v>7714.26</v>
      </c>
      <c r="T560" s="142">
        <f t="shared" si="74"/>
        <v>0</v>
      </c>
      <c r="U560" s="142">
        <f t="shared" si="75"/>
        <v>182.11</v>
      </c>
      <c r="W560" s="601">
        <f t="shared" si="76"/>
        <v>7961.11</v>
      </c>
      <c r="X560" s="601">
        <f t="shared" si="77"/>
        <v>0</v>
      </c>
      <c r="Y560" s="123"/>
      <c r="Z560" s="692">
        <f t="shared" si="78"/>
        <v>7714.26</v>
      </c>
      <c r="AA560" s="124"/>
      <c r="AB560" s="124"/>
      <c r="AC560" s="124"/>
      <c r="AD560" s="124"/>
      <c r="AE560" s="124"/>
      <c r="AF560" s="124"/>
      <c r="AG560" s="124"/>
      <c r="AH560" s="124"/>
      <c r="AI560" s="124"/>
      <c r="AJ560" s="124"/>
      <c r="AK560" s="124"/>
      <c r="AL560" s="124"/>
      <c r="AM560" s="124"/>
      <c r="AN560" s="124"/>
      <c r="AO560" s="124"/>
      <c r="AP560" s="124"/>
      <c r="AQ560" s="124"/>
    </row>
    <row r="561" spans="1:43" customFormat="1" ht="12.75" hidden="1" thickBot="1">
      <c r="A561" s="25" t="s">
        <v>1214</v>
      </c>
      <c r="B561" s="25" t="s">
        <v>368</v>
      </c>
      <c r="C561" s="25" t="s">
        <v>994</v>
      </c>
      <c r="D561" s="235" t="s">
        <v>498</v>
      </c>
      <c r="E561" s="77">
        <v>5362</v>
      </c>
      <c r="F561" s="20"/>
      <c r="G561" s="17">
        <v>1159.1199999999999</v>
      </c>
      <c r="H561" s="20"/>
      <c r="I561" s="20"/>
      <c r="J561" s="20"/>
      <c r="K561" s="20"/>
      <c r="L561" s="20"/>
      <c r="M561" s="17">
        <v>8.5500000000000007</v>
      </c>
      <c r="N561" s="17">
        <v>27.17</v>
      </c>
      <c r="O561" s="20"/>
      <c r="P561" s="20"/>
      <c r="Q561" s="17">
        <v>0</v>
      </c>
      <c r="R561" s="17">
        <v>1194.8399999999999</v>
      </c>
      <c r="S561" s="142">
        <f t="shared" si="73"/>
        <v>1159.1199999999999</v>
      </c>
      <c r="T561" s="142">
        <f t="shared" si="74"/>
        <v>0</v>
      </c>
      <c r="U561" s="142">
        <f t="shared" si="75"/>
        <v>27.17</v>
      </c>
      <c r="W561" s="601">
        <f t="shared" si="76"/>
        <v>1194.8399999999999</v>
      </c>
      <c r="X561" s="601">
        <f t="shared" si="77"/>
        <v>0</v>
      </c>
      <c r="Y561" s="123"/>
      <c r="Z561" s="692">
        <f t="shared" si="78"/>
        <v>1159.1199999999999</v>
      </c>
      <c r="AA561" s="124"/>
      <c r="AB561" s="124"/>
      <c r="AC561" s="124"/>
      <c r="AD561" s="124"/>
      <c r="AE561" s="124"/>
      <c r="AF561" s="124"/>
      <c r="AG561" s="124"/>
      <c r="AH561" s="124"/>
      <c r="AI561" s="124"/>
      <c r="AJ561" s="124"/>
      <c r="AK561" s="124"/>
      <c r="AL561" s="124"/>
      <c r="AM561" s="124"/>
      <c r="AN561" s="124"/>
      <c r="AO561" s="124"/>
      <c r="AP561" s="124"/>
      <c r="AQ561" s="124"/>
    </row>
    <row r="562" spans="1:43" customFormat="1" ht="12.75" hidden="1" thickBot="1">
      <c r="A562" s="25" t="s">
        <v>1214</v>
      </c>
      <c r="B562" s="25" t="s">
        <v>369</v>
      </c>
      <c r="C562" s="25" t="s">
        <v>995</v>
      </c>
      <c r="D562" s="235" t="s">
        <v>498</v>
      </c>
      <c r="E562" s="76">
        <v>194</v>
      </c>
      <c r="F562" s="19"/>
      <c r="G562" s="18">
        <v>56.84</v>
      </c>
      <c r="H562" s="19"/>
      <c r="I562" s="19"/>
      <c r="J562" s="19"/>
      <c r="K562" s="19"/>
      <c r="L562" s="19"/>
      <c r="M562" s="18">
        <v>0.31</v>
      </c>
      <c r="N562" s="18">
        <v>1.34</v>
      </c>
      <c r="O562" s="19"/>
      <c r="P562" s="19"/>
      <c r="Q562" s="18">
        <v>0</v>
      </c>
      <c r="R562" s="18">
        <v>58.49</v>
      </c>
      <c r="S562" s="142">
        <f t="shared" si="73"/>
        <v>56.84</v>
      </c>
      <c r="T562" s="142">
        <f t="shared" si="74"/>
        <v>0</v>
      </c>
      <c r="U562" s="142">
        <f t="shared" si="75"/>
        <v>1.34</v>
      </c>
      <c r="W562" s="601">
        <f t="shared" si="76"/>
        <v>58.490000000000009</v>
      </c>
      <c r="X562" s="601">
        <f t="shared" si="77"/>
        <v>0</v>
      </c>
      <c r="Y562" s="123"/>
      <c r="Z562" s="692">
        <f t="shared" si="78"/>
        <v>56.84</v>
      </c>
      <c r="AA562" s="124"/>
      <c r="AB562" s="124"/>
      <c r="AC562" s="124"/>
      <c r="AD562" s="124"/>
      <c r="AE562" s="124"/>
      <c r="AF562" s="124"/>
      <c r="AG562" s="124"/>
      <c r="AH562" s="124"/>
      <c r="AI562" s="124"/>
      <c r="AJ562" s="124"/>
      <c r="AK562" s="124"/>
      <c r="AL562" s="124"/>
      <c r="AM562" s="124"/>
      <c r="AN562" s="124"/>
      <c r="AO562" s="124"/>
      <c r="AP562" s="124"/>
      <c r="AQ562" s="124"/>
    </row>
    <row r="563" spans="1:43" customFormat="1" ht="12.75" hidden="1" thickBot="1">
      <c r="A563" s="25" t="s">
        <v>1214</v>
      </c>
      <c r="B563" s="25" t="s">
        <v>370</v>
      </c>
      <c r="C563" s="25" t="s">
        <v>996</v>
      </c>
      <c r="D563" s="235" t="s">
        <v>606</v>
      </c>
      <c r="E563" s="77">
        <v>145716</v>
      </c>
      <c r="F563" s="20"/>
      <c r="G563" s="17">
        <v>17957.25</v>
      </c>
      <c r="H563" s="20"/>
      <c r="I563" s="20"/>
      <c r="J563" s="20"/>
      <c r="K563" s="20"/>
      <c r="L563" s="20"/>
      <c r="M563" s="17">
        <v>211.57</v>
      </c>
      <c r="N563" s="17">
        <v>429.69</v>
      </c>
      <c r="O563" s="20"/>
      <c r="P563" s="20"/>
      <c r="Q563" s="17">
        <v>0</v>
      </c>
      <c r="R563" s="17">
        <v>18598.509999999998</v>
      </c>
      <c r="S563" s="142">
        <f t="shared" si="73"/>
        <v>17957.25</v>
      </c>
      <c r="T563" s="142">
        <f t="shared" si="74"/>
        <v>0</v>
      </c>
      <c r="U563" s="142">
        <f t="shared" si="75"/>
        <v>429.69</v>
      </c>
      <c r="W563" s="601">
        <f t="shared" si="76"/>
        <v>18598.509999999998</v>
      </c>
      <c r="X563" s="601">
        <f t="shared" si="77"/>
        <v>0</v>
      </c>
      <c r="Y563" s="123"/>
      <c r="Z563" s="692">
        <f t="shared" si="78"/>
        <v>17957.25</v>
      </c>
      <c r="AA563" s="124"/>
      <c r="AB563" s="124"/>
      <c r="AC563" s="124"/>
      <c r="AD563" s="124"/>
      <c r="AE563" s="124"/>
      <c r="AF563" s="124"/>
      <c r="AG563" s="124"/>
      <c r="AH563" s="124"/>
      <c r="AI563" s="124"/>
      <c r="AJ563" s="124"/>
      <c r="AK563" s="124"/>
      <c r="AL563" s="124"/>
      <c r="AM563" s="124"/>
      <c r="AN563" s="124"/>
      <c r="AO563" s="124"/>
      <c r="AP563" s="124"/>
      <c r="AQ563" s="124"/>
    </row>
    <row r="564" spans="1:43" customFormat="1" ht="12.75" hidden="1" thickBot="1">
      <c r="A564" s="25" t="s">
        <v>1214</v>
      </c>
      <c r="B564" s="25" t="s">
        <v>371</v>
      </c>
      <c r="C564" s="25" t="s">
        <v>997</v>
      </c>
      <c r="D564" s="235" t="s">
        <v>498</v>
      </c>
      <c r="E564" s="76">
        <v>19632</v>
      </c>
      <c r="F564" s="19"/>
      <c r="G564" s="18">
        <v>2729.07</v>
      </c>
      <c r="H564" s="19"/>
      <c r="I564" s="19"/>
      <c r="J564" s="19"/>
      <c r="K564" s="19"/>
      <c r="L564" s="19"/>
      <c r="M564" s="18">
        <v>31.35</v>
      </c>
      <c r="N564" s="18">
        <v>63.96</v>
      </c>
      <c r="O564" s="19"/>
      <c r="P564" s="19"/>
      <c r="Q564" s="18">
        <v>0</v>
      </c>
      <c r="R564" s="18">
        <v>2824.38</v>
      </c>
      <c r="S564" s="142">
        <f t="shared" si="73"/>
        <v>2729.07</v>
      </c>
      <c r="T564" s="142">
        <f t="shared" si="74"/>
        <v>0</v>
      </c>
      <c r="U564" s="142">
        <f t="shared" si="75"/>
        <v>63.96</v>
      </c>
      <c r="W564" s="601">
        <f t="shared" si="76"/>
        <v>2824.38</v>
      </c>
      <c r="X564" s="601">
        <f t="shared" si="77"/>
        <v>0</v>
      </c>
      <c r="Y564" s="123"/>
      <c r="Z564" s="692">
        <f t="shared" si="78"/>
        <v>2729.07</v>
      </c>
      <c r="AA564" s="124"/>
      <c r="AB564" s="124"/>
      <c r="AC564" s="124"/>
      <c r="AD564" s="124"/>
      <c r="AE564" s="124"/>
      <c r="AF564" s="124"/>
      <c r="AG564" s="124"/>
      <c r="AH564" s="124"/>
      <c r="AI564" s="124"/>
      <c r="AJ564" s="124"/>
      <c r="AK564" s="124"/>
      <c r="AL564" s="124"/>
      <c r="AM564" s="124"/>
      <c r="AN564" s="124"/>
      <c r="AO564" s="124"/>
      <c r="AP564" s="124"/>
      <c r="AQ564" s="124"/>
    </row>
    <row r="565" spans="1:43" customFormat="1" ht="12.75" hidden="1" thickBot="1">
      <c r="A565" s="25" t="s">
        <v>1214</v>
      </c>
      <c r="B565" s="25" t="s">
        <v>659</v>
      </c>
      <c r="C565" s="25" t="s">
        <v>998</v>
      </c>
      <c r="D565" s="235" t="s">
        <v>606</v>
      </c>
      <c r="E565" s="77">
        <v>725</v>
      </c>
      <c r="F565" s="20"/>
      <c r="G565" s="17">
        <v>428.94</v>
      </c>
      <c r="H565" s="20"/>
      <c r="I565" s="20"/>
      <c r="J565" s="20"/>
      <c r="K565" s="20"/>
      <c r="L565" s="20"/>
      <c r="M565" s="17">
        <v>1.1599999999999999</v>
      </c>
      <c r="N565" s="17">
        <v>10.02</v>
      </c>
      <c r="O565" s="20"/>
      <c r="P565" s="20"/>
      <c r="Q565" s="17">
        <v>0</v>
      </c>
      <c r="R565" s="17">
        <v>440.12</v>
      </c>
      <c r="S565" s="142">
        <f t="shared" si="73"/>
        <v>428.94</v>
      </c>
      <c r="T565" s="142">
        <f t="shared" si="74"/>
        <v>0</v>
      </c>
      <c r="U565" s="142">
        <f t="shared" si="75"/>
        <v>10.02</v>
      </c>
      <c r="W565" s="601">
        <f t="shared" si="76"/>
        <v>440.12</v>
      </c>
      <c r="X565" s="601">
        <f t="shared" si="77"/>
        <v>0</v>
      </c>
      <c r="Y565" s="123"/>
      <c r="Z565" s="692">
        <f t="shared" si="78"/>
        <v>428.94</v>
      </c>
      <c r="AA565" s="124"/>
      <c r="AB565" s="124"/>
      <c r="AC565" s="124"/>
      <c r="AD565" s="124"/>
      <c r="AE565" s="124"/>
      <c r="AF565" s="124"/>
      <c r="AG565" s="124"/>
      <c r="AH565" s="124"/>
      <c r="AI565" s="124"/>
      <c r="AJ565" s="124"/>
      <c r="AK565" s="124"/>
      <c r="AL565" s="124"/>
      <c r="AM565" s="124"/>
      <c r="AN565" s="124"/>
      <c r="AO565" s="124"/>
      <c r="AP565" s="124"/>
      <c r="AQ565" s="124"/>
    </row>
    <row r="566" spans="1:43" customFormat="1" ht="12.75" hidden="1" thickBot="1">
      <c r="A566" s="25" t="s">
        <v>1214</v>
      </c>
      <c r="B566" s="25" t="s">
        <v>399</v>
      </c>
      <c r="C566" s="25" t="s">
        <v>999</v>
      </c>
      <c r="D566" s="235" t="s">
        <v>606</v>
      </c>
      <c r="E566" s="76">
        <v>427</v>
      </c>
      <c r="F566" s="19"/>
      <c r="G566" s="18">
        <v>81.84</v>
      </c>
      <c r="H566" s="19"/>
      <c r="I566" s="19"/>
      <c r="J566" s="19"/>
      <c r="K566" s="19"/>
      <c r="L566" s="19"/>
      <c r="M566" s="18">
        <v>0.68</v>
      </c>
      <c r="N566" s="18">
        <v>1.92</v>
      </c>
      <c r="O566" s="19"/>
      <c r="P566" s="19"/>
      <c r="Q566" s="18">
        <v>0</v>
      </c>
      <c r="R566" s="18">
        <v>84.44</v>
      </c>
      <c r="S566" s="142">
        <f t="shared" si="73"/>
        <v>81.84</v>
      </c>
      <c r="T566" s="142">
        <f t="shared" si="74"/>
        <v>0</v>
      </c>
      <c r="U566" s="142">
        <f t="shared" si="75"/>
        <v>1.92</v>
      </c>
      <c r="W566" s="601">
        <f t="shared" si="76"/>
        <v>84.440000000000012</v>
      </c>
      <c r="X566" s="601">
        <f t="shared" si="77"/>
        <v>0</v>
      </c>
      <c r="Y566" s="123"/>
      <c r="Z566" s="692">
        <f t="shared" si="78"/>
        <v>81.84</v>
      </c>
      <c r="AA566" s="124"/>
      <c r="AB566" s="124"/>
      <c r="AC566" s="124"/>
      <c r="AD566" s="124"/>
      <c r="AE566" s="124"/>
      <c r="AF566" s="124"/>
      <c r="AG566" s="124"/>
      <c r="AH566" s="124"/>
      <c r="AI566" s="124"/>
      <c r="AJ566" s="124"/>
      <c r="AK566" s="124"/>
      <c r="AL566" s="124"/>
      <c r="AM566" s="124"/>
      <c r="AN566" s="124"/>
      <c r="AO566" s="124"/>
      <c r="AP566" s="124"/>
      <c r="AQ566" s="124"/>
    </row>
    <row r="567" spans="1:43" customFormat="1" ht="12.75" hidden="1" thickBot="1">
      <c r="A567" s="25" t="s">
        <v>1214</v>
      </c>
      <c r="B567" s="25" t="s">
        <v>372</v>
      </c>
      <c r="C567" s="25" t="s">
        <v>1000</v>
      </c>
      <c r="D567" s="235" t="s">
        <v>606</v>
      </c>
      <c r="E567" s="77">
        <v>4281</v>
      </c>
      <c r="F567" s="20"/>
      <c r="G567" s="17">
        <v>1261.53</v>
      </c>
      <c r="H567" s="20"/>
      <c r="I567" s="20"/>
      <c r="J567" s="20"/>
      <c r="K567" s="20"/>
      <c r="L567" s="20"/>
      <c r="M567" s="17">
        <v>6.83</v>
      </c>
      <c r="N567" s="17">
        <v>29.57</v>
      </c>
      <c r="O567" s="20"/>
      <c r="P567" s="20"/>
      <c r="Q567" s="17">
        <v>0</v>
      </c>
      <c r="R567" s="17">
        <v>1297.93</v>
      </c>
      <c r="S567" s="142">
        <f t="shared" si="73"/>
        <v>1261.53</v>
      </c>
      <c r="T567" s="142">
        <f t="shared" si="74"/>
        <v>0</v>
      </c>
      <c r="U567" s="142">
        <f t="shared" si="75"/>
        <v>29.57</v>
      </c>
      <c r="W567" s="601">
        <f t="shared" si="76"/>
        <v>1297.9299999999998</v>
      </c>
      <c r="X567" s="601">
        <f t="shared" si="77"/>
        <v>0</v>
      </c>
      <c r="Y567" s="123"/>
      <c r="Z567" s="692">
        <f t="shared" si="78"/>
        <v>1261.53</v>
      </c>
      <c r="AA567" s="124"/>
      <c r="AB567" s="124"/>
      <c r="AC567" s="124"/>
      <c r="AD567" s="124"/>
      <c r="AE567" s="124"/>
      <c r="AF567" s="124"/>
      <c r="AG567" s="124"/>
      <c r="AH567" s="124"/>
      <c r="AI567" s="124"/>
      <c r="AJ567" s="124"/>
      <c r="AK567" s="124"/>
      <c r="AL567" s="124"/>
      <c r="AM567" s="124"/>
      <c r="AN567" s="124"/>
      <c r="AO567" s="124"/>
      <c r="AP567" s="124"/>
      <c r="AQ567" s="124"/>
    </row>
    <row r="568" spans="1:43" customFormat="1" ht="12.75" hidden="1" thickBot="1">
      <c r="A568" s="25" t="s">
        <v>1214</v>
      </c>
      <c r="B568" s="25" t="s">
        <v>373</v>
      </c>
      <c r="C568" s="25" t="s">
        <v>1001</v>
      </c>
      <c r="D568" s="235" t="s">
        <v>606</v>
      </c>
      <c r="E568" s="76">
        <v>666</v>
      </c>
      <c r="F568" s="19"/>
      <c r="G568" s="18">
        <v>85.12</v>
      </c>
      <c r="H568" s="19"/>
      <c r="I568" s="19"/>
      <c r="J568" s="19"/>
      <c r="K568" s="19"/>
      <c r="L568" s="19"/>
      <c r="M568" s="18">
        <v>1.07</v>
      </c>
      <c r="N568" s="18">
        <v>2.0099999999999998</v>
      </c>
      <c r="O568" s="19"/>
      <c r="P568" s="19"/>
      <c r="Q568" s="18">
        <v>0</v>
      </c>
      <c r="R568" s="18">
        <v>88.2</v>
      </c>
      <c r="S568" s="142">
        <f t="shared" si="73"/>
        <v>85.12</v>
      </c>
      <c r="T568" s="142">
        <f t="shared" si="74"/>
        <v>0</v>
      </c>
      <c r="U568" s="142">
        <f t="shared" si="75"/>
        <v>2.0099999999999998</v>
      </c>
      <c r="W568" s="601">
        <f t="shared" si="76"/>
        <v>88.2</v>
      </c>
      <c r="X568" s="601">
        <f t="shared" si="77"/>
        <v>0</v>
      </c>
      <c r="Y568" s="123"/>
      <c r="Z568" s="692">
        <f t="shared" si="78"/>
        <v>85.12</v>
      </c>
      <c r="AA568" s="124"/>
      <c r="AB568" s="124"/>
      <c r="AC568" s="124"/>
      <c r="AD568" s="124"/>
      <c r="AE568" s="124"/>
      <c r="AF568" s="124"/>
      <c r="AG568" s="124"/>
      <c r="AH568" s="124"/>
      <c r="AI568" s="124"/>
      <c r="AJ568" s="124"/>
      <c r="AK568" s="124"/>
      <c r="AL568" s="124"/>
      <c r="AM568" s="124"/>
      <c r="AN568" s="124"/>
      <c r="AO568" s="124"/>
      <c r="AP568" s="124"/>
      <c r="AQ568" s="124"/>
    </row>
    <row r="569" spans="1:43" customFormat="1" ht="12.75" hidden="1" thickBot="1">
      <c r="A569" s="25" t="s">
        <v>1214</v>
      </c>
      <c r="B569" s="25" t="s">
        <v>374</v>
      </c>
      <c r="C569" s="25" t="s">
        <v>1002</v>
      </c>
      <c r="D569" s="235" t="s">
        <v>606</v>
      </c>
      <c r="E569" s="77">
        <v>4248</v>
      </c>
      <c r="F569" s="20"/>
      <c r="G569" s="17">
        <v>680.03</v>
      </c>
      <c r="H569" s="20"/>
      <c r="I569" s="20"/>
      <c r="J569" s="20"/>
      <c r="K569" s="20"/>
      <c r="L569" s="20"/>
      <c r="M569" s="17">
        <v>6.79</v>
      </c>
      <c r="N569" s="17">
        <v>16</v>
      </c>
      <c r="O569" s="20"/>
      <c r="P569" s="20"/>
      <c r="Q569" s="17">
        <v>0</v>
      </c>
      <c r="R569" s="17">
        <v>702.82</v>
      </c>
      <c r="S569" s="142">
        <f t="shared" si="73"/>
        <v>680.03</v>
      </c>
      <c r="T569" s="142">
        <f t="shared" si="74"/>
        <v>0</v>
      </c>
      <c r="U569" s="142">
        <f t="shared" si="75"/>
        <v>16</v>
      </c>
      <c r="W569" s="601">
        <f t="shared" si="76"/>
        <v>702.81999999999994</v>
      </c>
      <c r="X569" s="601">
        <f t="shared" si="77"/>
        <v>0</v>
      </c>
      <c r="Y569" s="123"/>
      <c r="Z569" s="692">
        <f t="shared" si="78"/>
        <v>680.03</v>
      </c>
      <c r="AA569" s="124"/>
      <c r="AB569" s="124"/>
      <c r="AC569" s="124"/>
      <c r="AD569" s="124"/>
      <c r="AE569" s="124"/>
      <c r="AF569" s="124"/>
      <c r="AG569" s="124"/>
      <c r="AH569" s="124"/>
      <c r="AI569" s="124"/>
      <c r="AJ569" s="124"/>
      <c r="AK569" s="124"/>
      <c r="AL569" s="124"/>
      <c r="AM569" s="124"/>
      <c r="AN569" s="124"/>
      <c r="AO569" s="124"/>
      <c r="AP569" s="124"/>
      <c r="AQ569" s="124"/>
    </row>
    <row r="570" spans="1:43" customFormat="1" ht="12.75" hidden="1" thickBot="1">
      <c r="A570" s="25" t="s">
        <v>1214</v>
      </c>
      <c r="B570" s="32" t="s">
        <v>7</v>
      </c>
      <c r="C570" s="33"/>
      <c r="D570" s="33"/>
      <c r="E570" s="79">
        <v>893210401</v>
      </c>
      <c r="F570" s="21">
        <v>5243849.67</v>
      </c>
      <c r="G570" s="21">
        <v>27101778.399999999</v>
      </c>
      <c r="H570" s="21">
        <v>24193353.32</v>
      </c>
      <c r="I570" s="21">
        <v>527720.02</v>
      </c>
      <c r="J570" s="21">
        <v>553616.23</v>
      </c>
      <c r="K570" s="21">
        <v>16795447.309999999</v>
      </c>
      <c r="L570" s="21">
        <v>2010688.6</v>
      </c>
      <c r="M570" s="21">
        <v>1414311.72</v>
      </c>
      <c r="N570" s="21">
        <v>655816.12</v>
      </c>
      <c r="O570" s="21">
        <v>1149161.07</v>
      </c>
      <c r="P570" s="21">
        <v>-319217.03000000003</v>
      </c>
      <c r="Q570" s="21">
        <v>0</v>
      </c>
      <c r="R570" s="21">
        <v>79335202.379999995</v>
      </c>
      <c r="S570" s="142">
        <f t="shared" si="73"/>
        <v>51822851.740000002</v>
      </c>
      <c r="T570" s="142">
        <f t="shared" si="74"/>
        <v>17349063.539999999</v>
      </c>
      <c r="U570" s="142">
        <f t="shared" si="75"/>
        <v>1804977.19</v>
      </c>
      <c r="W570" s="601">
        <f t="shared" si="76"/>
        <v>79326525.429999992</v>
      </c>
      <c r="X570" s="601">
        <f t="shared" si="77"/>
        <v>-8676.9500000029802</v>
      </c>
      <c r="Y570" s="123"/>
      <c r="Z570" s="692">
        <f t="shared" si="78"/>
        <v>74415764.950000003</v>
      </c>
      <c r="AA570" s="124"/>
      <c r="AB570" s="124"/>
      <c r="AC570" s="124"/>
      <c r="AD570" s="124"/>
      <c r="AE570" s="124"/>
      <c r="AF570" s="124"/>
      <c r="AG570" s="124"/>
      <c r="AH570" s="124"/>
      <c r="AI570" s="124"/>
      <c r="AJ570" s="124"/>
      <c r="AK570" s="124"/>
      <c r="AL570" s="124"/>
      <c r="AM570" s="124"/>
      <c r="AN570" s="124"/>
      <c r="AO570" s="124"/>
      <c r="AP570" s="124"/>
      <c r="AQ570" s="124"/>
    </row>
    <row r="571" spans="1:43" customFormat="1" ht="12.75" hidden="1" thickBot="1">
      <c r="A571" s="25" t="s">
        <v>1220</v>
      </c>
      <c r="B571" s="25" t="s">
        <v>928</v>
      </c>
      <c r="C571" s="25" t="s">
        <v>929</v>
      </c>
      <c r="D571" s="69" t="s">
        <v>881</v>
      </c>
      <c r="E571" s="27"/>
      <c r="F571" s="27"/>
      <c r="G571" s="27"/>
      <c r="H571" s="27"/>
      <c r="I571" s="27"/>
      <c r="J571" s="27"/>
      <c r="K571" s="27"/>
      <c r="L571" s="27"/>
      <c r="M571" s="27"/>
      <c r="N571" s="27"/>
      <c r="O571" s="27"/>
      <c r="P571" s="27"/>
      <c r="Q571" s="27"/>
      <c r="R571" s="28">
        <v>6614.04</v>
      </c>
      <c r="S571" s="142">
        <f t="shared" ref="S571:S630" si="79">G571+H571+I571</f>
        <v>0</v>
      </c>
      <c r="T571" s="142">
        <f t="shared" ref="T571:T630" si="80">J571+K571</f>
        <v>0</v>
      </c>
      <c r="U571" s="142">
        <f t="shared" ref="U571:U630" si="81">N571+O571</f>
        <v>0</v>
      </c>
      <c r="W571" s="601">
        <f t="shared" si="76"/>
        <v>0</v>
      </c>
      <c r="X571" s="601">
        <f t="shared" si="77"/>
        <v>-6614.04</v>
      </c>
      <c r="Y571" s="123"/>
      <c r="Z571" s="692">
        <f t="shared" si="78"/>
        <v>0</v>
      </c>
      <c r="AA571" s="124"/>
      <c r="AB571" s="124"/>
      <c r="AC571" s="124"/>
      <c r="AD571" s="124"/>
      <c r="AE571" s="124"/>
      <c r="AF571" s="124"/>
      <c r="AG571" s="124"/>
      <c r="AH571" s="124"/>
      <c r="AI571" s="124"/>
      <c r="AJ571" s="124"/>
      <c r="AK571" s="124"/>
      <c r="AL571" s="124"/>
      <c r="AM571" s="124"/>
      <c r="AN571" s="124"/>
      <c r="AO571" s="124"/>
      <c r="AP571" s="124"/>
      <c r="AQ571" s="124"/>
    </row>
    <row r="572" spans="1:43" customFormat="1" ht="12.75" hidden="1" thickBot="1">
      <c r="A572" s="25" t="s">
        <v>1220</v>
      </c>
      <c r="B572" s="25" t="s">
        <v>848</v>
      </c>
      <c r="C572" s="25" t="s">
        <v>849</v>
      </c>
      <c r="D572" s="69" t="s">
        <v>881</v>
      </c>
      <c r="E572" s="30"/>
      <c r="F572" s="30"/>
      <c r="G572" s="30"/>
      <c r="H572" s="30"/>
      <c r="I572" s="30"/>
      <c r="J572" s="30"/>
      <c r="K572" s="30"/>
      <c r="L572" s="30"/>
      <c r="M572" s="30"/>
      <c r="N572" s="30"/>
      <c r="O572" s="30"/>
      <c r="P572" s="30"/>
      <c r="Q572" s="30"/>
      <c r="R572" s="31">
        <v>765.74</v>
      </c>
      <c r="S572" s="142">
        <f t="shared" si="79"/>
        <v>0</v>
      </c>
      <c r="T572" s="142">
        <f t="shared" si="80"/>
        <v>0</v>
      </c>
      <c r="U572" s="142">
        <f t="shared" si="81"/>
        <v>0</v>
      </c>
      <c r="W572" s="601">
        <f t="shared" si="76"/>
        <v>0</v>
      </c>
      <c r="X572" s="601">
        <f t="shared" si="77"/>
        <v>-765.74</v>
      </c>
      <c r="Y572" s="123"/>
      <c r="Z572" s="692">
        <f t="shared" si="78"/>
        <v>0</v>
      </c>
      <c r="AA572" s="124"/>
      <c r="AB572" s="124"/>
      <c r="AC572" s="124"/>
      <c r="AD572" s="124"/>
      <c r="AE572" s="124"/>
      <c r="AF572" s="124"/>
      <c r="AG572" s="124"/>
      <c r="AH572" s="124"/>
      <c r="AI572" s="124"/>
      <c r="AJ572" s="124"/>
      <c r="AK572" s="124"/>
      <c r="AL572" s="124"/>
      <c r="AM572" s="124"/>
      <c r="AN572" s="124"/>
      <c r="AO572" s="124"/>
      <c r="AP572" s="124"/>
      <c r="AQ572" s="124"/>
    </row>
    <row r="573" spans="1:43" customFormat="1" ht="12.75" hidden="1" thickBot="1">
      <c r="A573" s="25" t="s">
        <v>1220</v>
      </c>
      <c r="B573" s="25" t="s">
        <v>930</v>
      </c>
      <c r="C573" s="25" t="s">
        <v>931</v>
      </c>
      <c r="D573" s="69" t="s">
        <v>881</v>
      </c>
      <c r="E573" s="27"/>
      <c r="F573" s="27"/>
      <c r="G573" s="27"/>
      <c r="H573" s="27"/>
      <c r="I573" s="27"/>
      <c r="J573" s="27"/>
      <c r="K573" s="27"/>
      <c r="L573" s="27"/>
      <c r="M573" s="27"/>
      <c r="N573" s="27"/>
      <c r="O573" s="27"/>
      <c r="P573" s="27"/>
      <c r="Q573" s="27"/>
      <c r="R573" s="28">
        <v>1335.52</v>
      </c>
      <c r="S573" s="142">
        <f t="shared" si="79"/>
        <v>0</v>
      </c>
      <c r="T573" s="142">
        <f t="shared" si="80"/>
        <v>0</v>
      </c>
      <c r="U573" s="142">
        <f t="shared" si="81"/>
        <v>0</v>
      </c>
      <c r="W573" s="601">
        <f t="shared" si="76"/>
        <v>0</v>
      </c>
      <c r="X573" s="601">
        <f t="shared" si="77"/>
        <v>-1335.52</v>
      </c>
      <c r="Y573" s="123"/>
      <c r="Z573" s="692">
        <f t="shared" si="78"/>
        <v>0</v>
      </c>
      <c r="AA573" s="124"/>
      <c r="AB573" s="124"/>
      <c r="AC573" s="124"/>
      <c r="AD573" s="124"/>
      <c r="AE573" s="124"/>
      <c r="AF573" s="124"/>
      <c r="AG573" s="124"/>
      <c r="AH573" s="124"/>
      <c r="AI573" s="124"/>
      <c r="AJ573" s="124"/>
      <c r="AK573" s="124"/>
      <c r="AL573" s="124"/>
      <c r="AM573" s="124"/>
      <c r="AN573" s="124"/>
      <c r="AO573" s="124"/>
      <c r="AP573" s="124"/>
      <c r="AQ573" s="124"/>
    </row>
    <row r="574" spans="1:43" customFormat="1" ht="12.75" hidden="1" thickBot="1">
      <c r="A574" s="25" t="s">
        <v>1220</v>
      </c>
      <c r="B574" s="25" t="s">
        <v>1011</v>
      </c>
      <c r="C574" s="25" t="s">
        <v>1119</v>
      </c>
      <c r="D574" s="69" t="s">
        <v>881</v>
      </c>
      <c r="E574" s="30"/>
      <c r="F574" s="30"/>
      <c r="G574" s="30"/>
      <c r="H574" s="30"/>
      <c r="I574" s="30"/>
      <c r="J574" s="30"/>
      <c r="K574" s="30"/>
      <c r="L574" s="30"/>
      <c r="M574" s="30"/>
      <c r="N574" s="30"/>
      <c r="O574" s="30"/>
      <c r="P574" s="30"/>
      <c r="Q574" s="30"/>
      <c r="R574" s="31">
        <v>5</v>
      </c>
      <c r="S574" s="142">
        <f t="shared" si="79"/>
        <v>0</v>
      </c>
      <c r="T574" s="142">
        <f t="shared" si="80"/>
        <v>0</v>
      </c>
      <c r="U574" s="142">
        <f t="shared" si="81"/>
        <v>0</v>
      </c>
      <c r="W574" s="601">
        <f t="shared" si="76"/>
        <v>0</v>
      </c>
      <c r="X574" s="601">
        <f t="shared" si="77"/>
        <v>-5</v>
      </c>
      <c r="Y574" s="123"/>
      <c r="Z574" s="692">
        <f t="shared" si="78"/>
        <v>0</v>
      </c>
      <c r="AA574" s="124"/>
      <c r="AB574" s="124"/>
      <c r="AC574" s="124"/>
      <c r="AD574" s="124"/>
      <c r="AE574" s="124"/>
      <c r="AF574" s="124"/>
      <c r="AG574" s="124"/>
      <c r="AH574" s="124"/>
      <c r="AI574" s="124"/>
      <c r="AJ574" s="124"/>
      <c r="AK574" s="124"/>
      <c r="AL574" s="124"/>
      <c r="AM574" s="124"/>
      <c r="AN574" s="124"/>
      <c r="AO574" s="124"/>
      <c r="AP574" s="124"/>
      <c r="AQ574" s="124"/>
    </row>
    <row r="575" spans="1:43" customFormat="1" ht="12.75" hidden="1" thickBot="1">
      <c r="A575" s="25" t="s">
        <v>1220</v>
      </c>
      <c r="B575" s="25" t="s">
        <v>852</v>
      </c>
      <c r="C575" s="25" t="s">
        <v>1215</v>
      </c>
      <c r="D575" s="69" t="s">
        <v>1125</v>
      </c>
      <c r="E575" s="27"/>
      <c r="F575" s="27"/>
      <c r="G575" s="27"/>
      <c r="H575" s="27"/>
      <c r="I575" s="27"/>
      <c r="J575" s="27"/>
      <c r="K575" s="27"/>
      <c r="L575" s="27"/>
      <c r="M575" s="27"/>
      <c r="N575" s="27"/>
      <c r="O575" s="27"/>
      <c r="P575" s="27"/>
      <c r="Q575" s="27"/>
      <c r="R575" s="27"/>
      <c r="S575" s="142">
        <f t="shared" si="79"/>
        <v>0</v>
      </c>
      <c r="T575" s="142">
        <f t="shared" si="80"/>
        <v>0</v>
      </c>
      <c r="U575" s="142">
        <f t="shared" si="81"/>
        <v>0</v>
      </c>
      <c r="W575" s="601">
        <f t="shared" si="76"/>
        <v>0</v>
      </c>
      <c r="X575" s="601">
        <f t="shared" si="77"/>
        <v>0</v>
      </c>
      <c r="Y575" s="123"/>
      <c r="Z575" s="692">
        <f t="shared" si="78"/>
        <v>0</v>
      </c>
      <c r="AA575" s="124"/>
      <c r="AB575" s="124"/>
      <c r="AC575" s="124"/>
      <c r="AD575" s="124"/>
      <c r="AE575" s="124"/>
      <c r="AF575" s="124"/>
      <c r="AG575" s="124"/>
      <c r="AH575" s="124"/>
      <c r="AI575" s="124"/>
      <c r="AJ575" s="124"/>
      <c r="AK575" s="124"/>
      <c r="AL575" s="124"/>
      <c r="AM575" s="124"/>
      <c r="AN575" s="124"/>
      <c r="AO575" s="124"/>
      <c r="AP575" s="124"/>
      <c r="AQ575" s="124"/>
    </row>
    <row r="576" spans="1:43" customFormat="1" ht="12.75" hidden="1" thickBot="1">
      <c r="A576" s="25" t="s">
        <v>1220</v>
      </c>
      <c r="B576" s="25" t="s">
        <v>407</v>
      </c>
      <c r="C576" s="25" t="s">
        <v>1120</v>
      </c>
      <c r="D576" s="98" t="s">
        <v>892</v>
      </c>
      <c r="E576" s="29">
        <v>9362</v>
      </c>
      <c r="F576" s="30"/>
      <c r="G576" s="31">
        <v>584.32000000000005</v>
      </c>
      <c r="H576" s="31">
        <v>255.13</v>
      </c>
      <c r="I576" s="31">
        <v>15.69</v>
      </c>
      <c r="J576" s="30"/>
      <c r="K576" s="30"/>
      <c r="L576" s="31">
        <v>28.35</v>
      </c>
      <c r="M576" s="31">
        <v>29.54</v>
      </c>
      <c r="N576" s="31">
        <v>0</v>
      </c>
      <c r="O576" s="31">
        <v>30.03</v>
      </c>
      <c r="P576" s="30"/>
      <c r="Q576" s="30"/>
      <c r="R576" s="31">
        <v>943.06</v>
      </c>
      <c r="S576" s="142">
        <f t="shared" si="79"/>
        <v>855.1400000000001</v>
      </c>
      <c r="T576" s="142">
        <f t="shared" si="80"/>
        <v>0</v>
      </c>
      <c r="U576" s="142">
        <f t="shared" si="81"/>
        <v>30.03</v>
      </c>
      <c r="W576" s="601">
        <f t="shared" si="76"/>
        <v>943.06000000000006</v>
      </c>
      <c r="X576" s="601">
        <f t="shared" si="77"/>
        <v>0</v>
      </c>
      <c r="Y576" s="123"/>
      <c r="Z576" s="692">
        <f t="shared" si="78"/>
        <v>855.1400000000001</v>
      </c>
      <c r="AA576" s="124"/>
      <c r="AB576" s="124"/>
      <c r="AC576" s="124"/>
      <c r="AD576" s="124"/>
      <c r="AE576" s="124"/>
      <c r="AF576" s="124"/>
      <c r="AG576" s="124"/>
      <c r="AH576" s="124"/>
      <c r="AI576" s="124"/>
      <c r="AJ576" s="124"/>
      <c r="AK576" s="124"/>
      <c r="AL576" s="124"/>
      <c r="AM576" s="124"/>
      <c r="AN576" s="124"/>
      <c r="AO576" s="124"/>
      <c r="AP576" s="124"/>
      <c r="AQ576" s="124"/>
    </row>
    <row r="577" spans="1:43" customFormat="1" ht="12.75" hidden="1" thickBot="1">
      <c r="A577" s="25" t="s">
        <v>1220</v>
      </c>
      <c r="B577" s="25" t="s">
        <v>409</v>
      </c>
      <c r="C577" s="25" t="s">
        <v>140</v>
      </c>
      <c r="D577" s="98" t="s">
        <v>892</v>
      </c>
      <c r="E577" s="26">
        <v>34548076</v>
      </c>
      <c r="F577" s="28">
        <v>559657.63</v>
      </c>
      <c r="G577" s="28">
        <v>2156550.33</v>
      </c>
      <c r="H577" s="28">
        <v>941264.44</v>
      </c>
      <c r="I577" s="28">
        <v>57686.68</v>
      </c>
      <c r="J577" s="27"/>
      <c r="K577" s="27"/>
      <c r="L577" s="28">
        <v>104581.63</v>
      </c>
      <c r="M577" s="28">
        <v>108755.27</v>
      </c>
      <c r="N577" s="28">
        <v>0</v>
      </c>
      <c r="O577" s="28">
        <v>137378.82</v>
      </c>
      <c r="P577" s="27"/>
      <c r="Q577" s="28">
        <v>0</v>
      </c>
      <c r="R577" s="28">
        <v>4065874.8</v>
      </c>
      <c r="S577" s="142">
        <f t="shared" si="79"/>
        <v>3155501.45</v>
      </c>
      <c r="T577" s="142">
        <f t="shared" si="80"/>
        <v>0</v>
      </c>
      <c r="U577" s="142">
        <f t="shared" si="81"/>
        <v>137378.82</v>
      </c>
      <c r="W577" s="601">
        <f t="shared" si="76"/>
        <v>4065874.8</v>
      </c>
      <c r="X577" s="601">
        <f t="shared" si="77"/>
        <v>0</v>
      </c>
      <c r="Y577" s="123"/>
      <c r="Z577" s="692">
        <f t="shared" si="78"/>
        <v>3715159.08</v>
      </c>
      <c r="AA577" s="124"/>
      <c r="AB577" s="124"/>
      <c r="AC577" s="124"/>
      <c r="AD577" s="124"/>
      <c r="AE577" s="124"/>
      <c r="AF577" s="124"/>
      <c r="AG577" s="124"/>
      <c r="AH577" s="124"/>
      <c r="AI577" s="124"/>
      <c r="AJ577" s="124"/>
      <c r="AK577" s="124"/>
      <c r="AL577" s="124"/>
      <c r="AM577" s="124"/>
      <c r="AN577" s="124"/>
      <c r="AO577" s="124"/>
      <c r="AP577" s="124"/>
      <c r="AQ577" s="124"/>
    </row>
    <row r="578" spans="1:43" customFormat="1" ht="12.75" hidden="1" thickBot="1">
      <c r="A578" s="25" t="s">
        <v>1220</v>
      </c>
      <c r="B578" s="25" t="s">
        <v>410</v>
      </c>
      <c r="C578" s="25" t="s">
        <v>1121</v>
      </c>
      <c r="D578" s="98" t="s">
        <v>892</v>
      </c>
      <c r="E578" s="29">
        <v>13802</v>
      </c>
      <c r="F578" s="31">
        <v>2060</v>
      </c>
      <c r="G578" s="31">
        <v>861.52</v>
      </c>
      <c r="H578" s="31">
        <v>376.1</v>
      </c>
      <c r="I578" s="31">
        <v>23.05</v>
      </c>
      <c r="J578" s="30"/>
      <c r="K578" s="30"/>
      <c r="L578" s="31">
        <v>41.82</v>
      </c>
      <c r="M578" s="31">
        <v>43.75</v>
      </c>
      <c r="N578" s="31">
        <v>0</v>
      </c>
      <c r="O578" s="31">
        <v>143.05000000000001</v>
      </c>
      <c r="P578" s="30"/>
      <c r="Q578" s="30"/>
      <c r="R578" s="31">
        <v>3549.29</v>
      </c>
      <c r="S578" s="142">
        <f t="shared" si="79"/>
        <v>1260.6699999999998</v>
      </c>
      <c r="T578" s="142">
        <f t="shared" si="80"/>
        <v>0</v>
      </c>
      <c r="U578" s="142">
        <f t="shared" si="81"/>
        <v>143.05000000000001</v>
      </c>
      <c r="W578" s="601">
        <f t="shared" si="76"/>
        <v>3549.2900000000004</v>
      </c>
      <c r="X578" s="601">
        <f t="shared" si="77"/>
        <v>0</v>
      </c>
      <c r="Y578" s="123"/>
      <c r="Z578" s="692">
        <f t="shared" si="78"/>
        <v>3320.67</v>
      </c>
      <c r="AA578" s="124"/>
      <c r="AB578" s="124"/>
      <c r="AC578" s="124"/>
      <c r="AD578" s="124"/>
      <c r="AE578" s="124"/>
      <c r="AF578" s="124"/>
      <c r="AG578" s="124"/>
      <c r="AH578" s="124"/>
      <c r="AI578" s="124"/>
      <c r="AJ578" s="124"/>
      <c r="AK578" s="124"/>
      <c r="AL578" s="124"/>
      <c r="AM578" s="124"/>
      <c r="AN578" s="124"/>
      <c r="AO578" s="124"/>
      <c r="AP578" s="124"/>
      <c r="AQ578" s="124"/>
    </row>
    <row r="579" spans="1:43" customFormat="1" ht="12.75" hidden="1" thickBot="1">
      <c r="A579" s="25" t="s">
        <v>1220</v>
      </c>
      <c r="B579" s="25" t="s">
        <v>411</v>
      </c>
      <c r="C579" s="25" t="s">
        <v>1122</v>
      </c>
      <c r="D579" s="98" t="s">
        <v>892</v>
      </c>
      <c r="E579" s="26">
        <v>127719</v>
      </c>
      <c r="F579" s="27"/>
      <c r="G579" s="28">
        <v>7972.21</v>
      </c>
      <c r="H579" s="28">
        <v>3480.35</v>
      </c>
      <c r="I579" s="28">
        <v>213.3</v>
      </c>
      <c r="J579" s="27"/>
      <c r="K579" s="27"/>
      <c r="L579" s="28">
        <v>387</v>
      </c>
      <c r="M579" s="28">
        <v>396.88</v>
      </c>
      <c r="N579" s="28">
        <v>0</v>
      </c>
      <c r="O579" s="28">
        <v>406.95</v>
      </c>
      <c r="P579" s="27"/>
      <c r="Q579" s="27"/>
      <c r="R579" s="28">
        <v>12856.69</v>
      </c>
      <c r="S579" s="142">
        <f t="shared" si="79"/>
        <v>11665.859999999999</v>
      </c>
      <c r="T579" s="142">
        <f t="shared" si="80"/>
        <v>0</v>
      </c>
      <c r="U579" s="142">
        <f t="shared" si="81"/>
        <v>406.95</v>
      </c>
      <c r="W579" s="601">
        <f t="shared" si="76"/>
        <v>12856.689999999999</v>
      </c>
      <c r="X579" s="601">
        <f t="shared" si="77"/>
        <v>0</v>
      </c>
      <c r="Y579" s="123"/>
      <c r="Z579" s="692">
        <f t="shared" si="78"/>
        <v>11665.859999999999</v>
      </c>
      <c r="AA579" s="124"/>
      <c r="AB579" s="124"/>
      <c r="AC579" s="124"/>
      <c r="AD579" s="124"/>
      <c r="AE579" s="124"/>
      <c r="AF579" s="124"/>
      <c r="AG579" s="124"/>
      <c r="AH579" s="124"/>
      <c r="AI579" s="124"/>
      <c r="AJ579" s="124"/>
      <c r="AK579" s="124"/>
      <c r="AL579" s="124"/>
      <c r="AM579" s="124"/>
      <c r="AN579" s="124"/>
      <c r="AO579" s="124"/>
      <c r="AP579" s="124"/>
      <c r="AQ579" s="124"/>
    </row>
    <row r="580" spans="1:43" customFormat="1" ht="12.75" hidden="1" thickBot="1">
      <c r="A580" s="25" t="s">
        <v>1220</v>
      </c>
      <c r="B580" s="25" t="s">
        <v>413</v>
      </c>
      <c r="C580" s="25" t="s">
        <v>454</v>
      </c>
      <c r="D580" s="98" t="s">
        <v>892</v>
      </c>
      <c r="E580" s="29">
        <v>2634</v>
      </c>
      <c r="F580" s="31">
        <v>140</v>
      </c>
      <c r="G580" s="31">
        <v>164.4</v>
      </c>
      <c r="H580" s="31">
        <v>71.790000000000006</v>
      </c>
      <c r="I580" s="31">
        <v>4.4000000000000004</v>
      </c>
      <c r="J580" s="30"/>
      <c r="K580" s="30"/>
      <c r="L580" s="31">
        <v>7.98</v>
      </c>
      <c r="M580" s="31">
        <v>8.35</v>
      </c>
      <c r="N580" s="31">
        <v>0</v>
      </c>
      <c r="O580" s="31">
        <v>15.18</v>
      </c>
      <c r="P580" s="30"/>
      <c r="Q580" s="30"/>
      <c r="R580" s="31">
        <v>412.1</v>
      </c>
      <c r="S580" s="142">
        <f t="shared" si="79"/>
        <v>240.59</v>
      </c>
      <c r="T580" s="142">
        <f t="shared" si="80"/>
        <v>0</v>
      </c>
      <c r="U580" s="142">
        <f t="shared" si="81"/>
        <v>15.18</v>
      </c>
      <c r="W580" s="601">
        <f t="shared" si="76"/>
        <v>412.1</v>
      </c>
      <c r="X580" s="601">
        <f t="shared" si="77"/>
        <v>0</v>
      </c>
      <c r="Y580" s="123"/>
      <c r="Z580" s="692">
        <f t="shared" si="78"/>
        <v>380.59</v>
      </c>
      <c r="AA580" s="124"/>
      <c r="AB580" s="124"/>
      <c r="AC580" s="124"/>
      <c r="AD580" s="124"/>
      <c r="AE580" s="124"/>
      <c r="AF580" s="124"/>
      <c r="AG580" s="124"/>
      <c r="AH580" s="124"/>
      <c r="AI580" s="124"/>
      <c r="AJ580" s="124"/>
      <c r="AK580" s="124"/>
      <c r="AL580" s="124"/>
      <c r="AM580" s="124"/>
      <c r="AN580" s="124"/>
      <c r="AO580" s="124"/>
      <c r="AP580" s="124"/>
      <c r="AQ580" s="124"/>
    </row>
    <row r="581" spans="1:43" customFormat="1" ht="12.75" hidden="1" thickBot="1">
      <c r="A581" s="25" t="s">
        <v>1220</v>
      </c>
      <c r="B581" s="25" t="s">
        <v>414</v>
      </c>
      <c r="C581" s="25" t="s">
        <v>445</v>
      </c>
      <c r="D581" s="25" t="s">
        <v>20</v>
      </c>
      <c r="E581" s="26">
        <v>154034270</v>
      </c>
      <c r="F581" s="28">
        <v>233183.15</v>
      </c>
      <c r="G581" s="28">
        <v>2056356.14</v>
      </c>
      <c r="H581" s="28">
        <v>4197435.24</v>
      </c>
      <c r="I581" s="27"/>
      <c r="J581" s="28">
        <v>193165.34</v>
      </c>
      <c r="K581" s="28">
        <v>6406650.5499999998</v>
      </c>
      <c r="L581" s="28">
        <v>212648.77</v>
      </c>
      <c r="M581" s="28">
        <v>479419.47</v>
      </c>
      <c r="N581" s="28">
        <v>0</v>
      </c>
      <c r="O581" s="28">
        <v>432150.24</v>
      </c>
      <c r="P581" s="27"/>
      <c r="Q581" s="28">
        <v>0</v>
      </c>
      <c r="R581" s="28">
        <v>14211008.9</v>
      </c>
      <c r="S581" s="142">
        <f t="shared" si="79"/>
        <v>6253791.3799999999</v>
      </c>
      <c r="T581" s="142">
        <f t="shared" si="80"/>
        <v>6599815.8899999997</v>
      </c>
      <c r="U581" s="142">
        <f t="shared" si="81"/>
        <v>432150.24</v>
      </c>
      <c r="W581" s="601">
        <f t="shared" si="76"/>
        <v>14211008.9</v>
      </c>
      <c r="X581" s="601">
        <f t="shared" si="77"/>
        <v>0</v>
      </c>
      <c r="Y581" s="123"/>
      <c r="Z581" s="692">
        <f t="shared" si="78"/>
        <v>13086790.42</v>
      </c>
      <c r="AA581" s="124"/>
      <c r="AB581" s="124"/>
      <c r="AC581" s="124"/>
      <c r="AD581" s="124"/>
      <c r="AE581" s="124"/>
      <c r="AF581" s="124"/>
      <c r="AG581" s="124"/>
      <c r="AH581" s="124"/>
      <c r="AI581" s="124"/>
      <c r="AJ581" s="124"/>
      <c r="AK581" s="124"/>
      <c r="AL581" s="124"/>
      <c r="AM581" s="124"/>
      <c r="AN581" s="124"/>
      <c r="AO581" s="124"/>
      <c r="AP581" s="124"/>
      <c r="AQ581" s="124"/>
    </row>
    <row r="582" spans="1:43" ht="12.75" hidden="1" thickBot="1">
      <c r="A582" s="147" t="s">
        <v>1220</v>
      </c>
      <c r="B582" s="147" t="s">
        <v>415</v>
      </c>
      <c r="C582" s="147" t="s">
        <v>443</v>
      </c>
      <c r="D582" s="153" t="s">
        <v>21</v>
      </c>
      <c r="E582" s="150">
        <v>13891540</v>
      </c>
      <c r="F582" s="596">
        <v>9758</v>
      </c>
      <c r="G582" s="596">
        <v>166837.4</v>
      </c>
      <c r="H582" s="596">
        <v>378544.48</v>
      </c>
      <c r="I582" s="151"/>
      <c r="J582" s="596">
        <v>17862.580000000002</v>
      </c>
      <c r="K582" s="596">
        <v>501268.79</v>
      </c>
      <c r="L582" s="596">
        <v>19309.23</v>
      </c>
      <c r="M582" s="596">
        <v>42126.2</v>
      </c>
      <c r="N582" s="596">
        <v>0</v>
      </c>
      <c r="O582" s="596">
        <v>33585.57</v>
      </c>
      <c r="P582" s="151"/>
      <c r="Q582" s="151"/>
      <c r="R582" s="596">
        <v>1169292.25</v>
      </c>
      <c r="S582" s="590">
        <f t="shared" si="79"/>
        <v>545381.88</v>
      </c>
      <c r="T582" s="590">
        <f t="shared" si="80"/>
        <v>519131.37</v>
      </c>
      <c r="U582" s="590">
        <f t="shared" si="81"/>
        <v>33585.57</v>
      </c>
      <c r="W582" s="368">
        <f t="shared" si="76"/>
        <v>1169292.25</v>
      </c>
      <c r="X582" s="368">
        <f t="shared" si="77"/>
        <v>0</v>
      </c>
      <c r="Y582" s="592"/>
      <c r="Z582" s="692">
        <f t="shared" si="78"/>
        <v>1074271.25</v>
      </c>
      <c r="AA582" s="591"/>
      <c r="AB582" s="591"/>
      <c r="AC582" s="591"/>
      <c r="AD582" s="591"/>
      <c r="AE582" s="591"/>
      <c r="AF582" s="591"/>
      <c r="AG582" s="591"/>
      <c r="AH582" s="591"/>
      <c r="AI582" s="591"/>
      <c r="AJ582" s="591"/>
      <c r="AK582" s="591"/>
      <c r="AL582" s="591"/>
      <c r="AM582" s="591"/>
      <c r="AN582" s="591"/>
      <c r="AO582" s="591"/>
      <c r="AP582" s="591"/>
      <c r="AQ582" s="591"/>
    </row>
    <row r="583" spans="1:43" customFormat="1" ht="12.75" hidden="1" thickBot="1">
      <c r="A583" s="25" t="s">
        <v>1220</v>
      </c>
      <c r="B583" s="25" t="s">
        <v>416</v>
      </c>
      <c r="C583" s="25" t="s">
        <v>446</v>
      </c>
      <c r="D583" s="25" t="s">
        <v>20</v>
      </c>
      <c r="E583" s="26">
        <v>118320</v>
      </c>
      <c r="F583" s="28">
        <v>90</v>
      </c>
      <c r="G583" s="28">
        <v>1579.57</v>
      </c>
      <c r="H583" s="28">
        <v>3224.22</v>
      </c>
      <c r="I583" s="27"/>
      <c r="J583" s="28">
        <v>192.53</v>
      </c>
      <c r="K583" s="28">
        <v>6385.51</v>
      </c>
      <c r="L583" s="28">
        <v>164.46</v>
      </c>
      <c r="M583" s="28">
        <v>189.31</v>
      </c>
      <c r="N583" s="28">
        <v>0</v>
      </c>
      <c r="O583" s="28">
        <v>313.77</v>
      </c>
      <c r="P583" s="27"/>
      <c r="Q583" s="27"/>
      <c r="R583" s="28">
        <v>12139.37</v>
      </c>
      <c r="S583" s="142">
        <f t="shared" si="79"/>
        <v>4803.79</v>
      </c>
      <c r="T583" s="142">
        <f t="shared" si="80"/>
        <v>6578.04</v>
      </c>
      <c r="U583" s="142">
        <f t="shared" si="81"/>
        <v>313.77</v>
      </c>
      <c r="W583" s="601">
        <f t="shared" si="76"/>
        <v>12139.369999999999</v>
      </c>
      <c r="X583" s="601">
        <f t="shared" si="77"/>
        <v>0</v>
      </c>
      <c r="Y583" s="123"/>
      <c r="Z583" s="692">
        <f t="shared" si="78"/>
        <v>11471.83</v>
      </c>
      <c r="AA583" s="124"/>
      <c r="AB583" s="124"/>
      <c r="AC583" s="124"/>
      <c r="AD583" s="124"/>
      <c r="AE583" s="124"/>
      <c r="AF583" s="124"/>
      <c r="AG583" s="124"/>
      <c r="AH583" s="124"/>
      <c r="AI583" s="124"/>
      <c r="AJ583" s="124"/>
      <c r="AK583" s="124"/>
      <c r="AL583" s="124"/>
      <c r="AM583" s="124"/>
      <c r="AN583" s="124"/>
      <c r="AO583" s="124"/>
      <c r="AP583" s="124"/>
      <c r="AQ583" s="124"/>
    </row>
    <row r="584" spans="1:43" customFormat="1" ht="12.75" hidden="1" thickBot="1">
      <c r="A584" s="25" t="s">
        <v>1220</v>
      </c>
      <c r="B584" s="25" t="s">
        <v>417</v>
      </c>
      <c r="C584" s="25" t="s">
        <v>932</v>
      </c>
      <c r="D584" s="69" t="s">
        <v>920</v>
      </c>
      <c r="E584" s="29">
        <v>62607707</v>
      </c>
      <c r="F584" s="31">
        <v>43635.23</v>
      </c>
      <c r="G584" s="31">
        <v>791987.41</v>
      </c>
      <c r="H584" s="31">
        <v>1706060.09</v>
      </c>
      <c r="I584" s="30"/>
      <c r="J584" s="31">
        <v>64885.23</v>
      </c>
      <c r="K584" s="31">
        <v>1905176.97</v>
      </c>
      <c r="L584" s="31">
        <v>47581.919999999998</v>
      </c>
      <c r="M584" s="31">
        <v>194176.05</v>
      </c>
      <c r="N584" s="31">
        <v>0</v>
      </c>
      <c r="O584" s="31">
        <v>135294.1</v>
      </c>
      <c r="P584" s="30"/>
      <c r="Q584" s="30"/>
      <c r="R584" s="31">
        <v>4888797</v>
      </c>
      <c r="S584" s="142">
        <f t="shared" si="79"/>
        <v>2498047.5</v>
      </c>
      <c r="T584" s="142">
        <f t="shared" si="80"/>
        <v>1970062.2</v>
      </c>
      <c r="U584" s="142">
        <f t="shared" si="81"/>
        <v>135294.1</v>
      </c>
      <c r="W584" s="601">
        <f t="shared" si="76"/>
        <v>4888796.9999999991</v>
      </c>
      <c r="X584" s="601">
        <f t="shared" si="77"/>
        <v>0</v>
      </c>
      <c r="Y584" s="123"/>
      <c r="Z584" s="692">
        <f t="shared" si="78"/>
        <v>4511744.93</v>
      </c>
      <c r="AA584" s="124"/>
      <c r="AB584" s="124"/>
      <c r="AC584" s="124"/>
      <c r="AD584" s="124"/>
      <c r="AE584" s="124"/>
      <c r="AF584" s="124"/>
      <c r="AG584" s="124"/>
      <c r="AH584" s="124"/>
      <c r="AI584" s="124"/>
      <c r="AJ584" s="124"/>
      <c r="AK584" s="124"/>
      <c r="AL584" s="124"/>
      <c r="AM584" s="124"/>
      <c r="AN584" s="124"/>
      <c r="AO584" s="124"/>
      <c r="AP584" s="124"/>
      <c r="AQ584" s="124"/>
    </row>
    <row r="585" spans="1:43" customFormat="1" ht="12.75" hidden="1" thickBot="1">
      <c r="A585" s="25" t="s">
        <v>1220</v>
      </c>
      <c r="B585" s="25" t="s">
        <v>418</v>
      </c>
      <c r="C585" s="25" t="s">
        <v>447</v>
      </c>
      <c r="D585" s="69" t="s">
        <v>448</v>
      </c>
      <c r="E585" s="26">
        <v>33569100</v>
      </c>
      <c r="F585" s="28">
        <v>9930</v>
      </c>
      <c r="G585" s="28">
        <v>364224.73</v>
      </c>
      <c r="H585" s="28">
        <v>914757.98</v>
      </c>
      <c r="I585" s="27"/>
      <c r="J585" s="28">
        <v>30556.95</v>
      </c>
      <c r="K585" s="28">
        <v>980093.01</v>
      </c>
      <c r="L585" s="28">
        <v>25512.54</v>
      </c>
      <c r="M585" s="28">
        <v>92244.479999999996</v>
      </c>
      <c r="N585" s="28">
        <v>0</v>
      </c>
      <c r="O585" s="28">
        <v>63835.16</v>
      </c>
      <c r="P585" s="27"/>
      <c r="Q585" s="27"/>
      <c r="R585" s="28">
        <v>2481154.85</v>
      </c>
      <c r="S585" s="142">
        <f t="shared" si="79"/>
        <v>1278982.71</v>
      </c>
      <c r="T585" s="142">
        <f t="shared" si="80"/>
        <v>1010649.96</v>
      </c>
      <c r="U585" s="142">
        <f t="shared" si="81"/>
        <v>63835.16</v>
      </c>
      <c r="W585" s="601">
        <f t="shared" si="76"/>
        <v>2481154.85</v>
      </c>
      <c r="X585" s="601">
        <f t="shared" si="77"/>
        <v>0</v>
      </c>
      <c r="Y585" s="123"/>
      <c r="Z585" s="692">
        <f t="shared" si="78"/>
        <v>2299562.67</v>
      </c>
      <c r="AA585" s="124"/>
      <c r="AB585" s="124"/>
      <c r="AC585" s="124"/>
      <c r="AD585" s="124"/>
      <c r="AE585" s="124"/>
      <c r="AF585" s="124"/>
      <c r="AG585" s="124"/>
      <c r="AH585" s="124"/>
      <c r="AI585" s="124"/>
      <c r="AJ585" s="124"/>
      <c r="AK585" s="124"/>
      <c r="AL585" s="124"/>
      <c r="AM585" s="124"/>
      <c r="AN585" s="124"/>
      <c r="AO585" s="124"/>
      <c r="AP585" s="124"/>
      <c r="AQ585" s="124"/>
    </row>
    <row r="586" spans="1:43" customFormat="1" ht="12.75" hidden="1" thickBot="1">
      <c r="A586" s="25" t="s">
        <v>1220</v>
      </c>
      <c r="B586" s="25" t="s">
        <v>420</v>
      </c>
      <c r="C586" s="25" t="s">
        <v>59</v>
      </c>
      <c r="D586" s="69" t="s">
        <v>14</v>
      </c>
      <c r="E586" s="29">
        <v>84861320</v>
      </c>
      <c r="F586" s="31">
        <v>542169.48</v>
      </c>
      <c r="G586" s="31">
        <v>5297039.42</v>
      </c>
      <c r="H586" s="31">
        <v>2312472.5099999998</v>
      </c>
      <c r="I586" s="31">
        <v>141729.45000000001</v>
      </c>
      <c r="J586" s="30"/>
      <c r="K586" s="30"/>
      <c r="L586" s="31">
        <v>254307.16</v>
      </c>
      <c r="M586" s="31">
        <v>266233.39</v>
      </c>
      <c r="N586" s="31">
        <v>-0.27</v>
      </c>
      <c r="O586" s="31">
        <v>297283.78000000003</v>
      </c>
      <c r="P586" s="30"/>
      <c r="Q586" s="30"/>
      <c r="R586" s="31">
        <v>9111234.9199999999</v>
      </c>
      <c r="S586" s="142">
        <f t="shared" si="79"/>
        <v>7751241.3799999999</v>
      </c>
      <c r="T586" s="142">
        <f t="shared" si="80"/>
        <v>0</v>
      </c>
      <c r="U586" s="142">
        <f t="shared" si="81"/>
        <v>297283.51</v>
      </c>
      <c r="W586" s="601">
        <f t="shared" si="76"/>
        <v>9111234.9199999999</v>
      </c>
      <c r="X586" s="601">
        <f t="shared" si="77"/>
        <v>0</v>
      </c>
      <c r="Y586" s="123"/>
      <c r="Z586" s="692">
        <f t="shared" si="78"/>
        <v>8293410.8600000003</v>
      </c>
      <c r="AA586" s="124"/>
      <c r="AB586" s="124"/>
      <c r="AC586" s="124"/>
      <c r="AD586" s="124"/>
      <c r="AE586" s="124"/>
      <c r="AF586" s="124"/>
      <c r="AG586" s="124"/>
      <c r="AH586" s="124"/>
      <c r="AI586" s="124"/>
      <c r="AJ586" s="124"/>
      <c r="AK586" s="124"/>
      <c r="AL586" s="124"/>
      <c r="AM586" s="124"/>
      <c r="AN586" s="124"/>
      <c r="AO586" s="124"/>
      <c r="AP586" s="124"/>
      <c r="AQ586" s="124"/>
    </row>
    <row r="587" spans="1:43" customFormat="1" ht="12.75" hidden="1" thickBot="1">
      <c r="A587" s="25" t="s">
        <v>1220</v>
      </c>
      <c r="B587" s="25" t="s">
        <v>421</v>
      </c>
      <c r="C587" s="25" t="s">
        <v>1216</v>
      </c>
      <c r="D587" s="69" t="s">
        <v>14</v>
      </c>
      <c r="E587" s="26">
        <v>1576680</v>
      </c>
      <c r="F587" s="27"/>
      <c r="G587" s="28">
        <v>98416.28</v>
      </c>
      <c r="H587" s="28">
        <v>42964.63</v>
      </c>
      <c r="I587" s="28">
        <v>2633.02</v>
      </c>
      <c r="J587" s="27"/>
      <c r="K587" s="27"/>
      <c r="L587" s="28">
        <v>4777.41</v>
      </c>
      <c r="M587" s="28">
        <v>4977.6099999999997</v>
      </c>
      <c r="N587" s="28">
        <v>0</v>
      </c>
      <c r="O587" s="28">
        <v>5059.8</v>
      </c>
      <c r="P587" s="27"/>
      <c r="Q587" s="27"/>
      <c r="R587" s="28">
        <v>158828.75</v>
      </c>
      <c r="S587" s="142">
        <f t="shared" si="79"/>
        <v>144013.93</v>
      </c>
      <c r="T587" s="142">
        <f t="shared" si="80"/>
        <v>0</v>
      </c>
      <c r="U587" s="142">
        <f t="shared" si="81"/>
        <v>5059.8</v>
      </c>
      <c r="W587" s="601">
        <f t="shared" si="76"/>
        <v>158828.74999999997</v>
      </c>
      <c r="X587" s="601">
        <f t="shared" si="77"/>
        <v>0</v>
      </c>
      <c r="Y587" s="123"/>
      <c r="Z587" s="692">
        <f t="shared" si="78"/>
        <v>144013.93</v>
      </c>
      <c r="AA587" s="124"/>
      <c r="AB587" s="124"/>
      <c r="AC587" s="124"/>
      <c r="AD587" s="124"/>
      <c r="AE587" s="124"/>
      <c r="AF587" s="124"/>
      <c r="AG587" s="124"/>
      <c r="AH587" s="124"/>
      <c r="AI587" s="124"/>
      <c r="AJ587" s="124"/>
      <c r="AK587" s="124"/>
      <c r="AL587" s="124"/>
      <c r="AM587" s="124"/>
      <c r="AN587" s="124"/>
      <c r="AO587" s="124"/>
      <c r="AP587" s="124"/>
      <c r="AQ587" s="124"/>
    </row>
    <row r="588" spans="1:43" customFormat="1" ht="12.75" hidden="1" thickBot="1">
      <c r="A588" s="25" t="s">
        <v>1220</v>
      </c>
      <c r="B588" s="25" t="s">
        <v>423</v>
      </c>
      <c r="C588" s="25" t="s">
        <v>452</v>
      </c>
      <c r="D588" s="69" t="s">
        <v>14</v>
      </c>
      <c r="E588" s="29">
        <v>155704</v>
      </c>
      <c r="F588" s="31">
        <v>280</v>
      </c>
      <c r="G588" s="31">
        <v>9719</v>
      </c>
      <c r="H588" s="31">
        <v>4242.95</v>
      </c>
      <c r="I588" s="31">
        <v>260.04000000000002</v>
      </c>
      <c r="J588" s="30"/>
      <c r="K588" s="30"/>
      <c r="L588" s="31">
        <v>471.77</v>
      </c>
      <c r="M588" s="31">
        <v>484.56</v>
      </c>
      <c r="N588" s="31">
        <v>0</v>
      </c>
      <c r="O588" s="31">
        <v>509.53</v>
      </c>
      <c r="P588" s="30"/>
      <c r="Q588" s="30"/>
      <c r="R588" s="31">
        <v>15967.85</v>
      </c>
      <c r="S588" s="142">
        <f t="shared" si="79"/>
        <v>14221.990000000002</v>
      </c>
      <c r="T588" s="142">
        <f t="shared" si="80"/>
        <v>0</v>
      </c>
      <c r="U588" s="142">
        <f t="shared" si="81"/>
        <v>509.53</v>
      </c>
      <c r="W588" s="601">
        <f t="shared" si="76"/>
        <v>15967.850000000002</v>
      </c>
      <c r="X588" s="601">
        <f t="shared" si="77"/>
        <v>0</v>
      </c>
      <c r="Y588" s="123"/>
      <c r="Z588" s="692">
        <f t="shared" si="78"/>
        <v>14501.990000000002</v>
      </c>
      <c r="AA588" s="124"/>
      <c r="AB588" s="124"/>
      <c r="AC588" s="124"/>
      <c r="AD588" s="124"/>
      <c r="AE588" s="124"/>
      <c r="AF588" s="124"/>
      <c r="AG588" s="124"/>
      <c r="AH588" s="124"/>
      <c r="AI588" s="124"/>
      <c r="AJ588" s="124"/>
      <c r="AK588" s="124"/>
      <c r="AL588" s="124"/>
      <c r="AM588" s="124"/>
      <c r="AN588" s="124"/>
      <c r="AO588" s="124"/>
      <c r="AP588" s="124"/>
      <c r="AQ588" s="124"/>
    </row>
    <row r="589" spans="1:43" customFormat="1" ht="12.75" hidden="1" thickBot="1">
      <c r="A589" s="25" t="s">
        <v>1220</v>
      </c>
      <c r="B589" s="25" t="s">
        <v>424</v>
      </c>
      <c r="C589" s="25" t="s">
        <v>463</v>
      </c>
      <c r="D589" s="25" t="s">
        <v>464</v>
      </c>
      <c r="E589" s="26">
        <v>5142000</v>
      </c>
      <c r="F589" s="27"/>
      <c r="G589" s="28">
        <v>50237.34</v>
      </c>
      <c r="H589" s="28">
        <v>140119.5</v>
      </c>
      <c r="I589" s="27"/>
      <c r="J589" s="28">
        <v>3557.32</v>
      </c>
      <c r="K589" s="28">
        <v>95951.72</v>
      </c>
      <c r="L589" s="27"/>
      <c r="M589" s="28">
        <v>16300.14</v>
      </c>
      <c r="N589" s="28">
        <v>0</v>
      </c>
      <c r="O589" s="28">
        <v>7172.85</v>
      </c>
      <c r="P589" s="27"/>
      <c r="Q589" s="27"/>
      <c r="R589" s="28">
        <v>313338.87</v>
      </c>
      <c r="S589" s="142">
        <f t="shared" si="79"/>
        <v>190356.84</v>
      </c>
      <c r="T589" s="142">
        <f t="shared" si="80"/>
        <v>99509.040000000008</v>
      </c>
      <c r="U589" s="142">
        <f t="shared" si="81"/>
        <v>7172.85</v>
      </c>
      <c r="W589" s="601">
        <f t="shared" si="76"/>
        <v>313338.87</v>
      </c>
      <c r="X589" s="601">
        <f t="shared" si="77"/>
        <v>0</v>
      </c>
      <c r="Y589" s="123"/>
      <c r="Z589" s="692">
        <f t="shared" si="78"/>
        <v>289865.88</v>
      </c>
      <c r="AA589" s="124"/>
      <c r="AB589" s="124"/>
      <c r="AC589" s="124"/>
      <c r="AD589" s="124"/>
      <c r="AE589" s="124"/>
      <c r="AF589" s="124"/>
      <c r="AG589" s="124"/>
      <c r="AH589" s="124"/>
      <c r="AI589" s="124"/>
      <c r="AJ589" s="124"/>
      <c r="AK589" s="124"/>
      <c r="AL589" s="124"/>
      <c r="AM589" s="124"/>
      <c r="AN589" s="124"/>
      <c r="AO589" s="124"/>
      <c r="AP589" s="124"/>
      <c r="AQ589" s="124"/>
    </row>
    <row r="590" spans="1:43" customFormat="1" ht="12.75" hidden="1" thickBot="1">
      <c r="A590" s="25" t="s">
        <v>1220</v>
      </c>
      <c r="B590" s="25" t="s">
        <v>1204</v>
      </c>
      <c r="C590" s="25" t="s">
        <v>1206</v>
      </c>
      <c r="D590" s="69" t="s">
        <v>63</v>
      </c>
      <c r="E590" s="30"/>
      <c r="F590" s="30"/>
      <c r="G590" s="30"/>
      <c r="H590" s="30"/>
      <c r="I590" s="30"/>
      <c r="J590" s="30"/>
      <c r="K590" s="30"/>
      <c r="L590" s="30"/>
      <c r="M590" s="30"/>
      <c r="N590" s="30"/>
      <c r="O590" s="30"/>
      <c r="P590" s="31">
        <v>-240091.45</v>
      </c>
      <c r="Q590" s="30"/>
      <c r="R590" s="31">
        <v>-240091.45</v>
      </c>
      <c r="S590" s="142">
        <f t="shared" si="79"/>
        <v>0</v>
      </c>
      <c r="T590" s="142">
        <f t="shared" si="80"/>
        <v>0</v>
      </c>
      <c r="U590" s="142">
        <f t="shared" si="81"/>
        <v>0</v>
      </c>
      <c r="W590" s="601">
        <f t="shared" si="76"/>
        <v>-240091.45</v>
      </c>
      <c r="X590" s="601">
        <f t="shared" si="77"/>
        <v>0</v>
      </c>
      <c r="Y590" s="123"/>
      <c r="Z590" s="692">
        <f t="shared" si="78"/>
        <v>0</v>
      </c>
      <c r="AA590" s="124"/>
      <c r="AB590" s="124"/>
      <c r="AC590" s="124"/>
      <c r="AD590" s="124"/>
      <c r="AE590" s="124"/>
      <c r="AF590" s="124"/>
      <c r="AG590" s="124"/>
      <c r="AH590" s="124"/>
      <c r="AI590" s="124"/>
      <c r="AJ590" s="124"/>
      <c r="AK590" s="124"/>
      <c r="AL590" s="124"/>
      <c r="AM590" s="124"/>
      <c r="AN590" s="124"/>
      <c r="AO590" s="124"/>
      <c r="AP590" s="124"/>
      <c r="AQ590" s="124"/>
    </row>
    <row r="591" spans="1:43" customFormat="1" ht="12.75" hidden="1" thickBot="1">
      <c r="A591" s="25" t="s">
        <v>1220</v>
      </c>
      <c r="B591" s="25" t="s">
        <v>425</v>
      </c>
      <c r="C591" s="25" t="s">
        <v>444</v>
      </c>
      <c r="D591" s="69" t="s">
        <v>63</v>
      </c>
      <c r="E591" s="27"/>
      <c r="F591" s="27"/>
      <c r="G591" s="27"/>
      <c r="H591" s="27"/>
      <c r="I591" s="27"/>
      <c r="J591" s="27"/>
      <c r="K591" s="27"/>
      <c r="L591" s="27"/>
      <c r="M591" s="27"/>
      <c r="N591" s="27"/>
      <c r="O591" s="27"/>
      <c r="P591" s="28">
        <v>-186294.15</v>
      </c>
      <c r="Q591" s="27"/>
      <c r="R591" s="28">
        <v>-186294.15</v>
      </c>
      <c r="S591" s="142">
        <f t="shared" si="79"/>
        <v>0</v>
      </c>
      <c r="T591" s="142">
        <f t="shared" si="80"/>
        <v>0</v>
      </c>
      <c r="U591" s="142">
        <f t="shared" si="81"/>
        <v>0</v>
      </c>
      <c r="W591" s="601">
        <f t="shared" si="76"/>
        <v>-186294.15</v>
      </c>
      <c r="X591" s="601">
        <f t="shared" si="77"/>
        <v>0</v>
      </c>
      <c r="Y591" s="123"/>
      <c r="Z591" s="692">
        <f t="shared" si="78"/>
        <v>0</v>
      </c>
      <c r="AA591" s="124"/>
      <c r="AB591" s="124"/>
      <c r="AC591" s="124"/>
      <c r="AD591" s="124"/>
      <c r="AE591" s="124"/>
      <c r="AF591" s="124"/>
      <c r="AG591" s="124"/>
      <c r="AH591" s="124"/>
      <c r="AI591" s="124"/>
      <c r="AJ591" s="124"/>
      <c r="AK591" s="124"/>
      <c r="AL591" s="124"/>
      <c r="AM591" s="124"/>
      <c r="AN591" s="124"/>
      <c r="AO591" s="124"/>
      <c r="AP591" s="124"/>
      <c r="AQ591" s="124"/>
    </row>
    <row r="592" spans="1:43" customFormat="1" ht="12.75" hidden="1" thickBot="1">
      <c r="A592" s="25" t="s">
        <v>1220</v>
      </c>
      <c r="B592" s="25" t="s">
        <v>854</v>
      </c>
      <c r="C592" s="25" t="s">
        <v>855</v>
      </c>
      <c r="D592" s="25" t="s">
        <v>1125</v>
      </c>
      <c r="E592" s="30"/>
      <c r="F592" s="30"/>
      <c r="G592" s="30"/>
      <c r="H592" s="30"/>
      <c r="I592" s="30"/>
      <c r="J592" s="30"/>
      <c r="K592" s="30"/>
      <c r="L592" s="30"/>
      <c r="M592" s="30"/>
      <c r="N592" s="30"/>
      <c r="O592" s="30"/>
      <c r="P592" s="30"/>
      <c r="Q592" s="30"/>
      <c r="R592" s="30"/>
      <c r="S592" s="142">
        <f t="shared" si="79"/>
        <v>0</v>
      </c>
      <c r="T592" s="142">
        <f t="shared" si="80"/>
        <v>0</v>
      </c>
      <c r="U592" s="142">
        <f t="shared" si="81"/>
        <v>0</v>
      </c>
      <c r="W592" s="601">
        <f t="shared" si="76"/>
        <v>0</v>
      </c>
      <c r="X592" s="601">
        <f t="shared" si="77"/>
        <v>0</v>
      </c>
      <c r="Y592" s="123"/>
      <c r="Z592" s="692">
        <f t="shared" si="78"/>
        <v>0</v>
      </c>
      <c r="AA592" s="124"/>
      <c r="AB592" s="124"/>
      <c r="AC592" s="124"/>
      <c r="AD592" s="124"/>
      <c r="AE592" s="124"/>
      <c r="AF592" s="124"/>
      <c r="AG592" s="124"/>
      <c r="AH592" s="124"/>
      <c r="AI592" s="124"/>
      <c r="AJ592" s="124"/>
      <c r="AK592" s="124"/>
      <c r="AL592" s="124"/>
      <c r="AM592" s="124"/>
      <c r="AN592" s="124"/>
      <c r="AO592" s="124"/>
      <c r="AP592" s="124"/>
      <c r="AQ592" s="124"/>
    </row>
    <row r="593" spans="1:43" customFormat="1" ht="12.75" hidden="1" thickBot="1">
      <c r="A593" s="25" t="s">
        <v>1220</v>
      </c>
      <c r="B593" s="25" t="s">
        <v>426</v>
      </c>
      <c r="C593" s="25" t="s">
        <v>450</v>
      </c>
      <c r="D593" s="69" t="s">
        <v>451</v>
      </c>
      <c r="E593" s="26">
        <v>16069000</v>
      </c>
      <c r="F593" s="27"/>
      <c r="G593" s="28">
        <v>163100.35</v>
      </c>
      <c r="H593" s="28">
        <v>437880.25</v>
      </c>
      <c r="I593" s="27"/>
      <c r="J593" s="28">
        <v>12299.04</v>
      </c>
      <c r="K593" s="28">
        <v>363166.05</v>
      </c>
      <c r="L593" s="27"/>
      <c r="M593" s="28">
        <v>25710.400000000001</v>
      </c>
      <c r="N593" s="28">
        <v>0</v>
      </c>
      <c r="O593" s="28">
        <v>20088.490000000002</v>
      </c>
      <c r="P593" s="27"/>
      <c r="Q593" s="27"/>
      <c r="R593" s="28">
        <v>1022244.58</v>
      </c>
      <c r="S593" s="142">
        <f t="shared" si="79"/>
        <v>600980.6</v>
      </c>
      <c r="T593" s="142">
        <f t="shared" si="80"/>
        <v>375465.08999999997</v>
      </c>
      <c r="U593" s="142">
        <f t="shared" si="81"/>
        <v>20088.490000000002</v>
      </c>
      <c r="W593" s="601">
        <f t="shared" si="76"/>
        <v>1022244.58</v>
      </c>
      <c r="X593" s="601">
        <f t="shared" si="77"/>
        <v>0</v>
      </c>
      <c r="Y593" s="123"/>
      <c r="Z593" s="692">
        <f t="shared" si="78"/>
        <v>976445.69</v>
      </c>
      <c r="AA593" s="124"/>
      <c r="AB593" s="124"/>
      <c r="AC593" s="124"/>
      <c r="AD593" s="124"/>
      <c r="AE593" s="124"/>
      <c r="AF593" s="124"/>
      <c r="AG593" s="124"/>
      <c r="AH593" s="124"/>
      <c r="AI593" s="124"/>
      <c r="AJ593" s="124"/>
      <c r="AK593" s="124"/>
      <c r="AL593" s="124"/>
      <c r="AM593" s="124"/>
      <c r="AN593" s="124"/>
      <c r="AO593" s="124"/>
      <c r="AP593" s="124"/>
      <c r="AQ593" s="124"/>
    </row>
    <row r="594" spans="1:43" customFormat="1" ht="12.75" hidden="1" thickBot="1">
      <c r="A594" s="25" t="s">
        <v>1220</v>
      </c>
      <c r="B594" s="25" t="s">
        <v>427</v>
      </c>
      <c r="C594" s="25" t="s">
        <v>54</v>
      </c>
      <c r="D594" s="25" t="s">
        <v>15</v>
      </c>
      <c r="E594" s="29">
        <v>92996529</v>
      </c>
      <c r="F594" s="31">
        <v>11250</v>
      </c>
      <c r="G594" s="31">
        <v>823019.28</v>
      </c>
      <c r="H594" s="31">
        <v>2534155.42</v>
      </c>
      <c r="I594" s="30"/>
      <c r="J594" s="31">
        <v>55581.39</v>
      </c>
      <c r="K594" s="31">
        <v>1623926.91</v>
      </c>
      <c r="L594" s="31">
        <v>0</v>
      </c>
      <c r="M594" s="31">
        <v>202215.27</v>
      </c>
      <c r="N594" s="31">
        <v>0</v>
      </c>
      <c r="O594" s="31">
        <v>104121.16</v>
      </c>
      <c r="P594" s="30"/>
      <c r="Q594" s="30"/>
      <c r="R594" s="31">
        <v>5354269.43</v>
      </c>
      <c r="S594" s="142">
        <f t="shared" si="79"/>
        <v>3357174.7</v>
      </c>
      <c r="T594" s="142">
        <f t="shared" si="80"/>
        <v>1679508.2999999998</v>
      </c>
      <c r="U594" s="142">
        <f t="shared" si="81"/>
        <v>104121.16</v>
      </c>
      <c r="W594" s="601">
        <f t="shared" si="76"/>
        <v>5354269.43</v>
      </c>
      <c r="X594" s="601">
        <f t="shared" si="77"/>
        <v>0</v>
      </c>
      <c r="Y594" s="123"/>
      <c r="Z594" s="692">
        <f t="shared" si="78"/>
        <v>5047933</v>
      </c>
      <c r="AA594" s="124"/>
      <c r="AB594" s="124"/>
      <c r="AC594" s="124"/>
      <c r="AD594" s="124"/>
      <c r="AE594" s="124"/>
      <c r="AF594" s="124"/>
      <c r="AG594" s="124"/>
      <c r="AH594" s="124"/>
      <c r="AI594" s="124"/>
      <c r="AJ594" s="124"/>
      <c r="AK594" s="124"/>
      <c r="AL594" s="124"/>
      <c r="AM594" s="124"/>
      <c r="AN594" s="124"/>
      <c r="AO594" s="124"/>
      <c r="AP594" s="124"/>
      <c r="AQ594" s="124"/>
    </row>
    <row r="595" spans="1:43" customFormat="1" ht="12.75" hidden="1" thickBot="1">
      <c r="A595" s="25" t="s">
        <v>1220</v>
      </c>
      <c r="B595" s="25" t="s">
        <v>428</v>
      </c>
      <c r="C595" s="25" t="s">
        <v>458</v>
      </c>
      <c r="D595" s="69" t="s">
        <v>20</v>
      </c>
      <c r="E595" s="26">
        <v>26069350</v>
      </c>
      <c r="F595" s="28">
        <v>22077</v>
      </c>
      <c r="G595" s="28">
        <v>348025.84</v>
      </c>
      <c r="H595" s="28">
        <v>710389.82</v>
      </c>
      <c r="I595" s="27"/>
      <c r="J595" s="28">
        <v>35771.14</v>
      </c>
      <c r="K595" s="28">
        <v>1186360.99</v>
      </c>
      <c r="L595" s="28">
        <v>0</v>
      </c>
      <c r="M595" s="28">
        <v>82148.600000000006</v>
      </c>
      <c r="N595" s="28">
        <v>0</v>
      </c>
      <c r="O595" s="28">
        <v>75925.100000000006</v>
      </c>
      <c r="P595" s="27"/>
      <c r="Q595" s="27"/>
      <c r="R595" s="28">
        <v>2460698.4900000002</v>
      </c>
      <c r="S595" s="142">
        <f t="shared" si="79"/>
        <v>1058415.6599999999</v>
      </c>
      <c r="T595" s="142">
        <f t="shared" si="80"/>
        <v>1222132.1299999999</v>
      </c>
      <c r="U595" s="142">
        <f t="shared" si="81"/>
        <v>75925.100000000006</v>
      </c>
      <c r="W595" s="601">
        <f t="shared" si="76"/>
        <v>2460698.4900000002</v>
      </c>
      <c r="X595" s="601">
        <f t="shared" si="77"/>
        <v>0</v>
      </c>
      <c r="Y595" s="123"/>
      <c r="Z595" s="692">
        <f t="shared" si="78"/>
        <v>2302624.79</v>
      </c>
      <c r="AA595" s="124"/>
      <c r="AB595" s="124"/>
      <c r="AC595" s="124"/>
      <c r="AD595" s="124"/>
      <c r="AE595" s="124"/>
      <c r="AF595" s="124"/>
      <c r="AG595" s="124"/>
      <c r="AH595" s="124"/>
      <c r="AI595" s="124"/>
      <c r="AJ595" s="124"/>
      <c r="AK595" s="124"/>
      <c r="AL595" s="124"/>
      <c r="AM595" s="124"/>
      <c r="AN595" s="124"/>
      <c r="AO595" s="124"/>
      <c r="AP595" s="124"/>
      <c r="AQ595" s="124"/>
    </row>
    <row r="596" spans="1:43" customFormat="1" ht="12.75" hidden="1" thickBot="1">
      <c r="A596" s="25" t="s">
        <v>1220</v>
      </c>
      <c r="B596" s="25" t="s">
        <v>429</v>
      </c>
      <c r="C596" s="25" t="s">
        <v>457</v>
      </c>
      <c r="D596" s="153" t="s">
        <v>21</v>
      </c>
      <c r="E596" s="29">
        <v>1077180</v>
      </c>
      <c r="F596" s="31">
        <v>3740</v>
      </c>
      <c r="G596" s="31">
        <v>12936.95</v>
      </c>
      <c r="H596" s="31">
        <v>29353.16</v>
      </c>
      <c r="I596" s="30"/>
      <c r="J596" s="31">
        <v>2623.64</v>
      </c>
      <c r="K596" s="31">
        <v>73625.740000000005</v>
      </c>
      <c r="L596" s="31">
        <v>0</v>
      </c>
      <c r="M596" s="31">
        <v>3262.09</v>
      </c>
      <c r="N596" s="31">
        <v>0</v>
      </c>
      <c r="O596" s="31">
        <v>4348.8100000000004</v>
      </c>
      <c r="P596" s="30"/>
      <c r="Q596" s="30"/>
      <c r="R596" s="31">
        <v>129890.39</v>
      </c>
      <c r="S596" s="142">
        <f t="shared" si="79"/>
        <v>42290.11</v>
      </c>
      <c r="T596" s="142">
        <f t="shared" si="80"/>
        <v>76249.38</v>
      </c>
      <c r="U596" s="142">
        <f t="shared" si="81"/>
        <v>4348.8100000000004</v>
      </c>
      <c r="W596" s="601">
        <f t="shared" ref="W596:W657" si="82">SUM(F596:Q596)</f>
        <v>129890.39</v>
      </c>
      <c r="X596" s="601">
        <f t="shared" ref="X596:X657" si="83">W596-R596</f>
        <v>0</v>
      </c>
      <c r="Y596" s="123"/>
      <c r="Z596" s="692">
        <f t="shared" si="78"/>
        <v>122279.49</v>
      </c>
      <c r="AA596" s="124"/>
      <c r="AB596" s="124"/>
      <c r="AC596" s="124"/>
      <c r="AD596" s="124"/>
      <c r="AE596" s="124"/>
      <c r="AF596" s="124"/>
      <c r="AG596" s="124"/>
      <c r="AH596" s="124"/>
      <c r="AI596" s="124"/>
      <c r="AJ596" s="124"/>
      <c r="AK596" s="124"/>
      <c r="AL596" s="124"/>
      <c r="AM596" s="124"/>
      <c r="AN596" s="124"/>
      <c r="AO596" s="124"/>
      <c r="AP596" s="124"/>
      <c r="AQ596" s="124"/>
    </row>
    <row r="597" spans="1:43" customFormat="1" ht="12.75" hidden="1" thickBot="1">
      <c r="A597" s="25" t="s">
        <v>1220</v>
      </c>
      <c r="B597" s="25" t="s">
        <v>430</v>
      </c>
      <c r="C597" s="25" t="s">
        <v>933</v>
      </c>
      <c r="D597" s="69" t="s">
        <v>920</v>
      </c>
      <c r="E597" s="26">
        <v>19998380</v>
      </c>
      <c r="F597" s="28">
        <v>15226.66</v>
      </c>
      <c r="G597" s="28">
        <v>252979.47</v>
      </c>
      <c r="H597" s="28">
        <v>544955.89</v>
      </c>
      <c r="I597" s="27"/>
      <c r="J597" s="28">
        <v>24329.78</v>
      </c>
      <c r="K597" s="28">
        <v>713157.99</v>
      </c>
      <c r="L597" s="28">
        <v>0</v>
      </c>
      <c r="M597" s="28">
        <v>62685.24</v>
      </c>
      <c r="N597" s="28">
        <v>0</v>
      </c>
      <c r="O597" s="28">
        <v>47927.12</v>
      </c>
      <c r="P597" s="27"/>
      <c r="Q597" s="27"/>
      <c r="R597" s="28">
        <v>1661262.15</v>
      </c>
      <c r="S597" s="142">
        <f t="shared" si="79"/>
        <v>797935.36</v>
      </c>
      <c r="T597" s="142">
        <f t="shared" si="80"/>
        <v>737487.77</v>
      </c>
      <c r="U597" s="142">
        <f t="shared" si="81"/>
        <v>47927.12</v>
      </c>
      <c r="W597" s="601">
        <f t="shared" si="82"/>
        <v>1661262.1500000001</v>
      </c>
      <c r="X597" s="601">
        <f t="shared" si="83"/>
        <v>0</v>
      </c>
      <c r="Y597" s="123"/>
      <c r="Z597" s="692">
        <f t="shared" si="78"/>
        <v>1550649.79</v>
      </c>
      <c r="AA597" s="124"/>
      <c r="AB597" s="124"/>
      <c r="AC597" s="124"/>
      <c r="AD597" s="124"/>
      <c r="AE597" s="124"/>
      <c r="AF597" s="124"/>
      <c r="AG597" s="124"/>
      <c r="AH597" s="124"/>
      <c r="AI597" s="124"/>
      <c r="AJ597" s="124"/>
      <c r="AK597" s="124"/>
      <c r="AL597" s="124"/>
      <c r="AM597" s="124"/>
      <c r="AN597" s="124"/>
      <c r="AO597" s="124"/>
      <c r="AP597" s="124"/>
      <c r="AQ597" s="124"/>
    </row>
    <row r="598" spans="1:43" customFormat="1" ht="12.75" hidden="1" thickBot="1">
      <c r="A598" s="25" t="s">
        <v>1220</v>
      </c>
      <c r="B598" s="25" t="s">
        <v>431</v>
      </c>
      <c r="C598" s="25" t="s">
        <v>459</v>
      </c>
      <c r="D598" s="69" t="s">
        <v>460</v>
      </c>
      <c r="E598" s="29">
        <v>133770600</v>
      </c>
      <c r="F598" s="31">
        <v>19200</v>
      </c>
      <c r="G598" s="31">
        <v>1087555.01</v>
      </c>
      <c r="H598" s="31">
        <v>3645248.85</v>
      </c>
      <c r="I598" s="30"/>
      <c r="J598" s="31">
        <v>125218.88</v>
      </c>
      <c r="K598" s="31">
        <v>3460590.31</v>
      </c>
      <c r="L598" s="31">
        <v>0</v>
      </c>
      <c r="M598" s="31">
        <v>372840</v>
      </c>
      <c r="N598" s="31">
        <v>0</v>
      </c>
      <c r="O598" s="31">
        <v>214332.4</v>
      </c>
      <c r="P598" s="30"/>
      <c r="Q598" s="30"/>
      <c r="R598" s="31">
        <v>8924985.4499999993</v>
      </c>
      <c r="S598" s="142">
        <f t="shared" si="79"/>
        <v>4732803.8600000003</v>
      </c>
      <c r="T598" s="142">
        <f t="shared" si="80"/>
        <v>3585809.19</v>
      </c>
      <c r="U598" s="142">
        <f t="shared" si="81"/>
        <v>214332.4</v>
      </c>
      <c r="W598" s="601">
        <f t="shared" si="82"/>
        <v>8924985.4500000011</v>
      </c>
      <c r="X598" s="601">
        <f t="shared" si="83"/>
        <v>0</v>
      </c>
      <c r="Y598" s="123"/>
      <c r="Z598" s="692">
        <f t="shared" si="78"/>
        <v>8337813.0500000007</v>
      </c>
      <c r="AA598" s="124"/>
      <c r="AB598" s="124"/>
      <c r="AC598" s="124"/>
      <c r="AD598" s="124"/>
      <c r="AE598" s="124"/>
      <c r="AF598" s="124"/>
      <c r="AG598" s="124"/>
      <c r="AH598" s="124"/>
      <c r="AI598" s="124"/>
      <c r="AJ598" s="124"/>
      <c r="AK598" s="124"/>
      <c r="AL598" s="124"/>
      <c r="AM598" s="124"/>
      <c r="AN598" s="124"/>
      <c r="AO598" s="124"/>
      <c r="AP598" s="124"/>
      <c r="AQ598" s="124"/>
    </row>
    <row r="599" spans="1:43" customFormat="1" ht="12.75" hidden="1" thickBot="1">
      <c r="A599" s="25" t="s">
        <v>1220</v>
      </c>
      <c r="B599" s="25" t="s">
        <v>433</v>
      </c>
      <c r="C599" s="25" t="s">
        <v>462</v>
      </c>
      <c r="D599" s="69" t="s">
        <v>17</v>
      </c>
      <c r="E599" s="26">
        <v>196</v>
      </c>
      <c r="F599" s="27"/>
      <c r="G599" s="28">
        <v>7.1</v>
      </c>
      <c r="H599" s="28">
        <v>5.34</v>
      </c>
      <c r="I599" s="28">
        <v>0.22</v>
      </c>
      <c r="J599" s="27"/>
      <c r="K599" s="27"/>
      <c r="L599" s="27"/>
      <c r="M599" s="28">
        <v>0.62</v>
      </c>
      <c r="N599" s="28">
        <v>0.4</v>
      </c>
      <c r="O599" s="27"/>
      <c r="P599" s="27"/>
      <c r="Q599" s="27"/>
      <c r="R599" s="28">
        <v>13.68</v>
      </c>
      <c r="S599" s="142">
        <f t="shared" si="79"/>
        <v>12.66</v>
      </c>
      <c r="T599" s="142">
        <f t="shared" si="80"/>
        <v>0</v>
      </c>
      <c r="U599" s="142">
        <f t="shared" si="81"/>
        <v>0.4</v>
      </c>
      <c r="W599" s="601">
        <f t="shared" si="82"/>
        <v>13.68</v>
      </c>
      <c r="X599" s="601">
        <f t="shared" si="83"/>
        <v>0</v>
      </c>
      <c r="Y599" s="123"/>
      <c r="Z599" s="692">
        <f t="shared" si="78"/>
        <v>12.66</v>
      </c>
      <c r="AA599" s="124"/>
      <c r="AB599" s="124"/>
      <c r="AC599" s="124"/>
      <c r="AD599" s="124"/>
      <c r="AE599" s="124"/>
      <c r="AF599" s="124"/>
      <c r="AG599" s="124"/>
      <c r="AH599" s="124"/>
      <c r="AI599" s="124"/>
      <c r="AJ599" s="124"/>
      <c r="AK599" s="124"/>
      <c r="AL599" s="124"/>
      <c r="AM599" s="124"/>
      <c r="AN599" s="124"/>
      <c r="AO599" s="124"/>
      <c r="AP599" s="124"/>
      <c r="AQ599" s="124"/>
    </row>
    <row r="600" spans="1:43" customFormat="1" ht="12.75" hidden="1" thickBot="1">
      <c r="A600" s="25" t="s">
        <v>1220</v>
      </c>
      <c r="B600" s="25" t="s">
        <v>434</v>
      </c>
      <c r="C600" s="25" t="s">
        <v>462</v>
      </c>
      <c r="D600" s="69" t="s">
        <v>17</v>
      </c>
      <c r="E600" s="29">
        <v>148223</v>
      </c>
      <c r="F600" s="30"/>
      <c r="G600" s="31">
        <v>5374.43</v>
      </c>
      <c r="H600" s="31">
        <v>4039.14</v>
      </c>
      <c r="I600" s="31">
        <v>163.04</v>
      </c>
      <c r="J600" s="30"/>
      <c r="K600" s="30"/>
      <c r="L600" s="30"/>
      <c r="M600" s="31">
        <v>452.41</v>
      </c>
      <c r="N600" s="31">
        <v>295.92</v>
      </c>
      <c r="O600" s="30"/>
      <c r="P600" s="30"/>
      <c r="Q600" s="30"/>
      <c r="R600" s="31">
        <v>10324.94</v>
      </c>
      <c r="S600" s="142">
        <f t="shared" si="79"/>
        <v>9576.61</v>
      </c>
      <c r="T600" s="142">
        <f t="shared" si="80"/>
        <v>0</v>
      </c>
      <c r="U600" s="142">
        <f t="shared" si="81"/>
        <v>295.92</v>
      </c>
      <c r="W600" s="601">
        <f t="shared" si="82"/>
        <v>10324.94</v>
      </c>
      <c r="X600" s="601">
        <f t="shared" si="83"/>
        <v>0</v>
      </c>
      <c r="Y600" s="123"/>
      <c r="Z600" s="692">
        <f t="shared" si="78"/>
        <v>9576.61</v>
      </c>
      <c r="AA600" s="124"/>
      <c r="AB600" s="124"/>
      <c r="AC600" s="124"/>
      <c r="AD600" s="124"/>
      <c r="AE600" s="124"/>
      <c r="AF600" s="124"/>
      <c r="AG600" s="124"/>
      <c r="AH600" s="124"/>
      <c r="AI600" s="124"/>
      <c r="AJ600" s="124"/>
      <c r="AK600" s="124"/>
      <c r="AL600" s="124"/>
      <c r="AM600" s="124"/>
      <c r="AN600" s="124"/>
      <c r="AO600" s="124"/>
      <c r="AP600" s="124"/>
      <c r="AQ600" s="124"/>
    </row>
    <row r="601" spans="1:43" customFormat="1" ht="12.75" hidden="1" thickBot="1">
      <c r="A601" s="25" t="s">
        <v>1220</v>
      </c>
      <c r="B601" s="25" t="s">
        <v>435</v>
      </c>
      <c r="C601" s="25" t="s">
        <v>462</v>
      </c>
      <c r="D601" s="69" t="s">
        <v>17</v>
      </c>
      <c r="E601" s="26">
        <v>131491</v>
      </c>
      <c r="F601" s="27"/>
      <c r="G601" s="28">
        <v>4767.8500000000004</v>
      </c>
      <c r="H601" s="28">
        <v>3583.14</v>
      </c>
      <c r="I601" s="28">
        <v>144.65</v>
      </c>
      <c r="J601" s="27"/>
      <c r="K601" s="27"/>
      <c r="L601" s="27"/>
      <c r="M601" s="28">
        <v>313.52999999999997</v>
      </c>
      <c r="N601" s="28">
        <v>235.08</v>
      </c>
      <c r="O601" s="27"/>
      <c r="P601" s="27"/>
      <c r="Q601" s="27"/>
      <c r="R601" s="28">
        <v>9044.25</v>
      </c>
      <c r="S601" s="142">
        <f t="shared" si="79"/>
        <v>8495.64</v>
      </c>
      <c r="T601" s="142">
        <f t="shared" si="80"/>
        <v>0</v>
      </c>
      <c r="U601" s="142">
        <f t="shared" si="81"/>
        <v>235.08</v>
      </c>
      <c r="W601" s="601">
        <f t="shared" si="82"/>
        <v>9044.25</v>
      </c>
      <c r="X601" s="601">
        <f t="shared" si="83"/>
        <v>0</v>
      </c>
      <c r="Y601" s="123"/>
      <c r="Z601" s="692">
        <f t="shared" si="78"/>
        <v>8495.64</v>
      </c>
      <c r="AA601" s="124"/>
      <c r="AB601" s="124"/>
      <c r="AC601" s="124"/>
      <c r="AD601" s="124"/>
      <c r="AE601" s="124"/>
      <c r="AF601" s="124"/>
      <c r="AG601" s="124"/>
      <c r="AH601" s="124"/>
      <c r="AI601" s="124"/>
      <c r="AJ601" s="124"/>
      <c r="AK601" s="124"/>
      <c r="AL601" s="124"/>
      <c r="AM601" s="124"/>
      <c r="AN601" s="124"/>
      <c r="AO601" s="124"/>
      <c r="AP601" s="124"/>
      <c r="AQ601" s="124"/>
    </row>
    <row r="602" spans="1:43" customFormat="1" ht="12.75" hidden="1" thickBot="1">
      <c r="A602" s="25" t="s">
        <v>1220</v>
      </c>
      <c r="B602" s="25" t="s">
        <v>436</v>
      </c>
      <c r="C602" s="25" t="s">
        <v>55</v>
      </c>
      <c r="D602" s="69" t="s">
        <v>18</v>
      </c>
      <c r="E602" s="29">
        <v>178762</v>
      </c>
      <c r="F602" s="31">
        <v>2911.89</v>
      </c>
      <c r="G602" s="31">
        <v>8621.75</v>
      </c>
      <c r="H602" s="31">
        <v>4871.24</v>
      </c>
      <c r="I602" s="31">
        <v>196.58</v>
      </c>
      <c r="J602" s="30"/>
      <c r="K602" s="30"/>
      <c r="L602" s="30"/>
      <c r="M602" s="31">
        <v>548.94000000000005</v>
      </c>
      <c r="N602" s="31">
        <v>507.35</v>
      </c>
      <c r="O602" s="30"/>
      <c r="P602" s="30"/>
      <c r="Q602" s="30"/>
      <c r="R602" s="31">
        <v>17657.75</v>
      </c>
      <c r="S602" s="142">
        <f t="shared" si="79"/>
        <v>13689.57</v>
      </c>
      <c r="T602" s="142">
        <f t="shared" si="80"/>
        <v>0</v>
      </c>
      <c r="U602" s="142">
        <f t="shared" si="81"/>
        <v>507.35</v>
      </c>
      <c r="W602" s="601">
        <f t="shared" si="82"/>
        <v>17657.749999999996</v>
      </c>
      <c r="X602" s="601">
        <f t="shared" si="83"/>
        <v>0</v>
      </c>
      <c r="Y602" s="123"/>
      <c r="Z602" s="692">
        <f t="shared" si="78"/>
        <v>16601.46</v>
      </c>
      <c r="AA602" s="124"/>
      <c r="AB602" s="124"/>
      <c r="AC602" s="124"/>
      <c r="AD602" s="124"/>
      <c r="AE602" s="124"/>
      <c r="AF602" s="124"/>
      <c r="AG602" s="124"/>
      <c r="AH602" s="124"/>
      <c r="AI602" s="124"/>
      <c r="AJ602" s="124"/>
      <c r="AK602" s="124"/>
      <c r="AL602" s="124"/>
      <c r="AM602" s="124"/>
      <c r="AN602" s="124"/>
      <c r="AO602" s="124"/>
      <c r="AP602" s="124"/>
      <c r="AQ602" s="124"/>
    </row>
    <row r="603" spans="1:43" customFormat="1" ht="12.75" hidden="1" thickBot="1">
      <c r="A603" s="25" t="s">
        <v>1220</v>
      </c>
      <c r="B603" s="25" t="s">
        <v>437</v>
      </c>
      <c r="C603" s="25" t="s">
        <v>55</v>
      </c>
      <c r="D603" s="69" t="s">
        <v>18</v>
      </c>
      <c r="E603" s="26">
        <v>68742</v>
      </c>
      <c r="F603" s="28">
        <v>435.5</v>
      </c>
      <c r="G603" s="28">
        <v>3315.44</v>
      </c>
      <c r="H603" s="28">
        <v>1873.21</v>
      </c>
      <c r="I603" s="28">
        <v>75.61</v>
      </c>
      <c r="J603" s="27"/>
      <c r="K603" s="27"/>
      <c r="L603" s="27"/>
      <c r="M603" s="28">
        <v>217.91</v>
      </c>
      <c r="N603" s="28">
        <v>177.53</v>
      </c>
      <c r="O603" s="27"/>
      <c r="P603" s="27"/>
      <c r="Q603" s="27"/>
      <c r="R603" s="28">
        <v>6095.2</v>
      </c>
      <c r="S603" s="142">
        <f t="shared" si="79"/>
        <v>5264.2599999999993</v>
      </c>
      <c r="T603" s="142">
        <f t="shared" si="80"/>
        <v>0</v>
      </c>
      <c r="U603" s="142">
        <f t="shared" si="81"/>
        <v>177.53</v>
      </c>
      <c r="W603" s="601">
        <f t="shared" si="82"/>
        <v>6095.1999999999989</v>
      </c>
      <c r="X603" s="601">
        <f t="shared" si="83"/>
        <v>0</v>
      </c>
      <c r="Y603" s="123"/>
      <c r="Z603" s="692">
        <f t="shared" si="78"/>
        <v>5699.7599999999993</v>
      </c>
      <c r="AA603" s="124"/>
      <c r="AB603" s="124"/>
      <c r="AC603" s="124"/>
      <c r="AD603" s="124"/>
      <c r="AE603" s="124"/>
      <c r="AF603" s="124"/>
      <c r="AG603" s="124"/>
      <c r="AH603" s="124"/>
      <c r="AI603" s="124"/>
      <c r="AJ603" s="124"/>
      <c r="AK603" s="124"/>
      <c r="AL603" s="124"/>
      <c r="AM603" s="124"/>
      <c r="AN603" s="124"/>
      <c r="AO603" s="124"/>
      <c r="AP603" s="124"/>
      <c r="AQ603" s="124"/>
    </row>
    <row r="604" spans="1:43" customFormat="1" ht="12.75" hidden="1" thickBot="1">
      <c r="A604" s="25" t="s">
        <v>1220</v>
      </c>
      <c r="B604" s="25" t="s">
        <v>856</v>
      </c>
      <c r="C604" s="25" t="s">
        <v>857</v>
      </c>
      <c r="D604" s="25" t="s">
        <v>1125</v>
      </c>
      <c r="E604" s="30"/>
      <c r="F604" s="30"/>
      <c r="G604" s="30"/>
      <c r="H604" s="30"/>
      <c r="I604" s="30"/>
      <c r="J604" s="30"/>
      <c r="K604" s="30"/>
      <c r="L604" s="30"/>
      <c r="M604" s="30"/>
      <c r="N604" s="30"/>
      <c r="O604" s="30"/>
      <c r="P604" s="30"/>
      <c r="Q604" s="30"/>
      <c r="R604" s="30"/>
      <c r="S604" s="142">
        <f t="shared" si="79"/>
        <v>0</v>
      </c>
      <c r="T604" s="142">
        <f t="shared" si="80"/>
        <v>0</v>
      </c>
      <c r="U604" s="142">
        <f t="shared" si="81"/>
        <v>0</v>
      </c>
      <c r="W604" s="601">
        <f t="shared" si="82"/>
        <v>0</v>
      </c>
      <c r="X604" s="601">
        <f t="shared" si="83"/>
        <v>0</v>
      </c>
      <c r="Y604" s="123"/>
      <c r="Z604" s="692">
        <f t="shared" si="78"/>
        <v>0</v>
      </c>
      <c r="AA604" s="124"/>
      <c r="AB604" s="124"/>
      <c r="AC604" s="124"/>
      <c r="AD604" s="124"/>
      <c r="AE604" s="124"/>
      <c r="AF604" s="124"/>
      <c r="AG604" s="124"/>
      <c r="AH604" s="124"/>
      <c r="AI604" s="124"/>
      <c r="AJ604" s="124"/>
      <c r="AK604" s="124"/>
      <c r="AL604" s="124"/>
      <c r="AM604" s="124"/>
      <c r="AN604" s="124"/>
      <c r="AO604" s="124"/>
      <c r="AP604" s="124"/>
      <c r="AQ604" s="124"/>
    </row>
    <row r="605" spans="1:43" customFormat="1" ht="12.75" hidden="1" thickBot="1">
      <c r="A605" s="25" t="s">
        <v>1220</v>
      </c>
      <c r="B605" s="25" t="s">
        <v>438</v>
      </c>
      <c r="C605" s="25" t="s">
        <v>469</v>
      </c>
      <c r="D605" s="69" t="s">
        <v>13</v>
      </c>
      <c r="E605" s="26">
        <v>700359</v>
      </c>
      <c r="F605" s="27"/>
      <c r="G605" s="28">
        <v>36537.480000000003</v>
      </c>
      <c r="H605" s="28">
        <v>19085.38</v>
      </c>
      <c r="I605" s="28">
        <v>938.31</v>
      </c>
      <c r="J605" s="27"/>
      <c r="K605" s="27"/>
      <c r="L605" s="28">
        <v>3803.27</v>
      </c>
      <c r="M605" s="28">
        <v>2219.92</v>
      </c>
      <c r="N605" s="28">
        <v>1877.87</v>
      </c>
      <c r="O605" s="27"/>
      <c r="P605" s="27"/>
      <c r="Q605" s="28">
        <v>0</v>
      </c>
      <c r="R605" s="28">
        <v>64462.23</v>
      </c>
      <c r="S605" s="142">
        <f t="shared" si="79"/>
        <v>56561.17</v>
      </c>
      <c r="T605" s="142">
        <f t="shared" si="80"/>
        <v>0</v>
      </c>
      <c r="U605" s="142">
        <f t="shared" si="81"/>
        <v>1877.87</v>
      </c>
      <c r="W605" s="601">
        <f t="shared" si="82"/>
        <v>64462.229999999996</v>
      </c>
      <c r="X605" s="601">
        <f t="shared" si="83"/>
        <v>0</v>
      </c>
      <c r="Y605" s="123"/>
      <c r="Z605" s="692">
        <f t="shared" si="78"/>
        <v>56561.17</v>
      </c>
      <c r="AA605" s="124"/>
      <c r="AB605" s="124"/>
      <c r="AC605" s="124"/>
      <c r="AD605" s="124"/>
      <c r="AE605" s="124"/>
      <c r="AF605" s="124"/>
      <c r="AG605" s="124"/>
      <c r="AH605" s="124"/>
      <c r="AI605" s="124"/>
      <c r="AJ605" s="124"/>
      <c r="AK605" s="124"/>
      <c r="AL605" s="124"/>
      <c r="AM605" s="124"/>
      <c r="AN605" s="124"/>
      <c r="AO605" s="124"/>
      <c r="AP605" s="124"/>
      <c r="AQ605" s="124"/>
    </row>
    <row r="606" spans="1:43" customFormat="1" ht="12.75" hidden="1" thickBot="1">
      <c r="A606" s="25" t="s">
        <v>1220</v>
      </c>
      <c r="B606" s="25" t="s">
        <v>439</v>
      </c>
      <c r="C606" s="25" t="s">
        <v>466</v>
      </c>
      <c r="D606" s="69" t="s">
        <v>13</v>
      </c>
      <c r="E606" s="29">
        <v>376007676</v>
      </c>
      <c r="F606" s="31">
        <v>3778270.48</v>
      </c>
      <c r="G606" s="31">
        <v>19616309.23</v>
      </c>
      <c r="H606" s="31">
        <v>10246213.25</v>
      </c>
      <c r="I606" s="31">
        <v>503844.06</v>
      </c>
      <c r="J606" s="30"/>
      <c r="K606" s="30"/>
      <c r="L606" s="31">
        <v>2041718.15</v>
      </c>
      <c r="M606" s="31">
        <v>1191620.3400000001</v>
      </c>
      <c r="N606" s="31">
        <v>1121248.3700000001</v>
      </c>
      <c r="O606" s="30"/>
      <c r="P606" s="30"/>
      <c r="Q606" s="31">
        <v>0</v>
      </c>
      <c r="R606" s="31">
        <v>38499223.880000003</v>
      </c>
      <c r="S606" s="142">
        <f t="shared" si="79"/>
        <v>30366366.539999999</v>
      </c>
      <c r="T606" s="142">
        <f t="shared" si="80"/>
        <v>0</v>
      </c>
      <c r="U606" s="142">
        <f t="shared" si="81"/>
        <v>1121248.3700000001</v>
      </c>
      <c r="W606" s="601">
        <f t="shared" si="82"/>
        <v>38499223.880000003</v>
      </c>
      <c r="X606" s="601">
        <f t="shared" si="83"/>
        <v>0</v>
      </c>
      <c r="Y606" s="123"/>
      <c r="Z606" s="692">
        <f t="shared" si="78"/>
        <v>34144637.020000003</v>
      </c>
      <c r="AA606" s="124"/>
      <c r="AB606" s="124"/>
      <c r="AC606" s="124"/>
      <c r="AD606" s="124"/>
      <c r="AE606" s="124"/>
      <c r="AF606" s="124"/>
      <c r="AG606" s="124"/>
      <c r="AH606" s="124"/>
      <c r="AI606" s="124"/>
      <c r="AJ606" s="124"/>
      <c r="AK606" s="124"/>
      <c r="AL606" s="124"/>
      <c r="AM606" s="124"/>
      <c r="AN606" s="124"/>
      <c r="AO606" s="124"/>
      <c r="AP606" s="124"/>
      <c r="AQ606" s="124"/>
    </row>
    <row r="607" spans="1:43" customFormat="1" ht="12.75" hidden="1" thickBot="1">
      <c r="A607" s="25" t="s">
        <v>1220</v>
      </c>
      <c r="B607" s="25" t="s">
        <v>440</v>
      </c>
      <c r="C607" s="25" t="s">
        <v>467</v>
      </c>
      <c r="D607" s="69" t="s">
        <v>13</v>
      </c>
      <c r="E607" s="26">
        <v>120280</v>
      </c>
      <c r="F607" s="28">
        <v>1397.28</v>
      </c>
      <c r="G607" s="28">
        <v>6274.99</v>
      </c>
      <c r="H607" s="28">
        <v>3277.65</v>
      </c>
      <c r="I607" s="28">
        <v>161.19</v>
      </c>
      <c r="J607" s="27"/>
      <c r="K607" s="27"/>
      <c r="L607" s="28">
        <v>653.13</v>
      </c>
      <c r="M607" s="28">
        <v>376.03</v>
      </c>
      <c r="N607" s="28">
        <v>362</v>
      </c>
      <c r="O607" s="27"/>
      <c r="P607" s="27"/>
      <c r="Q607" s="28">
        <v>0</v>
      </c>
      <c r="R607" s="28">
        <v>12502.27</v>
      </c>
      <c r="S607" s="142">
        <f t="shared" si="79"/>
        <v>9713.83</v>
      </c>
      <c r="T607" s="142">
        <f t="shared" si="80"/>
        <v>0</v>
      </c>
      <c r="U607" s="142">
        <f t="shared" si="81"/>
        <v>362</v>
      </c>
      <c r="W607" s="601">
        <f t="shared" si="82"/>
        <v>12502.27</v>
      </c>
      <c r="X607" s="601">
        <f t="shared" si="83"/>
        <v>0</v>
      </c>
      <c r="Y607" s="123"/>
      <c r="Z607" s="692">
        <f t="shared" si="78"/>
        <v>11111.11</v>
      </c>
      <c r="AA607" s="124"/>
      <c r="AB607" s="124"/>
      <c r="AC607" s="124"/>
      <c r="AD607" s="124"/>
      <c r="AE607" s="124"/>
      <c r="AF607" s="124"/>
      <c r="AG607" s="124"/>
      <c r="AH607" s="124"/>
      <c r="AI607" s="124"/>
      <c r="AJ607" s="124"/>
      <c r="AK607" s="124"/>
      <c r="AL607" s="124"/>
      <c r="AM607" s="124"/>
      <c r="AN607" s="124"/>
      <c r="AO607" s="124"/>
      <c r="AP607" s="124"/>
      <c r="AQ607" s="124"/>
    </row>
    <row r="608" spans="1:43" customFormat="1" ht="12.75" hidden="1" thickBot="1">
      <c r="A608" s="25" t="s">
        <v>1220</v>
      </c>
      <c r="B608" s="25" t="s">
        <v>441</v>
      </c>
      <c r="C608" s="25" t="s">
        <v>468</v>
      </c>
      <c r="D608" s="69" t="s">
        <v>13</v>
      </c>
      <c r="E608" s="29">
        <v>39808</v>
      </c>
      <c r="F608" s="31">
        <v>64.5</v>
      </c>
      <c r="G608" s="31">
        <v>2076.79</v>
      </c>
      <c r="H608" s="31">
        <v>1084.77</v>
      </c>
      <c r="I608" s="31">
        <v>53.34</v>
      </c>
      <c r="J608" s="30"/>
      <c r="K608" s="30"/>
      <c r="L608" s="31">
        <v>216.17</v>
      </c>
      <c r="M608" s="31">
        <v>126.2</v>
      </c>
      <c r="N608" s="31">
        <v>108.65</v>
      </c>
      <c r="O608" s="30"/>
      <c r="P608" s="30"/>
      <c r="Q608" s="31">
        <v>0</v>
      </c>
      <c r="R608" s="31">
        <v>3730.42</v>
      </c>
      <c r="S608" s="142">
        <f t="shared" si="79"/>
        <v>3214.9</v>
      </c>
      <c r="T608" s="142">
        <f t="shared" si="80"/>
        <v>0</v>
      </c>
      <c r="U608" s="142">
        <f t="shared" si="81"/>
        <v>108.65</v>
      </c>
      <c r="W608" s="601">
        <f t="shared" si="82"/>
        <v>3730.42</v>
      </c>
      <c r="X608" s="601">
        <f t="shared" si="83"/>
        <v>0</v>
      </c>
      <c r="Y608" s="123"/>
      <c r="Z608" s="692">
        <f t="shared" si="78"/>
        <v>3279.4</v>
      </c>
      <c r="AA608" s="124"/>
      <c r="AB608" s="124"/>
      <c r="AC608" s="124"/>
      <c r="AD608" s="124"/>
      <c r="AE608" s="124"/>
      <c r="AF608" s="124"/>
      <c r="AG608" s="124"/>
      <c r="AH608" s="124"/>
      <c r="AI608" s="124"/>
      <c r="AJ608" s="124"/>
      <c r="AK608" s="124"/>
      <c r="AL608" s="124"/>
      <c r="AM608" s="124"/>
      <c r="AN608" s="124"/>
      <c r="AO608" s="124"/>
      <c r="AP608" s="124"/>
      <c r="AQ608" s="124"/>
    </row>
    <row r="609" spans="1:43" customFormat="1" ht="12.75" hidden="1" thickBot="1">
      <c r="A609" s="25" t="s">
        <v>1220</v>
      </c>
      <c r="B609" s="25" t="s">
        <v>755</v>
      </c>
      <c r="C609" s="25" t="s">
        <v>1124</v>
      </c>
      <c r="D609" s="69" t="s">
        <v>680</v>
      </c>
      <c r="E609" s="26">
        <v>28828</v>
      </c>
      <c r="F609" s="28">
        <v>210.3</v>
      </c>
      <c r="G609" s="28">
        <v>1489.56</v>
      </c>
      <c r="H609" s="28">
        <v>785.58</v>
      </c>
      <c r="I609" s="28">
        <v>38.58</v>
      </c>
      <c r="J609" s="27"/>
      <c r="K609" s="27"/>
      <c r="L609" s="28">
        <v>156.52000000000001</v>
      </c>
      <c r="M609" s="28">
        <v>91.39</v>
      </c>
      <c r="N609" s="28">
        <v>83.16</v>
      </c>
      <c r="O609" s="27"/>
      <c r="P609" s="27"/>
      <c r="Q609" s="27"/>
      <c r="R609" s="28">
        <v>2855.09</v>
      </c>
      <c r="S609" s="142">
        <f t="shared" si="79"/>
        <v>2313.7199999999998</v>
      </c>
      <c r="T609" s="142">
        <f t="shared" si="80"/>
        <v>0</v>
      </c>
      <c r="U609" s="142">
        <f t="shared" si="81"/>
        <v>83.16</v>
      </c>
      <c r="W609" s="601">
        <f t="shared" si="82"/>
        <v>2855.0899999999997</v>
      </c>
      <c r="X609" s="601">
        <f t="shared" si="83"/>
        <v>0</v>
      </c>
      <c r="Y609" s="123"/>
      <c r="Z609" s="692">
        <f t="shared" si="78"/>
        <v>2524.02</v>
      </c>
      <c r="AA609" s="124"/>
      <c r="AB609" s="124"/>
      <c r="AC609" s="124"/>
      <c r="AD609" s="124"/>
      <c r="AE609" s="124"/>
      <c r="AF609" s="124"/>
      <c r="AG609" s="124"/>
      <c r="AH609" s="124"/>
      <c r="AI609" s="124"/>
      <c r="AJ609" s="124"/>
      <c r="AK609" s="124"/>
      <c r="AL609" s="124"/>
      <c r="AM609" s="124"/>
      <c r="AN609" s="124"/>
      <c r="AO609" s="124"/>
      <c r="AP609" s="124"/>
      <c r="AQ609" s="124"/>
    </row>
    <row r="610" spans="1:43" customFormat="1" ht="12.75" hidden="1" thickBot="1">
      <c r="A610" s="25" t="s">
        <v>1220</v>
      </c>
      <c r="B610" s="25" t="s">
        <v>1208</v>
      </c>
      <c r="C610" s="25" t="s">
        <v>1217</v>
      </c>
      <c r="D610" s="69" t="s">
        <v>680</v>
      </c>
      <c r="E610" s="29">
        <v>164</v>
      </c>
      <c r="F610" s="31">
        <v>10.75</v>
      </c>
      <c r="G610" s="31">
        <v>4.8499999999999996</v>
      </c>
      <c r="H610" s="31">
        <v>4.47</v>
      </c>
      <c r="I610" s="31">
        <v>0.22</v>
      </c>
      <c r="J610" s="30"/>
      <c r="K610" s="30"/>
      <c r="L610" s="31">
        <v>0.89</v>
      </c>
      <c r="M610" s="31">
        <v>0.52</v>
      </c>
      <c r="N610" s="31">
        <v>0.65</v>
      </c>
      <c r="O610" s="30"/>
      <c r="P610" s="30"/>
      <c r="Q610" s="30"/>
      <c r="R610" s="31">
        <v>22.35</v>
      </c>
      <c r="S610" s="142">
        <f t="shared" si="79"/>
        <v>9.5400000000000009</v>
      </c>
      <c r="T610" s="142">
        <f t="shared" si="80"/>
        <v>0</v>
      </c>
      <c r="U610" s="142">
        <f t="shared" si="81"/>
        <v>0.65</v>
      </c>
      <c r="W610" s="601">
        <f t="shared" si="82"/>
        <v>22.349999999999998</v>
      </c>
      <c r="X610" s="601">
        <f t="shared" si="83"/>
        <v>0</v>
      </c>
      <c r="Y610" s="123"/>
      <c r="Z610" s="692">
        <f t="shared" si="78"/>
        <v>20.29</v>
      </c>
      <c r="AA610" s="124"/>
      <c r="AB610" s="124"/>
      <c r="AC610" s="124"/>
      <c r="AD610" s="124"/>
      <c r="AE610" s="124"/>
      <c r="AF610" s="124"/>
      <c r="AG610" s="124"/>
      <c r="AH610" s="124"/>
      <c r="AI610" s="124"/>
      <c r="AJ610" s="124"/>
      <c r="AK610" s="124"/>
      <c r="AL610" s="124"/>
      <c r="AM610" s="124"/>
      <c r="AN610" s="124"/>
      <c r="AO610" s="124"/>
      <c r="AP610" s="124"/>
      <c r="AQ610" s="124"/>
    </row>
    <row r="611" spans="1:43" customFormat="1" ht="12.75" hidden="1" thickBot="1">
      <c r="A611" s="25" t="s">
        <v>1220</v>
      </c>
      <c r="B611" s="25" t="s">
        <v>401</v>
      </c>
      <c r="C611" s="25" t="s">
        <v>402</v>
      </c>
      <c r="D611" s="69" t="s">
        <v>1125</v>
      </c>
      <c r="E611" s="27"/>
      <c r="F611" s="27"/>
      <c r="G611" s="27"/>
      <c r="H611" s="27"/>
      <c r="I611" s="27"/>
      <c r="J611" s="27"/>
      <c r="K611" s="27"/>
      <c r="L611" s="27"/>
      <c r="M611" s="27"/>
      <c r="N611" s="27"/>
      <c r="O611" s="27"/>
      <c r="P611" s="27"/>
      <c r="Q611" s="27"/>
      <c r="R611" s="27"/>
      <c r="S611" s="142">
        <f t="shared" si="79"/>
        <v>0</v>
      </c>
      <c r="T611" s="142">
        <f t="shared" si="80"/>
        <v>0</v>
      </c>
      <c r="U611" s="142">
        <f t="shared" si="81"/>
        <v>0</v>
      </c>
      <c r="W611" s="601">
        <f t="shared" si="82"/>
        <v>0</v>
      </c>
      <c r="X611" s="601">
        <f t="shared" si="83"/>
        <v>0</v>
      </c>
      <c r="Y611" s="123"/>
      <c r="Z611" s="692">
        <f t="shared" si="78"/>
        <v>0</v>
      </c>
      <c r="AA611" s="124"/>
      <c r="AB611" s="124"/>
      <c r="AC611" s="124"/>
      <c r="AD611" s="124"/>
      <c r="AE611" s="124"/>
      <c r="AF611" s="124"/>
      <c r="AG611" s="124"/>
      <c r="AH611" s="124"/>
      <c r="AI611" s="124"/>
      <c r="AJ611" s="124"/>
      <c r="AK611" s="124"/>
      <c r="AL611" s="124"/>
      <c r="AM611" s="124"/>
      <c r="AN611" s="124"/>
      <c r="AO611" s="124"/>
      <c r="AP611" s="124"/>
      <c r="AQ611" s="124"/>
    </row>
    <row r="612" spans="1:43" customFormat="1" ht="12.75" hidden="1" thickBot="1">
      <c r="A612" s="25" t="s">
        <v>1220</v>
      </c>
      <c r="B612" s="25" t="s">
        <v>379</v>
      </c>
      <c r="C612" s="25" t="s">
        <v>934</v>
      </c>
      <c r="D612" s="693" t="s">
        <v>498</v>
      </c>
      <c r="E612" s="29">
        <v>2580</v>
      </c>
      <c r="F612" s="30"/>
      <c r="G612" s="31">
        <v>668.42</v>
      </c>
      <c r="H612" s="30"/>
      <c r="I612" s="30"/>
      <c r="J612" s="30"/>
      <c r="K612" s="30"/>
      <c r="L612" s="30"/>
      <c r="M612" s="31">
        <v>8.1</v>
      </c>
      <c r="N612" s="31">
        <v>20.36</v>
      </c>
      <c r="O612" s="30"/>
      <c r="P612" s="30"/>
      <c r="Q612" s="31">
        <v>0</v>
      </c>
      <c r="R612" s="31">
        <v>696.88</v>
      </c>
      <c r="S612" s="142">
        <f t="shared" si="79"/>
        <v>668.42</v>
      </c>
      <c r="T612" s="142">
        <f t="shared" si="80"/>
        <v>0</v>
      </c>
      <c r="U612" s="142">
        <f t="shared" si="81"/>
        <v>20.36</v>
      </c>
      <c r="W612" s="601">
        <f t="shared" si="82"/>
        <v>696.88</v>
      </c>
      <c r="X612" s="601">
        <f t="shared" si="83"/>
        <v>0</v>
      </c>
      <c r="Y612" s="123"/>
      <c r="Z612" s="692">
        <f t="shared" si="78"/>
        <v>668.42</v>
      </c>
      <c r="AA612" s="124"/>
      <c r="AB612" s="124"/>
      <c r="AC612" s="124"/>
      <c r="AD612" s="124"/>
      <c r="AE612" s="124"/>
      <c r="AF612" s="124"/>
      <c r="AG612" s="124"/>
      <c r="AH612" s="124"/>
      <c r="AI612" s="124"/>
      <c r="AJ612" s="124"/>
      <c r="AK612" s="124"/>
      <c r="AL612" s="124"/>
      <c r="AM612" s="124"/>
      <c r="AN612" s="124"/>
      <c r="AO612" s="124"/>
      <c r="AP612" s="124"/>
      <c r="AQ612" s="124"/>
    </row>
    <row r="613" spans="1:43" customFormat="1" ht="12.75" hidden="1" thickBot="1">
      <c r="A613" s="25" t="s">
        <v>1220</v>
      </c>
      <c r="B613" s="25" t="s">
        <v>241</v>
      </c>
      <c r="C613" s="25" t="s">
        <v>935</v>
      </c>
      <c r="D613" s="693" t="s">
        <v>498</v>
      </c>
      <c r="E613" s="26">
        <v>456740</v>
      </c>
      <c r="F613" s="27"/>
      <c r="G613" s="28">
        <v>64157.74</v>
      </c>
      <c r="H613" s="27"/>
      <c r="I613" s="27"/>
      <c r="J613" s="27"/>
      <c r="K613" s="27"/>
      <c r="L613" s="27"/>
      <c r="M613" s="28">
        <v>1178.22</v>
      </c>
      <c r="N613" s="28">
        <v>1806.15</v>
      </c>
      <c r="O613" s="27"/>
      <c r="P613" s="27"/>
      <c r="Q613" s="28">
        <v>0</v>
      </c>
      <c r="R613" s="28">
        <v>67142.11</v>
      </c>
      <c r="S613" s="142">
        <f t="shared" si="79"/>
        <v>64157.74</v>
      </c>
      <c r="T613" s="142">
        <f t="shared" si="80"/>
        <v>0</v>
      </c>
      <c r="U613" s="142">
        <f t="shared" si="81"/>
        <v>1806.15</v>
      </c>
      <c r="W613" s="601">
        <f t="shared" si="82"/>
        <v>67142.11</v>
      </c>
      <c r="X613" s="601">
        <f t="shared" si="83"/>
        <v>0</v>
      </c>
      <c r="Y613" s="123"/>
      <c r="Z613" s="692">
        <f t="shared" si="78"/>
        <v>64157.74</v>
      </c>
      <c r="AA613" s="124"/>
      <c r="AB613" s="124"/>
      <c r="AC613" s="124"/>
      <c r="AD613" s="124"/>
      <c r="AE613" s="124"/>
      <c r="AF613" s="124"/>
      <c r="AG613" s="124"/>
      <c r="AH613" s="124"/>
      <c r="AI613" s="124"/>
      <c r="AJ613" s="124"/>
      <c r="AK613" s="124"/>
      <c r="AL613" s="124"/>
      <c r="AM613" s="124"/>
      <c r="AN613" s="124"/>
      <c r="AO613" s="124"/>
      <c r="AP613" s="124"/>
      <c r="AQ613" s="124"/>
    </row>
    <row r="614" spans="1:43" customFormat="1" ht="12.75" hidden="1" thickBot="1">
      <c r="A614" s="25" t="s">
        <v>1220</v>
      </c>
      <c r="B614" s="25" t="s">
        <v>242</v>
      </c>
      <c r="C614" s="25" t="s">
        <v>936</v>
      </c>
      <c r="D614" s="693" t="s">
        <v>498</v>
      </c>
      <c r="E614" s="29">
        <v>809575</v>
      </c>
      <c r="F614" s="30"/>
      <c r="G614" s="31">
        <v>90878.14</v>
      </c>
      <c r="H614" s="30"/>
      <c r="I614" s="30"/>
      <c r="J614" s="30"/>
      <c r="K614" s="30"/>
      <c r="L614" s="30"/>
      <c r="M614" s="31">
        <v>1990.21</v>
      </c>
      <c r="N614" s="31">
        <v>2519.5100000000002</v>
      </c>
      <c r="O614" s="30"/>
      <c r="P614" s="30"/>
      <c r="Q614" s="31">
        <v>0</v>
      </c>
      <c r="R614" s="31">
        <v>95387.86</v>
      </c>
      <c r="S614" s="142">
        <f t="shared" si="79"/>
        <v>90878.14</v>
      </c>
      <c r="T614" s="142">
        <f t="shared" si="80"/>
        <v>0</v>
      </c>
      <c r="U614" s="142">
        <f t="shared" si="81"/>
        <v>2519.5100000000002</v>
      </c>
      <c r="W614" s="601">
        <f t="shared" si="82"/>
        <v>95387.86</v>
      </c>
      <c r="X614" s="601">
        <f t="shared" si="83"/>
        <v>0</v>
      </c>
      <c r="Y614" s="123"/>
      <c r="Z614" s="692">
        <f t="shared" si="78"/>
        <v>90878.14</v>
      </c>
      <c r="AA614" s="124"/>
      <c r="AB614" s="124"/>
      <c r="AC614" s="124"/>
      <c r="AD614" s="124"/>
      <c r="AE614" s="124"/>
      <c r="AF614" s="124"/>
      <c r="AG614" s="124"/>
      <c r="AH614" s="124"/>
      <c r="AI614" s="124"/>
      <c r="AJ614" s="124"/>
      <c r="AK614" s="124"/>
      <c r="AL614" s="124"/>
      <c r="AM614" s="124"/>
      <c r="AN614" s="124"/>
      <c r="AO614" s="124"/>
      <c r="AP614" s="124"/>
      <c r="AQ614" s="124"/>
    </row>
    <row r="615" spans="1:43" customFormat="1" ht="12.75" hidden="1" thickBot="1">
      <c r="A615" s="25" t="s">
        <v>1220</v>
      </c>
      <c r="B615" s="25" t="s">
        <v>243</v>
      </c>
      <c r="C615" s="25" t="s">
        <v>937</v>
      </c>
      <c r="D615" s="693" t="s">
        <v>498</v>
      </c>
      <c r="E615" s="29">
        <v>3124</v>
      </c>
      <c r="F615" s="30"/>
      <c r="G615" s="31">
        <v>1176.53</v>
      </c>
      <c r="H615" s="30"/>
      <c r="I615" s="30"/>
      <c r="J615" s="30"/>
      <c r="K615" s="30"/>
      <c r="L615" s="30"/>
      <c r="M615" s="31">
        <v>9.91</v>
      </c>
      <c r="N615" s="31">
        <v>35.590000000000003</v>
      </c>
      <c r="O615" s="30"/>
      <c r="P615" s="30"/>
      <c r="Q615" s="31">
        <v>0</v>
      </c>
      <c r="R615" s="31">
        <v>1222.03</v>
      </c>
      <c r="S615" s="142">
        <f t="shared" si="79"/>
        <v>1176.53</v>
      </c>
      <c r="T615" s="142">
        <f t="shared" si="80"/>
        <v>0</v>
      </c>
      <c r="U615" s="142">
        <f t="shared" si="81"/>
        <v>35.590000000000003</v>
      </c>
      <c r="W615" s="601">
        <f t="shared" si="82"/>
        <v>1222.03</v>
      </c>
      <c r="X615" s="601">
        <f t="shared" si="83"/>
        <v>0</v>
      </c>
      <c r="Y615" s="123"/>
      <c r="Z615" s="692">
        <f t="shared" si="78"/>
        <v>1176.53</v>
      </c>
      <c r="AA615" s="124"/>
      <c r="AB615" s="124"/>
      <c r="AC615" s="124"/>
      <c r="AD615" s="124"/>
      <c r="AE615" s="124"/>
      <c r="AF615" s="124"/>
      <c r="AG615" s="124"/>
      <c r="AH615" s="124"/>
      <c r="AI615" s="124"/>
      <c r="AJ615" s="124"/>
      <c r="AK615" s="124"/>
      <c r="AL615" s="124"/>
      <c r="AM615" s="124"/>
      <c r="AN615" s="124"/>
      <c r="AO615" s="124"/>
      <c r="AP615" s="124"/>
      <c r="AQ615" s="124"/>
    </row>
    <row r="616" spans="1:43" customFormat="1" ht="12.75" hidden="1" thickBot="1">
      <c r="A616" s="25" t="s">
        <v>1220</v>
      </c>
      <c r="B616" s="25" t="s">
        <v>244</v>
      </c>
      <c r="C616" s="25" t="s">
        <v>938</v>
      </c>
      <c r="D616" s="693" t="s">
        <v>498</v>
      </c>
      <c r="E616" s="26">
        <v>98715</v>
      </c>
      <c r="F616" s="27"/>
      <c r="G616" s="28">
        <v>12679.48</v>
      </c>
      <c r="H616" s="27"/>
      <c r="I616" s="27"/>
      <c r="J616" s="27"/>
      <c r="K616" s="27"/>
      <c r="L616" s="27"/>
      <c r="M616" s="28">
        <v>301.72000000000003</v>
      </c>
      <c r="N616" s="28">
        <v>383.95</v>
      </c>
      <c r="O616" s="27"/>
      <c r="P616" s="27"/>
      <c r="Q616" s="28">
        <v>0</v>
      </c>
      <c r="R616" s="28">
        <v>13365.15</v>
      </c>
      <c r="S616" s="142">
        <f t="shared" si="79"/>
        <v>12679.48</v>
      </c>
      <c r="T616" s="142">
        <f t="shared" si="80"/>
        <v>0</v>
      </c>
      <c r="U616" s="142">
        <f t="shared" si="81"/>
        <v>383.95</v>
      </c>
      <c r="W616" s="601">
        <f t="shared" si="82"/>
        <v>13365.15</v>
      </c>
      <c r="X616" s="601">
        <f t="shared" si="83"/>
        <v>0</v>
      </c>
      <c r="Y616" s="123"/>
      <c r="Z616" s="692">
        <f t="shared" si="78"/>
        <v>12679.48</v>
      </c>
      <c r="AA616" s="124"/>
      <c r="AB616" s="124"/>
      <c r="AC616" s="124"/>
      <c r="AD616" s="124"/>
      <c r="AE616" s="124"/>
      <c r="AF616" s="124"/>
      <c r="AG616" s="124"/>
      <c r="AH616" s="124"/>
      <c r="AI616" s="124"/>
      <c r="AJ616" s="124"/>
      <c r="AK616" s="124"/>
      <c r="AL616" s="124"/>
      <c r="AM616" s="124"/>
      <c r="AN616" s="124"/>
      <c r="AO616" s="124"/>
      <c r="AP616" s="124"/>
      <c r="AQ616" s="124"/>
    </row>
    <row r="617" spans="1:43" customFormat="1" ht="12.75" hidden="1" thickBot="1">
      <c r="A617" s="25" t="s">
        <v>1220</v>
      </c>
      <c r="B617" s="25" t="s">
        <v>245</v>
      </c>
      <c r="C617" s="25" t="s">
        <v>939</v>
      </c>
      <c r="D617" s="693" t="s">
        <v>498</v>
      </c>
      <c r="E617" s="29">
        <v>99596</v>
      </c>
      <c r="F617" s="30"/>
      <c r="G617" s="31">
        <v>25632.33</v>
      </c>
      <c r="H617" s="30"/>
      <c r="I617" s="30"/>
      <c r="J617" s="30"/>
      <c r="K617" s="30"/>
      <c r="L617" s="30"/>
      <c r="M617" s="31">
        <v>281.27999999999997</v>
      </c>
      <c r="N617" s="31">
        <v>740.46</v>
      </c>
      <c r="O617" s="30"/>
      <c r="P617" s="30"/>
      <c r="Q617" s="31">
        <v>0</v>
      </c>
      <c r="R617" s="31">
        <v>26654.07</v>
      </c>
      <c r="S617" s="142">
        <f t="shared" si="79"/>
        <v>25632.33</v>
      </c>
      <c r="T617" s="142">
        <f t="shared" si="80"/>
        <v>0</v>
      </c>
      <c r="U617" s="142">
        <f t="shared" si="81"/>
        <v>740.46</v>
      </c>
      <c r="W617" s="601">
        <f t="shared" si="82"/>
        <v>26654.07</v>
      </c>
      <c r="X617" s="601">
        <f t="shared" si="83"/>
        <v>0</v>
      </c>
      <c r="Y617" s="123"/>
      <c r="Z617" s="692">
        <f t="shared" ref="Z617:Z675" si="84">SUM(F617:K617)</f>
        <v>25632.33</v>
      </c>
      <c r="AA617" s="124"/>
      <c r="AB617" s="124"/>
      <c r="AC617" s="124"/>
      <c r="AD617" s="124"/>
      <c r="AE617" s="124"/>
      <c r="AF617" s="124"/>
      <c r="AG617" s="124"/>
      <c r="AH617" s="124"/>
      <c r="AI617" s="124"/>
      <c r="AJ617" s="124"/>
      <c r="AK617" s="124"/>
      <c r="AL617" s="124"/>
      <c r="AM617" s="124"/>
      <c r="AN617" s="124"/>
      <c r="AO617" s="124"/>
      <c r="AP617" s="124"/>
      <c r="AQ617" s="124"/>
    </row>
    <row r="618" spans="1:43" customFormat="1" ht="12.75" hidden="1" thickBot="1">
      <c r="A618" s="25" t="s">
        <v>1220</v>
      </c>
      <c r="B618" s="25" t="s">
        <v>381</v>
      </c>
      <c r="C618" s="25" t="s">
        <v>940</v>
      </c>
      <c r="D618" s="693" t="s">
        <v>498</v>
      </c>
      <c r="E618" s="26">
        <v>13605</v>
      </c>
      <c r="F618" s="27"/>
      <c r="G618" s="28">
        <v>1295.49</v>
      </c>
      <c r="H618" s="27"/>
      <c r="I618" s="27"/>
      <c r="J618" s="27"/>
      <c r="K618" s="27"/>
      <c r="L618" s="27"/>
      <c r="M618" s="28">
        <v>42.16</v>
      </c>
      <c r="N618" s="28">
        <v>39.75</v>
      </c>
      <c r="O618" s="27"/>
      <c r="P618" s="27"/>
      <c r="Q618" s="28">
        <v>0</v>
      </c>
      <c r="R618" s="28">
        <v>1377.4</v>
      </c>
      <c r="S618" s="142">
        <f t="shared" si="79"/>
        <v>1295.49</v>
      </c>
      <c r="T618" s="142">
        <f t="shared" si="80"/>
        <v>0</v>
      </c>
      <c r="U618" s="142">
        <f t="shared" si="81"/>
        <v>39.75</v>
      </c>
      <c r="W618" s="601">
        <f t="shared" si="82"/>
        <v>1377.4</v>
      </c>
      <c r="X618" s="601">
        <f t="shared" si="83"/>
        <v>0</v>
      </c>
      <c r="Y618" s="123"/>
      <c r="Z618" s="692">
        <f t="shared" si="84"/>
        <v>1295.49</v>
      </c>
      <c r="AA618" s="124"/>
      <c r="AB618" s="124"/>
      <c r="AC618" s="124"/>
      <c r="AD618" s="124"/>
      <c r="AE618" s="124"/>
      <c r="AF618" s="124"/>
      <c r="AG618" s="124"/>
      <c r="AH618" s="124"/>
      <c r="AI618" s="124"/>
      <c r="AJ618" s="124"/>
      <c r="AK618" s="124"/>
      <c r="AL618" s="124"/>
      <c r="AM618" s="124"/>
      <c r="AN618" s="124"/>
      <c r="AO618" s="124"/>
      <c r="AP618" s="124"/>
      <c r="AQ618" s="124"/>
    </row>
    <row r="619" spans="1:43" customFormat="1" ht="12.75" hidden="1" thickBot="1">
      <c r="A619" s="25" t="s">
        <v>1220</v>
      </c>
      <c r="B619" s="25" t="s">
        <v>246</v>
      </c>
      <c r="C619" s="25" t="s">
        <v>941</v>
      </c>
      <c r="D619" s="693" t="s">
        <v>498</v>
      </c>
      <c r="E619" s="26">
        <v>106324</v>
      </c>
      <c r="F619" s="27"/>
      <c r="G619" s="28">
        <v>10367.040000000001</v>
      </c>
      <c r="H619" s="27"/>
      <c r="I619" s="27"/>
      <c r="J619" s="27"/>
      <c r="K619" s="27"/>
      <c r="L619" s="27"/>
      <c r="M619" s="28">
        <v>330.83</v>
      </c>
      <c r="N619" s="28">
        <v>318.3</v>
      </c>
      <c r="O619" s="27"/>
      <c r="P619" s="27"/>
      <c r="Q619" s="28">
        <v>0</v>
      </c>
      <c r="R619" s="28">
        <v>11016.17</v>
      </c>
      <c r="S619" s="142">
        <f t="shared" si="79"/>
        <v>10367.040000000001</v>
      </c>
      <c r="T619" s="142">
        <f t="shared" si="80"/>
        <v>0</v>
      </c>
      <c r="U619" s="142">
        <f t="shared" si="81"/>
        <v>318.3</v>
      </c>
      <c r="W619" s="601">
        <f t="shared" si="82"/>
        <v>11016.17</v>
      </c>
      <c r="X619" s="601">
        <f t="shared" si="83"/>
        <v>0</v>
      </c>
      <c r="Y619" s="123"/>
      <c r="Z619" s="692">
        <f t="shared" si="84"/>
        <v>10367.040000000001</v>
      </c>
      <c r="AA619" s="124"/>
      <c r="AB619" s="124"/>
      <c r="AC619" s="124"/>
      <c r="AD619" s="124"/>
      <c r="AE619" s="124"/>
      <c r="AF619" s="124"/>
      <c r="AG619" s="124"/>
      <c r="AH619" s="124"/>
      <c r="AI619" s="124"/>
      <c r="AJ619" s="124"/>
      <c r="AK619" s="124"/>
      <c r="AL619" s="124"/>
      <c r="AM619" s="124"/>
      <c r="AN619" s="124"/>
      <c r="AO619" s="124"/>
      <c r="AP619" s="124"/>
      <c r="AQ619" s="124"/>
    </row>
    <row r="620" spans="1:43" customFormat="1" ht="12.75" hidden="1" thickBot="1">
      <c r="A620" s="25" t="s">
        <v>1220</v>
      </c>
      <c r="B620" s="25" t="s">
        <v>252</v>
      </c>
      <c r="C620" s="25" t="s">
        <v>942</v>
      </c>
      <c r="D620" s="693" t="s">
        <v>498</v>
      </c>
      <c r="E620" s="29">
        <v>285968</v>
      </c>
      <c r="F620" s="30"/>
      <c r="G620" s="31">
        <v>50106.22</v>
      </c>
      <c r="H620" s="30"/>
      <c r="I620" s="30"/>
      <c r="J620" s="30"/>
      <c r="K620" s="30"/>
      <c r="L620" s="30"/>
      <c r="M620" s="31">
        <v>766.67</v>
      </c>
      <c r="N620" s="31">
        <v>1423.37</v>
      </c>
      <c r="O620" s="30"/>
      <c r="P620" s="30"/>
      <c r="Q620" s="31">
        <v>0</v>
      </c>
      <c r="R620" s="31">
        <v>52296.26</v>
      </c>
      <c r="S620" s="142">
        <f t="shared" si="79"/>
        <v>50106.22</v>
      </c>
      <c r="T620" s="142">
        <f t="shared" si="80"/>
        <v>0</v>
      </c>
      <c r="U620" s="142">
        <f t="shared" si="81"/>
        <v>1423.37</v>
      </c>
      <c r="W620" s="601">
        <f t="shared" si="82"/>
        <v>52296.26</v>
      </c>
      <c r="X620" s="601">
        <f t="shared" si="83"/>
        <v>0</v>
      </c>
      <c r="Y620" s="123"/>
      <c r="Z620" s="692">
        <f t="shared" si="84"/>
        <v>50106.22</v>
      </c>
      <c r="AA620" s="124"/>
      <c r="AB620" s="124"/>
      <c r="AC620" s="124"/>
      <c r="AD620" s="124"/>
      <c r="AE620" s="124"/>
      <c r="AF620" s="124"/>
      <c r="AG620" s="124"/>
      <c r="AH620" s="124"/>
      <c r="AI620" s="124"/>
      <c r="AJ620" s="124"/>
      <c r="AK620" s="124"/>
      <c r="AL620" s="124"/>
      <c r="AM620" s="124"/>
      <c r="AN620" s="124"/>
      <c r="AO620" s="124"/>
      <c r="AP620" s="124"/>
      <c r="AQ620" s="124"/>
    </row>
    <row r="621" spans="1:43" customFormat="1" ht="12.75" hidden="1" thickBot="1">
      <c r="A621" s="25" t="s">
        <v>1220</v>
      </c>
      <c r="B621" s="25" t="s">
        <v>259</v>
      </c>
      <c r="C621" s="25" t="s">
        <v>260</v>
      </c>
      <c r="D621" s="693" t="s">
        <v>498</v>
      </c>
      <c r="E621" s="26">
        <v>0</v>
      </c>
      <c r="F621" s="27"/>
      <c r="G621" s="28">
        <v>0</v>
      </c>
      <c r="H621" s="27"/>
      <c r="I621" s="27"/>
      <c r="J621" s="27"/>
      <c r="K621" s="27"/>
      <c r="L621" s="27"/>
      <c r="M621" s="28">
        <v>0</v>
      </c>
      <c r="N621" s="28">
        <v>0</v>
      </c>
      <c r="O621" s="27"/>
      <c r="P621" s="27"/>
      <c r="Q621" s="28">
        <v>0</v>
      </c>
      <c r="R621" s="28">
        <v>0</v>
      </c>
      <c r="S621" s="142">
        <f t="shared" si="79"/>
        <v>0</v>
      </c>
      <c r="T621" s="142">
        <f t="shared" si="80"/>
        <v>0</v>
      </c>
      <c r="U621" s="142">
        <f t="shared" si="81"/>
        <v>0</v>
      </c>
      <c r="W621" s="601">
        <f t="shared" si="82"/>
        <v>0</v>
      </c>
      <c r="X621" s="601">
        <f t="shared" si="83"/>
        <v>0</v>
      </c>
      <c r="Y621" s="123"/>
      <c r="Z621" s="692">
        <f t="shared" si="84"/>
        <v>0</v>
      </c>
      <c r="AA621" s="124"/>
      <c r="AB621" s="124"/>
      <c r="AC621" s="124"/>
      <c r="AD621" s="124"/>
      <c r="AE621" s="124"/>
      <c r="AF621" s="124"/>
      <c r="AG621" s="124"/>
      <c r="AH621" s="124"/>
      <c r="AI621" s="124"/>
      <c r="AJ621" s="124"/>
      <c r="AK621" s="124"/>
      <c r="AL621" s="124"/>
      <c r="AM621" s="124"/>
      <c r="AN621" s="124"/>
      <c r="AO621" s="124"/>
      <c r="AP621" s="124"/>
      <c r="AQ621" s="124"/>
    </row>
    <row r="622" spans="1:43" customFormat="1" ht="12.75" hidden="1" thickBot="1">
      <c r="A622" s="25" t="s">
        <v>1220</v>
      </c>
      <c r="B622" s="25" t="s">
        <v>261</v>
      </c>
      <c r="C622" s="25" t="s">
        <v>262</v>
      </c>
      <c r="D622" s="693" t="s">
        <v>498</v>
      </c>
      <c r="E622" s="29">
        <v>0</v>
      </c>
      <c r="F622" s="30"/>
      <c r="G622" s="31">
        <v>0</v>
      </c>
      <c r="H622" s="30"/>
      <c r="I622" s="30"/>
      <c r="J622" s="30"/>
      <c r="K622" s="30"/>
      <c r="L622" s="30"/>
      <c r="M622" s="31">
        <v>0</v>
      </c>
      <c r="N622" s="31">
        <v>0</v>
      </c>
      <c r="O622" s="30"/>
      <c r="P622" s="30"/>
      <c r="Q622" s="31">
        <v>0</v>
      </c>
      <c r="R622" s="31">
        <v>0</v>
      </c>
      <c r="S622" s="142">
        <f t="shared" si="79"/>
        <v>0</v>
      </c>
      <c r="T622" s="142">
        <f t="shared" si="80"/>
        <v>0</v>
      </c>
      <c r="U622" s="142">
        <f t="shared" si="81"/>
        <v>0</v>
      </c>
      <c r="W622" s="601">
        <f t="shared" si="82"/>
        <v>0</v>
      </c>
      <c r="X622" s="601">
        <f t="shared" si="83"/>
        <v>0</v>
      </c>
      <c r="Y622" s="123"/>
      <c r="Z622" s="692">
        <f t="shared" si="84"/>
        <v>0</v>
      </c>
      <c r="AA622" s="124"/>
      <c r="AB622" s="124"/>
      <c r="AC622" s="124"/>
      <c r="AD622" s="124"/>
      <c r="AE622" s="124"/>
      <c r="AF622" s="124"/>
      <c r="AG622" s="124"/>
      <c r="AH622" s="124"/>
      <c r="AI622" s="124"/>
      <c r="AJ622" s="124"/>
      <c r="AK622" s="124"/>
      <c r="AL622" s="124"/>
      <c r="AM622" s="124"/>
      <c r="AN622" s="124"/>
      <c r="AO622" s="124"/>
      <c r="AP622" s="124"/>
      <c r="AQ622" s="124"/>
    </row>
    <row r="623" spans="1:43" customFormat="1" ht="12.75" hidden="1" thickBot="1">
      <c r="A623" s="25" t="s">
        <v>1220</v>
      </c>
      <c r="B623" s="25" t="s">
        <v>263</v>
      </c>
      <c r="C623" s="25" t="s">
        <v>943</v>
      </c>
      <c r="D623" s="693" t="s">
        <v>498</v>
      </c>
      <c r="E623" s="26">
        <v>278047</v>
      </c>
      <c r="F623" s="27"/>
      <c r="G623" s="28">
        <v>92764.62</v>
      </c>
      <c r="H623" s="27"/>
      <c r="I623" s="27"/>
      <c r="J623" s="27"/>
      <c r="K623" s="27"/>
      <c r="L623" s="27"/>
      <c r="M623" s="28">
        <v>689.59</v>
      </c>
      <c r="N623" s="28">
        <v>2539.44</v>
      </c>
      <c r="O623" s="27"/>
      <c r="P623" s="27"/>
      <c r="Q623" s="28">
        <v>0</v>
      </c>
      <c r="R623" s="28">
        <v>95993.65</v>
      </c>
      <c r="S623" s="142">
        <f t="shared" si="79"/>
        <v>92764.62</v>
      </c>
      <c r="T623" s="142">
        <f t="shared" si="80"/>
        <v>0</v>
      </c>
      <c r="U623" s="142">
        <f t="shared" si="81"/>
        <v>2539.44</v>
      </c>
      <c r="W623" s="601">
        <f t="shared" si="82"/>
        <v>95993.65</v>
      </c>
      <c r="X623" s="601">
        <f t="shared" si="83"/>
        <v>0</v>
      </c>
      <c r="Y623" s="123"/>
      <c r="Z623" s="692">
        <f t="shared" si="84"/>
        <v>92764.62</v>
      </c>
      <c r="AA623" s="124"/>
      <c r="AB623" s="124"/>
      <c r="AC623" s="124"/>
      <c r="AD623" s="124"/>
      <c r="AE623" s="124"/>
      <c r="AF623" s="124"/>
      <c r="AG623" s="124"/>
      <c r="AH623" s="124"/>
      <c r="AI623" s="124"/>
      <c r="AJ623" s="124"/>
      <c r="AK623" s="124"/>
      <c r="AL623" s="124"/>
      <c r="AM623" s="124"/>
      <c r="AN623" s="124"/>
      <c r="AO623" s="124"/>
      <c r="AP623" s="124"/>
      <c r="AQ623" s="124"/>
    </row>
    <row r="624" spans="1:43" customFormat="1" ht="12.75" hidden="1" thickBot="1">
      <c r="A624" s="25" t="s">
        <v>1220</v>
      </c>
      <c r="B624" s="25" t="s">
        <v>264</v>
      </c>
      <c r="C624" s="25" t="s">
        <v>944</v>
      </c>
      <c r="D624" s="693" t="s">
        <v>498</v>
      </c>
      <c r="E624" s="29">
        <v>364700</v>
      </c>
      <c r="F624" s="30"/>
      <c r="G624" s="31">
        <v>86921.69</v>
      </c>
      <c r="H624" s="30"/>
      <c r="I624" s="30"/>
      <c r="J624" s="30"/>
      <c r="K624" s="30"/>
      <c r="L624" s="30"/>
      <c r="M624" s="31">
        <v>1048.1600000000001</v>
      </c>
      <c r="N624" s="31">
        <v>2531.62</v>
      </c>
      <c r="O624" s="30"/>
      <c r="P624" s="30"/>
      <c r="Q624" s="31">
        <v>0</v>
      </c>
      <c r="R624" s="31">
        <v>90501.47</v>
      </c>
      <c r="S624" s="142">
        <f t="shared" si="79"/>
        <v>86921.69</v>
      </c>
      <c r="T624" s="142">
        <f t="shared" si="80"/>
        <v>0</v>
      </c>
      <c r="U624" s="142">
        <f t="shared" si="81"/>
        <v>2531.62</v>
      </c>
      <c r="W624" s="601">
        <f t="shared" si="82"/>
        <v>90501.47</v>
      </c>
      <c r="X624" s="601">
        <f t="shared" si="83"/>
        <v>0</v>
      </c>
      <c r="Y624" s="123"/>
      <c r="Z624" s="692">
        <f t="shared" si="84"/>
        <v>86921.69</v>
      </c>
      <c r="AA624" s="124"/>
      <c r="AB624" s="124"/>
      <c r="AC624" s="124"/>
      <c r="AD624" s="124"/>
      <c r="AE624" s="124"/>
      <c r="AF624" s="124"/>
      <c r="AG624" s="124"/>
      <c r="AH624" s="124"/>
      <c r="AI624" s="124"/>
      <c r="AJ624" s="124"/>
      <c r="AK624" s="124"/>
      <c r="AL624" s="124"/>
      <c r="AM624" s="124"/>
      <c r="AN624" s="124"/>
      <c r="AO624" s="124"/>
      <c r="AP624" s="124"/>
      <c r="AQ624" s="124"/>
    </row>
    <row r="625" spans="1:43" customFormat="1" ht="12.75" hidden="1" thickBot="1">
      <c r="A625" s="25" t="s">
        <v>1220</v>
      </c>
      <c r="B625" s="25" t="s">
        <v>267</v>
      </c>
      <c r="C625" s="25" t="s">
        <v>945</v>
      </c>
      <c r="D625" s="693" t="s">
        <v>498</v>
      </c>
      <c r="E625" s="26">
        <v>682605</v>
      </c>
      <c r="F625" s="27"/>
      <c r="G625" s="28">
        <v>304007.13</v>
      </c>
      <c r="H625" s="27"/>
      <c r="I625" s="27"/>
      <c r="J625" s="27"/>
      <c r="K625" s="27"/>
      <c r="L625" s="27"/>
      <c r="M625" s="28">
        <v>2106.9</v>
      </c>
      <c r="N625" s="28">
        <v>9082.81</v>
      </c>
      <c r="O625" s="27"/>
      <c r="P625" s="27"/>
      <c r="Q625" s="28">
        <v>0</v>
      </c>
      <c r="R625" s="28">
        <v>315196.84000000003</v>
      </c>
      <c r="S625" s="142">
        <f t="shared" si="79"/>
        <v>304007.13</v>
      </c>
      <c r="T625" s="142">
        <f t="shared" si="80"/>
        <v>0</v>
      </c>
      <c r="U625" s="142">
        <f t="shared" si="81"/>
        <v>9082.81</v>
      </c>
      <c r="W625" s="601">
        <f t="shared" si="82"/>
        <v>315196.84000000003</v>
      </c>
      <c r="X625" s="601">
        <f t="shared" si="83"/>
        <v>0</v>
      </c>
      <c r="Y625" s="123"/>
      <c r="Z625" s="692">
        <f t="shared" si="84"/>
        <v>304007.13</v>
      </c>
      <c r="AA625" s="124"/>
      <c r="AB625" s="124"/>
      <c r="AC625" s="124"/>
      <c r="AD625" s="124"/>
      <c r="AE625" s="124"/>
      <c r="AF625" s="124"/>
      <c r="AG625" s="124"/>
      <c r="AH625" s="124"/>
      <c r="AI625" s="124"/>
      <c r="AJ625" s="124"/>
      <c r="AK625" s="124"/>
      <c r="AL625" s="124"/>
      <c r="AM625" s="124"/>
      <c r="AN625" s="124"/>
      <c r="AO625" s="124"/>
      <c r="AP625" s="124"/>
      <c r="AQ625" s="124"/>
    </row>
    <row r="626" spans="1:43" customFormat="1" ht="12.75" hidden="1" thickBot="1">
      <c r="A626" s="25" t="s">
        <v>1220</v>
      </c>
      <c r="B626" s="25" t="s">
        <v>392</v>
      </c>
      <c r="C626" s="25" t="s">
        <v>946</v>
      </c>
      <c r="D626" s="693" t="s">
        <v>498</v>
      </c>
      <c r="E626" s="29">
        <v>33140</v>
      </c>
      <c r="F626" s="30"/>
      <c r="G626" s="31">
        <v>15058.45</v>
      </c>
      <c r="H626" s="30"/>
      <c r="I626" s="30"/>
      <c r="J626" s="30"/>
      <c r="K626" s="30"/>
      <c r="L626" s="30"/>
      <c r="M626" s="31">
        <v>90.31</v>
      </c>
      <c r="N626" s="31">
        <v>426.12</v>
      </c>
      <c r="O626" s="30"/>
      <c r="P626" s="30"/>
      <c r="Q626" s="31">
        <v>0</v>
      </c>
      <c r="R626" s="31">
        <v>15574.88</v>
      </c>
      <c r="S626" s="142">
        <f t="shared" si="79"/>
        <v>15058.45</v>
      </c>
      <c r="T626" s="142">
        <f t="shared" si="80"/>
        <v>0</v>
      </c>
      <c r="U626" s="142">
        <f t="shared" si="81"/>
        <v>426.12</v>
      </c>
      <c r="W626" s="601">
        <f t="shared" si="82"/>
        <v>15574.880000000001</v>
      </c>
      <c r="X626" s="601">
        <f t="shared" si="83"/>
        <v>0</v>
      </c>
      <c r="Y626" s="123"/>
      <c r="Z626" s="692">
        <f t="shared" si="84"/>
        <v>15058.45</v>
      </c>
      <c r="AA626" s="124"/>
      <c r="AB626" s="124"/>
      <c r="AC626" s="124"/>
      <c r="AD626" s="124"/>
      <c r="AE626" s="124"/>
      <c r="AF626" s="124"/>
      <c r="AG626" s="124"/>
      <c r="AH626" s="124"/>
      <c r="AI626" s="124"/>
      <c r="AJ626" s="124"/>
      <c r="AK626" s="124"/>
      <c r="AL626" s="124"/>
      <c r="AM626" s="124"/>
      <c r="AN626" s="124"/>
      <c r="AO626" s="124"/>
      <c r="AP626" s="124"/>
      <c r="AQ626" s="124"/>
    </row>
    <row r="627" spans="1:43" customFormat="1" ht="12.75" hidden="1" thickBot="1">
      <c r="A627" s="25" t="s">
        <v>1220</v>
      </c>
      <c r="B627" s="25" t="s">
        <v>268</v>
      </c>
      <c r="C627" s="25" t="s">
        <v>947</v>
      </c>
      <c r="D627" s="693" t="s">
        <v>498</v>
      </c>
      <c r="E627" s="26">
        <v>39634</v>
      </c>
      <c r="F627" s="27"/>
      <c r="G627" s="28">
        <v>19224.82</v>
      </c>
      <c r="H627" s="27"/>
      <c r="I627" s="27"/>
      <c r="J627" s="27"/>
      <c r="K627" s="27"/>
      <c r="L627" s="27"/>
      <c r="M627" s="28">
        <v>124.56</v>
      </c>
      <c r="N627" s="28">
        <v>578.85</v>
      </c>
      <c r="O627" s="27"/>
      <c r="P627" s="27"/>
      <c r="Q627" s="28">
        <v>0</v>
      </c>
      <c r="R627" s="28">
        <v>19928.23</v>
      </c>
      <c r="S627" s="142">
        <f t="shared" si="79"/>
        <v>19224.82</v>
      </c>
      <c r="T627" s="142">
        <f t="shared" si="80"/>
        <v>0</v>
      </c>
      <c r="U627" s="142">
        <f t="shared" si="81"/>
        <v>578.85</v>
      </c>
      <c r="W627" s="601">
        <f t="shared" si="82"/>
        <v>19928.23</v>
      </c>
      <c r="X627" s="601">
        <f t="shared" si="83"/>
        <v>0</v>
      </c>
      <c r="Y627" s="123"/>
      <c r="Z627" s="692">
        <f t="shared" si="84"/>
        <v>19224.82</v>
      </c>
      <c r="AA627" s="124"/>
      <c r="AB627" s="124"/>
      <c r="AC627" s="124"/>
      <c r="AD627" s="124"/>
      <c r="AE627" s="124"/>
      <c r="AF627" s="124"/>
      <c r="AG627" s="124"/>
      <c r="AH627" s="124"/>
      <c r="AI627" s="124"/>
      <c r="AJ627" s="124"/>
      <c r="AK627" s="124"/>
      <c r="AL627" s="124"/>
      <c r="AM627" s="124"/>
      <c r="AN627" s="124"/>
      <c r="AO627" s="124"/>
      <c r="AP627" s="124"/>
      <c r="AQ627" s="124"/>
    </row>
    <row r="628" spans="1:43" customFormat="1" ht="12.75" hidden="1" thickBot="1">
      <c r="A628" s="25" t="s">
        <v>1220</v>
      </c>
      <c r="B628" s="25" t="s">
        <v>269</v>
      </c>
      <c r="C628" s="25" t="s">
        <v>948</v>
      </c>
      <c r="D628" s="693" t="s">
        <v>498</v>
      </c>
      <c r="E628" s="29">
        <v>135188</v>
      </c>
      <c r="F628" s="30"/>
      <c r="G628" s="31">
        <v>56370.33</v>
      </c>
      <c r="H628" s="30"/>
      <c r="I628" s="30"/>
      <c r="J628" s="30"/>
      <c r="K628" s="30"/>
      <c r="L628" s="30"/>
      <c r="M628" s="31">
        <v>407.1</v>
      </c>
      <c r="N628" s="31">
        <v>1666.24</v>
      </c>
      <c r="O628" s="30"/>
      <c r="P628" s="30"/>
      <c r="Q628" s="31">
        <v>0</v>
      </c>
      <c r="R628" s="31">
        <v>58443.67</v>
      </c>
      <c r="S628" s="142">
        <f t="shared" si="79"/>
        <v>56370.33</v>
      </c>
      <c r="T628" s="142">
        <f t="shared" si="80"/>
        <v>0</v>
      </c>
      <c r="U628" s="142">
        <f t="shared" si="81"/>
        <v>1666.24</v>
      </c>
      <c r="W628" s="601">
        <f t="shared" si="82"/>
        <v>58443.67</v>
      </c>
      <c r="X628" s="601">
        <f t="shared" si="83"/>
        <v>0</v>
      </c>
      <c r="Y628" s="123"/>
      <c r="Z628" s="692">
        <f t="shared" si="84"/>
        <v>56370.33</v>
      </c>
      <c r="AA628" s="124"/>
      <c r="AB628" s="124"/>
      <c r="AC628" s="124"/>
      <c r="AD628" s="124"/>
      <c r="AE628" s="124"/>
      <c r="AF628" s="124"/>
      <c r="AG628" s="124"/>
      <c r="AH628" s="124"/>
      <c r="AI628" s="124"/>
      <c r="AJ628" s="124"/>
      <c r="AK628" s="124"/>
      <c r="AL628" s="124"/>
      <c r="AM628" s="124"/>
      <c r="AN628" s="124"/>
      <c r="AO628" s="124"/>
      <c r="AP628" s="124"/>
      <c r="AQ628" s="124"/>
    </row>
    <row r="629" spans="1:43" customFormat="1" ht="12.75" hidden="1" thickBot="1">
      <c r="A629" s="25" t="s">
        <v>1220</v>
      </c>
      <c r="B629" s="25" t="s">
        <v>393</v>
      </c>
      <c r="C629" s="25" t="s">
        <v>949</v>
      </c>
      <c r="D629" s="693" t="s">
        <v>498</v>
      </c>
      <c r="E629" s="26">
        <v>5191</v>
      </c>
      <c r="F629" s="27"/>
      <c r="G629" s="28">
        <v>1233.3499999999999</v>
      </c>
      <c r="H629" s="27"/>
      <c r="I629" s="27"/>
      <c r="J629" s="27"/>
      <c r="K629" s="27"/>
      <c r="L629" s="27"/>
      <c r="M629" s="28">
        <v>16.45</v>
      </c>
      <c r="N629" s="28">
        <v>37.49</v>
      </c>
      <c r="O629" s="27"/>
      <c r="P629" s="27"/>
      <c r="Q629" s="28">
        <v>0</v>
      </c>
      <c r="R629" s="28">
        <v>1287.29</v>
      </c>
      <c r="S629" s="142">
        <f t="shared" si="79"/>
        <v>1233.3499999999999</v>
      </c>
      <c r="T629" s="142">
        <f t="shared" si="80"/>
        <v>0</v>
      </c>
      <c r="U629" s="142">
        <f t="shared" si="81"/>
        <v>37.49</v>
      </c>
      <c r="W629" s="601">
        <f t="shared" si="82"/>
        <v>1287.29</v>
      </c>
      <c r="X629" s="601">
        <f t="shared" si="83"/>
        <v>0</v>
      </c>
      <c r="Y629" s="123"/>
      <c r="Z629" s="692">
        <f t="shared" si="84"/>
        <v>1233.3499999999999</v>
      </c>
      <c r="AA629" s="124"/>
      <c r="AB629" s="124"/>
      <c r="AC629" s="124"/>
      <c r="AD629" s="124"/>
      <c r="AE629" s="124"/>
      <c r="AF629" s="124"/>
      <c r="AG629" s="124"/>
      <c r="AH629" s="124"/>
      <c r="AI629" s="124"/>
      <c r="AJ629" s="124"/>
      <c r="AK629" s="124"/>
      <c r="AL629" s="124"/>
      <c r="AM629" s="124"/>
      <c r="AN629" s="124"/>
      <c r="AO629" s="124"/>
      <c r="AP629" s="124"/>
      <c r="AQ629" s="124"/>
    </row>
    <row r="630" spans="1:43" customFormat="1" ht="12.75" hidden="1" thickBot="1">
      <c r="A630" s="25" t="s">
        <v>1220</v>
      </c>
      <c r="B630" s="25" t="s">
        <v>394</v>
      </c>
      <c r="C630" s="25" t="s">
        <v>950</v>
      </c>
      <c r="D630" s="693" t="s">
        <v>498</v>
      </c>
      <c r="E630" s="29">
        <v>3390</v>
      </c>
      <c r="F630" s="30"/>
      <c r="G630" s="31">
        <v>455.73</v>
      </c>
      <c r="H630" s="30"/>
      <c r="I630" s="30"/>
      <c r="J630" s="30"/>
      <c r="K630" s="30"/>
      <c r="L630" s="30"/>
      <c r="M630" s="31">
        <v>10.74</v>
      </c>
      <c r="N630" s="31">
        <v>14.01</v>
      </c>
      <c r="O630" s="30"/>
      <c r="P630" s="30"/>
      <c r="Q630" s="31">
        <v>0</v>
      </c>
      <c r="R630" s="31">
        <v>480.48</v>
      </c>
      <c r="S630" s="142">
        <f t="shared" si="79"/>
        <v>455.73</v>
      </c>
      <c r="T630" s="142">
        <f t="shared" si="80"/>
        <v>0</v>
      </c>
      <c r="U630" s="142">
        <f t="shared" si="81"/>
        <v>14.01</v>
      </c>
      <c r="W630" s="601">
        <f t="shared" si="82"/>
        <v>480.48</v>
      </c>
      <c r="X630" s="601">
        <f t="shared" si="83"/>
        <v>0</v>
      </c>
      <c r="Y630" s="123"/>
      <c r="Z630" s="692">
        <f t="shared" si="84"/>
        <v>455.73</v>
      </c>
      <c r="AA630" s="124"/>
      <c r="AB630" s="124"/>
      <c r="AC630" s="124"/>
      <c r="AD630" s="124"/>
      <c r="AE630" s="124"/>
      <c r="AF630" s="124"/>
      <c r="AG630" s="124"/>
      <c r="AH630" s="124"/>
      <c r="AI630" s="124"/>
      <c r="AJ630" s="124"/>
      <c r="AK630" s="124"/>
      <c r="AL630" s="124"/>
      <c r="AM630" s="124"/>
      <c r="AN630" s="124"/>
      <c r="AO630" s="124"/>
      <c r="AP630" s="124"/>
      <c r="AQ630" s="124"/>
    </row>
    <row r="631" spans="1:43" customFormat="1" ht="12.75" hidden="1" thickBot="1">
      <c r="A631" s="25" t="s">
        <v>1220</v>
      </c>
      <c r="B631" s="25" t="s">
        <v>398</v>
      </c>
      <c r="C631" s="25" t="s">
        <v>951</v>
      </c>
      <c r="D631" s="693" t="s">
        <v>498</v>
      </c>
      <c r="E631" s="26">
        <v>1372</v>
      </c>
      <c r="F631" s="27"/>
      <c r="G631" s="28">
        <v>1626.54</v>
      </c>
      <c r="H631" s="27"/>
      <c r="I631" s="27"/>
      <c r="J631" s="27"/>
      <c r="K631" s="27"/>
      <c r="L631" s="27"/>
      <c r="M631" s="28">
        <v>4.3600000000000003</v>
      </c>
      <c r="N631" s="28">
        <v>48.94</v>
      </c>
      <c r="O631" s="27"/>
      <c r="P631" s="27"/>
      <c r="Q631" s="28">
        <v>0</v>
      </c>
      <c r="R631" s="28">
        <v>1679.84</v>
      </c>
      <c r="S631" s="142">
        <f t="shared" ref="S631:S690" si="85">G631+H631+I631</f>
        <v>1626.54</v>
      </c>
      <c r="T631" s="142">
        <f t="shared" ref="T631:T690" si="86">J631+K631</f>
        <v>0</v>
      </c>
      <c r="U631" s="142">
        <f t="shared" ref="U631:U690" si="87">N631+O631</f>
        <v>48.94</v>
      </c>
      <c r="W631" s="601">
        <f t="shared" si="82"/>
        <v>1679.84</v>
      </c>
      <c r="X631" s="601">
        <f t="shared" si="83"/>
        <v>0</v>
      </c>
      <c r="Y631" s="123"/>
      <c r="Z631" s="692">
        <f t="shared" si="84"/>
        <v>1626.54</v>
      </c>
      <c r="AA631" s="124"/>
      <c r="AB631" s="124"/>
      <c r="AC631" s="124"/>
      <c r="AD631" s="124"/>
      <c r="AE631" s="124"/>
      <c r="AF631" s="124"/>
      <c r="AG631" s="124"/>
      <c r="AH631" s="124"/>
      <c r="AI631" s="124"/>
      <c r="AJ631" s="124"/>
      <c r="AK631" s="124"/>
      <c r="AL631" s="124"/>
      <c r="AM631" s="124"/>
      <c r="AN631" s="124"/>
      <c r="AO631" s="124"/>
      <c r="AP631" s="124"/>
      <c r="AQ631" s="124"/>
    </row>
    <row r="632" spans="1:43" customFormat="1" ht="12.75" hidden="1" thickBot="1">
      <c r="A632" s="25" t="s">
        <v>1220</v>
      </c>
      <c r="B632" s="25" t="s">
        <v>395</v>
      </c>
      <c r="C632" s="25" t="s">
        <v>952</v>
      </c>
      <c r="D632" s="693" t="s">
        <v>498</v>
      </c>
      <c r="E632" s="29">
        <v>9535</v>
      </c>
      <c r="F632" s="30"/>
      <c r="G632" s="31">
        <v>8762.57</v>
      </c>
      <c r="H632" s="30"/>
      <c r="I632" s="30"/>
      <c r="J632" s="30"/>
      <c r="K632" s="30"/>
      <c r="L632" s="30"/>
      <c r="M632" s="31">
        <v>30.25</v>
      </c>
      <c r="N632" s="31">
        <v>263.8</v>
      </c>
      <c r="O632" s="30"/>
      <c r="P632" s="30"/>
      <c r="Q632" s="31">
        <v>0</v>
      </c>
      <c r="R632" s="31">
        <v>9056.6200000000008</v>
      </c>
      <c r="S632" s="142">
        <f t="shared" si="85"/>
        <v>8762.57</v>
      </c>
      <c r="T632" s="142">
        <f t="shared" si="86"/>
        <v>0</v>
      </c>
      <c r="U632" s="142">
        <f t="shared" si="87"/>
        <v>263.8</v>
      </c>
      <c r="W632" s="601">
        <f t="shared" si="82"/>
        <v>9056.619999999999</v>
      </c>
      <c r="X632" s="601">
        <f t="shared" si="83"/>
        <v>0</v>
      </c>
      <c r="Y632" s="123"/>
      <c r="Z632" s="692">
        <f t="shared" si="84"/>
        <v>8762.57</v>
      </c>
      <c r="AA632" s="124"/>
      <c r="AB632" s="124"/>
      <c r="AC632" s="124"/>
      <c r="AD632" s="124"/>
      <c r="AE632" s="124"/>
      <c r="AF632" s="124"/>
      <c r="AG632" s="124"/>
      <c r="AH632" s="124"/>
      <c r="AI632" s="124"/>
      <c r="AJ632" s="124"/>
      <c r="AK632" s="124"/>
      <c r="AL632" s="124"/>
      <c r="AM632" s="124"/>
      <c r="AN632" s="124"/>
      <c r="AO632" s="124"/>
      <c r="AP632" s="124"/>
      <c r="AQ632" s="124"/>
    </row>
    <row r="633" spans="1:43" customFormat="1" ht="12.75" hidden="1" thickBot="1">
      <c r="A633" s="25" t="s">
        <v>1220</v>
      </c>
      <c r="B633" s="25" t="s">
        <v>396</v>
      </c>
      <c r="C633" s="25" t="s">
        <v>953</v>
      </c>
      <c r="D633" s="693" t="s">
        <v>498</v>
      </c>
      <c r="E633" s="26">
        <v>3154</v>
      </c>
      <c r="F633" s="27"/>
      <c r="G633" s="28">
        <v>3059.79</v>
      </c>
      <c r="H633" s="27"/>
      <c r="I633" s="27"/>
      <c r="J633" s="27"/>
      <c r="K633" s="27"/>
      <c r="L633" s="27"/>
      <c r="M633" s="28">
        <v>9.99</v>
      </c>
      <c r="N633" s="28">
        <v>92.08</v>
      </c>
      <c r="O633" s="27"/>
      <c r="P633" s="27"/>
      <c r="Q633" s="28">
        <v>0</v>
      </c>
      <c r="R633" s="28">
        <v>3161.86</v>
      </c>
      <c r="S633" s="142">
        <f t="shared" si="85"/>
        <v>3059.79</v>
      </c>
      <c r="T633" s="142">
        <f t="shared" si="86"/>
        <v>0</v>
      </c>
      <c r="U633" s="142">
        <f t="shared" si="87"/>
        <v>92.08</v>
      </c>
      <c r="W633" s="601">
        <f t="shared" si="82"/>
        <v>3161.8599999999997</v>
      </c>
      <c r="X633" s="601">
        <f t="shared" si="83"/>
        <v>0</v>
      </c>
      <c r="Y633" s="123"/>
      <c r="Z633" s="692">
        <f t="shared" si="84"/>
        <v>3059.79</v>
      </c>
      <c r="AA633" s="124"/>
      <c r="AB633" s="124"/>
      <c r="AC633" s="124"/>
      <c r="AD633" s="124"/>
      <c r="AE633" s="124"/>
      <c r="AF633" s="124"/>
      <c r="AG633" s="124"/>
      <c r="AH633" s="124"/>
      <c r="AI633" s="124"/>
      <c r="AJ633" s="124"/>
      <c r="AK633" s="124"/>
      <c r="AL633" s="124"/>
      <c r="AM633" s="124"/>
      <c r="AN633" s="124"/>
      <c r="AO633" s="124"/>
      <c r="AP633" s="124"/>
      <c r="AQ633" s="124"/>
    </row>
    <row r="634" spans="1:43" customFormat="1" ht="12.75" hidden="1" thickBot="1">
      <c r="A634" s="25" t="s">
        <v>1220</v>
      </c>
      <c r="B634" s="25" t="s">
        <v>397</v>
      </c>
      <c r="C634" s="25" t="s">
        <v>954</v>
      </c>
      <c r="D634" s="693" t="s">
        <v>498</v>
      </c>
      <c r="E634" s="29">
        <v>3038</v>
      </c>
      <c r="F634" s="30"/>
      <c r="G634" s="31">
        <v>2995.01</v>
      </c>
      <c r="H634" s="30"/>
      <c r="I634" s="30"/>
      <c r="J634" s="30"/>
      <c r="K634" s="30"/>
      <c r="L634" s="30"/>
      <c r="M634" s="31">
        <v>9.6199999999999992</v>
      </c>
      <c r="N634" s="31">
        <v>90.16</v>
      </c>
      <c r="O634" s="30"/>
      <c r="P634" s="30"/>
      <c r="Q634" s="31">
        <v>0</v>
      </c>
      <c r="R634" s="31">
        <v>3094.79</v>
      </c>
      <c r="S634" s="142">
        <f t="shared" si="85"/>
        <v>2995.01</v>
      </c>
      <c r="T634" s="142">
        <f t="shared" si="86"/>
        <v>0</v>
      </c>
      <c r="U634" s="142">
        <f t="shared" si="87"/>
        <v>90.16</v>
      </c>
      <c r="W634" s="601">
        <f t="shared" si="82"/>
        <v>3094.79</v>
      </c>
      <c r="X634" s="601">
        <f t="shared" si="83"/>
        <v>0</v>
      </c>
      <c r="Y634" s="123"/>
      <c r="Z634" s="692">
        <f t="shared" si="84"/>
        <v>2995.01</v>
      </c>
      <c r="AA634" s="124"/>
      <c r="AB634" s="124"/>
      <c r="AC634" s="124"/>
      <c r="AD634" s="124"/>
      <c r="AE634" s="124"/>
      <c r="AF634" s="124"/>
      <c r="AG634" s="124"/>
      <c r="AH634" s="124"/>
      <c r="AI634" s="124"/>
      <c r="AJ634" s="124"/>
      <c r="AK634" s="124"/>
      <c r="AL634" s="124"/>
      <c r="AM634" s="124"/>
      <c r="AN634" s="124"/>
      <c r="AO634" s="124"/>
      <c r="AP634" s="124"/>
      <c r="AQ634" s="124"/>
    </row>
    <row r="635" spans="1:43" customFormat="1" ht="12.75" hidden="1" thickBot="1">
      <c r="A635" s="25" t="s">
        <v>1220</v>
      </c>
      <c r="B635" s="25" t="s">
        <v>287</v>
      </c>
      <c r="C635" s="25" t="s">
        <v>955</v>
      </c>
      <c r="D635" s="693" t="s">
        <v>498</v>
      </c>
      <c r="E635" s="26">
        <v>77991</v>
      </c>
      <c r="F635" s="27"/>
      <c r="G635" s="28">
        <v>19126</v>
      </c>
      <c r="H635" s="27"/>
      <c r="I635" s="27"/>
      <c r="J635" s="27"/>
      <c r="K635" s="27"/>
      <c r="L635" s="27"/>
      <c r="M635" s="28">
        <v>184.05</v>
      </c>
      <c r="N635" s="28">
        <v>515.45000000000005</v>
      </c>
      <c r="O635" s="27"/>
      <c r="P635" s="27"/>
      <c r="Q635" s="28">
        <v>0</v>
      </c>
      <c r="R635" s="28">
        <v>19825.5</v>
      </c>
      <c r="S635" s="142">
        <f t="shared" si="85"/>
        <v>19126</v>
      </c>
      <c r="T635" s="142">
        <f t="shared" si="86"/>
        <v>0</v>
      </c>
      <c r="U635" s="142">
        <f t="shared" si="87"/>
        <v>515.45000000000005</v>
      </c>
      <c r="W635" s="601">
        <f t="shared" si="82"/>
        <v>19825.5</v>
      </c>
      <c r="X635" s="601">
        <f t="shared" si="83"/>
        <v>0</v>
      </c>
      <c r="Y635" s="123"/>
      <c r="Z635" s="692">
        <f t="shared" si="84"/>
        <v>19126</v>
      </c>
      <c r="AA635" s="124"/>
      <c r="AB635" s="124"/>
      <c r="AC635" s="124"/>
      <c r="AD635" s="124"/>
      <c r="AE635" s="124"/>
      <c r="AF635" s="124"/>
      <c r="AG635" s="124"/>
      <c r="AH635" s="124"/>
      <c r="AI635" s="124"/>
      <c r="AJ635" s="124"/>
      <c r="AK635" s="124"/>
      <c r="AL635" s="124"/>
      <c r="AM635" s="124"/>
      <c r="AN635" s="124"/>
      <c r="AO635" s="124"/>
      <c r="AP635" s="124"/>
      <c r="AQ635" s="124"/>
    </row>
    <row r="636" spans="1:43" customFormat="1" ht="12.75" hidden="1" thickBot="1">
      <c r="A636" s="25" t="s">
        <v>1220</v>
      </c>
      <c r="B636" s="25" t="s">
        <v>288</v>
      </c>
      <c r="C636" s="25" t="s">
        <v>956</v>
      </c>
      <c r="D636" s="693" t="s">
        <v>498</v>
      </c>
      <c r="E636" s="29">
        <v>120284</v>
      </c>
      <c r="F636" s="30"/>
      <c r="G636" s="31">
        <v>22881.15</v>
      </c>
      <c r="H636" s="30"/>
      <c r="I636" s="30"/>
      <c r="J636" s="30"/>
      <c r="K636" s="30"/>
      <c r="L636" s="30"/>
      <c r="M636" s="31">
        <v>284.86</v>
      </c>
      <c r="N636" s="31">
        <v>619.47</v>
      </c>
      <c r="O636" s="30"/>
      <c r="P636" s="30"/>
      <c r="Q636" s="31">
        <v>0</v>
      </c>
      <c r="R636" s="31">
        <v>23785.48</v>
      </c>
      <c r="S636" s="142">
        <f t="shared" si="85"/>
        <v>22881.15</v>
      </c>
      <c r="T636" s="142">
        <f t="shared" si="86"/>
        <v>0</v>
      </c>
      <c r="U636" s="142">
        <f t="shared" si="87"/>
        <v>619.47</v>
      </c>
      <c r="W636" s="601">
        <f t="shared" si="82"/>
        <v>23785.480000000003</v>
      </c>
      <c r="X636" s="601">
        <f t="shared" si="83"/>
        <v>0</v>
      </c>
      <c r="Y636" s="123"/>
      <c r="Z636" s="692">
        <f t="shared" si="84"/>
        <v>22881.15</v>
      </c>
      <c r="AA636" s="124"/>
      <c r="AB636" s="124"/>
      <c r="AC636" s="124"/>
      <c r="AD636" s="124"/>
      <c r="AE636" s="124"/>
      <c r="AF636" s="124"/>
      <c r="AG636" s="124"/>
      <c r="AH636" s="124"/>
      <c r="AI636" s="124"/>
      <c r="AJ636" s="124"/>
      <c r="AK636" s="124"/>
      <c r="AL636" s="124"/>
      <c r="AM636" s="124"/>
      <c r="AN636" s="124"/>
      <c r="AO636" s="124"/>
      <c r="AP636" s="124"/>
      <c r="AQ636" s="124"/>
    </row>
    <row r="637" spans="1:43" customFormat="1" ht="12.75" hidden="1" thickBot="1">
      <c r="A637" s="25" t="s">
        <v>1220</v>
      </c>
      <c r="B637" s="25" t="s">
        <v>291</v>
      </c>
      <c r="C637" s="25" t="s">
        <v>957</v>
      </c>
      <c r="D637" s="693" t="s">
        <v>498</v>
      </c>
      <c r="E637" s="26">
        <v>5922</v>
      </c>
      <c r="F637" s="27"/>
      <c r="G637" s="28">
        <v>1881.36</v>
      </c>
      <c r="H637" s="27"/>
      <c r="I637" s="27"/>
      <c r="J637" s="27"/>
      <c r="K637" s="27"/>
      <c r="L637" s="27"/>
      <c r="M637" s="28">
        <v>13.88</v>
      </c>
      <c r="N637" s="28">
        <v>50.56</v>
      </c>
      <c r="O637" s="27"/>
      <c r="P637" s="27"/>
      <c r="Q637" s="28">
        <v>0</v>
      </c>
      <c r="R637" s="28">
        <v>1945.8</v>
      </c>
      <c r="S637" s="142">
        <f t="shared" si="85"/>
        <v>1881.36</v>
      </c>
      <c r="T637" s="142">
        <f t="shared" si="86"/>
        <v>0</v>
      </c>
      <c r="U637" s="142">
        <f t="shared" si="87"/>
        <v>50.56</v>
      </c>
      <c r="W637" s="601">
        <f t="shared" si="82"/>
        <v>1945.8</v>
      </c>
      <c r="X637" s="601">
        <f t="shared" si="83"/>
        <v>0</v>
      </c>
      <c r="Y637" s="123"/>
      <c r="Z637" s="692">
        <f t="shared" si="84"/>
        <v>1881.36</v>
      </c>
      <c r="AA637" s="124"/>
      <c r="AB637" s="124"/>
      <c r="AC637" s="124"/>
      <c r="AD637" s="124"/>
      <c r="AE637" s="124"/>
      <c r="AF637" s="124"/>
      <c r="AG637" s="124"/>
      <c r="AH637" s="124"/>
      <c r="AI637" s="124"/>
      <c r="AJ637" s="124"/>
      <c r="AK637" s="124"/>
      <c r="AL637" s="124"/>
      <c r="AM637" s="124"/>
      <c r="AN637" s="124"/>
      <c r="AO637" s="124"/>
      <c r="AP637" s="124"/>
      <c r="AQ637" s="124"/>
    </row>
    <row r="638" spans="1:43" customFormat="1" ht="12.75" hidden="1" thickBot="1">
      <c r="A638" s="25" t="s">
        <v>1220</v>
      </c>
      <c r="B638" s="25" t="s">
        <v>297</v>
      </c>
      <c r="C638" s="25" t="s">
        <v>958</v>
      </c>
      <c r="D638" s="693" t="s">
        <v>498</v>
      </c>
      <c r="E638" s="29">
        <v>6269</v>
      </c>
      <c r="F638" s="30"/>
      <c r="G638" s="31">
        <v>1049.5999999999999</v>
      </c>
      <c r="H638" s="30"/>
      <c r="I638" s="30"/>
      <c r="J638" s="30"/>
      <c r="K638" s="30"/>
      <c r="L638" s="30"/>
      <c r="M638" s="31">
        <v>14.74</v>
      </c>
      <c r="N638" s="31">
        <v>28.37</v>
      </c>
      <c r="O638" s="30"/>
      <c r="P638" s="30"/>
      <c r="Q638" s="31">
        <v>0</v>
      </c>
      <c r="R638" s="31">
        <v>1092.71</v>
      </c>
      <c r="S638" s="142">
        <f t="shared" si="85"/>
        <v>1049.5999999999999</v>
      </c>
      <c r="T638" s="142">
        <f t="shared" si="86"/>
        <v>0</v>
      </c>
      <c r="U638" s="142">
        <f t="shared" si="87"/>
        <v>28.37</v>
      </c>
      <c r="W638" s="601">
        <f t="shared" si="82"/>
        <v>1092.7099999999998</v>
      </c>
      <c r="X638" s="601">
        <f t="shared" si="83"/>
        <v>0</v>
      </c>
      <c r="Y638" s="123"/>
      <c r="Z638" s="692">
        <f t="shared" si="84"/>
        <v>1049.5999999999999</v>
      </c>
      <c r="AA638" s="124"/>
      <c r="AB638" s="124"/>
      <c r="AC638" s="124"/>
      <c r="AD638" s="124"/>
      <c r="AE638" s="124"/>
      <c r="AF638" s="124"/>
      <c r="AG638" s="124"/>
      <c r="AH638" s="124"/>
      <c r="AI638" s="124"/>
      <c r="AJ638" s="124"/>
      <c r="AK638" s="124"/>
      <c r="AL638" s="124"/>
      <c r="AM638" s="124"/>
      <c r="AN638" s="124"/>
      <c r="AO638" s="124"/>
      <c r="AP638" s="124"/>
      <c r="AQ638" s="124"/>
    </row>
    <row r="639" spans="1:43" customFormat="1" ht="12.75" hidden="1" thickBot="1">
      <c r="A639" s="25" t="s">
        <v>1220</v>
      </c>
      <c r="B639" s="25" t="s">
        <v>299</v>
      </c>
      <c r="C639" s="25" t="s">
        <v>959</v>
      </c>
      <c r="D639" s="693" t="s">
        <v>498</v>
      </c>
      <c r="E639" s="26">
        <v>888</v>
      </c>
      <c r="F639" s="27"/>
      <c r="G639" s="28">
        <v>306.68</v>
      </c>
      <c r="H639" s="27"/>
      <c r="I639" s="27"/>
      <c r="J639" s="27"/>
      <c r="K639" s="27"/>
      <c r="L639" s="27"/>
      <c r="M639" s="28">
        <v>2.08</v>
      </c>
      <c r="N639" s="28">
        <v>8.23</v>
      </c>
      <c r="O639" s="27"/>
      <c r="P639" s="27"/>
      <c r="Q639" s="28">
        <v>0</v>
      </c>
      <c r="R639" s="28">
        <v>316.99</v>
      </c>
      <c r="S639" s="142">
        <f t="shared" si="85"/>
        <v>306.68</v>
      </c>
      <c r="T639" s="142">
        <f t="shared" si="86"/>
        <v>0</v>
      </c>
      <c r="U639" s="142">
        <f t="shared" si="87"/>
        <v>8.23</v>
      </c>
      <c r="W639" s="601">
        <f t="shared" si="82"/>
        <v>316.99</v>
      </c>
      <c r="X639" s="601">
        <f t="shared" si="83"/>
        <v>0</v>
      </c>
      <c r="Y639" s="123"/>
      <c r="Z639" s="692">
        <f t="shared" si="84"/>
        <v>306.68</v>
      </c>
      <c r="AA639" s="124"/>
      <c r="AB639" s="124"/>
      <c r="AC639" s="124"/>
      <c r="AD639" s="124"/>
      <c r="AE639" s="124"/>
      <c r="AF639" s="124"/>
      <c r="AG639" s="124"/>
      <c r="AH639" s="124"/>
      <c r="AI639" s="124"/>
      <c r="AJ639" s="124"/>
      <c r="AK639" s="124"/>
      <c r="AL639" s="124"/>
      <c r="AM639" s="124"/>
      <c r="AN639" s="124"/>
      <c r="AO639" s="124"/>
      <c r="AP639" s="124"/>
      <c r="AQ639" s="124"/>
    </row>
    <row r="640" spans="1:43" customFormat="1" ht="12.75" hidden="1" thickBot="1">
      <c r="A640" s="25" t="s">
        <v>1220</v>
      </c>
      <c r="B640" s="25" t="s">
        <v>377</v>
      </c>
      <c r="C640" s="25" t="s">
        <v>960</v>
      </c>
      <c r="D640" s="693" t="s">
        <v>606</v>
      </c>
      <c r="E640" s="29">
        <v>479</v>
      </c>
      <c r="F640" s="30"/>
      <c r="G640" s="31">
        <v>913.44</v>
      </c>
      <c r="H640" s="30"/>
      <c r="I640" s="30"/>
      <c r="J640" s="30"/>
      <c r="K640" s="30"/>
      <c r="L640" s="30"/>
      <c r="M640" s="31">
        <v>1.51</v>
      </c>
      <c r="N640" s="31">
        <v>27.45</v>
      </c>
      <c r="O640" s="30"/>
      <c r="P640" s="30"/>
      <c r="Q640" s="30"/>
      <c r="R640" s="31">
        <v>942.4</v>
      </c>
      <c r="S640" s="142">
        <f t="shared" si="85"/>
        <v>913.44</v>
      </c>
      <c r="T640" s="142">
        <f t="shared" si="86"/>
        <v>0</v>
      </c>
      <c r="U640" s="142">
        <f t="shared" si="87"/>
        <v>27.45</v>
      </c>
      <c r="W640" s="601">
        <f t="shared" si="82"/>
        <v>942.40000000000009</v>
      </c>
      <c r="X640" s="601">
        <f t="shared" si="83"/>
        <v>0</v>
      </c>
      <c r="Y640" s="123"/>
      <c r="Z640" s="692">
        <f t="shared" si="84"/>
        <v>913.44</v>
      </c>
      <c r="AA640" s="124"/>
      <c r="AB640" s="124"/>
      <c r="AC640" s="124"/>
      <c r="AD640" s="124"/>
      <c r="AE640" s="124"/>
      <c r="AF640" s="124"/>
      <c r="AG640" s="124"/>
      <c r="AH640" s="124"/>
      <c r="AI640" s="124"/>
      <c r="AJ640" s="124"/>
      <c r="AK640" s="124"/>
      <c r="AL640" s="124"/>
      <c r="AM640" s="124"/>
      <c r="AN640" s="124"/>
      <c r="AO640" s="124"/>
      <c r="AP640" s="124"/>
      <c r="AQ640" s="124"/>
    </row>
    <row r="641" spans="1:43" customFormat="1" ht="12.75" hidden="1" thickBot="1">
      <c r="A641" s="25" t="s">
        <v>1220</v>
      </c>
      <c r="B641" s="25" t="s">
        <v>737</v>
      </c>
      <c r="C641" s="25" t="s">
        <v>961</v>
      </c>
      <c r="D641" s="693" t="s">
        <v>606</v>
      </c>
      <c r="E641" s="26">
        <v>106</v>
      </c>
      <c r="F641" s="27"/>
      <c r="G641" s="28">
        <v>99.6</v>
      </c>
      <c r="H641" s="27"/>
      <c r="I641" s="27"/>
      <c r="J641" s="27"/>
      <c r="K641" s="27"/>
      <c r="L641" s="27"/>
      <c r="M641" s="28">
        <v>0.34</v>
      </c>
      <c r="N641" s="28">
        <v>3</v>
      </c>
      <c r="O641" s="27"/>
      <c r="P641" s="27"/>
      <c r="Q641" s="27"/>
      <c r="R641" s="28">
        <v>102.94</v>
      </c>
      <c r="S641" s="142">
        <f t="shared" si="85"/>
        <v>99.6</v>
      </c>
      <c r="T641" s="142">
        <f t="shared" si="86"/>
        <v>0</v>
      </c>
      <c r="U641" s="142">
        <f t="shared" si="87"/>
        <v>3</v>
      </c>
      <c r="W641" s="601">
        <f t="shared" si="82"/>
        <v>102.94</v>
      </c>
      <c r="X641" s="601">
        <f t="shared" si="83"/>
        <v>0</v>
      </c>
      <c r="Y641" s="123"/>
      <c r="Z641" s="692">
        <f t="shared" si="84"/>
        <v>99.6</v>
      </c>
      <c r="AA641" s="124"/>
      <c r="AB641" s="124"/>
      <c r="AC641" s="124"/>
      <c r="AD641" s="124"/>
      <c r="AE641" s="124"/>
      <c r="AF641" s="124"/>
      <c r="AG641" s="124"/>
      <c r="AH641" s="124"/>
      <c r="AI641" s="124"/>
      <c r="AJ641" s="124"/>
      <c r="AK641" s="124"/>
      <c r="AL641" s="124"/>
      <c r="AM641" s="124"/>
      <c r="AN641" s="124"/>
      <c r="AO641" s="124"/>
      <c r="AP641" s="124"/>
      <c r="AQ641" s="124"/>
    </row>
    <row r="642" spans="1:43" customFormat="1" ht="12.75" hidden="1" thickBot="1">
      <c r="A642" s="25" t="s">
        <v>1220</v>
      </c>
      <c r="B642" s="25" t="s">
        <v>329</v>
      </c>
      <c r="C642" s="25" t="s">
        <v>962</v>
      </c>
      <c r="D642" s="693" t="s">
        <v>606</v>
      </c>
      <c r="E642" s="29">
        <v>4981</v>
      </c>
      <c r="F642" s="30"/>
      <c r="G642" s="31">
        <v>4361.0600000000004</v>
      </c>
      <c r="H642" s="30"/>
      <c r="I642" s="30"/>
      <c r="J642" s="30"/>
      <c r="K642" s="30"/>
      <c r="L642" s="30"/>
      <c r="M642" s="31">
        <v>15.89</v>
      </c>
      <c r="N642" s="31">
        <v>131.63999999999999</v>
      </c>
      <c r="O642" s="30"/>
      <c r="P642" s="30"/>
      <c r="Q642" s="31">
        <v>0</v>
      </c>
      <c r="R642" s="31">
        <v>4508.59</v>
      </c>
      <c r="S642" s="142">
        <f t="shared" si="85"/>
        <v>4361.0600000000004</v>
      </c>
      <c r="T642" s="142">
        <f t="shared" si="86"/>
        <v>0</v>
      </c>
      <c r="U642" s="142">
        <f t="shared" si="87"/>
        <v>131.63999999999999</v>
      </c>
      <c r="W642" s="601">
        <f t="shared" si="82"/>
        <v>4508.5900000000011</v>
      </c>
      <c r="X642" s="601">
        <f t="shared" si="83"/>
        <v>0</v>
      </c>
      <c r="Y642" s="123"/>
      <c r="Z642" s="692">
        <f t="shared" si="84"/>
        <v>4361.0600000000004</v>
      </c>
      <c r="AA642" s="124"/>
      <c r="AB642" s="124"/>
      <c r="AC642" s="124"/>
      <c r="AD642" s="124"/>
      <c r="AE642" s="124"/>
      <c r="AF642" s="124"/>
      <c r="AG642" s="124"/>
      <c r="AH642" s="124"/>
      <c r="AI642" s="124"/>
      <c r="AJ642" s="124"/>
      <c r="AK642" s="124"/>
      <c r="AL642" s="124"/>
      <c r="AM642" s="124"/>
      <c r="AN642" s="124"/>
      <c r="AO642" s="124"/>
      <c r="AP642" s="124"/>
      <c r="AQ642" s="124"/>
    </row>
    <row r="643" spans="1:43" customFormat="1" ht="12.75" hidden="1" thickBot="1">
      <c r="A643" s="25" t="s">
        <v>1220</v>
      </c>
      <c r="B643" s="25" t="s">
        <v>330</v>
      </c>
      <c r="C643" s="25" t="s">
        <v>963</v>
      </c>
      <c r="D643" s="693" t="s">
        <v>606</v>
      </c>
      <c r="E643" s="26">
        <v>67690</v>
      </c>
      <c r="F643" s="27"/>
      <c r="G643" s="28">
        <v>44500</v>
      </c>
      <c r="H643" s="27"/>
      <c r="I643" s="27"/>
      <c r="J643" s="27"/>
      <c r="K643" s="27"/>
      <c r="L643" s="27"/>
      <c r="M643" s="28">
        <v>211.37</v>
      </c>
      <c r="N643" s="28">
        <v>1333.32</v>
      </c>
      <c r="O643" s="27"/>
      <c r="P643" s="27"/>
      <c r="Q643" s="28">
        <v>0</v>
      </c>
      <c r="R643" s="28">
        <v>46044.69</v>
      </c>
      <c r="S643" s="142">
        <f t="shared" si="85"/>
        <v>44500</v>
      </c>
      <c r="T643" s="142">
        <f t="shared" si="86"/>
        <v>0</v>
      </c>
      <c r="U643" s="142">
        <f t="shared" si="87"/>
        <v>1333.32</v>
      </c>
      <c r="W643" s="601">
        <f t="shared" si="82"/>
        <v>46044.69</v>
      </c>
      <c r="X643" s="601">
        <f t="shared" si="83"/>
        <v>0</v>
      </c>
      <c r="Y643" s="123"/>
      <c r="Z643" s="692">
        <f t="shared" si="84"/>
        <v>44500</v>
      </c>
      <c r="AA643" s="124"/>
      <c r="AB643" s="124"/>
      <c r="AC643" s="124"/>
      <c r="AD643" s="124"/>
      <c r="AE643" s="124"/>
      <c r="AF643" s="124"/>
      <c r="AG643" s="124"/>
      <c r="AH643" s="124"/>
      <c r="AI643" s="124"/>
      <c r="AJ643" s="124"/>
      <c r="AK643" s="124"/>
      <c r="AL643" s="124"/>
      <c r="AM643" s="124"/>
      <c r="AN643" s="124"/>
      <c r="AO643" s="124"/>
      <c r="AP643" s="124"/>
      <c r="AQ643" s="124"/>
    </row>
    <row r="644" spans="1:43" customFormat="1" ht="12.75" hidden="1" thickBot="1">
      <c r="A644" s="25" t="s">
        <v>1220</v>
      </c>
      <c r="B644" s="25" t="s">
        <v>332</v>
      </c>
      <c r="C644" s="25" t="s">
        <v>964</v>
      </c>
      <c r="D644" s="693" t="s">
        <v>606</v>
      </c>
      <c r="E644" s="29">
        <v>830</v>
      </c>
      <c r="F644" s="30"/>
      <c r="G644" s="31">
        <v>760.11</v>
      </c>
      <c r="H644" s="30"/>
      <c r="I644" s="30"/>
      <c r="J644" s="30"/>
      <c r="K644" s="30"/>
      <c r="L644" s="30"/>
      <c r="M644" s="31">
        <v>2.62</v>
      </c>
      <c r="N644" s="31">
        <v>22.9</v>
      </c>
      <c r="O644" s="30"/>
      <c r="P644" s="30"/>
      <c r="Q644" s="31">
        <v>0</v>
      </c>
      <c r="R644" s="31">
        <v>785.63</v>
      </c>
      <c r="S644" s="142">
        <f t="shared" si="85"/>
        <v>760.11</v>
      </c>
      <c r="T644" s="142">
        <f t="shared" si="86"/>
        <v>0</v>
      </c>
      <c r="U644" s="142">
        <f t="shared" si="87"/>
        <v>22.9</v>
      </c>
      <c r="W644" s="601">
        <f t="shared" si="82"/>
        <v>785.63</v>
      </c>
      <c r="X644" s="601">
        <f t="shared" si="83"/>
        <v>0</v>
      </c>
      <c r="Y644" s="123"/>
      <c r="Z644" s="692">
        <f t="shared" si="84"/>
        <v>760.11</v>
      </c>
      <c r="AA644" s="124"/>
      <c r="AB644" s="124"/>
      <c r="AC644" s="124"/>
      <c r="AD644" s="124"/>
      <c r="AE644" s="124"/>
      <c r="AF644" s="124"/>
      <c r="AG644" s="124"/>
      <c r="AH644" s="124"/>
      <c r="AI644" s="124"/>
      <c r="AJ644" s="124"/>
      <c r="AK644" s="124"/>
      <c r="AL644" s="124"/>
      <c r="AM644" s="124"/>
      <c r="AN644" s="124"/>
      <c r="AO644" s="124"/>
      <c r="AP644" s="124"/>
      <c r="AQ644" s="124"/>
    </row>
    <row r="645" spans="1:43" customFormat="1" ht="12.75" hidden="1" thickBot="1">
      <c r="A645" s="25" t="s">
        <v>1220</v>
      </c>
      <c r="B645" s="25" t="s">
        <v>333</v>
      </c>
      <c r="C645" s="25" t="s">
        <v>965</v>
      </c>
      <c r="D645" s="693" t="s">
        <v>606</v>
      </c>
      <c r="E645" s="26">
        <v>60238</v>
      </c>
      <c r="F645" s="27"/>
      <c r="G645" s="28">
        <v>42962.879999999997</v>
      </c>
      <c r="H645" s="27"/>
      <c r="I645" s="27"/>
      <c r="J645" s="27"/>
      <c r="K645" s="27"/>
      <c r="L645" s="27"/>
      <c r="M645" s="28">
        <v>188.51</v>
      </c>
      <c r="N645" s="28">
        <v>1289.48</v>
      </c>
      <c r="O645" s="27"/>
      <c r="P645" s="27"/>
      <c r="Q645" s="28">
        <v>0</v>
      </c>
      <c r="R645" s="28">
        <v>44440.87</v>
      </c>
      <c r="S645" s="142">
        <f t="shared" si="85"/>
        <v>42962.879999999997</v>
      </c>
      <c r="T645" s="142">
        <f t="shared" si="86"/>
        <v>0</v>
      </c>
      <c r="U645" s="142">
        <f t="shared" si="87"/>
        <v>1289.48</v>
      </c>
      <c r="W645" s="601">
        <f t="shared" si="82"/>
        <v>44440.87</v>
      </c>
      <c r="X645" s="601">
        <f t="shared" si="83"/>
        <v>0</v>
      </c>
      <c r="Y645" s="123"/>
      <c r="Z645" s="692">
        <f t="shared" si="84"/>
        <v>42962.879999999997</v>
      </c>
      <c r="AA645" s="124"/>
      <c r="AB645" s="124"/>
      <c r="AC645" s="124"/>
      <c r="AD645" s="124"/>
      <c r="AE645" s="124"/>
      <c r="AF645" s="124"/>
      <c r="AG645" s="124"/>
      <c r="AH645" s="124"/>
      <c r="AI645" s="124"/>
      <c r="AJ645" s="124"/>
      <c r="AK645" s="124"/>
      <c r="AL645" s="124"/>
      <c r="AM645" s="124"/>
      <c r="AN645" s="124"/>
      <c r="AO645" s="124"/>
      <c r="AP645" s="124"/>
      <c r="AQ645" s="124"/>
    </row>
    <row r="646" spans="1:43" customFormat="1" ht="12.75" hidden="1" thickBot="1">
      <c r="A646" s="25" t="s">
        <v>1220</v>
      </c>
      <c r="B646" s="25" t="s">
        <v>334</v>
      </c>
      <c r="C646" s="25" t="s">
        <v>966</v>
      </c>
      <c r="D646" s="693" t="s">
        <v>498</v>
      </c>
      <c r="E646" s="29">
        <v>1238</v>
      </c>
      <c r="F646" s="30"/>
      <c r="G646" s="31">
        <v>947.2</v>
      </c>
      <c r="H646" s="30"/>
      <c r="I646" s="30"/>
      <c r="J646" s="30"/>
      <c r="K646" s="30"/>
      <c r="L646" s="30"/>
      <c r="M646" s="31">
        <v>3.94</v>
      </c>
      <c r="N646" s="31">
        <v>28.54</v>
      </c>
      <c r="O646" s="30"/>
      <c r="P646" s="30"/>
      <c r="Q646" s="31">
        <v>0</v>
      </c>
      <c r="R646" s="31">
        <v>979.68</v>
      </c>
      <c r="S646" s="142">
        <f t="shared" si="85"/>
        <v>947.2</v>
      </c>
      <c r="T646" s="142">
        <f t="shared" si="86"/>
        <v>0</v>
      </c>
      <c r="U646" s="142">
        <f t="shared" si="87"/>
        <v>28.54</v>
      </c>
      <c r="W646" s="601">
        <f t="shared" si="82"/>
        <v>979.68000000000006</v>
      </c>
      <c r="X646" s="601">
        <f t="shared" si="83"/>
        <v>0</v>
      </c>
      <c r="Y646" s="123"/>
      <c r="Z646" s="692">
        <f t="shared" si="84"/>
        <v>947.2</v>
      </c>
      <c r="AA646" s="124"/>
      <c r="AB646" s="124"/>
      <c r="AC646" s="124"/>
      <c r="AD646" s="124"/>
      <c r="AE646" s="124"/>
      <c r="AF646" s="124"/>
      <c r="AG646" s="124"/>
      <c r="AH646" s="124"/>
      <c r="AI646" s="124"/>
      <c r="AJ646" s="124"/>
      <c r="AK646" s="124"/>
      <c r="AL646" s="124"/>
      <c r="AM646" s="124"/>
      <c r="AN646" s="124"/>
      <c r="AO646" s="124"/>
      <c r="AP646" s="124"/>
      <c r="AQ646" s="124"/>
    </row>
    <row r="647" spans="1:43" customFormat="1" ht="12.75" hidden="1" thickBot="1">
      <c r="A647" s="25" t="s">
        <v>1220</v>
      </c>
      <c r="B647" s="25" t="s">
        <v>336</v>
      </c>
      <c r="C647" s="25" t="s">
        <v>967</v>
      </c>
      <c r="D647" s="693" t="s">
        <v>498</v>
      </c>
      <c r="E647" s="26">
        <v>5634</v>
      </c>
      <c r="F647" s="27"/>
      <c r="G647" s="28">
        <v>2799.01</v>
      </c>
      <c r="H647" s="27"/>
      <c r="I647" s="27"/>
      <c r="J647" s="27"/>
      <c r="K647" s="27"/>
      <c r="L647" s="27"/>
      <c r="M647" s="28">
        <v>17.86</v>
      </c>
      <c r="N647" s="28">
        <v>84.51</v>
      </c>
      <c r="O647" s="27"/>
      <c r="P647" s="27"/>
      <c r="Q647" s="28">
        <v>0</v>
      </c>
      <c r="R647" s="28">
        <v>2901.38</v>
      </c>
      <c r="S647" s="142">
        <f t="shared" si="85"/>
        <v>2799.01</v>
      </c>
      <c r="T647" s="142">
        <f t="shared" si="86"/>
        <v>0</v>
      </c>
      <c r="U647" s="142">
        <f t="shared" si="87"/>
        <v>84.51</v>
      </c>
      <c r="W647" s="601">
        <f t="shared" si="82"/>
        <v>2901.3800000000006</v>
      </c>
      <c r="X647" s="601">
        <f t="shared" si="83"/>
        <v>0</v>
      </c>
      <c r="Y647" s="123"/>
      <c r="Z647" s="692">
        <f t="shared" si="84"/>
        <v>2799.01</v>
      </c>
      <c r="AA647" s="124"/>
      <c r="AB647" s="124"/>
      <c r="AC647" s="124"/>
      <c r="AD647" s="124"/>
      <c r="AE647" s="124"/>
      <c r="AF647" s="124"/>
      <c r="AG647" s="124"/>
      <c r="AH647" s="124"/>
      <c r="AI647" s="124"/>
      <c r="AJ647" s="124"/>
      <c r="AK647" s="124"/>
      <c r="AL647" s="124"/>
      <c r="AM647" s="124"/>
      <c r="AN647" s="124"/>
      <c r="AO647" s="124"/>
      <c r="AP647" s="124"/>
      <c r="AQ647" s="124"/>
    </row>
    <row r="648" spans="1:43" customFormat="1" ht="12.75" hidden="1" thickBot="1">
      <c r="A648" s="25" t="s">
        <v>1220</v>
      </c>
      <c r="B648" s="25" t="s">
        <v>337</v>
      </c>
      <c r="C648" s="25" t="s">
        <v>968</v>
      </c>
      <c r="D648" s="693" t="s">
        <v>606</v>
      </c>
      <c r="E648" s="29">
        <v>2739</v>
      </c>
      <c r="F648" s="30"/>
      <c r="G648" s="31">
        <v>1614.06</v>
      </c>
      <c r="H648" s="30"/>
      <c r="I648" s="30"/>
      <c r="J648" s="30"/>
      <c r="K648" s="30"/>
      <c r="L648" s="30"/>
      <c r="M648" s="31">
        <v>8.68</v>
      </c>
      <c r="N648" s="31">
        <v>48.66</v>
      </c>
      <c r="O648" s="30"/>
      <c r="P648" s="30"/>
      <c r="Q648" s="31">
        <v>0</v>
      </c>
      <c r="R648" s="31">
        <v>1671.4</v>
      </c>
      <c r="S648" s="142">
        <f t="shared" si="85"/>
        <v>1614.06</v>
      </c>
      <c r="T648" s="142">
        <f t="shared" si="86"/>
        <v>0</v>
      </c>
      <c r="U648" s="142">
        <f t="shared" si="87"/>
        <v>48.66</v>
      </c>
      <c r="W648" s="601">
        <f t="shared" si="82"/>
        <v>1671.4</v>
      </c>
      <c r="X648" s="601">
        <f t="shared" si="83"/>
        <v>0</v>
      </c>
      <c r="Y648" s="123"/>
      <c r="Z648" s="692">
        <f t="shared" si="84"/>
        <v>1614.06</v>
      </c>
      <c r="AA648" s="124"/>
      <c r="AB648" s="124"/>
      <c r="AC648" s="124"/>
      <c r="AD648" s="124"/>
      <c r="AE648" s="124"/>
      <c r="AF648" s="124"/>
      <c r="AG648" s="124"/>
      <c r="AH648" s="124"/>
      <c r="AI648" s="124"/>
      <c r="AJ648" s="124"/>
      <c r="AK648" s="124"/>
      <c r="AL648" s="124"/>
      <c r="AM648" s="124"/>
      <c r="AN648" s="124"/>
      <c r="AO648" s="124"/>
      <c r="AP648" s="124"/>
      <c r="AQ648" s="124"/>
    </row>
    <row r="649" spans="1:43" customFormat="1" ht="12.75" hidden="1" thickBot="1">
      <c r="A649" s="25" t="s">
        <v>1220</v>
      </c>
      <c r="B649" s="25" t="s">
        <v>338</v>
      </c>
      <c r="C649" s="25" t="s">
        <v>969</v>
      </c>
      <c r="D649" s="693" t="s">
        <v>606</v>
      </c>
      <c r="E649" s="26">
        <v>14564</v>
      </c>
      <c r="F649" s="27"/>
      <c r="G649" s="28">
        <v>6111.96</v>
      </c>
      <c r="H649" s="27"/>
      <c r="I649" s="27"/>
      <c r="J649" s="27"/>
      <c r="K649" s="27"/>
      <c r="L649" s="27"/>
      <c r="M649" s="28">
        <v>45.39</v>
      </c>
      <c r="N649" s="28">
        <v>183.4</v>
      </c>
      <c r="O649" s="27"/>
      <c r="P649" s="27"/>
      <c r="Q649" s="28">
        <v>0</v>
      </c>
      <c r="R649" s="28">
        <v>6340.75</v>
      </c>
      <c r="S649" s="142">
        <f t="shared" si="85"/>
        <v>6111.96</v>
      </c>
      <c r="T649" s="142">
        <f t="shared" si="86"/>
        <v>0</v>
      </c>
      <c r="U649" s="142">
        <f t="shared" si="87"/>
        <v>183.4</v>
      </c>
      <c r="W649" s="601">
        <f t="shared" si="82"/>
        <v>6340.75</v>
      </c>
      <c r="X649" s="601">
        <f t="shared" si="83"/>
        <v>0</v>
      </c>
      <c r="Y649" s="123"/>
      <c r="Z649" s="692">
        <f t="shared" si="84"/>
        <v>6111.96</v>
      </c>
      <c r="AA649" s="124"/>
      <c r="AB649" s="124"/>
      <c r="AC649" s="124"/>
      <c r="AD649" s="124"/>
      <c r="AE649" s="124"/>
      <c r="AF649" s="124"/>
      <c r="AG649" s="124"/>
      <c r="AH649" s="124"/>
      <c r="AI649" s="124"/>
      <c r="AJ649" s="124"/>
      <c r="AK649" s="124"/>
      <c r="AL649" s="124"/>
      <c r="AM649" s="124"/>
      <c r="AN649" s="124"/>
      <c r="AO649" s="124"/>
      <c r="AP649" s="124"/>
      <c r="AQ649" s="124"/>
    </row>
    <row r="650" spans="1:43" customFormat="1" ht="12.75" hidden="1" thickBot="1">
      <c r="A650" s="25" t="s">
        <v>1220</v>
      </c>
      <c r="B650" s="25" t="s">
        <v>339</v>
      </c>
      <c r="C650" s="25" t="s">
        <v>970</v>
      </c>
      <c r="D650" s="693" t="s">
        <v>606</v>
      </c>
      <c r="E650" s="29">
        <v>48288</v>
      </c>
      <c r="F650" s="30"/>
      <c r="G650" s="31">
        <v>14588.2</v>
      </c>
      <c r="H650" s="30"/>
      <c r="I650" s="30"/>
      <c r="J650" s="30"/>
      <c r="K650" s="30"/>
      <c r="L650" s="30"/>
      <c r="M650" s="31">
        <v>151.01</v>
      </c>
      <c r="N650" s="31">
        <v>439.48</v>
      </c>
      <c r="O650" s="30"/>
      <c r="P650" s="30"/>
      <c r="Q650" s="31">
        <v>0</v>
      </c>
      <c r="R650" s="31">
        <v>15178.69</v>
      </c>
      <c r="S650" s="142">
        <f t="shared" si="85"/>
        <v>14588.2</v>
      </c>
      <c r="T650" s="142">
        <f t="shared" si="86"/>
        <v>0</v>
      </c>
      <c r="U650" s="142">
        <f t="shared" si="87"/>
        <v>439.48</v>
      </c>
      <c r="W650" s="601">
        <f t="shared" si="82"/>
        <v>15178.69</v>
      </c>
      <c r="X650" s="601">
        <f t="shared" si="83"/>
        <v>0</v>
      </c>
      <c r="Y650" s="123"/>
      <c r="Z650" s="692">
        <f t="shared" si="84"/>
        <v>14588.2</v>
      </c>
      <c r="AA650" s="124"/>
      <c r="AB650" s="124"/>
      <c r="AC650" s="124"/>
      <c r="AD650" s="124"/>
      <c r="AE650" s="124"/>
      <c r="AF650" s="124"/>
      <c r="AG650" s="124"/>
      <c r="AH650" s="124"/>
      <c r="AI650" s="124"/>
      <c r="AJ650" s="124"/>
      <c r="AK650" s="124"/>
      <c r="AL650" s="124"/>
      <c r="AM650" s="124"/>
      <c r="AN650" s="124"/>
      <c r="AO650" s="124"/>
      <c r="AP650" s="124"/>
      <c r="AQ650" s="124"/>
    </row>
    <row r="651" spans="1:43" customFormat="1" ht="12.75" hidden="1" thickBot="1">
      <c r="A651" s="25" t="s">
        <v>1220</v>
      </c>
      <c r="B651" s="25" t="s">
        <v>340</v>
      </c>
      <c r="C651" s="25" t="s">
        <v>971</v>
      </c>
      <c r="D651" s="693" t="s">
        <v>606</v>
      </c>
      <c r="E651" s="26">
        <v>1397</v>
      </c>
      <c r="F651" s="27"/>
      <c r="G651" s="28">
        <v>764.15</v>
      </c>
      <c r="H651" s="27"/>
      <c r="I651" s="27"/>
      <c r="J651" s="27"/>
      <c r="K651" s="27"/>
      <c r="L651" s="27"/>
      <c r="M651" s="28">
        <v>3.79</v>
      </c>
      <c r="N651" s="28">
        <v>21.66</v>
      </c>
      <c r="O651" s="27"/>
      <c r="P651" s="27"/>
      <c r="Q651" s="28">
        <v>0</v>
      </c>
      <c r="R651" s="28">
        <v>789.6</v>
      </c>
      <c r="S651" s="142">
        <f t="shared" si="85"/>
        <v>764.15</v>
      </c>
      <c r="T651" s="142">
        <f t="shared" si="86"/>
        <v>0</v>
      </c>
      <c r="U651" s="142">
        <f t="shared" si="87"/>
        <v>21.66</v>
      </c>
      <c r="W651" s="601">
        <f t="shared" si="82"/>
        <v>789.59999999999991</v>
      </c>
      <c r="X651" s="601">
        <f t="shared" si="83"/>
        <v>0</v>
      </c>
      <c r="Y651" s="123"/>
      <c r="Z651" s="692">
        <f t="shared" si="84"/>
        <v>764.15</v>
      </c>
      <c r="AA651" s="124"/>
      <c r="AB651" s="124"/>
      <c r="AC651" s="124"/>
      <c r="AD651" s="124"/>
      <c r="AE651" s="124"/>
      <c r="AF651" s="124"/>
      <c r="AG651" s="124"/>
      <c r="AH651" s="124"/>
      <c r="AI651" s="124"/>
      <c r="AJ651" s="124"/>
      <c r="AK651" s="124"/>
      <c r="AL651" s="124"/>
      <c r="AM651" s="124"/>
      <c r="AN651" s="124"/>
      <c r="AO651" s="124"/>
      <c r="AP651" s="124"/>
      <c r="AQ651" s="124"/>
    </row>
    <row r="652" spans="1:43" customFormat="1" ht="12.75" hidden="1" thickBot="1">
      <c r="A652" s="25" t="s">
        <v>1220</v>
      </c>
      <c r="B652" s="25" t="s">
        <v>341</v>
      </c>
      <c r="C652" s="25" t="s">
        <v>972</v>
      </c>
      <c r="D652" s="693" t="s">
        <v>606</v>
      </c>
      <c r="E652" s="29">
        <v>68962</v>
      </c>
      <c r="F652" s="30"/>
      <c r="G652" s="31">
        <v>25538.06</v>
      </c>
      <c r="H652" s="30"/>
      <c r="I652" s="30"/>
      <c r="J652" s="30"/>
      <c r="K652" s="30"/>
      <c r="L652" s="30"/>
      <c r="M652" s="31">
        <v>163.18</v>
      </c>
      <c r="N652" s="31">
        <v>686.72</v>
      </c>
      <c r="O652" s="30"/>
      <c r="P652" s="30"/>
      <c r="Q652" s="31">
        <v>0</v>
      </c>
      <c r="R652" s="31">
        <v>26387.96</v>
      </c>
      <c r="S652" s="142">
        <f t="shared" si="85"/>
        <v>25538.06</v>
      </c>
      <c r="T652" s="142">
        <f t="shared" si="86"/>
        <v>0</v>
      </c>
      <c r="U652" s="142">
        <f t="shared" si="87"/>
        <v>686.72</v>
      </c>
      <c r="W652" s="601">
        <f t="shared" si="82"/>
        <v>26387.960000000003</v>
      </c>
      <c r="X652" s="601">
        <f t="shared" si="83"/>
        <v>0</v>
      </c>
      <c r="Y652" s="123"/>
      <c r="Z652" s="692">
        <f t="shared" si="84"/>
        <v>25538.06</v>
      </c>
      <c r="AA652" s="124"/>
      <c r="AB652" s="124"/>
      <c r="AC652" s="124"/>
      <c r="AD652" s="124"/>
      <c r="AE652" s="124"/>
      <c r="AF652" s="124"/>
      <c r="AG652" s="124"/>
      <c r="AH652" s="124"/>
      <c r="AI652" s="124"/>
      <c r="AJ652" s="124"/>
      <c r="AK652" s="124"/>
      <c r="AL652" s="124"/>
      <c r="AM652" s="124"/>
      <c r="AN652" s="124"/>
      <c r="AO652" s="124"/>
      <c r="AP652" s="124"/>
      <c r="AQ652" s="124"/>
    </row>
    <row r="653" spans="1:43" customFormat="1" ht="12.75" hidden="1" thickBot="1">
      <c r="A653" s="25" t="s">
        <v>1220</v>
      </c>
      <c r="B653" s="25" t="s">
        <v>342</v>
      </c>
      <c r="C653" s="25" t="s">
        <v>973</v>
      </c>
      <c r="D653" s="693" t="s">
        <v>606</v>
      </c>
      <c r="E653" s="26">
        <v>5407</v>
      </c>
      <c r="F653" s="27"/>
      <c r="G653" s="28">
        <v>1463.29</v>
      </c>
      <c r="H653" s="27"/>
      <c r="I653" s="27"/>
      <c r="J653" s="27"/>
      <c r="K653" s="27"/>
      <c r="L653" s="27"/>
      <c r="M653" s="28">
        <v>14.91</v>
      </c>
      <c r="N653" s="28">
        <v>41.82</v>
      </c>
      <c r="O653" s="27"/>
      <c r="P653" s="27"/>
      <c r="Q653" s="28">
        <v>0</v>
      </c>
      <c r="R653" s="28">
        <v>1520.02</v>
      </c>
      <c r="S653" s="142">
        <f t="shared" si="85"/>
        <v>1463.29</v>
      </c>
      <c r="T653" s="142">
        <f t="shared" si="86"/>
        <v>0</v>
      </c>
      <c r="U653" s="142">
        <f t="shared" si="87"/>
        <v>41.82</v>
      </c>
      <c r="W653" s="601">
        <f t="shared" si="82"/>
        <v>1520.02</v>
      </c>
      <c r="X653" s="601">
        <f t="shared" si="83"/>
        <v>0</v>
      </c>
      <c r="Y653" s="123"/>
      <c r="Z653" s="692">
        <f t="shared" si="84"/>
        <v>1463.29</v>
      </c>
      <c r="AA653" s="124"/>
      <c r="AB653" s="124"/>
      <c r="AC653" s="124"/>
      <c r="AD653" s="124"/>
      <c r="AE653" s="124"/>
      <c r="AF653" s="124"/>
      <c r="AG653" s="124"/>
      <c r="AH653" s="124"/>
      <c r="AI653" s="124"/>
      <c r="AJ653" s="124"/>
      <c r="AK653" s="124"/>
      <c r="AL653" s="124"/>
      <c r="AM653" s="124"/>
      <c r="AN653" s="124"/>
      <c r="AO653" s="124"/>
      <c r="AP653" s="124"/>
      <c r="AQ653" s="124"/>
    </row>
    <row r="654" spans="1:43" customFormat="1" ht="12.75" hidden="1" thickBot="1">
      <c r="A654" s="25" t="s">
        <v>1220</v>
      </c>
      <c r="B654" s="25" t="s">
        <v>343</v>
      </c>
      <c r="C654" s="25" t="s">
        <v>974</v>
      </c>
      <c r="D654" s="693" t="s">
        <v>498</v>
      </c>
      <c r="E654" s="29">
        <v>907</v>
      </c>
      <c r="F654" s="30"/>
      <c r="G654" s="31">
        <v>1383.38</v>
      </c>
      <c r="H654" s="30"/>
      <c r="I654" s="30"/>
      <c r="J654" s="30"/>
      <c r="K654" s="30"/>
      <c r="L654" s="30"/>
      <c r="M654" s="31">
        <v>2.87</v>
      </c>
      <c r="N654" s="31">
        <v>41.58</v>
      </c>
      <c r="O654" s="30"/>
      <c r="P654" s="30"/>
      <c r="Q654" s="31">
        <v>0</v>
      </c>
      <c r="R654" s="31">
        <v>1427.83</v>
      </c>
      <c r="S654" s="142">
        <f t="shared" si="85"/>
        <v>1383.38</v>
      </c>
      <c r="T654" s="142">
        <f t="shared" si="86"/>
        <v>0</v>
      </c>
      <c r="U654" s="142">
        <f t="shared" si="87"/>
        <v>41.58</v>
      </c>
      <c r="W654" s="601">
        <f t="shared" si="82"/>
        <v>1427.83</v>
      </c>
      <c r="X654" s="601">
        <f t="shared" si="83"/>
        <v>0</v>
      </c>
      <c r="Y654" s="123"/>
      <c r="Z654" s="692">
        <f t="shared" si="84"/>
        <v>1383.38</v>
      </c>
      <c r="AA654" s="124"/>
      <c r="AB654" s="124"/>
      <c r="AC654" s="124"/>
      <c r="AD654" s="124"/>
      <c r="AE654" s="124"/>
      <c r="AF654" s="124"/>
      <c r="AG654" s="124"/>
      <c r="AH654" s="124"/>
      <c r="AI654" s="124"/>
      <c r="AJ654" s="124"/>
      <c r="AK654" s="124"/>
      <c r="AL654" s="124"/>
      <c r="AM654" s="124"/>
      <c r="AN654" s="124"/>
      <c r="AO654" s="124"/>
      <c r="AP654" s="124"/>
      <c r="AQ654" s="124"/>
    </row>
    <row r="655" spans="1:43" customFormat="1" ht="12.75" hidden="1" thickBot="1">
      <c r="A655" s="25" t="s">
        <v>1220</v>
      </c>
      <c r="B655" s="25" t="s">
        <v>344</v>
      </c>
      <c r="C655" s="25" t="s">
        <v>975</v>
      </c>
      <c r="D655" s="693" t="s">
        <v>606</v>
      </c>
      <c r="E655" s="26">
        <v>1222</v>
      </c>
      <c r="F655" s="27"/>
      <c r="G655" s="28">
        <v>1994.32</v>
      </c>
      <c r="H655" s="27"/>
      <c r="I655" s="27"/>
      <c r="J655" s="27"/>
      <c r="K655" s="27"/>
      <c r="L655" s="27"/>
      <c r="M655" s="28">
        <v>3.8</v>
      </c>
      <c r="N655" s="28">
        <v>59.43</v>
      </c>
      <c r="O655" s="27"/>
      <c r="P655" s="27"/>
      <c r="Q655" s="28">
        <v>0</v>
      </c>
      <c r="R655" s="28">
        <v>2057.5500000000002</v>
      </c>
      <c r="S655" s="142">
        <f t="shared" si="85"/>
        <v>1994.32</v>
      </c>
      <c r="T655" s="142">
        <f t="shared" si="86"/>
        <v>0</v>
      </c>
      <c r="U655" s="142">
        <f t="shared" si="87"/>
        <v>59.43</v>
      </c>
      <c r="W655" s="601">
        <f t="shared" si="82"/>
        <v>2057.5499999999997</v>
      </c>
      <c r="X655" s="601">
        <f t="shared" si="83"/>
        <v>0</v>
      </c>
      <c r="Y655" s="123"/>
      <c r="Z655" s="692">
        <f t="shared" si="84"/>
        <v>1994.32</v>
      </c>
      <c r="AA655" s="124"/>
      <c r="AB655" s="124"/>
      <c r="AC655" s="124"/>
      <c r="AD655" s="124"/>
      <c r="AE655" s="124"/>
      <c r="AF655" s="124"/>
      <c r="AG655" s="124"/>
      <c r="AH655" s="124"/>
      <c r="AI655" s="124"/>
      <c r="AJ655" s="124"/>
      <c r="AK655" s="124"/>
      <c r="AL655" s="124"/>
      <c r="AM655" s="124"/>
      <c r="AN655" s="124"/>
      <c r="AO655" s="124"/>
      <c r="AP655" s="124"/>
      <c r="AQ655" s="124"/>
    </row>
    <row r="656" spans="1:43" customFormat="1" ht="12.75" hidden="1" thickBot="1">
      <c r="A656" s="25" t="s">
        <v>1220</v>
      </c>
      <c r="B656" s="25" t="s">
        <v>345</v>
      </c>
      <c r="C656" s="25" t="s">
        <v>976</v>
      </c>
      <c r="D656" s="693" t="s">
        <v>498</v>
      </c>
      <c r="E656" s="29">
        <v>10107</v>
      </c>
      <c r="F656" s="30"/>
      <c r="G656" s="31">
        <v>10367.89</v>
      </c>
      <c r="H656" s="30"/>
      <c r="I656" s="30"/>
      <c r="J656" s="30"/>
      <c r="K656" s="30"/>
      <c r="L656" s="30"/>
      <c r="M656" s="31">
        <v>25.15</v>
      </c>
      <c r="N656" s="31">
        <v>302</v>
      </c>
      <c r="O656" s="30"/>
      <c r="P656" s="30"/>
      <c r="Q656" s="31">
        <v>0</v>
      </c>
      <c r="R656" s="31">
        <v>10695.04</v>
      </c>
      <c r="S656" s="142">
        <f t="shared" si="85"/>
        <v>10367.89</v>
      </c>
      <c r="T656" s="142">
        <f t="shared" si="86"/>
        <v>0</v>
      </c>
      <c r="U656" s="142">
        <f t="shared" si="87"/>
        <v>302</v>
      </c>
      <c r="W656" s="601">
        <f t="shared" si="82"/>
        <v>10695.039999999999</v>
      </c>
      <c r="X656" s="601">
        <f t="shared" si="83"/>
        <v>0</v>
      </c>
      <c r="Y656" s="123"/>
      <c r="Z656" s="692">
        <f t="shared" si="84"/>
        <v>10367.89</v>
      </c>
      <c r="AA656" s="124"/>
      <c r="AB656" s="124"/>
      <c r="AC656" s="124"/>
      <c r="AD656" s="124"/>
      <c r="AE656" s="124"/>
      <c r="AF656" s="124"/>
      <c r="AG656" s="124"/>
      <c r="AH656" s="124"/>
      <c r="AI656" s="124"/>
      <c r="AJ656" s="124"/>
      <c r="AK656" s="124"/>
      <c r="AL656" s="124"/>
      <c r="AM656" s="124"/>
      <c r="AN656" s="124"/>
      <c r="AO656" s="124"/>
      <c r="AP656" s="124"/>
      <c r="AQ656" s="124"/>
    </row>
    <row r="657" spans="1:43" customFormat="1" ht="12.75" hidden="1" thickBot="1">
      <c r="A657" s="25" t="s">
        <v>1220</v>
      </c>
      <c r="B657" s="25" t="s">
        <v>346</v>
      </c>
      <c r="C657" s="25" t="s">
        <v>977</v>
      </c>
      <c r="D657" s="693" t="s">
        <v>606</v>
      </c>
      <c r="E657" s="26">
        <v>6028</v>
      </c>
      <c r="F657" s="27"/>
      <c r="G657" s="28">
        <v>7741.36</v>
      </c>
      <c r="H657" s="27"/>
      <c r="I657" s="27"/>
      <c r="J657" s="27"/>
      <c r="K657" s="27"/>
      <c r="L657" s="27"/>
      <c r="M657" s="28">
        <v>16.5</v>
      </c>
      <c r="N657" s="28">
        <v>219.23</v>
      </c>
      <c r="O657" s="27"/>
      <c r="P657" s="27"/>
      <c r="Q657" s="28">
        <v>0</v>
      </c>
      <c r="R657" s="28">
        <v>7977.09</v>
      </c>
      <c r="S657" s="142">
        <f t="shared" si="85"/>
        <v>7741.36</v>
      </c>
      <c r="T657" s="142">
        <f t="shared" si="86"/>
        <v>0</v>
      </c>
      <c r="U657" s="142">
        <f t="shared" si="87"/>
        <v>219.23</v>
      </c>
      <c r="W657" s="601">
        <f t="shared" si="82"/>
        <v>7977.0899999999992</v>
      </c>
      <c r="X657" s="601">
        <f t="shared" si="83"/>
        <v>0</v>
      </c>
      <c r="Y657" s="123"/>
      <c r="Z657" s="692">
        <f t="shared" si="84"/>
        <v>7741.36</v>
      </c>
      <c r="AA657" s="124"/>
      <c r="AB657" s="124"/>
      <c r="AC657" s="124"/>
      <c r="AD657" s="124"/>
      <c r="AE657" s="124"/>
      <c r="AF657" s="124"/>
      <c r="AG657" s="124"/>
      <c r="AH657" s="124"/>
      <c r="AI657" s="124"/>
      <c r="AJ657" s="124"/>
      <c r="AK657" s="124"/>
      <c r="AL657" s="124"/>
      <c r="AM657" s="124"/>
      <c r="AN657" s="124"/>
      <c r="AO657" s="124"/>
      <c r="AP657" s="124"/>
      <c r="AQ657" s="124"/>
    </row>
    <row r="658" spans="1:43" customFormat="1" ht="12.75" hidden="1" thickBot="1">
      <c r="A658" s="25" t="s">
        <v>1220</v>
      </c>
      <c r="B658" s="25" t="s">
        <v>347</v>
      </c>
      <c r="C658" s="25" t="s">
        <v>978</v>
      </c>
      <c r="D658" s="693" t="s">
        <v>498</v>
      </c>
      <c r="E658" s="29">
        <v>544</v>
      </c>
      <c r="F658" s="30"/>
      <c r="G658" s="31">
        <v>806.5</v>
      </c>
      <c r="H658" s="30"/>
      <c r="I658" s="30"/>
      <c r="J658" s="30"/>
      <c r="K658" s="30"/>
      <c r="L658" s="30"/>
      <c r="M658" s="31">
        <v>1.31</v>
      </c>
      <c r="N658" s="31">
        <v>21.64</v>
      </c>
      <c r="O658" s="30"/>
      <c r="P658" s="30"/>
      <c r="Q658" s="31">
        <v>0</v>
      </c>
      <c r="R658" s="31">
        <v>829.45</v>
      </c>
      <c r="S658" s="142">
        <f t="shared" si="85"/>
        <v>806.5</v>
      </c>
      <c r="T658" s="142">
        <f t="shared" si="86"/>
        <v>0</v>
      </c>
      <c r="U658" s="142">
        <f t="shared" si="87"/>
        <v>21.64</v>
      </c>
      <c r="W658" s="601">
        <f t="shared" ref="W658:W717" si="88">SUM(F658:Q658)</f>
        <v>829.44999999999993</v>
      </c>
      <c r="X658" s="601">
        <f t="shared" ref="X658:X717" si="89">W658-R658</f>
        <v>0</v>
      </c>
      <c r="Y658" s="123"/>
      <c r="Z658" s="692">
        <f t="shared" si="84"/>
        <v>806.5</v>
      </c>
      <c r="AA658" s="124"/>
      <c r="AB658" s="124"/>
      <c r="AC658" s="124"/>
      <c r="AD658" s="124"/>
      <c r="AE658" s="124"/>
      <c r="AF658" s="124"/>
      <c r="AG658" s="124"/>
      <c r="AH658" s="124"/>
      <c r="AI658" s="124"/>
      <c r="AJ658" s="124"/>
      <c r="AK658" s="124"/>
      <c r="AL658" s="124"/>
      <c r="AM658" s="124"/>
      <c r="AN658" s="124"/>
      <c r="AO658" s="124"/>
      <c r="AP658" s="124"/>
      <c r="AQ658" s="124"/>
    </row>
    <row r="659" spans="1:43" customFormat="1" ht="12.75" hidden="1" thickBot="1">
      <c r="A659" s="25" t="s">
        <v>1220</v>
      </c>
      <c r="B659" s="25" t="s">
        <v>348</v>
      </c>
      <c r="C659" s="25" t="s">
        <v>979</v>
      </c>
      <c r="D659" s="693" t="s">
        <v>606</v>
      </c>
      <c r="E659" s="26">
        <v>1010</v>
      </c>
      <c r="F659" s="27"/>
      <c r="G659" s="28">
        <v>1647.83</v>
      </c>
      <c r="H659" s="27"/>
      <c r="I659" s="27"/>
      <c r="J659" s="27"/>
      <c r="K659" s="27"/>
      <c r="L659" s="27"/>
      <c r="M659" s="28">
        <v>3.2</v>
      </c>
      <c r="N659" s="28">
        <v>49.52</v>
      </c>
      <c r="O659" s="27"/>
      <c r="P659" s="27"/>
      <c r="Q659" s="28">
        <v>0</v>
      </c>
      <c r="R659" s="28">
        <v>1700.55</v>
      </c>
      <c r="S659" s="142">
        <f t="shared" si="85"/>
        <v>1647.83</v>
      </c>
      <c r="T659" s="142">
        <f t="shared" si="86"/>
        <v>0</v>
      </c>
      <c r="U659" s="142">
        <f t="shared" si="87"/>
        <v>49.52</v>
      </c>
      <c r="W659" s="601">
        <f t="shared" si="88"/>
        <v>1700.55</v>
      </c>
      <c r="X659" s="601">
        <f t="shared" si="89"/>
        <v>0</v>
      </c>
      <c r="Y659" s="123"/>
      <c r="Z659" s="692">
        <f t="shared" si="84"/>
        <v>1647.83</v>
      </c>
      <c r="AA659" s="124"/>
      <c r="AB659" s="124"/>
      <c r="AC659" s="124"/>
      <c r="AD659" s="124"/>
      <c r="AE659" s="124"/>
      <c r="AF659" s="124"/>
      <c r="AG659" s="124"/>
      <c r="AH659" s="124"/>
      <c r="AI659" s="124"/>
      <c r="AJ659" s="124"/>
      <c r="AK659" s="124"/>
      <c r="AL659" s="124"/>
      <c r="AM659" s="124"/>
      <c r="AN659" s="124"/>
      <c r="AO659" s="124"/>
      <c r="AP659" s="124"/>
      <c r="AQ659" s="124"/>
    </row>
    <row r="660" spans="1:43" customFormat="1" ht="12.75" hidden="1" thickBot="1">
      <c r="A660" s="25" t="s">
        <v>1220</v>
      </c>
      <c r="B660" s="25" t="s">
        <v>376</v>
      </c>
      <c r="C660" s="25" t="s">
        <v>980</v>
      </c>
      <c r="D660" s="693" t="s">
        <v>498</v>
      </c>
      <c r="E660" s="29">
        <v>332</v>
      </c>
      <c r="F660" s="30"/>
      <c r="G660" s="31">
        <v>346.77</v>
      </c>
      <c r="H660" s="30"/>
      <c r="I660" s="30"/>
      <c r="J660" s="30"/>
      <c r="K660" s="30"/>
      <c r="L660" s="30"/>
      <c r="M660" s="31">
        <v>1.05</v>
      </c>
      <c r="N660" s="31">
        <v>10.44</v>
      </c>
      <c r="O660" s="30"/>
      <c r="P660" s="30"/>
      <c r="Q660" s="31">
        <v>0</v>
      </c>
      <c r="R660" s="31">
        <v>358.26</v>
      </c>
      <c r="S660" s="142">
        <f t="shared" si="85"/>
        <v>346.77</v>
      </c>
      <c r="T660" s="142">
        <f t="shared" si="86"/>
        <v>0</v>
      </c>
      <c r="U660" s="142">
        <f t="shared" si="87"/>
        <v>10.44</v>
      </c>
      <c r="W660" s="601">
        <f t="shared" si="88"/>
        <v>358.26</v>
      </c>
      <c r="X660" s="601">
        <f t="shared" si="89"/>
        <v>0</v>
      </c>
      <c r="Y660" s="123"/>
      <c r="Z660" s="692">
        <f t="shared" si="84"/>
        <v>346.77</v>
      </c>
      <c r="AA660" s="124"/>
      <c r="AB660" s="124"/>
      <c r="AC660" s="124"/>
      <c r="AD660" s="124"/>
      <c r="AE660" s="124"/>
      <c r="AF660" s="124"/>
      <c r="AG660" s="124"/>
      <c r="AH660" s="124"/>
      <c r="AI660" s="124"/>
      <c r="AJ660" s="124"/>
      <c r="AK660" s="124"/>
      <c r="AL660" s="124"/>
      <c r="AM660" s="124"/>
      <c r="AN660" s="124"/>
      <c r="AO660" s="124"/>
      <c r="AP660" s="124"/>
      <c r="AQ660" s="124"/>
    </row>
    <row r="661" spans="1:43" customFormat="1" ht="12.75" hidden="1" thickBot="1">
      <c r="A661" s="25" t="s">
        <v>1220</v>
      </c>
      <c r="B661" s="25" t="s">
        <v>349</v>
      </c>
      <c r="C661" s="25" t="s">
        <v>981</v>
      </c>
      <c r="D661" s="693" t="s">
        <v>606</v>
      </c>
      <c r="E661" s="26">
        <v>5826</v>
      </c>
      <c r="F661" s="27"/>
      <c r="G661" s="28">
        <v>7755.74</v>
      </c>
      <c r="H661" s="27"/>
      <c r="I661" s="27"/>
      <c r="J661" s="27"/>
      <c r="K661" s="27"/>
      <c r="L661" s="27"/>
      <c r="M661" s="28">
        <v>18.260000000000002</v>
      </c>
      <c r="N661" s="28">
        <v>232.18</v>
      </c>
      <c r="O661" s="27"/>
      <c r="P661" s="27"/>
      <c r="Q661" s="28">
        <v>0</v>
      </c>
      <c r="R661" s="28">
        <v>8006.18</v>
      </c>
      <c r="S661" s="142">
        <f t="shared" si="85"/>
        <v>7755.74</v>
      </c>
      <c r="T661" s="142">
        <f t="shared" si="86"/>
        <v>0</v>
      </c>
      <c r="U661" s="142">
        <f t="shared" si="87"/>
        <v>232.18</v>
      </c>
      <c r="W661" s="601">
        <f t="shared" si="88"/>
        <v>8006.18</v>
      </c>
      <c r="X661" s="601">
        <f t="shared" si="89"/>
        <v>0</v>
      </c>
      <c r="Y661" s="123"/>
      <c r="Z661" s="692">
        <f t="shared" si="84"/>
        <v>7755.74</v>
      </c>
      <c r="AA661" s="124"/>
      <c r="AB661" s="124"/>
      <c r="AC661" s="124"/>
      <c r="AD661" s="124"/>
      <c r="AE661" s="124"/>
      <c r="AF661" s="124"/>
      <c r="AG661" s="124"/>
      <c r="AH661" s="124"/>
      <c r="AI661" s="124"/>
      <c r="AJ661" s="124"/>
      <c r="AK661" s="124"/>
      <c r="AL661" s="124"/>
      <c r="AM661" s="124"/>
      <c r="AN661" s="124"/>
      <c r="AO661" s="124"/>
      <c r="AP661" s="124"/>
      <c r="AQ661" s="124"/>
    </row>
    <row r="662" spans="1:43" customFormat="1" ht="12.75" hidden="1" thickBot="1">
      <c r="A662" s="25" t="s">
        <v>1220</v>
      </c>
      <c r="B662" s="25" t="s">
        <v>730</v>
      </c>
      <c r="C662" s="25" t="s">
        <v>982</v>
      </c>
      <c r="D662" s="693" t="s">
        <v>606</v>
      </c>
      <c r="E662" s="29">
        <v>160</v>
      </c>
      <c r="F662" s="30"/>
      <c r="G662" s="31">
        <v>36.56</v>
      </c>
      <c r="H662" s="30"/>
      <c r="I662" s="30"/>
      <c r="J662" s="30"/>
      <c r="K662" s="30"/>
      <c r="L662" s="30"/>
      <c r="M662" s="31">
        <v>0.5</v>
      </c>
      <c r="N662" s="31">
        <v>1.1200000000000001</v>
      </c>
      <c r="O662" s="30"/>
      <c r="P662" s="30"/>
      <c r="Q662" s="30"/>
      <c r="R662" s="31">
        <v>38.18</v>
      </c>
      <c r="S662" s="142">
        <f t="shared" si="85"/>
        <v>36.56</v>
      </c>
      <c r="T662" s="142">
        <f t="shared" si="86"/>
        <v>0</v>
      </c>
      <c r="U662" s="142">
        <f t="shared" si="87"/>
        <v>1.1200000000000001</v>
      </c>
      <c r="W662" s="601">
        <f t="shared" si="88"/>
        <v>38.18</v>
      </c>
      <c r="X662" s="601">
        <f t="shared" si="89"/>
        <v>0</v>
      </c>
      <c r="Y662" s="123"/>
      <c r="Z662" s="692">
        <f t="shared" si="84"/>
        <v>36.56</v>
      </c>
      <c r="AA662" s="124"/>
      <c r="AB662" s="124"/>
      <c r="AC662" s="124"/>
      <c r="AD662" s="124"/>
      <c r="AE662" s="124"/>
      <c r="AF662" s="124"/>
      <c r="AG662" s="124"/>
      <c r="AH662" s="124"/>
      <c r="AI662" s="124"/>
      <c r="AJ662" s="124"/>
      <c r="AK662" s="124"/>
      <c r="AL662" s="124"/>
      <c r="AM662" s="124"/>
      <c r="AN662" s="124"/>
      <c r="AO662" s="124"/>
      <c r="AP662" s="124"/>
      <c r="AQ662" s="124"/>
    </row>
    <row r="663" spans="1:43" customFormat="1" ht="12.75" hidden="1" thickBot="1">
      <c r="A663" s="25" t="s">
        <v>1220</v>
      </c>
      <c r="B663" s="25" t="s">
        <v>378</v>
      </c>
      <c r="C663" s="25" t="s">
        <v>983</v>
      </c>
      <c r="D663" s="693" t="s">
        <v>606</v>
      </c>
      <c r="E663" s="26">
        <v>2228</v>
      </c>
      <c r="F663" s="27"/>
      <c r="G663" s="28">
        <v>401.76</v>
      </c>
      <c r="H663" s="27"/>
      <c r="I663" s="27"/>
      <c r="J663" s="27"/>
      <c r="K663" s="27"/>
      <c r="L663" s="27"/>
      <c r="M663" s="28">
        <v>7.06</v>
      </c>
      <c r="N663" s="28">
        <v>12.24</v>
      </c>
      <c r="O663" s="27"/>
      <c r="P663" s="27"/>
      <c r="Q663" s="27"/>
      <c r="R663" s="28">
        <v>421.06</v>
      </c>
      <c r="S663" s="142">
        <f t="shared" si="85"/>
        <v>401.76</v>
      </c>
      <c r="T663" s="142">
        <f t="shared" si="86"/>
        <v>0</v>
      </c>
      <c r="U663" s="142">
        <f t="shared" si="87"/>
        <v>12.24</v>
      </c>
      <c r="W663" s="601">
        <f t="shared" si="88"/>
        <v>421.06</v>
      </c>
      <c r="X663" s="601">
        <f t="shared" si="89"/>
        <v>0</v>
      </c>
      <c r="Y663" s="123"/>
      <c r="Z663" s="692">
        <f t="shared" si="84"/>
        <v>401.76</v>
      </c>
      <c r="AA663" s="124"/>
      <c r="AB663" s="124"/>
      <c r="AC663" s="124"/>
      <c r="AD663" s="124"/>
      <c r="AE663" s="124"/>
      <c r="AF663" s="124"/>
      <c r="AG663" s="124"/>
      <c r="AH663" s="124"/>
      <c r="AI663" s="124"/>
      <c r="AJ663" s="124"/>
      <c r="AK663" s="124"/>
      <c r="AL663" s="124"/>
      <c r="AM663" s="124"/>
      <c r="AN663" s="124"/>
      <c r="AO663" s="124"/>
      <c r="AP663" s="124"/>
      <c r="AQ663" s="124"/>
    </row>
    <row r="664" spans="1:43" customFormat="1" ht="12.75" hidden="1" thickBot="1">
      <c r="A664" s="25" t="s">
        <v>1220</v>
      </c>
      <c r="B664" s="25" t="s">
        <v>354</v>
      </c>
      <c r="C664" s="25" t="s">
        <v>984</v>
      </c>
      <c r="D664" s="693" t="s">
        <v>606</v>
      </c>
      <c r="E664" s="29">
        <v>473559</v>
      </c>
      <c r="F664" s="30"/>
      <c r="G664" s="31">
        <v>127743.22</v>
      </c>
      <c r="H664" s="30"/>
      <c r="I664" s="30"/>
      <c r="J664" s="30"/>
      <c r="K664" s="30"/>
      <c r="L664" s="30"/>
      <c r="M664" s="31">
        <v>1241.24</v>
      </c>
      <c r="N664" s="31">
        <v>3582.22</v>
      </c>
      <c r="O664" s="30"/>
      <c r="P664" s="30"/>
      <c r="Q664" s="31">
        <v>0</v>
      </c>
      <c r="R664" s="31">
        <v>132566.68</v>
      </c>
      <c r="S664" s="142">
        <f t="shared" si="85"/>
        <v>127743.22</v>
      </c>
      <c r="T664" s="142">
        <f t="shared" si="86"/>
        <v>0</v>
      </c>
      <c r="U664" s="142">
        <f t="shared" si="87"/>
        <v>3582.22</v>
      </c>
      <c r="W664" s="601">
        <f t="shared" si="88"/>
        <v>132566.68</v>
      </c>
      <c r="X664" s="601">
        <f t="shared" si="89"/>
        <v>0</v>
      </c>
      <c r="Y664" s="123"/>
      <c r="Z664" s="692">
        <f t="shared" si="84"/>
        <v>127743.22</v>
      </c>
      <c r="AA664" s="124"/>
      <c r="AB664" s="124"/>
      <c r="AC664" s="124"/>
      <c r="AD664" s="124"/>
      <c r="AE664" s="124"/>
      <c r="AF664" s="124"/>
      <c r="AG664" s="124"/>
      <c r="AH664" s="124"/>
      <c r="AI664" s="124"/>
      <c r="AJ664" s="124"/>
      <c r="AK664" s="124"/>
      <c r="AL664" s="124"/>
      <c r="AM664" s="124"/>
      <c r="AN664" s="124"/>
      <c r="AO664" s="124"/>
      <c r="AP664" s="124"/>
      <c r="AQ664" s="124"/>
    </row>
    <row r="665" spans="1:43" customFormat="1" ht="12.75" hidden="1" thickBot="1">
      <c r="A665" s="25" t="s">
        <v>1220</v>
      </c>
      <c r="B665" s="25" t="s">
        <v>355</v>
      </c>
      <c r="C665" s="25" t="s">
        <v>985</v>
      </c>
      <c r="D665" s="693" t="s">
        <v>606</v>
      </c>
      <c r="E665" s="29">
        <v>1298842</v>
      </c>
      <c r="F665" s="30"/>
      <c r="G665" s="31">
        <v>255195.03</v>
      </c>
      <c r="H665" s="30"/>
      <c r="I665" s="30"/>
      <c r="J665" s="30"/>
      <c r="K665" s="30"/>
      <c r="L665" s="30"/>
      <c r="M665" s="31">
        <v>3172.07</v>
      </c>
      <c r="N665" s="31">
        <v>6986.42</v>
      </c>
      <c r="O665" s="30"/>
      <c r="P665" s="30"/>
      <c r="Q665" s="31">
        <v>0</v>
      </c>
      <c r="R665" s="31">
        <v>265353.52</v>
      </c>
      <c r="S665" s="142">
        <f t="shared" si="85"/>
        <v>255195.03</v>
      </c>
      <c r="T665" s="142">
        <f t="shared" si="86"/>
        <v>0</v>
      </c>
      <c r="U665" s="142">
        <f t="shared" si="87"/>
        <v>6986.42</v>
      </c>
      <c r="W665" s="601">
        <f t="shared" si="88"/>
        <v>265353.52</v>
      </c>
      <c r="X665" s="601">
        <f t="shared" si="89"/>
        <v>0</v>
      </c>
      <c r="Y665" s="123"/>
      <c r="Z665" s="692">
        <f t="shared" si="84"/>
        <v>255195.03</v>
      </c>
      <c r="AA665" s="124"/>
      <c r="AB665" s="124"/>
      <c r="AC665" s="124"/>
      <c r="AD665" s="124"/>
      <c r="AE665" s="124"/>
      <c r="AF665" s="124"/>
      <c r="AG665" s="124"/>
      <c r="AH665" s="124"/>
      <c r="AI665" s="124"/>
      <c r="AJ665" s="124"/>
      <c r="AK665" s="124"/>
      <c r="AL665" s="124"/>
      <c r="AM665" s="124"/>
      <c r="AN665" s="124"/>
      <c r="AO665" s="124"/>
      <c r="AP665" s="124"/>
      <c r="AQ665" s="124"/>
    </row>
    <row r="666" spans="1:43" customFormat="1" ht="12.75" hidden="1" thickBot="1">
      <c r="A666" s="25" t="s">
        <v>1220</v>
      </c>
      <c r="B666" s="25" t="s">
        <v>356</v>
      </c>
      <c r="C666" s="25" t="s">
        <v>986</v>
      </c>
      <c r="D666" s="693" t="s">
        <v>606</v>
      </c>
      <c r="E666" s="29">
        <v>973031</v>
      </c>
      <c r="F666" s="30"/>
      <c r="G666" s="31">
        <v>138223.42000000001</v>
      </c>
      <c r="H666" s="30"/>
      <c r="I666" s="30"/>
      <c r="J666" s="30"/>
      <c r="K666" s="30"/>
      <c r="L666" s="30"/>
      <c r="M666" s="31">
        <v>2624.14</v>
      </c>
      <c r="N666" s="31">
        <v>3956.24</v>
      </c>
      <c r="O666" s="30"/>
      <c r="P666" s="30"/>
      <c r="Q666" s="31">
        <v>0</v>
      </c>
      <c r="R666" s="31">
        <v>144803.79999999999</v>
      </c>
      <c r="S666" s="142">
        <f t="shared" si="85"/>
        <v>138223.42000000001</v>
      </c>
      <c r="T666" s="142">
        <f t="shared" si="86"/>
        <v>0</v>
      </c>
      <c r="U666" s="142">
        <f t="shared" si="87"/>
        <v>3956.24</v>
      </c>
      <c r="W666" s="601">
        <f t="shared" si="88"/>
        <v>144803.80000000002</v>
      </c>
      <c r="X666" s="601">
        <f t="shared" si="89"/>
        <v>0</v>
      </c>
      <c r="Y666" s="123"/>
      <c r="Z666" s="692">
        <f t="shared" si="84"/>
        <v>138223.42000000001</v>
      </c>
      <c r="AA666" s="124"/>
      <c r="AB666" s="124"/>
      <c r="AC666" s="124"/>
      <c r="AD666" s="124"/>
      <c r="AE666" s="124"/>
      <c r="AF666" s="124"/>
      <c r="AG666" s="124"/>
      <c r="AH666" s="124"/>
      <c r="AI666" s="124"/>
      <c r="AJ666" s="124"/>
      <c r="AK666" s="124"/>
      <c r="AL666" s="124"/>
      <c r="AM666" s="124"/>
      <c r="AN666" s="124"/>
      <c r="AO666" s="124"/>
      <c r="AP666" s="124"/>
      <c r="AQ666" s="124"/>
    </row>
    <row r="667" spans="1:43" customFormat="1" ht="12.75" hidden="1" thickBot="1">
      <c r="A667" s="25" t="s">
        <v>1220</v>
      </c>
      <c r="B667" s="25" t="s">
        <v>357</v>
      </c>
      <c r="C667" s="25" t="s">
        <v>987</v>
      </c>
      <c r="D667" s="693" t="s">
        <v>606</v>
      </c>
      <c r="E667" s="29">
        <v>20372</v>
      </c>
      <c r="F667" s="30"/>
      <c r="G667" s="31">
        <v>5921.73</v>
      </c>
      <c r="H667" s="30"/>
      <c r="I667" s="30"/>
      <c r="J667" s="30"/>
      <c r="K667" s="30"/>
      <c r="L667" s="30"/>
      <c r="M667" s="31">
        <v>63.65</v>
      </c>
      <c r="N667" s="31">
        <v>179.52</v>
      </c>
      <c r="O667" s="30"/>
      <c r="P667" s="30"/>
      <c r="Q667" s="31">
        <v>0</v>
      </c>
      <c r="R667" s="31">
        <v>6164.9</v>
      </c>
      <c r="S667" s="142">
        <f t="shared" si="85"/>
        <v>5921.73</v>
      </c>
      <c r="T667" s="142">
        <f t="shared" si="86"/>
        <v>0</v>
      </c>
      <c r="U667" s="142">
        <f t="shared" si="87"/>
        <v>179.52</v>
      </c>
      <c r="W667" s="601">
        <f t="shared" si="88"/>
        <v>6164.9</v>
      </c>
      <c r="X667" s="601">
        <f t="shared" si="89"/>
        <v>0</v>
      </c>
      <c r="Y667" s="123"/>
      <c r="Z667" s="692">
        <f t="shared" si="84"/>
        <v>5921.73</v>
      </c>
      <c r="AA667" s="124"/>
      <c r="AB667" s="124"/>
      <c r="AC667" s="124"/>
      <c r="AD667" s="124"/>
      <c r="AE667" s="124"/>
      <c r="AF667" s="124"/>
      <c r="AG667" s="124"/>
      <c r="AH667" s="124"/>
      <c r="AI667" s="124"/>
      <c r="AJ667" s="124"/>
      <c r="AK667" s="124"/>
      <c r="AL667" s="124"/>
      <c r="AM667" s="124"/>
      <c r="AN667" s="124"/>
      <c r="AO667" s="124"/>
      <c r="AP667" s="124"/>
      <c r="AQ667" s="124"/>
    </row>
    <row r="668" spans="1:43" customFormat="1" ht="12.75" hidden="1" thickBot="1">
      <c r="A668" s="25" t="s">
        <v>1220</v>
      </c>
      <c r="B668" s="25" t="s">
        <v>358</v>
      </c>
      <c r="C668" s="25" t="s">
        <v>988</v>
      </c>
      <c r="D668" s="693" t="s">
        <v>606</v>
      </c>
      <c r="E668" s="26">
        <v>1691043</v>
      </c>
      <c r="F668" s="27"/>
      <c r="G668" s="28">
        <v>247427.4</v>
      </c>
      <c r="H668" s="27"/>
      <c r="I668" s="27"/>
      <c r="J668" s="27"/>
      <c r="K668" s="27"/>
      <c r="L668" s="27"/>
      <c r="M668" s="28">
        <v>5279.56</v>
      </c>
      <c r="N668" s="28">
        <v>7538.95</v>
      </c>
      <c r="O668" s="27"/>
      <c r="P668" s="27"/>
      <c r="Q668" s="28">
        <v>0</v>
      </c>
      <c r="R668" s="28">
        <v>260245.91</v>
      </c>
      <c r="S668" s="142">
        <f t="shared" si="85"/>
        <v>247427.4</v>
      </c>
      <c r="T668" s="142">
        <f t="shared" si="86"/>
        <v>0</v>
      </c>
      <c r="U668" s="142">
        <f t="shared" si="87"/>
        <v>7538.95</v>
      </c>
      <c r="W668" s="601">
        <f t="shared" si="88"/>
        <v>260245.91</v>
      </c>
      <c r="X668" s="601">
        <f t="shared" si="89"/>
        <v>0</v>
      </c>
      <c r="Y668" s="123"/>
      <c r="Z668" s="692">
        <f t="shared" si="84"/>
        <v>247427.4</v>
      </c>
      <c r="AA668" s="124"/>
      <c r="AB668" s="124"/>
      <c r="AC668" s="124"/>
      <c r="AD668" s="124"/>
      <c r="AE668" s="124"/>
      <c r="AF668" s="124"/>
      <c r="AG668" s="124"/>
      <c r="AH668" s="124"/>
      <c r="AI668" s="124"/>
      <c r="AJ668" s="124"/>
      <c r="AK668" s="124"/>
      <c r="AL668" s="124"/>
      <c r="AM668" s="124"/>
      <c r="AN668" s="124"/>
      <c r="AO668" s="124"/>
      <c r="AP668" s="124"/>
      <c r="AQ668" s="124"/>
    </row>
    <row r="669" spans="1:43" customFormat="1" ht="12.75" hidden="1" thickBot="1">
      <c r="A669" s="25" t="s">
        <v>1220</v>
      </c>
      <c r="B669" s="25" t="s">
        <v>359</v>
      </c>
      <c r="C669" s="25" t="s">
        <v>989</v>
      </c>
      <c r="D669" s="693" t="s">
        <v>606</v>
      </c>
      <c r="E669" s="26">
        <v>107771</v>
      </c>
      <c r="F669" s="27"/>
      <c r="G669" s="28">
        <v>38527.18</v>
      </c>
      <c r="H669" s="27"/>
      <c r="I669" s="27"/>
      <c r="J669" s="27"/>
      <c r="K669" s="27"/>
      <c r="L669" s="27"/>
      <c r="M669" s="28">
        <v>336.8</v>
      </c>
      <c r="N669" s="28">
        <v>1164.8</v>
      </c>
      <c r="O669" s="27"/>
      <c r="P669" s="27"/>
      <c r="Q669" s="28">
        <v>0</v>
      </c>
      <c r="R669" s="28">
        <v>40028.78</v>
      </c>
      <c r="S669" s="142">
        <f t="shared" si="85"/>
        <v>38527.18</v>
      </c>
      <c r="T669" s="142">
        <f t="shared" si="86"/>
        <v>0</v>
      </c>
      <c r="U669" s="142">
        <f t="shared" si="87"/>
        <v>1164.8</v>
      </c>
      <c r="W669" s="601">
        <f t="shared" si="88"/>
        <v>40028.780000000006</v>
      </c>
      <c r="X669" s="601">
        <f t="shared" si="89"/>
        <v>0</v>
      </c>
      <c r="Y669" s="123"/>
      <c r="Z669" s="692">
        <f t="shared" si="84"/>
        <v>38527.18</v>
      </c>
      <c r="AA669" s="124"/>
      <c r="AB669" s="124"/>
      <c r="AC669" s="124"/>
      <c r="AD669" s="124"/>
      <c r="AE669" s="124"/>
      <c r="AF669" s="124"/>
      <c r="AG669" s="124"/>
      <c r="AH669" s="124"/>
      <c r="AI669" s="124"/>
      <c r="AJ669" s="124"/>
      <c r="AK669" s="124"/>
      <c r="AL669" s="124"/>
      <c r="AM669" s="124"/>
      <c r="AN669" s="124"/>
      <c r="AO669" s="124"/>
      <c r="AP669" s="124"/>
      <c r="AQ669" s="124"/>
    </row>
    <row r="670" spans="1:43" customFormat="1" ht="12.75" hidden="1" thickBot="1">
      <c r="A670" s="25" t="s">
        <v>1220</v>
      </c>
      <c r="B670" s="25" t="s">
        <v>360</v>
      </c>
      <c r="C670" s="25" t="s">
        <v>990</v>
      </c>
      <c r="D670" s="693" t="s">
        <v>498</v>
      </c>
      <c r="E670" s="29">
        <v>332</v>
      </c>
      <c r="F670" s="30"/>
      <c r="G670" s="31">
        <v>66.78</v>
      </c>
      <c r="H670" s="30"/>
      <c r="I670" s="30"/>
      <c r="J670" s="30"/>
      <c r="K670" s="30"/>
      <c r="L670" s="30"/>
      <c r="M670" s="31">
        <v>0.95</v>
      </c>
      <c r="N670" s="31">
        <v>1.96</v>
      </c>
      <c r="O670" s="30"/>
      <c r="P670" s="30"/>
      <c r="Q670" s="31">
        <v>0</v>
      </c>
      <c r="R670" s="31">
        <v>69.69</v>
      </c>
      <c r="S670" s="142">
        <f t="shared" si="85"/>
        <v>66.78</v>
      </c>
      <c r="T670" s="142">
        <f t="shared" si="86"/>
        <v>0</v>
      </c>
      <c r="U670" s="142">
        <f t="shared" si="87"/>
        <v>1.96</v>
      </c>
      <c r="W670" s="601">
        <f t="shared" si="88"/>
        <v>69.69</v>
      </c>
      <c r="X670" s="601">
        <f t="shared" si="89"/>
        <v>0</v>
      </c>
      <c r="Y670" s="123"/>
      <c r="Z670" s="692">
        <f t="shared" si="84"/>
        <v>66.78</v>
      </c>
      <c r="AA670" s="124"/>
      <c r="AB670" s="124"/>
      <c r="AC670" s="124"/>
      <c r="AD670" s="124"/>
      <c r="AE670" s="124"/>
      <c r="AF670" s="124"/>
      <c r="AG670" s="124"/>
      <c r="AH670" s="124"/>
      <c r="AI670" s="124"/>
      <c r="AJ670" s="124"/>
      <c r="AK670" s="124"/>
      <c r="AL670" s="124"/>
      <c r="AM670" s="124"/>
      <c r="AN670" s="124"/>
      <c r="AO670" s="124"/>
      <c r="AP670" s="124"/>
      <c r="AQ670" s="124"/>
    </row>
    <row r="671" spans="1:43" customFormat="1" ht="12.75" hidden="1" thickBot="1">
      <c r="A671" s="25" t="s">
        <v>1220</v>
      </c>
      <c r="B671" s="25" t="s">
        <v>365</v>
      </c>
      <c r="C671" s="25" t="s">
        <v>991</v>
      </c>
      <c r="D671" s="693" t="s">
        <v>606</v>
      </c>
      <c r="E671" s="26">
        <v>991</v>
      </c>
      <c r="F671" s="27"/>
      <c r="G671" s="28">
        <v>311.08</v>
      </c>
      <c r="H671" s="27"/>
      <c r="I671" s="27"/>
      <c r="J671" s="27"/>
      <c r="K671" s="27"/>
      <c r="L671" s="27"/>
      <c r="M671" s="28">
        <v>3.15</v>
      </c>
      <c r="N671" s="28">
        <v>9.4700000000000006</v>
      </c>
      <c r="O671" s="27"/>
      <c r="P671" s="27"/>
      <c r="Q671" s="28">
        <v>0</v>
      </c>
      <c r="R671" s="28">
        <v>323.7</v>
      </c>
      <c r="S671" s="142">
        <f t="shared" si="85"/>
        <v>311.08</v>
      </c>
      <c r="T671" s="142">
        <f t="shared" si="86"/>
        <v>0</v>
      </c>
      <c r="U671" s="142">
        <f t="shared" si="87"/>
        <v>9.4700000000000006</v>
      </c>
      <c r="W671" s="601">
        <f t="shared" si="88"/>
        <v>323.7</v>
      </c>
      <c r="X671" s="601">
        <f t="shared" si="89"/>
        <v>0</v>
      </c>
      <c r="Y671" s="123"/>
      <c r="Z671" s="692">
        <f t="shared" si="84"/>
        <v>311.08</v>
      </c>
      <c r="AA671" s="124"/>
      <c r="AB671" s="124"/>
      <c r="AC671" s="124"/>
      <c r="AD671" s="124"/>
      <c r="AE671" s="124"/>
      <c r="AF671" s="124"/>
      <c r="AG671" s="124"/>
      <c r="AH671" s="124"/>
      <c r="AI671" s="124"/>
      <c r="AJ671" s="124"/>
      <c r="AK671" s="124"/>
      <c r="AL671" s="124"/>
      <c r="AM671" s="124"/>
      <c r="AN671" s="124"/>
      <c r="AO671" s="124"/>
      <c r="AP671" s="124"/>
      <c r="AQ671" s="124"/>
    </row>
    <row r="672" spans="1:43" customFormat="1" ht="12.75" hidden="1" thickBot="1">
      <c r="A672" s="25" t="s">
        <v>1220</v>
      </c>
      <c r="B672" s="25" t="s">
        <v>366</v>
      </c>
      <c r="C672" s="25" t="s">
        <v>992</v>
      </c>
      <c r="D672" s="693" t="s">
        <v>498</v>
      </c>
      <c r="E672" s="29">
        <v>81</v>
      </c>
      <c r="F672" s="30"/>
      <c r="G672" s="31">
        <v>30.14</v>
      </c>
      <c r="H672" s="30"/>
      <c r="I672" s="30"/>
      <c r="J672" s="30"/>
      <c r="K672" s="30"/>
      <c r="L672" s="30"/>
      <c r="M672" s="31">
        <v>0.26</v>
      </c>
      <c r="N672" s="31">
        <v>0.92</v>
      </c>
      <c r="O672" s="30"/>
      <c r="P672" s="30"/>
      <c r="Q672" s="31">
        <v>0</v>
      </c>
      <c r="R672" s="31">
        <v>31.32</v>
      </c>
      <c r="S672" s="142">
        <f t="shared" si="85"/>
        <v>30.14</v>
      </c>
      <c r="T672" s="142">
        <f t="shared" si="86"/>
        <v>0</v>
      </c>
      <c r="U672" s="142">
        <f t="shared" si="87"/>
        <v>0.92</v>
      </c>
      <c r="W672" s="601">
        <f t="shared" si="88"/>
        <v>31.320000000000004</v>
      </c>
      <c r="X672" s="601">
        <f t="shared" si="89"/>
        <v>0</v>
      </c>
      <c r="Y672" s="123"/>
      <c r="Z672" s="692">
        <f t="shared" si="84"/>
        <v>30.14</v>
      </c>
      <c r="AA672" s="124"/>
      <c r="AB672" s="124"/>
      <c r="AC672" s="124"/>
      <c r="AD672" s="124"/>
      <c r="AE672" s="124"/>
      <c r="AF672" s="124"/>
      <c r="AG672" s="124"/>
      <c r="AH672" s="124"/>
      <c r="AI672" s="124"/>
      <c r="AJ672" s="124"/>
      <c r="AK672" s="124"/>
      <c r="AL672" s="124"/>
      <c r="AM672" s="124"/>
      <c r="AN672" s="124"/>
      <c r="AO672" s="124"/>
      <c r="AP672" s="124"/>
      <c r="AQ672" s="124"/>
    </row>
    <row r="673" spans="1:43" customFormat="1" ht="12.75" hidden="1" thickBot="1">
      <c r="A673" s="25" t="s">
        <v>1220</v>
      </c>
      <c r="B673" s="25" t="s">
        <v>367</v>
      </c>
      <c r="C673" s="25" t="s">
        <v>993</v>
      </c>
      <c r="D673" s="693" t="s">
        <v>606</v>
      </c>
      <c r="E673" s="26">
        <v>40343</v>
      </c>
      <c r="F673" s="27"/>
      <c r="G673" s="28">
        <v>7960.69</v>
      </c>
      <c r="H673" s="27"/>
      <c r="I673" s="27"/>
      <c r="J673" s="27"/>
      <c r="K673" s="27"/>
      <c r="L673" s="27"/>
      <c r="M673" s="28">
        <v>125.9</v>
      </c>
      <c r="N673" s="28">
        <v>241.21</v>
      </c>
      <c r="O673" s="27"/>
      <c r="P673" s="27"/>
      <c r="Q673" s="28">
        <v>0</v>
      </c>
      <c r="R673" s="28">
        <v>8327.7999999999993</v>
      </c>
      <c r="S673" s="142">
        <f t="shared" si="85"/>
        <v>7960.69</v>
      </c>
      <c r="T673" s="142">
        <f t="shared" si="86"/>
        <v>0</v>
      </c>
      <c r="U673" s="142">
        <f t="shared" si="87"/>
        <v>241.21</v>
      </c>
      <c r="W673" s="601">
        <f t="shared" si="88"/>
        <v>8327.7999999999993</v>
      </c>
      <c r="X673" s="601">
        <f t="shared" si="89"/>
        <v>0</v>
      </c>
      <c r="Y673" s="123"/>
      <c r="Z673" s="692">
        <f t="shared" si="84"/>
        <v>7960.69</v>
      </c>
      <c r="AA673" s="124"/>
      <c r="AB673" s="124"/>
      <c r="AC673" s="124"/>
      <c r="AD673" s="124"/>
      <c r="AE673" s="124"/>
      <c r="AF673" s="124"/>
      <c r="AG673" s="124"/>
      <c r="AH673" s="124"/>
      <c r="AI673" s="124"/>
      <c r="AJ673" s="124"/>
      <c r="AK673" s="124"/>
      <c r="AL673" s="124"/>
      <c r="AM673" s="124"/>
      <c r="AN673" s="124"/>
      <c r="AO673" s="124"/>
      <c r="AP673" s="124"/>
      <c r="AQ673" s="124"/>
    </row>
    <row r="674" spans="1:43" customFormat="1" ht="12.75" hidden="1" thickBot="1">
      <c r="A674" s="25" t="s">
        <v>1220</v>
      </c>
      <c r="B674" s="25" t="s">
        <v>368</v>
      </c>
      <c r="C674" s="25" t="s">
        <v>994</v>
      </c>
      <c r="D674" s="693" t="s">
        <v>498</v>
      </c>
      <c r="E674" s="29">
        <v>5224</v>
      </c>
      <c r="F674" s="30"/>
      <c r="G674" s="31">
        <v>1159.1199999999999</v>
      </c>
      <c r="H674" s="30"/>
      <c r="I674" s="30"/>
      <c r="J674" s="30"/>
      <c r="K674" s="30"/>
      <c r="L674" s="30"/>
      <c r="M674" s="31">
        <v>16.57</v>
      </c>
      <c r="N674" s="31">
        <v>35.31</v>
      </c>
      <c r="O674" s="30"/>
      <c r="P674" s="30"/>
      <c r="Q674" s="31">
        <v>0</v>
      </c>
      <c r="R674" s="31">
        <v>1211</v>
      </c>
      <c r="S674" s="142">
        <f t="shared" si="85"/>
        <v>1159.1199999999999</v>
      </c>
      <c r="T674" s="142">
        <f t="shared" si="86"/>
        <v>0</v>
      </c>
      <c r="U674" s="142">
        <f t="shared" si="87"/>
        <v>35.31</v>
      </c>
      <c r="W674" s="601">
        <f t="shared" si="88"/>
        <v>1210.9999999999998</v>
      </c>
      <c r="X674" s="601">
        <f t="shared" si="89"/>
        <v>0</v>
      </c>
      <c r="Y674" s="123"/>
      <c r="Z674" s="692">
        <f t="shared" si="84"/>
        <v>1159.1199999999999</v>
      </c>
      <c r="AA674" s="124"/>
      <c r="AB674" s="124"/>
      <c r="AC674" s="124"/>
      <c r="AD674" s="124"/>
      <c r="AE674" s="124"/>
      <c r="AF674" s="124"/>
      <c r="AG674" s="124"/>
      <c r="AH674" s="124"/>
      <c r="AI674" s="124"/>
      <c r="AJ674" s="124"/>
      <c r="AK674" s="124"/>
      <c r="AL674" s="124"/>
      <c r="AM674" s="124"/>
      <c r="AN674" s="124"/>
      <c r="AO674" s="124"/>
      <c r="AP674" s="124"/>
      <c r="AQ674" s="124"/>
    </row>
    <row r="675" spans="1:43" customFormat="1" ht="12.75" hidden="1" thickBot="1">
      <c r="A675" s="25" t="s">
        <v>1220</v>
      </c>
      <c r="B675" s="25" t="s">
        <v>369</v>
      </c>
      <c r="C675" s="25" t="s">
        <v>995</v>
      </c>
      <c r="D675" s="693" t="s">
        <v>498</v>
      </c>
      <c r="E675" s="26">
        <v>196</v>
      </c>
      <c r="F675" s="27"/>
      <c r="G675" s="28">
        <v>56.84</v>
      </c>
      <c r="H675" s="27"/>
      <c r="I675" s="27"/>
      <c r="J675" s="27"/>
      <c r="K675" s="27"/>
      <c r="L675" s="27"/>
      <c r="M675" s="28">
        <v>0.62</v>
      </c>
      <c r="N675" s="28">
        <v>1.72</v>
      </c>
      <c r="O675" s="27"/>
      <c r="P675" s="27"/>
      <c r="Q675" s="28">
        <v>0</v>
      </c>
      <c r="R675" s="28">
        <v>59.18</v>
      </c>
      <c r="S675" s="142">
        <f t="shared" si="85"/>
        <v>56.84</v>
      </c>
      <c r="T675" s="142">
        <f t="shared" si="86"/>
        <v>0</v>
      </c>
      <c r="U675" s="142">
        <f t="shared" si="87"/>
        <v>1.72</v>
      </c>
      <c r="W675" s="601">
        <f t="shared" si="88"/>
        <v>59.18</v>
      </c>
      <c r="X675" s="601">
        <f t="shared" si="89"/>
        <v>0</v>
      </c>
      <c r="Y675" s="123"/>
      <c r="Z675" s="692">
        <f t="shared" si="84"/>
        <v>56.84</v>
      </c>
      <c r="AA675" s="124"/>
      <c r="AB675" s="124"/>
      <c r="AC675" s="124"/>
      <c r="AD675" s="124"/>
      <c r="AE675" s="124"/>
      <c r="AF675" s="124"/>
      <c r="AG675" s="124"/>
      <c r="AH675" s="124"/>
      <c r="AI675" s="124"/>
      <c r="AJ675" s="124"/>
      <c r="AK675" s="124"/>
      <c r="AL675" s="124"/>
      <c r="AM675" s="124"/>
      <c r="AN675" s="124"/>
      <c r="AO675" s="124"/>
      <c r="AP675" s="124"/>
      <c r="AQ675" s="124"/>
    </row>
    <row r="676" spans="1:43" customFormat="1" ht="12.75" hidden="1" thickBot="1">
      <c r="A676" s="25" t="s">
        <v>1220</v>
      </c>
      <c r="B676" s="25" t="s">
        <v>370</v>
      </c>
      <c r="C676" s="25" t="s">
        <v>996</v>
      </c>
      <c r="D676" s="693" t="s">
        <v>606</v>
      </c>
      <c r="E676" s="29">
        <v>118301</v>
      </c>
      <c r="F676" s="30"/>
      <c r="G676" s="31">
        <v>16163.46</v>
      </c>
      <c r="H676" s="30"/>
      <c r="I676" s="30"/>
      <c r="J676" s="30"/>
      <c r="K676" s="30"/>
      <c r="L676" s="30"/>
      <c r="M676" s="31">
        <v>371.35</v>
      </c>
      <c r="N676" s="31">
        <v>494</v>
      </c>
      <c r="O676" s="30"/>
      <c r="P676" s="30"/>
      <c r="Q676" s="31">
        <v>0</v>
      </c>
      <c r="R676" s="31">
        <v>17028.810000000001</v>
      </c>
      <c r="S676" s="142">
        <f t="shared" si="85"/>
        <v>16163.46</v>
      </c>
      <c r="T676" s="142">
        <f t="shared" si="86"/>
        <v>0</v>
      </c>
      <c r="U676" s="142">
        <f t="shared" si="87"/>
        <v>494</v>
      </c>
      <c r="W676" s="601">
        <f t="shared" si="88"/>
        <v>17028.809999999998</v>
      </c>
      <c r="X676" s="601">
        <f t="shared" si="89"/>
        <v>0</v>
      </c>
      <c r="Y676" s="123"/>
      <c r="Z676" s="692">
        <f t="shared" ref="Z676:Z737" si="90">SUM(F676:K676)</f>
        <v>16163.46</v>
      </c>
      <c r="AA676" s="124"/>
      <c r="AB676" s="124"/>
      <c r="AC676" s="124"/>
      <c r="AD676" s="124"/>
      <c r="AE676" s="124"/>
      <c r="AF676" s="124"/>
      <c r="AG676" s="124"/>
      <c r="AH676" s="124"/>
      <c r="AI676" s="124"/>
      <c r="AJ676" s="124"/>
      <c r="AK676" s="124"/>
      <c r="AL676" s="124"/>
      <c r="AM676" s="124"/>
      <c r="AN676" s="124"/>
      <c r="AO676" s="124"/>
      <c r="AP676" s="124"/>
      <c r="AQ676" s="124"/>
    </row>
    <row r="677" spans="1:43" customFormat="1" ht="12.75" hidden="1" thickBot="1">
      <c r="A677" s="25" t="s">
        <v>1220</v>
      </c>
      <c r="B677" s="25" t="s">
        <v>371</v>
      </c>
      <c r="C677" s="25" t="s">
        <v>997</v>
      </c>
      <c r="D677" s="693" t="s">
        <v>498</v>
      </c>
      <c r="E677" s="26">
        <v>17788</v>
      </c>
      <c r="F677" s="27"/>
      <c r="G677" s="28">
        <v>2643.51</v>
      </c>
      <c r="H677" s="27"/>
      <c r="I677" s="27"/>
      <c r="J677" s="27"/>
      <c r="K677" s="27"/>
      <c r="L677" s="27"/>
      <c r="M677" s="28">
        <v>56.4</v>
      </c>
      <c r="N677" s="28">
        <v>80.959999999999994</v>
      </c>
      <c r="O677" s="27"/>
      <c r="P677" s="27"/>
      <c r="Q677" s="28">
        <v>0</v>
      </c>
      <c r="R677" s="28">
        <v>2780.87</v>
      </c>
      <c r="S677" s="142">
        <f t="shared" si="85"/>
        <v>2643.51</v>
      </c>
      <c r="T677" s="142">
        <f t="shared" si="86"/>
        <v>0</v>
      </c>
      <c r="U677" s="142">
        <f t="shared" si="87"/>
        <v>80.959999999999994</v>
      </c>
      <c r="W677" s="601">
        <f t="shared" si="88"/>
        <v>2780.8700000000003</v>
      </c>
      <c r="X677" s="601">
        <f t="shared" si="89"/>
        <v>0</v>
      </c>
      <c r="Y677" s="123"/>
      <c r="Z677" s="692">
        <f t="shared" si="90"/>
        <v>2643.51</v>
      </c>
      <c r="AA677" s="124"/>
      <c r="AB677" s="124"/>
      <c r="AC677" s="124"/>
      <c r="AD677" s="124"/>
      <c r="AE677" s="124"/>
      <c r="AF677" s="124"/>
      <c r="AG677" s="124"/>
      <c r="AH677" s="124"/>
      <c r="AI677" s="124"/>
      <c r="AJ677" s="124"/>
      <c r="AK677" s="124"/>
      <c r="AL677" s="124"/>
      <c r="AM677" s="124"/>
      <c r="AN677" s="124"/>
      <c r="AO677" s="124"/>
      <c r="AP677" s="124"/>
      <c r="AQ677" s="124"/>
    </row>
    <row r="678" spans="1:43" customFormat="1" ht="12.75" hidden="1" thickBot="1">
      <c r="A678" s="25" t="s">
        <v>1220</v>
      </c>
      <c r="B678" s="25" t="s">
        <v>659</v>
      </c>
      <c r="C678" s="25" t="s">
        <v>998</v>
      </c>
      <c r="D678" s="693" t="s">
        <v>606</v>
      </c>
      <c r="E678" s="29">
        <v>751</v>
      </c>
      <c r="F678" s="30"/>
      <c r="G678" s="31">
        <v>428.94</v>
      </c>
      <c r="H678" s="30"/>
      <c r="I678" s="30"/>
      <c r="J678" s="30"/>
      <c r="K678" s="30"/>
      <c r="L678" s="30"/>
      <c r="M678" s="31">
        <v>2.38</v>
      </c>
      <c r="N678" s="31">
        <v>12.94</v>
      </c>
      <c r="O678" s="30"/>
      <c r="P678" s="30"/>
      <c r="Q678" s="31">
        <v>0</v>
      </c>
      <c r="R678" s="31">
        <v>444.26</v>
      </c>
      <c r="S678" s="142">
        <f t="shared" si="85"/>
        <v>428.94</v>
      </c>
      <c r="T678" s="142">
        <f t="shared" si="86"/>
        <v>0</v>
      </c>
      <c r="U678" s="142">
        <f t="shared" si="87"/>
        <v>12.94</v>
      </c>
      <c r="W678" s="601">
        <f t="shared" si="88"/>
        <v>444.26</v>
      </c>
      <c r="X678" s="601">
        <f t="shared" si="89"/>
        <v>0</v>
      </c>
      <c r="Y678" s="123"/>
      <c r="Z678" s="692">
        <f t="shared" si="90"/>
        <v>428.94</v>
      </c>
      <c r="AA678" s="124"/>
      <c r="AB678" s="124"/>
      <c r="AC678" s="124"/>
      <c r="AD678" s="124"/>
      <c r="AE678" s="124"/>
      <c r="AF678" s="124"/>
      <c r="AG678" s="124"/>
      <c r="AH678" s="124"/>
      <c r="AI678" s="124"/>
      <c r="AJ678" s="124"/>
      <c r="AK678" s="124"/>
      <c r="AL678" s="124"/>
      <c r="AM678" s="124"/>
      <c r="AN678" s="124"/>
      <c r="AO678" s="124"/>
      <c r="AP678" s="124"/>
      <c r="AQ678" s="124"/>
    </row>
    <row r="679" spans="1:43" customFormat="1" ht="12.75" hidden="1" thickBot="1">
      <c r="A679" s="25" t="s">
        <v>1220</v>
      </c>
      <c r="B679" s="25" t="s">
        <v>399</v>
      </c>
      <c r="C679" s="25" t="s">
        <v>999</v>
      </c>
      <c r="D679" s="693" t="s">
        <v>606</v>
      </c>
      <c r="E679" s="26">
        <v>377</v>
      </c>
      <c r="F679" s="27"/>
      <c r="G679" s="28">
        <v>81.84</v>
      </c>
      <c r="H679" s="27"/>
      <c r="I679" s="27"/>
      <c r="J679" s="27"/>
      <c r="K679" s="27"/>
      <c r="L679" s="27"/>
      <c r="M679" s="28">
        <v>1.2</v>
      </c>
      <c r="N679" s="28">
        <v>2.5</v>
      </c>
      <c r="O679" s="27"/>
      <c r="P679" s="27"/>
      <c r="Q679" s="28">
        <v>0</v>
      </c>
      <c r="R679" s="28">
        <v>85.54</v>
      </c>
      <c r="S679" s="142">
        <f t="shared" si="85"/>
        <v>81.84</v>
      </c>
      <c r="T679" s="142">
        <f t="shared" si="86"/>
        <v>0</v>
      </c>
      <c r="U679" s="142">
        <f t="shared" si="87"/>
        <v>2.5</v>
      </c>
      <c r="W679" s="601">
        <f t="shared" si="88"/>
        <v>85.54</v>
      </c>
      <c r="X679" s="601">
        <f t="shared" si="89"/>
        <v>0</v>
      </c>
      <c r="Y679" s="123"/>
      <c r="Z679" s="692">
        <f t="shared" si="90"/>
        <v>81.84</v>
      </c>
      <c r="AA679" s="124"/>
      <c r="AB679" s="124"/>
      <c r="AC679" s="124"/>
      <c r="AD679" s="124"/>
      <c r="AE679" s="124"/>
      <c r="AF679" s="124"/>
      <c r="AG679" s="124"/>
      <c r="AH679" s="124"/>
      <c r="AI679" s="124"/>
      <c r="AJ679" s="124"/>
      <c r="AK679" s="124"/>
      <c r="AL679" s="124"/>
      <c r="AM679" s="124"/>
      <c r="AN679" s="124"/>
      <c r="AO679" s="124"/>
      <c r="AP679" s="124"/>
      <c r="AQ679" s="124"/>
    </row>
    <row r="680" spans="1:43" customFormat="1" ht="12.75" hidden="1" thickBot="1">
      <c r="A680" s="25" t="s">
        <v>1220</v>
      </c>
      <c r="B680" s="25" t="s">
        <v>372</v>
      </c>
      <c r="C680" s="25" t="s">
        <v>1000</v>
      </c>
      <c r="D680" s="693" t="s">
        <v>606</v>
      </c>
      <c r="E680" s="29">
        <v>4188</v>
      </c>
      <c r="F680" s="30"/>
      <c r="G680" s="31">
        <v>1329.24</v>
      </c>
      <c r="H680" s="30"/>
      <c r="I680" s="30"/>
      <c r="J680" s="30"/>
      <c r="K680" s="30"/>
      <c r="L680" s="30"/>
      <c r="M680" s="31">
        <v>13.25</v>
      </c>
      <c r="N680" s="31">
        <v>40.24</v>
      </c>
      <c r="O680" s="30"/>
      <c r="P680" s="30"/>
      <c r="Q680" s="31">
        <v>0</v>
      </c>
      <c r="R680" s="31">
        <v>1382.73</v>
      </c>
      <c r="S680" s="142">
        <f t="shared" si="85"/>
        <v>1329.24</v>
      </c>
      <c r="T680" s="142">
        <f t="shared" si="86"/>
        <v>0</v>
      </c>
      <c r="U680" s="142">
        <f t="shared" si="87"/>
        <v>40.24</v>
      </c>
      <c r="W680" s="601">
        <f t="shared" si="88"/>
        <v>1382.73</v>
      </c>
      <c r="X680" s="601">
        <f t="shared" si="89"/>
        <v>0</v>
      </c>
      <c r="Y680" s="123"/>
      <c r="Z680" s="692">
        <f t="shared" si="90"/>
        <v>1329.24</v>
      </c>
      <c r="AA680" s="124"/>
      <c r="AB680" s="124"/>
      <c r="AC680" s="124"/>
      <c r="AD680" s="124"/>
      <c r="AE680" s="124"/>
      <c r="AF680" s="124"/>
      <c r="AG680" s="124"/>
      <c r="AH680" s="124"/>
      <c r="AI680" s="124"/>
      <c r="AJ680" s="124"/>
      <c r="AK680" s="124"/>
      <c r="AL680" s="124"/>
      <c r="AM680" s="124"/>
      <c r="AN680" s="124"/>
      <c r="AO680" s="124"/>
      <c r="AP680" s="124"/>
      <c r="AQ680" s="124"/>
    </row>
    <row r="681" spans="1:43" customFormat="1" ht="12.75" hidden="1" thickBot="1">
      <c r="A681" s="25" t="s">
        <v>1220</v>
      </c>
      <c r="B681" s="25" t="s">
        <v>373</v>
      </c>
      <c r="C681" s="25" t="s">
        <v>1001</v>
      </c>
      <c r="D681" s="693" t="s">
        <v>606</v>
      </c>
      <c r="E681" s="26">
        <v>575</v>
      </c>
      <c r="F681" s="27"/>
      <c r="G681" s="28">
        <v>85.12</v>
      </c>
      <c r="H681" s="27"/>
      <c r="I681" s="27"/>
      <c r="J681" s="27"/>
      <c r="K681" s="27"/>
      <c r="L681" s="27"/>
      <c r="M681" s="28">
        <v>1.82</v>
      </c>
      <c r="N681" s="28">
        <v>2.61</v>
      </c>
      <c r="O681" s="27"/>
      <c r="P681" s="27"/>
      <c r="Q681" s="28">
        <v>0</v>
      </c>
      <c r="R681" s="28">
        <v>89.55</v>
      </c>
      <c r="S681" s="142">
        <f t="shared" si="85"/>
        <v>85.12</v>
      </c>
      <c r="T681" s="142">
        <f t="shared" si="86"/>
        <v>0</v>
      </c>
      <c r="U681" s="142">
        <f t="shared" si="87"/>
        <v>2.61</v>
      </c>
      <c r="W681" s="601">
        <f t="shared" si="88"/>
        <v>89.55</v>
      </c>
      <c r="X681" s="601">
        <f t="shared" si="89"/>
        <v>0</v>
      </c>
      <c r="Y681" s="123"/>
      <c r="Z681" s="692">
        <f t="shared" si="90"/>
        <v>85.12</v>
      </c>
      <c r="AA681" s="124"/>
      <c r="AB681" s="124"/>
      <c r="AC681" s="124"/>
      <c r="AD681" s="124"/>
      <c r="AE681" s="124"/>
      <c r="AF681" s="124"/>
      <c r="AG681" s="124"/>
      <c r="AH681" s="124"/>
      <c r="AI681" s="124"/>
      <c r="AJ681" s="124"/>
      <c r="AK681" s="124"/>
      <c r="AL681" s="124"/>
      <c r="AM681" s="124"/>
      <c r="AN681" s="124"/>
      <c r="AO681" s="124"/>
      <c r="AP681" s="124"/>
      <c r="AQ681" s="124"/>
    </row>
    <row r="682" spans="1:43" customFormat="1" ht="12.75" hidden="1" thickBot="1">
      <c r="A682" s="25" t="s">
        <v>1220</v>
      </c>
      <c r="B682" s="25" t="s">
        <v>374</v>
      </c>
      <c r="C682" s="25" t="s">
        <v>1002</v>
      </c>
      <c r="D682" s="693" t="s">
        <v>606</v>
      </c>
      <c r="E682" s="29">
        <v>3726</v>
      </c>
      <c r="F682" s="30"/>
      <c r="G682" s="31">
        <v>680.03</v>
      </c>
      <c r="H682" s="30"/>
      <c r="I682" s="30"/>
      <c r="J682" s="30"/>
      <c r="K682" s="30"/>
      <c r="L682" s="30"/>
      <c r="M682" s="31">
        <v>11.81</v>
      </c>
      <c r="N682" s="31">
        <v>20.75</v>
      </c>
      <c r="O682" s="30"/>
      <c r="P682" s="30"/>
      <c r="Q682" s="31">
        <v>0</v>
      </c>
      <c r="R682" s="31">
        <v>712.59</v>
      </c>
      <c r="S682" s="142">
        <f t="shared" si="85"/>
        <v>680.03</v>
      </c>
      <c r="T682" s="142">
        <f t="shared" si="86"/>
        <v>0</v>
      </c>
      <c r="U682" s="142">
        <f t="shared" si="87"/>
        <v>20.75</v>
      </c>
      <c r="W682" s="601">
        <f t="shared" si="88"/>
        <v>712.58999999999992</v>
      </c>
      <c r="X682" s="601">
        <f t="shared" si="89"/>
        <v>0</v>
      </c>
      <c r="Y682" s="123"/>
      <c r="Z682" s="692">
        <f t="shared" si="90"/>
        <v>680.03</v>
      </c>
      <c r="AA682" s="124"/>
      <c r="AB682" s="124"/>
      <c r="AC682" s="124"/>
      <c r="AD682" s="124"/>
      <c r="AE682" s="124"/>
      <c r="AF682" s="124"/>
      <c r="AG682" s="124"/>
      <c r="AH682" s="124"/>
      <c r="AI682" s="124"/>
      <c r="AJ682" s="124"/>
      <c r="AK682" s="124"/>
      <c r="AL682" s="124"/>
      <c r="AM682" s="124"/>
      <c r="AN682" s="124"/>
      <c r="AO682" s="124"/>
      <c r="AP682" s="124"/>
      <c r="AQ682" s="124"/>
    </row>
    <row r="683" spans="1:43" customFormat="1" ht="12.75" hidden="1" thickBot="1">
      <c r="A683" s="25" t="s">
        <v>1220</v>
      </c>
      <c r="B683" s="32" t="s">
        <v>7</v>
      </c>
      <c r="C683" s="33"/>
      <c r="D683" s="33"/>
      <c r="E683" s="43">
        <v>1066800131</v>
      </c>
      <c r="F683" s="44">
        <v>5255697.8499999996</v>
      </c>
      <c r="G683" s="44">
        <v>35293552.549999997</v>
      </c>
      <c r="H683" s="44">
        <v>28832075.969999999</v>
      </c>
      <c r="I683" s="44">
        <v>708181.43</v>
      </c>
      <c r="J683" s="44">
        <v>566043.81999999995</v>
      </c>
      <c r="K683" s="44">
        <v>17316354.539999999</v>
      </c>
      <c r="L683" s="44">
        <v>2716368.17</v>
      </c>
      <c r="M683" s="44">
        <v>3174402.97</v>
      </c>
      <c r="N683" s="44">
        <v>1180422.49</v>
      </c>
      <c r="O683" s="44">
        <v>1579921.91</v>
      </c>
      <c r="P683" s="44">
        <v>-426385.6</v>
      </c>
      <c r="Q683" s="44">
        <v>0</v>
      </c>
      <c r="R683" s="44">
        <v>96205356.400000006</v>
      </c>
      <c r="S683" s="142">
        <f t="shared" si="85"/>
        <v>64833809.949999996</v>
      </c>
      <c r="T683" s="142">
        <f t="shared" si="86"/>
        <v>17882398.359999999</v>
      </c>
      <c r="U683" s="142">
        <f t="shared" si="87"/>
        <v>2760344.4</v>
      </c>
      <c r="W683" s="601">
        <f t="shared" si="88"/>
        <v>96196636.099999994</v>
      </c>
      <c r="X683" s="601">
        <f t="shared" si="89"/>
        <v>-8720.3000000119209</v>
      </c>
      <c r="Y683" s="123"/>
      <c r="Z683" s="692">
        <f t="shared" si="90"/>
        <v>87971906.159999996</v>
      </c>
      <c r="AA683" s="124"/>
      <c r="AB683" s="124"/>
      <c r="AC683" s="124"/>
      <c r="AD683" s="124"/>
      <c r="AE683" s="124"/>
      <c r="AF683" s="124"/>
      <c r="AG683" s="124"/>
      <c r="AH683" s="124"/>
      <c r="AI683" s="124"/>
      <c r="AJ683" s="124"/>
      <c r="AK683" s="124"/>
      <c r="AL683" s="124"/>
      <c r="AM683" s="124"/>
      <c r="AN683" s="124"/>
      <c r="AO683" s="124"/>
      <c r="AP683" s="124"/>
      <c r="AQ683" s="124"/>
    </row>
    <row r="684" spans="1:43" customFormat="1" ht="12.75" thickBot="1">
      <c r="A684" s="25" t="s">
        <v>0</v>
      </c>
      <c r="B684" s="25" t="s">
        <v>4</v>
      </c>
      <c r="C684" s="46"/>
      <c r="D684" s="25"/>
      <c r="E684" s="45" t="s">
        <v>5</v>
      </c>
      <c r="F684" s="45" t="s">
        <v>6</v>
      </c>
      <c r="G684" s="45" t="s">
        <v>6</v>
      </c>
      <c r="H684" s="45" t="s">
        <v>6</v>
      </c>
      <c r="I684" s="45" t="s">
        <v>6</v>
      </c>
      <c r="J684" s="45" t="s">
        <v>6</v>
      </c>
      <c r="K684" s="45" t="s">
        <v>6</v>
      </c>
      <c r="L684" s="45" t="s">
        <v>6</v>
      </c>
      <c r="M684" s="45" t="s">
        <v>6</v>
      </c>
      <c r="N684" s="45" t="s">
        <v>6</v>
      </c>
      <c r="O684" s="45" t="s">
        <v>6</v>
      </c>
      <c r="P684" s="45" t="s">
        <v>6</v>
      </c>
      <c r="Q684" s="45" t="s">
        <v>6</v>
      </c>
      <c r="R684" s="45" t="s">
        <v>6</v>
      </c>
      <c r="S684" s="142" t="e">
        <f t="shared" si="85"/>
        <v>#VALUE!</v>
      </c>
      <c r="T684" s="142" t="e">
        <f t="shared" si="86"/>
        <v>#VALUE!</v>
      </c>
      <c r="U684" s="142" t="e">
        <f t="shared" si="87"/>
        <v>#VALUE!</v>
      </c>
      <c r="W684" s="601">
        <f t="shared" si="88"/>
        <v>0</v>
      </c>
      <c r="X684" s="601" t="e">
        <f t="shared" si="89"/>
        <v>#VALUE!</v>
      </c>
      <c r="Y684" s="123"/>
      <c r="Z684" s="692">
        <f t="shared" si="90"/>
        <v>0</v>
      </c>
      <c r="AA684" s="124"/>
      <c r="AB684" s="124"/>
      <c r="AC684" s="124"/>
      <c r="AD684" s="124"/>
      <c r="AE684" s="124"/>
      <c r="AF684" s="124"/>
      <c r="AG684" s="124"/>
      <c r="AH684" s="124"/>
      <c r="AI684" s="124"/>
      <c r="AJ684" s="124"/>
      <c r="AK684" s="124"/>
      <c r="AL684" s="124"/>
      <c r="AM684" s="124"/>
      <c r="AN684" s="124"/>
      <c r="AO684" s="124"/>
      <c r="AP684" s="124"/>
      <c r="AQ684" s="124"/>
    </row>
    <row r="685" spans="1:43" customFormat="1" ht="12.75" hidden="1" thickBot="1">
      <c r="A685" s="25" t="s">
        <v>1221</v>
      </c>
      <c r="B685" s="25" t="s">
        <v>928</v>
      </c>
      <c r="C685" s="25" t="s">
        <v>929</v>
      </c>
      <c r="D685" s="69" t="s">
        <v>881</v>
      </c>
      <c r="E685" s="20"/>
      <c r="F685" s="20"/>
      <c r="G685" s="20"/>
      <c r="H685" s="20"/>
      <c r="I685" s="20"/>
      <c r="J685" s="20"/>
      <c r="K685" s="20"/>
      <c r="L685" s="20"/>
      <c r="M685" s="20"/>
      <c r="N685" s="20"/>
      <c r="O685" s="20"/>
      <c r="P685" s="20"/>
      <c r="Q685" s="20"/>
      <c r="R685" s="17">
        <v>6614.04</v>
      </c>
      <c r="S685" s="142">
        <f t="shared" si="85"/>
        <v>0</v>
      </c>
      <c r="T685" s="142">
        <f t="shared" si="86"/>
        <v>0</v>
      </c>
      <c r="U685" s="142">
        <f t="shared" si="87"/>
        <v>0</v>
      </c>
      <c r="W685" s="601">
        <f t="shared" si="88"/>
        <v>0</v>
      </c>
      <c r="X685" s="601">
        <f t="shared" si="89"/>
        <v>-6614.04</v>
      </c>
      <c r="Y685" s="123"/>
      <c r="Z685" s="692">
        <f t="shared" si="90"/>
        <v>0</v>
      </c>
      <c r="AA685" s="124"/>
      <c r="AB685" s="124"/>
      <c r="AC685" s="124"/>
      <c r="AD685" s="124"/>
      <c r="AE685" s="124"/>
      <c r="AF685" s="124"/>
      <c r="AG685" s="124"/>
      <c r="AH685" s="124"/>
      <c r="AI685" s="124"/>
      <c r="AJ685" s="124"/>
      <c r="AK685" s="124"/>
      <c r="AL685" s="124"/>
      <c r="AM685" s="124"/>
      <c r="AN685" s="124"/>
      <c r="AO685" s="124"/>
      <c r="AP685" s="124"/>
      <c r="AQ685" s="124"/>
    </row>
    <row r="686" spans="1:43" customFormat="1" ht="12.75" hidden="1" thickBot="1">
      <c r="A686" s="25" t="s">
        <v>1221</v>
      </c>
      <c r="B686" s="25" t="s">
        <v>848</v>
      </c>
      <c r="C686" s="25" t="s">
        <v>849</v>
      </c>
      <c r="D686" s="69" t="s">
        <v>881</v>
      </c>
      <c r="E686" s="19"/>
      <c r="F686" s="19"/>
      <c r="G686" s="19"/>
      <c r="H686" s="19"/>
      <c r="I686" s="19"/>
      <c r="J686" s="19"/>
      <c r="K686" s="19"/>
      <c r="L686" s="19"/>
      <c r="M686" s="19"/>
      <c r="N686" s="19"/>
      <c r="O686" s="19"/>
      <c r="P686" s="19"/>
      <c r="Q686" s="19"/>
      <c r="R686" s="18">
        <v>765.74</v>
      </c>
      <c r="S686" s="142">
        <f t="shared" si="85"/>
        <v>0</v>
      </c>
      <c r="T686" s="142">
        <f t="shared" si="86"/>
        <v>0</v>
      </c>
      <c r="U686" s="142">
        <f t="shared" si="87"/>
        <v>0</v>
      </c>
      <c r="W686" s="601">
        <f t="shared" si="88"/>
        <v>0</v>
      </c>
      <c r="X686" s="601">
        <f t="shared" si="89"/>
        <v>-765.74</v>
      </c>
      <c r="Y686" s="123"/>
      <c r="Z686" s="692">
        <f t="shared" si="90"/>
        <v>0</v>
      </c>
      <c r="AA686" s="124"/>
      <c r="AB686" s="124"/>
      <c r="AC686" s="124"/>
      <c r="AD686" s="124"/>
      <c r="AE686" s="124"/>
      <c r="AF686" s="124"/>
      <c r="AG686" s="124"/>
      <c r="AH686" s="124"/>
      <c r="AI686" s="124"/>
      <c r="AJ686" s="124"/>
      <c r="AK686" s="124"/>
      <c r="AL686" s="124"/>
      <c r="AM686" s="124"/>
      <c r="AN686" s="124"/>
      <c r="AO686" s="124"/>
      <c r="AP686" s="124"/>
      <c r="AQ686" s="124"/>
    </row>
    <row r="687" spans="1:43" customFormat="1" ht="12.75" hidden="1" thickBot="1">
      <c r="A687" s="25" t="s">
        <v>1221</v>
      </c>
      <c r="B687" s="25" t="s">
        <v>930</v>
      </c>
      <c r="C687" s="25" t="s">
        <v>931</v>
      </c>
      <c r="D687" s="69" t="s">
        <v>881</v>
      </c>
      <c r="E687" s="20"/>
      <c r="F687" s="20"/>
      <c r="G687" s="20"/>
      <c r="H687" s="20"/>
      <c r="I687" s="20"/>
      <c r="J687" s="20"/>
      <c r="K687" s="20"/>
      <c r="L687" s="20"/>
      <c r="M687" s="20"/>
      <c r="N687" s="20"/>
      <c r="O687" s="20"/>
      <c r="P687" s="20"/>
      <c r="Q687" s="20"/>
      <c r="R687" s="17">
        <v>1424.87</v>
      </c>
      <c r="S687" s="142">
        <f t="shared" si="85"/>
        <v>0</v>
      </c>
      <c r="T687" s="142">
        <f t="shared" si="86"/>
        <v>0</v>
      </c>
      <c r="U687" s="142">
        <f t="shared" si="87"/>
        <v>0</v>
      </c>
      <c r="W687" s="601">
        <f t="shared" si="88"/>
        <v>0</v>
      </c>
      <c r="X687" s="601">
        <f t="shared" si="89"/>
        <v>-1424.87</v>
      </c>
      <c r="Y687" s="123"/>
      <c r="Z687" s="692">
        <f t="shared" si="90"/>
        <v>0</v>
      </c>
      <c r="AA687" s="124"/>
      <c r="AB687" s="124"/>
      <c r="AC687" s="124"/>
      <c r="AD687" s="124"/>
      <c r="AE687" s="124"/>
      <c r="AF687" s="124"/>
      <c r="AG687" s="124"/>
      <c r="AH687" s="124"/>
      <c r="AI687" s="124"/>
      <c r="AJ687" s="124"/>
      <c r="AK687" s="124"/>
      <c r="AL687" s="124"/>
      <c r="AM687" s="124"/>
      <c r="AN687" s="124"/>
      <c r="AO687" s="124"/>
      <c r="AP687" s="124"/>
      <c r="AQ687" s="124"/>
    </row>
    <row r="688" spans="1:43" customFormat="1" ht="12.75" hidden="1" thickBot="1">
      <c r="A688" s="25" t="s">
        <v>1221</v>
      </c>
      <c r="B688" s="25" t="s">
        <v>1011</v>
      </c>
      <c r="C688" s="25" t="s">
        <v>1119</v>
      </c>
      <c r="D688" s="69" t="s">
        <v>881</v>
      </c>
      <c r="E688" s="19"/>
      <c r="F688" s="19"/>
      <c r="G688" s="19"/>
      <c r="H688" s="19"/>
      <c r="I688" s="19"/>
      <c r="J688" s="19"/>
      <c r="K688" s="19"/>
      <c r="L688" s="19"/>
      <c r="M688" s="19"/>
      <c r="N688" s="19"/>
      <c r="O688" s="19"/>
      <c r="P688" s="19"/>
      <c r="Q688" s="19"/>
      <c r="R688" s="18">
        <v>5</v>
      </c>
      <c r="S688" s="142">
        <f t="shared" si="85"/>
        <v>0</v>
      </c>
      <c r="T688" s="142">
        <f t="shared" si="86"/>
        <v>0</v>
      </c>
      <c r="U688" s="142">
        <f t="shared" si="87"/>
        <v>0</v>
      </c>
      <c r="W688" s="601">
        <f t="shared" si="88"/>
        <v>0</v>
      </c>
      <c r="X688" s="601">
        <f t="shared" si="89"/>
        <v>-5</v>
      </c>
      <c r="Y688" s="123"/>
      <c r="Z688" s="692">
        <f t="shared" si="90"/>
        <v>0</v>
      </c>
      <c r="AA688" s="124"/>
      <c r="AB688" s="124"/>
      <c r="AC688" s="124"/>
      <c r="AD688" s="124"/>
      <c r="AE688" s="124"/>
      <c r="AF688" s="124"/>
      <c r="AG688" s="124"/>
      <c r="AH688" s="124"/>
      <c r="AI688" s="124"/>
      <c r="AJ688" s="124"/>
      <c r="AK688" s="124"/>
      <c r="AL688" s="124"/>
      <c r="AM688" s="124"/>
      <c r="AN688" s="124"/>
      <c r="AO688" s="124"/>
      <c r="AP688" s="124"/>
      <c r="AQ688" s="124"/>
    </row>
    <row r="689" spans="1:43" customFormat="1" ht="12.75" hidden="1" thickBot="1">
      <c r="A689" s="25" t="s">
        <v>1221</v>
      </c>
      <c r="B689" s="25" t="s">
        <v>852</v>
      </c>
      <c r="C689" s="25" t="s">
        <v>1215</v>
      </c>
      <c r="D689" s="69" t="s">
        <v>1125</v>
      </c>
      <c r="E689" s="20"/>
      <c r="F689" s="20"/>
      <c r="G689" s="20"/>
      <c r="H689" s="20"/>
      <c r="I689" s="20"/>
      <c r="J689" s="20"/>
      <c r="K689" s="20"/>
      <c r="L689" s="20"/>
      <c r="M689" s="20"/>
      <c r="N689" s="20"/>
      <c r="O689" s="20"/>
      <c r="P689" s="20"/>
      <c r="Q689" s="20"/>
      <c r="R689" s="20"/>
      <c r="S689" s="142">
        <f t="shared" si="85"/>
        <v>0</v>
      </c>
      <c r="T689" s="142">
        <f t="shared" si="86"/>
        <v>0</v>
      </c>
      <c r="U689" s="142">
        <f t="shared" si="87"/>
        <v>0</v>
      </c>
      <c r="W689" s="601">
        <f t="shared" si="88"/>
        <v>0</v>
      </c>
      <c r="X689" s="601">
        <f t="shared" si="89"/>
        <v>0</v>
      </c>
      <c r="Y689" s="123"/>
      <c r="Z689" s="692">
        <f t="shared" si="90"/>
        <v>0</v>
      </c>
      <c r="AA689" s="124"/>
      <c r="AB689" s="124"/>
      <c r="AC689" s="124"/>
      <c r="AD689" s="124"/>
      <c r="AE689" s="124"/>
      <c r="AF689" s="124"/>
      <c r="AG689" s="124"/>
      <c r="AH689" s="124"/>
      <c r="AI689" s="124"/>
      <c r="AJ689" s="124"/>
      <c r="AK689" s="124"/>
      <c r="AL689" s="124"/>
      <c r="AM689" s="124"/>
      <c r="AN689" s="124"/>
      <c r="AO689" s="124"/>
      <c r="AP689" s="124"/>
      <c r="AQ689" s="124"/>
    </row>
    <row r="690" spans="1:43" customFormat="1" ht="12.75" hidden="1" thickBot="1">
      <c r="A690" s="25" t="s">
        <v>1221</v>
      </c>
      <c r="B690" s="25" t="s">
        <v>407</v>
      </c>
      <c r="C690" s="25" t="s">
        <v>1120</v>
      </c>
      <c r="D690" s="98" t="s">
        <v>892</v>
      </c>
      <c r="E690" s="76">
        <v>8384</v>
      </c>
      <c r="F690" s="19"/>
      <c r="G690" s="18">
        <v>523.34</v>
      </c>
      <c r="H690" s="18">
        <v>228.44</v>
      </c>
      <c r="I690" s="18">
        <v>14.02</v>
      </c>
      <c r="J690" s="19"/>
      <c r="K690" s="19"/>
      <c r="L690" s="18">
        <v>25.4</v>
      </c>
      <c r="M690" s="18">
        <v>11.7</v>
      </c>
      <c r="N690" s="18">
        <v>0</v>
      </c>
      <c r="O690" s="18">
        <v>28.44</v>
      </c>
      <c r="P690" s="19"/>
      <c r="Q690" s="19"/>
      <c r="R690" s="18">
        <v>831.34</v>
      </c>
      <c r="S690" s="142">
        <f t="shared" si="85"/>
        <v>765.8</v>
      </c>
      <c r="T690" s="142">
        <f t="shared" si="86"/>
        <v>0</v>
      </c>
      <c r="U690" s="142">
        <f t="shared" si="87"/>
        <v>28.44</v>
      </c>
      <c r="W690" s="601">
        <f t="shared" si="88"/>
        <v>831.34</v>
      </c>
      <c r="X690" s="601">
        <f t="shared" si="89"/>
        <v>0</v>
      </c>
      <c r="Y690" s="123"/>
      <c r="Z690" s="692">
        <f t="shared" si="90"/>
        <v>765.8</v>
      </c>
      <c r="AA690" s="124"/>
      <c r="AB690" s="124"/>
      <c r="AC690" s="124"/>
      <c r="AD690" s="124"/>
      <c r="AE690" s="124"/>
      <c r="AF690" s="124"/>
      <c r="AG690" s="124"/>
      <c r="AH690" s="124"/>
      <c r="AI690" s="124"/>
      <c r="AJ690" s="124"/>
      <c r="AK690" s="124"/>
      <c r="AL690" s="124"/>
      <c r="AM690" s="124"/>
      <c r="AN690" s="124"/>
      <c r="AO690" s="124"/>
      <c r="AP690" s="124"/>
      <c r="AQ690" s="124"/>
    </row>
    <row r="691" spans="1:43" customFormat="1" ht="12.75" hidden="1" thickBot="1">
      <c r="A691" s="25" t="s">
        <v>1221</v>
      </c>
      <c r="B691" s="25" t="s">
        <v>409</v>
      </c>
      <c r="C691" s="25" t="s">
        <v>140</v>
      </c>
      <c r="D691" s="98" t="s">
        <v>892</v>
      </c>
      <c r="E691" s="77">
        <v>37420763</v>
      </c>
      <c r="F691" s="17">
        <v>557871.55000000005</v>
      </c>
      <c r="G691" s="17">
        <v>2335613.0099999998</v>
      </c>
      <c r="H691" s="17">
        <v>1019612.13</v>
      </c>
      <c r="I691" s="17">
        <v>62407.6</v>
      </c>
      <c r="J691" s="20"/>
      <c r="K691" s="20"/>
      <c r="L691" s="17">
        <v>113185.85</v>
      </c>
      <c r="M691" s="17">
        <v>52454.7</v>
      </c>
      <c r="N691" s="17">
        <v>0</v>
      </c>
      <c r="O691" s="17">
        <v>155103.17000000001</v>
      </c>
      <c r="P691" s="20"/>
      <c r="Q691" s="17">
        <v>0</v>
      </c>
      <c r="R691" s="17">
        <v>4296248.01</v>
      </c>
      <c r="S691" s="142">
        <f t="shared" ref="S691:S752" si="91">G691+H691+I691</f>
        <v>3417632.7399999998</v>
      </c>
      <c r="T691" s="142">
        <f t="shared" ref="T691:T752" si="92">J691+K691</f>
        <v>0</v>
      </c>
      <c r="U691" s="142">
        <f t="shared" ref="U691:U752" si="93">N691+O691</f>
        <v>155103.17000000001</v>
      </c>
      <c r="W691" s="601">
        <f t="shared" si="88"/>
        <v>4296248.01</v>
      </c>
      <c r="X691" s="601">
        <f t="shared" si="89"/>
        <v>0</v>
      </c>
      <c r="Y691" s="123"/>
      <c r="Z691" s="692">
        <f t="shared" si="90"/>
        <v>3975504.2899999996</v>
      </c>
      <c r="AA691" s="124"/>
      <c r="AB691" s="124"/>
      <c r="AC691" s="124"/>
      <c r="AD691" s="124"/>
      <c r="AE691" s="124"/>
      <c r="AF691" s="124"/>
      <c r="AG691" s="124"/>
      <c r="AH691" s="124"/>
      <c r="AI691" s="124"/>
      <c r="AJ691" s="124"/>
      <c r="AK691" s="124"/>
      <c r="AL691" s="124"/>
      <c r="AM691" s="124"/>
      <c r="AN691" s="124"/>
      <c r="AO691" s="124"/>
      <c r="AP691" s="124"/>
      <c r="AQ691" s="124"/>
    </row>
    <row r="692" spans="1:43" customFormat="1" ht="12.75" hidden="1" thickBot="1">
      <c r="A692" s="25" t="s">
        <v>1221</v>
      </c>
      <c r="B692" s="25" t="s">
        <v>410</v>
      </c>
      <c r="C692" s="25" t="s">
        <v>1121</v>
      </c>
      <c r="D692" s="98" t="s">
        <v>892</v>
      </c>
      <c r="E692" s="76">
        <v>13802</v>
      </c>
      <c r="F692" s="18">
        <v>2060</v>
      </c>
      <c r="G692" s="18">
        <v>861.52</v>
      </c>
      <c r="H692" s="18">
        <v>376.1</v>
      </c>
      <c r="I692" s="18">
        <v>23.05</v>
      </c>
      <c r="J692" s="19"/>
      <c r="K692" s="19"/>
      <c r="L692" s="18">
        <v>41.82</v>
      </c>
      <c r="M692" s="18">
        <v>19.05</v>
      </c>
      <c r="N692" s="18">
        <v>0</v>
      </c>
      <c r="O692" s="18">
        <v>151.11000000000001</v>
      </c>
      <c r="P692" s="19"/>
      <c r="Q692" s="19"/>
      <c r="R692" s="18">
        <v>3532.65</v>
      </c>
      <c r="S692" s="142">
        <f t="shared" si="91"/>
        <v>1260.6699999999998</v>
      </c>
      <c r="T692" s="142">
        <f t="shared" si="92"/>
        <v>0</v>
      </c>
      <c r="U692" s="142">
        <f t="shared" si="93"/>
        <v>151.11000000000001</v>
      </c>
      <c r="W692" s="601">
        <f t="shared" si="88"/>
        <v>3532.6500000000005</v>
      </c>
      <c r="X692" s="601">
        <f t="shared" si="89"/>
        <v>0</v>
      </c>
      <c r="Y692" s="123"/>
      <c r="Z692" s="692">
        <f t="shared" si="90"/>
        <v>3320.67</v>
      </c>
      <c r="AA692" s="124"/>
      <c r="AB692" s="124"/>
      <c r="AC692" s="124"/>
      <c r="AD692" s="124"/>
      <c r="AE692" s="124"/>
      <c r="AF692" s="124"/>
      <c r="AG692" s="124"/>
      <c r="AH692" s="124"/>
      <c r="AI692" s="124"/>
      <c r="AJ692" s="124"/>
      <c r="AK692" s="124"/>
      <c r="AL692" s="124"/>
      <c r="AM692" s="124"/>
      <c r="AN692" s="124"/>
      <c r="AO692" s="124"/>
      <c r="AP692" s="124"/>
      <c r="AQ692" s="124"/>
    </row>
    <row r="693" spans="1:43" customFormat="1" ht="12.75" hidden="1" thickBot="1">
      <c r="A693" s="25" t="s">
        <v>1221</v>
      </c>
      <c r="B693" s="25" t="s">
        <v>411</v>
      </c>
      <c r="C693" s="25" t="s">
        <v>1122</v>
      </c>
      <c r="D693" s="98" t="s">
        <v>892</v>
      </c>
      <c r="E693" s="77">
        <v>148268</v>
      </c>
      <c r="F693" s="20"/>
      <c r="G693" s="17">
        <v>9254.7999999999993</v>
      </c>
      <c r="H693" s="17">
        <v>4040.33</v>
      </c>
      <c r="I693" s="17">
        <v>247.67</v>
      </c>
      <c r="J693" s="20"/>
      <c r="K693" s="20"/>
      <c r="L693" s="17">
        <v>449.28</v>
      </c>
      <c r="M693" s="17">
        <v>202.02</v>
      </c>
      <c r="N693" s="17">
        <v>0</v>
      </c>
      <c r="O693" s="17">
        <v>504.23</v>
      </c>
      <c r="P693" s="20"/>
      <c r="Q693" s="20"/>
      <c r="R693" s="17">
        <v>14698.33</v>
      </c>
      <c r="S693" s="142">
        <f t="shared" si="91"/>
        <v>13542.8</v>
      </c>
      <c r="T693" s="142">
        <f t="shared" si="92"/>
        <v>0</v>
      </c>
      <c r="U693" s="142">
        <f t="shared" si="93"/>
        <v>504.23</v>
      </c>
      <c r="W693" s="601">
        <f t="shared" si="88"/>
        <v>14698.33</v>
      </c>
      <c r="X693" s="601">
        <f t="shared" si="89"/>
        <v>0</v>
      </c>
      <c r="Y693" s="123"/>
      <c r="Z693" s="692">
        <f t="shared" si="90"/>
        <v>13542.8</v>
      </c>
      <c r="AA693" s="124"/>
      <c r="AB693" s="124"/>
      <c r="AC693" s="124"/>
      <c r="AD693" s="124"/>
      <c r="AE693" s="124"/>
      <c r="AF693" s="124"/>
      <c r="AG693" s="124"/>
      <c r="AH693" s="124"/>
      <c r="AI693" s="124"/>
      <c r="AJ693" s="124"/>
      <c r="AK693" s="124"/>
      <c r="AL693" s="124"/>
      <c r="AM693" s="124"/>
      <c r="AN693" s="124"/>
      <c r="AO693" s="124"/>
      <c r="AP693" s="124"/>
      <c r="AQ693" s="124"/>
    </row>
    <row r="694" spans="1:43" customFormat="1" ht="12.75" hidden="1" thickBot="1">
      <c r="A694" s="25" t="s">
        <v>1221</v>
      </c>
      <c r="B694" s="25" t="s">
        <v>413</v>
      </c>
      <c r="C694" s="25" t="s">
        <v>454</v>
      </c>
      <c r="D694" s="98" t="s">
        <v>892</v>
      </c>
      <c r="E694" s="76">
        <v>2853</v>
      </c>
      <c r="F694" s="18">
        <v>140</v>
      </c>
      <c r="G694" s="18">
        <v>178.1</v>
      </c>
      <c r="H694" s="18">
        <v>77.739999999999995</v>
      </c>
      <c r="I694" s="18">
        <v>4.76</v>
      </c>
      <c r="J694" s="19"/>
      <c r="K694" s="19"/>
      <c r="L694" s="18">
        <v>8.65</v>
      </c>
      <c r="M694" s="18">
        <v>3.94</v>
      </c>
      <c r="N694" s="18">
        <v>0</v>
      </c>
      <c r="O694" s="18">
        <v>16.760000000000002</v>
      </c>
      <c r="P694" s="19"/>
      <c r="Q694" s="19"/>
      <c r="R694" s="18">
        <v>429.95</v>
      </c>
      <c r="S694" s="142">
        <f t="shared" si="91"/>
        <v>260.59999999999997</v>
      </c>
      <c r="T694" s="142">
        <f t="shared" si="92"/>
        <v>0</v>
      </c>
      <c r="U694" s="142">
        <f t="shared" si="93"/>
        <v>16.760000000000002</v>
      </c>
      <c r="W694" s="601">
        <f t="shared" si="88"/>
        <v>429.95</v>
      </c>
      <c r="X694" s="601">
        <f t="shared" si="89"/>
        <v>0</v>
      </c>
      <c r="Y694" s="123"/>
      <c r="Z694" s="692">
        <f t="shared" si="90"/>
        <v>400.6</v>
      </c>
      <c r="AA694" s="124"/>
      <c r="AB694" s="124"/>
      <c r="AC694" s="124"/>
      <c r="AD694" s="124"/>
      <c r="AE694" s="124"/>
      <c r="AF694" s="124"/>
      <c r="AG694" s="124"/>
      <c r="AH694" s="124"/>
      <c r="AI694" s="124"/>
      <c r="AJ694" s="124"/>
      <c r="AK694" s="124"/>
      <c r="AL694" s="124"/>
      <c r="AM694" s="124"/>
      <c r="AN694" s="124"/>
      <c r="AO694" s="124"/>
      <c r="AP694" s="124"/>
      <c r="AQ694" s="124"/>
    </row>
    <row r="695" spans="1:43" customFormat="1" ht="12.75" hidden="1" thickBot="1">
      <c r="A695" s="25" t="s">
        <v>1221</v>
      </c>
      <c r="B695" s="25" t="s">
        <v>414</v>
      </c>
      <c r="C695" s="25" t="s">
        <v>445</v>
      </c>
      <c r="D695" s="25" t="s">
        <v>20</v>
      </c>
      <c r="E695" s="77">
        <v>163971588</v>
      </c>
      <c r="F695" s="17">
        <v>234975.89</v>
      </c>
      <c r="G695" s="17">
        <v>2189019.35</v>
      </c>
      <c r="H695" s="17">
        <v>4468227.17</v>
      </c>
      <c r="I695" s="20"/>
      <c r="J695" s="17">
        <v>193956.84</v>
      </c>
      <c r="K695" s="17">
        <v>6433060.2599999998</v>
      </c>
      <c r="L695" s="17">
        <v>227920.55</v>
      </c>
      <c r="M695" s="17">
        <v>237520.02</v>
      </c>
      <c r="N695" s="17">
        <v>0</v>
      </c>
      <c r="O695" s="17">
        <v>468506.01</v>
      </c>
      <c r="P695" s="20"/>
      <c r="Q695" s="20"/>
      <c r="R695" s="17">
        <v>14453186.09</v>
      </c>
      <c r="S695" s="142">
        <f t="shared" si="91"/>
        <v>6657246.5199999996</v>
      </c>
      <c r="T695" s="142">
        <f t="shared" si="92"/>
        <v>6627017.0999999996</v>
      </c>
      <c r="U695" s="142">
        <f t="shared" si="93"/>
        <v>468506.01</v>
      </c>
      <c r="W695" s="601">
        <f t="shared" si="88"/>
        <v>14453186.09</v>
      </c>
      <c r="X695" s="601">
        <f t="shared" si="89"/>
        <v>0</v>
      </c>
      <c r="Y695" s="123"/>
      <c r="Z695" s="692">
        <f t="shared" si="90"/>
        <v>13519239.51</v>
      </c>
      <c r="AA695" s="124"/>
      <c r="AB695" s="124"/>
      <c r="AC695" s="124"/>
      <c r="AD695" s="124"/>
      <c r="AE695" s="124"/>
      <c r="AF695" s="124"/>
      <c r="AG695" s="124"/>
      <c r="AH695" s="124"/>
      <c r="AI695" s="124"/>
      <c r="AJ695" s="124"/>
      <c r="AK695" s="124"/>
      <c r="AL695" s="124"/>
      <c r="AM695" s="124"/>
      <c r="AN695" s="124"/>
      <c r="AO695" s="124"/>
      <c r="AP695" s="124"/>
      <c r="AQ695" s="124"/>
    </row>
    <row r="696" spans="1:43" ht="12.75" hidden="1" thickBot="1">
      <c r="A696" s="147" t="s">
        <v>1221</v>
      </c>
      <c r="B696" s="147" t="s">
        <v>415</v>
      </c>
      <c r="C696" s="147" t="s">
        <v>443</v>
      </c>
      <c r="D696" s="153" t="s">
        <v>21</v>
      </c>
      <c r="E696" s="593">
        <v>14857240</v>
      </c>
      <c r="F696" s="594">
        <v>9520</v>
      </c>
      <c r="G696" s="594">
        <v>178435.41</v>
      </c>
      <c r="H696" s="594">
        <v>404859.81</v>
      </c>
      <c r="I696" s="595"/>
      <c r="J696" s="594">
        <v>18546.86</v>
      </c>
      <c r="K696" s="594">
        <v>520471.51</v>
      </c>
      <c r="L696" s="594">
        <v>20651.59</v>
      </c>
      <c r="M696" s="594">
        <v>22672.23</v>
      </c>
      <c r="N696" s="594">
        <v>0</v>
      </c>
      <c r="O696" s="594">
        <v>37660.46</v>
      </c>
      <c r="P696" s="595"/>
      <c r="Q696" s="595"/>
      <c r="R696" s="594">
        <v>1212817.8700000001</v>
      </c>
      <c r="S696" s="590">
        <f t="shared" si="91"/>
        <v>583295.22</v>
      </c>
      <c r="T696" s="590">
        <f t="shared" si="92"/>
        <v>539018.37</v>
      </c>
      <c r="U696" s="590">
        <f t="shared" si="93"/>
        <v>37660.46</v>
      </c>
      <c r="W696" s="368">
        <f t="shared" si="88"/>
        <v>1212817.8699999999</v>
      </c>
      <c r="X696" s="368">
        <f t="shared" si="89"/>
        <v>0</v>
      </c>
      <c r="Y696" s="592"/>
      <c r="Z696" s="692">
        <f t="shared" si="90"/>
        <v>1131833.5899999999</v>
      </c>
      <c r="AA696" s="591"/>
      <c r="AB696" s="591"/>
      <c r="AC696" s="591"/>
      <c r="AD696" s="591"/>
      <c r="AE696" s="591"/>
      <c r="AF696" s="591"/>
      <c r="AG696" s="591"/>
      <c r="AH696" s="591"/>
      <c r="AI696" s="591"/>
      <c r="AJ696" s="591"/>
      <c r="AK696" s="591"/>
      <c r="AL696" s="591"/>
      <c r="AM696" s="591"/>
      <c r="AN696" s="591"/>
      <c r="AO696" s="591"/>
      <c r="AP696" s="591"/>
      <c r="AQ696" s="591"/>
    </row>
    <row r="697" spans="1:43" customFormat="1" ht="12.75" hidden="1" thickBot="1">
      <c r="A697" s="25" t="s">
        <v>1221</v>
      </c>
      <c r="B697" s="25" t="s">
        <v>416</v>
      </c>
      <c r="C697" s="25" t="s">
        <v>446</v>
      </c>
      <c r="D697" s="69" t="s">
        <v>20</v>
      </c>
      <c r="E697" s="77">
        <v>118800</v>
      </c>
      <c r="F697" s="17">
        <v>90</v>
      </c>
      <c r="G697" s="17">
        <v>1585.98</v>
      </c>
      <c r="H697" s="17">
        <v>3237.3</v>
      </c>
      <c r="I697" s="20"/>
      <c r="J697" s="17">
        <v>208.42</v>
      </c>
      <c r="K697" s="17">
        <v>6912.46</v>
      </c>
      <c r="L697" s="17">
        <v>165.13</v>
      </c>
      <c r="M697" s="17">
        <v>376.6</v>
      </c>
      <c r="N697" s="17">
        <v>0</v>
      </c>
      <c r="O697" s="17">
        <v>429.28</v>
      </c>
      <c r="P697" s="20"/>
      <c r="Q697" s="20"/>
      <c r="R697" s="17">
        <v>13005.17</v>
      </c>
      <c r="S697" s="142">
        <f t="shared" si="91"/>
        <v>4823.2800000000007</v>
      </c>
      <c r="T697" s="142">
        <f t="shared" si="92"/>
        <v>7120.88</v>
      </c>
      <c r="U697" s="142">
        <f t="shared" si="93"/>
        <v>429.28</v>
      </c>
      <c r="W697" s="601">
        <f t="shared" si="88"/>
        <v>13005.17</v>
      </c>
      <c r="X697" s="601">
        <f t="shared" si="89"/>
        <v>0</v>
      </c>
      <c r="Y697" s="123"/>
      <c r="Z697" s="692">
        <f t="shared" si="90"/>
        <v>12034.16</v>
      </c>
      <c r="AA697" s="124"/>
      <c r="AB697" s="124"/>
      <c r="AC697" s="124"/>
      <c r="AD697" s="124"/>
      <c r="AE697" s="124"/>
      <c r="AF697" s="124"/>
      <c r="AG697" s="124"/>
      <c r="AH697" s="124"/>
      <c r="AI697" s="124"/>
      <c r="AJ697" s="124"/>
      <c r="AK697" s="124"/>
      <c r="AL697" s="124"/>
      <c r="AM697" s="124"/>
      <c r="AN697" s="124"/>
      <c r="AO697" s="124"/>
      <c r="AP697" s="124"/>
      <c r="AQ697" s="124"/>
    </row>
    <row r="698" spans="1:43" customFormat="1" ht="12.75" hidden="1" thickBot="1">
      <c r="A698" s="25" t="s">
        <v>1221</v>
      </c>
      <c r="B698" s="25" t="s">
        <v>417</v>
      </c>
      <c r="C698" s="25" t="s">
        <v>932</v>
      </c>
      <c r="D698" s="69" t="s">
        <v>920</v>
      </c>
      <c r="E698" s="76">
        <v>66667713</v>
      </c>
      <c r="F698" s="18">
        <v>44650</v>
      </c>
      <c r="G698" s="18">
        <v>843346.48</v>
      </c>
      <c r="H698" s="18">
        <v>1816695.25</v>
      </c>
      <c r="I698" s="19"/>
      <c r="J698" s="18">
        <v>67480.789999999994</v>
      </c>
      <c r="K698" s="18">
        <v>1981849.7</v>
      </c>
      <c r="L698" s="18">
        <v>50667.47</v>
      </c>
      <c r="M698" s="18">
        <v>97486.78</v>
      </c>
      <c r="N698" s="18">
        <v>0</v>
      </c>
      <c r="O698" s="18">
        <v>150761.81</v>
      </c>
      <c r="P698" s="19"/>
      <c r="Q698" s="19"/>
      <c r="R698" s="18">
        <v>5052938.28</v>
      </c>
      <c r="S698" s="142">
        <f t="shared" si="91"/>
        <v>2660041.73</v>
      </c>
      <c r="T698" s="142">
        <f t="shared" si="92"/>
        <v>2049330.49</v>
      </c>
      <c r="U698" s="142">
        <f t="shared" si="93"/>
        <v>150761.81</v>
      </c>
      <c r="W698" s="601">
        <f t="shared" si="88"/>
        <v>5052938.2799999993</v>
      </c>
      <c r="X698" s="601">
        <f t="shared" si="89"/>
        <v>0</v>
      </c>
      <c r="Y698" s="123"/>
      <c r="Z698" s="692">
        <f t="shared" si="90"/>
        <v>4754022.22</v>
      </c>
      <c r="AA698" s="124"/>
      <c r="AB698" s="124"/>
      <c r="AC698" s="124"/>
      <c r="AD698" s="124"/>
      <c r="AE698" s="124"/>
      <c r="AF698" s="124"/>
      <c r="AG698" s="124"/>
      <c r="AH698" s="124"/>
      <c r="AI698" s="124"/>
      <c r="AJ698" s="124"/>
      <c r="AK698" s="124"/>
      <c r="AL698" s="124"/>
      <c r="AM698" s="124"/>
      <c r="AN698" s="124"/>
      <c r="AO698" s="124"/>
      <c r="AP698" s="124"/>
      <c r="AQ698" s="124"/>
    </row>
    <row r="699" spans="1:43" customFormat="1" ht="12.75" hidden="1" thickBot="1">
      <c r="A699" s="25" t="s">
        <v>1221</v>
      </c>
      <c r="B699" s="25" t="s">
        <v>418</v>
      </c>
      <c r="C699" s="25" t="s">
        <v>447</v>
      </c>
      <c r="D699" s="69" t="s">
        <v>448</v>
      </c>
      <c r="E699" s="77">
        <v>36172200</v>
      </c>
      <c r="F699" s="17">
        <v>11100</v>
      </c>
      <c r="G699" s="17">
        <v>392468.37</v>
      </c>
      <c r="H699" s="17">
        <v>985692.45</v>
      </c>
      <c r="I699" s="20"/>
      <c r="J699" s="17">
        <v>32285.42</v>
      </c>
      <c r="K699" s="17">
        <v>1034892.83</v>
      </c>
      <c r="L699" s="17">
        <v>27490.84</v>
      </c>
      <c r="M699" s="17">
        <v>67460.36</v>
      </c>
      <c r="N699" s="17">
        <v>0</v>
      </c>
      <c r="O699" s="17">
        <v>74771.72</v>
      </c>
      <c r="P699" s="20"/>
      <c r="Q699" s="20"/>
      <c r="R699" s="17">
        <v>2626161.9900000002</v>
      </c>
      <c r="S699" s="142">
        <f t="shared" si="91"/>
        <v>1378160.8199999998</v>
      </c>
      <c r="T699" s="142">
        <f t="shared" si="92"/>
        <v>1067178.25</v>
      </c>
      <c r="U699" s="142">
        <f t="shared" si="93"/>
        <v>74771.72</v>
      </c>
      <c r="W699" s="601">
        <f t="shared" si="88"/>
        <v>2626161.9899999998</v>
      </c>
      <c r="X699" s="601">
        <f t="shared" si="89"/>
        <v>0</v>
      </c>
      <c r="Y699" s="123"/>
      <c r="Z699" s="692">
        <f t="shared" si="90"/>
        <v>2456439.0699999998</v>
      </c>
      <c r="AA699" s="124"/>
      <c r="AB699" s="124"/>
      <c r="AC699" s="124"/>
      <c r="AD699" s="124"/>
      <c r="AE699" s="124"/>
      <c r="AF699" s="124"/>
      <c r="AG699" s="124"/>
      <c r="AH699" s="124"/>
      <c r="AI699" s="124"/>
      <c r="AJ699" s="124"/>
      <c r="AK699" s="124"/>
      <c r="AL699" s="124"/>
      <c r="AM699" s="124"/>
      <c r="AN699" s="124"/>
      <c r="AO699" s="124"/>
      <c r="AP699" s="124"/>
      <c r="AQ699" s="124"/>
    </row>
    <row r="700" spans="1:43" customFormat="1" ht="12.75" hidden="1" thickBot="1">
      <c r="A700" s="25" t="s">
        <v>1221</v>
      </c>
      <c r="B700" s="25" t="s">
        <v>420</v>
      </c>
      <c r="C700" s="25" t="s">
        <v>59</v>
      </c>
      <c r="D700" s="69" t="s">
        <v>14</v>
      </c>
      <c r="E700" s="76">
        <v>95639962</v>
      </c>
      <c r="F700" s="18">
        <v>547698.44999999995</v>
      </c>
      <c r="G700" s="18">
        <v>5969876.75</v>
      </c>
      <c r="H700" s="18">
        <v>2606252.9</v>
      </c>
      <c r="I700" s="18">
        <v>159765.17000000001</v>
      </c>
      <c r="J700" s="19"/>
      <c r="K700" s="19"/>
      <c r="L700" s="18">
        <v>286851.82</v>
      </c>
      <c r="M700" s="18">
        <v>135977.76999999999</v>
      </c>
      <c r="N700" s="18">
        <v>-0.18</v>
      </c>
      <c r="O700" s="18">
        <v>352076.12</v>
      </c>
      <c r="P700" s="19"/>
      <c r="Q700" s="19"/>
      <c r="R700" s="18">
        <v>10058498.800000001</v>
      </c>
      <c r="S700" s="142">
        <f t="shared" si="91"/>
        <v>8735894.8200000003</v>
      </c>
      <c r="T700" s="142">
        <f t="shared" si="92"/>
        <v>0</v>
      </c>
      <c r="U700" s="142">
        <f t="shared" si="93"/>
        <v>352075.94</v>
      </c>
      <c r="W700" s="601">
        <f t="shared" si="88"/>
        <v>10058498.799999999</v>
      </c>
      <c r="X700" s="601">
        <f t="shared" si="89"/>
        <v>0</v>
      </c>
      <c r="Y700" s="123"/>
      <c r="Z700" s="692">
        <f t="shared" si="90"/>
        <v>9283593.2699999996</v>
      </c>
      <c r="AA700" s="124"/>
      <c r="AB700" s="124"/>
      <c r="AC700" s="124"/>
      <c r="AD700" s="124"/>
      <c r="AE700" s="124"/>
      <c r="AF700" s="124"/>
      <c r="AG700" s="124"/>
      <c r="AH700" s="124"/>
      <c r="AI700" s="124"/>
      <c r="AJ700" s="124"/>
      <c r="AK700" s="124"/>
      <c r="AL700" s="124"/>
      <c r="AM700" s="124"/>
      <c r="AN700" s="124"/>
      <c r="AO700" s="124"/>
      <c r="AP700" s="124"/>
      <c r="AQ700" s="124"/>
    </row>
    <row r="701" spans="1:43" customFormat="1" ht="12.75" hidden="1" thickBot="1">
      <c r="A701" s="25" t="s">
        <v>1221</v>
      </c>
      <c r="B701" s="25" t="s">
        <v>421</v>
      </c>
      <c r="C701" s="25" t="s">
        <v>1216</v>
      </c>
      <c r="D701" s="69" t="s">
        <v>14</v>
      </c>
      <c r="E701" s="77">
        <v>1875989</v>
      </c>
      <c r="F701" s="20"/>
      <c r="G701" s="17">
        <v>117099.11</v>
      </c>
      <c r="H701" s="17">
        <v>51120.73</v>
      </c>
      <c r="I701" s="17">
        <v>3133.01</v>
      </c>
      <c r="J701" s="20"/>
      <c r="K701" s="20"/>
      <c r="L701" s="17">
        <v>5684.24</v>
      </c>
      <c r="M701" s="17">
        <v>2616.5</v>
      </c>
      <c r="N701" s="17">
        <v>0</v>
      </c>
      <c r="O701" s="17">
        <v>6368.55</v>
      </c>
      <c r="P701" s="20"/>
      <c r="Q701" s="20"/>
      <c r="R701" s="17">
        <v>186022.14</v>
      </c>
      <c r="S701" s="142">
        <f t="shared" si="91"/>
        <v>171352.85</v>
      </c>
      <c r="T701" s="142">
        <f t="shared" si="92"/>
        <v>0</v>
      </c>
      <c r="U701" s="142">
        <f t="shared" si="93"/>
        <v>6368.55</v>
      </c>
      <c r="W701" s="601">
        <f t="shared" si="88"/>
        <v>186022.13999999998</v>
      </c>
      <c r="X701" s="601">
        <f t="shared" si="89"/>
        <v>0</v>
      </c>
      <c r="Y701" s="123"/>
      <c r="Z701" s="692">
        <f t="shared" si="90"/>
        <v>171352.85</v>
      </c>
      <c r="AA701" s="124"/>
      <c r="AB701" s="124"/>
      <c r="AC701" s="124"/>
      <c r="AD701" s="124"/>
      <c r="AE701" s="124"/>
      <c r="AF701" s="124"/>
      <c r="AG701" s="124"/>
      <c r="AH701" s="124"/>
      <c r="AI701" s="124"/>
      <c r="AJ701" s="124"/>
      <c r="AK701" s="124"/>
      <c r="AL701" s="124"/>
      <c r="AM701" s="124"/>
      <c r="AN701" s="124"/>
      <c r="AO701" s="124"/>
      <c r="AP701" s="124"/>
      <c r="AQ701" s="124"/>
    </row>
    <row r="702" spans="1:43" customFormat="1" ht="12.75" hidden="1" thickBot="1">
      <c r="A702" s="25" t="s">
        <v>1221</v>
      </c>
      <c r="B702" s="25" t="s">
        <v>423</v>
      </c>
      <c r="C702" s="25" t="s">
        <v>452</v>
      </c>
      <c r="D702" s="69" t="s">
        <v>14</v>
      </c>
      <c r="E702" s="76">
        <v>182919</v>
      </c>
      <c r="F702" s="18">
        <v>315</v>
      </c>
      <c r="G702" s="18">
        <v>11417.8</v>
      </c>
      <c r="H702" s="18">
        <v>4984.55</v>
      </c>
      <c r="I702" s="18">
        <v>305.48</v>
      </c>
      <c r="J702" s="19"/>
      <c r="K702" s="19"/>
      <c r="L702" s="18">
        <v>554.26</v>
      </c>
      <c r="M702" s="18">
        <v>264.19</v>
      </c>
      <c r="N702" s="18">
        <v>0</v>
      </c>
      <c r="O702" s="18">
        <v>635.91</v>
      </c>
      <c r="P702" s="19"/>
      <c r="Q702" s="19"/>
      <c r="R702" s="18">
        <v>18477.189999999999</v>
      </c>
      <c r="S702" s="142">
        <f t="shared" si="91"/>
        <v>16707.829999999998</v>
      </c>
      <c r="T702" s="142">
        <f t="shared" si="92"/>
        <v>0</v>
      </c>
      <c r="U702" s="142">
        <f t="shared" si="93"/>
        <v>635.91</v>
      </c>
      <c r="W702" s="601">
        <f t="shared" si="88"/>
        <v>18477.189999999995</v>
      </c>
      <c r="X702" s="601">
        <f t="shared" si="89"/>
        <v>0</v>
      </c>
      <c r="Y702" s="123"/>
      <c r="Z702" s="692">
        <f t="shared" si="90"/>
        <v>17022.829999999998</v>
      </c>
      <c r="AA702" s="124"/>
      <c r="AB702" s="124"/>
      <c r="AC702" s="124"/>
      <c r="AD702" s="124"/>
      <c r="AE702" s="124"/>
      <c r="AF702" s="124"/>
      <c r="AG702" s="124"/>
      <c r="AH702" s="124"/>
      <c r="AI702" s="124"/>
      <c r="AJ702" s="124"/>
      <c r="AK702" s="124"/>
      <c r="AL702" s="124"/>
      <c r="AM702" s="124"/>
      <c r="AN702" s="124"/>
      <c r="AO702" s="124"/>
      <c r="AP702" s="124"/>
      <c r="AQ702" s="124"/>
    </row>
    <row r="703" spans="1:43" customFormat="1" ht="12.75" hidden="1" thickBot="1">
      <c r="A703" s="25" t="s">
        <v>1221</v>
      </c>
      <c r="B703" s="25" t="s">
        <v>424</v>
      </c>
      <c r="C703" s="25" t="s">
        <v>463</v>
      </c>
      <c r="D703" s="25" t="s">
        <v>464</v>
      </c>
      <c r="E703" s="77">
        <v>5032800</v>
      </c>
      <c r="F703" s="20"/>
      <c r="G703" s="17">
        <v>49170.45</v>
      </c>
      <c r="H703" s="17">
        <v>137143.79999999999</v>
      </c>
      <c r="I703" s="20"/>
      <c r="J703" s="17">
        <v>3557.32</v>
      </c>
      <c r="K703" s="17">
        <v>95951.72</v>
      </c>
      <c r="L703" s="20"/>
      <c r="M703" s="17">
        <v>6945.27</v>
      </c>
      <c r="N703" s="17">
        <v>0</v>
      </c>
      <c r="O703" s="17">
        <v>7523.18</v>
      </c>
      <c r="P703" s="20"/>
      <c r="Q703" s="20"/>
      <c r="R703" s="17">
        <v>300291.74</v>
      </c>
      <c r="S703" s="142">
        <f t="shared" si="91"/>
        <v>186314.25</v>
      </c>
      <c r="T703" s="142">
        <f t="shared" si="92"/>
        <v>99509.040000000008</v>
      </c>
      <c r="U703" s="142">
        <f t="shared" si="93"/>
        <v>7523.18</v>
      </c>
      <c r="W703" s="601">
        <f t="shared" si="88"/>
        <v>300291.74000000005</v>
      </c>
      <c r="X703" s="601">
        <f t="shared" si="89"/>
        <v>0</v>
      </c>
      <c r="Y703" s="123"/>
      <c r="Z703" s="692">
        <f t="shared" si="90"/>
        <v>285823.29000000004</v>
      </c>
      <c r="AA703" s="124"/>
      <c r="AB703" s="124"/>
      <c r="AC703" s="124"/>
      <c r="AD703" s="124"/>
      <c r="AE703" s="124"/>
      <c r="AF703" s="124"/>
      <c r="AG703" s="124"/>
      <c r="AH703" s="124"/>
      <c r="AI703" s="124"/>
      <c r="AJ703" s="124"/>
      <c r="AK703" s="124"/>
      <c r="AL703" s="124"/>
      <c r="AM703" s="124"/>
      <c r="AN703" s="124"/>
      <c r="AO703" s="124"/>
      <c r="AP703" s="124"/>
      <c r="AQ703" s="124"/>
    </row>
    <row r="704" spans="1:43" customFormat="1" ht="12.75" hidden="1" thickBot="1">
      <c r="A704" s="25" t="s">
        <v>1221</v>
      </c>
      <c r="B704" s="25" t="s">
        <v>1204</v>
      </c>
      <c r="C704" s="25" t="s">
        <v>1206</v>
      </c>
      <c r="D704" s="69" t="s">
        <v>63</v>
      </c>
      <c r="E704" s="19"/>
      <c r="F704" s="19"/>
      <c r="G704" s="19"/>
      <c r="H704" s="19"/>
      <c r="I704" s="19"/>
      <c r="J704" s="19"/>
      <c r="K704" s="19"/>
      <c r="L704" s="19"/>
      <c r="M704" s="19"/>
      <c r="N704" s="19"/>
      <c r="O704" s="19"/>
      <c r="P704" s="18">
        <v>-234548.73</v>
      </c>
      <c r="Q704" s="19"/>
      <c r="R704" s="18">
        <v>-234548.73</v>
      </c>
      <c r="S704" s="142">
        <f t="shared" si="91"/>
        <v>0</v>
      </c>
      <c r="T704" s="142">
        <f t="shared" si="92"/>
        <v>0</v>
      </c>
      <c r="U704" s="142">
        <f t="shared" si="93"/>
        <v>0</v>
      </c>
      <c r="W704" s="601">
        <f t="shared" si="88"/>
        <v>-234548.73</v>
      </c>
      <c r="X704" s="601">
        <f t="shared" si="89"/>
        <v>0</v>
      </c>
      <c r="Y704" s="123"/>
      <c r="Z704" s="692">
        <f t="shared" si="90"/>
        <v>0</v>
      </c>
      <c r="AA704" s="124"/>
      <c r="AB704" s="124"/>
      <c r="AC704" s="124"/>
      <c r="AD704" s="124"/>
      <c r="AE704" s="124"/>
      <c r="AF704" s="124"/>
      <c r="AG704" s="124"/>
      <c r="AH704" s="124"/>
      <c r="AI704" s="124"/>
      <c r="AJ704" s="124"/>
      <c r="AK704" s="124"/>
      <c r="AL704" s="124"/>
      <c r="AM704" s="124"/>
      <c r="AN704" s="124"/>
      <c r="AO704" s="124"/>
      <c r="AP704" s="124"/>
      <c r="AQ704" s="124"/>
    </row>
    <row r="705" spans="1:43" customFormat="1" ht="12.75" hidden="1" thickBot="1">
      <c r="A705" s="25" t="s">
        <v>1221</v>
      </c>
      <c r="B705" s="25" t="s">
        <v>425</v>
      </c>
      <c r="C705" s="25" t="s">
        <v>444</v>
      </c>
      <c r="D705" s="69" t="s">
        <v>63</v>
      </c>
      <c r="E705" s="20"/>
      <c r="F705" s="20"/>
      <c r="G705" s="20"/>
      <c r="H705" s="20"/>
      <c r="I705" s="20"/>
      <c r="J705" s="20"/>
      <c r="K705" s="20"/>
      <c r="L705" s="20"/>
      <c r="M705" s="20"/>
      <c r="N705" s="20"/>
      <c r="O705" s="20"/>
      <c r="P705" s="17">
        <v>0</v>
      </c>
      <c r="Q705" s="20"/>
      <c r="R705" s="17">
        <v>0</v>
      </c>
      <c r="S705" s="142">
        <f t="shared" si="91"/>
        <v>0</v>
      </c>
      <c r="T705" s="142">
        <f t="shared" si="92"/>
        <v>0</v>
      </c>
      <c r="U705" s="142">
        <f t="shared" si="93"/>
        <v>0</v>
      </c>
      <c r="W705" s="601">
        <f t="shared" si="88"/>
        <v>0</v>
      </c>
      <c r="X705" s="601">
        <f t="shared" si="89"/>
        <v>0</v>
      </c>
      <c r="Y705" s="123"/>
      <c r="Z705" s="692">
        <f t="shared" si="90"/>
        <v>0</v>
      </c>
      <c r="AA705" s="124"/>
      <c r="AB705" s="124"/>
      <c r="AC705" s="124"/>
      <c r="AD705" s="124"/>
      <c r="AE705" s="124"/>
      <c r="AF705" s="124"/>
      <c r="AG705" s="124"/>
      <c r="AH705" s="124"/>
      <c r="AI705" s="124"/>
      <c r="AJ705" s="124"/>
      <c r="AK705" s="124"/>
      <c r="AL705" s="124"/>
      <c r="AM705" s="124"/>
      <c r="AN705" s="124"/>
      <c r="AO705" s="124"/>
      <c r="AP705" s="124"/>
      <c r="AQ705" s="124"/>
    </row>
    <row r="706" spans="1:43" customFormat="1" ht="12.75" hidden="1" thickBot="1">
      <c r="A706" s="25" t="s">
        <v>1221</v>
      </c>
      <c r="B706" s="25" t="s">
        <v>854</v>
      </c>
      <c r="C706" s="25" t="s">
        <v>855</v>
      </c>
      <c r="D706" s="69" t="s">
        <v>1125</v>
      </c>
      <c r="E706" s="19"/>
      <c r="F706" s="19"/>
      <c r="G706" s="19"/>
      <c r="H706" s="19"/>
      <c r="I706" s="19"/>
      <c r="J706" s="19"/>
      <c r="K706" s="19"/>
      <c r="L706" s="19"/>
      <c r="M706" s="19"/>
      <c r="N706" s="19"/>
      <c r="O706" s="19"/>
      <c r="P706" s="19"/>
      <c r="Q706" s="19"/>
      <c r="R706" s="19"/>
      <c r="S706" s="142">
        <f t="shared" si="91"/>
        <v>0</v>
      </c>
      <c r="T706" s="142">
        <f t="shared" si="92"/>
        <v>0</v>
      </c>
      <c r="U706" s="142">
        <f t="shared" si="93"/>
        <v>0</v>
      </c>
      <c r="W706" s="601">
        <f t="shared" si="88"/>
        <v>0</v>
      </c>
      <c r="X706" s="601">
        <f t="shared" si="89"/>
        <v>0</v>
      </c>
      <c r="Y706" s="123"/>
      <c r="Z706" s="692">
        <f t="shared" si="90"/>
        <v>0</v>
      </c>
      <c r="AA706" s="124"/>
      <c r="AB706" s="124"/>
      <c r="AC706" s="124"/>
      <c r="AD706" s="124"/>
      <c r="AE706" s="124"/>
      <c r="AF706" s="124"/>
      <c r="AG706" s="124"/>
      <c r="AH706" s="124"/>
      <c r="AI706" s="124"/>
      <c r="AJ706" s="124"/>
      <c r="AK706" s="124"/>
      <c r="AL706" s="124"/>
      <c r="AM706" s="124"/>
      <c r="AN706" s="124"/>
      <c r="AO706" s="124"/>
      <c r="AP706" s="124"/>
      <c r="AQ706" s="124"/>
    </row>
    <row r="707" spans="1:43" customFormat="1" ht="12.75" hidden="1" thickBot="1">
      <c r="A707" s="25" t="s">
        <v>1221</v>
      </c>
      <c r="B707" s="25" t="s">
        <v>426</v>
      </c>
      <c r="C707" s="25" t="s">
        <v>450</v>
      </c>
      <c r="D707" s="69" t="s">
        <v>451</v>
      </c>
      <c r="E707" s="77">
        <v>18328000</v>
      </c>
      <c r="F707" s="20"/>
      <c r="G707" s="17">
        <v>186029.2</v>
      </c>
      <c r="H707" s="17">
        <v>499438</v>
      </c>
      <c r="I707" s="20"/>
      <c r="J707" s="17">
        <v>13497.12</v>
      </c>
      <c r="K707" s="17">
        <v>477858.96</v>
      </c>
      <c r="L707" s="20"/>
      <c r="M707" s="17">
        <v>58099.76</v>
      </c>
      <c r="N707" s="17">
        <v>0</v>
      </c>
      <c r="O707" s="17">
        <v>32446.75</v>
      </c>
      <c r="P707" s="20"/>
      <c r="Q707" s="20"/>
      <c r="R707" s="17">
        <v>1267369.79</v>
      </c>
      <c r="S707" s="142">
        <f t="shared" si="91"/>
        <v>685467.2</v>
      </c>
      <c r="T707" s="142">
        <f t="shared" si="92"/>
        <v>491356.08</v>
      </c>
      <c r="U707" s="142">
        <f t="shared" si="93"/>
        <v>32446.75</v>
      </c>
      <c r="W707" s="601">
        <f t="shared" si="88"/>
        <v>1267369.79</v>
      </c>
      <c r="X707" s="601">
        <f t="shared" si="89"/>
        <v>0</v>
      </c>
      <c r="Y707" s="123"/>
      <c r="Z707" s="692">
        <f t="shared" si="90"/>
        <v>1176823.28</v>
      </c>
      <c r="AA707" s="124"/>
      <c r="AB707" s="124"/>
      <c r="AC707" s="124"/>
      <c r="AD707" s="124"/>
      <c r="AE707" s="124"/>
      <c r="AF707" s="124"/>
      <c r="AG707" s="124"/>
      <c r="AH707" s="124"/>
      <c r="AI707" s="124"/>
      <c r="AJ707" s="124"/>
      <c r="AK707" s="124"/>
      <c r="AL707" s="124"/>
      <c r="AM707" s="124"/>
      <c r="AN707" s="124"/>
      <c r="AO707" s="124"/>
      <c r="AP707" s="124"/>
      <c r="AQ707" s="124"/>
    </row>
    <row r="708" spans="1:43" customFormat="1" ht="12.75" hidden="1" thickBot="1">
      <c r="A708" s="25" t="s">
        <v>1221</v>
      </c>
      <c r="B708" s="25" t="s">
        <v>427</v>
      </c>
      <c r="C708" s="25" t="s">
        <v>54</v>
      </c>
      <c r="D708" s="25" t="s">
        <v>15</v>
      </c>
      <c r="E708" s="76">
        <v>47585401</v>
      </c>
      <c r="F708" s="18">
        <v>8250</v>
      </c>
      <c r="G708" s="18">
        <v>421130.8</v>
      </c>
      <c r="H708" s="18">
        <v>1296702.18</v>
      </c>
      <c r="I708" s="19"/>
      <c r="J708" s="18">
        <v>34598.46</v>
      </c>
      <c r="K708" s="18">
        <v>1013368.17</v>
      </c>
      <c r="L708" s="18">
        <v>0</v>
      </c>
      <c r="M708" s="18">
        <v>125585.24</v>
      </c>
      <c r="N708" s="18">
        <v>0</v>
      </c>
      <c r="O708" s="18">
        <v>71986.759999999995</v>
      </c>
      <c r="P708" s="19"/>
      <c r="Q708" s="19"/>
      <c r="R708" s="18">
        <v>2971621.61</v>
      </c>
      <c r="S708" s="142">
        <f t="shared" si="91"/>
        <v>1717832.98</v>
      </c>
      <c r="T708" s="142">
        <f t="shared" si="92"/>
        <v>1047966.63</v>
      </c>
      <c r="U708" s="142">
        <f t="shared" si="93"/>
        <v>71986.759999999995</v>
      </c>
      <c r="W708" s="601">
        <f t="shared" si="88"/>
        <v>2971621.61</v>
      </c>
      <c r="X708" s="601">
        <f t="shared" si="89"/>
        <v>0</v>
      </c>
      <c r="Y708" s="123"/>
      <c r="Z708" s="692">
        <f t="shared" si="90"/>
        <v>2774049.61</v>
      </c>
      <c r="AA708" s="124"/>
      <c r="AB708" s="124"/>
      <c r="AC708" s="124"/>
      <c r="AD708" s="124"/>
      <c r="AE708" s="124"/>
      <c r="AF708" s="124"/>
      <c r="AG708" s="124"/>
      <c r="AH708" s="124"/>
      <c r="AI708" s="124"/>
      <c r="AJ708" s="124"/>
      <c r="AK708" s="124"/>
      <c r="AL708" s="124"/>
      <c r="AM708" s="124"/>
      <c r="AN708" s="124"/>
      <c r="AO708" s="124"/>
      <c r="AP708" s="124"/>
      <c r="AQ708" s="124"/>
    </row>
    <row r="709" spans="1:43" customFormat="1" ht="12.75" hidden="1" thickBot="1">
      <c r="A709" s="25" t="s">
        <v>1221</v>
      </c>
      <c r="B709" s="25" t="s">
        <v>428</v>
      </c>
      <c r="C709" s="25" t="s">
        <v>458</v>
      </c>
      <c r="D709" s="69" t="s">
        <v>20</v>
      </c>
      <c r="E709" s="77">
        <v>26366617</v>
      </c>
      <c r="F709" s="17">
        <v>22179</v>
      </c>
      <c r="G709" s="17">
        <v>351994.31</v>
      </c>
      <c r="H709" s="17">
        <v>718490.38</v>
      </c>
      <c r="I709" s="20"/>
      <c r="J709" s="17">
        <v>35474.160000000003</v>
      </c>
      <c r="K709" s="17">
        <v>1176559.9099999999</v>
      </c>
      <c r="L709" s="17">
        <v>0</v>
      </c>
      <c r="M709" s="17">
        <v>36710.21</v>
      </c>
      <c r="N709" s="17">
        <v>0</v>
      </c>
      <c r="O709" s="17">
        <v>80202.880000000005</v>
      </c>
      <c r="P709" s="20"/>
      <c r="Q709" s="20"/>
      <c r="R709" s="17">
        <v>2421610.85</v>
      </c>
      <c r="S709" s="142">
        <f t="shared" si="91"/>
        <v>1070484.69</v>
      </c>
      <c r="T709" s="142">
        <f t="shared" si="92"/>
        <v>1212034.0699999998</v>
      </c>
      <c r="U709" s="142">
        <f t="shared" si="93"/>
        <v>80202.880000000005</v>
      </c>
      <c r="W709" s="601">
        <f t="shared" si="88"/>
        <v>2421610.8499999996</v>
      </c>
      <c r="X709" s="601">
        <f t="shared" si="89"/>
        <v>0</v>
      </c>
      <c r="Y709" s="123"/>
      <c r="Z709" s="692">
        <f t="shared" si="90"/>
        <v>2304697.7599999998</v>
      </c>
      <c r="AA709" s="124"/>
      <c r="AB709" s="124"/>
      <c r="AC709" s="124"/>
      <c r="AD709" s="124"/>
      <c r="AE709" s="124"/>
      <c r="AF709" s="124"/>
      <c r="AG709" s="124"/>
      <c r="AH709" s="124"/>
      <c r="AI709" s="124"/>
      <c r="AJ709" s="124"/>
      <c r="AK709" s="124"/>
      <c r="AL709" s="124"/>
      <c r="AM709" s="124"/>
      <c r="AN709" s="124"/>
      <c r="AO709" s="124"/>
      <c r="AP709" s="124"/>
      <c r="AQ709" s="124"/>
    </row>
    <row r="710" spans="1:43" customFormat="1" ht="12.75" hidden="1" thickBot="1">
      <c r="A710" s="25" t="s">
        <v>1221</v>
      </c>
      <c r="B710" s="25" t="s">
        <v>429</v>
      </c>
      <c r="C710" s="25" t="s">
        <v>457</v>
      </c>
      <c r="D710" s="153" t="s">
        <v>21</v>
      </c>
      <c r="E710" s="76">
        <v>1253925</v>
      </c>
      <c r="F710" s="18">
        <v>3740</v>
      </c>
      <c r="G710" s="18">
        <v>15059.62</v>
      </c>
      <c r="H710" s="18">
        <v>34169.46</v>
      </c>
      <c r="I710" s="19"/>
      <c r="J710" s="18">
        <v>2613.17</v>
      </c>
      <c r="K710" s="18">
        <v>73332.100000000006</v>
      </c>
      <c r="L710" s="18">
        <v>0</v>
      </c>
      <c r="M710" s="18">
        <v>2048.31</v>
      </c>
      <c r="N710" s="18">
        <v>0</v>
      </c>
      <c r="O710" s="18">
        <v>4774.34</v>
      </c>
      <c r="P710" s="19"/>
      <c r="Q710" s="19"/>
      <c r="R710" s="18">
        <v>135737</v>
      </c>
      <c r="S710" s="142">
        <f t="shared" si="91"/>
        <v>49229.08</v>
      </c>
      <c r="T710" s="142">
        <f t="shared" si="92"/>
        <v>75945.27</v>
      </c>
      <c r="U710" s="142">
        <f t="shared" si="93"/>
        <v>4774.34</v>
      </c>
      <c r="W710" s="601">
        <f t="shared" si="88"/>
        <v>135737</v>
      </c>
      <c r="X710" s="601">
        <f t="shared" si="89"/>
        <v>0</v>
      </c>
      <c r="Y710" s="123"/>
      <c r="Z710" s="692">
        <f t="shared" si="90"/>
        <v>128914.35</v>
      </c>
      <c r="AA710" s="124"/>
      <c r="AB710" s="124"/>
      <c r="AC710" s="124"/>
      <c r="AD710" s="124"/>
      <c r="AE710" s="124"/>
      <c r="AF710" s="124"/>
      <c r="AG710" s="124"/>
      <c r="AH710" s="124"/>
      <c r="AI710" s="124"/>
      <c r="AJ710" s="124"/>
      <c r="AK710" s="124"/>
      <c r="AL710" s="124"/>
      <c r="AM710" s="124"/>
      <c r="AN710" s="124"/>
      <c r="AO710" s="124"/>
      <c r="AP710" s="124"/>
      <c r="AQ710" s="124"/>
    </row>
    <row r="711" spans="1:43" customFormat="1" ht="12.75" hidden="1" thickBot="1">
      <c r="A711" s="25" t="s">
        <v>1221</v>
      </c>
      <c r="B711" s="25" t="s">
        <v>430</v>
      </c>
      <c r="C711" s="25" t="s">
        <v>933</v>
      </c>
      <c r="D711" s="69" t="s">
        <v>920</v>
      </c>
      <c r="E711" s="77">
        <v>21643240</v>
      </c>
      <c r="F711" s="17">
        <v>16200</v>
      </c>
      <c r="G711" s="17">
        <v>273786.98</v>
      </c>
      <c r="H711" s="17">
        <v>589778.31999999995</v>
      </c>
      <c r="I711" s="20"/>
      <c r="J711" s="17">
        <v>25920.93</v>
      </c>
      <c r="K711" s="17">
        <v>760216.59</v>
      </c>
      <c r="L711" s="17">
        <v>0</v>
      </c>
      <c r="M711" s="17">
        <v>30791.759999999998</v>
      </c>
      <c r="N711" s="17">
        <v>0</v>
      </c>
      <c r="O711" s="17">
        <v>54386.77</v>
      </c>
      <c r="P711" s="20"/>
      <c r="Q711" s="20"/>
      <c r="R711" s="17">
        <v>1751081.35</v>
      </c>
      <c r="S711" s="142">
        <f t="shared" si="91"/>
        <v>863565.29999999993</v>
      </c>
      <c r="T711" s="142">
        <f t="shared" si="92"/>
        <v>786137.52</v>
      </c>
      <c r="U711" s="142">
        <f t="shared" si="93"/>
        <v>54386.77</v>
      </c>
      <c r="W711" s="601">
        <f t="shared" si="88"/>
        <v>1751081.3499999999</v>
      </c>
      <c r="X711" s="601">
        <f t="shared" si="89"/>
        <v>0</v>
      </c>
      <c r="Y711" s="123"/>
      <c r="Z711" s="692">
        <f t="shared" si="90"/>
        <v>1665902.8199999998</v>
      </c>
      <c r="AA711" s="124"/>
      <c r="AB711" s="124"/>
      <c r="AC711" s="124"/>
      <c r="AD711" s="124"/>
      <c r="AE711" s="124"/>
      <c r="AF711" s="124"/>
      <c r="AG711" s="124"/>
      <c r="AH711" s="124"/>
      <c r="AI711" s="124"/>
      <c r="AJ711" s="124"/>
      <c r="AK711" s="124"/>
      <c r="AL711" s="124"/>
      <c r="AM711" s="124"/>
      <c r="AN711" s="124"/>
      <c r="AO711" s="124"/>
      <c r="AP711" s="124"/>
      <c r="AQ711" s="124"/>
    </row>
    <row r="712" spans="1:43" customFormat="1" ht="12.75" hidden="1" thickBot="1">
      <c r="A712" s="25" t="s">
        <v>1221</v>
      </c>
      <c r="B712" s="25" t="s">
        <v>431</v>
      </c>
      <c r="C712" s="25" t="s">
        <v>459</v>
      </c>
      <c r="D712" s="69" t="s">
        <v>460</v>
      </c>
      <c r="E712" s="76">
        <v>140014200</v>
      </c>
      <c r="F712" s="18">
        <v>19500</v>
      </c>
      <c r="G712" s="18">
        <v>1138315.4099999999</v>
      </c>
      <c r="H712" s="18">
        <v>3815386.95</v>
      </c>
      <c r="I712" s="19"/>
      <c r="J712" s="18">
        <v>129907.4</v>
      </c>
      <c r="K712" s="18">
        <v>3589890.25</v>
      </c>
      <c r="L712" s="18">
        <v>0</v>
      </c>
      <c r="M712" s="18">
        <v>269928.92</v>
      </c>
      <c r="N712" s="18">
        <v>0</v>
      </c>
      <c r="O712" s="18">
        <v>243190.66</v>
      </c>
      <c r="P712" s="19"/>
      <c r="Q712" s="19"/>
      <c r="R712" s="18">
        <v>9206119.5899999999</v>
      </c>
      <c r="S712" s="142">
        <f t="shared" si="91"/>
        <v>4953702.3600000003</v>
      </c>
      <c r="T712" s="142">
        <f t="shared" si="92"/>
        <v>3719797.65</v>
      </c>
      <c r="U712" s="142">
        <f t="shared" si="93"/>
        <v>243190.66</v>
      </c>
      <c r="W712" s="601">
        <f t="shared" si="88"/>
        <v>9206119.5900000017</v>
      </c>
      <c r="X712" s="601">
        <f t="shared" si="89"/>
        <v>0</v>
      </c>
      <c r="Y712" s="123"/>
      <c r="Z712" s="692">
        <f t="shared" si="90"/>
        <v>8693000.0100000016</v>
      </c>
      <c r="AA712" s="124"/>
      <c r="AB712" s="124"/>
      <c r="AC712" s="124"/>
      <c r="AD712" s="124"/>
      <c r="AE712" s="124"/>
      <c r="AF712" s="124"/>
      <c r="AG712" s="124"/>
      <c r="AH712" s="124"/>
      <c r="AI712" s="124"/>
      <c r="AJ712" s="124"/>
      <c r="AK712" s="124"/>
      <c r="AL712" s="124"/>
      <c r="AM712" s="124"/>
      <c r="AN712" s="124"/>
      <c r="AO712" s="124"/>
      <c r="AP712" s="124"/>
      <c r="AQ712" s="124"/>
    </row>
    <row r="713" spans="1:43" customFormat="1" ht="12.75" hidden="1" thickBot="1">
      <c r="A713" s="25" t="s">
        <v>1221</v>
      </c>
      <c r="B713" s="25" t="s">
        <v>433</v>
      </c>
      <c r="C713" s="25" t="s">
        <v>462</v>
      </c>
      <c r="D713" s="69" t="s">
        <v>17</v>
      </c>
      <c r="E713" s="77">
        <v>196</v>
      </c>
      <c r="F713" s="20"/>
      <c r="G713" s="17">
        <v>7.1</v>
      </c>
      <c r="H713" s="17">
        <v>5.34</v>
      </c>
      <c r="I713" s="17">
        <v>0.22</v>
      </c>
      <c r="J713" s="20"/>
      <c r="K713" s="20"/>
      <c r="L713" s="20"/>
      <c r="M713" s="17">
        <v>0.27</v>
      </c>
      <c r="N713" s="17">
        <v>0.41</v>
      </c>
      <c r="O713" s="20"/>
      <c r="P713" s="20"/>
      <c r="Q713" s="20"/>
      <c r="R713" s="17">
        <v>13.34</v>
      </c>
      <c r="S713" s="142">
        <f t="shared" si="91"/>
        <v>12.66</v>
      </c>
      <c r="T713" s="142">
        <f t="shared" si="92"/>
        <v>0</v>
      </c>
      <c r="U713" s="142">
        <f t="shared" si="93"/>
        <v>0.41</v>
      </c>
      <c r="W713" s="601">
        <f t="shared" si="88"/>
        <v>13.34</v>
      </c>
      <c r="X713" s="601">
        <f t="shared" si="89"/>
        <v>0</v>
      </c>
      <c r="Y713" s="123"/>
      <c r="Z713" s="692">
        <f t="shared" si="90"/>
        <v>12.66</v>
      </c>
      <c r="AA713" s="124"/>
      <c r="AB713" s="124"/>
      <c r="AC713" s="124"/>
      <c r="AD713" s="124"/>
      <c r="AE713" s="124"/>
      <c r="AF713" s="124"/>
      <c r="AG713" s="124"/>
      <c r="AH713" s="124"/>
      <c r="AI713" s="124"/>
      <c r="AJ713" s="124"/>
      <c r="AK713" s="124"/>
      <c r="AL713" s="124"/>
      <c r="AM713" s="124"/>
      <c r="AN713" s="124"/>
      <c r="AO713" s="124"/>
      <c r="AP713" s="124"/>
      <c r="AQ713" s="124"/>
    </row>
    <row r="714" spans="1:43" customFormat="1" ht="12.75" hidden="1" thickBot="1">
      <c r="A714" s="25" t="s">
        <v>1221</v>
      </c>
      <c r="B714" s="25" t="s">
        <v>434</v>
      </c>
      <c r="C714" s="25" t="s">
        <v>462</v>
      </c>
      <c r="D714" s="69" t="s">
        <v>17</v>
      </c>
      <c r="E714" s="76">
        <v>142012</v>
      </c>
      <c r="F714" s="19"/>
      <c r="G714" s="18">
        <v>5149.2299999999996</v>
      </c>
      <c r="H714" s="18">
        <v>3869.87</v>
      </c>
      <c r="I714" s="18">
        <v>156.16999999999999</v>
      </c>
      <c r="J714" s="19"/>
      <c r="K714" s="19"/>
      <c r="L714" s="19"/>
      <c r="M714" s="18">
        <v>214.72</v>
      </c>
      <c r="N714" s="18">
        <v>296.44</v>
      </c>
      <c r="O714" s="19"/>
      <c r="P714" s="19"/>
      <c r="Q714" s="19"/>
      <c r="R714" s="18">
        <v>9686.43</v>
      </c>
      <c r="S714" s="142">
        <f t="shared" si="91"/>
        <v>9175.2699999999986</v>
      </c>
      <c r="T714" s="142">
        <f t="shared" si="92"/>
        <v>0</v>
      </c>
      <c r="U714" s="142">
        <f t="shared" si="93"/>
        <v>296.44</v>
      </c>
      <c r="W714" s="601">
        <f t="shared" si="88"/>
        <v>9686.4299999999985</v>
      </c>
      <c r="X714" s="601">
        <f t="shared" si="89"/>
        <v>0</v>
      </c>
      <c r="Y714" s="123"/>
      <c r="Z714" s="692">
        <f t="shared" si="90"/>
        <v>9175.2699999999986</v>
      </c>
      <c r="AA714" s="124"/>
      <c r="AB714" s="124"/>
      <c r="AC714" s="124"/>
      <c r="AD714" s="124"/>
      <c r="AE714" s="124"/>
      <c r="AF714" s="124"/>
      <c r="AG714" s="124"/>
      <c r="AH714" s="124"/>
      <c r="AI714" s="124"/>
      <c r="AJ714" s="124"/>
      <c r="AK714" s="124"/>
      <c r="AL714" s="124"/>
      <c r="AM714" s="124"/>
      <c r="AN714" s="124"/>
      <c r="AO714" s="124"/>
      <c r="AP714" s="124"/>
      <c r="AQ714" s="124"/>
    </row>
    <row r="715" spans="1:43" customFormat="1" ht="12.75" hidden="1" thickBot="1">
      <c r="A715" s="25" t="s">
        <v>1221</v>
      </c>
      <c r="B715" s="25" t="s">
        <v>435</v>
      </c>
      <c r="C715" s="25" t="s">
        <v>462</v>
      </c>
      <c r="D715" s="69" t="s">
        <v>17</v>
      </c>
      <c r="E715" s="77">
        <v>75239</v>
      </c>
      <c r="F715" s="20"/>
      <c r="G715" s="17">
        <v>2728.18</v>
      </c>
      <c r="H715" s="17">
        <v>2050.2600000000002</v>
      </c>
      <c r="I715" s="17">
        <v>82.74</v>
      </c>
      <c r="J715" s="20"/>
      <c r="K715" s="20"/>
      <c r="L715" s="20"/>
      <c r="M715" s="17">
        <v>105.23</v>
      </c>
      <c r="N715" s="17">
        <v>157.36000000000001</v>
      </c>
      <c r="O715" s="20"/>
      <c r="P715" s="20"/>
      <c r="Q715" s="20"/>
      <c r="R715" s="17">
        <v>5123.7700000000004</v>
      </c>
      <c r="S715" s="142">
        <f t="shared" si="91"/>
        <v>4861.18</v>
      </c>
      <c r="T715" s="142">
        <f t="shared" si="92"/>
        <v>0</v>
      </c>
      <c r="U715" s="142">
        <f t="shared" si="93"/>
        <v>157.36000000000001</v>
      </c>
      <c r="W715" s="601">
        <f t="shared" si="88"/>
        <v>5123.7699999999995</v>
      </c>
      <c r="X715" s="601">
        <f t="shared" si="89"/>
        <v>0</v>
      </c>
      <c r="Y715" s="123"/>
      <c r="Z715" s="692">
        <f t="shared" si="90"/>
        <v>4861.18</v>
      </c>
      <c r="AA715" s="124"/>
      <c r="AB715" s="124"/>
      <c r="AC715" s="124"/>
      <c r="AD715" s="124"/>
      <c r="AE715" s="124"/>
      <c r="AF715" s="124"/>
      <c r="AG715" s="124"/>
      <c r="AH715" s="124"/>
      <c r="AI715" s="124"/>
      <c r="AJ715" s="124"/>
      <c r="AK715" s="124"/>
      <c r="AL715" s="124"/>
      <c r="AM715" s="124"/>
      <c r="AN715" s="124"/>
      <c r="AO715" s="124"/>
      <c r="AP715" s="124"/>
      <c r="AQ715" s="124"/>
    </row>
    <row r="716" spans="1:43" customFormat="1" ht="12.75" hidden="1" thickBot="1">
      <c r="A716" s="25" t="s">
        <v>1221</v>
      </c>
      <c r="B716" s="25" t="s">
        <v>436</v>
      </c>
      <c r="C716" s="25" t="s">
        <v>55</v>
      </c>
      <c r="D716" s="69" t="s">
        <v>18</v>
      </c>
      <c r="E716" s="76">
        <v>178433</v>
      </c>
      <c r="F716" s="18">
        <v>2922.08</v>
      </c>
      <c r="G716" s="18">
        <v>8605.6200000000008</v>
      </c>
      <c r="H716" s="18">
        <v>4862.3500000000004</v>
      </c>
      <c r="I716" s="18">
        <v>196.43</v>
      </c>
      <c r="J716" s="19"/>
      <c r="K716" s="19"/>
      <c r="L716" s="19"/>
      <c r="M716" s="18">
        <v>273.86</v>
      </c>
      <c r="N716" s="18">
        <v>532.15</v>
      </c>
      <c r="O716" s="19"/>
      <c r="P716" s="19"/>
      <c r="Q716" s="19"/>
      <c r="R716" s="18">
        <v>17392.490000000002</v>
      </c>
      <c r="S716" s="142">
        <f t="shared" si="91"/>
        <v>13664.400000000001</v>
      </c>
      <c r="T716" s="142">
        <f t="shared" si="92"/>
        <v>0</v>
      </c>
      <c r="U716" s="142">
        <f t="shared" si="93"/>
        <v>532.15</v>
      </c>
      <c r="W716" s="601">
        <f t="shared" si="88"/>
        <v>17392.490000000005</v>
      </c>
      <c r="X716" s="601">
        <f t="shared" si="89"/>
        <v>0</v>
      </c>
      <c r="Y716" s="123"/>
      <c r="Z716" s="692">
        <f t="shared" si="90"/>
        <v>16586.480000000003</v>
      </c>
      <c r="AA716" s="124"/>
      <c r="AB716" s="124"/>
      <c r="AC716" s="124"/>
      <c r="AD716" s="124"/>
      <c r="AE716" s="124"/>
      <c r="AF716" s="124"/>
      <c r="AG716" s="124"/>
      <c r="AH716" s="124"/>
      <c r="AI716" s="124"/>
      <c r="AJ716" s="124"/>
      <c r="AK716" s="124"/>
      <c r="AL716" s="124"/>
      <c r="AM716" s="124"/>
      <c r="AN716" s="124"/>
      <c r="AO716" s="124"/>
      <c r="AP716" s="124"/>
      <c r="AQ716" s="124"/>
    </row>
    <row r="717" spans="1:43" customFormat="1" ht="12.75" hidden="1" thickBot="1">
      <c r="A717" s="25" t="s">
        <v>1221</v>
      </c>
      <c r="B717" s="25" t="s">
        <v>437</v>
      </c>
      <c r="C717" s="25" t="s">
        <v>55</v>
      </c>
      <c r="D717" s="69" t="s">
        <v>18</v>
      </c>
      <c r="E717" s="77">
        <v>68742</v>
      </c>
      <c r="F717" s="17">
        <v>435.5</v>
      </c>
      <c r="G717" s="17">
        <v>3315.44</v>
      </c>
      <c r="H717" s="17">
        <v>1873.21</v>
      </c>
      <c r="I717" s="17">
        <v>75.61</v>
      </c>
      <c r="J717" s="20"/>
      <c r="K717" s="20"/>
      <c r="L717" s="20"/>
      <c r="M717" s="17">
        <v>94.86</v>
      </c>
      <c r="N717" s="17">
        <v>183.7</v>
      </c>
      <c r="O717" s="20"/>
      <c r="P717" s="20"/>
      <c r="Q717" s="20"/>
      <c r="R717" s="17">
        <v>5978.32</v>
      </c>
      <c r="S717" s="142">
        <f t="shared" si="91"/>
        <v>5264.2599999999993</v>
      </c>
      <c r="T717" s="142">
        <f t="shared" si="92"/>
        <v>0</v>
      </c>
      <c r="U717" s="142">
        <f t="shared" si="93"/>
        <v>183.7</v>
      </c>
      <c r="W717" s="601">
        <f t="shared" si="88"/>
        <v>5978.3199999999988</v>
      </c>
      <c r="X717" s="601">
        <f t="shared" si="89"/>
        <v>0</v>
      </c>
      <c r="Y717" s="123"/>
      <c r="Z717" s="692">
        <f t="shared" si="90"/>
        <v>5699.7599999999993</v>
      </c>
      <c r="AA717" s="124"/>
      <c r="AB717" s="124"/>
      <c r="AC717" s="124"/>
      <c r="AD717" s="124"/>
      <c r="AE717" s="124"/>
      <c r="AF717" s="124"/>
      <c r="AG717" s="124"/>
      <c r="AH717" s="124"/>
      <c r="AI717" s="124"/>
      <c r="AJ717" s="124"/>
      <c r="AK717" s="124"/>
      <c r="AL717" s="124"/>
      <c r="AM717" s="124"/>
      <c r="AN717" s="124"/>
      <c r="AO717" s="124"/>
      <c r="AP717" s="124"/>
      <c r="AQ717" s="124"/>
    </row>
    <row r="718" spans="1:43" customFormat="1" ht="12.75" hidden="1" thickBot="1">
      <c r="A718" s="25" t="s">
        <v>1221</v>
      </c>
      <c r="B718" s="25" t="s">
        <v>856</v>
      </c>
      <c r="C718" s="25" t="s">
        <v>857</v>
      </c>
      <c r="D718" s="69" t="s">
        <v>1125</v>
      </c>
      <c r="E718" s="19"/>
      <c r="F718" s="19"/>
      <c r="G718" s="19"/>
      <c r="H718" s="19"/>
      <c r="I718" s="19"/>
      <c r="J718" s="19"/>
      <c r="K718" s="19"/>
      <c r="L718" s="19"/>
      <c r="M718" s="19"/>
      <c r="N718" s="19"/>
      <c r="O718" s="19"/>
      <c r="P718" s="19"/>
      <c r="Q718" s="19"/>
      <c r="R718" s="19"/>
      <c r="S718" s="142">
        <f t="shared" si="91"/>
        <v>0</v>
      </c>
      <c r="T718" s="142">
        <f t="shared" si="92"/>
        <v>0</v>
      </c>
      <c r="U718" s="142">
        <f t="shared" si="93"/>
        <v>0</v>
      </c>
      <c r="W718" s="601">
        <f t="shared" ref="W718:W777" si="94">SUM(F718:Q718)</f>
        <v>0</v>
      </c>
      <c r="X718" s="601">
        <f t="shared" ref="X718:X777" si="95">W718-R718</f>
        <v>0</v>
      </c>
      <c r="Y718" s="123"/>
      <c r="Z718" s="692">
        <f t="shared" si="90"/>
        <v>0</v>
      </c>
      <c r="AA718" s="124"/>
      <c r="AB718" s="124"/>
      <c r="AC718" s="124"/>
      <c r="AD718" s="124"/>
      <c r="AE718" s="124"/>
      <c r="AF718" s="124"/>
      <c r="AG718" s="124"/>
      <c r="AH718" s="124"/>
      <c r="AI718" s="124"/>
      <c r="AJ718" s="124"/>
      <c r="AK718" s="124"/>
      <c r="AL718" s="124"/>
      <c r="AM718" s="124"/>
      <c r="AN718" s="124"/>
      <c r="AO718" s="124"/>
      <c r="AP718" s="124"/>
      <c r="AQ718" s="124"/>
    </row>
    <row r="719" spans="1:43" customFormat="1" ht="12.75" hidden="1" thickBot="1">
      <c r="A719" s="25" t="s">
        <v>1221</v>
      </c>
      <c r="B719" s="25" t="s">
        <v>438</v>
      </c>
      <c r="C719" s="25" t="s">
        <v>469</v>
      </c>
      <c r="D719" s="69" t="s">
        <v>13</v>
      </c>
      <c r="E719" s="77">
        <v>666963</v>
      </c>
      <c r="F719" s="20"/>
      <c r="G719" s="17">
        <v>34795.440000000002</v>
      </c>
      <c r="H719" s="17">
        <v>18174.89</v>
      </c>
      <c r="I719" s="17">
        <v>894.01</v>
      </c>
      <c r="J719" s="20"/>
      <c r="K719" s="20"/>
      <c r="L719" s="17">
        <v>3621.4</v>
      </c>
      <c r="M719" s="17">
        <v>922.47</v>
      </c>
      <c r="N719" s="17">
        <v>1851.64</v>
      </c>
      <c r="O719" s="20"/>
      <c r="P719" s="20"/>
      <c r="Q719" s="17">
        <v>0</v>
      </c>
      <c r="R719" s="17">
        <v>60259.85</v>
      </c>
      <c r="S719" s="142">
        <f t="shared" si="91"/>
        <v>53864.340000000004</v>
      </c>
      <c r="T719" s="142">
        <f t="shared" si="92"/>
        <v>0</v>
      </c>
      <c r="U719" s="142">
        <f t="shared" si="93"/>
        <v>1851.64</v>
      </c>
      <c r="W719" s="601">
        <f t="shared" si="94"/>
        <v>60259.850000000006</v>
      </c>
      <c r="X719" s="601">
        <f t="shared" si="95"/>
        <v>0</v>
      </c>
      <c r="Y719" s="123"/>
      <c r="Z719" s="692">
        <f t="shared" si="90"/>
        <v>53864.340000000004</v>
      </c>
      <c r="AA719" s="124"/>
      <c r="AB719" s="124"/>
      <c r="AC719" s="124"/>
      <c r="AD719" s="124"/>
      <c r="AE719" s="124"/>
      <c r="AF719" s="124"/>
      <c r="AG719" s="124"/>
      <c r="AH719" s="124"/>
      <c r="AI719" s="124"/>
      <c r="AJ719" s="124"/>
      <c r="AK719" s="124"/>
      <c r="AL719" s="124"/>
      <c r="AM719" s="124"/>
      <c r="AN719" s="124"/>
      <c r="AO719" s="124"/>
      <c r="AP719" s="124"/>
      <c r="AQ719" s="124"/>
    </row>
    <row r="720" spans="1:43" customFormat="1" ht="12.75" hidden="1" thickBot="1">
      <c r="A720" s="25" t="s">
        <v>1221</v>
      </c>
      <c r="B720" s="25" t="s">
        <v>439</v>
      </c>
      <c r="C720" s="25" t="s">
        <v>466</v>
      </c>
      <c r="D720" s="69" t="s">
        <v>13</v>
      </c>
      <c r="E720" s="76">
        <v>465034657</v>
      </c>
      <c r="F720" s="18">
        <v>3785378.38</v>
      </c>
      <c r="G720" s="18">
        <v>24260798.32</v>
      </c>
      <c r="H720" s="18">
        <v>12672186.210000001</v>
      </c>
      <c r="I720" s="18">
        <v>623128.91</v>
      </c>
      <c r="J720" s="19"/>
      <c r="K720" s="19"/>
      <c r="L720" s="18">
        <v>2525088.7999999998</v>
      </c>
      <c r="M720" s="18">
        <v>642774.93000000005</v>
      </c>
      <c r="N720" s="18">
        <v>1410787.34</v>
      </c>
      <c r="O720" s="19"/>
      <c r="P720" s="19"/>
      <c r="Q720" s="18">
        <v>0</v>
      </c>
      <c r="R720" s="18">
        <v>45920142.890000001</v>
      </c>
      <c r="S720" s="142">
        <f t="shared" si="91"/>
        <v>37556113.439999998</v>
      </c>
      <c r="T720" s="142">
        <f t="shared" si="92"/>
        <v>0</v>
      </c>
      <c r="U720" s="142">
        <f t="shared" si="93"/>
        <v>1410787.34</v>
      </c>
      <c r="W720" s="601">
        <f t="shared" si="94"/>
        <v>45920142.889999993</v>
      </c>
      <c r="X720" s="601">
        <f t="shared" si="95"/>
        <v>0</v>
      </c>
      <c r="Y720" s="123"/>
      <c r="Z720" s="692">
        <f t="shared" si="90"/>
        <v>41341491.819999993</v>
      </c>
      <c r="AA720" s="124"/>
      <c r="AB720" s="124"/>
      <c r="AC720" s="124"/>
      <c r="AD720" s="124"/>
      <c r="AE720" s="124"/>
      <c r="AF720" s="124"/>
      <c r="AG720" s="124"/>
      <c r="AH720" s="124"/>
      <c r="AI720" s="124"/>
      <c r="AJ720" s="124"/>
      <c r="AK720" s="124"/>
      <c r="AL720" s="124"/>
      <c r="AM720" s="124"/>
      <c r="AN720" s="124"/>
      <c r="AO720" s="124"/>
      <c r="AP720" s="124"/>
      <c r="AQ720" s="124"/>
    </row>
    <row r="721" spans="1:43" customFormat="1" ht="12.75" hidden="1" thickBot="1">
      <c r="A721" s="25" t="s">
        <v>1221</v>
      </c>
      <c r="B721" s="25" t="s">
        <v>440</v>
      </c>
      <c r="C721" s="25" t="s">
        <v>467</v>
      </c>
      <c r="D721" s="69" t="s">
        <v>13</v>
      </c>
      <c r="E721" s="77">
        <v>158528</v>
      </c>
      <c r="F721" s="17">
        <v>1443.21</v>
      </c>
      <c r="G721" s="17">
        <v>8270.33</v>
      </c>
      <c r="H721" s="17">
        <v>4319.93</v>
      </c>
      <c r="I721" s="17">
        <v>212.43</v>
      </c>
      <c r="J721" s="20"/>
      <c r="K721" s="20"/>
      <c r="L721" s="17">
        <v>860.75</v>
      </c>
      <c r="M721" s="17">
        <v>224.54</v>
      </c>
      <c r="N721" s="17">
        <v>485.51</v>
      </c>
      <c r="O721" s="20"/>
      <c r="P721" s="20"/>
      <c r="Q721" s="17">
        <v>0</v>
      </c>
      <c r="R721" s="17">
        <v>15816.7</v>
      </c>
      <c r="S721" s="142">
        <f t="shared" si="91"/>
        <v>12802.69</v>
      </c>
      <c r="T721" s="142">
        <f t="shared" si="92"/>
        <v>0</v>
      </c>
      <c r="U721" s="142">
        <f t="shared" si="93"/>
        <v>485.51</v>
      </c>
      <c r="W721" s="601">
        <f t="shared" si="94"/>
        <v>15816.700000000003</v>
      </c>
      <c r="X721" s="601">
        <f t="shared" si="95"/>
        <v>0</v>
      </c>
      <c r="Y721" s="123"/>
      <c r="Z721" s="692">
        <f t="shared" si="90"/>
        <v>14245.900000000001</v>
      </c>
      <c r="AA721" s="124"/>
      <c r="AB721" s="124"/>
      <c r="AC721" s="124"/>
      <c r="AD721" s="124"/>
      <c r="AE721" s="124"/>
      <c r="AF721" s="124"/>
      <c r="AG721" s="124"/>
      <c r="AH721" s="124"/>
      <c r="AI721" s="124"/>
      <c r="AJ721" s="124"/>
      <c r="AK721" s="124"/>
      <c r="AL721" s="124"/>
      <c r="AM721" s="124"/>
      <c r="AN721" s="124"/>
      <c r="AO721" s="124"/>
      <c r="AP721" s="124"/>
      <c r="AQ721" s="124"/>
    </row>
    <row r="722" spans="1:43" customFormat="1" ht="12.75" hidden="1" thickBot="1">
      <c r="A722" s="25" t="s">
        <v>1221</v>
      </c>
      <c r="B722" s="25" t="s">
        <v>441</v>
      </c>
      <c r="C722" s="25" t="s">
        <v>468</v>
      </c>
      <c r="D722" s="69" t="s">
        <v>13</v>
      </c>
      <c r="E722" s="76">
        <v>41344</v>
      </c>
      <c r="F722" s="18">
        <v>64.5</v>
      </c>
      <c r="G722" s="18">
        <v>2156.92</v>
      </c>
      <c r="H722" s="18">
        <v>1126.6199999999999</v>
      </c>
      <c r="I722" s="18">
        <v>55.4</v>
      </c>
      <c r="J722" s="19"/>
      <c r="K722" s="19"/>
      <c r="L722" s="18">
        <v>224.5</v>
      </c>
      <c r="M722" s="18">
        <v>57.05</v>
      </c>
      <c r="N722" s="18">
        <v>116.81</v>
      </c>
      <c r="O722" s="19"/>
      <c r="P722" s="19"/>
      <c r="Q722" s="18">
        <v>0</v>
      </c>
      <c r="R722" s="18">
        <v>3801.8</v>
      </c>
      <c r="S722" s="142">
        <f t="shared" si="91"/>
        <v>3338.94</v>
      </c>
      <c r="T722" s="142">
        <f t="shared" si="92"/>
        <v>0</v>
      </c>
      <c r="U722" s="142">
        <f t="shared" si="93"/>
        <v>116.81</v>
      </c>
      <c r="W722" s="601">
        <f t="shared" si="94"/>
        <v>3801.8</v>
      </c>
      <c r="X722" s="601">
        <f t="shared" si="95"/>
        <v>0</v>
      </c>
      <c r="Y722" s="123"/>
      <c r="Z722" s="692">
        <f t="shared" si="90"/>
        <v>3403.44</v>
      </c>
      <c r="AA722" s="124"/>
      <c r="AB722" s="124"/>
      <c r="AC722" s="124"/>
      <c r="AD722" s="124"/>
      <c r="AE722" s="124"/>
      <c r="AF722" s="124"/>
      <c r="AG722" s="124"/>
      <c r="AH722" s="124"/>
      <c r="AI722" s="124"/>
      <c r="AJ722" s="124"/>
      <c r="AK722" s="124"/>
      <c r="AL722" s="124"/>
      <c r="AM722" s="124"/>
      <c r="AN722" s="124"/>
      <c r="AO722" s="124"/>
      <c r="AP722" s="124"/>
      <c r="AQ722" s="124"/>
    </row>
    <row r="723" spans="1:43" customFormat="1" ht="12.75" hidden="1" thickBot="1">
      <c r="A723" s="25" t="s">
        <v>1221</v>
      </c>
      <c r="B723" s="25" t="s">
        <v>755</v>
      </c>
      <c r="C723" s="25" t="s">
        <v>1124</v>
      </c>
      <c r="D723" s="69" t="s">
        <v>680</v>
      </c>
      <c r="E723" s="77">
        <v>38059</v>
      </c>
      <c r="F723" s="17">
        <v>215</v>
      </c>
      <c r="G723" s="17">
        <v>1991.84</v>
      </c>
      <c r="H723" s="17">
        <v>1037.1099999999999</v>
      </c>
      <c r="I723" s="17">
        <v>50.96</v>
      </c>
      <c r="J723" s="20"/>
      <c r="K723" s="20"/>
      <c r="L723" s="17">
        <v>206.64</v>
      </c>
      <c r="M723" s="17">
        <v>52.51</v>
      </c>
      <c r="N723" s="17">
        <v>112.66</v>
      </c>
      <c r="O723" s="20"/>
      <c r="P723" s="20"/>
      <c r="Q723" s="20"/>
      <c r="R723" s="17">
        <v>3666.72</v>
      </c>
      <c r="S723" s="142">
        <f t="shared" si="91"/>
        <v>3079.91</v>
      </c>
      <c r="T723" s="142">
        <f t="shared" si="92"/>
        <v>0</v>
      </c>
      <c r="U723" s="142">
        <f t="shared" si="93"/>
        <v>112.66</v>
      </c>
      <c r="W723" s="601">
        <f t="shared" si="94"/>
        <v>3666.72</v>
      </c>
      <c r="X723" s="601">
        <f t="shared" si="95"/>
        <v>0</v>
      </c>
      <c r="Y723" s="123"/>
      <c r="Z723" s="692">
        <f t="shared" si="90"/>
        <v>3294.91</v>
      </c>
      <c r="AA723" s="124"/>
      <c r="AB723" s="124"/>
      <c r="AC723" s="124"/>
      <c r="AD723" s="124"/>
      <c r="AE723" s="124"/>
      <c r="AF723" s="124"/>
      <c r="AG723" s="124"/>
      <c r="AH723" s="124"/>
      <c r="AI723" s="124"/>
      <c r="AJ723" s="124"/>
      <c r="AK723" s="124"/>
      <c r="AL723" s="124"/>
      <c r="AM723" s="124"/>
      <c r="AN723" s="124"/>
      <c r="AO723" s="124"/>
      <c r="AP723" s="124"/>
      <c r="AQ723" s="124"/>
    </row>
    <row r="724" spans="1:43" customFormat="1" ht="12.75" hidden="1" thickBot="1">
      <c r="A724" s="25" t="s">
        <v>1221</v>
      </c>
      <c r="B724" s="25" t="s">
        <v>1208</v>
      </c>
      <c r="C724" s="25" t="s">
        <v>1217</v>
      </c>
      <c r="D724" s="69" t="s">
        <v>680</v>
      </c>
      <c r="E724" s="76">
        <v>238</v>
      </c>
      <c r="F724" s="18">
        <v>10.75</v>
      </c>
      <c r="G724" s="18">
        <v>7.04</v>
      </c>
      <c r="H724" s="18">
        <v>6.49</v>
      </c>
      <c r="I724" s="18">
        <v>0.32</v>
      </c>
      <c r="J724" s="19"/>
      <c r="K724" s="19"/>
      <c r="L724" s="18">
        <v>1.29</v>
      </c>
      <c r="M724" s="18">
        <v>0.33</v>
      </c>
      <c r="N724" s="18">
        <v>0.83</v>
      </c>
      <c r="O724" s="19"/>
      <c r="P724" s="19"/>
      <c r="Q724" s="19"/>
      <c r="R724" s="18">
        <v>27.05</v>
      </c>
      <c r="S724" s="142">
        <f t="shared" si="91"/>
        <v>13.850000000000001</v>
      </c>
      <c r="T724" s="142">
        <f t="shared" si="92"/>
        <v>0</v>
      </c>
      <c r="U724" s="142">
        <f t="shared" si="93"/>
        <v>0.83</v>
      </c>
      <c r="W724" s="601">
        <f t="shared" si="94"/>
        <v>27.049999999999997</v>
      </c>
      <c r="X724" s="601">
        <f t="shared" si="95"/>
        <v>0</v>
      </c>
      <c r="Y724" s="123"/>
      <c r="Z724" s="692">
        <f t="shared" si="90"/>
        <v>24.6</v>
      </c>
      <c r="AA724" s="124"/>
      <c r="AB724" s="124"/>
      <c r="AC724" s="124"/>
      <c r="AD724" s="124"/>
      <c r="AE724" s="124"/>
      <c r="AF724" s="124"/>
      <c r="AG724" s="124"/>
      <c r="AH724" s="124"/>
      <c r="AI724" s="124"/>
      <c r="AJ724" s="124"/>
      <c r="AK724" s="124"/>
      <c r="AL724" s="124"/>
      <c r="AM724" s="124"/>
      <c r="AN724" s="124"/>
      <c r="AO724" s="124"/>
      <c r="AP724" s="124"/>
      <c r="AQ724" s="124"/>
    </row>
    <row r="725" spans="1:43" customFormat="1" ht="12.75" hidden="1" thickBot="1">
      <c r="A725" s="25" t="s">
        <v>1221</v>
      </c>
      <c r="B725" s="25" t="s">
        <v>401</v>
      </c>
      <c r="C725" s="25" t="s">
        <v>402</v>
      </c>
      <c r="D725" s="69" t="s">
        <v>1125</v>
      </c>
      <c r="E725" s="20"/>
      <c r="F725" s="20"/>
      <c r="G725" s="20"/>
      <c r="H725" s="20"/>
      <c r="I725" s="20"/>
      <c r="J725" s="20"/>
      <c r="K725" s="20"/>
      <c r="L725" s="20"/>
      <c r="M725" s="20"/>
      <c r="N725" s="20"/>
      <c r="O725" s="20"/>
      <c r="P725" s="20"/>
      <c r="Q725" s="20"/>
      <c r="R725" s="20"/>
      <c r="S725" s="142">
        <f t="shared" si="91"/>
        <v>0</v>
      </c>
      <c r="T725" s="142">
        <f t="shared" si="92"/>
        <v>0</v>
      </c>
      <c r="U725" s="142">
        <f t="shared" si="93"/>
        <v>0</v>
      </c>
      <c r="W725" s="601">
        <f t="shared" si="94"/>
        <v>0</v>
      </c>
      <c r="X725" s="601">
        <f t="shared" si="95"/>
        <v>0</v>
      </c>
      <c r="Y725" s="123"/>
      <c r="Z725" s="692">
        <f t="shared" si="90"/>
        <v>0</v>
      </c>
      <c r="AA725" s="124"/>
      <c r="AB725" s="124"/>
      <c r="AC725" s="124"/>
      <c r="AD725" s="124"/>
      <c r="AE725" s="124"/>
      <c r="AF725" s="124"/>
      <c r="AG725" s="124"/>
      <c r="AH725" s="124"/>
      <c r="AI725" s="124"/>
      <c r="AJ725" s="124"/>
      <c r="AK725" s="124"/>
      <c r="AL725" s="124"/>
      <c r="AM725" s="124"/>
      <c r="AN725" s="124"/>
      <c r="AO725" s="124"/>
      <c r="AP725" s="124"/>
      <c r="AQ725" s="124"/>
    </row>
    <row r="726" spans="1:43" customFormat="1" ht="12.75" hidden="1" thickBot="1">
      <c r="A726" s="25" t="s">
        <v>1221</v>
      </c>
      <c r="B726" s="25" t="s">
        <v>379</v>
      </c>
      <c r="C726" s="25" t="s">
        <v>934</v>
      </c>
      <c r="D726" s="693" t="s">
        <v>498</v>
      </c>
      <c r="E726" s="76">
        <v>2587</v>
      </c>
      <c r="F726" s="19"/>
      <c r="G726" s="18">
        <v>659.74</v>
      </c>
      <c r="H726" s="19"/>
      <c r="I726" s="19"/>
      <c r="J726" s="19"/>
      <c r="K726" s="19"/>
      <c r="L726" s="19"/>
      <c r="M726" s="18">
        <v>3.56</v>
      </c>
      <c r="N726" s="18">
        <v>20.97</v>
      </c>
      <c r="O726" s="19"/>
      <c r="P726" s="19"/>
      <c r="Q726" s="18">
        <v>0</v>
      </c>
      <c r="R726" s="18">
        <v>684.27</v>
      </c>
      <c r="S726" s="142">
        <f t="shared" si="91"/>
        <v>659.74</v>
      </c>
      <c r="T726" s="142">
        <f t="shared" si="92"/>
        <v>0</v>
      </c>
      <c r="U726" s="142">
        <f t="shared" si="93"/>
        <v>20.97</v>
      </c>
      <c r="W726" s="601">
        <f t="shared" si="94"/>
        <v>684.27</v>
      </c>
      <c r="X726" s="601">
        <f t="shared" si="95"/>
        <v>0</v>
      </c>
      <c r="Y726" s="123"/>
      <c r="Z726" s="692">
        <f t="shared" si="90"/>
        <v>659.74</v>
      </c>
      <c r="AA726" s="124"/>
      <c r="AB726" s="124"/>
      <c r="AC726" s="124"/>
      <c r="AD726" s="124"/>
      <c r="AE726" s="124"/>
      <c r="AF726" s="124"/>
      <c r="AG726" s="124"/>
      <c r="AH726" s="124"/>
      <c r="AI726" s="124"/>
      <c r="AJ726" s="124"/>
      <c r="AK726" s="124"/>
      <c r="AL726" s="124"/>
      <c r="AM726" s="124"/>
      <c r="AN726" s="124"/>
      <c r="AO726" s="124"/>
      <c r="AP726" s="124"/>
      <c r="AQ726" s="124"/>
    </row>
    <row r="727" spans="1:43" customFormat="1" ht="12.75" hidden="1" thickBot="1">
      <c r="A727" s="25" t="s">
        <v>1221</v>
      </c>
      <c r="B727" s="25" t="s">
        <v>241</v>
      </c>
      <c r="C727" s="25" t="s">
        <v>935</v>
      </c>
      <c r="D727" s="693" t="s">
        <v>498</v>
      </c>
      <c r="E727" s="77">
        <v>306517</v>
      </c>
      <c r="F727" s="20"/>
      <c r="G727" s="17">
        <v>41434.839999999997</v>
      </c>
      <c r="H727" s="20"/>
      <c r="I727" s="20"/>
      <c r="J727" s="20"/>
      <c r="K727" s="20"/>
      <c r="L727" s="20"/>
      <c r="M727" s="17">
        <v>429.64</v>
      </c>
      <c r="N727" s="17">
        <v>1326.04</v>
      </c>
      <c r="O727" s="20"/>
      <c r="P727" s="20"/>
      <c r="Q727" s="17">
        <v>0</v>
      </c>
      <c r="R727" s="17">
        <v>43190.52</v>
      </c>
      <c r="S727" s="142">
        <f t="shared" si="91"/>
        <v>41434.839999999997</v>
      </c>
      <c r="T727" s="142">
        <f t="shared" si="92"/>
        <v>0</v>
      </c>
      <c r="U727" s="142">
        <f t="shared" si="93"/>
        <v>1326.04</v>
      </c>
      <c r="W727" s="601">
        <f t="shared" si="94"/>
        <v>43190.52</v>
      </c>
      <c r="X727" s="601">
        <f t="shared" si="95"/>
        <v>0</v>
      </c>
      <c r="Y727" s="123"/>
      <c r="Z727" s="692">
        <f t="shared" si="90"/>
        <v>41434.839999999997</v>
      </c>
      <c r="AA727" s="124"/>
      <c r="AB727" s="124"/>
      <c r="AC727" s="124"/>
      <c r="AD727" s="124"/>
      <c r="AE727" s="124"/>
      <c r="AF727" s="124"/>
      <c r="AG727" s="124"/>
      <c r="AH727" s="124"/>
      <c r="AI727" s="124"/>
      <c r="AJ727" s="124"/>
      <c r="AK727" s="124"/>
      <c r="AL727" s="124"/>
      <c r="AM727" s="124"/>
      <c r="AN727" s="124"/>
      <c r="AO727" s="124"/>
      <c r="AP727" s="124"/>
      <c r="AQ727" s="124"/>
    </row>
    <row r="728" spans="1:43" customFormat="1" ht="12.75" hidden="1" thickBot="1">
      <c r="A728" s="25" t="s">
        <v>1221</v>
      </c>
      <c r="B728" s="25" t="s">
        <v>242</v>
      </c>
      <c r="C728" s="25" t="s">
        <v>936</v>
      </c>
      <c r="D728" s="693" t="s">
        <v>498</v>
      </c>
      <c r="E728" s="76">
        <v>482372</v>
      </c>
      <c r="F728" s="19"/>
      <c r="G728" s="18">
        <v>51600.44</v>
      </c>
      <c r="H728" s="19"/>
      <c r="I728" s="19"/>
      <c r="J728" s="19"/>
      <c r="K728" s="19"/>
      <c r="L728" s="19"/>
      <c r="M728" s="18">
        <v>672.49</v>
      </c>
      <c r="N728" s="18">
        <v>1655.82</v>
      </c>
      <c r="O728" s="19"/>
      <c r="P728" s="19"/>
      <c r="Q728" s="18">
        <v>0</v>
      </c>
      <c r="R728" s="18">
        <v>53928.75</v>
      </c>
      <c r="S728" s="142">
        <f t="shared" si="91"/>
        <v>51600.44</v>
      </c>
      <c r="T728" s="142">
        <f t="shared" si="92"/>
        <v>0</v>
      </c>
      <c r="U728" s="142">
        <f t="shared" si="93"/>
        <v>1655.82</v>
      </c>
      <c r="W728" s="601">
        <f t="shared" si="94"/>
        <v>53928.75</v>
      </c>
      <c r="X728" s="601">
        <f t="shared" si="95"/>
        <v>0</v>
      </c>
      <c r="Y728" s="123"/>
      <c r="Z728" s="692">
        <f t="shared" si="90"/>
        <v>51600.44</v>
      </c>
      <c r="AA728" s="124"/>
      <c r="AB728" s="124"/>
      <c r="AC728" s="124"/>
      <c r="AD728" s="124"/>
      <c r="AE728" s="124"/>
      <c r="AF728" s="124"/>
      <c r="AG728" s="124"/>
      <c r="AH728" s="124"/>
      <c r="AI728" s="124"/>
      <c r="AJ728" s="124"/>
      <c r="AK728" s="124"/>
      <c r="AL728" s="124"/>
      <c r="AM728" s="124"/>
      <c r="AN728" s="124"/>
      <c r="AO728" s="124"/>
      <c r="AP728" s="124"/>
      <c r="AQ728" s="124"/>
    </row>
    <row r="729" spans="1:43" customFormat="1" ht="12.75" hidden="1" thickBot="1">
      <c r="A729" s="25" t="s">
        <v>1221</v>
      </c>
      <c r="B729" s="25" t="s">
        <v>243</v>
      </c>
      <c r="C729" s="25" t="s">
        <v>937</v>
      </c>
      <c r="D729" s="693" t="s">
        <v>498</v>
      </c>
      <c r="E729" s="76">
        <v>3201</v>
      </c>
      <c r="F729" s="19"/>
      <c r="G729" s="18">
        <v>1170.3</v>
      </c>
      <c r="H729" s="19"/>
      <c r="I729" s="19"/>
      <c r="J729" s="19"/>
      <c r="K729" s="19"/>
      <c r="L729" s="19"/>
      <c r="M729" s="18">
        <v>4.42</v>
      </c>
      <c r="N729" s="18">
        <v>37.22</v>
      </c>
      <c r="O729" s="19"/>
      <c r="P729" s="19"/>
      <c r="Q729" s="18">
        <v>0</v>
      </c>
      <c r="R729" s="18">
        <v>1211.94</v>
      </c>
      <c r="S729" s="142">
        <f t="shared" si="91"/>
        <v>1170.3</v>
      </c>
      <c r="T729" s="142">
        <f t="shared" si="92"/>
        <v>0</v>
      </c>
      <c r="U729" s="142">
        <f t="shared" si="93"/>
        <v>37.22</v>
      </c>
      <c r="W729" s="601">
        <f t="shared" si="94"/>
        <v>1211.94</v>
      </c>
      <c r="X729" s="601">
        <f t="shared" si="95"/>
        <v>0</v>
      </c>
      <c r="Y729" s="123"/>
      <c r="Z729" s="692">
        <f t="shared" si="90"/>
        <v>1170.3</v>
      </c>
      <c r="AA729" s="124"/>
      <c r="AB729" s="124"/>
      <c r="AC729" s="124"/>
      <c r="AD729" s="124"/>
      <c r="AE729" s="124"/>
      <c r="AF729" s="124"/>
      <c r="AG729" s="124"/>
      <c r="AH729" s="124"/>
      <c r="AI729" s="124"/>
      <c r="AJ729" s="124"/>
      <c r="AK729" s="124"/>
      <c r="AL729" s="124"/>
      <c r="AM729" s="124"/>
      <c r="AN729" s="124"/>
      <c r="AO729" s="124"/>
      <c r="AP729" s="124"/>
      <c r="AQ729" s="124"/>
    </row>
    <row r="730" spans="1:43" customFormat="1" ht="12.75" hidden="1" thickBot="1">
      <c r="A730" s="25" t="s">
        <v>1221</v>
      </c>
      <c r="B730" s="25" t="s">
        <v>244</v>
      </c>
      <c r="C730" s="25" t="s">
        <v>938</v>
      </c>
      <c r="D730" s="693" t="s">
        <v>498</v>
      </c>
      <c r="E730" s="77">
        <v>92751</v>
      </c>
      <c r="F730" s="20"/>
      <c r="G730" s="17">
        <v>12351.07</v>
      </c>
      <c r="H730" s="20"/>
      <c r="I730" s="20"/>
      <c r="J730" s="20"/>
      <c r="K730" s="20"/>
      <c r="L730" s="20"/>
      <c r="M730" s="17">
        <v>137.72</v>
      </c>
      <c r="N730" s="17">
        <v>395.19</v>
      </c>
      <c r="O730" s="20"/>
      <c r="P730" s="20"/>
      <c r="Q730" s="17">
        <v>0</v>
      </c>
      <c r="R730" s="17">
        <v>12883.98</v>
      </c>
      <c r="S730" s="142">
        <f t="shared" si="91"/>
        <v>12351.07</v>
      </c>
      <c r="T730" s="142">
        <f t="shared" si="92"/>
        <v>0</v>
      </c>
      <c r="U730" s="142">
        <f t="shared" si="93"/>
        <v>395.19</v>
      </c>
      <c r="W730" s="601">
        <f t="shared" si="94"/>
        <v>12883.98</v>
      </c>
      <c r="X730" s="601">
        <f t="shared" si="95"/>
        <v>0</v>
      </c>
      <c r="Y730" s="123"/>
      <c r="Z730" s="692">
        <f t="shared" si="90"/>
        <v>12351.07</v>
      </c>
      <c r="AA730" s="124"/>
      <c r="AB730" s="124"/>
      <c r="AC730" s="124"/>
      <c r="AD730" s="124"/>
      <c r="AE730" s="124"/>
      <c r="AF730" s="124"/>
      <c r="AG730" s="124"/>
      <c r="AH730" s="124"/>
      <c r="AI730" s="124"/>
      <c r="AJ730" s="124"/>
      <c r="AK730" s="124"/>
      <c r="AL730" s="124"/>
      <c r="AM730" s="124"/>
      <c r="AN730" s="124"/>
      <c r="AO730" s="124"/>
      <c r="AP730" s="124"/>
      <c r="AQ730" s="124"/>
    </row>
    <row r="731" spans="1:43" customFormat="1" ht="12.75" hidden="1" thickBot="1">
      <c r="A731" s="25" t="s">
        <v>1221</v>
      </c>
      <c r="B731" s="25" t="s">
        <v>245</v>
      </c>
      <c r="C731" s="25" t="s">
        <v>939</v>
      </c>
      <c r="D731" s="693" t="s">
        <v>498</v>
      </c>
      <c r="E731" s="76">
        <v>80614</v>
      </c>
      <c r="F731" s="19"/>
      <c r="G731" s="18">
        <v>20235.04</v>
      </c>
      <c r="H731" s="19"/>
      <c r="I731" s="19"/>
      <c r="J731" s="19"/>
      <c r="K731" s="19"/>
      <c r="L731" s="19"/>
      <c r="M731" s="18">
        <v>111.57</v>
      </c>
      <c r="N731" s="18">
        <v>644.66999999999996</v>
      </c>
      <c r="O731" s="19"/>
      <c r="P731" s="19"/>
      <c r="Q731" s="18">
        <v>0</v>
      </c>
      <c r="R731" s="18">
        <v>20991.279999999999</v>
      </c>
      <c r="S731" s="142">
        <f t="shared" si="91"/>
        <v>20235.04</v>
      </c>
      <c r="T731" s="142">
        <f t="shared" si="92"/>
        <v>0</v>
      </c>
      <c r="U731" s="142">
        <f t="shared" si="93"/>
        <v>644.66999999999996</v>
      </c>
      <c r="W731" s="601">
        <f t="shared" si="94"/>
        <v>20991.279999999999</v>
      </c>
      <c r="X731" s="601">
        <f t="shared" si="95"/>
        <v>0</v>
      </c>
      <c r="Y731" s="123"/>
      <c r="Z731" s="692">
        <f t="shared" si="90"/>
        <v>20235.04</v>
      </c>
      <c r="AA731" s="124"/>
      <c r="AB731" s="124"/>
      <c r="AC731" s="124"/>
      <c r="AD731" s="124"/>
      <c r="AE731" s="124"/>
      <c r="AF731" s="124"/>
      <c r="AG731" s="124"/>
      <c r="AH731" s="124"/>
      <c r="AI731" s="124"/>
      <c r="AJ731" s="124"/>
      <c r="AK731" s="124"/>
      <c r="AL731" s="124"/>
      <c r="AM731" s="124"/>
      <c r="AN731" s="124"/>
      <c r="AO731" s="124"/>
      <c r="AP731" s="124"/>
      <c r="AQ731" s="124"/>
    </row>
    <row r="732" spans="1:43" customFormat="1" ht="12.75" hidden="1" thickBot="1">
      <c r="A732" s="25" t="s">
        <v>1221</v>
      </c>
      <c r="B732" s="25" t="s">
        <v>381</v>
      </c>
      <c r="C732" s="25" t="s">
        <v>940</v>
      </c>
      <c r="D732" s="693" t="s">
        <v>498</v>
      </c>
      <c r="E732" s="77">
        <v>12764</v>
      </c>
      <c r="F732" s="20"/>
      <c r="G732" s="17">
        <v>1267.8</v>
      </c>
      <c r="H732" s="20"/>
      <c r="I732" s="20"/>
      <c r="J732" s="20"/>
      <c r="K732" s="20"/>
      <c r="L732" s="20"/>
      <c r="M732" s="17">
        <v>18.09</v>
      </c>
      <c r="N732" s="17">
        <v>40.72</v>
      </c>
      <c r="O732" s="20"/>
      <c r="P732" s="20"/>
      <c r="Q732" s="17">
        <v>0</v>
      </c>
      <c r="R732" s="17">
        <v>1326.61</v>
      </c>
      <c r="S732" s="142">
        <f t="shared" si="91"/>
        <v>1267.8</v>
      </c>
      <c r="T732" s="142">
        <f t="shared" si="92"/>
        <v>0</v>
      </c>
      <c r="U732" s="142">
        <f t="shared" si="93"/>
        <v>40.72</v>
      </c>
      <c r="W732" s="601">
        <f t="shared" si="94"/>
        <v>1326.61</v>
      </c>
      <c r="X732" s="601">
        <f t="shared" si="95"/>
        <v>0</v>
      </c>
      <c r="Y732" s="123"/>
      <c r="Z732" s="692">
        <f t="shared" si="90"/>
        <v>1267.8</v>
      </c>
      <c r="AA732" s="124"/>
      <c r="AB732" s="124"/>
      <c r="AC732" s="124"/>
      <c r="AD732" s="124"/>
      <c r="AE732" s="124"/>
      <c r="AF732" s="124"/>
      <c r="AG732" s="124"/>
      <c r="AH732" s="124"/>
      <c r="AI732" s="124"/>
      <c r="AJ732" s="124"/>
      <c r="AK732" s="124"/>
      <c r="AL732" s="124"/>
      <c r="AM732" s="124"/>
      <c r="AN732" s="124"/>
      <c r="AO732" s="124"/>
      <c r="AP732" s="124"/>
      <c r="AQ732" s="124"/>
    </row>
    <row r="733" spans="1:43" customFormat="1" ht="12.75" hidden="1" thickBot="1">
      <c r="A733" s="25" t="s">
        <v>1221</v>
      </c>
      <c r="B733" s="25" t="s">
        <v>246</v>
      </c>
      <c r="C733" s="25" t="s">
        <v>941</v>
      </c>
      <c r="D733" s="693" t="s">
        <v>498</v>
      </c>
      <c r="E733" s="77">
        <v>96953</v>
      </c>
      <c r="F733" s="20"/>
      <c r="G733" s="17">
        <v>9899.58</v>
      </c>
      <c r="H733" s="20"/>
      <c r="I733" s="20"/>
      <c r="J733" s="20"/>
      <c r="K733" s="20"/>
      <c r="L733" s="20"/>
      <c r="M733" s="17">
        <v>139.66</v>
      </c>
      <c r="N733" s="17">
        <v>317.67</v>
      </c>
      <c r="O733" s="20"/>
      <c r="P733" s="20"/>
      <c r="Q733" s="17">
        <v>0</v>
      </c>
      <c r="R733" s="17">
        <v>10356.91</v>
      </c>
      <c r="S733" s="142">
        <f t="shared" si="91"/>
        <v>9899.58</v>
      </c>
      <c r="T733" s="142">
        <f t="shared" si="92"/>
        <v>0</v>
      </c>
      <c r="U733" s="142">
        <f t="shared" si="93"/>
        <v>317.67</v>
      </c>
      <c r="W733" s="601">
        <f t="shared" si="94"/>
        <v>10356.91</v>
      </c>
      <c r="X733" s="601">
        <f t="shared" si="95"/>
        <v>0</v>
      </c>
      <c r="Y733" s="123"/>
      <c r="Z733" s="692">
        <f t="shared" si="90"/>
        <v>9899.58</v>
      </c>
      <c r="AA733" s="124"/>
      <c r="AB733" s="124"/>
      <c r="AC733" s="124"/>
      <c r="AD733" s="124"/>
      <c r="AE733" s="124"/>
      <c r="AF733" s="124"/>
      <c r="AG733" s="124"/>
      <c r="AH733" s="124"/>
      <c r="AI733" s="124"/>
      <c r="AJ733" s="124"/>
      <c r="AK733" s="124"/>
      <c r="AL733" s="124"/>
      <c r="AM733" s="124"/>
      <c r="AN733" s="124"/>
      <c r="AO733" s="124"/>
      <c r="AP733" s="124"/>
      <c r="AQ733" s="124"/>
    </row>
    <row r="734" spans="1:43" customFormat="1" ht="12.75" hidden="1" thickBot="1">
      <c r="A734" s="25" t="s">
        <v>1221</v>
      </c>
      <c r="B734" s="25" t="s">
        <v>252</v>
      </c>
      <c r="C734" s="25" t="s">
        <v>942</v>
      </c>
      <c r="D734" s="693" t="s">
        <v>498</v>
      </c>
      <c r="E734" s="76">
        <v>224337</v>
      </c>
      <c r="F734" s="19"/>
      <c r="G734" s="18">
        <v>39747.4</v>
      </c>
      <c r="H734" s="19"/>
      <c r="I734" s="19"/>
      <c r="J734" s="19"/>
      <c r="K734" s="19"/>
      <c r="L734" s="19"/>
      <c r="M734" s="18">
        <v>351.41</v>
      </c>
      <c r="N734" s="18">
        <v>1267.73</v>
      </c>
      <c r="O734" s="19"/>
      <c r="P734" s="19"/>
      <c r="Q734" s="18">
        <v>0</v>
      </c>
      <c r="R734" s="18">
        <v>41366.54</v>
      </c>
      <c r="S734" s="142">
        <f t="shared" si="91"/>
        <v>39747.4</v>
      </c>
      <c r="T734" s="142">
        <f t="shared" si="92"/>
        <v>0</v>
      </c>
      <c r="U734" s="142">
        <f t="shared" si="93"/>
        <v>1267.73</v>
      </c>
      <c r="W734" s="601">
        <f t="shared" si="94"/>
        <v>41366.540000000008</v>
      </c>
      <c r="X734" s="601">
        <f t="shared" si="95"/>
        <v>0</v>
      </c>
      <c r="Y734" s="123"/>
      <c r="Z734" s="692">
        <f t="shared" si="90"/>
        <v>39747.4</v>
      </c>
      <c r="AA734" s="124"/>
      <c r="AB734" s="124"/>
      <c r="AC734" s="124"/>
      <c r="AD734" s="124"/>
      <c r="AE734" s="124"/>
      <c r="AF734" s="124"/>
      <c r="AG734" s="124"/>
      <c r="AH734" s="124"/>
      <c r="AI734" s="124"/>
      <c r="AJ734" s="124"/>
      <c r="AK734" s="124"/>
      <c r="AL734" s="124"/>
      <c r="AM734" s="124"/>
      <c r="AN734" s="124"/>
      <c r="AO734" s="124"/>
      <c r="AP734" s="124"/>
      <c r="AQ734" s="124"/>
    </row>
    <row r="735" spans="1:43" customFormat="1" ht="12.75" hidden="1" thickBot="1">
      <c r="A735" s="25" t="s">
        <v>1221</v>
      </c>
      <c r="B735" s="25" t="s">
        <v>263</v>
      </c>
      <c r="C735" s="25" t="s">
        <v>943</v>
      </c>
      <c r="D735" s="693" t="s">
        <v>498</v>
      </c>
      <c r="E735" s="77">
        <v>178607</v>
      </c>
      <c r="F735" s="20"/>
      <c r="G735" s="17">
        <v>56750.55</v>
      </c>
      <c r="H735" s="20"/>
      <c r="I735" s="20"/>
      <c r="J735" s="20"/>
      <c r="K735" s="20"/>
      <c r="L735" s="20"/>
      <c r="M735" s="17">
        <v>262.5</v>
      </c>
      <c r="N735" s="17">
        <v>1801.72</v>
      </c>
      <c r="O735" s="20"/>
      <c r="P735" s="20"/>
      <c r="Q735" s="17">
        <v>0</v>
      </c>
      <c r="R735" s="17">
        <v>58814.77</v>
      </c>
      <c r="S735" s="142">
        <f t="shared" si="91"/>
        <v>56750.55</v>
      </c>
      <c r="T735" s="142">
        <f t="shared" si="92"/>
        <v>0</v>
      </c>
      <c r="U735" s="142">
        <f t="shared" si="93"/>
        <v>1801.72</v>
      </c>
      <c r="W735" s="601">
        <f t="shared" si="94"/>
        <v>58814.770000000004</v>
      </c>
      <c r="X735" s="601">
        <f t="shared" si="95"/>
        <v>0</v>
      </c>
      <c r="Y735" s="123"/>
      <c r="Z735" s="692">
        <f t="shared" si="90"/>
        <v>56750.55</v>
      </c>
      <c r="AA735" s="124"/>
      <c r="AB735" s="124"/>
      <c r="AC735" s="124"/>
      <c r="AD735" s="124"/>
      <c r="AE735" s="124"/>
      <c r="AF735" s="124"/>
      <c r="AG735" s="124"/>
      <c r="AH735" s="124"/>
      <c r="AI735" s="124"/>
      <c r="AJ735" s="124"/>
      <c r="AK735" s="124"/>
      <c r="AL735" s="124"/>
      <c r="AM735" s="124"/>
      <c r="AN735" s="124"/>
      <c r="AO735" s="124"/>
      <c r="AP735" s="124"/>
      <c r="AQ735" s="124"/>
    </row>
    <row r="736" spans="1:43" customFormat="1" ht="12.75" hidden="1" thickBot="1">
      <c r="A736" s="25" t="s">
        <v>1221</v>
      </c>
      <c r="B736" s="25" t="s">
        <v>264</v>
      </c>
      <c r="C736" s="25" t="s">
        <v>944</v>
      </c>
      <c r="D736" s="693" t="s">
        <v>498</v>
      </c>
      <c r="E736" s="76">
        <v>308205</v>
      </c>
      <c r="F736" s="19"/>
      <c r="G736" s="18">
        <v>72722.399999999994</v>
      </c>
      <c r="H736" s="19"/>
      <c r="I736" s="19"/>
      <c r="J736" s="19"/>
      <c r="K736" s="19"/>
      <c r="L736" s="19"/>
      <c r="M736" s="18">
        <v>437.29</v>
      </c>
      <c r="N736" s="18">
        <v>2315.89</v>
      </c>
      <c r="O736" s="19"/>
      <c r="P736" s="19"/>
      <c r="Q736" s="18">
        <v>0</v>
      </c>
      <c r="R736" s="18">
        <v>75475.58</v>
      </c>
      <c r="S736" s="142">
        <f t="shared" si="91"/>
        <v>72722.399999999994</v>
      </c>
      <c r="T736" s="142">
        <f t="shared" si="92"/>
        <v>0</v>
      </c>
      <c r="U736" s="142">
        <f t="shared" si="93"/>
        <v>2315.89</v>
      </c>
      <c r="W736" s="601">
        <f t="shared" si="94"/>
        <v>75475.579999999987</v>
      </c>
      <c r="X736" s="601">
        <f t="shared" si="95"/>
        <v>0</v>
      </c>
      <c r="Y736" s="123"/>
      <c r="Z736" s="692">
        <f t="shared" si="90"/>
        <v>72722.399999999994</v>
      </c>
      <c r="AA736" s="124"/>
      <c r="AB736" s="124"/>
      <c r="AC736" s="124"/>
      <c r="AD736" s="124"/>
      <c r="AE736" s="124"/>
      <c r="AF736" s="124"/>
      <c r="AG736" s="124"/>
      <c r="AH736" s="124"/>
      <c r="AI736" s="124"/>
      <c r="AJ736" s="124"/>
      <c r="AK736" s="124"/>
      <c r="AL736" s="124"/>
      <c r="AM736" s="124"/>
      <c r="AN736" s="124"/>
      <c r="AO736" s="124"/>
      <c r="AP736" s="124"/>
      <c r="AQ736" s="124"/>
    </row>
    <row r="737" spans="1:43" customFormat="1" ht="12.75" hidden="1" thickBot="1">
      <c r="A737" s="25" t="s">
        <v>1221</v>
      </c>
      <c r="B737" s="25" t="s">
        <v>267</v>
      </c>
      <c r="C737" s="25" t="s">
        <v>945</v>
      </c>
      <c r="D737" s="693" t="s">
        <v>498</v>
      </c>
      <c r="E737" s="77">
        <v>665127</v>
      </c>
      <c r="F737" s="20"/>
      <c r="G737" s="17">
        <v>294702.36</v>
      </c>
      <c r="H737" s="20"/>
      <c r="I737" s="20"/>
      <c r="J737" s="20"/>
      <c r="K737" s="20"/>
      <c r="L737" s="20"/>
      <c r="M737" s="17">
        <v>941.98</v>
      </c>
      <c r="N737" s="17">
        <v>9362.84</v>
      </c>
      <c r="O737" s="20"/>
      <c r="P737" s="20"/>
      <c r="Q737" s="17">
        <v>0</v>
      </c>
      <c r="R737" s="17">
        <v>305007.18</v>
      </c>
      <c r="S737" s="142">
        <f t="shared" si="91"/>
        <v>294702.36</v>
      </c>
      <c r="T737" s="142">
        <f t="shared" si="92"/>
        <v>0</v>
      </c>
      <c r="U737" s="142">
        <f t="shared" si="93"/>
        <v>9362.84</v>
      </c>
      <c r="W737" s="601">
        <f t="shared" si="94"/>
        <v>305007.18</v>
      </c>
      <c r="X737" s="601">
        <f t="shared" si="95"/>
        <v>0</v>
      </c>
      <c r="Y737" s="123"/>
      <c r="Z737" s="692">
        <f t="shared" si="90"/>
        <v>294702.36</v>
      </c>
      <c r="AA737" s="124"/>
      <c r="AB737" s="124"/>
      <c r="AC737" s="124"/>
      <c r="AD737" s="124"/>
      <c r="AE737" s="124"/>
      <c r="AF737" s="124"/>
      <c r="AG737" s="124"/>
      <c r="AH737" s="124"/>
      <c r="AI737" s="124"/>
      <c r="AJ737" s="124"/>
      <c r="AK737" s="124"/>
      <c r="AL737" s="124"/>
      <c r="AM737" s="124"/>
      <c r="AN737" s="124"/>
      <c r="AO737" s="124"/>
      <c r="AP737" s="124"/>
      <c r="AQ737" s="124"/>
    </row>
    <row r="738" spans="1:43" customFormat="1" ht="12.75" hidden="1" thickBot="1">
      <c r="A738" s="25" t="s">
        <v>1221</v>
      </c>
      <c r="B738" s="25" t="s">
        <v>392</v>
      </c>
      <c r="C738" s="25" t="s">
        <v>946</v>
      </c>
      <c r="D738" s="693" t="s">
        <v>498</v>
      </c>
      <c r="E738" s="76">
        <v>28416</v>
      </c>
      <c r="F738" s="19"/>
      <c r="G738" s="18">
        <v>13166.81</v>
      </c>
      <c r="H738" s="19"/>
      <c r="I738" s="19"/>
      <c r="J738" s="19"/>
      <c r="K738" s="19"/>
      <c r="L738" s="19"/>
      <c r="M738" s="18">
        <v>48.32</v>
      </c>
      <c r="N738" s="18">
        <v>414.94</v>
      </c>
      <c r="O738" s="19"/>
      <c r="P738" s="19"/>
      <c r="Q738" s="18">
        <v>0</v>
      </c>
      <c r="R738" s="18">
        <v>13630.07</v>
      </c>
      <c r="S738" s="142">
        <f t="shared" si="91"/>
        <v>13166.81</v>
      </c>
      <c r="T738" s="142">
        <f t="shared" si="92"/>
        <v>0</v>
      </c>
      <c r="U738" s="142">
        <f t="shared" si="93"/>
        <v>414.94</v>
      </c>
      <c r="W738" s="601">
        <f t="shared" si="94"/>
        <v>13630.07</v>
      </c>
      <c r="X738" s="601">
        <f t="shared" si="95"/>
        <v>0</v>
      </c>
      <c r="Y738" s="123"/>
      <c r="Z738" s="692">
        <f t="shared" ref="Z738:Z797" si="96">SUM(F738:K738)</f>
        <v>13166.81</v>
      </c>
      <c r="AA738" s="124"/>
      <c r="AB738" s="124"/>
      <c r="AC738" s="124"/>
      <c r="AD738" s="124"/>
      <c r="AE738" s="124"/>
      <c r="AF738" s="124"/>
      <c r="AG738" s="124"/>
      <c r="AH738" s="124"/>
      <c r="AI738" s="124"/>
      <c r="AJ738" s="124"/>
      <c r="AK738" s="124"/>
      <c r="AL738" s="124"/>
      <c r="AM738" s="124"/>
      <c r="AN738" s="124"/>
      <c r="AO738" s="124"/>
      <c r="AP738" s="124"/>
      <c r="AQ738" s="124"/>
    </row>
    <row r="739" spans="1:43" customFormat="1" ht="12.75" hidden="1" thickBot="1">
      <c r="A739" s="25" t="s">
        <v>1221</v>
      </c>
      <c r="B739" s="25" t="s">
        <v>268</v>
      </c>
      <c r="C739" s="25" t="s">
        <v>947</v>
      </c>
      <c r="D739" s="693" t="s">
        <v>498</v>
      </c>
      <c r="E739" s="77">
        <v>40060</v>
      </c>
      <c r="F739" s="20"/>
      <c r="G739" s="17">
        <v>19158.669999999998</v>
      </c>
      <c r="H739" s="20"/>
      <c r="I739" s="20"/>
      <c r="J739" s="20"/>
      <c r="K739" s="20"/>
      <c r="L739" s="20"/>
      <c r="M739" s="17">
        <v>56.6</v>
      </c>
      <c r="N739" s="17">
        <v>608.13</v>
      </c>
      <c r="O739" s="20"/>
      <c r="P739" s="20"/>
      <c r="Q739" s="17">
        <v>0</v>
      </c>
      <c r="R739" s="17">
        <v>19823.400000000001</v>
      </c>
      <c r="S739" s="142">
        <f t="shared" si="91"/>
        <v>19158.669999999998</v>
      </c>
      <c r="T739" s="142">
        <f t="shared" si="92"/>
        <v>0</v>
      </c>
      <c r="U739" s="142">
        <f t="shared" si="93"/>
        <v>608.13</v>
      </c>
      <c r="W739" s="601">
        <f t="shared" si="94"/>
        <v>19823.399999999998</v>
      </c>
      <c r="X739" s="601">
        <f t="shared" si="95"/>
        <v>0</v>
      </c>
      <c r="Y739" s="123"/>
      <c r="Z739" s="692">
        <f t="shared" si="96"/>
        <v>19158.669999999998</v>
      </c>
      <c r="AA739" s="124"/>
      <c r="AB739" s="124"/>
      <c r="AC739" s="124"/>
      <c r="AD739" s="124"/>
      <c r="AE739" s="124"/>
      <c r="AF739" s="124"/>
      <c r="AG739" s="124"/>
      <c r="AH739" s="124"/>
      <c r="AI739" s="124"/>
      <c r="AJ739" s="124"/>
      <c r="AK739" s="124"/>
      <c r="AL739" s="124"/>
      <c r="AM739" s="124"/>
      <c r="AN739" s="124"/>
      <c r="AO739" s="124"/>
      <c r="AP739" s="124"/>
      <c r="AQ739" s="124"/>
    </row>
    <row r="740" spans="1:43" customFormat="1" ht="12.75" hidden="1" thickBot="1">
      <c r="A740" s="25" t="s">
        <v>1221</v>
      </c>
      <c r="B740" s="25" t="s">
        <v>269</v>
      </c>
      <c r="C740" s="25" t="s">
        <v>948</v>
      </c>
      <c r="D740" s="693" t="s">
        <v>498</v>
      </c>
      <c r="E740" s="76">
        <v>123641</v>
      </c>
      <c r="F740" s="19"/>
      <c r="G740" s="18">
        <v>51088.29</v>
      </c>
      <c r="H740" s="19"/>
      <c r="I740" s="19"/>
      <c r="J740" s="19"/>
      <c r="K740" s="19"/>
      <c r="L740" s="19"/>
      <c r="M740" s="18">
        <v>172.22</v>
      </c>
      <c r="N740" s="18">
        <v>1623.76</v>
      </c>
      <c r="O740" s="19"/>
      <c r="P740" s="19"/>
      <c r="Q740" s="18">
        <v>0</v>
      </c>
      <c r="R740" s="18">
        <v>52884.27</v>
      </c>
      <c r="S740" s="142">
        <f t="shared" si="91"/>
        <v>51088.29</v>
      </c>
      <c r="T740" s="142">
        <f t="shared" si="92"/>
        <v>0</v>
      </c>
      <c r="U740" s="142">
        <f t="shared" si="93"/>
        <v>1623.76</v>
      </c>
      <c r="W740" s="601">
        <f t="shared" si="94"/>
        <v>52884.270000000004</v>
      </c>
      <c r="X740" s="601">
        <f t="shared" si="95"/>
        <v>0</v>
      </c>
      <c r="Y740" s="123"/>
      <c r="Z740" s="692">
        <f t="shared" si="96"/>
        <v>51088.29</v>
      </c>
      <c r="AA740" s="124"/>
      <c r="AB740" s="124"/>
      <c r="AC740" s="124"/>
      <c r="AD740" s="124"/>
      <c r="AE740" s="124"/>
      <c r="AF740" s="124"/>
      <c r="AG740" s="124"/>
      <c r="AH740" s="124"/>
      <c r="AI740" s="124"/>
      <c r="AJ740" s="124"/>
      <c r="AK740" s="124"/>
      <c r="AL740" s="124"/>
      <c r="AM740" s="124"/>
      <c r="AN740" s="124"/>
      <c r="AO740" s="124"/>
      <c r="AP740" s="124"/>
      <c r="AQ740" s="124"/>
    </row>
    <row r="741" spans="1:43" customFormat="1" ht="12.75" hidden="1" thickBot="1">
      <c r="A741" s="25" t="s">
        <v>1221</v>
      </c>
      <c r="B741" s="25" t="s">
        <v>393</v>
      </c>
      <c r="C741" s="25" t="s">
        <v>949</v>
      </c>
      <c r="D741" s="693" t="s">
        <v>498</v>
      </c>
      <c r="E741" s="77">
        <v>4958</v>
      </c>
      <c r="F741" s="20"/>
      <c r="G741" s="17">
        <v>1233.3499999999999</v>
      </c>
      <c r="H741" s="20"/>
      <c r="I741" s="20"/>
      <c r="J741" s="20"/>
      <c r="K741" s="20"/>
      <c r="L741" s="20"/>
      <c r="M741" s="17">
        <v>6.85</v>
      </c>
      <c r="N741" s="17">
        <v>39.299999999999997</v>
      </c>
      <c r="O741" s="20"/>
      <c r="P741" s="20"/>
      <c r="Q741" s="17">
        <v>0</v>
      </c>
      <c r="R741" s="17">
        <v>1279.5</v>
      </c>
      <c r="S741" s="142">
        <f t="shared" si="91"/>
        <v>1233.3499999999999</v>
      </c>
      <c r="T741" s="142">
        <f t="shared" si="92"/>
        <v>0</v>
      </c>
      <c r="U741" s="142">
        <f t="shared" si="93"/>
        <v>39.299999999999997</v>
      </c>
      <c r="W741" s="601">
        <f t="shared" si="94"/>
        <v>1279.4999999999998</v>
      </c>
      <c r="X741" s="601">
        <f t="shared" si="95"/>
        <v>0</v>
      </c>
      <c r="Y741" s="123"/>
      <c r="Z741" s="692">
        <f t="shared" si="96"/>
        <v>1233.3499999999999</v>
      </c>
      <c r="AA741" s="124"/>
      <c r="AB741" s="124"/>
      <c r="AC741" s="124"/>
      <c r="AD741" s="124"/>
      <c r="AE741" s="124"/>
      <c r="AF741" s="124"/>
      <c r="AG741" s="124"/>
      <c r="AH741" s="124"/>
      <c r="AI741" s="124"/>
      <c r="AJ741" s="124"/>
      <c r="AK741" s="124"/>
      <c r="AL741" s="124"/>
      <c r="AM741" s="124"/>
      <c r="AN741" s="124"/>
      <c r="AO741" s="124"/>
      <c r="AP741" s="124"/>
      <c r="AQ741" s="124"/>
    </row>
    <row r="742" spans="1:43" customFormat="1" ht="12.75" hidden="1" thickBot="1">
      <c r="A742" s="25" t="s">
        <v>1221</v>
      </c>
      <c r="B742" s="25" t="s">
        <v>394</v>
      </c>
      <c r="C742" s="25" t="s">
        <v>950</v>
      </c>
      <c r="D742" s="693" t="s">
        <v>498</v>
      </c>
      <c r="E742" s="76">
        <v>3161</v>
      </c>
      <c r="F742" s="19"/>
      <c r="G742" s="18">
        <v>455.73</v>
      </c>
      <c r="H742" s="19"/>
      <c r="I742" s="19"/>
      <c r="J742" s="19"/>
      <c r="K742" s="19"/>
      <c r="L742" s="19"/>
      <c r="M742" s="18">
        <v>4.37</v>
      </c>
      <c r="N742" s="18">
        <v>14.58</v>
      </c>
      <c r="O742" s="19"/>
      <c r="P742" s="19"/>
      <c r="Q742" s="18">
        <v>0</v>
      </c>
      <c r="R742" s="18">
        <v>474.68</v>
      </c>
      <c r="S742" s="142">
        <f t="shared" si="91"/>
        <v>455.73</v>
      </c>
      <c r="T742" s="142">
        <f t="shared" si="92"/>
        <v>0</v>
      </c>
      <c r="U742" s="142">
        <f t="shared" si="93"/>
        <v>14.58</v>
      </c>
      <c r="W742" s="601">
        <f t="shared" si="94"/>
        <v>474.68</v>
      </c>
      <c r="X742" s="601">
        <f t="shared" si="95"/>
        <v>0</v>
      </c>
      <c r="Y742" s="123"/>
      <c r="Z742" s="692">
        <f t="shared" si="96"/>
        <v>455.73</v>
      </c>
      <c r="AA742" s="124"/>
      <c r="AB742" s="124"/>
      <c r="AC742" s="124"/>
      <c r="AD742" s="124"/>
      <c r="AE742" s="124"/>
      <c r="AF742" s="124"/>
      <c r="AG742" s="124"/>
      <c r="AH742" s="124"/>
      <c r="AI742" s="124"/>
      <c r="AJ742" s="124"/>
      <c r="AK742" s="124"/>
      <c r="AL742" s="124"/>
      <c r="AM742" s="124"/>
      <c r="AN742" s="124"/>
      <c r="AO742" s="124"/>
      <c r="AP742" s="124"/>
      <c r="AQ742" s="124"/>
    </row>
    <row r="743" spans="1:43" customFormat="1" ht="12.75" hidden="1" thickBot="1">
      <c r="A743" s="25" t="s">
        <v>1221</v>
      </c>
      <c r="B743" s="25" t="s">
        <v>398</v>
      </c>
      <c r="C743" s="25" t="s">
        <v>951</v>
      </c>
      <c r="D743" s="693" t="s">
        <v>498</v>
      </c>
      <c r="E743" s="77">
        <v>1381</v>
      </c>
      <c r="F743" s="20"/>
      <c r="G743" s="17">
        <v>1626.54</v>
      </c>
      <c r="H743" s="20"/>
      <c r="I743" s="20"/>
      <c r="J743" s="20"/>
      <c r="K743" s="20"/>
      <c r="L743" s="20"/>
      <c r="M743" s="17">
        <v>1.9</v>
      </c>
      <c r="N743" s="17">
        <v>51.63</v>
      </c>
      <c r="O743" s="20"/>
      <c r="P743" s="20"/>
      <c r="Q743" s="17">
        <v>0</v>
      </c>
      <c r="R743" s="17">
        <v>1680.07</v>
      </c>
      <c r="S743" s="142">
        <f t="shared" si="91"/>
        <v>1626.54</v>
      </c>
      <c r="T743" s="142">
        <f t="shared" si="92"/>
        <v>0</v>
      </c>
      <c r="U743" s="142">
        <f t="shared" si="93"/>
        <v>51.63</v>
      </c>
      <c r="W743" s="601">
        <f t="shared" si="94"/>
        <v>1680.0700000000002</v>
      </c>
      <c r="X743" s="601">
        <f t="shared" si="95"/>
        <v>0</v>
      </c>
      <c r="Y743" s="123"/>
      <c r="Z743" s="692">
        <f t="shared" si="96"/>
        <v>1626.54</v>
      </c>
      <c r="AA743" s="124"/>
      <c r="AB743" s="124"/>
      <c r="AC743" s="124"/>
      <c r="AD743" s="124"/>
      <c r="AE743" s="124"/>
      <c r="AF743" s="124"/>
      <c r="AG743" s="124"/>
      <c r="AH743" s="124"/>
      <c r="AI743" s="124"/>
      <c r="AJ743" s="124"/>
      <c r="AK743" s="124"/>
      <c r="AL743" s="124"/>
      <c r="AM743" s="124"/>
      <c r="AN743" s="124"/>
      <c r="AO743" s="124"/>
      <c r="AP743" s="124"/>
      <c r="AQ743" s="124"/>
    </row>
    <row r="744" spans="1:43" customFormat="1" ht="12.75" hidden="1" thickBot="1">
      <c r="A744" s="25" t="s">
        <v>1221</v>
      </c>
      <c r="B744" s="25" t="s">
        <v>395</v>
      </c>
      <c r="C744" s="25" t="s">
        <v>952</v>
      </c>
      <c r="D744" s="693" t="s">
        <v>498</v>
      </c>
      <c r="E744" s="76">
        <v>9463</v>
      </c>
      <c r="F744" s="19"/>
      <c r="G744" s="18">
        <v>8762.57</v>
      </c>
      <c r="H744" s="19"/>
      <c r="I744" s="19"/>
      <c r="J744" s="19"/>
      <c r="K744" s="19"/>
      <c r="L744" s="19"/>
      <c r="M744" s="18">
        <v>13.07</v>
      </c>
      <c r="N744" s="18">
        <v>278.2</v>
      </c>
      <c r="O744" s="19"/>
      <c r="P744" s="19"/>
      <c r="Q744" s="18">
        <v>0</v>
      </c>
      <c r="R744" s="18">
        <v>9053.84</v>
      </c>
      <c r="S744" s="142">
        <f t="shared" si="91"/>
        <v>8762.57</v>
      </c>
      <c r="T744" s="142">
        <f t="shared" si="92"/>
        <v>0</v>
      </c>
      <c r="U744" s="142">
        <f t="shared" si="93"/>
        <v>278.2</v>
      </c>
      <c r="W744" s="601">
        <f t="shared" si="94"/>
        <v>9053.84</v>
      </c>
      <c r="X744" s="601">
        <f t="shared" si="95"/>
        <v>0</v>
      </c>
      <c r="Y744" s="123"/>
      <c r="Z744" s="692">
        <f t="shared" si="96"/>
        <v>8762.57</v>
      </c>
      <c r="AA744" s="124"/>
      <c r="AB744" s="124"/>
      <c r="AC744" s="124"/>
      <c r="AD744" s="124"/>
      <c r="AE744" s="124"/>
      <c r="AF744" s="124"/>
      <c r="AG744" s="124"/>
      <c r="AH744" s="124"/>
      <c r="AI744" s="124"/>
      <c r="AJ744" s="124"/>
      <c r="AK744" s="124"/>
      <c r="AL744" s="124"/>
      <c r="AM744" s="124"/>
      <c r="AN744" s="124"/>
      <c r="AO744" s="124"/>
      <c r="AP744" s="124"/>
      <c r="AQ744" s="124"/>
    </row>
    <row r="745" spans="1:43" customFormat="1" ht="12.75" hidden="1" thickBot="1">
      <c r="A745" s="25" t="s">
        <v>1221</v>
      </c>
      <c r="B745" s="25" t="s">
        <v>396</v>
      </c>
      <c r="C745" s="25" t="s">
        <v>953</v>
      </c>
      <c r="D745" s="693" t="s">
        <v>498</v>
      </c>
      <c r="E745" s="77">
        <v>3127</v>
      </c>
      <c r="F745" s="20"/>
      <c r="G745" s="17">
        <v>3059.79</v>
      </c>
      <c r="H745" s="20"/>
      <c r="I745" s="20"/>
      <c r="J745" s="20"/>
      <c r="K745" s="20"/>
      <c r="L745" s="20"/>
      <c r="M745" s="17">
        <v>4.33</v>
      </c>
      <c r="N745" s="17">
        <v>97.13</v>
      </c>
      <c r="O745" s="20"/>
      <c r="P745" s="20"/>
      <c r="Q745" s="17">
        <v>0</v>
      </c>
      <c r="R745" s="17">
        <v>3161.25</v>
      </c>
      <c r="S745" s="142">
        <f t="shared" si="91"/>
        <v>3059.79</v>
      </c>
      <c r="T745" s="142">
        <f t="shared" si="92"/>
        <v>0</v>
      </c>
      <c r="U745" s="142">
        <f t="shared" si="93"/>
        <v>97.13</v>
      </c>
      <c r="W745" s="601">
        <f t="shared" si="94"/>
        <v>3161.25</v>
      </c>
      <c r="X745" s="601">
        <f t="shared" si="95"/>
        <v>0</v>
      </c>
      <c r="Y745" s="123"/>
      <c r="Z745" s="692">
        <f t="shared" si="96"/>
        <v>3059.79</v>
      </c>
      <c r="AA745" s="124"/>
      <c r="AB745" s="124"/>
      <c r="AC745" s="124"/>
      <c r="AD745" s="124"/>
      <c r="AE745" s="124"/>
      <c r="AF745" s="124"/>
      <c r="AG745" s="124"/>
      <c r="AH745" s="124"/>
      <c r="AI745" s="124"/>
      <c r="AJ745" s="124"/>
      <c r="AK745" s="124"/>
      <c r="AL745" s="124"/>
      <c r="AM745" s="124"/>
      <c r="AN745" s="124"/>
      <c r="AO745" s="124"/>
      <c r="AP745" s="124"/>
      <c r="AQ745" s="124"/>
    </row>
    <row r="746" spans="1:43" customFormat="1" ht="12.75" hidden="1" thickBot="1">
      <c r="A746" s="25" t="s">
        <v>1221</v>
      </c>
      <c r="B746" s="25" t="s">
        <v>397</v>
      </c>
      <c r="C746" s="25" t="s">
        <v>954</v>
      </c>
      <c r="D746" s="693" t="s">
        <v>498</v>
      </c>
      <c r="E746" s="76">
        <v>3279</v>
      </c>
      <c r="F746" s="19"/>
      <c r="G746" s="18">
        <v>2995.01</v>
      </c>
      <c r="H746" s="19"/>
      <c r="I746" s="19"/>
      <c r="J746" s="19"/>
      <c r="K746" s="19"/>
      <c r="L746" s="19"/>
      <c r="M746" s="18">
        <v>4.51</v>
      </c>
      <c r="N746" s="18">
        <v>95.09</v>
      </c>
      <c r="O746" s="19"/>
      <c r="P746" s="19"/>
      <c r="Q746" s="18">
        <v>0</v>
      </c>
      <c r="R746" s="18">
        <v>3094.61</v>
      </c>
      <c r="S746" s="142">
        <f t="shared" si="91"/>
        <v>2995.01</v>
      </c>
      <c r="T746" s="142">
        <f t="shared" si="92"/>
        <v>0</v>
      </c>
      <c r="U746" s="142">
        <f t="shared" si="93"/>
        <v>95.09</v>
      </c>
      <c r="W746" s="601">
        <f t="shared" si="94"/>
        <v>3094.6100000000006</v>
      </c>
      <c r="X746" s="601">
        <f t="shared" si="95"/>
        <v>0</v>
      </c>
      <c r="Y746" s="123"/>
      <c r="Z746" s="692">
        <f t="shared" si="96"/>
        <v>2995.01</v>
      </c>
      <c r="AA746" s="124"/>
      <c r="AB746" s="124"/>
      <c r="AC746" s="124"/>
      <c r="AD746" s="124"/>
      <c r="AE746" s="124"/>
      <c r="AF746" s="124"/>
      <c r="AG746" s="124"/>
      <c r="AH746" s="124"/>
      <c r="AI746" s="124"/>
      <c r="AJ746" s="124"/>
      <c r="AK746" s="124"/>
      <c r="AL746" s="124"/>
      <c r="AM746" s="124"/>
      <c r="AN746" s="124"/>
      <c r="AO746" s="124"/>
      <c r="AP746" s="124"/>
      <c r="AQ746" s="124"/>
    </row>
    <row r="747" spans="1:43" customFormat="1" ht="12.75" hidden="1" thickBot="1">
      <c r="A747" s="25" t="s">
        <v>1221</v>
      </c>
      <c r="B747" s="25" t="s">
        <v>287</v>
      </c>
      <c r="C747" s="25" t="s">
        <v>955</v>
      </c>
      <c r="D747" s="693" t="s">
        <v>498</v>
      </c>
      <c r="E747" s="77">
        <v>43190</v>
      </c>
      <c r="F747" s="20"/>
      <c r="G747" s="17">
        <v>9993.2000000000007</v>
      </c>
      <c r="H747" s="20"/>
      <c r="I747" s="20"/>
      <c r="J747" s="20"/>
      <c r="K747" s="20"/>
      <c r="L747" s="20"/>
      <c r="M747" s="17">
        <v>62.42</v>
      </c>
      <c r="N747" s="17">
        <v>318.02999999999997</v>
      </c>
      <c r="O747" s="20"/>
      <c r="P747" s="20"/>
      <c r="Q747" s="17">
        <v>0</v>
      </c>
      <c r="R747" s="17">
        <v>10373.65</v>
      </c>
      <c r="S747" s="142">
        <f t="shared" si="91"/>
        <v>9993.2000000000007</v>
      </c>
      <c r="T747" s="142">
        <f t="shared" si="92"/>
        <v>0</v>
      </c>
      <c r="U747" s="142">
        <f t="shared" si="93"/>
        <v>318.02999999999997</v>
      </c>
      <c r="W747" s="601">
        <f t="shared" si="94"/>
        <v>10373.650000000001</v>
      </c>
      <c r="X747" s="601">
        <f t="shared" si="95"/>
        <v>0</v>
      </c>
      <c r="Y747" s="123"/>
      <c r="Z747" s="692">
        <f t="shared" si="96"/>
        <v>9993.2000000000007</v>
      </c>
      <c r="AA747" s="124"/>
      <c r="AB747" s="124"/>
      <c r="AC747" s="124"/>
      <c r="AD747" s="124"/>
      <c r="AE747" s="124"/>
      <c r="AF747" s="124"/>
      <c r="AG747" s="124"/>
      <c r="AH747" s="124"/>
      <c r="AI747" s="124"/>
      <c r="AJ747" s="124"/>
      <c r="AK747" s="124"/>
      <c r="AL747" s="124"/>
      <c r="AM747" s="124"/>
      <c r="AN747" s="124"/>
      <c r="AO747" s="124"/>
      <c r="AP747" s="124"/>
      <c r="AQ747" s="124"/>
    </row>
    <row r="748" spans="1:43" customFormat="1" ht="12.75" hidden="1" thickBot="1">
      <c r="A748" s="25" t="s">
        <v>1221</v>
      </c>
      <c r="B748" s="25" t="s">
        <v>288</v>
      </c>
      <c r="C748" s="25" t="s">
        <v>956</v>
      </c>
      <c r="D748" s="693" t="s">
        <v>498</v>
      </c>
      <c r="E748" s="76">
        <v>65827</v>
      </c>
      <c r="F748" s="19"/>
      <c r="G748" s="18">
        <v>11670.8</v>
      </c>
      <c r="H748" s="19"/>
      <c r="I748" s="19"/>
      <c r="J748" s="19"/>
      <c r="K748" s="19"/>
      <c r="L748" s="19"/>
      <c r="M748" s="18">
        <v>91.08</v>
      </c>
      <c r="N748" s="18">
        <v>372.82</v>
      </c>
      <c r="O748" s="19"/>
      <c r="P748" s="19"/>
      <c r="Q748" s="18">
        <v>0</v>
      </c>
      <c r="R748" s="18">
        <v>12134.7</v>
      </c>
      <c r="S748" s="142">
        <f t="shared" si="91"/>
        <v>11670.8</v>
      </c>
      <c r="T748" s="142">
        <f t="shared" si="92"/>
        <v>0</v>
      </c>
      <c r="U748" s="142">
        <f t="shared" si="93"/>
        <v>372.82</v>
      </c>
      <c r="W748" s="601">
        <f t="shared" si="94"/>
        <v>12134.699999999999</v>
      </c>
      <c r="X748" s="601">
        <f t="shared" si="95"/>
        <v>0</v>
      </c>
      <c r="Y748" s="123"/>
      <c r="Z748" s="692">
        <f t="shared" si="96"/>
        <v>11670.8</v>
      </c>
      <c r="AA748" s="124"/>
      <c r="AB748" s="124"/>
      <c r="AC748" s="124"/>
      <c r="AD748" s="124"/>
      <c r="AE748" s="124"/>
      <c r="AF748" s="124"/>
      <c r="AG748" s="124"/>
      <c r="AH748" s="124"/>
      <c r="AI748" s="124"/>
      <c r="AJ748" s="124"/>
      <c r="AK748" s="124"/>
      <c r="AL748" s="124"/>
      <c r="AM748" s="124"/>
      <c r="AN748" s="124"/>
      <c r="AO748" s="124"/>
      <c r="AP748" s="124"/>
      <c r="AQ748" s="124"/>
    </row>
    <row r="749" spans="1:43" customFormat="1" ht="12.75" hidden="1" thickBot="1">
      <c r="A749" s="25" t="s">
        <v>1221</v>
      </c>
      <c r="B749" s="25" t="s">
        <v>291</v>
      </c>
      <c r="C749" s="25" t="s">
        <v>957</v>
      </c>
      <c r="D749" s="693" t="s">
        <v>498</v>
      </c>
      <c r="E749" s="77">
        <v>3187</v>
      </c>
      <c r="F749" s="20"/>
      <c r="G749" s="17">
        <v>940.68</v>
      </c>
      <c r="H749" s="20"/>
      <c r="I749" s="20"/>
      <c r="J749" s="20"/>
      <c r="K749" s="20"/>
      <c r="L749" s="20"/>
      <c r="M749" s="17">
        <v>4.38</v>
      </c>
      <c r="N749" s="17">
        <v>29.94</v>
      </c>
      <c r="O749" s="20"/>
      <c r="P749" s="20"/>
      <c r="Q749" s="17">
        <v>0</v>
      </c>
      <c r="R749" s="17">
        <v>975</v>
      </c>
      <c r="S749" s="142">
        <f t="shared" si="91"/>
        <v>940.68</v>
      </c>
      <c r="T749" s="142">
        <f t="shared" si="92"/>
        <v>0</v>
      </c>
      <c r="U749" s="142">
        <f t="shared" si="93"/>
        <v>29.94</v>
      </c>
      <c r="W749" s="601">
        <f t="shared" si="94"/>
        <v>975</v>
      </c>
      <c r="X749" s="601">
        <f t="shared" si="95"/>
        <v>0</v>
      </c>
      <c r="Y749" s="123"/>
      <c r="Z749" s="692">
        <f t="shared" si="96"/>
        <v>940.68</v>
      </c>
      <c r="AA749" s="124"/>
      <c r="AB749" s="124"/>
      <c r="AC749" s="124"/>
      <c r="AD749" s="124"/>
      <c r="AE749" s="124"/>
      <c r="AF749" s="124"/>
      <c r="AG749" s="124"/>
      <c r="AH749" s="124"/>
      <c r="AI749" s="124"/>
      <c r="AJ749" s="124"/>
      <c r="AK749" s="124"/>
      <c r="AL749" s="124"/>
      <c r="AM749" s="124"/>
      <c r="AN749" s="124"/>
      <c r="AO749" s="124"/>
      <c r="AP749" s="124"/>
      <c r="AQ749" s="124"/>
    </row>
    <row r="750" spans="1:43" customFormat="1" ht="12.75" hidden="1" thickBot="1">
      <c r="A750" s="25" t="s">
        <v>1221</v>
      </c>
      <c r="B750" s="25" t="s">
        <v>297</v>
      </c>
      <c r="C750" s="25" t="s">
        <v>958</v>
      </c>
      <c r="D750" s="693" t="s">
        <v>498</v>
      </c>
      <c r="E750" s="76">
        <v>3374</v>
      </c>
      <c r="F750" s="19"/>
      <c r="G750" s="18">
        <v>524.79999999999995</v>
      </c>
      <c r="H750" s="19"/>
      <c r="I750" s="19"/>
      <c r="J750" s="19"/>
      <c r="K750" s="19"/>
      <c r="L750" s="19"/>
      <c r="M750" s="18">
        <v>4.66</v>
      </c>
      <c r="N750" s="18">
        <v>16.79</v>
      </c>
      <c r="O750" s="19"/>
      <c r="P750" s="19"/>
      <c r="Q750" s="18">
        <v>0</v>
      </c>
      <c r="R750" s="18">
        <v>546.25</v>
      </c>
      <c r="S750" s="142">
        <f t="shared" si="91"/>
        <v>524.79999999999995</v>
      </c>
      <c r="T750" s="142">
        <f t="shared" si="92"/>
        <v>0</v>
      </c>
      <c r="U750" s="142">
        <f t="shared" si="93"/>
        <v>16.79</v>
      </c>
      <c r="W750" s="601">
        <f t="shared" si="94"/>
        <v>546.24999999999989</v>
      </c>
      <c r="X750" s="601">
        <f t="shared" si="95"/>
        <v>0</v>
      </c>
      <c r="Y750" s="123"/>
      <c r="Z750" s="692">
        <f t="shared" si="96"/>
        <v>524.79999999999995</v>
      </c>
      <c r="AA750" s="124"/>
      <c r="AB750" s="124"/>
      <c r="AC750" s="124"/>
      <c r="AD750" s="124"/>
      <c r="AE750" s="124"/>
      <c r="AF750" s="124"/>
      <c r="AG750" s="124"/>
      <c r="AH750" s="124"/>
      <c r="AI750" s="124"/>
      <c r="AJ750" s="124"/>
      <c r="AK750" s="124"/>
      <c r="AL750" s="124"/>
      <c r="AM750" s="124"/>
      <c r="AN750" s="124"/>
      <c r="AO750" s="124"/>
      <c r="AP750" s="124"/>
      <c r="AQ750" s="124"/>
    </row>
    <row r="751" spans="1:43" customFormat="1" ht="12.75" hidden="1" thickBot="1">
      <c r="A751" s="25" t="s">
        <v>1221</v>
      </c>
      <c r="B751" s="25" t="s">
        <v>299</v>
      </c>
      <c r="C751" s="25" t="s">
        <v>959</v>
      </c>
      <c r="D751" s="693" t="s">
        <v>498</v>
      </c>
      <c r="E751" s="77">
        <v>478</v>
      </c>
      <c r="F751" s="20"/>
      <c r="G751" s="17">
        <v>153.34</v>
      </c>
      <c r="H751" s="20"/>
      <c r="I751" s="20"/>
      <c r="J751" s="20"/>
      <c r="K751" s="20"/>
      <c r="L751" s="20"/>
      <c r="M751" s="17">
        <v>0.66</v>
      </c>
      <c r="N751" s="17">
        <v>4.88</v>
      </c>
      <c r="O751" s="20"/>
      <c r="P751" s="20"/>
      <c r="Q751" s="17">
        <v>0</v>
      </c>
      <c r="R751" s="17">
        <v>158.88</v>
      </c>
      <c r="S751" s="142">
        <f t="shared" si="91"/>
        <v>153.34</v>
      </c>
      <c r="T751" s="142">
        <f t="shared" si="92"/>
        <v>0</v>
      </c>
      <c r="U751" s="142">
        <f t="shared" si="93"/>
        <v>4.88</v>
      </c>
      <c r="W751" s="601">
        <f t="shared" si="94"/>
        <v>158.88</v>
      </c>
      <c r="X751" s="601">
        <f t="shared" si="95"/>
        <v>0</v>
      </c>
      <c r="Y751" s="123"/>
      <c r="Z751" s="692">
        <f t="shared" si="96"/>
        <v>153.34</v>
      </c>
      <c r="AA751" s="124"/>
      <c r="AB751" s="124"/>
      <c r="AC751" s="124"/>
      <c r="AD751" s="124"/>
      <c r="AE751" s="124"/>
      <c r="AF751" s="124"/>
      <c r="AG751" s="124"/>
      <c r="AH751" s="124"/>
      <c r="AI751" s="124"/>
      <c r="AJ751" s="124"/>
      <c r="AK751" s="124"/>
      <c r="AL751" s="124"/>
      <c r="AM751" s="124"/>
      <c r="AN751" s="124"/>
      <c r="AO751" s="124"/>
      <c r="AP751" s="124"/>
      <c r="AQ751" s="124"/>
    </row>
    <row r="752" spans="1:43" customFormat="1" ht="12.75" hidden="1" thickBot="1">
      <c r="A752" s="25" t="s">
        <v>1221</v>
      </c>
      <c r="B752" s="25" t="s">
        <v>377</v>
      </c>
      <c r="C752" s="25" t="s">
        <v>960</v>
      </c>
      <c r="D752" s="693" t="s">
        <v>606</v>
      </c>
      <c r="E752" s="76">
        <v>500</v>
      </c>
      <c r="F752" s="19"/>
      <c r="G752" s="18">
        <v>913.44</v>
      </c>
      <c r="H752" s="19"/>
      <c r="I752" s="19"/>
      <c r="J752" s="19"/>
      <c r="K752" s="19"/>
      <c r="L752" s="19"/>
      <c r="M752" s="18">
        <v>0.68</v>
      </c>
      <c r="N752" s="18">
        <v>28.98</v>
      </c>
      <c r="O752" s="19"/>
      <c r="P752" s="19"/>
      <c r="Q752" s="19"/>
      <c r="R752" s="18">
        <v>943.1</v>
      </c>
      <c r="S752" s="142">
        <f t="shared" si="91"/>
        <v>913.44</v>
      </c>
      <c r="T752" s="142">
        <f t="shared" si="92"/>
        <v>0</v>
      </c>
      <c r="U752" s="142">
        <f t="shared" si="93"/>
        <v>28.98</v>
      </c>
      <c r="W752" s="601">
        <f t="shared" si="94"/>
        <v>943.1</v>
      </c>
      <c r="X752" s="601">
        <f t="shared" si="95"/>
        <v>0</v>
      </c>
      <c r="Y752" s="123"/>
      <c r="Z752" s="692">
        <f t="shared" si="96"/>
        <v>913.44</v>
      </c>
      <c r="AA752" s="124"/>
      <c r="AB752" s="124"/>
      <c r="AC752" s="124"/>
      <c r="AD752" s="124"/>
      <c r="AE752" s="124"/>
      <c r="AF752" s="124"/>
      <c r="AG752" s="124"/>
      <c r="AH752" s="124"/>
      <c r="AI752" s="124"/>
      <c r="AJ752" s="124"/>
      <c r="AK752" s="124"/>
      <c r="AL752" s="124"/>
      <c r="AM752" s="124"/>
      <c r="AN752" s="124"/>
      <c r="AO752" s="124"/>
      <c r="AP752" s="124"/>
      <c r="AQ752" s="124"/>
    </row>
    <row r="753" spans="1:43" customFormat="1" ht="12.75" hidden="1" thickBot="1">
      <c r="A753" s="25" t="s">
        <v>1221</v>
      </c>
      <c r="B753" s="25" t="s">
        <v>737</v>
      </c>
      <c r="C753" s="25" t="s">
        <v>961</v>
      </c>
      <c r="D753" s="693" t="s">
        <v>606</v>
      </c>
      <c r="E753" s="77">
        <v>111</v>
      </c>
      <c r="F753" s="20"/>
      <c r="G753" s="17">
        <v>99.6</v>
      </c>
      <c r="H753" s="20"/>
      <c r="I753" s="20"/>
      <c r="J753" s="20"/>
      <c r="K753" s="20"/>
      <c r="L753" s="20"/>
      <c r="M753" s="17">
        <v>0.15</v>
      </c>
      <c r="N753" s="17">
        <v>3.16</v>
      </c>
      <c r="O753" s="20"/>
      <c r="P753" s="20"/>
      <c r="Q753" s="20"/>
      <c r="R753" s="17">
        <v>102.91</v>
      </c>
      <c r="S753" s="142">
        <f t="shared" ref="S753:S812" si="97">G753+H753+I753</f>
        <v>99.6</v>
      </c>
      <c r="T753" s="142">
        <f t="shared" ref="T753:T812" si="98">J753+K753</f>
        <v>0</v>
      </c>
      <c r="U753" s="142">
        <f t="shared" ref="U753:U812" si="99">N753+O753</f>
        <v>3.16</v>
      </c>
      <c r="W753" s="601">
        <f t="shared" si="94"/>
        <v>102.91</v>
      </c>
      <c r="X753" s="601">
        <f t="shared" si="95"/>
        <v>0</v>
      </c>
      <c r="Y753" s="123"/>
      <c r="Z753" s="692">
        <f t="shared" si="96"/>
        <v>99.6</v>
      </c>
      <c r="AA753" s="124"/>
      <c r="AB753" s="124"/>
      <c r="AC753" s="124"/>
      <c r="AD753" s="124"/>
      <c r="AE753" s="124"/>
      <c r="AF753" s="124"/>
      <c r="AG753" s="124"/>
      <c r="AH753" s="124"/>
      <c r="AI753" s="124"/>
      <c r="AJ753" s="124"/>
      <c r="AK753" s="124"/>
      <c r="AL753" s="124"/>
      <c r="AM753" s="124"/>
      <c r="AN753" s="124"/>
      <c r="AO753" s="124"/>
      <c r="AP753" s="124"/>
      <c r="AQ753" s="124"/>
    </row>
    <row r="754" spans="1:43" customFormat="1" ht="12.75" hidden="1" thickBot="1">
      <c r="A754" s="25" t="s">
        <v>1221</v>
      </c>
      <c r="B754" s="25" t="s">
        <v>329</v>
      </c>
      <c r="C754" s="25" t="s">
        <v>962</v>
      </c>
      <c r="D754" s="693" t="s">
        <v>606</v>
      </c>
      <c r="E754" s="76">
        <v>5011</v>
      </c>
      <c r="F754" s="19"/>
      <c r="G754" s="18">
        <v>4432.96</v>
      </c>
      <c r="H754" s="19"/>
      <c r="I754" s="19"/>
      <c r="J754" s="19"/>
      <c r="K754" s="19"/>
      <c r="L754" s="19"/>
      <c r="M754" s="18">
        <v>6.93</v>
      </c>
      <c r="N754" s="18">
        <v>140.78</v>
      </c>
      <c r="O754" s="19"/>
      <c r="P754" s="19"/>
      <c r="Q754" s="18">
        <v>0</v>
      </c>
      <c r="R754" s="18">
        <v>4580.67</v>
      </c>
      <c r="S754" s="142">
        <f t="shared" si="97"/>
        <v>4432.96</v>
      </c>
      <c r="T754" s="142">
        <f t="shared" si="98"/>
        <v>0</v>
      </c>
      <c r="U754" s="142">
        <f t="shared" si="99"/>
        <v>140.78</v>
      </c>
      <c r="W754" s="601">
        <f t="shared" si="94"/>
        <v>4580.67</v>
      </c>
      <c r="X754" s="601">
        <f t="shared" si="95"/>
        <v>0</v>
      </c>
      <c r="Y754" s="123"/>
      <c r="Z754" s="692">
        <f t="shared" si="96"/>
        <v>4432.96</v>
      </c>
      <c r="AA754" s="124"/>
      <c r="AB754" s="124"/>
      <c r="AC754" s="124"/>
      <c r="AD754" s="124"/>
      <c r="AE754" s="124"/>
      <c r="AF754" s="124"/>
      <c r="AG754" s="124"/>
      <c r="AH754" s="124"/>
      <c r="AI754" s="124"/>
      <c r="AJ754" s="124"/>
      <c r="AK754" s="124"/>
      <c r="AL754" s="124"/>
      <c r="AM754" s="124"/>
      <c r="AN754" s="124"/>
      <c r="AO754" s="124"/>
      <c r="AP754" s="124"/>
      <c r="AQ754" s="124"/>
    </row>
    <row r="755" spans="1:43" customFormat="1" ht="12.75" hidden="1" thickBot="1">
      <c r="A755" s="25" t="s">
        <v>1221</v>
      </c>
      <c r="B755" s="25" t="s">
        <v>330</v>
      </c>
      <c r="C755" s="25" t="s">
        <v>963</v>
      </c>
      <c r="D755" s="693" t="s">
        <v>606</v>
      </c>
      <c r="E755" s="77">
        <v>67108</v>
      </c>
      <c r="F755" s="20"/>
      <c r="G755" s="17">
        <v>43708.97</v>
      </c>
      <c r="H755" s="20"/>
      <c r="I755" s="20"/>
      <c r="J755" s="20"/>
      <c r="K755" s="20"/>
      <c r="L755" s="20"/>
      <c r="M755" s="17">
        <v>93.32</v>
      </c>
      <c r="N755" s="17">
        <v>1387.67</v>
      </c>
      <c r="O755" s="20"/>
      <c r="P755" s="20"/>
      <c r="Q755" s="17">
        <v>0</v>
      </c>
      <c r="R755" s="17">
        <v>45189.96</v>
      </c>
      <c r="S755" s="142">
        <f t="shared" si="97"/>
        <v>43708.97</v>
      </c>
      <c r="T755" s="142">
        <f t="shared" si="98"/>
        <v>0</v>
      </c>
      <c r="U755" s="142">
        <f t="shared" si="99"/>
        <v>1387.67</v>
      </c>
      <c r="W755" s="601">
        <f t="shared" si="94"/>
        <v>45189.96</v>
      </c>
      <c r="X755" s="601">
        <f t="shared" si="95"/>
        <v>0</v>
      </c>
      <c r="Y755" s="123"/>
      <c r="Z755" s="692">
        <f t="shared" si="96"/>
        <v>43708.97</v>
      </c>
      <c r="AA755" s="124"/>
      <c r="AB755" s="124"/>
      <c r="AC755" s="124"/>
      <c r="AD755" s="124"/>
      <c r="AE755" s="124"/>
      <c r="AF755" s="124"/>
      <c r="AG755" s="124"/>
      <c r="AH755" s="124"/>
      <c r="AI755" s="124"/>
      <c r="AJ755" s="124"/>
      <c r="AK755" s="124"/>
      <c r="AL755" s="124"/>
      <c r="AM755" s="124"/>
      <c r="AN755" s="124"/>
      <c r="AO755" s="124"/>
      <c r="AP755" s="124"/>
      <c r="AQ755" s="124"/>
    </row>
    <row r="756" spans="1:43" customFormat="1" ht="12.75" hidden="1" thickBot="1">
      <c r="A756" s="25" t="s">
        <v>1221</v>
      </c>
      <c r="B756" s="25" t="s">
        <v>332</v>
      </c>
      <c r="C756" s="25" t="s">
        <v>964</v>
      </c>
      <c r="D756" s="693" t="s">
        <v>606</v>
      </c>
      <c r="E756" s="76">
        <v>848</v>
      </c>
      <c r="F756" s="19"/>
      <c r="G756" s="18">
        <v>766.84</v>
      </c>
      <c r="H756" s="19"/>
      <c r="I756" s="19"/>
      <c r="J756" s="19"/>
      <c r="K756" s="19"/>
      <c r="L756" s="19"/>
      <c r="M756" s="18">
        <v>1.17</v>
      </c>
      <c r="N756" s="18">
        <v>24.33</v>
      </c>
      <c r="O756" s="19"/>
      <c r="P756" s="19"/>
      <c r="Q756" s="18">
        <v>0</v>
      </c>
      <c r="R756" s="18">
        <v>792.34</v>
      </c>
      <c r="S756" s="142">
        <f t="shared" si="97"/>
        <v>766.84</v>
      </c>
      <c r="T756" s="142">
        <f t="shared" si="98"/>
        <v>0</v>
      </c>
      <c r="U756" s="142">
        <f t="shared" si="99"/>
        <v>24.33</v>
      </c>
      <c r="W756" s="601">
        <f t="shared" si="94"/>
        <v>792.34</v>
      </c>
      <c r="X756" s="601">
        <f t="shared" si="95"/>
        <v>0</v>
      </c>
      <c r="Y756" s="123"/>
      <c r="Z756" s="692">
        <f t="shared" si="96"/>
        <v>766.84</v>
      </c>
      <c r="AA756" s="124"/>
      <c r="AB756" s="124"/>
      <c r="AC756" s="124"/>
      <c r="AD756" s="124"/>
      <c r="AE756" s="124"/>
      <c r="AF756" s="124"/>
      <c r="AG756" s="124"/>
      <c r="AH756" s="124"/>
      <c r="AI756" s="124"/>
      <c r="AJ756" s="124"/>
      <c r="AK756" s="124"/>
      <c r="AL756" s="124"/>
      <c r="AM756" s="124"/>
      <c r="AN756" s="124"/>
      <c r="AO756" s="124"/>
      <c r="AP756" s="124"/>
      <c r="AQ756" s="124"/>
    </row>
    <row r="757" spans="1:43" customFormat="1" ht="12.75" hidden="1" thickBot="1">
      <c r="A757" s="25" t="s">
        <v>1221</v>
      </c>
      <c r="B757" s="25" t="s">
        <v>333</v>
      </c>
      <c r="C757" s="25" t="s">
        <v>965</v>
      </c>
      <c r="D757" s="693" t="s">
        <v>606</v>
      </c>
      <c r="E757" s="77">
        <v>58805</v>
      </c>
      <c r="F757" s="20"/>
      <c r="G757" s="17">
        <v>42290.98</v>
      </c>
      <c r="H757" s="20"/>
      <c r="I757" s="20"/>
      <c r="J757" s="20"/>
      <c r="K757" s="20"/>
      <c r="L757" s="20"/>
      <c r="M757" s="17">
        <v>81.099999999999994</v>
      </c>
      <c r="N757" s="17">
        <v>1343.38</v>
      </c>
      <c r="O757" s="20"/>
      <c r="P757" s="20"/>
      <c r="Q757" s="17">
        <v>0</v>
      </c>
      <c r="R757" s="17">
        <v>43715.46</v>
      </c>
      <c r="S757" s="142">
        <f t="shared" si="97"/>
        <v>42290.98</v>
      </c>
      <c r="T757" s="142">
        <f t="shared" si="98"/>
        <v>0</v>
      </c>
      <c r="U757" s="142">
        <f t="shared" si="99"/>
        <v>1343.38</v>
      </c>
      <c r="W757" s="601">
        <f t="shared" si="94"/>
        <v>43715.46</v>
      </c>
      <c r="X757" s="601">
        <f t="shared" si="95"/>
        <v>0</v>
      </c>
      <c r="Y757" s="123"/>
      <c r="Z757" s="692">
        <f t="shared" si="96"/>
        <v>42290.98</v>
      </c>
      <c r="AA757" s="124"/>
      <c r="AB757" s="124"/>
      <c r="AC757" s="124"/>
      <c r="AD757" s="124"/>
      <c r="AE757" s="124"/>
      <c r="AF757" s="124"/>
      <c r="AG757" s="124"/>
      <c r="AH757" s="124"/>
      <c r="AI757" s="124"/>
      <c r="AJ757" s="124"/>
      <c r="AK757" s="124"/>
      <c r="AL757" s="124"/>
      <c r="AM757" s="124"/>
      <c r="AN757" s="124"/>
      <c r="AO757" s="124"/>
      <c r="AP757" s="124"/>
      <c r="AQ757" s="124"/>
    </row>
    <row r="758" spans="1:43" customFormat="1" ht="12.75" hidden="1" thickBot="1">
      <c r="A758" s="25" t="s">
        <v>1221</v>
      </c>
      <c r="B758" s="25" t="s">
        <v>334</v>
      </c>
      <c r="C758" s="25" t="s">
        <v>966</v>
      </c>
      <c r="D758" s="693" t="s">
        <v>498</v>
      </c>
      <c r="E758" s="76">
        <v>1260</v>
      </c>
      <c r="F758" s="19"/>
      <c r="G758" s="18">
        <v>947.2</v>
      </c>
      <c r="H758" s="19"/>
      <c r="I758" s="19"/>
      <c r="J758" s="19"/>
      <c r="K758" s="19"/>
      <c r="L758" s="19"/>
      <c r="M758" s="18">
        <v>1.73</v>
      </c>
      <c r="N758" s="18">
        <v>30.06</v>
      </c>
      <c r="O758" s="19"/>
      <c r="P758" s="19"/>
      <c r="Q758" s="18">
        <v>0</v>
      </c>
      <c r="R758" s="18">
        <v>978.99</v>
      </c>
      <c r="S758" s="142">
        <f t="shared" si="97"/>
        <v>947.2</v>
      </c>
      <c r="T758" s="142">
        <f t="shared" si="98"/>
        <v>0</v>
      </c>
      <c r="U758" s="142">
        <f t="shared" si="99"/>
        <v>30.06</v>
      </c>
      <c r="W758" s="601">
        <f t="shared" si="94"/>
        <v>978.99</v>
      </c>
      <c r="X758" s="601">
        <f t="shared" si="95"/>
        <v>0</v>
      </c>
      <c r="Y758" s="123"/>
      <c r="Z758" s="692">
        <f t="shared" si="96"/>
        <v>947.2</v>
      </c>
      <c r="AA758" s="124"/>
      <c r="AB758" s="124"/>
      <c r="AC758" s="124"/>
      <c r="AD758" s="124"/>
      <c r="AE758" s="124"/>
      <c r="AF758" s="124"/>
      <c r="AG758" s="124"/>
      <c r="AH758" s="124"/>
      <c r="AI758" s="124"/>
      <c r="AJ758" s="124"/>
      <c r="AK758" s="124"/>
      <c r="AL758" s="124"/>
      <c r="AM758" s="124"/>
      <c r="AN758" s="124"/>
      <c r="AO758" s="124"/>
      <c r="AP758" s="124"/>
      <c r="AQ758" s="124"/>
    </row>
    <row r="759" spans="1:43" customFormat="1" ht="12.75" hidden="1" thickBot="1">
      <c r="A759" s="25" t="s">
        <v>1221</v>
      </c>
      <c r="B759" s="25" t="s">
        <v>336</v>
      </c>
      <c r="C759" s="25" t="s">
        <v>967</v>
      </c>
      <c r="D759" s="693" t="s">
        <v>498</v>
      </c>
      <c r="E759" s="77">
        <v>5253</v>
      </c>
      <c r="F759" s="20"/>
      <c r="G759" s="17">
        <v>2799.01</v>
      </c>
      <c r="H759" s="20"/>
      <c r="I759" s="20"/>
      <c r="J759" s="20"/>
      <c r="K759" s="20"/>
      <c r="L759" s="20"/>
      <c r="M759" s="17">
        <v>7.25</v>
      </c>
      <c r="N759" s="17">
        <v>88.96</v>
      </c>
      <c r="O759" s="20"/>
      <c r="P759" s="20"/>
      <c r="Q759" s="17">
        <v>0</v>
      </c>
      <c r="R759" s="17">
        <v>2895.22</v>
      </c>
      <c r="S759" s="142">
        <f t="shared" si="97"/>
        <v>2799.01</v>
      </c>
      <c r="T759" s="142">
        <f t="shared" si="98"/>
        <v>0</v>
      </c>
      <c r="U759" s="142">
        <f t="shared" si="99"/>
        <v>88.96</v>
      </c>
      <c r="W759" s="601">
        <f t="shared" si="94"/>
        <v>2895.2200000000003</v>
      </c>
      <c r="X759" s="601">
        <f t="shared" si="95"/>
        <v>0</v>
      </c>
      <c r="Y759" s="123"/>
      <c r="Z759" s="692">
        <f t="shared" si="96"/>
        <v>2799.01</v>
      </c>
      <c r="AA759" s="124"/>
      <c r="AB759" s="124"/>
      <c r="AC759" s="124"/>
      <c r="AD759" s="124"/>
      <c r="AE759" s="124"/>
      <c r="AF759" s="124"/>
      <c r="AG759" s="124"/>
      <c r="AH759" s="124"/>
      <c r="AI759" s="124"/>
      <c r="AJ759" s="124"/>
      <c r="AK759" s="124"/>
      <c r="AL759" s="124"/>
      <c r="AM759" s="124"/>
      <c r="AN759" s="124"/>
      <c r="AO759" s="124"/>
      <c r="AP759" s="124"/>
      <c r="AQ759" s="124"/>
    </row>
    <row r="760" spans="1:43" customFormat="1" ht="12.75" hidden="1" thickBot="1">
      <c r="A760" s="25" t="s">
        <v>1221</v>
      </c>
      <c r="B760" s="25" t="s">
        <v>337</v>
      </c>
      <c r="C760" s="25" t="s">
        <v>968</v>
      </c>
      <c r="D760" s="693" t="s">
        <v>606</v>
      </c>
      <c r="E760" s="76">
        <v>2578</v>
      </c>
      <c r="F760" s="19"/>
      <c r="G760" s="18">
        <v>1614.06</v>
      </c>
      <c r="H760" s="19"/>
      <c r="I760" s="19"/>
      <c r="J760" s="19"/>
      <c r="K760" s="19"/>
      <c r="L760" s="19"/>
      <c r="M760" s="18">
        <v>3.56</v>
      </c>
      <c r="N760" s="18">
        <v>51.3</v>
      </c>
      <c r="O760" s="19"/>
      <c r="P760" s="19"/>
      <c r="Q760" s="18">
        <v>0</v>
      </c>
      <c r="R760" s="18">
        <v>1668.92</v>
      </c>
      <c r="S760" s="142">
        <f t="shared" si="97"/>
        <v>1614.06</v>
      </c>
      <c r="T760" s="142">
        <f t="shared" si="98"/>
        <v>0</v>
      </c>
      <c r="U760" s="142">
        <f t="shared" si="99"/>
        <v>51.3</v>
      </c>
      <c r="W760" s="601">
        <f t="shared" si="94"/>
        <v>1668.9199999999998</v>
      </c>
      <c r="X760" s="601">
        <f t="shared" si="95"/>
        <v>0</v>
      </c>
      <c r="Y760" s="123"/>
      <c r="Z760" s="692">
        <f t="shared" si="96"/>
        <v>1614.06</v>
      </c>
      <c r="AA760" s="124"/>
      <c r="AB760" s="124"/>
      <c r="AC760" s="124"/>
      <c r="AD760" s="124"/>
      <c r="AE760" s="124"/>
      <c r="AF760" s="124"/>
      <c r="AG760" s="124"/>
      <c r="AH760" s="124"/>
      <c r="AI760" s="124"/>
      <c r="AJ760" s="124"/>
      <c r="AK760" s="124"/>
      <c r="AL760" s="124"/>
      <c r="AM760" s="124"/>
      <c r="AN760" s="124"/>
      <c r="AO760" s="124"/>
      <c r="AP760" s="124"/>
      <c r="AQ760" s="124"/>
    </row>
    <row r="761" spans="1:43" customFormat="1" ht="12.75" hidden="1" thickBot="1">
      <c r="A761" s="25" t="s">
        <v>1221</v>
      </c>
      <c r="B761" s="25" t="s">
        <v>338</v>
      </c>
      <c r="C761" s="25" t="s">
        <v>969</v>
      </c>
      <c r="D761" s="693" t="s">
        <v>606</v>
      </c>
      <c r="E761" s="77">
        <v>14401</v>
      </c>
      <c r="F761" s="20"/>
      <c r="G761" s="17">
        <v>5947.66</v>
      </c>
      <c r="H761" s="20"/>
      <c r="I761" s="20"/>
      <c r="J761" s="20"/>
      <c r="K761" s="20"/>
      <c r="L761" s="20"/>
      <c r="M761" s="17">
        <v>19.97</v>
      </c>
      <c r="N761" s="17">
        <v>189.16</v>
      </c>
      <c r="O761" s="20"/>
      <c r="P761" s="20"/>
      <c r="Q761" s="17">
        <v>0</v>
      </c>
      <c r="R761" s="17">
        <v>6156.79</v>
      </c>
      <c r="S761" s="142">
        <f t="shared" si="97"/>
        <v>5947.66</v>
      </c>
      <c r="T761" s="142">
        <f t="shared" si="98"/>
        <v>0</v>
      </c>
      <c r="U761" s="142">
        <f t="shared" si="99"/>
        <v>189.16</v>
      </c>
      <c r="W761" s="601">
        <f t="shared" si="94"/>
        <v>6156.79</v>
      </c>
      <c r="X761" s="601">
        <f t="shared" si="95"/>
        <v>0</v>
      </c>
      <c r="Y761" s="123"/>
      <c r="Z761" s="692">
        <f t="shared" si="96"/>
        <v>5947.66</v>
      </c>
      <c r="AA761" s="124"/>
      <c r="AB761" s="124"/>
      <c r="AC761" s="124"/>
      <c r="AD761" s="124"/>
      <c r="AE761" s="124"/>
      <c r="AF761" s="124"/>
      <c r="AG761" s="124"/>
      <c r="AH761" s="124"/>
      <c r="AI761" s="124"/>
      <c r="AJ761" s="124"/>
      <c r="AK761" s="124"/>
      <c r="AL761" s="124"/>
      <c r="AM761" s="124"/>
      <c r="AN761" s="124"/>
      <c r="AO761" s="124"/>
      <c r="AP761" s="124"/>
      <c r="AQ761" s="124"/>
    </row>
    <row r="762" spans="1:43" customFormat="1" ht="12.75" hidden="1" thickBot="1">
      <c r="A762" s="25" t="s">
        <v>1221</v>
      </c>
      <c r="B762" s="25" t="s">
        <v>339</v>
      </c>
      <c r="C762" s="25" t="s">
        <v>970</v>
      </c>
      <c r="D762" s="693" t="s">
        <v>606</v>
      </c>
      <c r="E762" s="76">
        <v>48376</v>
      </c>
      <c r="F762" s="19"/>
      <c r="G762" s="18">
        <v>15018.17</v>
      </c>
      <c r="H762" s="19"/>
      <c r="I762" s="19"/>
      <c r="J762" s="19"/>
      <c r="K762" s="19"/>
      <c r="L762" s="19"/>
      <c r="M762" s="18">
        <v>68.31</v>
      </c>
      <c r="N762" s="18">
        <v>477.66</v>
      </c>
      <c r="O762" s="19"/>
      <c r="P762" s="19"/>
      <c r="Q762" s="18">
        <v>0</v>
      </c>
      <c r="R762" s="18">
        <v>15564.14</v>
      </c>
      <c r="S762" s="142">
        <f t="shared" si="97"/>
        <v>15018.17</v>
      </c>
      <c r="T762" s="142">
        <f t="shared" si="98"/>
        <v>0</v>
      </c>
      <c r="U762" s="142">
        <f t="shared" si="99"/>
        <v>477.66</v>
      </c>
      <c r="W762" s="601">
        <f t="shared" si="94"/>
        <v>15564.14</v>
      </c>
      <c r="X762" s="601">
        <f t="shared" si="95"/>
        <v>0</v>
      </c>
      <c r="Y762" s="123"/>
      <c r="Z762" s="692">
        <f t="shared" si="96"/>
        <v>15018.17</v>
      </c>
      <c r="AA762" s="124"/>
      <c r="AB762" s="124"/>
      <c r="AC762" s="124"/>
      <c r="AD762" s="124"/>
      <c r="AE762" s="124"/>
      <c r="AF762" s="124"/>
      <c r="AG762" s="124"/>
      <c r="AH762" s="124"/>
      <c r="AI762" s="124"/>
      <c r="AJ762" s="124"/>
      <c r="AK762" s="124"/>
      <c r="AL762" s="124"/>
      <c r="AM762" s="124"/>
      <c r="AN762" s="124"/>
      <c r="AO762" s="124"/>
      <c r="AP762" s="124"/>
      <c r="AQ762" s="124"/>
    </row>
    <row r="763" spans="1:43" customFormat="1" ht="12.75" hidden="1" thickBot="1">
      <c r="A763" s="25" t="s">
        <v>1221</v>
      </c>
      <c r="B763" s="25" t="s">
        <v>340</v>
      </c>
      <c r="C763" s="25" t="s">
        <v>971</v>
      </c>
      <c r="D763" s="693" t="s">
        <v>606</v>
      </c>
      <c r="E763" s="77">
        <v>1054</v>
      </c>
      <c r="F763" s="20"/>
      <c r="G763" s="17">
        <v>562.14</v>
      </c>
      <c r="H763" s="20"/>
      <c r="I763" s="20"/>
      <c r="J763" s="20"/>
      <c r="K763" s="20"/>
      <c r="L763" s="20"/>
      <c r="M763" s="17">
        <v>1.44</v>
      </c>
      <c r="N763" s="17">
        <v>17.899999999999999</v>
      </c>
      <c r="O763" s="20"/>
      <c r="P763" s="20"/>
      <c r="Q763" s="17">
        <v>0</v>
      </c>
      <c r="R763" s="17">
        <v>581.48</v>
      </c>
      <c r="S763" s="142">
        <f t="shared" si="97"/>
        <v>562.14</v>
      </c>
      <c r="T763" s="142">
        <f t="shared" si="98"/>
        <v>0</v>
      </c>
      <c r="U763" s="142">
        <f t="shared" si="99"/>
        <v>17.899999999999999</v>
      </c>
      <c r="W763" s="601">
        <f t="shared" si="94"/>
        <v>581.48</v>
      </c>
      <c r="X763" s="601">
        <f t="shared" si="95"/>
        <v>0</v>
      </c>
      <c r="Y763" s="123"/>
      <c r="Z763" s="692">
        <f t="shared" si="96"/>
        <v>562.14</v>
      </c>
      <c r="AA763" s="124"/>
      <c r="AB763" s="124"/>
      <c r="AC763" s="124"/>
      <c r="AD763" s="124"/>
      <c r="AE763" s="124"/>
      <c r="AF763" s="124"/>
      <c r="AG763" s="124"/>
      <c r="AH763" s="124"/>
      <c r="AI763" s="124"/>
      <c r="AJ763" s="124"/>
      <c r="AK763" s="124"/>
      <c r="AL763" s="124"/>
      <c r="AM763" s="124"/>
      <c r="AN763" s="124"/>
      <c r="AO763" s="124"/>
      <c r="AP763" s="124"/>
      <c r="AQ763" s="124"/>
    </row>
    <row r="764" spans="1:43" customFormat="1" ht="12.75" hidden="1" thickBot="1">
      <c r="A764" s="25" t="s">
        <v>1221</v>
      </c>
      <c r="B764" s="25" t="s">
        <v>341</v>
      </c>
      <c r="C764" s="25" t="s">
        <v>972</v>
      </c>
      <c r="D764" s="693" t="s">
        <v>606</v>
      </c>
      <c r="E764" s="76">
        <v>38147</v>
      </c>
      <c r="F764" s="19"/>
      <c r="G764" s="18">
        <v>13162.57</v>
      </c>
      <c r="H764" s="19"/>
      <c r="I764" s="19"/>
      <c r="J764" s="19"/>
      <c r="K764" s="19"/>
      <c r="L764" s="19"/>
      <c r="M764" s="18">
        <v>52.65</v>
      </c>
      <c r="N764" s="18">
        <v>418.95</v>
      </c>
      <c r="O764" s="19"/>
      <c r="P764" s="19"/>
      <c r="Q764" s="18">
        <v>0</v>
      </c>
      <c r="R764" s="18">
        <v>13634.17</v>
      </c>
      <c r="S764" s="142">
        <f t="shared" si="97"/>
        <v>13162.57</v>
      </c>
      <c r="T764" s="142">
        <f t="shared" si="98"/>
        <v>0</v>
      </c>
      <c r="U764" s="142">
        <f t="shared" si="99"/>
        <v>418.95</v>
      </c>
      <c r="W764" s="601">
        <f t="shared" si="94"/>
        <v>13634.17</v>
      </c>
      <c r="X764" s="601">
        <f t="shared" si="95"/>
        <v>0</v>
      </c>
      <c r="Y764" s="123"/>
      <c r="Z764" s="692">
        <f t="shared" si="96"/>
        <v>13162.57</v>
      </c>
      <c r="AA764" s="124"/>
      <c r="AB764" s="124"/>
      <c r="AC764" s="124"/>
      <c r="AD764" s="124"/>
      <c r="AE764" s="124"/>
      <c r="AF764" s="124"/>
      <c r="AG764" s="124"/>
      <c r="AH764" s="124"/>
      <c r="AI764" s="124"/>
      <c r="AJ764" s="124"/>
      <c r="AK764" s="124"/>
      <c r="AL764" s="124"/>
      <c r="AM764" s="124"/>
      <c r="AN764" s="124"/>
      <c r="AO764" s="124"/>
      <c r="AP764" s="124"/>
      <c r="AQ764" s="124"/>
    </row>
    <row r="765" spans="1:43" customFormat="1" ht="12.75" hidden="1" thickBot="1">
      <c r="A765" s="25" t="s">
        <v>1221</v>
      </c>
      <c r="B765" s="25" t="s">
        <v>342</v>
      </c>
      <c r="C765" s="25" t="s">
        <v>973</v>
      </c>
      <c r="D765" s="693" t="s">
        <v>606</v>
      </c>
      <c r="E765" s="77">
        <v>4437</v>
      </c>
      <c r="F765" s="20"/>
      <c r="G765" s="17">
        <v>1191.05</v>
      </c>
      <c r="H765" s="20"/>
      <c r="I765" s="20"/>
      <c r="J765" s="20"/>
      <c r="K765" s="20"/>
      <c r="L765" s="20"/>
      <c r="M765" s="17">
        <v>6.75</v>
      </c>
      <c r="N765" s="17">
        <v>37.78</v>
      </c>
      <c r="O765" s="20"/>
      <c r="P765" s="20"/>
      <c r="Q765" s="17">
        <v>0</v>
      </c>
      <c r="R765" s="17">
        <v>1235.58</v>
      </c>
      <c r="S765" s="142">
        <f t="shared" si="97"/>
        <v>1191.05</v>
      </c>
      <c r="T765" s="142">
        <f t="shared" si="98"/>
        <v>0</v>
      </c>
      <c r="U765" s="142">
        <f t="shared" si="99"/>
        <v>37.78</v>
      </c>
      <c r="W765" s="601">
        <f t="shared" si="94"/>
        <v>1235.58</v>
      </c>
      <c r="X765" s="601">
        <f t="shared" si="95"/>
        <v>0</v>
      </c>
      <c r="Y765" s="123"/>
      <c r="Z765" s="692">
        <f t="shared" si="96"/>
        <v>1191.05</v>
      </c>
      <c r="AA765" s="124"/>
      <c r="AB765" s="124"/>
      <c r="AC765" s="124"/>
      <c r="AD765" s="124"/>
      <c r="AE765" s="124"/>
      <c r="AF765" s="124"/>
      <c r="AG765" s="124"/>
      <c r="AH765" s="124"/>
      <c r="AI765" s="124"/>
      <c r="AJ765" s="124"/>
      <c r="AK765" s="124"/>
      <c r="AL765" s="124"/>
      <c r="AM765" s="124"/>
      <c r="AN765" s="124"/>
      <c r="AO765" s="124"/>
      <c r="AP765" s="124"/>
      <c r="AQ765" s="124"/>
    </row>
    <row r="766" spans="1:43" customFormat="1" ht="12.75" hidden="1" thickBot="1">
      <c r="A766" s="25" t="s">
        <v>1221</v>
      </c>
      <c r="B766" s="25" t="s">
        <v>343</v>
      </c>
      <c r="C766" s="25" t="s">
        <v>974</v>
      </c>
      <c r="D766" s="693" t="s">
        <v>498</v>
      </c>
      <c r="E766" s="76">
        <v>883</v>
      </c>
      <c r="F766" s="19"/>
      <c r="G766" s="18">
        <v>1383.38</v>
      </c>
      <c r="H766" s="19"/>
      <c r="I766" s="19"/>
      <c r="J766" s="19"/>
      <c r="K766" s="19"/>
      <c r="L766" s="19"/>
      <c r="M766" s="18">
        <v>1.22</v>
      </c>
      <c r="N766" s="18">
        <v>43.89</v>
      </c>
      <c r="O766" s="19"/>
      <c r="P766" s="19"/>
      <c r="Q766" s="18">
        <v>0</v>
      </c>
      <c r="R766" s="18">
        <v>1428.49</v>
      </c>
      <c r="S766" s="142">
        <f t="shared" si="97"/>
        <v>1383.38</v>
      </c>
      <c r="T766" s="142">
        <f t="shared" si="98"/>
        <v>0</v>
      </c>
      <c r="U766" s="142">
        <f t="shared" si="99"/>
        <v>43.89</v>
      </c>
      <c r="W766" s="601">
        <f t="shared" si="94"/>
        <v>1428.4900000000002</v>
      </c>
      <c r="X766" s="601">
        <f t="shared" si="95"/>
        <v>0</v>
      </c>
      <c r="Y766" s="123"/>
      <c r="Z766" s="692">
        <f t="shared" si="96"/>
        <v>1383.38</v>
      </c>
      <c r="AA766" s="124"/>
      <c r="AB766" s="124"/>
      <c r="AC766" s="124"/>
      <c r="AD766" s="124"/>
      <c r="AE766" s="124"/>
      <c r="AF766" s="124"/>
      <c r="AG766" s="124"/>
      <c r="AH766" s="124"/>
      <c r="AI766" s="124"/>
      <c r="AJ766" s="124"/>
      <c r="AK766" s="124"/>
      <c r="AL766" s="124"/>
      <c r="AM766" s="124"/>
      <c r="AN766" s="124"/>
      <c r="AO766" s="124"/>
      <c r="AP766" s="124"/>
      <c r="AQ766" s="124"/>
    </row>
    <row r="767" spans="1:43" customFormat="1" ht="12.75" hidden="1" thickBot="1">
      <c r="A767" s="25" t="s">
        <v>1221</v>
      </c>
      <c r="B767" s="25" t="s">
        <v>344</v>
      </c>
      <c r="C767" s="25" t="s">
        <v>975</v>
      </c>
      <c r="D767" s="693" t="s">
        <v>606</v>
      </c>
      <c r="E767" s="77">
        <v>1155</v>
      </c>
      <c r="F767" s="20"/>
      <c r="G767" s="17">
        <v>1916.46</v>
      </c>
      <c r="H767" s="20"/>
      <c r="I767" s="20"/>
      <c r="J767" s="20"/>
      <c r="K767" s="20"/>
      <c r="L767" s="20"/>
      <c r="M767" s="17">
        <v>1.59</v>
      </c>
      <c r="N767" s="17">
        <v>60.81</v>
      </c>
      <c r="O767" s="20"/>
      <c r="P767" s="20"/>
      <c r="Q767" s="17">
        <v>0</v>
      </c>
      <c r="R767" s="17">
        <v>1978.86</v>
      </c>
      <c r="S767" s="142">
        <f t="shared" si="97"/>
        <v>1916.46</v>
      </c>
      <c r="T767" s="142">
        <f t="shared" si="98"/>
        <v>0</v>
      </c>
      <c r="U767" s="142">
        <f t="shared" si="99"/>
        <v>60.81</v>
      </c>
      <c r="W767" s="601">
        <f t="shared" si="94"/>
        <v>1978.86</v>
      </c>
      <c r="X767" s="601">
        <f t="shared" si="95"/>
        <v>0</v>
      </c>
      <c r="Y767" s="123"/>
      <c r="Z767" s="692">
        <f t="shared" si="96"/>
        <v>1916.46</v>
      </c>
      <c r="AA767" s="124"/>
      <c r="AB767" s="124"/>
      <c r="AC767" s="124"/>
      <c r="AD767" s="124"/>
      <c r="AE767" s="124"/>
      <c r="AF767" s="124"/>
      <c r="AG767" s="124"/>
      <c r="AH767" s="124"/>
      <c r="AI767" s="124"/>
      <c r="AJ767" s="124"/>
      <c r="AK767" s="124"/>
      <c r="AL767" s="124"/>
      <c r="AM767" s="124"/>
      <c r="AN767" s="124"/>
      <c r="AO767" s="124"/>
      <c r="AP767" s="124"/>
      <c r="AQ767" s="124"/>
    </row>
    <row r="768" spans="1:43" customFormat="1" ht="12.75" hidden="1" thickBot="1">
      <c r="A768" s="25" t="s">
        <v>1221</v>
      </c>
      <c r="B768" s="25" t="s">
        <v>345</v>
      </c>
      <c r="C768" s="25" t="s">
        <v>976</v>
      </c>
      <c r="D768" s="693" t="s">
        <v>498</v>
      </c>
      <c r="E768" s="76">
        <v>6768</v>
      </c>
      <c r="F768" s="19"/>
      <c r="G768" s="18">
        <v>7777.43</v>
      </c>
      <c r="H768" s="19"/>
      <c r="I768" s="19"/>
      <c r="J768" s="19"/>
      <c r="K768" s="19"/>
      <c r="L768" s="19"/>
      <c r="M768" s="18">
        <v>9.33</v>
      </c>
      <c r="N768" s="18">
        <v>246.82</v>
      </c>
      <c r="O768" s="19"/>
      <c r="P768" s="19"/>
      <c r="Q768" s="18">
        <v>0</v>
      </c>
      <c r="R768" s="18">
        <v>8033.58</v>
      </c>
      <c r="S768" s="142">
        <f t="shared" si="97"/>
        <v>7777.43</v>
      </c>
      <c r="T768" s="142">
        <f t="shared" si="98"/>
        <v>0</v>
      </c>
      <c r="U768" s="142">
        <f t="shared" si="99"/>
        <v>246.82</v>
      </c>
      <c r="W768" s="601">
        <f t="shared" si="94"/>
        <v>8033.58</v>
      </c>
      <c r="X768" s="601">
        <f t="shared" si="95"/>
        <v>0</v>
      </c>
      <c r="Y768" s="123"/>
      <c r="Z768" s="692">
        <f t="shared" si="96"/>
        <v>7777.43</v>
      </c>
      <c r="AA768" s="124"/>
      <c r="AB768" s="124"/>
      <c r="AC768" s="124"/>
      <c r="AD768" s="124"/>
      <c r="AE768" s="124"/>
      <c r="AF768" s="124"/>
      <c r="AG768" s="124"/>
      <c r="AH768" s="124"/>
      <c r="AI768" s="124"/>
      <c r="AJ768" s="124"/>
      <c r="AK768" s="124"/>
      <c r="AL768" s="124"/>
      <c r="AM768" s="124"/>
      <c r="AN768" s="124"/>
      <c r="AO768" s="124"/>
      <c r="AP768" s="124"/>
      <c r="AQ768" s="124"/>
    </row>
    <row r="769" spans="1:43" customFormat="1" ht="12.75" hidden="1" thickBot="1">
      <c r="A769" s="25" t="s">
        <v>1221</v>
      </c>
      <c r="B769" s="25" t="s">
        <v>346</v>
      </c>
      <c r="C769" s="25" t="s">
        <v>977</v>
      </c>
      <c r="D769" s="693" t="s">
        <v>606</v>
      </c>
      <c r="E769" s="77">
        <v>5796</v>
      </c>
      <c r="F769" s="20"/>
      <c r="G769" s="17">
        <v>7420.4</v>
      </c>
      <c r="H769" s="20"/>
      <c r="I769" s="20"/>
      <c r="J769" s="20"/>
      <c r="K769" s="20"/>
      <c r="L769" s="20"/>
      <c r="M769" s="17">
        <v>10.050000000000001</v>
      </c>
      <c r="N769" s="17">
        <v>232.91</v>
      </c>
      <c r="O769" s="20"/>
      <c r="P769" s="20"/>
      <c r="Q769" s="17">
        <v>0</v>
      </c>
      <c r="R769" s="17">
        <v>7663.36</v>
      </c>
      <c r="S769" s="142">
        <f t="shared" si="97"/>
        <v>7420.4</v>
      </c>
      <c r="T769" s="142">
        <f t="shared" si="98"/>
        <v>0</v>
      </c>
      <c r="U769" s="142">
        <f t="shared" si="99"/>
        <v>232.91</v>
      </c>
      <c r="W769" s="601">
        <f t="shared" si="94"/>
        <v>7663.36</v>
      </c>
      <c r="X769" s="601">
        <f t="shared" si="95"/>
        <v>0</v>
      </c>
      <c r="Y769" s="123"/>
      <c r="Z769" s="692">
        <f t="shared" si="96"/>
        <v>7420.4</v>
      </c>
      <c r="AA769" s="124"/>
      <c r="AB769" s="124"/>
      <c r="AC769" s="124"/>
      <c r="AD769" s="124"/>
      <c r="AE769" s="124"/>
      <c r="AF769" s="124"/>
      <c r="AG769" s="124"/>
      <c r="AH769" s="124"/>
      <c r="AI769" s="124"/>
      <c r="AJ769" s="124"/>
      <c r="AK769" s="124"/>
      <c r="AL769" s="124"/>
      <c r="AM769" s="124"/>
      <c r="AN769" s="124"/>
      <c r="AO769" s="124"/>
      <c r="AP769" s="124"/>
      <c r="AQ769" s="124"/>
    </row>
    <row r="770" spans="1:43" customFormat="1" ht="12.75" hidden="1" thickBot="1">
      <c r="A770" s="25" t="s">
        <v>1221</v>
      </c>
      <c r="B770" s="25" t="s">
        <v>347</v>
      </c>
      <c r="C770" s="25" t="s">
        <v>978</v>
      </c>
      <c r="D770" s="693" t="s">
        <v>498</v>
      </c>
      <c r="E770" s="76">
        <v>301</v>
      </c>
      <c r="F770" s="19"/>
      <c r="G770" s="18">
        <v>419.38</v>
      </c>
      <c r="H770" s="19"/>
      <c r="I770" s="19"/>
      <c r="J770" s="19"/>
      <c r="K770" s="19"/>
      <c r="L770" s="19"/>
      <c r="M770" s="18">
        <v>0.42</v>
      </c>
      <c r="N770" s="18">
        <v>13.3</v>
      </c>
      <c r="O770" s="19"/>
      <c r="P770" s="19"/>
      <c r="Q770" s="18">
        <v>0</v>
      </c>
      <c r="R770" s="18">
        <v>433.1</v>
      </c>
      <c r="S770" s="142">
        <f t="shared" si="97"/>
        <v>419.38</v>
      </c>
      <c r="T770" s="142">
        <f t="shared" si="98"/>
        <v>0</v>
      </c>
      <c r="U770" s="142">
        <f t="shared" si="99"/>
        <v>13.3</v>
      </c>
      <c r="W770" s="601">
        <f t="shared" si="94"/>
        <v>433.1</v>
      </c>
      <c r="X770" s="601">
        <f t="shared" si="95"/>
        <v>0</v>
      </c>
      <c r="Y770" s="123"/>
      <c r="Z770" s="692">
        <f t="shared" si="96"/>
        <v>419.38</v>
      </c>
      <c r="AA770" s="124"/>
      <c r="AB770" s="124"/>
      <c r="AC770" s="124"/>
      <c r="AD770" s="124"/>
      <c r="AE770" s="124"/>
      <c r="AF770" s="124"/>
      <c r="AG770" s="124"/>
      <c r="AH770" s="124"/>
      <c r="AI770" s="124"/>
      <c r="AJ770" s="124"/>
      <c r="AK770" s="124"/>
      <c r="AL770" s="124"/>
      <c r="AM770" s="124"/>
      <c r="AN770" s="124"/>
      <c r="AO770" s="124"/>
      <c r="AP770" s="124"/>
      <c r="AQ770" s="124"/>
    </row>
    <row r="771" spans="1:43" customFormat="1" ht="12.75" hidden="1" thickBot="1">
      <c r="A771" s="25" t="s">
        <v>1221</v>
      </c>
      <c r="B771" s="25" t="s">
        <v>348</v>
      </c>
      <c r="C771" s="25" t="s">
        <v>979</v>
      </c>
      <c r="D771" s="693" t="s">
        <v>606</v>
      </c>
      <c r="E771" s="77">
        <v>1022</v>
      </c>
      <c r="F771" s="20"/>
      <c r="G771" s="17">
        <v>1647.83</v>
      </c>
      <c r="H771" s="20"/>
      <c r="I771" s="20"/>
      <c r="J771" s="20"/>
      <c r="K771" s="20"/>
      <c r="L771" s="20"/>
      <c r="M771" s="17">
        <v>1.41</v>
      </c>
      <c r="N771" s="17">
        <v>52.29</v>
      </c>
      <c r="O771" s="20"/>
      <c r="P771" s="20"/>
      <c r="Q771" s="17">
        <v>0</v>
      </c>
      <c r="R771" s="17">
        <v>1701.53</v>
      </c>
      <c r="S771" s="142">
        <f t="shared" si="97"/>
        <v>1647.83</v>
      </c>
      <c r="T771" s="142">
        <f t="shared" si="98"/>
        <v>0</v>
      </c>
      <c r="U771" s="142">
        <f t="shared" si="99"/>
        <v>52.29</v>
      </c>
      <c r="W771" s="601">
        <f t="shared" si="94"/>
        <v>1701.53</v>
      </c>
      <c r="X771" s="601">
        <f t="shared" si="95"/>
        <v>0</v>
      </c>
      <c r="Y771" s="123"/>
      <c r="Z771" s="692">
        <f t="shared" si="96"/>
        <v>1647.83</v>
      </c>
      <c r="AA771" s="124"/>
      <c r="AB771" s="124"/>
      <c r="AC771" s="124"/>
      <c r="AD771" s="124"/>
      <c r="AE771" s="124"/>
      <c r="AF771" s="124"/>
      <c r="AG771" s="124"/>
      <c r="AH771" s="124"/>
      <c r="AI771" s="124"/>
      <c r="AJ771" s="124"/>
      <c r="AK771" s="124"/>
      <c r="AL771" s="124"/>
      <c r="AM771" s="124"/>
      <c r="AN771" s="124"/>
      <c r="AO771" s="124"/>
      <c r="AP771" s="124"/>
      <c r="AQ771" s="124"/>
    </row>
    <row r="772" spans="1:43" customFormat="1" ht="12.75" hidden="1" thickBot="1">
      <c r="A772" s="25" t="s">
        <v>1221</v>
      </c>
      <c r="B772" s="25" t="s">
        <v>376</v>
      </c>
      <c r="C772" s="25" t="s">
        <v>980</v>
      </c>
      <c r="D772" s="693" t="s">
        <v>498</v>
      </c>
      <c r="E772" s="76">
        <v>305</v>
      </c>
      <c r="F772" s="19"/>
      <c r="G772" s="18">
        <v>346.77</v>
      </c>
      <c r="H772" s="19"/>
      <c r="I772" s="19"/>
      <c r="J772" s="19"/>
      <c r="K772" s="19"/>
      <c r="L772" s="19"/>
      <c r="M772" s="18">
        <v>0.42</v>
      </c>
      <c r="N772" s="18">
        <v>11.01</v>
      </c>
      <c r="O772" s="19"/>
      <c r="P772" s="19"/>
      <c r="Q772" s="18">
        <v>0</v>
      </c>
      <c r="R772" s="18">
        <v>358.2</v>
      </c>
      <c r="S772" s="142">
        <f t="shared" si="97"/>
        <v>346.77</v>
      </c>
      <c r="T772" s="142">
        <f t="shared" si="98"/>
        <v>0</v>
      </c>
      <c r="U772" s="142">
        <f t="shared" si="99"/>
        <v>11.01</v>
      </c>
      <c r="W772" s="601">
        <f t="shared" si="94"/>
        <v>358.2</v>
      </c>
      <c r="X772" s="601">
        <f t="shared" si="95"/>
        <v>0</v>
      </c>
      <c r="Y772" s="123"/>
      <c r="Z772" s="692">
        <f t="shared" si="96"/>
        <v>346.77</v>
      </c>
      <c r="AA772" s="124"/>
      <c r="AB772" s="124"/>
      <c r="AC772" s="124"/>
      <c r="AD772" s="124"/>
      <c r="AE772" s="124"/>
      <c r="AF772" s="124"/>
      <c r="AG772" s="124"/>
      <c r="AH772" s="124"/>
      <c r="AI772" s="124"/>
      <c r="AJ772" s="124"/>
      <c r="AK772" s="124"/>
      <c r="AL772" s="124"/>
      <c r="AM772" s="124"/>
      <c r="AN772" s="124"/>
      <c r="AO772" s="124"/>
      <c r="AP772" s="124"/>
      <c r="AQ772" s="124"/>
    </row>
    <row r="773" spans="1:43" customFormat="1" ht="12.75" hidden="1" thickBot="1">
      <c r="A773" s="25" t="s">
        <v>1221</v>
      </c>
      <c r="B773" s="25" t="s">
        <v>349</v>
      </c>
      <c r="C773" s="25" t="s">
        <v>981</v>
      </c>
      <c r="D773" s="693" t="s">
        <v>606</v>
      </c>
      <c r="E773" s="77">
        <v>6350</v>
      </c>
      <c r="F773" s="20"/>
      <c r="G773" s="17">
        <v>7763.45</v>
      </c>
      <c r="H773" s="20"/>
      <c r="I773" s="20"/>
      <c r="J773" s="20"/>
      <c r="K773" s="20"/>
      <c r="L773" s="20"/>
      <c r="M773" s="17">
        <v>9.01</v>
      </c>
      <c r="N773" s="17">
        <v>246.12</v>
      </c>
      <c r="O773" s="20"/>
      <c r="P773" s="20"/>
      <c r="Q773" s="17">
        <v>0</v>
      </c>
      <c r="R773" s="17">
        <v>8018.58</v>
      </c>
      <c r="S773" s="142">
        <f t="shared" si="97"/>
        <v>7763.45</v>
      </c>
      <c r="T773" s="142">
        <f t="shared" si="98"/>
        <v>0</v>
      </c>
      <c r="U773" s="142">
        <f t="shared" si="99"/>
        <v>246.12</v>
      </c>
      <c r="W773" s="601">
        <f t="shared" si="94"/>
        <v>8018.58</v>
      </c>
      <c r="X773" s="601">
        <f t="shared" si="95"/>
        <v>0</v>
      </c>
      <c r="Y773" s="123"/>
      <c r="Z773" s="692">
        <f t="shared" si="96"/>
        <v>7763.45</v>
      </c>
      <c r="AA773" s="124"/>
      <c r="AB773" s="124"/>
      <c r="AC773" s="124"/>
      <c r="AD773" s="124"/>
      <c r="AE773" s="124"/>
      <c r="AF773" s="124"/>
      <c r="AG773" s="124"/>
      <c r="AH773" s="124"/>
      <c r="AI773" s="124"/>
      <c r="AJ773" s="124"/>
      <c r="AK773" s="124"/>
      <c r="AL773" s="124"/>
      <c r="AM773" s="124"/>
      <c r="AN773" s="124"/>
      <c r="AO773" s="124"/>
      <c r="AP773" s="124"/>
      <c r="AQ773" s="124"/>
    </row>
    <row r="774" spans="1:43" customFormat="1" ht="12.75" hidden="1" thickBot="1">
      <c r="A774" s="25" t="s">
        <v>1221</v>
      </c>
      <c r="B774" s="25" t="s">
        <v>730</v>
      </c>
      <c r="C774" s="25" t="s">
        <v>982</v>
      </c>
      <c r="D774" s="693" t="s">
        <v>606</v>
      </c>
      <c r="E774" s="76">
        <v>159</v>
      </c>
      <c r="F774" s="19"/>
      <c r="G774" s="18">
        <v>36.56</v>
      </c>
      <c r="H774" s="19"/>
      <c r="I774" s="19"/>
      <c r="J774" s="19"/>
      <c r="K774" s="19"/>
      <c r="L774" s="19"/>
      <c r="M774" s="18">
        <v>0.22</v>
      </c>
      <c r="N774" s="18">
        <v>1.1599999999999999</v>
      </c>
      <c r="O774" s="19"/>
      <c r="P774" s="19"/>
      <c r="Q774" s="19"/>
      <c r="R774" s="18">
        <v>37.94</v>
      </c>
      <c r="S774" s="142">
        <f t="shared" si="97"/>
        <v>36.56</v>
      </c>
      <c r="T774" s="142">
        <f t="shared" si="98"/>
        <v>0</v>
      </c>
      <c r="U774" s="142">
        <f t="shared" si="99"/>
        <v>1.1599999999999999</v>
      </c>
      <c r="W774" s="601">
        <f t="shared" si="94"/>
        <v>37.94</v>
      </c>
      <c r="X774" s="601">
        <f t="shared" si="95"/>
        <v>0</v>
      </c>
      <c r="Y774" s="123"/>
      <c r="Z774" s="692">
        <f t="shared" si="96"/>
        <v>36.56</v>
      </c>
      <c r="AA774" s="124"/>
      <c r="AB774" s="124"/>
      <c r="AC774" s="124"/>
      <c r="AD774" s="124"/>
      <c r="AE774" s="124"/>
      <c r="AF774" s="124"/>
      <c r="AG774" s="124"/>
      <c r="AH774" s="124"/>
      <c r="AI774" s="124"/>
      <c r="AJ774" s="124"/>
      <c r="AK774" s="124"/>
      <c r="AL774" s="124"/>
      <c r="AM774" s="124"/>
      <c r="AN774" s="124"/>
      <c r="AO774" s="124"/>
      <c r="AP774" s="124"/>
      <c r="AQ774" s="124"/>
    </row>
    <row r="775" spans="1:43" customFormat="1" ht="12.75" hidden="1" thickBot="1">
      <c r="A775" s="25" t="s">
        <v>1221</v>
      </c>
      <c r="B775" s="25" t="s">
        <v>378</v>
      </c>
      <c r="C775" s="25" t="s">
        <v>983</v>
      </c>
      <c r="D775" s="693" t="s">
        <v>606</v>
      </c>
      <c r="E775" s="77">
        <v>2129</v>
      </c>
      <c r="F775" s="20"/>
      <c r="G775" s="17">
        <v>379.44</v>
      </c>
      <c r="H775" s="20"/>
      <c r="I775" s="20"/>
      <c r="J775" s="20"/>
      <c r="K775" s="20"/>
      <c r="L775" s="20"/>
      <c r="M775" s="17">
        <v>2.94</v>
      </c>
      <c r="N775" s="17">
        <v>12.12</v>
      </c>
      <c r="O775" s="20"/>
      <c r="P775" s="20"/>
      <c r="Q775" s="20"/>
      <c r="R775" s="17">
        <v>394.5</v>
      </c>
      <c r="S775" s="142">
        <f t="shared" si="97"/>
        <v>379.44</v>
      </c>
      <c r="T775" s="142">
        <f t="shared" si="98"/>
        <v>0</v>
      </c>
      <c r="U775" s="142">
        <f t="shared" si="99"/>
        <v>12.12</v>
      </c>
      <c r="W775" s="601">
        <f t="shared" si="94"/>
        <v>394.5</v>
      </c>
      <c r="X775" s="601">
        <f t="shared" si="95"/>
        <v>0</v>
      </c>
      <c r="Y775" s="123"/>
      <c r="Z775" s="692">
        <f t="shared" si="96"/>
        <v>379.44</v>
      </c>
      <c r="AA775" s="124"/>
      <c r="AB775" s="124"/>
      <c r="AC775" s="124"/>
      <c r="AD775" s="124"/>
      <c r="AE775" s="124"/>
      <c r="AF775" s="124"/>
      <c r="AG775" s="124"/>
      <c r="AH775" s="124"/>
      <c r="AI775" s="124"/>
      <c r="AJ775" s="124"/>
      <c r="AK775" s="124"/>
      <c r="AL775" s="124"/>
      <c r="AM775" s="124"/>
      <c r="AN775" s="124"/>
      <c r="AO775" s="124"/>
      <c r="AP775" s="124"/>
      <c r="AQ775" s="124"/>
    </row>
    <row r="776" spans="1:43" customFormat="1" ht="12.75" hidden="1" thickBot="1">
      <c r="A776" s="25" t="s">
        <v>1221</v>
      </c>
      <c r="B776" s="25" t="s">
        <v>354</v>
      </c>
      <c r="C776" s="25" t="s">
        <v>984</v>
      </c>
      <c r="D776" s="693" t="s">
        <v>606</v>
      </c>
      <c r="E776" s="76">
        <v>325705</v>
      </c>
      <c r="F776" s="19"/>
      <c r="G776" s="18">
        <v>85621.14</v>
      </c>
      <c r="H776" s="19"/>
      <c r="I776" s="19"/>
      <c r="J776" s="19"/>
      <c r="K776" s="19"/>
      <c r="L776" s="19"/>
      <c r="M776" s="18">
        <v>450.15</v>
      </c>
      <c r="N776" s="18">
        <v>2729.34</v>
      </c>
      <c r="O776" s="19"/>
      <c r="P776" s="19"/>
      <c r="Q776" s="18">
        <v>0</v>
      </c>
      <c r="R776" s="18">
        <v>88800.63</v>
      </c>
      <c r="S776" s="142">
        <f t="shared" si="97"/>
        <v>85621.14</v>
      </c>
      <c r="T776" s="142">
        <f t="shared" si="98"/>
        <v>0</v>
      </c>
      <c r="U776" s="142">
        <f t="shared" si="99"/>
        <v>2729.34</v>
      </c>
      <c r="W776" s="601">
        <f t="shared" si="94"/>
        <v>88800.62999999999</v>
      </c>
      <c r="X776" s="601">
        <f t="shared" si="95"/>
        <v>0</v>
      </c>
      <c r="Y776" s="123"/>
      <c r="Z776" s="692">
        <f t="shared" si="96"/>
        <v>85621.14</v>
      </c>
      <c r="AA776" s="124"/>
      <c r="AB776" s="124"/>
      <c r="AC776" s="124"/>
      <c r="AD776" s="124"/>
      <c r="AE776" s="124"/>
      <c r="AF776" s="124"/>
      <c r="AG776" s="124"/>
      <c r="AH776" s="124"/>
      <c r="AI776" s="124"/>
      <c r="AJ776" s="124"/>
      <c r="AK776" s="124"/>
      <c r="AL776" s="124"/>
      <c r="AM776" s="124"/>
      <c r="AN776" s="124"/>
      <c r="AO776" s="124"/>
      <c r="AP776" s="124"/>
      <c r="AQ776" s="124"/>
    </row>
    <row r="777" spans="1:43" customFormat="1" ht="12.75" hidden="1" thickBot="1">
      <c r="A777" s="25" t="s">
        <v>1221</v>
      </c>
      <c r="B777" s="25" t="s">
        <v>355</v>
      </c>
      <c r="C777" s="25" t="s">
        <v>985</v>
      </c>
      <c r="D777" s="693" t="s">
        <v>606</v>
      </c>
      <c r="E777" s="76">
        <v>769571</v>
      </c>
      <c r="F777" s="19"/>
      <c r="G777" s="18">
        <v>143188.29999999999</v>
      </c>
      <c r="H777" s="19"/>
      <c r="I777" s="19"/>
      <c r="J777" s="19"/>
      <c r="K777" s="19"/>
      <c r="L777" s="19"/>
      <c r="M777" s="18">
        <v>1065.8800000000001</v>
      </c>
      <c r="N777" s="18">
        <v>4571.28</v>
      </c>
      <c r="O777" s="19"/>
      <c r="P777" s="19"/>
      <c r="Q777" s="18">
        <v>0</v>
      </c>
      <c r="R777" s="18">
        <v>148825.46</v>
      </c>
      <c r="S777" s="142">
        <f t="shared" si="97"/>
        <v>143188.29999999999</v>
      </c>
      <c r="T777" s="142">
        <f t="shared" si="98"/>
        <v>0</v>
      </c>
      <c r="U777" s="142">
        <f t="shared" si="99"/>
        <v>4571.28</v>
      </c>
      <c r="W777" s="601">
        <f t="shared" si="94"/>
        <v>148825.46</v>
      </c>
      <c r="X777" s="601">
        <f t="shared" si="95"/>
        <v>0</v>
      </c>
      <c r="Y777" s="123"/>
      <c r="Z777" s="692">
        <f t="shared" si="96"/>
        <v>143188.29999999999</v>
      </c>
      <c r="AA777" s="124"/>
      <c r="AB777" s="124"/>
      <c r="AC777" s="124"/>
      <c r="AD777" s="124"/>
      <c r="AE777" s="124"/>
      <c r="AF777" s="124"/>
      <c r="AG777" s="124"/>
      <c r="AH777" s="124"/>
      <c r="AI777" s="124"/>
      <c r="AJ777" s="124"/>
      <c r="AK777" s="124"/>
      <c r="AL777" s="124"/>
      <c r="AM777" s="124"/>
      <c r="AN777" s="124"/>
      <c r="AO777" s="124"/>
      <c r="AP777" s="124"/>
      <c r="AQ777" s="124"/>
    </row>
    <row r="778" spans="1:43" customFormat="1" ht="12.75" hidden="1" thickBot="1">
      <c r="A778" s="25" t="s">
        <v>1221</v>
      </c>
      <c r="B778" s="25" t="s">
        <v>356</v>
      </c>
      <c r="C778" s="25" t="s">
        <v>986</v>
      </c>
      <c r="D778" s="693" t="s">
        <v>606</v>
      </c>
      <c r="E778" s="76">
        <v>715784</v>
      </c>
      <c r="F778" s="19"/>
      <c r="G778" s="18">
        <v>100258.29</v>
      </c>
      <c r="H778" s="19"/>
      <c r="I778" s="19"/>
      <c r="J778" s="19"/>
      <c r="K778" s="19"/>
      <c r="L778" s="19"/>
      <c r="M778" s="18">
        <v>1006.93</v>
      </c>
      <c r="N778" s="18">
        <v>3207.94</v>
      </c>
      <c r="O778" s="19"/>
      <c r="P778" s="19"/>
      <c r="Q778" s="18">
        <v>0</v>
      </c>
      <c r="R778" s="18">
        <v>104473.16</v>
      </c>
      <c r="S778" s="142">
        <f t="shared" si="97"/>
        <v>100258.29</v>
      </c>
      <c r="T778" s="142">
        <f t="shared" si="98"/>
        <v>0</v>
      </c>
      <c r="U778" s="142">
        <f t="shared" si="99"/>
        <v>3207.94</v>
      </c>
      <c r="W778" s="601">
        <f t="shared" ref="W778:W839" si="100">SUM(F778:Q778)</f>
        <v>104473.15999999999</v>
      </c>
      <c r="X778" s="601">
        <f t="shared" ref="X778:X839" si="101">W778-R778</f>
        <v>0</v>
      </c>
      <c r="Y778" s="123"/>
      <c r="Z778" s="692">
        <f t="shared" si="96"/>
        <v>100258.29</v>
      </c>
      <c r="AA778" s="124"/>
      <c r="AB778" s="124"/>
      <c r="AC778" s="124"/>
      <c r="AD778" s="124"/>
      <c r="AE778" s="124"/>
      <c r="AF778" s="124"/>
      <c r="AG778" s="124"/>
      <c r="AH778" s="124"/>
      <c r="AI778" s="124"/>
      <c r="AJ778" s="124"/>
      <c r="AK778" s="124"/>
      <c r="AL778" s="124"/>
      <c r="AM778" s="124"/>
      <c r="AN778" s="124"/>
      <c r="AO778" s="124"/>
      <c r="AP778" s="124"/>
      <c r="AQ778" s="124"/>
    </row>
    <row r="779" spans="1:43" customFormat="1" ht="12.75" hidden="1" thickBot="1">
      <c r="A779" s="25" t="s">
        <v>1221</v>
      </c>
      <c r="B779" s="25" t="s">
        <v>357</v>
      </c>
      <c r="C779" s="25" t="s">
        <v>987</v>
      </c>
      <c r="D779" s="693" t="s">
        <v>606</v>
      </c>
      <c r="E779" s="76">
        <v>20014</v>
      </c>
      <c r="F779" s="19"/>
      <c r="G779" s="18">
        <v>5971.31</v>
      </c>
      <c r="H779" s="19"/>
      <c r="I779" s="19"/>
      <c r="J779" s="19"/>
      <c r="K779" s="19"/>
      <c r="L779" s="19"/>
      <c r="M779" s="18">
        <v>27.95</v>
      </c>
      <c r="N779" s="18">
        <v>190.25</v>
      </c>
      <c r="O779" s="19"/>
      <c r="P779" s="19"/>
      <c r="Q779" s="18">
        <v>0</v>
      </c>
      <c r="R779" s="18">
        <v>6189.51</v>
      </c>
      <c r="S779" s="142">
        <f t="shared" si="97"/>
        <v>5971.31</v>
      </c>
      <c r="T779" s="142">
        <f t="shared" si="98"/>
        <v>0</v>
      </c>
      <c r="U779" s="142">
        <f t="shared" si="99"/>
        <v>190.25</v>
      </c>
      <c r="W779" s="601">
        <f t="shared" si="100"/>
        <v>6189.51</v>
      </c>
      <c r="X779" s="601">
        <f t="shared" si="101"/>
        <v>0</v>
      </c>
      <c r="Y779" s="123"/>
      <c r="Z779" s="692">
        <f t="shared" si="96"/>
        <v>5971.31</v>
      </c>
      <c r="AA779" s="124"/>
      <c r="AB779" s="124"/>
      <c r="AC779" s="124"/>
      <c r="AD779" s="124"/>
      <c r="AE779" s="124"/>
      <c r="AF779" s="124"/>
      <c r="AG779" s="124"/>
      <c r="AH779" s="124"/>
      <c r="AI779" s="124"/>
      <c r="AJ779" s="124"/>
      <c r="AK779" s="124"/>
      <c r="AL779" s="124"/>
      <c r="AM779" s="124"/>
      <c r="AN779" s="124"/>
      <c r="AO779" s="124"/>
      <c r="AP779" s="124"/>
      <c r="AQ779" s="124"/>
    </row>
    <row r="780" spans="1:43" customFormat="1" ht="12.75" hidden="1" thickBot="1">
      <c r="A780" s="25" t="s">
        <v>1221</v>
      </c>
      <c r="B780" s="25" t="s">
        <v>358</v>
      </c>
      <c r="C780" s="25" t="s">
        <v>988</v>
      </c>
      <c r="D780" s="693" t="s">
        <v>606</v>
      </c>
      <c r="E780" s="77">
        <v>1649875</v>
      </c>
      <c r="F780" s="20"/>
      <c r="G780" s="17">
        <v>248118.23</v>
      </c>
      <c r="H780" s="20"/>
      <c r="I780" s="20"/>
      <c r="J780" s="20"/>
      <c r="K780" s="20"/>
      <c r="L780" s="20"/>
      <c r="M780" s="17">
        <v>2353.0100000000002</v>
      </c>
      <c r="N780" s="17">
        <v>7927.7</v>
      </c>
      <c r="O780" s="20"/>
      <c r="P780" s="20"/>
      <c r="Q780" s="17">
        <v>0</v>
      </c>
      <c r="R780" s="17">
        <v>258398.94</v>
      </c>
      <c r="S780" s="142">
        <f t="shared" si="97"/>
        <v>248118.23</v>
      </c>
      <c r="T780" s="142">
        <f t="shared" si="98"/>
        <v>0</v>
      </c>
      <c r="U780" s="142">
        <f t="shared" si="99"/>
        <v>7927.7</v>
      </c>
      <c r="W780" s="601">
        <f t="shared" si="100"/>
        <v>258398.94000000003</v>
      </c>
      <c r="X780" s="601">
        <f t="shared" si="101"/>
        <v>0</v>
      </c>
      <c r="Y780" s="123"/>
      <c r="Z780" s="692">
        <f t="shared" si="96"/>
        <v>248118.23</v>
      </c>
      <c r="AA780" s="124"/>
      <c r="AB780" s="124"/>
      <c r="AC780" s="124"/>
      <c r="AD780" s="124"/>
      <c r="AE780" s="124"/>
      <c r="AF780" s="124"/>
      <c r="AG780" s="124"/>
      <c r="AH780" s="124"/>
      <c r="AI780" s="124"/>
      <c r="AJ780" s="124"/>
      <c r="AK780" s="124"/>
      <c r="AL780" s="124"/>
      <c r="AM780" s="124"/>
      <c r="AN780" s="124"/>
      <c r="AO780" s="124"/>
      <c r="AP780" s="124"/>
      <c r="AQ780" s="124"/>
    </row>
    <row r="781" spans="1:43" customFormat="1" ht="12.75" hidden="1" thickBot="1">
      <c r="A781" s="25" t="s">
        <v>1221</v>
      </c>
      <c r="B781" s="25" t="s">
        <v>359</v>
      </c>
      <c r="C781" s="25" t="s">
        <v>989</v>
      </c>
      <c r="D781" s="693" t="s">
        <v>606</v>
      </c>
      <c r="E781" s="77">
        <v>104236</v>
      </c>
      <c r="F781" s="20"/>
      <c r="G781" s="17">
        <v>38461.29</v>
      </c>
      <c r="H781" s="20"/>
      <c r="I781" s="20"/>
      <c r="J781" s="20"/>
      <c r="K781" s="20"/>
      <c r="L781" s="20"/>
      <c r="M781" s="17">
        <v>143.76</v>
      </c>
      <c r="N781" s="17">
        <v>1231.17</v>
      </c>
      <c r="O781" s="20"/>
      <c r="P781" s="20"/>
      <c r="Q781" s="17">
        <v>0</v>
      </c>
      <c r="R781" s="17">
        <v>39836.22</v>
      </c>
      <c r="S781" s="142">
        <f t="shared" si="97"/>
        <v>38461.29</v>
      </c>
      <c r="T781" s="142">
        <f t="shared" si="98"/>
        <v>0</v>
      </c>
      <c r="U781" s="142">
        <f t="shared" si="99"/>
        <v>1231.17</v>
      </c>
      <c r="W781" s="601">
        <f t="shared" si="100"/>
        <v>39836.22</v>
      </c>
      <c r="X781" s="601">
        <f t="shared" si="101"/>
        <v>0</v>
      </c>
      <c r="Y781" s="123"/>
      <c r="Z781" s="692">
        <f t="shared" si="96"/>
        <v>38461.29</v>
      </c>
      <c r="AA781" s="124"/>
      <c r="AB781" s="124"/>
      <c r="AC781" s="124"/>
      <c r="AD781" s="124"/>
      <c r="AE781" s="124"/>
      <c r="AF781" s="124"/>
      <c r="AG781" s="124"/>
      <c r="AH781" s="124"/>
      <c r="AI781" s="124"/>
      <c r="AJ781" s="124"/>
      <c r="AK781" s="124"/>
      <c r="AL781" s="124"/>
      <c r="AM781" s="124"/>
      <c r="AN781" s="124"/>
      <c r="AO781" s="124"/>
      <c r="AP781" s="124"/>
      <c r="AQ781" s="124"/>
    </row>
    <row r="782" spans="1:43" customFormat="1" ht="12.75" hidden="1" thickBot="1">
      <c r="A782" s="25" t="s">
        <v>1221</v>
      </c>
      <c r="B782" s="25" t="s">
        <v>360</v>
      </c>
      <c r="C782" s="25" t="s">
        <v>990</v>
      </c>
      <c r="D782" s="693" t="s">
        <v>498</v>
      </c>
      <c r="E782" s="76">
        <v>289</v>
      </c>
      <c r="F782" s="19"/>
      <c r="G782" s="18">
        <v>55.65</v>
      </c>
      <c r="H782" s="19"/>
      <c r="I782" s="19"/>
      <c r="J782" s="19"/>
      <c r="K782" s="19"/>
      <c r="L782" s="19"/>
      <c r="M782" s="18">
        <v>0.39</v>
      </c>
      <c r="N782" s="18">
        <v>1.8</v>
      </c>
      <c r="O782" s="19"/>
      <c r="P782" s="19"/>
      <c r="Q782" s="18">
        <v>0</v>
      </c>
      <c r="R782" s="18">
        <v>57.84</v>
      </c>
      <c r="S782" s="142">
        <f t="shared" si="97"/>
        <v>55.65</v>
      </c>
      <c r="T782" s="142">
        <f t="shared" si="98"/>
        <v>0</v>
      </c>
      <c r="U782" s="142">
        <f t="shared" si="99"/>
        <v>1.8</v>
      </c>
      <c r="W782" s="601">
        <f t="shared" si="100"/>
        <v>57.839999999999996</v>
      </c>
      <c r="X782" s="601">
        <f t="shared" si="101"/>
        <v>0</v>
      </c>
      <c r="Y782" s="123"/>
      <c r="Z782" s="692">
        <f t="shared" si="96"/>
        <v>55.65</v>
      </c>
      <c r="AA782" s="124"/>
      <c r="AB782" s="124"/>
      <c r="AC782" s="124"/>
      <c r="AD782" s="124"/>
      <c r="AE782" s="124"/>
      <c r="AF782" s="124"/>
      <c r="AG782" s="124"/>
      <c r="AH782" s="124"/>
      <c r="AI782" s="124"/>
      <c r="AJ782" s="124"/>
      <c r="AK782" s="124"/>
      <c r="AL782" s="124"/>
      <c r="AM782" s="124"/>
      <c r="AN782" s="124"/>
      <c r="AO782" s="124"/>
      <c r="AP782" s="124"/>
      <c r="AQ782" s="124"/>
    </row>
    <row r="783" spans="1:43" customFormat="1" ht="12.75" hidden="1" thickBot="1">
      <c r="A783" s="25" t="s">
        <v>1221</v>
      </c>
      <c r="B783" s="25" t="s">
        <v>365</v>
      </c>
      <c r="C783" s="25" t="s">
        <v>991</v>
      </c>
      <c r="D783" s="693" t="s">
        <v>606</v>
      </c>
      <c r="E783" s="77">
        <v>945</v>
      </c>
      <c r="F783" s="20"/>
      <c r="G783" s="17">
        <v>311.08</v>
      </c>
      <c r="H783" s="20"/>
      <c r="I783" s="20"/>
      <c r="J783" s="20"/>
      <c r="K783" s="20"/>
      <c r="L783" s="20"/>
      <c r="M783" s="17">
        <v>1.29</v>
      </c>
      <c r="N783" s="17">
        <v>9.92</v>
      </c>
      <c r="O783" s="20"/>
      <c r="P783" s="20"/>
      <c r="Q783" s="17">
        <v>0</v>
      </c>
      <c r="R783" s="17">
        <v>322.29000000000002</v>
      </c>
      <c r="S783" s="142">
        <f t="shared" si="97"/>
        <v>311.08</v>
      </c>
      <c r="T783" s="142">
        <f t="shared" si="98"/>
        <v>0</v>
      </c>
      <c r="U783" s="142">
        <f t="shared" si="99"/>
        <v>9.92</v>
      </c>
      <c r="W783" s="601">
        <f t="shared" si="100"/>
        <v>322.29000000000002</v>
      </c>
      <c r="X783" s="601">
        <f t="shared" si="101"/>
        <v>0</v>
      </c>
      <c r="Y783" s="123"/>
      <c r="Z783" s="692">
        <f t="shared" si="96"/>
        <v>311.08</v>
      </c>
      <c r="AA783" s="124"/>
      <c r="AB783" s="124"/>
      <c r="AC783" s="124"/>
      <c r="AD783" s="124"/>
      <c r="AE783" s="124"/>
      <c r="AF783" s="124"/>
      <c r="AG783" s="124"/>
      <c r="AH783" s="124"/>
      <c r="AI783" s="124"/>
      <c r="AJ783" s="124"/>
      <c r="AK783" s="124"/>
      <c r="AL783" s="124"/>
      <c r="AM783" s="124"/>
      <c r="AN783" s="124"/>
      <c r="AO783" s="124"/>
      <c r="AP783" s="124"/>
      <c r="AQ783" s="124"/>
    </row>
    <row r="784" spans="1:43" customFormat="1" ht="12.75" hidden="1" thickBot="1">
      <c r="A784" s="25" t="s">
        <v>1221</v>
      </c>
      <c r="B784" s="25" t="s">
        <v>366</v>
      </c>
      <c r="C784" s="25" t="s">
        <v>992</v>
      </c>
      <c r="D784" s="693" t="s">
        <v>498</v>
      </c>
      <c r="E784" s="76">
        <v>79</v>
      </c>
      <c r="F784" s="19"/>
      <c r="G784" s="18">
        <v>30.14</v>
      </c>
      <c r="H784" s="19"/>
      <c r="I784" s="19"/>
      <c r="J784" s="19"/>
      <c r="K784" s="19"/>
      <c r="L784" s="19"/>
      <c r="M784" s="18">
        <v>0.11</v>
      </c>
      <c r="N784" s="18">
        <v>0.96</v>
      </c>
      <c r="O784" s="19"/>
      <c r="P784" s="19"/>
      <c r="Q784" s="18">
        <v>0</v>
      </c>
      <c r="R784" s="18">
        <v>31.21</v>
      </c>
      <c r="S784" s="142">
        <f t="shared" si="97"/>
        <v>30.14</v>
      </c>
      <c r="T784" s="142">
        <f t="shared" si="98"/>
        <v>0</v>
      </c>
      <c r="U784" s="142">
        <f t="shared" si="99"/>
        <v>0.96</v>
      </c>
      <c r="W784" s="601">
        <f t="shared" si="100"/>
        <v>31.21</v>
      </c>
      <c r="X784" s="601">
        <f t="shared" si="101"/>
        <v>0</v>
      </c>
      <c r="Y784" s="123"/>
      <c r="Z784" s="692">
        <f t="shared" si="96"/>
        <v>30.14</v>
      </c>
      <c r="AA784" s="124"/>
      <c r="AB784" s="124"/>
      <c r="AC784" s="124"/>
      <c r="AD784" s="124"/>
      <c r="AE784" s="124"/>
      <c r="AF784" s="124"/>
      <c r="AG784" s="124"/>
      <c r="AH784" s="124"/>
      <c r="AI784" s="124"/>
      <c r="AJ784" s="124"/>
      <c r="AK784" s="124"/>
      <c r="AL784" s="124"/>
      <c r="AM784" s="124"/>
      <c r="AN784" s="124"/>
      <c r="AO784" s="124"/>
      <c r="AP784" s="124"/>
      <c r="AQ784" s="124"/>
    </row>
    <row r="785" spans="1:43" customFormat="1" ht="12.75" hidden="1" thickBot="1">
      <c r="A785" s="25" t="s">
        <v>1221</v>
      </c>
      <c r="B785" s="25" t="s">
        <v>367</v>
      </c>
      <c r="C785" s="25" t="s">
        <v>993</v>
      </c>
      <c r="D785" s="693" t="s">
        <v>606</v>
      </c>
      <c r="E785" s="77">
        <v>40561</v>
      </c>
      <c r="F785" s="20"/>
      <c r="G785" s="17">
        <v>8255.83</v>
      </c>
      <c r="H785" s="20"/>
      <c r="I785" s="20"/>
      <c r="J785" s="20"/>
      <c r="K785" s="20"/>
      <c r="L785" s="20"/>
      <c r="M785" s="17">
        <v>58.47</v>
      </c>
      <c r="N785" s="17">
        <v>263.24</v>
      </c>
      <c r="O785" s="20"/>
      <c r="P785" s="20"/>
      <c r="Q785" s="17">
        <v>0</v>
      </c>
      <c r="R785" s="17">
        <v>8577.5400000000009</v>
      </c>
      <c r="S785" s="142">
        <f t="shared" si="97"/>
        <v>8255.83</v>
      </c>
      <c r="T785" s="142">
        <f t="shared" si="98"/>
        <v>0</v>
      </c>
      <c r="U785" s="142">
        <f t="shared" si="99"/>
        <v>263.24</v>
      </c>
      <c r="W785" s="601">
        <f t="shared" si="100"/>
        <v>8577.5399999999991</v>
      </c>
      <c r="X785" s="601">
        <f t="shared" si="101"/>
        <v>0</v>
      </c>
      <c r="Y785" s="123"/>
      <c r="Z785" s="692">
        <f t="shared" si="96"/>
        <v>8255.83</v>
      </c>
      <c r="AA785" s="124"/>
      <c r="AB785" s="124"/>
      <c r="AC785" s="124"/>
      <c r="AD785" s="124"/>
      <c r="AE785" s="124"/>
      <c r="AF785" s="124"/>
      <c r="AG785" s="124"/>
      <c r="AH785" s="124"/>
      <c r="AI785" s="124"/>
      <c r="AJ785" s="124"/>
      <c r="AK785" s="124"/>
      <c r="AL785" s="124"/>
      <c r="AM785" s="124"/>
      <c r="AN785" s="124"/>
      <c r="AO785" s="124"/>
      <c r="AP785" s="124"/>
      <c r="AQ785" s="124"/>
    </row>
    <row r="786" spans="1:43" customFormat="1" ht="12.75" hidden="1" thickBot="1">
      <c r="A786" s="25" t="s">
        <v>1221</v>
      </c>
      <c r="B786" s="25" t="s">
        <v>368</v>
      </c>
      <c r="C786" s="25" t="s">
        <v>994</v>
      </c>
      <c r="D786" s="693" t="s">
        <v>498</v>
      </c>
      <c r="E786" s="76">
        <v>4993</v>
      </c>
      <c r="F786" s="19"/>
      <c r="G786" s="18">
        <v>1160.52</v>
      </c>
      <c r="H786" s="19"/>
      <c r="I786" s="19"/>
      <c r="J786" s="19"/>
      <c r="K786" s="19"/>
      <c r="L786" s="19"/>
      <c r="M786" s="18">
        <v>6.91</v>
      </c>
      <c r="N786" s="18">
        <v>37.04</v>
      </c>
      <c r="O786" s="19"/>
      <c r="P786" s="19"/>
      <c r="Q786" s="18">
        <v>0</v>
      </c>
      <c r="R786" s="18">
        <v>1204.47</v>
      </c>
      <c r="S786" s="142">
        <f t="shared" si="97"/>
        <v>1160.52</v>
      </c>
      <c r="T786" s="142">
        <f t="shared" si="98"/>
        <v>0</v>
      </c>
      <c r="U786" s="142">
        <f t="shared" si="99"/>
        <v>37.04</v>
      </c>
      <c r="W786" s="601">
        <f t="shared" si="100"/>
        <v>1204.47</v>
      </c>
      <c r="X786" s="601">
        <f t="shared" si="101"/>
        <v>0</v>
      </c>
      <c r="Y786" s="123"/>
      <c r="Z786" s="692">
        <f t="shared" si="96"/>
        <v>1160.52</v>
      </c>
      <c r="AA786" s="124"/>
      <c r="AB786" s="124"/>
      <c r="AC786" s="124"/>
      <c r="AD786" s="124"/>
      <c r="AE786" s="124"/>
      <c r="AF786" s="124"/>
      <c r="AG786" s="124"/>
      <c r="AH786" s="124"/>
      <c r="AI786" s="124"/>
      <c r="AJ786" s="124"/>
      <c r="AK786" s="124"/>
      <c r="AL786" s="124"/>
      <c r="AM786" s="124"/>
      <c r="AN786" s="124"/>
      <c r="AO786" s="124"/>
      <c r="AP786" s="124"/>
      <c r="AQ786" s="124"/>
    </row>
    <row r="787" spans="1:43" customFormat="1" ht="12.75" hidden="1" thickBot="1">
      <c r="A787" s="25" t="s">
        <v>1221</v>
      </c>
      <c r="B787" s="25" t="s">
        <v>369</v>
      </c>
      <c r="C787" s="25" t="s">
        <v>995</v>
      </c>
      <c r="D787" s="693" t="s">
        <v>498</v>
      </c>
      <c r="E787" s="77">
        <v>183</v>
      </c>
      <c r="F787" s="20"/>
      <c r="G787" s="17">
        <v>56.84</v>
      </c>
      <c r="H787" s="20"/>
      <c r="I787" s="20"/>
      <c r="J787" s="20"/>
      <c r="K787" s="20"/>
      <c r="L787" s="20"/>
      <c r="M787" s="17">
        <v>0.26</v>
      </c>
      <c r="N787" s="17">
        <v>1.82</v>
      </c>
      <c r="O787" s="20"/>
      <c r="P787" s="20"/>
      <c r="Q787" s="17">
        <v>0</v>
      </c>
      <c r="R787" s="17">
        <v>58.92</v>
      </c>
      <c r="S787" s="142">
        <f t="shared" si="97"/>
        <v>56.84</v>
      </c>
      <c r="T787" s="142">
        <f t="shared" si="98"/>
        <v>0</v>
      </c>
      <c r="U787" s="142">
        <f t="shared" si="99"/>
        <v>1.82</v>
      </c>
      <c r="W787" s="601">
        <f t="shared" si="100"/>
        <v>58.92</v>
      </c>
      <c r="X787" s="601">
        <f t="shared" si="101"/>
        <v>0</v>
      </c>
      <c r="Y787" s="123"/>
      <c r="Z787" s="692">
        <f t="shared" si="96"/>
        <v>56.84</v>
      </c>
      <c r="AA787" s="124"/>
      <c r="AB787" s="124"/>
      <c r="AC787" s="124"/>
      <c r="AD787" s="124"/>
      <c r="AE787" s="124"/>
      <c r="AF787" s="124"/>
      <c r="AG787" s="124"/>
      <c r="AH787" s="124"/>
      <c r="AI787" s="124"/>
      <c r="AJ787" s="124"/>
      <c r="AK787" s="124"/>
      <c r="AL787" s="124"/>
      <c r="AM787" s="124"/>
      <c r="AN787" s="124"/>
      <c r="AO787" s="124"/>
      <c r="AP787" s="124"/>
      <c r="AQ787" s="124"/>
    </row>
    <row r="788" spans="1:43" customFormat="1" ht="12.75" hidden="1" thickBot="1">
      <c r="A788" s="25" t="s">
        <v>1221</v>
      </c>
      <c r="B788" s="25" t="s">
        <v>370</v>
      </c>
      <c r="C788" s="25" t="s">
        <v>996</v>
      </c>
      <c r="D788" s="693" t="s">
        <v>606</v>
      </c>
      <c r="E788" s="76">
        <v>118264</v>
      </c>
      <c r="F788" s="19"/>
      <c r="G788" s="18">
        <v>16308.66</v>
      </c>
      <c r="H788" s="19"/>
      <c r="I788" s="19"/>
      <c r="J788" s="19"/>
      <c r="K788" s="19"/>
      <c r="L788" s="19"/>
      <c r="M788" s="18">
        <v>168.13</v>
      </c>
      <c r="N788" s="18">
        <v>521.79999999999995</v>
      </c>
      <c r="O788" s="19"/>
      <c r="P788" s="19"/>
      <c r="Q788" s="18">
        <v>0</v>
      </c>
      <c r="R788" s="18">
        <v>16998.59</v>
      </c>
      <c r="S788" s="142">
        <f t="shared" si="97"/>
        <v>16308.66</v>
      </c>
      <c r="T788" s="142">
        <f t="shared" si="98"/>
        <v>0</v>
      </c>
      <c r="U788" s="142">
        <f t="shared" si="99"/>
        <v>521.79999999999995</v>
      </c>
      <c r="W788" s="601">
        <f t="shared" si="100"/>
        <v>16998.59</v>
      </c>
      <c r="X788" s="601">
        <f t="shared" si="101"/>
        <v>0</v>
      </c>
      <c r="Y788" s="123"/>
      <c r="Z788" s="692">
        <f t="shared" si="96"/>
        <v>16308.66</v>
      </c>
      <c r="AA788" s="124"/>
      <c r="AB788" s="124"/>
      <c r="AC788" s="124"/>
      <c r="AD788" s="124"/>
      <c r="AE788" s="124"/>
      <c r="AF788" s="124"/>
      <c r="AG788" s="124"/>
      <c r="AH788" s="124"/>
      <c r="AI788" s="124"/>
      <c r="AJ788" s="124"/>
      <c r="AK788" s="124"/>
      <c r="AL788" s="124"/>
      <c r="AM788" s="124"/>
      <c r="AN788" s="124"/>
      <c r="AO788" s="124"/>
      <c r="AP788" s="124"/>
      <c r="AQ788" s="124"/>
    </row>
    <row r="789" spans="1:43" customFormat="1" ht="12.75" hidden="1" thickBot="1">
      <c r="A789" s="25" t="s">
        <v>1221</v>
      </c>
      <c r="B789" s="25" t="s">
        <v>371</v>
      </c>
      <c r="C789" s="25" t="s">
        <v>997</v>
      </c>
      <c r="D789" s="693" t="s">
        <v>498</v>
      </c>
      <c r="E789" s="77">
        <v>17251</v>
      </c>
      <c r="F789" s="20"/>
      <c r="G789" s="17">
        <v>2557.9499999999998</v>
      </c>
      <c r="H789" s="20"/>
      <c r="I789" s="20"/>
      <c r="J789" s="20"/>
      <c r="K789" s="20"/>
      <c r="L789" s="20"/>
      <c r="M789" s="17">
        <v>23.79</v>
      </c>
      <c r="N789" s="17">
        <v>81.88</v>
      </c>
      <c r="O789" s="20"/>
      <c r="P789" s="20"/>
      <c r="Q789" s="17">
        <v>0</v>
      </c>
      <c r="R789" s="17">
        <v>2663.62</v>
      </c>
      <c r="S789" s="142">
        <f t="shared" si="97"/>
        <v>2557.9499999999998</v>
      </c>
      <c r="T789" s="142">
        <f t="shared" si="98"/>
        <v>0</v>
      </c>
      <c r="U789" s="142">
        <f t="shared" si="99"/>
        <v>81.88</v>
      </c>
      <c r="W789" s="601">
        <f t="shared" si="100"/>
        <v>2663.62</v>
      </c>
      <c r="X789" s="601">
        <f t="shared" si="101"/>
        <v>0</v>
      </c>
      <c r="Y789" s="123"/>
      <c r="Z789" s="692">
        <f t="shared" si="96"/>
        <v>2557.9499999999998</v>
      </c>
      <c r="AA789" s="124"/>
      <c r="AB789" s="124"/>
      <c r="AC789" s="124"/>
      <c r="AD789" s="124"/>
      <c r="AE789" s="124"/>
      <c r="AF789" s="124"/>
      <c r="AG789" s="124"/>
      <c r="AH789" s="124"/>
      <c r="AI789" s="124"/>
      <c r="AJ789" s="124"/>
      <c r="AK789" s="124"/>
      <c r="AL789" s="124"/>
      <c r="AM789" s="124"/>
      <c r="AN789" s="124"/>
      <c r="AO789" s="124"/>
      <c r="AP789" s="124"/>
      <c r="AQ789" s="124"/>
    </row>
    <row r="790" spans="1:43" customFormat="1" ht="12.75" hidden="1" thickBot="1">
      <c r="A790" s="25" t="s">
        <v>1221</v>
      </c>
      <c r="B790" s="25" t="s">
        <v>659</v>
      </c>
      <c r="C790" s="25" t="s">
        <v>998</v>
      </c>
      <c r="D790" s="693" t="s">
        <v>606</v>
      </c>
      <c r="E790" s="76">
        <v>710</v>
      </c>
      <c r="F790" s="19"/>
      <c r="G790" s="18">
        <v>428.94</v>
      </c>
      <c r="H790" s="19"/>
      <c r="I790" s="19"/>
      <c r="J790" s="19"/>
      <c r="K790" s="19"/>
      <c r="L790" s="19"/>
      <c r="M790" s="18">
        <v>0.98</v>
      </c>
      <c r="N790" s="18">
        <v>13.63</v>
      </c>
      <c r="O790" s="19"/>
      <c r="P790" s="19"/>
      <c r="Q790" s="18">
        <v>0</v>
      </c>
      <c r="R790" s="18">
        <v>443.55</v>
      </c>
      <c r="S790" s="142">
        <f t="shared" si="97"/>
        <v>428.94</v>
      </c>
      <c r="T790" s="142">
        <f t="shared" si="98"/>
        <v>0</v>
      </c>
      <c r="U790" s="142">
        <f t="shared" si="99"/>
        <v>13.63</v>
      </c>
      <c r="W790" s="601">
        <f t="shared" si="100"/>
        <v>443.55</v>
      </c>
      <c r="X790" s="601">
        <f t="shared" si="101"/>
        <v>0</v>
      </c>
      <c r="Y790" s="123"/>
      <c r="Z790" s="692">
        <f t="shared" si="96"/>
        <v>428.94</v>
      </c>
      <c r="AA790" s="124"/>
      <c r="AB790" s="124"/>
      <c r="AC790" s="124"/>
      <c r="AD790" s="124"/>
      <c r="AE790" s="124"/>
      <c r="AF790" s="124"/>
      <c r="AG790" s="124"/>
      <c r="AH790" s="124"/>
      <c r="AI790" s="124"/>
      <c r="AJ790" s="124"/>
      <c r="AK790" s="124"/>
      <c r="AL790" s="124"/>
      <c r="AM790" s="124"/>
      <c r="AN790" s="124"/>
      <c r="AO790" s="124"/>
      <c r="AP790" s="124"/>
      <c r="AQ790" s="124"/>
    </row>
    <row r="791" spans="1:43" customFormat="1" ht="12.75" hidden="1" thickBot="1">
      <c r="A791" s="25" t="s">
        <v>1221</v>
      </c>
      <c r="B791" s="25" t="s">
        <v>399</v>
      </c>
      <c r="C791" s="25" t="s">
        <v>999</v>
      </c>
      <c r="D791" s="693" t="s">
        <v>606</v>
      </c>
      <c r="E791" s="77">
        <v>367</v>
      </c>
      <c r="F791" s="20"/>
      <c r="G791" s="17">
        <v>81.84</v>
      </c>
      <c r="H791" s="20"/>
      <c r="I791" s="20"/>
      <c r="J791" s="20"/>
      <c r="K791" s="20"/>
      <c r="L791" s="20"/>
      <c r="M791" s="17">
        <v>0.51</v>
      </c>
      <c r="N791" s="17">
        <v>2.61</v>
      </c>
      <c r="O791" s="20"/>
      <c r="P791" s="20"/>
      <c r="Q791" s="17">
        <v>0</v>
      </c>
      <c r="R791" s="17">
        <v>84.96</v>
      </c>
      <c r="S791" s="142">
        <f t="shared" si="97"/>
        <v>81.84</v>
      </c>
      <c r="T791" s="142">
        <f t="shared" si="98"/>
        <v>0</v>
      </c>
      <c r="U791" s="142">
        <f t="shared" si="99"/>
        <v>2.61</v>
      </c>
      <c r="W791" s="601">
        <f t="shared" si="100"/>
        <v>84.960000000000008</v>
      </c>
      <c r="X791" s="601">
        <f t="shared" si="101"/>
        <v>0</v>
      </c>
      <c r="Y791" s="123"/>
      <c r="Z791" s="692">
        <f t="shared" si="96"/>
        <v>81.84</v>
      </c>
      <c r="AA791" s="124"/>
      <c r="AB791" s="124"/>
      <c r="AC791" s="124"/>
      <c r="AD791" s="124"/>
      <c r="AE791" s="124"/>
      <c r="AF791" s="124"/>
      <c r="AG791" s="124"/>
      <c r="AH791" s="124"/>
      <c r="AI791" s="124"/>
      <c r="AJ791" s="124"/>
      <c r="AK791" s="124"/>
      <c r="AL791" s="124"/>
      <c r="AM791" s="124"/>
      <c r="AN791" s="124"/>
      <c r="AO791" s="124"/>
      <c r="AP791" s="124"/>
      <c r="AQ791" s="124"/>
    </row>
    <row r="792" spans="1:43" customFormat="1" ht="12.75" hidden="1" thickBot="1">
      <c r="A792" s="25" t="s">
        <v>1221</v>
      </c>
      <c r="B792" s="25" t="s">
        <v>372</v>
      </c>
      <c r="C792" s="25" t="s">
        <v>1000</v>
      </c>
      <c r="D792" s="693" t="s">
        <v>606</v>
      </c>
      <c r="E792" s="76">
        <v>4078</v>
      </c>
      <c r="F792" s="19"/>
      <c r="G792" s="18">
        <v>1329.24</v>
      </c>
      <c r="H792" s="19"/>
      <c r="I792" s="19"/>
      <c r="J792" s="19"/>
      <c r="K792" s="19"/>
      <c r="L792" s="19"/>
      <c r="M792" s="18">
        <v>5.63</v>
      </c>
      <c r="N792" s="18">
        <v>42.31</v>
      </c>
      <c r="O792" s="19"/>
      <c r="P792" s="19"/>
      <c r="Q792" s="18">
        <v>0</v>
      </c>
      <c r="R792" s="18">
        <v>1377.18</v>
      </c>
      <c r="S792" s="142">
        <f t="shared" si="97"/>
        <v>1329.24</v>
      </c>
      <c r="T792" s="142">
        <f t="shared" si="98"/>
        <v>0</v>
      </c>
      <c r="U792" s="142">
        <f t="shared" si="99"/>
        <v>42.31</v>
      </c>
      <c r="W792" s="601">
        <f t="shared" si="100"/>
        <v>1377.18</v>
      </c>
      <c r="X792" s="601">
        <f t="shared" si="101"/>
        <v>0</v>
      </c>
      <c r="Y792" s="123"/>
      <c r="Z792" s="692">
        <f t="shared" si="96"/>
        <v>1329.24</v>
      </c>
      <c r="AA792" s="124"/>
      <c r="AB792" s="124"/>
      <c r="AC792" s="124"/>
      <c r="AD792" s="124"/>
      <c r="AE792" s="124"/>
      <c r="AF792" s="124"/>
      <c r="AG792" s="124"/>
      <c r="AH792" s="124"/>
      <c r="AI792" s="124"/>
      <c r="AJ792" s="124"/>
      <c r="AK792" s="124"/>
      <c r="AL792" s="124"/>
      <c r="AM792" s="124"/>
      <c r="AN792" s="124"/>
      <c r="AO792" s="124"/>
      <c r="AP792" s="124"/>
      <c r="AQ792" s="124"/>
    </row>
    <row r="793" spans="1:43" customFormat="1" ht="12.75" hidden="1" thickBot="1">
      <c r="A793" s="25" t="s">
        <v>1221</v>
      </c>
      <c r="B793" s="25" t="s">
        <v>373</v>
      </c>
      <c r="C793" s="25" t="s">
        <v>1001</v>
      </c>
      <c r="D793" s="693" t="s">
        <v>606</v>
      </c>
      <c r="E793" s="77">
        <v>599</v>
      </c>
      <c r="F793" s="20"/>
      <c r="G793" s="17">
        <v>85.12</v>
      </c>
      <c r="H793" s="20"/>
      <c r="I793" s="20"/>
      <c r="J793" s="20"/>
      <c r="K793" s="20"/>
      <c r="L793" s="20"/>
      <c r="M793" s="17">
        <v>0.83</v>
      </c>
      <c r="N793" s="17">
        <v>2.72</v>
      </c>
      <c r="O793" s="20"/>
      <c r="P793" s="20"/>
      <c r="Q793" s="17">
        <v>0</v>
      </c>
      <c r="R793" s="17">
        <v>88.67</v>
      </c>
      <c r="S793" s="142">
        <f t="shared" si="97"/>
        <v>85.12</v>
      </c>
      <c r="T793" s="142">
        <f t="shared" si="98"/>
        <v>0</v>
      </c>
      <c r="U793" s="142">
        <f t="shared" si="99"/>
        <v>2.72</v>
      </c>
      <c r="W793" s="601">
        <f t="shared" si="100"/>
        <v>88.67</v>
      </c>
      <c r="X793" s="601">
        <f t="shared" si="101"/>
        <v>0</v>
      </c>
      <c r="Y793" s="123"/>
      <c r="Z793" s="692">
        <f t="shared" si="96"/>
        <v>85.12</v>
      </c>
      <c r="AA793" s="124"/>
      <c r="AB793" s="124"/>
      <c r="AC793" s="124"/>
      <c r="AD793" s="124"/>
      <c r="AE793" s="124"/>
      <c r="AF793" s="124"/>
      <c r="AG793" s="124"/>
      <c r="AH793" s="124"/>
      <c r="AI793" s="124"/>
      <c r="AJ793" s="124"/>
      <c r="AK793" s="124"/>
      <c r="AL793" s="124"/>
      <c r="AM793" s="124"/>
      <c r="AN793" s="124"/>
      <c r="AO793" s="124"/>
      <c r="AP793" s="124"/>
      <c r="AQ793" s="124"/>
    </row>
    <row r="794" spans="1:43" customFormat="1" ht="12.75" hidden="1" thickBot="1">
      <c r="A794" s="25" t="s">
        <v>1221</v>
      </c>
      <c r="B794" s="25" t="s">
        <v>374</v>
      </c>
      <c r="C794" s="25" t="s">
        <v>1002</v>
      </c>
      <c r="D794" s="693" t="s">
        <v>606</v>
      </c>
      <c r="E794" s="76">
        <v>3900</v>
      </c>
      <c r="F794" s="19"/>
      <c r="G794" s="18">
        <v>680.03</v>
      </c>
      <c r="H794" s="19"/>
      <c r="I794" s="19"/>
      <c r="J794" s="19"/>
      <c r="K794" s="19"/>
      <c r="L794" s="19"/>
      <c r="M794" s="18">
        <v>5.38</v>
      </c>
      <c r="N794" s="18">
        <v>21.72</v>
      </c>
      <c r="O794" s="19"/>
      <c r="P794" s="19"/>
      <c r="Q794" s="18">
        <v>0</v>
      </c>
      <c r="R794" s="18">
        <v>707.13</v>
      </c>
      <c r="S794" s="142">
        <f t="shared" si="97"/>
        <v>680.03</v>
      </c>
      <c r="T794" s="142">
        <f t="shared" si="98"/>
        <v>0</v>
      </c>
      <c r="U794" s="142">
        <f t="shared" si="99"/>
        <v>21.72</v>
      </c>
      <c r="W794" s="601">
        <f t="shared" si="100"/>
        <v>707.13</v>
      </c>
      <c r="X794" s="601">
        <f t="shared" si="101"/>
        <v>0</v>
      </c>
      <c r="Y794" s="123"/>
      <c r="Z794" s="692">
        <f t="shared" si="96"/>
        <v>680.03</v>
      </c>
      <c r="AA794" s="124"/>
      <c r="AB794" s="124"/>
      <c r="AC794" s="124"/>
      <c r="AD794" s="124"/>
      <c r="AE794" s="124"/>
      <c r="AF794" s="124"/>
      <c r="AG794" s="124"/>
      <c r="AH794" s="124"/>
      <c r="AI794" s="124"/>
      <c r="AJ794" s="124"/>
      <c r="AK794" s="124"/>
      <c r="AL794" s="124"/>
      <c r="AM794" s="124"/>
      <c r="AN794" s="124"/>
      <c r="AO794" s="124"/>
      <c r="AP794" s="124"/>
      <c r="AQ794" s="124"/>
    </row>
    <row r="795" spans="1:43" customFormat="1" ht="12.75" hidden="1" thickBot="1">
      <c r="A795" s="25" t="s">
        <v>1221</v>
      </c>
      <c r="B795" s="32" t="s">
        <v>7</v>
      </c>
      <c r="C795" s="33"/>
      <c r="D795" s="33"/>
      <c r="E795" s="79">
        <v>1150570487</v>
      </c>
      <c r="F795" s="21">
        <v>5268759.3099999996</v>
      </c>
      <c r="G795" s="21">
        <v>40355869.5</v>
      </c>
      <c r="H795" s="21">
        <v>31166026.27</v>
      </c>
      <c r="I795" s="21">
        <v>850753.96</v>
      </c>
      <c r="J795" s="21">
        <v>558046.89</v>
      </c>
      <c r="K795" s="21">
        <v>17164364.460000001</v>
      </c>
      <c r="L795" s="21">
        <v>3263700.28</v>
      </c>
      <c r="M795" s="21">
        <v>1801583.78</v>
      </c>
      <c r="N795" s="21">
        <v>1463696</v>
      </c>
      <c r="O795" s="21">
        <v>1741524.91</v>
      </c>
      <c r="P795" s="21">
        <v>-234548.73</v>
      </c>
      <c r="Q795" s="21">
        <v>0</v>
      </c>
      <c r="R795" s="21">
        <v>103408586.28</v>
      </c>
      <c r="S795" s="142">
        <f t="shared" si="97"/>
        <v>72372649.729999989</v>
      </c>
      <c r="T795" s="142">
        <f t="shared" si="98"/>
        <v>17722411.350000001</v>
      </c>
      <c r="U795" s="142">
        <f t="shared" si="99"/>
        <v>3205220.91</v>
      </c>
      <c r="W795" s="601">
        <f t="shared" si="100"/>
        <v>103399776.62999998</v>
      </c>
      <c r="X795" s="601">
        <f t="shared" si="101"/>
        <v>-8809.6500000208616</v>
      </c>
      <c r="Y795" s="123"/>
      <c r="Z795" s="692">
        <f t="shared" si="96"/>
        <v>95363820.389999986</v>
      </c>
      <c r="AA795" s="124"/>
      <c r="AB795" s="124"/>
      <c r="AC795" s="124"/>
      <c r="AD795" s="124"/>
      <c r="AE795" s="124"/>
      <c r="AF795" s="124"/>
      <c r="AG795" s="124"/>
      <c r="AH795" s="124"/>
      <c r="AI795" s="124"/>
      <c r="AJ795" s="124"/>
      <c r="AK795" s="124"/>
      <c r="AL795" s="124"/>
      <c r="AM795" s="124"/>
      <c r="AN795" s="124"/>
      <c r="AO795" s="124"/>
      <c r="AP795" s="124"/>
      <c r="AQ795" s="124"/>
    </row>
    <row r="796" spans="1:43" customFormat="1" ht="12.75" thickBot="1">
      <c r="A796" s="61"/>
      <c r="B796" s="62"/>
      <c r="C796" s="45"/>
      <c r="D796" s="45"/>
      <c r="E796" s="25" t="s">
        <v>5</v>
      </c>
      <c r="F796" s="25" t="s">
        <v>851</v>
      </c>
      <c r="G796" s="25" t="s">
        <v>922</v>
      </c>
      <c r="H796" s="25" t="s">
        <v>923</v>
      </c>
      <c r="I796" s="25" t="s">
        <v>924</v>
      </c>
      <c r="J796" s="25" t="s">
        <v>925</v>
      </c>
      <c r="K796" s="25" t="s">
        <v>926</v>
      </c>
      <c r="L796" s="25" t="s">
        <v>838</v>
      </c>
      <c r="M796" s="25" t="s">
        <v>57</v>
      </c>
      <c r="N796" s="25" t="s">
        <v>58</v>
      </c>
      <c r="O796" s="25" t="s">
        <v>927</v>
      </c>
      <c r="P796" s="25" t="s">
        <v>762</v>
      </c>
      <c r="Q796" s="25" t="s">
        <v>839</v>
      </c>
      <c r="R796" s="25" t="s">
        <v>840</v>
      </c>
      <c r="S796" s="142" t="e">
        <f t="shared" si="97"/>
        <v>#VALUE!</v>
      </c>
      <c r="T796" s="142" t="e">
        <f t="shared" si="98"/>
        <v>#VALUE!</v>
      </c>
      <c r="U796" s="142" t="e">
        <f t="shared" si="99"/>
        <v>#VALUE!</v>
      </c>
      <c r="W796" s="601">
        <f t="shared" si="100"/>
        <v>0</v>
      </c>
      <c r="X796" s="601" t="e">
        <f t="shared" si="101"/>
        <v>#VALUE!</v>
      </c>
      <c r="Y796" s="123"/>
      <c r="Z796" s="692">
        <f t="shared" si="96"/>
        <v>0</v>
      </c>
      <c r="AA796" s="124"/>
      <c r="AB796" s="124"/>
      <c r="AC796" s="124"/>
      <c r="AD796" s="124"/>
      <c r="AE796" s="124"/>
      <c r="AF796" s="124"/>
      <c r="AG796" s="124"/>
      <c r="AH796" s="124"/>
      <c r="AI796" s="124"/>
      <c r="AJ796" s="124"/>
      <c r="AK796" s="124"/>
      <c r="AL796" s="124"/>
      <c r="AM796" s="124"/>
      <c r="AN796" s="124"/>
      <c r="AO796" s="124"/>
      <c r="AP796" s="124"/>
      <c r="AQ796" s="124"/>
    </row>
    <row r="797" spans="1:43" customFormat="1" ht="12.75" thickBot="1">
      <c r="A797" s="25" t="s">
        <v>0</v>
      </c>
      <c r="B797" s="25" t="s">
        <v>4</v>
      </c>
      <c r="C797" s="46"/>
      <c r="D797" s="46"/>
      <c r="E797" s="45" t="s">
        <v>5</v>
      </c>
      <c r="F797" s="45" t="s">
        <v>6</v>
      </c>
      <c r="G797" s="45" t="s">
        <v>6</v>
      </c>
      <c r="H797" s="45" t="s">
        <v>6</v>
      </c>
      <c r="I797" s="45" t="s">
        <v>6</v>
      </c>
      <c r="J797" s="45" t="s">
        <v>6</v>
      </c>
      <c r="K797" s="45" t="s">
        <v>6</v>
      </c>
      <c r="L797" s="45" t="s">
        <v>6</v>
      </c>
      <c r="M797" s="45" t="s">
        <v>6</v>
      </c>
      <c r="N797" s="45" t="s">
        <v>6</v>
      </c>
      <c r="O797" s="45" t="s">
        <v>6</v>
      </c>
      <c r="P797" s="45" t="s">
        <v>6</v>
      </c>
      <c r="Q797" s="45" t="s">
        <v>6</v>
      </c>
      <c r="R797" s="45" t="s">
        <v>6</v>
      </c>
      <c r="S797" s="142" t="e">
        <f t="shared" si="97"/>
        <v>#VALUE!</v>
      </c>
      <c r="T797" s="142" t="e">
        <f t="shared" si="98"/>
        <v>#VALUE!</v>
      </c>
      <c r="U797" s="142" t="e">
        <f t="shared" si="99"/>
        <v>#VALUE!</v>
      </c>
      <c r="W797" s="601">
        <f t="shared" si="100"/>
        <v>0</v>
      </c>
      <c r="X797" s="601" t="e">
        <f t="shared" si="101"/>
        <v>#VALUE!</v>
      </c>
      <c r="Y797" s="123"/>
      <c r="Z797" s="692">
        <f t="shared" si="96"/>
        <v>0</v>
      </c>
      <c r="AA797" s="124"/>
      <c r="AB797" s="124"/>
      <c r="AC797" s="124"/>
      <c r="AD797" s="124"/>
      <c r="AE797" s="124"/>
      <c r="AF797" s="124"/>
      <c r="AG797" s="124"/>
      <c r="AH797" s="124"/>
      <c r="AI797" s="124"/>
      <c r="AJ797" s="124"/>
      <c r="AK797" s="124"/>
      <c r="AL797" s="124"/>
      <c r="AM797" s="124"/>
      <c r="AN797" s="124"/>
      <c r="AO797" s="124"/>
      <c r="AP797" s="124"/>
      <c r="AQ797" s="124"/>
    </row>
    <row r="798" spans="1:43" customFormat="1" ht="12.75" hidden="1" thickBot="1">
      <c r="A798" s="25" t="s">
        <v>1222</v>
      </c>
      <c r="B798" s="25" t="s">
        <v>928</v>
      </c>
      <c r="C798" s="25" t="s">
        <v>929</v>
      </c>
      <c r="D798" s="69" t="s">
        <v>881</v>
      </c>
      <c r="E798" s="27"/>
      <c r="F798" s="27"/>
      <c r="G798" s="27"/>
      <c r="H798" s="27"/>
      <c r="I798" s="27"/>
      <c r="J798" s="27"/>
      <c r="K798" s="27"/>
      <c r="L798" s="27"/>
      <c r="M798" s="27"/>
      <c r="N798" s="27"/>
      <c r="O798" s="27"/>
      <c r="P798" s="27"/>
      <c r="Q798" s="27"/>
      <c r="R798" s="28">
        <v>6614.04</v>
      </c>
      <c r="S798" s="142">
        <f t="shared" si="97"/>
        <v>0</v>
      </c>
      <c r="T798" s="142">
        <f t="shared" si="98"/>
        <v>0</v>
      </c>
      <c r="U798" s="142">
        <f t="shared" si="99"/>
        <v>0</v>
      </c>
      <c r="W798" s="601">
        <f t="shared" si="100"/>
        <v>0</v>
      </c>
      <c r="X798" s="601">
        <f t="shared" si="101"/>
        <v>-6614.04</v>
      </c>
      <c r="Y798" s="123"/>
      <c r="Z798" s="692">
        <f t="shared" ref="Z798:Z859" si="102">SUM(F798:K798)</f>
        <v>0</v>
      </c>
      <c r="AA798" s="124"/>
      <c r="AB798" s="124"/>
      <c r="AC798" s="124"/>
      <c r="AD798" s="124"/>
      <c r="AE798" s="124"/>
      <c r="AF798" s="124"/>
      <c r="AG798" s="124"/>
      <c r="AH798" s="124"/>
      <c r="AI798" s="124"/>
      <c r="AJ798" s="124"/>
      <c r="AK798" s="124"/>
      <c r="AL798" s="124"/>
      <c r="AM798" s="124"/>
      <c r="AN798" s="124"/>
      <c r="AO798" s="124"/>
      <c r="AP798" s="124"/>
      <c r="AQ798" s="124"/>
    </row>
    <row r="799" spans="1:43" customFormat="1" ht="12.75" hidden="1" thickBot="1">
      <c r="A799" s="25" t="s">
        <v>1222</v>
      </c>
      <c r="B799" s="25" t="s">
        <v>848</v>
      </c>
      <c r="C799" s="25" t="s">
        <v>849</v>
      </c>
      <c r="D799" s="69" t="s">
        <v>881</v>
      </c>
      <c r="E799" s="30"/>
      <c r="F799" s="30"/>
      <c r="G799" s="30"/>
      <c r="H799" s="30"/>
      <c r="I799" s="30"/>
      <c r="J799" s="30"/>
      <c r="K799" s="30"/>
      <c r="L799" s="30"/>
      <c r="M799" s="30"/>
      <c r="N799" s="30"/>
      <c r="O799" s="30"/>
      <c r="P799" s="30"/>
      <c r="Q799" s="30"/>
      <c r="R799" s="31">
        <v>765.74</v>
      </c>
      <c r="S799" s="142">
        <f t="shared" si="97"/>
        <v>0</v>
      </c>
      <c r="T799" s="142">
        <f t="shared" si="98"/>
        <v>0</v>
      </c>
      <c r="U799" s="142">
        <f t="shared" si="99"/>
        <v>0</v>
      </c>
      <c r="W799" s="601">
        <f t="shared" si="100"/>
        <v>0</v>
      </c>
      <c r="X799" s="601">
        <f t="shared" si="101"/>
        <v>-765.74</v>
      </c>
      <c r="Y799" s="123"/>
      <c r="Z799" s="692">
        <f t="shared" si="102"/>
        <v>0</v>
      </c>
      <c r="AA799" s="124"/>
      <c r="AB799" s="124"/>
      <c r="AC799" s="124"/>
      <c r="AD799" s="124"/>
      <c r="AE799" s="124"/>
      <c r="AF799" s="124"/>
      <c r="AG799" s="124"/>
      <c r="AH799" s="124"/>
      <c r="AI799" s="124"/>
      <c r="AJ799" s="124"/>
      <c r="AK799" s="124"/>
      <c r="AL799" s="124"/>
      <c r="AM799" s="124"/>
      <c r="AN799" s="124"/>
      <c r="AO799" s="124"/>
      <c r="AP799" s="124"/>
      <c r="AQ799" s="124"/>
    </row>
    <row r="800" spans="1:43" customFormat="1" ht="12.75" hidden="1" thickBot="1">
      <c r="A800" s="25" t="s">
        <v>1222</v>
      </c>
      <c r="B800" s="25" t="s">
        <v>930</v>
      </c>
      <c r="C800" s="25" t="s">
        <v>931</v>
      </c>
      <c r="D800" s="69" t="s">
        <v>881</v>
      </c>
      <c r="E800" s="27"/>
      <c r="F800" s="27"/>
      <c r="G800" s="27"/>
      <c r="H800" s="27"/>
      <c r="I800" s="27"/>
      <c r="J800" s="27"/>
      <c r="K800" s="27"/>
      <c r="L800" s="27"/>
      <c r="M800" s="27"/>
      <c r="N800" s="27"/>
      <c r="O800" s="27"/>
      <c r="P800" s="27"/>
      <c r="Q800" s="27"/>
      <c r="R800" s="28">
        <v>1419.27</v>
      </c>
      <c r="S800" s="142">
        <f t="shared" si="97"/>
        <v>0</v>
      </c>
      <c r="T800" s="142">
        <f t="shared" si="98"/>
        <v>0</v>
      </c>
      <c r="U800" s="142">
        <f t="shared" si="99"/>
        <v>0</v>
      </c>
      <c r="W800" s="601">
        <f t="shared" si="100"/>
        <v>0</v>
      </c>
      <c r="X800" s="601">
        <f t="shared" si="101"/>
        <v>-1419.27</v>
      </c>
      <c r="Y800" s="123"/>
      <c r="Z800" s="692">
        <f t="shared" si="102"/>
        <v>0</v>
      </c>
      <c r="AA800" s="124"/>
      <c r="AB800" s="124"/>
      <c r="AC800" s="124"/>
      <c r="AD800" s="124"/>
      <c r="AE800" s="124"/>
      <c r="AF800" s="124"/>
      <c r="AG800" s="124"/>
      <c r="AH800" s="124"/>
      <c r="AI800" s="124"/>
      <c r="AJ800" s="124"/>
      <c r="AK800" s="124"/>
      <c r="AL800" s="124"/>
      <c r="AM800" s="124"/>
      <c r="AN800" s="124"/>
      <c r="AO800" s="124"/>
      <c r="AP800" s="124"/>
      <c r="AQ800" s="124"/>
    </row>
    <row r="801" spans="1:43" customFormat="1" ht="12.75" hidden="1" thickBot="1">
      <c r="A801" s="25" t="s">
        <v>1222</v>
      </c>
      <c r="B801" s="25" t="s">
        <v>1011</v>
      </c>
      <c r="C801" s="25" t="s">
        <v>1119</v>
      </c>
      <c r="D801" s="69" t="s">
        <v>881</v>
      </c>
      <c r="E801" s="30"/>
      <c r="F801" s="30"/>
      <c r="G801" s="30"/>
      <c r="H801" s="30"/>
      <c r="I801" s="30"/>
      <c r="J801" s="30"/>
      <c r="K801" s="30"/>
      <c r="L801" s="30"/>
      <c r="M801" s="30"/>
      <c r="N801" s="30"/>
      <c r="O801" s="30"/>
      <c r="P801" s="30"/>
      <c r="Q801" s="30"/>
      <c r="R801" s="31">
        <v>5</v>
      </c>
      <c r="S801" s="142">
        <f t="shared" si="97"/>
        <v>0</v>
      </c>
      <c r="T801" s="142">
        <f t="shared" si="98"/>
        <v>0</v>
      </c>
      <c r="U801" s="142">
        <f t="shared" si="99"/>
        <v>0</v>
      </c>
      <c r="W801" s="601">
        <f t="shared" si="100"/>
        <v>0</v>
      </c>
      <c r="X801" s="601">
        <f t="shared" si="101"/>
        <v>-5</v>
      </c>
      <c r="Y801" s="123"/>
      <c r="Z801" s="692">
        <f t="shared" si="102"/>
        <v>0</v>
      </c>
      <c r="AA801" s="124"/>
      <c r="AB801" s="124"/>
      <c r="AC801" s="124"/>
      <c r="AD801" s="124"/>
      <c r="AE801" s="124"/>
      <c r="AF801" s="124"/>
      <c r="AG801" s="124"/>
      <c r="AH801" s="124"/>
      <c r="AI801" s="124"/>
      <c r="AJ801" s="124"/>
      <c r="AK801" s="124"/>
      <c r="AL801" s="124"/>
      <c r="AM801" s="124"/>
      <c r="AN801" s="124"/>
      <c r="AO801" s="124"/>
      <c r="AP801" s="124"/>
      <c r="AQ801" s="124"/>
    </row>
    <row r="802" spans="1:43" customFormat="1" ht="12.75" hidden="1" thickBot="1">
      <c r="A802" s="25" t="s">
        <v>1222</v>
      </c>
      <c r="B802" s="25" t="s">
        <v>852</v>
      </c>
      <c r="C802" s="25" t="s">
        <v>1215</v>
      </c>
      <c r="D802" s="69" t="s">
        <v>1125</v>
      </c>
      <c r="E802" s="27"/>
      <c r="F802" s="27"/>
      <c r="G802" s="27"/>
      <c r="H802" s="27"/>
      <c r="I802" s="27"/>
      <c r="J802" s="27"/>
      <c r="K802" s="27"/>
      <c r="L802" s="27"/>
      <c r="M802" s="27"/>
      <c r="N802" s="27"/>
      <c r="O802" s="27"/>
      <c r="P802" s="27"/>
      <c r="Q802" s="27"/>
      <c r="R802" s="27"/>
      <c r="S802" s="142">
        <f t="shared" si="97"/>
        <v>0</v>
      </c>
      <c r="T802" s="142">
        <f t="shared" si="98"/>
        <v>0</v>
      </c>
      <c r="U802" s="142">
        <f t="shared" si="99"/>
        <v>0</v>
      </c>
      <c r="W802" s="601">
        <f t="shared" si="100"/>
        <v>0</v>
      </c>
      <c r="X802" s="601">
        <f t="shared" si="101"/>
        <v>0</v>
      </c>
      <c r="Y802" s="123"/>
      <c r="Z802" s="692">
        <f t="shared" si="102"/>
        <v>0</v>
      </c>
      <c r="AA802" s="124"/>
      <c r="AB802" s="124"/>
      <c r="AC802" s="124"/>
      <c r="AD802" s="124"/>
      <c r="AE802" s="124"/>
      <c r="AF802" s="124"/>
      <c r="AG802" s="124"/>
      <c r="AH802" s="124"/>
      <c r="AI802" s="124"/>
      <c r="AJ802" s="124"/>
      <c r="AK802" s="124"/>
      <c r="AL802" s="124"/>
      <c r="AM802" s="124"/>
      <c r="AN802" s="124"/>
      <c r="AO802" s="124"/>
      <c r="AP802" s="124"/>
      <c r="AQ802" s="124"/>
    </row>
    <row r="803" spans="1:43" customFormat="1" ht="12.75" hidden="1" thickBot="1">
      <c r="A803" s="25" t="s">
        <v>1222</v>
      </c>
      <c r="B803" s="25" t="s">
        <v>407</v>
      </c>
      <c r="C803" s="25" t="s">
        <v>1120</v>
      </c>
      <c r="D803" s="98" t="s">
        <v>892</v>
      </c>
      <c r="E803" s="29">
        <v>8895</v>
      </c>
      <c r="F803" s="30"/>
      <c r="G803" s="31">
        <v>555.23</v>
      </c>
      <c r="H803" s="31">
        <v>242.38</v>
      </c>
      <c r="I803" s="31">
        <v>14.87</v>
      </c>
      <c r="J803" s="30"/>
      <c r="K803" s="30"/>
      <c r="L803" s="31">
        <v>26.96</v>
      </c>
      <c r="M803" s="31">
        <v>-0.21</v>
      </c>
      <c r="N803" s="31">
        <v>0</v>
      </c>
      <c r="O803" s="31">
        <v>33.130000000000003</v>
      </c>
      <c r="P803" s="30"/>
      <c r="Q803" s="30"/>
      <c r="R803" s="31">
        <v>872.36</v>
      </c>
      <c r="S803" s="142">
        <f t="shared" si="97"/>
        <v>812.48</v>
      </c>
      <c r="T803" s="142">
        <f t="shared" si="98"/>
        <v>0</v>
      </c>
      <c r="U803" s="142">
        <f t="shared" si="99"/>
        <v>33.130000000000003</v>
      </c>
      <c r="W803" s="601">
        <f t="shared" si="100"/>
        <v>872.36</v>
      </c>
      <c r="X803" s="601">
        <f t="shared" si="101"/>
        <v>0</v>
      </c>
      <c r="Y803" s="123"/>
      <c r="Z803" s="692">
        <f t="shared" si="102"/>
        <v>812.48</v>
      </c>
      <c r="AA803" s="124"/>
      <c r="AB803" s="124"/>
      <c r="AC803" s="124"/>
      <c r="AD803" s="124"/>
      <c r="AE803" s="124"/>
      <c r="AF803" s="124"/>
      <c r="AG803" s="124"/>
      <c r="AH803" s="124"/>
      <c r="AI803" s="124"/>
      <c r="AJ803" s="124"/>
      <c r="AK803" s="124"/>
      <c r="AL803" s="124"/>
      <c r="AM803" s="124"/>
      <c r="AN803" s="124"/>
      <c r="AO803" s="124"/>
      <c r="AP803" s="124"/>
      <c r="AQ803" s="124"/>
    </row>
    <row r="804" spans="1:43" customFormat="1" ht="12.75" hidden="1" thickBot="1">
      <c r="A804" s="25" t="s">
        <v>1222</v>
      </c>
      <c r="B804" s="25" t="s">
        <v>409</v>
      </c>
      <c r="C804" s="25" t="s">
        <v>140</v>
      </c>
      <c r="D804" s="98" t="s">
        <v>892</v>
      </c>
      <c r="E804" s="26">
        <v>33537675</v>
      </c>
      <c r="F804" s="28">
        <v>554897.27</v>
      </c>
      <c r="G804" s="28">
        <v>2093461.12</v>
      </c>
      <c r="H804" s="28">
        <v>915597.26</v>
      </c>
      <c r="I804" s="28">
        <v>56282.76</v>
      </c>
      <c r="J804" s="27"/>
      <c r="K804" s="27"/>
      <c r="L804" s="28">
        <v>101814.71</v>
      </c>
      <c r="M804" s="28">
        <v>-6636.84</v>
      </c>
      <c r="N804" s="28">
        <v>-58.36</v>
      </c>
      <c r="O804" s="28">
        <v>158278.04999999999</v>
      </c>
      <c r="P804" s="27"/>
      <c r="Q804" s="28">
        <v>0</v>
      </c>
      <c r="R804" s="28">
        <v>3873635.97</v>
      </c>
      <c r="S804" s="142">
        <f t="shared" si="97"/>
        <v>3065341.1399999997</v>
      </c>
      <c r="T804" s="142">
        <f t="shared" si="98"/>
        <v>0</v>
      </c>
      <c r="U804" s="142">
        <f t="shared" si="99"/>
        <v>158219.69</v>
      </c>
      <c r="W804" s="601">
        <f t="shared" si="100"/>
        <v>3873635.97</v>
      </c>
      <c r="X804" s="601">
        <f t="shared" si="101"/>
        <v>0</v>
      </c>
      <c r="Y804" s="123"/>
      <c r="Z804" s="692">
        <f t="shared" si="102"/>
        <v>3620238.41</v>
      </c>
      <c r="AA804" s="124"/>
      <c r="AB804" s="124"/>
      <c r="AC804" s="124"/>
      <c r="AD804" s="124"/>
      <c r="AE804" s="124"/>
      <c r="AF804" s="124"/>
      <c r="AG804" s="124"/>
      <c r="AH804" s="124"/>
      <c r="AI804" s="124"/>
      <c r="AJ804" s="124"/>
      <c r="AK804" s="124"/>
      <c r="AL804" s="124"/>
      <c r="AM804" s="124"/>
      <c r="AN804" s="124"/>
      <c r="AO804" s="124"/>
      <c r="AP804" s="124"/>
      <c r="AQ804" s="124"/>
    </row>
    <row r="805" spans="1:43" customFormat="1" ht="12.75" hidden="1" thickBot="1">
      <c r="A805" s="25" t="s">
        <v>1222</v>
      </c>
      <c r="B805" s="25" t="s">
        <v>410</v>
      </c>
      <c r="C805" s="25" t="s">
        <v>1121</v>
      </c>
      <c r="D805" s="98" t="s">
        <v>892</v>
      </c>
      <c r="E805" s="29">
        <v>13802</v>
      </c>
      <c r="F805" s="31">
        <v>2060</v>
      </c>
      <c r="G805" s="31">
        <v>861.52</v>
      </c>
      <c r="H805" s="31">
        <v>376.1</v>
      </c>
      <c r="I805" s="31">
        <v>23.05</v>
      </c>
      <c r="J805" s="30"/>
      <c r="K805" s="30"/>
      <c r="L805" s="31">
        <v>41.82</v>
      </c>
      <c r="M805" s="31">
        <v>-2.62</v>
      </c>
      <c r="N805" s="31">
        <v>0</v>
      </c>
      <c r="O805" s="31">
        <v>167.84</v>
      </c>
      <c r="P805" s="30"/>
      <c r="Q805" s="30"/>
      <c r="R805" s="31">
        <v>3527.71</v>
      </c>
      <c r="S805" s="142">
        <f t="shared" si="97"/>
        <v>1260.6699999999998</v>
      </c>
      <c r="T805" s="142">
        <f t="shared" si="98"/>
        <v>0</v>
      </c>
      <c r="U805" s="142">
        <f t="shared" si="99"/>
        <v>167.84</v>
      </c>
      <c r="W805" s="601">
        <f t="shared" si="100"/>
        <v>3527.7100000000005</v>
      </c>
      <c r="X805" s="601">
        <f t="shared" si="101"/>
        <v>0</v>
      </c>
      <c r="Y805" s="123"/>
      <c r="Z805" s="692">
        <f t="shared" si="102"/>
        <v>3320.67</v>
      </c>
      <c r="AA805" s="124"/>
      <c r="AB805" s="124"/>
      <c r="AC805" s="124"/>
      <c r="AD805" s="124"/>
      <c r="AE805" s="124"/>
      <c r="AF805" s="124"/>
      <c r="AG805" s="124"/>
      <c r="AH805" s="124"/>
      <c r="AI805" s="124"/>
      <c r="AJ805" s="124"/>
      <c r="AK805" s="124"/>
      <c r="AL805" s="124"/>
      <c r="AM805" s="124"/>
      <c r="AN805" s="124"/>
      <c r="AO805" s="124"/>
      <c r="AP805" s="124"/>
      <c r="AQ805" s="124"/>
    </row>
    <row r="806" spans="1:43" customFormat="1" ht="12.75" hidden="1" thickBot="1">
      <c r="A806" s="25" t="s">
        <v>1222</v>
      </c>
      <c r="B806" s="25" t="s">
        <v>411</v>
      </c>
      <c r="C806" s="25" t="s">
        <v>1122</v>
      </c>
      <c r="D806" s="98" t="s">
        <v>892</v>
      </c>
      <c r="E806" s="26">
        <v>138400</v>
      </c>
      <c r="F806" s="27"/>
      <c r="G806" s="28">
        <v>8638.9500000000007</v>
      </c>
      <c r="H806" s="28">
        <v>3771.42</v>
      </c>
      <c r="I806" s="28">
        <v>231.13</v>
      </c>
      <c r="J806" s="27"/>
      <c r="K806" s="27"/>
      <c r="L806" s="28">
        <v>419.33</v>
      </c>
      <c r="M806" s="28">
        <v>-20.38</v>
      </c>
      <c r="N806" s="28">
        <v>0</v>
      </c>
      <c r="O806" s="28">
        <v>520.64</v>
      </c>
      <c r="P806" s="27"/>
      <c r="Q806" s="27"/>
      <c r="R806" s="28">
        <v>13561.09</v>
      </c>
      <c r="S806" s="142">
        <f t="shared" si="97"/>
        <v>12641.5</v>
      </c>
      <c r="T806" s="142">
        <f t="shared" si="98"/>
        <v>0</v>
      </c>
      <c r="U806" s="142">
        <f t="shared" si="99"/>
        <v>520.64</v>
      </c>
      <c r="W806" s="601">
        <f t="shared" si="100"/>
        <v>13561.09</v>
      </c>
      <c r="X806" s="601">
        <f t="shared" si="101"/>
        <v>0</v>
      </c>
      <c r="Y806" s="123"/>
      <c r="Z806" s="692">
        <f t="shared" si="102"/>
        <v>12641.5</v>
      </c>
      <c r="AA806" s="124"/>
      <c r="AB806" s="124"/>
      <c r="AC806" s="124"/>
      <c r="AD806" s="124"/>
      <c r="AE806" s="124"/>
      <c r="AF806" s="124"/>
      <c r="AG806" s="124"/>
      <c r="AH806" s="124"/>
      <c r="AI806" s="124"/>
      <c r="AJ806" s="124"/>
      <c r="AK806" s="124"/>
      <c r="AL806" s="124"/>
      <c r="AM806" s="124"/>
      <c r="AN806" s="124"/>
      <c r="AO806" s="124"/>
      <c r="AP806" s="124"/>
      <c r="AQ806" s="124"/>
    </row>
    <row r="807" spans="1:43" customFormat="1" ht="12.75" hidden="1" thickBot="1">
      <c r="A807" s="25" t="s">
        <v>1222</v>
      </c>
      <c r="B807" s="25" t="s">
        <v>413</v>
      </c>
      <c r="C807" s="25" t="s">
        <v>454</v>
      </c>
      <c r="D807" s="98" t="s">
        <v>892</v>
      </c>
      <c r="E807" s="29">
        <v>3772</v>
      </c>
      <c r="F807" s="31">
        <v>160</v>
      </c>
      <c r="G807" s="31">
        <v>235.44</v>
      </c>
      <c r="H807" s="31">
        <v>102.79</v>
      </c>
      <c r="I807" s="31">
        <v>6.31</v>
      </c>
      <c r="J807" s="30"/>
      <c r="K807" s="30"/>
      <c r="L807" s="31">
        <v>11.44</v>
      </c>
      <c r="M807" s="31">
        <v>-0.72</v>
      </c>
      <c r="N807" s="31">
        <v>0</v>
      </c>
      <c r="O807" s="31">
        <v>23.21</v>
      </c>
      <c r="P807" s="30"/>
      <c r="Q807" s="30"/>
      <c r="R807" s="31">
        <v>538.47</v>
      </c>
      <c r="S807" s="142">
        <f t="shared" si="97"/>
        <v>344.54</v>
      </c>
      <c r="T807" s="142">
        <f t="shared" si="98"/>
        <v>0</v>
      </c>
      <c r="U807" s="142">
        <f t="shared" si="99"/>
        <v>23.21</v>
      </c>
      <c r="W807" s="601">
        <f t="shared" si="100"/>
        <v>538.47</v>
      </c>
      <c r="X807" s="601">
        <f t="shared" si="101"/>
        <v>0</v>
      </c>
      <c r="Y807" s="123"/>
      <c r="Z807" s="692">
        <f t="shared" si="102"/>
        <v>504.54</v>
      </c>
      <c r="AA807" s="124"/>
      <c r="AB807" s="124"/>
      <c r="AC807" s="124"/>
      <c r="AD807" s="124"/>
      <c r="AE807" s="124"/>
      <c r="AF807" s="124"/>
      <c r="AG807" s="124"/>
      <c r="AH807" s="124"/>
      <c r="AI807" s="124"/>
      <c r="AJ807" s="124"/>
      <c r="AK807" s="124"/>
      <c r="AL807" s="124"/>
      <c r="AM807" s="124"/>
      <c r="AN807" s="124"/>
      <c r="AO807" s="124"/>
      <c r="AP807" s="124"/>
      <c r="AQ807" s="124"/>
    </row>
    <row r="808" spans="1:43" customFormat="1" ht="12.75" hidden="1" thickBot="1">
      <c r="A808" s="25" t="s">
        <v>1222</v>
      </c>
      <c r="B808" s="25" t="s">
        <v>414</v>
      </c>
      <c r="C808" s="25" t="s">
        <v>445</v>
      </c>
      <c r="D808" s="25" t="s">
        <v>20</v>
      </c>
      <c r="E808" s="26">
        <v>153563298</v>
      </c>
      <c r="F808" s="28">
        <v>235182</v>
      </c>
      <c r="G808" s="28">
        <v>2050068.12</v>
      </c>
      <c r="H808" s="28">
        <v>4184601.22</v>
      </c>
      <c r="I808" s="27"/>
      <c r="J808" s="28">
        <v>193078.67</v>
      </c>
      <c r="K808" s="28">
        <v>6403774.8499999996</v>
      </c>
      <c r="L808" s="28">
        <v>213456.5</v>
      </c>
      <c r="M808" s="28">
        <v>-17710.38</v>
      </c>
      <c r="N808" s="28">
        <v>0</v>
      </c>
      <c r="O808" s="28">
        <v>508861.23</v>
      </c>
      <c r="P808" s="27"/>
      <c r="Q808" s="27"/>
      <c r="R808" s="28">
        <v>13771312.210000001</v>
      </c>
      <c r="S808" s="142">
        <f t="shared" si="97"/>
        <v>6234669.3399999999</v>
      </c>
      <c r="T808" s="142">
        <f t="shared" si="98"/>
        <v>6596853.5199999996</v>
      </c>
      <c r="U808" s="142">
        <f t="shared" si="99"/>
        <v>508861.23</v>
      </c>
      <c r="W808" s="601">
        <f t="shared" si="100"/>
        <v>13771312.209999999</v>
      </c>
      <c r="X808" s="601">
        <f t="shared" si="101"/>
        <v>0</v>
      </c>
      <c r="Y808" s="123"/>
      <c r="Z808" s="692">
        <f t="shared" si="102"/>
        <v>13066704.859999999</v>
      </c>
      <c r="AA808" s="124"/>
      <c r="AB808" s="124"/>
      <c r="AC808" s="124"/>
      <c r="AD808" s="124"/>
      <c r="AE808" s="124"/>
      <c r="AF808" s="124"/>
      <c r="AG808" s="124"/>
      <c r="AH808" s="124"/>
      <c r="AI808" s="124"/>
      <c r="AJ808" s="124"/>
      <c r="AK808" s="124"/>
      <c r="AL808" s="124"/>
      <c r="AM808" s="124"/>
      <c r="AN808" s="124"/>
      <c r="AO808" s="124"/>
      <c r="AP808" s="124"/>
      <c r="AQ808" s="124"/>
    </row>
    <row r="809" spans="1:43" ht="12.75" hidden="1" thickBot="1">
      <c r="A809" s="147" t="s">
        <v>1222</v>
      </c>
      <c r="B809" s="147" t="s">
        <v>415</v>
      </c>
      <c r="C809" s="147" t="s">
        <v>443</v>
      </c>
      <c r="D809" s="153" t="s">
        <v>21</v>
      </c>
      <c r="E809" s="150">
        <v>13075720</v>
      </c>
      <c r="F809" s="596">
        <v>9350</v>
      </c>
      <c r="G809" s="596">
        <v>157039.37</v>
      </c>
      <c r="H809" s="596">
        <v>356313.39</v>
      </c>
      <c r="I809" s="151"/>
      <c r="J809" s="596">
        <v>6972.41</v>
      </c>
      <c r="K809" s="596">
        <v>202267.45</v>
      </c>
      <c r="L809" s="596">
        <v>18175.27</v>
      </c>
      <c r="M809" s="596">
        <v>-395.64</v>
      </c>
      <c r="N809" s="596">
        <v>0</v>
      </c>
      <c r="O809" s="596">
        <v>25025.31</v>
      </c>
      <c r="P809" s="151"/>
      <c r="Q809" s="151"/>
      <c r="R809" s="596">
        <v>774747.56</v>
      </c>
      <c r="S809" s="590">
        <f t="shared" si="97"/>
        <v>513352.76</v>
      </c>
      <c r="T809" s="590">
        <f t="shared" si="98"/>
        <v>209239.86000000002</v>
      </c>
      <c r="U809" s="590">
        <f t="shared" si="99"/>
        <v>25025.31</v>
      </c>
      <c r="W809" s="368">
        <f t="shared" si="100"/>
        <v>774747.56000000017</v>
      </c>
      <c r="X809" s="368">
        <f t="shared" si="101"/>
        <v>0</v>
      </c>
      <c r="Y809" s="592"/>
      <c r="Z809" s="692">
        <f t="shared" si="102"/>
        <v>731942.62000000011</v>
      </c>
      <c r="AA809" s="591"/>
      <c r="AB809" s="591"/>
      <c r="AC809" s="591"/>
      <c r="AD809" s="591"/>
      <c r="AE809" s="591"/>
      <c r="AF809" s="591"/>
      <c r="AG809" s="591"/>
      <c r="AH809" s="591"/>
      <c r="AI809" s="591"/>
      <c r="AJ809" s="591"/>
      <c r="AK809" s="591"/>
      <c r="AL809" s="591"/>
      <c r="AM809" s="591"/>
      <c r="AN809" s="591"/>
      <c r="AO809" s="591"/>
      <c r="AP809" s="591"/>
      <c r="AQ809" s="591"/>
    </row>
    <row r="810" spans="1:43" customFormat="1" ht="12.75" hidden="1" thickBot="1">
      <c r="A810" s="25" t="s">
        <v>1222</v>
      </c>
      <c r="B810" s="25" t="s">
        <v>416</v>
      </c>
      <c r="C810" s="25" t="s">
        <v>446</v>
      </c>
      <c r="D810" s="69" t="s">
        <v>20</v>
      </c>
      <c r="E810" s="26">
        <v>108480</v>
      </c>
      <c r="F810" s="28">
        <v>90</v>
      </c>
      <c r="G810" s="28">
        <v>1448.21</v>
      </c>
      <c r="H810" s="28">
        <v>2956.08</v>
      </c>
      <c r="I810" s="27"/>
      <c r="J810" s="28">
        <v>181.49</v>
      </c>
      <c r="K810" s="28">
        <v>6019.35</v>
      </c>
      <c r="L810" s="28">
        <v>150.79</v>
      </c>
      <c r="M810" s="28">
        <v>149.69999999999999</v>
      </c>
      <c r="N810" s="28">
        <v>0</v>
      </c>
      <c r="O810" s="28">
        <v>399.23</v>
      </c>
      <c r="P810" s="27"/>
      <c r="Q810" s="27"/>
      <c r="R810" s="28">
        <v>11394.85</v>
      </c>
      <c r="S810" s="142">
        <f t="shared" si="97"/>
        <v>4404.29</v>
      </c>
      <c r="T810" s="142">
        <f t="shared" si="98"/>
        <v>6200.84</v>
      </c>
      <c r="U810" s="142">
        <f t="shared" si="99"/>
        <v>399.23</v>
      </c>
      <c r="W810" s="601">
        <f t="shared" si="100"/>
        <v>11394.850000000002</v>
      </c>
      <c r="X810" s="601">
        <f t="shared" si="101"/>
        <v>0</v>
      </c>
      <c r="Y810" s="123"/>
      <c r="Z810" s="692">
        <f t="shared" si="102"/>
        <v>10695.130000000001</v>
      </c>
      <c r="AA810" s="124"/>
      <c r="AB810" s="124"/>
      <c r="AC810" s="124"/>
      <c r="AD810" s="124"/>
      <c r="AE810" s="124"/>
      <c r="AF810" s="124"/>
      <c r="AG810" s="124"/>
      <c r="AH810" s="124"/>
      <c r="AI810" s="124"/>
      <c r="AJ810" s="124"/>
      <c r="AK810" s="124"/>
      <c r="AL810" s="124"/>
      <c r="AM810" s="124"/>
      <c r="AN810" s="124"/>
      <c r="AO810" s="124"/>
      <c r="AP810" s="124"/>
      <c r="AQ810" s="124"/>
    </row>
    <row r="811" spans="1:43" customFormat="1" ht="12.75" hidden="1" thickBot="1">
      <c r="A811" s="25" t="s">
        <v>1222</v>
      </c>
      <c r="B811" s="25" t="s">
        <v>417</v>
      </c>
      <c r="C811" s="25" t="s">
        <v>932</v>
      </c>
      <c r="D811" s="69" t="s">
        <v>920</v>
      </c>
      <c r="E811" s="29">
        <v>62381577</v>
      </c>
      <c r="F811" s="31">
        <v>43800</v>
      </c>
      <c r="G811" s="31">
        <v>789126.91</v>
      </c>
      <c r="H811" s="31">
        <v>1699898.03</v>
      </c>
      <c r="I811" s="30"/>
      <c r="J811" s="31">
        <v>65127.64</v>
      </c>
      <c r="K811" s="31">
        <v>1911860.41</v>
      </c>
      <c r="L811" s="31">
        <v>47409.96</v>
      </c>
      <c r="M811" s="31">
        <v>-7672.9</v>
      </c>
      <c r="N811" s="31">
        <v>0</v>
      </c>
      <c r="O811" s="31">
        <v>159880.62</v>
      </c>
      <c r="P811" s="30"/>
      <c r="Q811" s="30"/>
      <c r="R811" s="31">
        <v>4709430.67</v>
      </c>
      <c r="S811" s="142">
        <f t="shared" si="97"/>
        <v>2489024.94</v>
      </c>
      <c r="T811" s="142">
        <f t="shared" si="98"/>
        <v>1976988.0499999998</v>
      </c>
      <c r="U811" s="142">
        <f t="shared" si="99"/>
        <v>159880.62</v>
      </c>
      <c r="W811" s="601">
        <f t="shared" si="100"/>
        <v>4709430.67</v>
      </c>
      <c r="X811" s="601">
        <f t="shared" si="101"/>
        <v>0</v>
      </c>
      <c r="Y811" s="123"/>
      <c r="Z811" s="692">
        <f t="shared" si="102"/>
        <v>4509812.99</v>
      </c>
      <c r="AA811" s="124"/>
      <c r="AB811" s="124"/>
      <c r="AC811" s="124"/>
      <c r="AD811" s="124"/>
      <c r="AE811" s="124"/>
      <c r="AF811" s="124"/>
      <c r="AG811" s="124"/>
      <c r="AH811" s="124"/>
      <c r="AI811" s="124"/>
      <c r="AJ811" s="124"/>
      <c r="AK811" s="124"/>
      <c r="AL811" s="124"/>
      <c r="AM811" s="124"/>
      <c r="AN811" s="124"/>
      <c r="AO811" s="124"/>
      <c r="AP811" s="124"/>
      <c r="AQ811" s="124"/>
    </row>
    <row r="812" spans="1:43" customFormat="1" ht="12.75" hidden="1" thickBot="1">
      <c r="A812" s="25" t="s">
        <v>1222</v>
      </c>
      <c r="B812" s="25" t="s">
        <v>418</v>
      </c>
      <c r="C812" s="25" t="s">
        <v>447</v>
      </c>
      <c r="D812" s="69" t="s">
        <v>448</v>
      </c>
      <c r="E812" s="26">
        <v>34571100</v>
      </c>
      <c r="F812" s="28">
        <v>10500</v>
      </c>
      <c r="G812" s="28">
        <v>375096.43</v>
      </c>
      <c r="H812" s="28">
        <v>942062.48</v>
      </c>
      <c r="I812" s="27"/>
      <c r="J812" s="28">
        <v>31280.799999999999</v>
      </c>
      <c r="K812" s="28">
        <v>1003442.26</v>
      </c>
      <c r="L812" s="28">
        <v>26274.04</v>
      </c>
      <c r="M812" s="28">
        <v>9908.9599999999991</v>
      </c>
      <c r="N812" s="28">
        <v>0</v>
      </c>
      <c r="O812" s="28">
        <v>79109.679999999993</v>
      </c>
      <c r="P812" s="27"/>
      <c r="Q812" s="27"/>
      <c r="R812" s="28">
        <v>2477674.65</v>
      </c>
      <c r="S812" s="142">
        <f t="shared" si="97"/>
        <v>1317158.9099999999</v>
      </c>
      <c r="T812" s="142">
        <f t="shared" si="98"/>
        <v>1034723.06</v>
      </c>
      <c r="U812" s="142">
        <f t="shared" si="99"/>
        <v>79109.679999999993</v>
      </c>
      <c r="W812" s="601">
        <f t="shared" si="100"/>
        <v>2477674.65</v>
      </c>
      <c r="X812" s="601">
        <f t="shared" si="101"/>
        <v>0</v>
      </c>
      <c r="Y812" s="123"/>
      <c r="Z812" s="692">
        <f t="shared" si="102"/>
        <v>2362381.9699999997</v>
      </c>
      <c r="AA812" s="124"/>
      <c r="AB812" s="124"/>
      <c r="AC812" s="124"/>
      <c r="AD812" s="124"/>
      <c r="AE812" s="124"/>
      <c r="AF812" s="124"/>
      <c r="AG812" s="124"/>
      <c r="AH812" s="124"/>
      <c r="AI812" s="124"/>
      <c r="AJ812" s="124"/>
      <c r="AK812" s="124"/>
      <c r="AL812" s="124"/>
      <c r="AM812" s="124"/>
      <c r="AN812" s="124"/>
      <c r="AO812" s="124"/>
      <c r="AP812" s="124"/>
      <c r="AQ812" s="124"/>
    </row>
    <row r="813" spans="1:43" customFormat="1" ht="12.75" hidden="1" thickBot="1">
      <c r="A813" s="25" t="s">
        <v>1222</v>
      </c>
      <c r="B813" s="25" t="s">
        <v>420</v>
      </c>
      <c r="C813" s="25" t="s">
        <v>59</v>
      </c>
      <c r="D813" s="69" t="s">
        <v>14</v>
      </c>
      <c r="E813" s="29">
        <v>86382879</v>
      </c>
      <c r="F813" s="31">
        <v>549209.67000000004</v>
      </c>
      <c r="G813" s="31">
        <v>5392033.6699999999</v>
      </c>
      <c r="H813" s="31">
        <v>2353980.0499999998</v>
      </c>
      <c r="I813" s="31">
        <v>144269.18</v>
      </c>
      <c r="J813" s="30"/>
      <c r="K813" s="30"/>
      <c r="L813" s="31">
        <v>258471.24</v>
      </c>
      <c r="M813" s="31">
        <v>-13824.43</v>
      </c>
      <c r="N813" s="31">
        <v>0</v>
      </c>
      <c r="O813" s="31">
        <v>355826.43</v>
      </c>
      <c r="P813" s="30"/>
      <c r="Q813" s="30"/>
      <c r="R813" s="31">
        <v>9039965.8100000005</v>
      </c>
      <c r="S813" s="142">
        <f t="shared" ref="S813:S874" si="103">G813+H813+I813</f>
        <v>7890282.8999999994</v>
      </c>
      <c r="T813" s="142">
        <f t="shared" ref="T813:T874" si="104">J813+K813</f>
        <v>0</v>
      </c>
      <c r="U813" s="142">
        <f t="shared" ref="U813:U874" si="105">N813+O813</f>
        <v>355826.43</v>
      </c>
      <c r="W813" s="601">
        <f t="shared" si="100"/>
        <v>9039965.8100000005</v>
      </c>
      <c r="X813" s="601">
        <f t="shared" si="101"/>
        <v>0</v>
      </c>
      <c r="Y813" s="123"/>
      <c r="Z813" s="692">
        <f t="shared" si="102"/>
        <v>8439492.5700000003</v>
      </c>
      <c r="AA813" s="124"/>
      <c r="AB813" s="124"/>
      <c r="AC813" s="124"/>
      <c r="AD813" s="124"/>
      <c r="AE813" s="124"/>
      <c r="AF813" s="124"/>
      <c r="AG813" s="124"/>
      <c r="AH813" s="124"/>
      <c r="AI813" s="124"/>
      <c r="AJ813" s="124"/>
      <c r="AK813" s="124"/>
      <c r="AL813" s="124"/>
      <c r="AM813" s="124"/>
      <c r="AN813" s="124"/>
      <c r="AO813" s="124"/>
      <c r="AP813" s="124"/>
      <c r="AQ813" s="124"/>
    </row>
    <row r="814" spans="1:43" customFormat="1" ht="12.75" hidden="1" thickBot="1">
      <c r="A814" s="25" t="s">
        <v>1222</v>
      </c>
      <c r="B814" s="25" t="s">
        <v>421</v>
      </c>
      <c r="C814" s="25" t="s">
        <v>1216</v>
      </c>
      <c r="D814" s="69" t="s">
        <v>14</v>
      </c>
      <c r="E814" s="26">
        <v>1664064</v>
      </c>
      <c r="F814" s="27"/>
      <c r="G814" s="28">
        <v>103870.77</v>
      </c>
      <c r="H814" s="28">
        <v>45345.74</v>
      </c>
      <c r="I814" s="28">
        <v>2779.14</v>
      </c>
      <c r="J814" s="27"/>
      <c r="K814" s="27"/>
      <c r="L814" s="28">
        <v>5042.09</v>
      </c>
      <c r="M814" s="28">
        <v>-262.56</v>
      </c>
      <c r="N814" s="28">
        <v>0</v>
      </c>
      <c r="O814" s="28">
        <v>6264.27</v>
      </c>
      <c r="P814" s="27"/>
      <c r="Q814" s="27"/>
      <c r="R814" s="28">
        <v>163039.45000000001</v>
      </c>
      <c r="S814" s="142">
        <f t="shared" si="103"/>
        <v>151995.65000000002</v>
      </c>
      <c r="T814" s="142">
        <f t="shared" si="104"/>
        <v>0</v>
      </c>
      <c r="U814" s="142">
        <f t="shared" si="105"/>
        <v>6264.27</v>
      </c>
      <c r="W814" s="601">
        <f t="shared" si="100"/>
        <v>163039.45000000001</v>
      </c>
      <c r="X814" s="601">
        <f t="shared" si="101"/>
        <v>0</v>
      </c>
      <c r="Y814" s="123"/>
      <c r="Z814" s="692">
        <f t="shared" si="102"/>
        <v>151995.65000000002</v>
      </c>
      <c r="AA814" s="124"/>
      <c r="AB814" s="124"/>
      <c r="AC814" s="124"/>
      <c r="AD814" s="124"/>
      <c r="AE814" s="124"/>
      <c r="AF814" s="124"/>
      <c r="AG814" s="124"/>
      <c r="AH814" s="124"/>
      <c r="AI814" s="124"/>
      <c r="AJ814" s="124"/>
      <c r="AK814" s="124"/>
      <c r="AL814" s="124"/>
      <c r="AM814" s="124"/>
      <c r="AN814" s="124"/>
      <c r="AO814" s="124"/>
      <c r="AP814" s="124"/>
      <c r="AQ814" s="124"/>
    </row>
    <row r="815" spans="1:43" customFormat="1" ht="12.75" hidden="1" thickBot="1">
      <c r="A815" s="25" t="s">
        <v>1222</v>
      </c>
      <c r="B815" s="25" t="s">
        <v>423</v>
      </c>
      <c r="C815" s="25" t="s">
        <v>452</v>
      </c>
      <c r="D815" s="69" t="s">
        <v>14</v>
      </c>
      <c r="E815" s="29">
        <v>164921</v>
      </c>
      <c r="F815" s="31">
        <v>280</v>
      </c>
      <c r="G815" s="31">
        <v>10294.36</v>
      </c>
      <c r="H815" s="31">
        <v>4494.1099999999997</v>
      </c>
      <c r="I815" s="31">
        <v>275.41000000000003</v>
      </c>
      <c r="J815" s="30"/>
      <c r="K815" s="30"/>
      <c r="L815" s="31">
        <v>499.7</v>
      </c>
      <c r="M815" s="31">
        <v>-31.33</v>
      </c>
      <c r="N815" s="31">
        <v>0</v>
      </c>
      <c r="O815" s="31">
        <v>637.84</v>
      </c>
      <c r="P815" s="30"/>
      <c r="Q815" s="30"/>
      <c r="R815" s="31">
        <v>16450.09</v>
      </c>
      <c r="S815" s="142">
        <f t="shared" si="103"/>
        <v>15063.880000000001</v>
      </c>
      <c r="T815" s="142">
        <f t="shared" si="104"/>
        <v>0</v>
      </c>
      <c r="U815" s="142">
        <f t="shared" si="105"/>
        <v>637.84</v>
      </c>
      <c r="W815" s="601">
        <f t="shared" si="100"/>
        <v>16450.09</v>
      </c>
      <c r="X815" s="601">
        <f t="shared" si="101"/>
        <v>0</v>
      </c>
      <c r="Y815" s="123"/>
      <c r="Z815" s="692">
        <f t="shared" si="102"/>
        <v>15343.880000000001</v>
      </c>
      <c r="AA815" s="124"/>
      <c r="AB815" s="124"/>
      <c r="AC815" s="124"/>
      <c r="AD815" s="124"/>
      <c r="AE815" s="124"/>
      <c r="AF815" s="124"/>
      <c r="AG815" s="124"/>
      <c r="AH815" s="124"/>
      <c r="AI815" s="124"/>
      <c r="AJ815" s="124"/>
      <c r="AK815" s="124"/>
      <c r="AL815" s="124"/>
      <c r="AM815" s="124"/>
      <c r="AN815" s="124"/>
      <c r="AO815" s="124"/>
      <c r="AP815" s="124"/>
      <c r="AQ815" s="124"/>
    </row>
    <row r="816" spans="1:43" customFormat="1" ht="12.75" hidden="1" thickBot="1">
      <c r="A816" s="25" t="s">
        <v>1222</v>
      </c>
      <c r="B816" s="25" t="s">
        <v>424</v>
      </c>
      <c r="C816" s="25" t="s">
        <v>463</v>
      </c>
      <c r="D816" s="25" t="s">
        <v>464</v>
      </c>
      <c r="E816" s="26">
        <v>4840800</v>
      </c>
      <c r="F816" s="27"/>
      <c r="G816" s="28">
        <v>47294.61</v>
      </c>
      <c r="H816" s="28">
        <v>131911.79999999999</v>
      </c>
      <c r="I816" s="27"/>
      <c r="J816" s="28">
        <v>3557.32</v>
      </c>
      <c r="K816" s="28">
        <v>95951.72</v>
      </c>
      <c r="L816" s="27"/>
      <c r="M816" s="28">
        <v>-919.75</v>
      </c>
      <c r="N816" s="28">
        <v>0</v>
      </c>
      <c r="O816" s="28">
        <v>8250.36</v>
      </c>
      <c r="P816" s="27"/>
      <c r="Q816" s="27"/>
      <c r="R816" s="28">
        <v>286046.06</v>
      </c>
      <c r="S816" s="142">
        <f t="shared" si="103"/>
        <v>179206.40999999997</v>
      </c>
      <c r="T816" s="142">
        <f t="shared" si="104"/>
        <v>99509.040000000008</v>
      </c>
      <c r="U816" s="142">
        <f t="shared" si="105"/>
        <v>8250.36</v>
      </c>
      <c r="W816" s="601">
        <f t="shared" si="100"/>
        <v>286046.05999999994</v>
      </c>
      <c r="X816" s="601">
        <f t="shared" si="101"/>
        <v>0</v>
      </c>
      <c r="Y816" s="123"/>
      <c r="Z816" s="692">
        <f t="shared" si="102"/>
        <v>278715.44999999995</v>
      </c>
      <c r="AA816" s="124"/>
      <c r="AB816" s="124"/>
      <c r="AC816" s="124"/>
      <c r="AD816" s="124"/>
      <c r="AE816" s="124"/>
      <c r="AF816" s="124"/>
      <c r="AG816" s="124"/>
      <c r="AH816" s="124"/>
      <c r="AI816" s="124"/>
      <c r="AJ816" s="124"/>
      <c r="AK816" s="124"/>
      <c r="AL816" s="124"/>
      <c r="AM816" s="124"/>
      <c r="AN816" s="124"/>
      <c r="AO816" s="124"/>
      <c r="AP816" s="124"/>
      <c r="AQ816" s="124"/>
    </row>
    <row r="817" spans="1:43" customFormat="1" ht="12.75" hidden="1" thickBot="1">
      <c r="A817" s="25" t="s">
        <v>1222</v>
      </c>
      <c r="B817" s="25" t="s">
        <v>1204</v>
      </c>
      <c r="C817" s="25" t="s">
        <v>1206</v>
      </c>
      <c r="D817" s="69" t="s">
        <v>63</v>
      </c>
      <c r="E817" s="30"/>
      <c r="F817" s="30"/>
      <c r="G817" s="30"/>
      <c r="H817" s="30"/>
      <c r="I817" s="30"/>
      <c r="J817" s="30"/>
      <c r="K817" s="30"/>
      <c r="L817" s="30"/>
      <c r="M817" s="30"/>
      <c r="N817" s="30"/>
      <c r="O817" s="30"/>
      <c r="P817" s="31">
        <v>-374643.79</v>
      </c>
      <c r="Q817" s="30"/>
      <c r="R817" s="31">
        <v>-374643.79</v>
      </c>
      <c r="S817" s="142">
        <f t="shared" si="103"/>
        <v>0</v>
      </c>
      <c r="T817" s="142">
        <f t="shared" si="104"/>
        <v>0</v>
      </c>
      <c r="U817" s="142">
        <f t="shared" si="105"/>
        <v>0</v>
      </c>
      <c r="W817" s="601">
        <f t="shared" si="100"/>
        <v>-374643.79</v>
      </c>
      <c r="X817" s="601">
        <f t="shared" si="101"/>
        <v>0</v>
      </c>
      <c r="Y817" s="123"/>
      <c r="Z817" s="692">
        <f t="shared" si="102"/>
        <v>0</v>
      </c>
      <c r="AA817" s="124"/>
      <c r="AB817" s="124"/>
      <c r="AC817" s="124"/>
      <c r="AD817" s="124"/>
      <c r="AE817" s="124"/>
      <c r="AF817" s="124"/>
      <c r="AG817" s="124"/>
      <c r="AH817" s="124"/>
      <c r="AI817" s="124"/>
      <c r="AJ817" s="124"/>
      <c r="AK817" s="124"/>
      <c r="AL817" s="124"/>
      <c r="AM817" s="124"/>
      <c r="AN817" s="124"/>
      <c r="AO817" s="124"/>
      <c r="AP817" s="124"/>
      <c r="AQ817" s="124"/>
    </row>
    <row r="818" spans="1:43" customFormat="1" ht="12.75" hidden="1" thickBot="1">
      <c r="A818" s="25" t="s">
        <v>1222</v>
      </c>
      <c r="B818" s="25" t="s">
        <v>854</v>
      </c>
      <c r="C818" s="25" t="s">
        <v>855</v>
      </c>
      <c r="D818" s="69" t="s">
        <v>1125</v>
      </c>
      <c r="E818" s="27"/>
      <c r="F818" s="27"/>
      <c r="G818" s="27"/>
      <c r="H818" s="27"/>
      <c r="I818" s="27"/>
      <c r="J818" s="27"/>
      <c r="K818" s="27"/>
      <c r="L818" s="27"/>
      <c r="M818" s="27"/>
      <c r="N818" s="27"/>
      <c r="O818" s="27"/>
      <c r="P818" s="27"/>
      <c r="Q818" s="27"/>
      <c r="R818" s="27"/>
      <c r="S818" s="142">
        <f t="shared" si="103"/>
        <v>0</v>
      </c>
      <c r="T818" s="142">
        <f t="shared" si="104"/>
        <v>0</v>
      </c>
      <c r="U818" s="142">
        <f t="shared" si="105"/>
        <v>0</v>
      </c>
      <c r="W818" s="601">
        <f t="shared" si="100"/>
        <v>0</v>
      </c>
      <c r="X818" s="601">
        <f t="shared" si="101"/>
        <v>0</v>
      </c>
      <c r="Y818" s="123"/>
      <c r="Z818" s="692">
        <f t="shared" si="102"/>
        <v>0</v>
      </c>
      <c r="AA818" s="124"/>
      <c r="AB818" s="124"/>
      <c r="AC818" s="124"/>
      <c r="AD818" s="124"/>
      <c r="AE818" s="124"/>
      <c r="AF818" s="124"/>
      <c r="AG818" s="124"/>
      <c r="AH818" s="124"/>
      <c r="AI818" s="124"/>
      <c r="AJ818" s="124"/>
      <c r="AK818" s="124"/>
      <c r="AL818" s="124"/>
      <c r="AM818" s="124"/>
      <c r="AN818" s="124"/>
      <c r="AO818" s="124"/>
      <c r="AP818" s="124"/>
      <c r="AQ818" s="124"/>
    </row>
    <row r="819" spans="1:43" customFormat="1" ht="12.75" hidden="1" thickBot="1">
      <c r="A819" s="25" t="s">
        <v>1222</v>
      </c>
      <c r="B819" s="25" t="s">
        <v>426</v>
      </c>
      <c r="C819" s="25" t="s">
        <v>450</v>
      </c>
      <c r="D819" s="69" t="s">
        <v>451</v>
      </c>
      <c r="E819" s="29">
        <v>18504000</v>
      </c>
      <c r="F819" s="30"/>
      <c r="G819" s="31">
        <v>187815.6</v>
      </c>
      <c r="H819" s="31">
        <v>504234</v>
      </c>
      <c r="I819" s="30"/>
      <c r="J819" s="31">
        <v>14035.32</v>
      </c>
      <c r="K819" s="31">
        <v>494748.63</v>
      </c>
      <c r="L819" s="30"/>
      <c r="M819" s="31">
        <v>25535.52</v>
      </c>
      <c r="N819" s="31">
        <v>0</v>
      </c>
      <c r="O819" s="31">
        <v>35247.94</v>
      </c>
      <c r="P819" s="30"/>
      <c r="Q819" s="30"/>
      <c r="R819" s="31">
        <v>1261617.01</v>
      </c>
      <c r="S819" s="142">
        <f t="shared" si="103"/>
        <v>692049.6</v>
      </c>
      <c r="T819" s="142">
        <f t="shared" si="104"/>
        <v>508783.95</v>
      </c>
      <c r="U819" s="142">
        <f t="shared" si="105"/>
        <v>35247.94</v>
      </c>
      <c r="W819" s="601">
        <f t="shared" si="100"/>
        <v>1261617.0099999998</v>
      </c>
      <c r="X819" s="601">
        <f t="shared" si="101"/>
        <v>0</v>
      </c>
      <c r="Y819" s="123"/>
      <c r="Z819" s="692">
        <f t="shared" si="102"/>
        <v>1200833.5499999998</v>
      </c>
      <c r="AA819" s="124"/>
      <c r="AB819" s="124"/>
      <c r="AC819" s="124"/>
      <c r="AD819" s="124"/>
      <c r="AE819" s="124"/>
      <c r="AF819" s="124"/>
      <c r="AG819" s="124"/>
      <c r="AH819" s="124"/>
      <c r="AI819" s="124"/>
      <c r="AJ819" s="124"/>
      <c r="AK819" s="124"/>
      <c r="AL819" s="124"/>
      <c r="AM819" s="124"/>
      <c r="AN819" s="124"/>
      <c r="AO819" s="124"/>
      <c r="AP819" s="124"/>
      <c r="AQ819" s="124"/>
    </row>
    <row r="820" spans="1:43" customFormat="1" ht="12.75" hidden="1" thickBot="1">
      <c r="A820" s="25" t="s">
        <v>1222</v>
      </c>
      <c r="B820" s="25" t="s">
        <v>427</v>
      </c>
      <c r="C820" s="25" t="s">
        <v>54</v>
      </c>
      <c r="D820" s="25" t="s">
        <v>15</v>
      </c>
      <c r="E820" s="26">
        <v>73369631</v>
      </c>
      <c r="F820" s="28">
        <v>9000</v>
      </c>
      <c r="G820" s="28">
        <v>649321.24</v>
      </c>
      <c r="H820" s="28">
        <v>1999322.44</v>
      </c>
      <c r="I820" s="27"/>
      <c r="J820" s="28">
        <v>44219.96</v>
      </c>
      <c r="K820" s="28">
        <v>1301205.3799999999</v>
      </c>
      <c r="L820" s="28">
        <v>0</v>
      </c>
      <c r="M820" s="28">
        <v>80332.98</v>
      </c>
      <c r="N820" s="28">
        <v>0</v>
      </c>
      <c r="O820" s="28">
        <v>103865.82</v>
      </c>
      <c r="P820" s="27"/>
      <c r="Q820" s="27"/>
      <c r="R820" s="28">
        <v>4187267.82</v>
      </c>
      <c r="S820" s="142">
        <f t="shared" si="103"/>
        <v>2648643.6799999997</v>
      </c>
      <c r="T820" s="142">
        <f t="shared" si="104"/>
        <v>1345425.3399999999</v>
      </c>
      <c r="U820" s="142">
        <f t="shared" si="105"/>
        <v>103865.82</v>
      </c>
      <c r="W820" s="601">
        <f t="shared" si="100"/>
        <v>4187267.8199999994</v>
      </c>
      <c r="X820" s="601">
        <f t="shared" si="101"/>
        <v>0</v>
      </c>
      <c r="Y820" s="123"/>
      <c r="Z820" s="692">
        <f t="shared" si="102"/>
        <v>4003069.0199999996</v>
      </c>
      <c r="AA820" s="124"/>
      <c r="AB820" s="124"/>
      <c r="AC820" s="124"/>
      <c r="AD820" s="124"/>
      <c r="AE820" s="124"/>
      <c r="AF820" s="124"/>
      <c r="AG820" s="124"/>
      <c r="AH820" s="124"/>
      <c r="AI820" s="124"/>
      <c r="AJ820" s="124"/>
      <c r="AK820" s="124"/>
      <c r="AL820" s="124"/>
      <c r="AM820" s="124"/>
      <c r="AN820" s="124"/>
      <c r="AO820" s="124"/>
      <c r="AP820" s="124"/>
      <c r="AQ820" s="124"/>
    </row>
    <row r="821" spans="1:43" customFormat="1" ht="12.75" hidden="1" thickBot="1">
      <c r="A821" s="25" t="s">
        <v>1222</v>
      </c>
      <c r="B821" s="25" t="s">
        <v>428</v>
      </c>
      <c r="C821" s="25" t="s">
        <v>458</v>
      </c>
      <c r="D821" s="69" t="s">
        <v>20</v>
      </c>
      <c r="E821" s="29">
        <v>25351052</v>
      </c>
      <c r="F821" s="31">
        <v>21690</v>
      </c>
      <c r="G821" s="31">
        <v>338436.47</v>
      </c>
      <c r="H821" s="31">
        <v>690816.2</v>
      </c>
      <c r="I821" s="30"/>
      <c r="J821" s="31">
        <v>34745.480000000003</v>
      </c>
      <c r="K821" s="31">
        <v>1152392.3</v>
      </c>
      <c r="L821" s="31">
        <v>0</v>
      </c>
      <c r="M821" s="31">
        <v>-4615.57</v>
      </c>
      <c r="N821" s="31">
        <v>0</v>
      </c>
      <c r="O821" s="31">
        <v>86864.77</v>
      </c>
      <c r="P821" s="30"/>
      <c r="Q821" s="30"/>
      <c r="R821" s="31">
        <v>2320329.65</v>
      </c>
      <c r="S821" s="142">
        <f t="shared" si="103"/>
        <v>1029252.6699999999</v>
      </c>
      <c r="T821" s="142">
        <f t="shared" si="104"/>
        <v>1187137.78</v>
      </c>
      <c r="U821" s="142">
        <f t="shared" si="105"/>
        <v>86864.77</v>
      </c>
      <c r="W821" s="601">
        <f t="shared" si="100"/>
        <v>2320329.6500000004</v>
      </c>
      <c r="X821" s="601">
        <f t="shared" si="101"/>
        <v>0</v>
      </c>
      <c r="Y821" s="123"/>
      <c r="Z821" s="692">
        <f t="shared" si="102"/>
        <v>2238080.4500000002</v>
      </c>
      <c r="AA821" s="124"/>
      <c r="AB821" s="124"/>
      <c r="AC821" s="124"/>
      <c r="AD821" s="124"/>
      <c r="AE821" s="124"/>
      <c r="AF821" s="124"/>
      <c r="AG821" s="124"/>
      <c r="AH821" s="124"/>
      <c r="AI821" s="124"/>
      <c r="AJ821" s="124"/>
      <c r="AK821" s="124"/>
      <c r="AL821" s="124"/>
      <c r="AM821" s="124"/>
      <c r="AN821" s="124"/>
      <c r="AO821" s="124"/>
      <c r="AP821" s="124"/>
      <c r="AQ821" s="124"/>
    </row>
    <row r="822" spans="1:43" customFormat="1" ht="12.75" hidden="1" thickBot="1">
      <c r="A822" s="25" t="s">
        <v>1222</v>
      </c>
      <c r="B822" s="25" t="s">
        <v>429</v>
      </c>
      <c r="C822" s="25" t="s">
        <v>457</v>
      </c>
      <c r="D822" s="153" t="s">
        <v>21</v>
      </c>
      <c r="E822" s="26">
        <v>1186140</v>
      </c>
      <c r="F822" s="28">
        <v>3740</v>
      </c>
      <c r="G822" s="28">
        <v>14245.53</v>
      </c>
      <c r="H822" s="28">
        <v>32322.32</v>
      </c>
      <c r="I822" s="27"/>
      <c r="J822" s="28">
        <v>2594.3000000000002</v>
      </c>
      <c r="K822" s="28">
        <v>72802.03</v>
      </c>
      <c r="L822" s="28">
        <v>0</v>
      </c>
      <c r="M822" s="28">
        <v>44.02</v>
      </c>
      <c r="N822" s="28">
        <v>0</v>
      </c>
      <c r="O822" s="28">
        <v>5207.84</v>
      </c>
      <c r="P822" s="27"/>
      <c r="Q822" s="27"/>
      <c r="R822" s="28">
        <v>130956.04</v>
      </c>
      <c r="S822" s="142">
        <f t="shared" si="103"/>
        <v>46567.85</v>
      </c>
      <c r="T822" s="142">
        <f t="shared" si="104"/>
        <v>75396.33</v>
      </c>
      <c r="U822" s="142">
        <f t="shared" si="105"/>
        <v>5207.84</v>
      </c>
      <c r="W822" s="601">
        <f t="shared" si="100"/>
        <v>130956.04</v>
      </c>
      <c r="X822" s="601">
        <f t="shared" si="101"/>
        <v>0</v>
      </c>
      <c r="Y822" s="123"/>
      <c r="Z822" s="692">
        <f t="shared" si="102"/>
        <v>125704.18</v>
      </c>
      <c r="AA822" s="124"/>
      <c r="AB822" s="124"/>
      <c r="AC822" s="124"/>
      <c r="AD822" s="124"/>
      <c r="AE822" s="124"/>
      <c r="AF822" s="124"/>
      <c r="AG822" s="124"/>
      <c r="AH822" s="124"/>
      <c r="AI822" s="124"/>
      <c r="AJ822" s="124"/>
      <c r="AK822" s="124"/>
      <c r="AL822" s="124"/>
      <c r="AM822" s="124"/>
      <c r="AN822" s="124"/>
      <c r="AO822" s="124"/>
      <c r="AP822" s="124"/>
      <c r="AQ822" s="124"/>
    </row>
    <row r="823" spans="1:43" customFormat="1" ht="12.75" hidden="1" thickBot="1">
      <c r="A823" s="25" t="s">
        <v>1222</v>
      </c>
      <c r="B823" s="25" t="s">
        <v>430</v>
      </c>
      <c r="C823" s="25" t="s">
        <v>933</v>
      </c>
      <c r="D823" s="69" t="s">
        <v>920</v>
      </c>
      <c r="E823" s="29">
        <v>19862760</v>
      </c>
      <c r="F823" s="31">
        <v>15400</v>
      </c>
      <c r="G823" s="31">
        <v>251263.87</v>
      </c>
      <c r="H823" s="31">
        <v>541260.25</v>
      </c>
      <c r="I823" s="30"/>
      <c r="J823" s="31">
        <v>24173.67</v>
      </c>
      <c r="K823" s="31">
        <v>708508.56</v>
      </c>
      <c r="L823" s="31">
        <v>0</v>
      </c>
      <c r="M823" s="31">
        <v>-3773.94</v>
      </c>
      <c r="N823" s="31">
        <v>0</v>
      </c>
      <c r="O823" s="31">
        <v>56163.23</v>
      </c>
      <c r="P823" s="30"/>
      <c r="Q823" s="30"/>
      <c r="R823" s="31">
        <v>1592995.64</v>
      </c>
      <c r="S823" s="142">
        <f t="shared" si="103"/>
        <v>792524.12</v>
      </c>
      <c r="T823" s="142">
        <f t="shared" si="104"/>
        <v>732682.2300000001</v>
      </c>
      <c r="U823" s="142">
        <f t="shared" si="105"/>
        <v>56163.23</v>
      </c>
      <c r="W823" s="601">
        <f t="shared" si="100"/>
        <v>1592995.6400000001</v>
      </c>
      <c r="X823" s="601">
        <f t="shared" si="101"/>
        <v>0</v>
      </c>
      <c r="Y823" s="123"/>
      <c r="Z823" s="692">
        <f t="shared" si="102"/>
        <v>1540606.35</v>
      </c>
      <c r="AA823" s="124"/>
      <c r="AB823" s="124"/>
      <c r="AC823" s="124"/>
      <c r="AD823" s="124"/>
      <c r="AE823" s="124"/>
      <c r="AF823" s="124"/>
      <c r="AG823" s="124"/>
      <c r="AH823" s="124"/>
      <c r="AI823" s="124"/>
      <c r="AJ823" s="124"/>
      <c r="AK823" s="124"/>
      <c r="AL823" s="124"/>
      <c r="AM823" s="124"/>
      <c r="AN823" s="124"/>
      <c r="AO823" s="124"/>
      <c r="AP823" s="124"/>
      <c r="AQ823" s="124"/>
    </row>
    <row r="824" spans="1:43" customFormat="1" ht="12.75" hidden="1" thickBot="1">
      <c r="A824" s="25" t="s">
        <v>1222</v>
      </c>
      <c r="B824" s="25" t="s">
        <v>431</v>
      </c>
      <c r="C824" s="25" t="s">
        <v>459</v>
      </c>
      <c r="D824" s="69" t="s">
        <v>460</v>
      </c>
      <c r="E824" s="26">
        <v>131173200</v>
      </c>
      <c r="F824" s="28">
        <v>19500</v>
      </c>
      <c r="G824" s="28">
        <v>1066438.1200000001</v>
      </c>
      <c r="H824" s="28">
        <v>3574469.7</v>
      </c>
      <c r="I824" s="27"/>
      <c r="J824" s="28">
        <v>128017.06</v>
      </c>
      <c r="K824" s="28">
        <v>3537303.7</v>
      </c>
      <c r="L824" s="28">
        <v>0</v>
      </c>
      <c r="M824" s="28">
        <v>53027</v>
      </c>
      <c r="N824" s="28">
        <v>0</v>
      </c>
      <c r="O824" s="28">
        <v>258256.97</v>
      </c>
      <c r="P824" s="27"/>
      <c r="Q824" s="27"/>
      <c r="R824" s="28">
        <v>8637012.5500000007</v>
      </c>
      <c r="S824" s="142">
        <f t="shared" si="103"/>
        <v>4640907.82</v>
      </c>
      <c r="T824" s="142">
        <f t="shared" si="104"/>
        <v>3665320.7600000002</v>
      </c>
      <c r="U824" s="142">
        <f t="shared" si="105"/>
        <v>258256.97</v>
      </c>
      <c r="W824" s="601">
        <f t="shared" si="100"/>
        <v>8637012.5500000007</v>
      </c>
      <c r="X824" s="601">
        <f t="shared" si="101"/>
        <v>0</v>
      </c>
      <c r="Y824" s="123"/>
      <c r="Z824" s="692">
        <f t="shared" si="102"/>
        <v>8325728.5800000001</v>
      </c>
      <c r="AA824" s="124"/>
      <c r="AB824" s="124"/>
      <c r="AC824" s="124"/>
      <c r="AD824" s="124"/>
      <c r="AE824" s="124"/>
      <c r="AF824" s="124"/>
      <c r="AG824" s="124"/>
      <c r="AH824" s="124"/>
      <c r="AI824" s="124"/>
      <c r="AJ824" s="124"/>
      <c r="AK824" s="124"/>
      <c r="AL824" s="124"/>
      <c r="AM824" s="124"/>
      <c r="AN824" s="124"/>
      <c r="AO824" s="124"/>
      <c r="AP824" s="124"/>
      <c r="AQ824" s="124"/>
    </row>
    <row r="825" spans="1:43" customFormat="1" ht="12.75" hidden="1" thickBot="1">
      <c r="A825" s="25" t="s">
        <v>1222</v>
      </c>
      <c r="B825" s="25" t="s">
        <v>433</v>
      </c>
      <c r="C825" s="25" t="s">
        <v>462</v>
      </c>
      <c r="D825" s="69" t="s">
        <v>17</v>
      </c>
      <c r="E825" s="29">
        <v>196</v>
      </c>
      <c r="F825" s="30"/>
      <c r="G825" s="31">
        <v>7.1</v>
      </c>
      <c r="H825" s="31">
        <v>5.34</v>
      </c>
      <c r="I825" s="31">
        <v>0.22</v>
      </c>
      <c r="J825" s="30"/>
      <c r="K825" s="30"/>
      <c r="L825" s="30"/>
      <c r="M825" s="31">
        <v>-0.04</v>
      </c>
      <c r="N825" s="31">
        <v>0.44</v>
      </c>
      <c r="O825" s="30"/>
      <c r="P825" s="30"/>
      <c r="Q825" s="30"/>
      <c r="R825" s="31">
        <v>13.06</v>
      </c>
      <c r="S825" s="142">
        <f t="shared" si="103"/>
        <v>12.66</v>
      </c>
      <c r="T825" s="142">
        <f t="shared" si="104"/>
        <v>0</v>
      </c>
      <c r="U825" s="142">
        <f t="shared" si="105"/>
        <v>0.44</v>
      </c>
      <c r="W825" s="601">
        <f t="shared" si="100"/>
        <v>13.06</v>
      </c>
      <c r="X825" s="601">
        <f t="shared" si="101"/>
        <v>0</v>
      </c>
      <c r="Y825" s="123"/>
      <c r="Z825" s="692">
        <f t="shared" si="102"/>
        <v>12.66</v>
      </c>
      <c r="AA825" s="124"/>
      <c r="AB825" s="124"/>
      <c r="AC825" s="124"/>
      <c r="AD825" s="124"/>
      <c r="AE825" s="124"/>
      <c r="AF825" s="124"/>
      <c r="AG825" s="124"/>
      <c r="AH825" s="124"/>
      <c r="AI825" s="124"/>
      <c r="AJ825" s="124"/>
      <c r="AK825" s="124"/>
      <c r="AL825" s="124"/>
      <c r="AM825" s="124"/>
      <c r="AN825" s="124"/>
      <c r="AO825" s="124"/>
      <c r="AP825" s="124"/>
      <c r="AQ825" s="124"/>
    </row>
    <row r="826" spans="1:43" customFormat="1" ht="12.75" hidden="1" thickBot="1">
      <c r="A826" s="25" t="s">
        <v>1222</v>
      </c>
      <c r="B826" s="25" t="s">
        <v>434</v>
      </c>
      <c r="C826" s="25" t="s">
        <v>462</v>
      </c>
      <c r="D826" s="69" t="s">
        <v>17</v>
      </c>
      <c r="E826" s="26">
        <v>148712</v>
      </c>
      <c r="F826" s="27"/>
      <c r="G826" s="28">
        <v>5392.25</v>
      </c>
      <c r="H826" s="28">
        <v>4052.45</v>
      </c>
      <c r="I826" s="28">
        <v>163.59</v>
      </c>
      <c r="J826" s="27"/>
      <c r="K826" s="27"/>
      <c r="L826" s="27"/>
      <c r="M826" s="28">
        <v>-7.92</v>
      </c>
      <c r="N826" s="28">
        <v>335</v>
      </c>
      <c r="O826" s="27"/>
      <c r="P826" s="27"/>
      <c r="Q826" s="27"/>
      <c r="R826" s="28">
        <v>9935.3700000000008</v>
      </c>
      <c r="S826" s="142">
        <f t="shared" si="103"/>
        <v>9608.2900000000009</v>
      </c>
      <c r="T826" s="142">
        <f t="shared" si="104"/>
        <v>0</v>
      </c>
      <c r="U826" s="142">
        <f t="shared" si="105"/>
        <v>335</v>
      </c>
      <c r="W826" s="601">
        <f t="shared" si="100"/>
        <v>9935.3700000000008</v>
      </c>
      <c r="X826" s="601">
        <f t="shared" si="101"/>
        <v>0</v>
      </c>
      <c r="Y826" s="123"/>
      <c r="Z826" s="692">
        <f t="shared" si="102"/>
        <v>9608.2900000000009</v>
      </c>
    </row>
    <row r="827" spans="1:43" customFormat="1" ht="12.75" hidden="1" thickBot="1">
      <c r="A827" s="25" t="s">
        <v>1222</v>
      </c>
      <c r="B827" s="25" t="s">
        <v>435</v>
      </c>
      <c r="C827" s="25" t="s">
        <v>462</v>
      </c>
      <c r="D827" s="69" t="s">
        <v>17</v>
      </c>
      <c r="E827" s="29">
        <v>74067</v>
      </c>
      <c r="F827" s="30"/>
      <c r="G827" s="31">
        <v>2685.72</v>
      </c>
      <c r="H827" s="31">
        <v>2018.32</v>
      </c>
      <c r="I827" s="31">
        <v>81.45</v>
      </c>
      <c r="J827" s="30"/>
      <c r="K827" s="30"/>
      <c r="L827" s="30"/>
      <c r="M827" s="31">
        <v>-12.68</v>
      </c>
      <c r="N827" s="31">
        <v>167.81</v>
      </c>
      <c r="O827" s="30"/>
      <c r="P827" s="30"/>
      <c r="Q827" s="30"/>
      <c r="R827" s="31">
        <v>4940.62</v>
      </c>
      <c r="S827" s="142">
        <f t="shared" si="103"/>
        <v>4785.49</v>
      </c>
      <c r="T827" s="142">
        <f t="shared" si="104"/>
        <v>0</v>
      </c>
      <c r="U827" s="142">
        <f t="shared" si="105"/>
        <v>167.81</v>
      </c>
      <c r="W827" s="601">
        <f t="shared" si="100"/>
        <v>4940.62</v>
      </c>
      <c r="X827" s="601">
        <f t="shared" si="101"/>
        <v>0</v>
      </c>
      <c r="Y827" s="123"/>
      <c r="Z827" s="692">
        <f t="shared" si="102"/>
        <v>4785.49</v>
      </c>
    </row>
    <row r="828" spans="1:43" customFormat="1" ht="12.75" hidden="1" thickBot="1">
      <c r="A828" s="25" t="s">
        <v>1222</v>
      </c>
      <c r="B828" s="25" t="s">
        <v>436</v>
      </c>
      <c r="C828" s="25" t="s">
        <v>55</v>
      </c>
      <c r="D828" s="69" t="s">
        <v>18</v>
      </c>
      <c r="E828" s="26">
        <v>174874</v>
      </c>
      <c r="F828" s="28">
        <v>2915.25</v>
      </c>
      <c r="G828" s="28">
        <v>8434.14</v>
      </c>
      <c r="H828" s="28">
        <v>4765.51</v>
      </c>
      <c r="I828" s="28">
        <v>192.25</v>
      </c>
      <c r="J828" s="27"/>
      <c r="K828" s="27"/>
      <c r="L828" s="27"/>
      <c r="M828" s="28">
        <v>-9.3000000000000007</v>
      </c>
      <c r="N828" s="28">
        <v>568.69000000000005</v>
      </c>
      <c r="O828" s="27"/>
      <c r="P828" s="27"/>
      <c r="Q828" s="27"/>
      <c r="R828" s="28">
        <v>16866.54</v>
      </c>
      <c r="S828" s="142">
        <f t="shared" si="103"/>
        <v>13391.9</v>
      </c>
      <c r="T828" s="142">
        <f t="shared" si="104"/>
        <v>0</v>
      </c>
      <c r="U828" s="142">
        <f t="shared" si="105"/>
        <v>568.69000000000005</v>
      </c>
      <c r="W828" s="601">
        <f t="shared" si="100"/>
        <v>16866.54</v>
      </c>
      <c r="X828" s="601">
        <f t="shared" si="101"/>
        <v>0</v>
      </c>
      <c r="Y828" s="123"/>
      <c r="Z828" s="692">
        <f t="shared" si="102"/>
        <v>16307.15</v>
      </c>
    </row>
    <row r="829" spans="1:43" customFormat="1" ht="12.75" hidden="1" thickBot="1">
      <c r="A829" s="25" t="s">
        <v>1222</v>
      </c>
      <c r="B829" s="25" t="s">
        <v>437</v>
      </c>
      <c r="C829" s="25" t="s">
        <v>55</v>
      </c>
      <c r="D829" s="69" t="s">
        <v>18</v>
      </c>
      <c r="E829" s="29">
        <v>68742</v>
      </c>
      <c r="F829" s="31">
        <v>435.5</v>
      </c>
      <c r="G829" s="31">
        <v>3315.44</v>
      </c>
      <c r="H829" s="31">
        <v>1873.21</v>
      </c>
      <c r="I829" s="31">
        <v>75.61</v>
      </c>
      <c r="J829" s="30"/>
      <c r="K829" s="30"/>
      <c r="L829" s="30"/>
      <c r="M829" s="31">
        <v>-13.07</v>
      </c>
      <c r="N829" s="31">
        <v>200.17</v>
      </c>
      <c r="O829" s="30"/>
      <c r="P829" s="30"/>
      <c r="Q829" s="30"/>
      <c r="R829" s="31">
        <v>5886.86</v>
      </c>
      <c r="S829" s="142">
        <f t="shared" si="103"/>
        <v>5264.2599999999993</v>
      </c>
      <c r="T829" s="142">
        <f t="shared" si="104"/>
        <v>0</v>
      </c>
      <c r="U829" s="142">
        <f t="shared" si="105"/>
        <v>200.17</v>
      </c>
      <c r="W829" s="601">
        <f t="shared" si="100"/>
        <v>5886.86</v>
      </c>
      <c r="X829" s="601">
        <f t="shared" si="101"/>
        <v>0</v>
      </c>
      <c r="Y829" s="123"/>
      <c r="Z829" s="692">
        <f t="shared" si="102"/>
        <v>5699.7599999999993</v>
      </c>
    </row>
    <row r="830" spans="1:43" customFormat="1" ht="12.75" hidden="1" thickBot="1">
      <c r="A830" s="25" t="s">
        <v>1222</v>
      </c>
      <c r="B830" s="25" t="s">
        <v>856</v>
      </c>
      <c r="C830" s="25" t="s">
        <v>857</v>
      </c>
      <c r="D830" s="69" t="s">
        <v>1125</v>
      </c>
      <c r="E830" s="27"/>
      <c r="F830" s="27"/>
      <c r="G830" s="27"/>
      <c r="H830" s="27"/>
      <c r="I830" s="27"/>
      <c r="J830" s="27"/>
      <c r="K830" s="27"/>
      <c r="L830" s="27"/>
      <c r="M830" s="27"/>
      <c r="N830" s="27"/>
      <c r="O830" s="27"/>
      <c r="P830" s="27"/>
      <c r="Q830" s="27"/>
      <c r="R830" s="27"/>
      <c r="S830" s="142">
        <f t="shared" si="103"/>
        <v>0</v>
      </c>
      <c r="T830" s="142">
        <f t="shared" si="104"/>
        <v>0</v>
      </c>
      <c r="U830" s="142">
        <f t="shared" si="105"/>
        <v>0</v>
      </c>
      <c r="W830" s="601">
        <f t="shared" si="100"/>
        <v>0</v>
      </c>
      <c r="X830" s="601">
        <f t="shared" si="101"/>
        <v>0</v>
      </c>
      <c r="Y830" s="123"/>
      <c r="Z830" s="692">
        <f t="shared" si="102"/>
        <v>0</v>
      </c>
    </row>
    <row r="831" spans="1:43" customFormat="1" ht="12.75" hidden="1" thickBot="1">
      <c r="A831" s="25" t="s">
        <v>1222</v>
      </c>
      <c r="B831" s="25" t="s">
        <v>438</v>
      </c>
      <c r="C831" s="25" t="s">
        <v>469</v>
      </c>
      <c r="D831" s="69" t="s">
        <v>13</v>
      </c>
      <c r="E831" s="29">
        <v>594367</v>
      </c>
      <c r="F831" s="30"/>
      <c r="G831" s="31">
        <v>31007.66</v>
      </c>
      <c r="H831" s="31">
        <v>16196.92</v>
      </c>
      <c r="I831" s="31">
        <v>796.72</v>
      </c>
      <c r="J831" s="30"/>
      <c r="K831" s="30"/>
      <c r="L831" s="31">
        <v>3227.51</v>
      </c>
      <c r="M831" s="31">
        <v>-113.56</v>
      </c>
      <c r="N831" s="31">
        <v>1799.32</v>
      </c>
      <c r="O831" s="30"/>
      <c r="P831" s="30"/>
      <c r="Q831" s="31">
        <v>0</v>
      </c>
      <c r="R831" s="31">
        <v>52914.57</v>
      </c>
      <c r="S831" s="142">
        <f t="shared" si="103"/>
        <v>48001.3</v>
      </c>
      <c r="T831" s="142">
        <f t="shared" si="104"/>
        <v>0</v>
      </c>
      <c r="U831" s="142">
        <f t="shared" si="105"/>
        <v>1799.32</v>
      </c>
      <c r="W831" s="601">
        <f t="shared" si="100"/>
        <v>52914.570000000007</v>
      </c>
      <c r="X831" s="601">
        <f t="shared" si="101"/>
        <v>0</v>
      </c>
      <c r="Y831" s="123"/>
      <c r="Z831" s="692">
        <f t="shared" si="102"/>
        <v>48001.3</v>
      </c>
    </row>
    <row r="832" spans="1:43" customFormat="1" ht="12.75" hidden="1" thickBot="1">
      <c r="A832" s="25" t="s">
        <v>1222</v>
      </c>
      <c r="B832" s="25" t="s">
        <v>439</v>
      </c>
      <c r="C832" s="25" t="s">
        <v>466</v>
      </c>
      <c r="D832" s="69" t="s">
        <v>13</v>
      </c>
      <c r="E832" s="26">
        <v>398054017</v>
      </c>
      <c r="F832" s="28">
        <v>3775459.52</v>
      </c>
      <c r="G832" s="28">
        <v>20766573.600000001</v>
      </c>
      <c r="H832" s="28">
        <v>10845537.619999999</v>
      </c>
      <c r="I832" s="28">
        <v>533226.85</v>
      </c>
      <c r="J832" s="27"/>
      <c r="K832" s="27"/>
      <c r="L832" s="28">
        <v>2160950.02</v>
      </c>
      <c r="M832" s="28">
        <v>-74523.149999999994</v>
      </c>
      <c r="N832" s="28">
        <v>1337350.53</v>
      </c>
      <c r="O832" s="27"/>
      <c r="P832" s="27"/>
      <c r="Q832" s="28">
        <v>0</v>
      </c>
      <c r="R832" s="28">
        <v>39344574.990000002</v>
      </c>
      <c r="S832" s="142">
        <f t="shared" si="103"/>
        <v>32145338.07</v>
      </c>
      <c r="T832" s="142">
        <f t="shared" si="104"/>
        <v>0</v>
      </c>
      <c r="U832" s="142">
        <f t="shared" si="105"/>
        <v>1337350.53</v>
      </c>
      <c r="W832" s="601">
        <f t="shared" si="100"/>
        <v>39344574.99000001</v>
      </c>
      <c r="X832" s="601">
        <f t="shared" si="101"/>
        <v>0</v>
      </c>
      <c r="Y832" s="123"/>
      <c r="Z832" s="692">
        <f t="shared" si="102"/>
        <v>35920797.590000004</v>
      </c>
    </row>
    <row r="833" spans="1:26" customFormat="1" ht="12.75" hidden="1" thickBot="1">
      <c r="A833" s="25" t="s">
        <v>1222</v>
      </c>
      <c r="B833" s="25" t="s">
        <v>440</v>
      </c>
      <c r="C833" s="25" t="s">
        <v>467</v>
      </c>
      <c r="D833" s="69" t="s">
        <v>13</v>
      </c>
      <c r="E833" s="29">
        <v>137981</v>
      </c>
      <c r="F833" s="31">
        <v>1458.19</v>
      </c>
      <c r="G833" s="31">
        <v>7198.38</v>
      </c>
      <c r="H833" s="31">
        <v>3760.03</v>
      </c>
      <c r="I833" s="31">
        <v>184.94</v>
      </c>
      <c r="J833" s="30"/>
      <c r="K833" s="30"/>
      <c r="L833" s="31">
        <v>749.26</v>
      </c>
      <c r="M833" s="31">
        <v>-21.83</v>
      </c>
      <c r="N833" s="31">
        <v>468.3</v>
      </c>
      <c r="O833" s="30"/>
      <c r="P833" s="30"/>
      <c r="Q833" s="31">
        <v>0</v>
      </c>
      <c r="R833" s="31">
        <v>13797.27</v>
      </c>
      <c r="S833" s="142">
        <f t="shared" si="103"/>
        <v>11143.35</v>
      </c>
      <c r="T833" s="142">
        <f t="shared" si="104"/>
        <v>0</v>
      </c>
      <c r="U833" s="142">
        <f t="shared" si="105"/>
        <v>468.3</v>
      </c>
      <c r="W833" s="601">
        <f t="shared" si="100"/>
        <v>13797.27</v>
      </c>
      <c r="X833" s="601">
        <f t="shared" si="101"/>
        <v>0</v>
      </c>
      <c r="Y833" s="123"/>
      <c r="Z833" s="692">
        <f t="shared" si="102"/>
        <v>12601.54</v>
      </c>
    </row>
    <row r="834" spans="1:26" customFormat="1" ht="12.75" hidden="1" thickBot="1">
      <c r="A834" s="25" t="s">
        <v>1222</v>
      </c>
      <c r="B834" s="25" t="s">
        <v>441</v>
      </c>
      <c r="C834" s="25" t="s">
        <v>468</v>
      </c>
      <c r="D834" s="69" t="s">
        <v>13</v>
      </c>
      <c r="E834" s="26">
        <v>34986</v>
      </c>
      <c r="F834" s="28">
        <v>64.5</v>
      </c>
      <c r="G834" s="28">
        <v>1825.22</v>
      </c>
      <c r="H834" s="28">
        <v>953.37</v>
      </c>
      <c r="I834" s="28">
        <v>46.89</v>
      </c>
      <c r="J834" s="27"/>
      <c r="K834" s="27"/>
      <c r="L834" s="28">
        <v>189.97</v>
      </c>
      <c r="M834" s="28">
        <v>-6.65</v>
      </c>
      <c r="N834" s="28">
        <v>108.19</v>
      </c>
      <c r="O834" s="27"/>
      <c r="P834" s="27"/>
      <c r="Q834" s="28">
        <v>0</v>
      </c>
      <c r="R834" s="28">
        <v>3181.49</v>
      </c>
      <c r="S834" s="142">
        <f t="shared" si="103"/>
        <v>2825.48</v>
      </c>
      <c r="T834" s="142">
        <f t="shared" si="104"/>
        <v>0</v>
      </c>
      <c r="U834" s="142">
        <f t="shared" si="105"/>
        <v>108.19</v>
      </c>
      <c r="W834" s="601">
        <f t="shared" si="100"/>
        <v>3181.49</v>
      </c>
      <c r="X834" s="601">
        <f t="shared" si="101"/>
        <v>0</v>
      </c>
      <c r="Y834" s="123"/>
      <c r="Z834" s="692">
        <f t="shared" si="102"/>
        <v>2889.98</v>
      </c>
    </row>
    <row r="835" spans="1:26" customFormat="1" ht="12.75" hidden="1" thickBot="1">
      <c r="A835" s="25" t="s">
        <v>1222</v>
      </c>
      <c r="B835" s="25" t="s">
        <v>755</v>
      </c>
      <c r="C835" s="25" t="s">
        <v>1124</v>
      </c>
      <c r="D835" s="69" t="s">
        <v>680</v>
      </c>
      <c r="E835" s="29">
        <v>30800</v>
      </c>
      <c r="F835" s="31">
        <v>204.25</v>
      </c>
      <c r="G835" s="31">
        <v>1596.59</v>
      </c>
      <c r="H835" s="31">
        <v>839.26</v>
      </c>
      <c r="I835" s="31">
        <v>41.27</v>
      </c>
      <c r="J835" s="30"/>
      <c r="K835" s="30"/>
      <c r="L835" s="31">
        <v>167.22</v>
      </c>
      <c r="M835" s="31">
        <v>-5.85</v>
      </c>
      <c r="N835" s="31">
        <v>100.07</v>
      </c>
      <c r="O835" s="30"/>
      <c r="P835" s="30"/>
      <c r="Q835" s="30"/>
      <c r="R835" s="31">
        <v>2942.81</v>
      </c>
      <c r="S835" s="142">
        <f t="shared" si="103"/>
        <v>2477.12</v>
      </c>
      <c r="T835" s="142">
        <f t="shared" si="104"/>
        <v>0</v>
      </c>
      <c r="U835" s="142">
        <f t="shared" si="105"/>
        <v>100.07</v>
      </c>
      <c r="W835" s="601">
        <f t="shared" si="100"/>
        <v>2942.81</v>
      </c>
      <c r="X835" s="601">
        <f t="shared" si="101"/>
        <v>0</v>
      </c>
      <c r="Y835" s="123"/>
      <c r="Z835" s="692">
        <f t="shared" si="102"/>
        <v>2681.37</v>
      </c>
    </row>
    <row r="836" spans="1:26" customFormat="1" ht="12.75" hidden="1" thickBot="1">
      <c r="A836" s="25" t="s">
        <v>1222</v>
      </c>
      <c r="B836" s="25" t="s">
        <v>1208</v>
      </c>
      <c r="C836" s="25" t="s">
        <v>1217</v>
      </c>
      <c r="D836" s="69" t="s">
        <v>680</v>
      </c>
      <c r="E836" s="26">
        <v>159</v>
      </c>
      <c r="F836" s="28">
        <v>10.75</v>
      </c>
      <c r="G836" s="28">
        <v>4.71</v>
      </c>
      <c r="H836" s="28">
        <v>4.33</v>
      </c>
      <c r="I836" s="28">
        <v>0.21</v>
      </c>
      <c r="J836" s="27"/>
      <c r="K836" s="27"/>
      <c r="L836" s="28">
        <v>0.86</v>
      </c>
      <c r="M836" s="28">
        <v>-0.03</v>
      </c>
      <c r="N836" s="28">
        <v>0.73</v>
      </c>
      <c r="O836" s="27"/>
      <c r="P836" s="27"/>
      <c r="Q836" s="27"/>
      <c r="R836" s="28">
        <v>21.56</v>
      </c>
      <c r="S836" s="142">
        <f t="shared" si="103"/>
        <v>9.25</v>
      </c>
      <c r="T836" s="142">
        <f t="shared" si="104"/>
        <v>0</v>
      </c>
      <c r="U836" s="142">
        <f t="shared" si="105"/>
        <v>0.73</v>
      </c>
      <c r="W836" s="601">
        <f t="shared" si="100"/>
        <v>21.56</v>
      </c>
      <c r="X836" s="601">
        <f t="shared" si="101"/>
        <v>0</v>
      </c>
      <c r="Y836" s="123"/>
      <c r="Z836" s="692">
        <f t="shared" si="102"/>
        <v>20</v>
      </c>
    </row>
    <row r="837" spans="1:26" customFormat="1" ht="12.75" hidden="1" thickBot="1">
      <c r="A837" s="25" t="s">
        <v>1222</v>
      </c>
      <c r="B837" s="25" t="s">
        <v>401</v>
      </c>
      <c r="C837" s="25" t="s">
        <v>402</v>
      </c>
      <c r="D837" s="69" t="s">
        <v>1125</v>
      </c>
      <c r="E837" s="30"/>
      <c r="F837" s="30"/>
      <c r="G837" s="30"/>
      <c r="H837" s="30"/>
      <c r="I837" s="30"/>
      <c r="J837" s="30"/>
      <c r="K837" s="30"/>
      <c r="L837" s="30"/>
      <c r="M837" s="30"/>
      <c r="N837" s="30"/>
      <c r="O837" s="30"/>
      <c r="P837" s="30"/>
      <c r="Q837" s="30"/>
      <c r="R837" s="30"/>
      <c r="S837" s="142">
        <f t="shared" si="103"/>
        <v>0</v>
      </c>
      <c r="T837" s="142">
        <f t="shared" si="104"/>
        <v>0</v>
      </c>
      <c r="U837" s="142">
        <f t="shared" si="105"/>
        <v>0</v>
      </c>
      <c r="W837" s="601">
        <f t="shared" si="100"/>
        <v>0</v>
      </c>
      <c r="X837" s="601">
        <f t="shared" si="101"/>
        <v>0</v>
      </c>
      <c r="Y837" s="123"/>
      <c r="Z837" s="692">
        <f t="shared" si="102"/>
        <v>0</v>
      </c>
    </row>
    <row r="838" spans="1:26" customFormat="1" ht="12.75" hidden="1" thickBot="1">
      <c r="A838" s="25" t="s">
        <v>1222</v>
      </c>
      <c r="B838" s="25" t="s">
        <v>379</v>
      </c>
      <c r="C838" s="25" t="s">
        <v>934</v>
      </c>
      <c r="D838" s="693" t="s">
        <v>498</v>
      </c>
      <c r="E838" s="26">
        <v>2606</v>
      </c>
      <c r="F838" s="27"/>
      <c r="G838" s="28">
        <v>659.74</v>
      </c>
      <c r="H838" s="27"/>
      <c r="I838" s="27"/>
      <c r="J838" s="27"/>
      <c r="K838" s="27"/>
      <c r="L838" s="27"/>
      <c r="M838" s="28">
        <v>-0.6</v>
      </c>
      <c r="N838" s="28">
        <v>23.29</v>
      </c>
      <c r="O838" s="27"/>
      <c r="P838" s="27"/>
      <c r="Q838" s="28">
        <v>0</v>
      </c>
      <c r="R838" s="28">
        <v>682.43</v>
      </c>
      <c r="S838" s="142">
        <f t="shared" si="103"/>
        <v>659.74</v>
      </c>
      <c r="T838" s="142">
        <f t="shared" si="104"/>
        <v>0</v>
      </c>
      <c r="U838" s="142">
        <f t="shared" si="105"/>
        <v>23.29</v>
      </c>
      <c r="W838" s="601">
        <f t="shared" si="100"/>
        <v>682.43</v>
      </c>
      <c r="X838" s="601">
        <f t="shared" si="101"/>
        <v>0</v>
      </c>
      <c r="Y838" s="123"/>
      <c r="Z838" s="692">
        <f t="shared" si="102"/>
        <v>659.74</v>
      </c>
    </row>
    <row r="839" spans="1:26" customFormat="1" ht="12.75" hidden="1" thickBot="1">
      <c r="A839" s="25" t="s">
        <v>1222</v>
      </c>
      <c r="B839" s="25" t="s">
        <v>241</v>
      </c>
      <c r="C839" s="25" t="s">
        <v>935</v>
      </c>
      <c r="D839" s="693" t="s">
        <v>498</v>
      </c>
      <c r="E839" s="29">
        <v>303212</v>
      </c>
      <c r="F839" s="30"/>
      <c r="G839" s="31">
        <v>41260.269999999997</v>
      </c>
      <c r="H839" s="30"/>
      <c r="I839" s="30"/>
      <c r="J839" s="30"/>
      <c r="K839" s="30"/>
      <c r="L839" s="30"/>
      <c r="M839" s="31">
        <v>-52.7</v>
      </c>
      <c r="N839" s="31">
        <v>1451.49</v>
      </c>
      <c r="O839" s="30"/>
      <c r="P839" s="30"/>
      <c r="Q839" s="31">
        <v>0</v>
      </c>
      <c r="R839" s="31">
        <v>42659.06</v>
      </c>
      <c r="S839" s="142">
        <f t="shared" si="103"/>
        <v>41260.269999999997</v>
      </c>
      <c r="T839" s="142">
        <f t="shared" si="104"/>
        <v>0</v>
      </c>
      <c r="U839" s="142">
        <f t="shared" si="105"/>
        <v>1451.49</v>
      </c>
      <c r="W839" s="601">
        <f t="shared" si="100"/>
        <v>42659.06</v>
      </c>
      <c r="X839" s="601">
        <f t="shared" si="101"/>
        <v>0</v>
      </c>
      <c r="Y839" s="123"/>
      <c r="Z839" s="692">
        <f t="shared" si="102"/>
        <v>41260.269999999997</v>
      </c>
    </row>
    <row r="840" spans="1:26" customFormat="1" ht="12.75" hidden="1" thickBot="1">
      <c r="A840" s="25" t="s">
        <v>1222</v>
      </c>
      <c r="B840" s="25" t="s">
        <v>242</v>
      </c>
      <c r="C840" s="25" t="s">
        <v>936</v>
      </c>
      <c r="D840" s="693" t="s">
        <v>498</v>
      </c>
      <c r="E840" s="26">
        <v>478369</v>
      </c>
      <c r="F840" s="27"/>
      <c r="G840" s="28">
        <v>51420.91</v>
      </c>
      <c r="H840" s="27"/>
      <c r="I840" s="27"/>
      <c r="J840" s="27"/>
      <c r="K840" s="27"/>
      <c r="L840" s="27"/>
      <c r="M840" s="28">
        <v>-85.48</v>
      </c>
      <c r="N840" s="28">
        <v>1805.13</v>
      </c>
      <c r="O840" s="27"/>
      <c r="P840" s="27"/>
      <c r="Q840" s="28">
        <v>0</v>
      </c>
      <c r="R840" s="28">
        <v>53140.56</v>
      </c>
      <c r="S840" s="142">
        <f t="shared" si="103"/>
        <v>51420.91</v>
      </c>
      <c r="T840" s="142">
        <f t="shared" si="104"/>
        <v>0</v>
      </c>
      <c r="U840" s="142">
        <f t="shared" si="105"/>
        <v>1805.13</v>
      </c>
      <c r="W840" s="601">
        <f t="shared" ref="W840:W897" si="106">SUM(F840:Q840)</f>
        <v>53140.56</v>
      </c>
      <c r="X840" s="601">
        <f t="shared" ref="X840:X897" si="107">W840-R840</f>
        <v>0</v>
      </c>
      <c r="Y840" s="123"/>
      <c r="Z840" s="692">
        <f t="shared" si="102"/>
        <v>51420.91</v>
      </c>
    </row>
    <row r="841" spans="1:26" customFormat="1" ht="12.75" hidden="1" thickBot="1">
      <c r="A841" s="25" t="s">
        <v>1222</v>
      </c>
      <c r="B841" s="25" t="s">
        <v>243</v>
      </c>
      <c r="C841" s="25" t="s">
        <v>937</v>
      </c>
      <c r="D841" s="693" t="s">
        <v>498</v>
      </c>
      <c r="E841" s="26">
        <v>3101</v>
      </c>
      <c r="F841" s="27"/>
      <c r="G841" s="28">
        <v>1166.44</v>
      </c>
      <c r="H841" s="27"/>
      <c r="I841" s="27"/>
      <c r="J841" s="27"/>
      <c r="K841" s="27"/>
      <c r="L841" s="27"/>
      <c r="M841" s="28">
        <v>-0.56999999999999995</v>
      </c>
      <c r="N841" s="28">
        <v>41.05</v>
      </c>
      <c r="O841" s="27"/>
      <c r="P841" s="27"/>
      <c r="Q841" s="28">
        <v>0</v>
      </c>
      <c r="R841" s="28">
        <v>1206.92</v>
      </c>
      <c r="S841" s="142">
        <f t="shared" si="103"/>
        <v>1166.44</v>
      </c>
      <c r="T841" s="142">
        <f t="shared" si="104"/>
        <v>0</v>
      </c>
      <c r="U841" s="142">
        <f t="shared" si="105"/>
        <v>41.05</v>
      </c>
      <c r="W841" s="601">
        <f t="shared" si="106"/>
        <v>1206.92</v>
      </c>
      <c r="X841" s="601">
        <f t="shared" si="107"/>
        <v>0</v>
      </c>
      <c r="Y841" s="123"/>
      <c r="Z841" s="692">
        <f t="shared" si="102"/>
        <v>1166.44</v>
      </c>
    </row>
    <row r="842" spans="1:26" customFormat="1" ht="12.75" hidden="1" thickBot="1">
      <c r="A842" s="25" t="s">
        <v>1222</v>
      </c>
      <c r="B842" s="25" t="s">
        <v>244</v>
      </c>
      <c r="C842" s="25" t="s">
        <v>938</v>
      </c>
      <c r="D842" s="693" t="s">
        <v>498</v>
      </c>
      <c r="E842" s="29">
        <v>92271</v>
      </c>
      <c r="F842" s="30"/>
      <c r="G842" s="31">
        <v>12099.48</v>
      </c>
      <c r="H842" s="30"/>
      <c r="I842" s="30"/>
      <c r="J842" s="30"/>
      <c r="K842" s="30"/>
      <c r="L842" s="30"/>
      <c r="M842" s="31">
        <v>-13.42</v>
      </c>
      <c r="N842" s="31">
        <v>426.13</v>
      </c>
      <c r="O842" s="30"/>
      <c r="P842" s="30"/>
      <c r="Q842" s="31">
        <v>0</v>
      </c>
      <c r="R842" s="31">
        <v>12512.19</v>
      </c>
      <c r="S842" s="142">
        <f t="shared" si="103"/>
        <v>12099.48</v>
      </c>
      <c r="T842" s="142">
        <f t="shared" si="104"/>
        <v>0</v>
      </c>
      <c r="U842" s="142">
        <f t="shared" si="105"/>
        <v>426.13</v>
      </c>
      <c r="W842" s="601">
        <f t="shared" si="106"/>
        <v>12512.189999999999</v>
      </c>
      <c r="X842" s="601">
        <f t="shared" si="107"/>
        <v>0</v>
      </c>
      <c r="Y842" s="123"/>
      <c r="Z842" s="692">
        <f t="shared" si="102"/>
        <v>12099.48</v>
      </c>
    </row>
    <row r="843" spans="1:26" customFormat="1" ht="12.75" hidden="1" thickBot="1">
      <c r="A843" s="25" t="s">
        <v>1222</v>
      </c>
      <c r="B843" s="25" t="s">
        <v>245</v>
      </c>
      <c r="C843" s="25" t="s">
        <v>939</v>
      </c>
      <c r="D843" s="693" t="s">
        <v>498</v>
      </c>
      <c r="E843" s="26">
        <v>82035</v>
      </c>
      <c r="F843" s="27"/>
      <c r="G843" s="28">
        <v>20235.04</v>
      </c>
      <c r="H843" s="27"/>
      <c r="I843" s="27"/>
      <c r="J843" s="27"/>
      <c r="K843" s="27"/>
      <c r="L843" s="27"/>
      <c r="M843" s="28">
        <v>-15.09</v>
      </c>
      <c r="N843" s="28">
        <v>711.36</v>
      </c>
      <c r="O843" s="27"/>
      <c r="P843" s="27"/>
      <c r="Q843" s="28">
        <v>0</v>
      </c>
      <c r="R843" s="28">
        <v>20931.310000000001</v>
      </c>
      <c r="S843" s="142">
        <f t="shared" si="103"/>
        <v>20235.04</v>
      </c>
      <c r="T843" s="142">
        <f t="shared" si="104"/>
        <v>0</v>
      </c>
      <c r="U843" s="142">
        <f t="shared" si="105"/>
        <v>711.36</v>
      </c>
      <c r="W843" s="601">
        <f t="shared" si="106"/>
        <v>20931.310000000001</v>
      </c>
      <c r="X843" s="601">
        <f t="shared" si="107"/>
        <v>0</v>
      </c>
      <c r="Y843" s="123"/>
      <c r="Z843" s="692">
        <f t="shared" si="102"/>
        <v>20235.04</v>
      </c>
    </row>
    <row r="844" spans="1:26" customFormat="1" ht="12.75" hidden="1" thickBot="1">
      <c r="A844" s="25" t="s">
        <v>1222</v>
      </c>
      <c r="B844" s="25" t="s">
        <v>381</v>
      </c>
      <c r="C844" s="25" t="s">
        <v>940</v>
      </c>
      <c r="D844" s="693" t="s">
        <v>498</v>
      </c>
      <c r="E844" s="29">
        <v>12804</v>
      </c>
      <c r="F844" s="30"/>
      <c r="G844" s="31">
        <v>1240.1099999999999</v>
      </c>
      <c r="H844" s="30"/>
      <c r="I844" s="30"/>
      <c r="J844" s="30"/>
      <c r="K844" s="30"/>
      <c r="L844" s="30"/>
      <c r="M844" s="31">
        <v>-1.97</v>
      </c>
      <c r="N844" s="31">
        <v>43.49</v>
      </c>
      <c r="O844" s="30"/>
      <c r="P844" s="30"/>
      <c r="Q844" s="31">
        <v>0</v>
      </c>
      <c r="R844" s="31">
        <v>1281.6300000000001</v>
      </c>
      <c r="S844" s="142">
        <f t="shared" si="103"/>
        <v>1240.1099999999999</v>
      </c>
      <c r="T844" s="142">
        <f t="shared" si="104"/>
        <v>0</v>
      </c>
      <c r="U844" s="142">
        <f t="shared" si="105"/>
        <v>43.49</v>
      </c>
      <c r="W844" s="601">
        <f t="shared" si="106"/>
        <v>1281.6299999999999</v>
      </c>
      <c r="X844" s="601">
        <f t="shared" si="107"/>
        <v>0</v>
      </c>
      <c r="Y844" s="123"/>
      <c r="Z844" s="692">
        <f t="shared" si="102"/>
        <v>1240.1099999999999</v>
      </c>
    </row>
    <row r="845" spans="1:26" customFormat="1" ht="12.75" hidden="1" thickBot="1">
      <c r="A845" s="25" t="s">
        <v>1222</v>
      </c>
      <c r="B845" s="25" t="s">
        <v>246</v>
      </c>
      <c r="C845" s="25" t="s">
        <v>941</v>
      </c>
      <c r="D845" s="693" t="s">
        <v>498</v>
      </c>
      <c r="E845" s="29">
        <v>96959</v>
      </c>
      <c r="F845" s="30"/>
      <c r="G845" s="31">
        <v>9828.77</v>
      </c>
      <c r="H845" s="30"/>
      <c r="I845" s="30"/>
      <c r="J845" s="30"/>
      <c r="K845" s="30"/>
      <c r="L845" s="30"/>
      <c r="M845" s="31">
        <v>-27.95</v>
      </c>
      <c r="N845" s="31">
        <v>351.09</v>
      </c>
      <c r="O845" s="30"/>
      <c r="P845" s="30"/>
      <c r="Q845" s="31">
        <v>0</v>
      </c>
      <c r="R845" s="31">
        <v>10151.91</v>
      </c>
      <c r="S845" s="142">
        <f t="shared" si="103"/>
        <v>9828.77</v>
      </c>
      <c r="T845" s="142">
        <f t="shared" si="104"/>
        <v>0</v>
      </c>
      <c r="U845" s="142">
        <f t="shared" si="105"/>
        <v>351.09</v>
      </c>
      <c r="W845" s="601">
        <f t="shared" si="106"/>
        <v>10151.91</v>
      </c>
      <c r="X845" s="601">
        <f t="shared" si="107"/>
        <v>0</v>
      </c>
      <c r="Y845" s="123"/>
      <c r="Z845" s="692">
        <f t="shared" si="102"/>
        <v>9828.77</v>
      </c>
    </row>
    <row r="846" spans="1:26" customFormat="1" ht="12.75" hidden="1" thickBot="1">
      <c r="A846" s="25" t="s">
        <v>1222</v>
      </c>
      <c r="B846" s="25" t="s">
        <v>252</v>
      </c>
      <c r="C846" s="25" t="s">
        <v>942</v>
      </c>
      <c r="D846" s="693" t="s">
        <v>498</v>
      </c>
      <c r="E846" s="26">
        <v>228038</v>
      </c>
      <c r="F846" s="27"/>
      <c r="G846" s="28">
        <v>39590.85</v>
      </c>
      <c r="H846" s="27"/>
      <c r="I846" s="27"/>
      <c r="J846" s="27"/>
      <c r="K846" s="27"/>
      <c r="L846" s="27"/>
      <c r="M846" s="28">
        <v>-3.68</v>
      </c>
      <c r="N846" s="28">
        <v>1383.05</v>
      </c>
      <c r="O846" s="27"/>
      <c r="P846" s="27"/>
      <c r="Q846" s="28">
        <v>0</v>
      </c>
      <c r="R846" s="28">
        <v>40970.22</v>
      </c>
      <c r="S846" s="142">
        <f t="shared" si="103"/>
        <v>39590.85</v>
      </c>
      <c r="T846" s="142">
        <f t="shared" si="104"/>
        <v>0</v>
      </c>
      <c r="U846" s="142">
        <f t="shared" si="105"/>
        <v>1383.05</v>
      </c>
      <c r="W846" s="601">
        <f t="shared" si="106"/>
        <v>40970.22</v>
      </c>
      <c r="X846" s="601">
        <f t="shared" si="107"/>
        <v>0</v>
      </c>
      <c r="Y846" s="123"/>
      <c r="Z846" s="692">
        <f t="shared" si="102"/>
        <v>39590.85</v>
      </c>
    </row>
    <row r="847" spans="1:26" customFormat="1" ht="12.75" hidden="1" thickBot="1">
      <c r="A847" s="25" t="s">
        <v>1222</v>
      </c>
      <c r="B847" s="25" t="s">
        <v>263</v>
      </c>
      <c r="C847" s="25" t="s">
        <v>943</v>
      </c>
      <c r="D847" s="693" t="s">
        <v>498</v>
      </c>
      <c r="E847" s="29">
        <v>177333</v>
      </c>
      <c r="F847" s="30"/>
      <c r="G847" s="31">
        <v>56360.5</v>
      </c>
      <c r="H847" s="30"/>
      <c r="I847" s="30"/>
      <c r="J847" s="30"/>
      <c r="K847" s="30"/>
      <c r="L847" s="30"/>
      <c r="M847" s="31">
        <v>-19.34</v>
      </c>
      <c r="N847" s="31">
        <v>1972.78</v>
      </c>
      <c r="O847" s="30"/>
      <c r="P847" s="30"/>
      <c r="Q847" s="31">
        <v>0</v>
      </c>
      <c r="R847" s="31">
        <v>58313.94</v>
      </c>
      <c r="S847" s="142">
        <f t="shared" si="103"/>
        <v>56360.5</v>
      </c>
      <c r="T847" s="142">
        <f t="shared" si="104"/>
        <v>0</v>
      </c>
      <c r="U847" s="142">
        <f t="shared" si="105"/>
        <v>1972.78</v>
      </c>
      <c r="W847" s="601">
        <f t="shared" si="106"/>
        <v>58313.94</v>
      </c>
      <c r="X847" s="601">
        <f t="shared" si="107"/>
        <v>0</v>
      </c>
      <c r="Y847" s="123"/>
      <c r="Z847" s="692">
        <f t="shared" si="102"/>
        <v>56360.5</v>
      </c>
    </row>
    <row r="848" spans="1:26" customFormat="1" ht="12.75" hidden="1" thickBot="1">
      <c r="A848" s="25" t="s">
        <v>1222</v>
      </c>
      <c r="B848" s="25" t="s">
        <v>264</v>
      </c>
      <c r="C848" s="25" t="s">
        <v>944</v>
      </c>
      <c r="D848" s="693" t="s">
        <v>498</v>
      </c>
      <c r="E848" s="26">
        <v>314860</v>
      </c>
      <c r="F848" s="27"/>
      <c r="G848" s="28">
        <v>72684.72</v>
      </c>
      <c r="H848" s="27"/>
      <c r="I848" s="27"/>
      <c r="J848" s="27"/>
      <c r="K848" s="27"/>
      <c r="L848" s="27"/>
      <c r="M848" s="28">
        <v>-49.78</v>
      </c>
      <c r="N848" s="28">
        <v>2550.84</v>
      </c>
      <c r="O848" s="27"/>
      <c r="P848" s="27"/>
      <c r="Q848" s="28">
        <v>0</v>
      </c>
      <c r="R848" s="28">
        <v>75185.78</v>
      </c>
      <c r="S848" s="142">
        <f t="shared" si="103"/>
        <v>72684.72</v>
      </c>
      <c r="T848" s="142">
        <f t="shared" si="104"/>
        <v>0</v>
      </c>
      <c r="U848" s="142">
        <f t="shared" si="105"/>
        <v>2550.84</v>
      </c>
      <c r="W848" s="601">
        <f t="shared" si="106"/>
        <v>75185.78</v>
      </c>
      <c r="X848" s="601">
        <f t="shared" si="107"/>
        <v>0</v>
      </c>
      <c r="Y848" s="123"/>
      <c r="Z848" s="692">
        <f t="shared" si="102"/>
        <v>72684.72</v>
      </c>
    </row>
    <row r="849" spans="1:26" customFormat="1" ht="12.75" hidden="1" thickBot="1">
      <c r="A849" s="25" t="s">
        <v>1222</v>
      </c>
      <c r="B849" s="25" t="s">
        <v>267</v>
      </c>
      <c r="C849" s="25" t="s">
        <v>945</v>
      </c>
      <c r="D849" s="693" t="s">
        <v>498</v>
      </c>
      <c r="E849" s="29">
        <v>683445</v>
      </c>
      <c r="F849" s="30"/>
      <c r="G849" s="31">
        <v>294543.96999999997</v>
      </c>
      <c r="H849" s="30"/>
      <c r="I849" s="30"/>
      <c r="J849" s="30"/>
      <c r="K849" s="30"/>
      <c r="L849" s="30"/>
      <c r="M849" s="31">
        <v>-108.09</v>
      </c>
      <c r="N849" s="31">
        <v>10338.73</v>
      </c>
      <c r="O849" s="30"/>
      <c r="P849" s="30"/>
      <c r="Q849" s="31">
        <v>0</v>
      </c>
      <c r="R849" s="31">
        <v>304774.61</v>
      </c>
      <c r="S849" s="142">
        <f t="shared" si="103"/>
        <v>294543.96999999997</v>
      </c>
      <c r="T849" s="142">
        <f t="shared" si="104"/>
        <v>0</v>
      </c>
      <c r="U849" s="142">
        <f t="shared" si="105"/>
        <v>10338.73</v>
      </c>
      <c r="W849" s="601">
        <f t="shared" si="106"/>
        <v>304774.60999999993</v>
      </c>
      <c r="X849" s="601">
        <f t="shared" si="107"/>
        <v>0</v>
      </c>
      <c r="Y849" s="123"/>
      <c r="Z849" s="692">
        <f t="shared" si="102"/>
        <v>294543.96999999997</v>
      </c>
    </row>
    <row r="850" spans="1:26" customFormat="1" ht="12.75" hidden="1" thickBot="1">
      <c r="A850" s="25" t="s">
        <v>1222</v>
      </c>
      <c r="B850" s="25" t="s">
        <v>392</v>
      </c>
      <c r="C850" s="25" t="s">
        <v>946</v>
      </c>
      <c r="D850" s="693" t="s">
        <v>498</v>
      </c>
      <c r="E850" s="26">
        <v>28377</v>
      </c>
      <c r="F850" s="27"/>
      <c r="G850" s="28">
        <v>13166.81</v>
      </c>
      <c r="H850" s="27"/>
      <c r="I850" s="27"/>
      <c r="J850" s="27"/>
      <c r="K850" s="27"/>
      <c r="L850" s="27"/>
      <c r="M850" s="28">
        <v>2.4700000000000002</v>
      </c>
      <c r="N850" s="28">
        <v>455.44</v>
      </c>
      <c r="O850" s="27"/>
      <c r="P850" s="27"/>
      <c r="Q850" s="28">
        <v>0</v>
      </c>
      <c r="R850" s="28">
        <v>13624.72</v>
      </c>
      <c r="S850" s="142">
        <f t="shared" si="103"/>
        <v>13166.81</v>
      </c>
      <c r="T850" s="142">
        <f t="shared" si="104"/>
        <v>0</v>
      </c>
      <c r="U850" s="142">
        <f t="shared" si="105"/>
        <v>455.44</v>
      </c>
      <c r="W850" s="601">
        <f t="shared" si="106"/>
        <v>13624.72</v>
      </c>
      <c r="X850" s="601">
        <f t="shared" si="107"/>
        <v>0</v>
      </c>
      <c r="Y850" s="123"/>
      <c r="Z850" s="692">
        <f t="shared" si="102"/>
        <v>13166.81</v>
      </c>
    </row>
    <row r="851" spans="1:26" customFormat="1" ht="12.75" hidden="1" thickBot="1">
      <c r="A851" s="25" t="s">
        <v>1222</v>
      </c>
      <c r="B851" s="25" t="s">
        <v>268</v>
      </c>
      <c r="C851" s="25" t="s">
        <v>947</v>
      </c>
      <c r="D851" s="693" t="s">
        <v>498</v>
      </c>
      <c r="E851" s="29">
        <v>39265</v>
      </c>
      <c r="F851" s="30"/>
      <c r="G851" s="31">
        <v>18589.47</v>
      </c>
      <c r="H851" s="30"/>
      <c r="I851" s="30"/>
      <c r="J851" s="30"/>
      <c r="K851" s="30"/>
      <c r="L851" s="30"/>
      <c r="M851" s="31">
        <v>-10.050000000000001</v>
      </c>
      <c r="N851" s="31">
        <v>658.09</v>
      </c>
      <c r="O851" s="30"/>
      <c r="P851" s="30"/>
      <c r="Q851" s="31">
        <v>0</v>
      </c>
      <c r="R851" s="31">
        <v>19237.509999999998</v>
      </c>
      <c r="S851" s="142">
        <f t="shared" si="103"/>
        <v>18589.47</v>
      </c>
      <c r="T851" s="142">
        <f t="shared" si="104"/>
        <v>0</v>
      </c>
      <c r="U851" s="142">
        <f t="shared" si="105"/>
        <v>658.09</v>
      </c>
      <c r="W851" s="601">
        <f t="shared" si="106"/>
        <v>19237.510000000002</v>
      </c>
      <c r="X851" s="601">
        <f t="shared" si="107"/>
        <v>0</v>
      </c>
      <c r="Y851" s="123"/>
      <c r="Z851" s="692">
        <f t="shared" si="102"/>
        <v>18589.47</v>
      </c>
    </row>
    <row r="852" spans="1:26" customFormat="1" ht="12.75" hidden="1" thickBot="1">
      <c r="A852" s="25" t="s">
        <v>1222</v>
      </c>
      <c r="B852" s="25" t="s">
        <v>269</v>
      </c>
      <c r="C852" s="25" t="s">
        <v>948</v>
      </c>
      <c r="D852" s="693" t="s">
        <v>498</v>
      </c>
      <c r="E852" s="26">
        <v>126370</v>
      </c>
      <c r="F852" s="27"/>
      <c r="G852" s="28">
        <v>50965.13</v>
      </c>
      <c r="H852" s="27"/>
      <c r="I852" s="27"/>
      <c r="J852" s="27"/>
      <c r="K852" s="27"/>
      <c r="L852" s="27"/>
      <c r="M852" s="28">
        <v>-22.41</v>
      </c>
      <c r="N852" s="28">
        <v>1792.03</v>
      </c>
      <c r="O852" s="27"/>
      <c r="P852" s="27"/>
      <c r="Q852" s="28">
        <v>0</v>
      </c>
      <c r="R852" s="28">
        <v>52734.75</v>
      </c>
      <c r="S852" s="142">
        <f t="shared" si="103"/>
        <v>50965.13</v>
      </c>
      <c r="T852" s="142">
        <f t="shared" si="104"/>
        <v>0</v>
      </c>
      <c r="U852" s="142">
        <f t="shared" si="105"/>
        <v>1792.03</v>
      </c>
      <c r="W852" s="601">
        <f t="shared" si="106"/>
        <v>52734.749999999993</v>
      </c>
      <c r="X852" s="601">
        <f t="shared" si="107"/>
        <v>0</v>
      </c>
      <c r="Y852" s="123"/>
      <c r="Z852" s="692">
        <f t="shared" si="102"/>
        <v>50965.13</v>
      </c>
    </row>
    <row r="853" spans="1:26" customFormat="1" ht="12.75" hidden="1" thickBot="1">
      <c r="A853" s="25" t="s">
        <v>1222</v>
      </c>
      <c r="B853" s="25" t="s">
        <v>393</v>
      </c>
      <c r="C853" s="25" t="s">
        <v>949</v>
      </c>
      <c r="D853" s="693" t="s">
        <v>498</v>
      </c>
      <c r="E853" s="29">
        <v>5023</v>
      </c>
      <c r="F853" s="30"/>
      <c r="G853" s="31">
        <v>1233.3499999999999</v>
      </c>
      <c r="H853" s="30"/>
      <c r="I853" s="30"/>
      <c r="J853" s="30"/>
      <c r="K853" s="30"/>
      <c r="L853" s="30"/>
      <c r="M853" s="31">
        <v>-0.96</v>
      </c>
      <c r="N853" s="31">
        <v>43.37</v>
      </c>
      <c r="O853" s="30"/>
      <c r="P853" s="30"/>
      <c r="Q853" s="31">
        <v>0</v>
      </c>
      <c r="R853" s="31">
        <v>1275.76</v>
      </c>
      <c r="S853" s="142">
        <f t="shared" si="103"/>
        <v>1233.3499999999999</v>
      </c>
      <c r="T853" s="142">
        <f t="shared" si="104"/>
        <v>0</v>
      </c>
      <c r="U853" s="142">
        <f t="shared" si="105"/>
        <v>43.37</v>
      </c>
      <c r="W853" s="601">
        <f t="shared" si="106"/>
        <v>1275.7599999999998</v>
      </c>
      <c r="X853" s="601">
        <f t="shared" si="107"/>
        <v>0</v>
      </c>
      <c r="Y853" s="123"/>
      <c r="Z853" s="692">
        <f t="shared" si="102"/>
        <v>1233.3499999999999</v>
      </c>
    </row>
    <row r="854" spans="1:26" customFormat="1" ht="12.75" hidden="1" thickBot="1">
      <c r="A854" s="25" t="s">
        <v>1222</v>
      </c>
      <c r="B854" s="25" t="s">
        <v>394</v>
      </c>
      <c r="C854" s="25" t="s">
        <v>950</v>
      </c>
      <c r="D854" s="693" t="s">
        <v>498</v>
      </c>
      <c r="E854" s="26">
        <v>3271</v>
      </c>
      <c r="F854" s="27"/>
      <c r="G854" s="28">
        <v>455.73</v>
      </c>
      <c r="H854" s="27"/>
      <c r="I854" s="27"/>
      <c r="J854" s="27"/>
      <c r="K854" s="27"/>
      <c r="L854" s="27"/>
      <c r="M854" s="28">
        <v>-0.62</v>
      </c>
      <c r="N854" s="28">
        <v>16.010000000000002</v>
      </c>
      <c r="O854" s="27"/>
      <c r="P854" s="27"/>
      <c r="Q854" s="28">
        <v>0</v>
      </c>
      <c r="R854" s="28">
        <v>471.12</v>
      </c>
      <c r="S854" s="142">
        <f t="shared" si="103"/>
        <v>455.73</v>
      </c>
      <c r="T854" s="142">
        <f t="shared" si="104"/>
        <v>0</v>
      </c>
      <c r="U854" s="142">
        <f t="shared" si="105"/>
        <v>16.010000000000002</v>
      </c>
      <c r="W854" s="601">
        <f t="shared" si="106"/>
        <v>471.12</v>
      </c>
      <c r="X854" s="601">
        <f t="shared" si="107"/>
        <v>0</v>
      </c>
      <c r="Y854" s="123"/>
      <c r="Z854" s="692">
        <f t="shared" si="102"/>
        <v>455.73</v>
      </c>
    </row>
    <row r="855" spans="1:26" customFormat="1" ht="12.75" hidden="1" thickBot="1">
      <c r="A855" s="25" t="s">
        <v>1222</v>
      </c>
      <c r="B855" s="25" t="s">
        <v>398</v>
      </c>
      <c r="C855" s="25" t="s">
        <v>951</v>
      </c>
      <c r="D855" s="693" t="s">
        <v>498</v>
      </c>
      <c r="E855" s="29">
        <v>1334</v>
      </c>
      <c r="F855" s="30"/>
      <c r="G855" s="31">
        <v>1626.54</v>
      </c>
      <c r="H855" s="30"/>
      <c r="I855" s="30"/>
      <c r="J855" s="30"/>
      <c r="K855" s="30"/>
      <c r="L855" s="30"/>
      <c r="M855" s="31">
        <v>-0.25</v>
      </c>
      <c r="N855" s="31">
        <v>57.24</v>
      </c>
      <c r="O855" s="30"/>
      <c r="P855" s="30"/>
      <c r="Q855" s="31">
        <v>0</v>
      </c>
      <c r="R855" s="31">
        <v>1683.53</v>
      </c>
      <c r="S855" s="142">
        <f t="shared" si="103"/>
        <v>1626.54</v>
      </c>
      <c r="T855" s="142">
        <f t="shared" si="104"/>
        <v>0</v>
      </c>
      <c r="U855" s="142">
        <f t="shared" si="105"/>
        <v>57.24</v>
      </c>
      <c r="W855" s="601">
        <f t="shared" si="106"/>
        <v>1683.53</v>
      </c>
      <c r="X855" s="601">
        <f t="shared" si="107"/>
        <v>0</v>
      </c>
      <c r="Y855" s="123"/>
      <c r="Z855" s="692">
        <f t="shared" si="102"/>
        <v>1626.54</v>
      </c>
    </row>
    <row r="856" spans="1:26" customFormat="1" ht="12.75" hidden="1" thickBot="1">
      <c r="A856" s="25" t="s">
        <v>1222</v>
      </c>
      <c r="B856" s="25" t="s">
        <v>395</v>
      </c>
      <c r="C856" s="25" t="s">
        <v>952</v>
      </c>
      <c r="D856" s="693" t="s">
        <v>498</v>
      </c>
      <c r="E856" s="26">
        <v>9769</v>
      </c>
      <c r="F856" s="27"/>
      <c r="G856" s="28">
        <v>8762.57</v>
      </c>
      <c r="H856" s="27"/>
      <c r="I856" s="27"/>
      <c r="J856" s="27"/>
      <c r="K856" s="27"/>
      <c r="L856" s="27"/>
      <c r="M856" s="28">
        <v>-1.86</v>
      </c>
      <c r="N856" s="28">
        <v>308.38</v>
      </c>
      <c r="O856" s="27"/>
      <c r="P856" s="27"/>
      <c r="Q856" s="28">
        <v>0</v>
      </c>
      <c r="R856" s="28">
        <v>9069.09</v>
      </c>
      <c r="S856" s="142">
        <f t="shared" si="103"/>
        <v>8762.57</v>
      </c>
      <c r="T856" s="142">
        <f t="shared" si="104"/>
        <v>0</v>
      </c>
      <c r="U856" s="142">
        <f t="shared" si="105"/>
        <v>308.38</v>
      </c>
      <c r="W856" s="601">
        <f t="shared" si="106"/>
        <v>9069.0899999999983</v>
      </c>
      <c r="X856" s="601">
        <f t="shared" si="107"/>
        <v>0</v>
      </c>
      <c r="Y856" s="123"/>
      <c r="Z856" s="692">
        <f t="shared" si="102"/>
        <v>8762.57</v>
      </c>
    </row>
    <row r="857" spans="1:26" customFormat="1" ht="12.75" hidden="1" thickBot="1">
      <c r="A857" s="25" t="s">
        <v>1222</v>
      </c>
      <c r="B857" s="25" t="s">
        <v>396</v>
      </c>
      <c r="C857" s="25" t="s">
        <v>953</v>
      </c>
      <c r="D857" s="693" t="s">
        <v>498</v>
      </c>
      <c r="E857" s="29">
        <v>3164</v>
      </c>
      <c r="F857" s="30"/>
      <c r="G857" s="31">
        <v>3059.79</v>
      </c>
      <c r="H857" s="30"/>
      <c r="I857" s="30"/>
      <c r="J857" s="30"/>
      <c r="K857" s="30"/>
      <c r="L857" s="30"/>
      <c r="M857" s="31">
        <v>-0.62</v>
      </c>
      <c r="N857" s="31">
        <v>107.69</v>
      </c>
      <c r="O857" s="30"/>
      <c r="P857" s="30"/>
      <c r="Q857" s="31">
        <v>0</v>
      </c>
      <c r="R857" s="31">
        <v>3166.86</v>
      </c>
      <c r="S857" s="142">
        <f t="shared" si="103"/>
        <v>3059.79</v>
      </c>
      <c r="T857" s="142">
        <f t="shared" si="104"/>
        <v>0</v>
      </c>
      <c r="U857" s="142">
        <f t="shared" si="105"/>
        <v>107.69</v>
      </c>
      <c r="W857" s="601">
        <f t="shared" si="106"/>
        <v>3166.86</v>
      </c>
      <c r="X857" s="601">
        <f t="shared" si="107"/>
        <v>0</v>
      </c>
      <c r="Y857" s="123"/>
      <c r="Z857" s="692">
        <f t="shared" si="102"/>
        <v>3059.79</v>
      </c>
    </row>
    <row r="858" spans="1:26" customFormat="1" ht="12.75" hidden="1" thickBot="1">
      <c r="A858" s="25" t="s">
        <v>1222</v>
      </c>
      <c r="B858" s="25" t="s">
        <v>397</v>
      </c>
      <c r="C858" s="25" t="s">
        <v>954</v>
      </c>
      <c r="D858" s="693" t="s">
        <v>498</v>
      </c>
      <c r="E858" s="26">
        <v>3306</v>
      </c>
      <c r="F858" s="27"/>
      <c r="G858" s="28">
        <v>2995.01</v>
      </c>
      <c r="H858" s="27"/>
      <c r="I858" s="27"/>
      <c r="J858" s="27"/>
      <c r="K858" s="27"/>
      <c r="L858" s="27"/>
      <c r="M858" s="28">
        <v>-0.62</v>
      </c>
      <c r="N858" s="28">
        <v>105.41</v>
      </c>
      <c r="O858" s="27"/>
      <c r="P858" s="27"/>
      <c r="Q858" s="28">
        <v>0</v>
      </c>
      <c r="R858" s="28">
        <v>3099.8</v>
      </c>
      <c r="S858" s="142">
        <f t="shared" si="103"/>
        <v>2995.01</v>
      </c>
      <c r="T858" s="142">
        <f t="shared" si="104"/>
        <v>0</v>
      </c>
      <c r="U858" s="142">
        <f t="shared" si="105"/>
        <v>105.41</v>
      </c>
      <c r="W858" s="601">
        <f t="shared" si="106"/>
        <v>3099.8</v>
      </c>
      <c r="X858" s="601">
        <f t="shared" si="107"/>
        <v>0</v>
      </c>
      <c r="Y858" s="123"/>
      <c r="Z858" s="692">
        <f t="shared" si="102"/>
        <v>2995.01</v>
      </c>
    </row>
    <row r="859" spans="1:26" customFormat="1" ht="12.75" hidden="1" thickBot="1">
      <c r="A859" s="25" t="s">
        <v>1222</v>
      </c>
      <c r="B859" s="25" t="s">
        <v>287</v>
      </c>
      <c r="C859" s="25" t="s">
        <v>955</v>
      </c>
      <c r="D859" s="693" t="s">
        <v>498</v>
      </c>
      <c r="E859" s="29">
        <v>42479</v>
      </c>
      <c r="F859" s="30"/>
      <c r="G859" s="31">
        <v>9902.56</v>
      </c>
      <c r="H859" s="30"/>
      <c r="I859" s="30"/>
      <c r="J859" s="30"/>
      <c r="K859" s="30"/>
      <c r="L859" s="30"/>
      <c r="M859" s="31">
        <v>-5.49</v>
      </c>
      <c r="N859" s="31">
        <v>346.98</v>
      </c>
      <c r="O859" s="30"/>
      <c r="P859" s="30"/>
      <c r="Q859" s="31">
        <v>0</v>
      </c>
      <c r="R859" s="31">
        <v>10244.049999999999</v>
      </c>
      <c r="S859" s="142">
        <f t="shared" si="103"/>
        <v>9902.56</v>
      </c>
      <c r="T859" s="142">
        <f t="shared" si="104"/>
        <v>0</v>
      </c>
      <c r="U859" s="142">
        <f t="shared" si="105"/>
        <v>346.98</v>
      </c>
      <c r="W859" s="601">
        <f t="shared" si="106"/>
        <v>10244.049999999999</v>
      </c>
      <c r="X859" s="601">
        <f t="shared" si="107"/>
        <v>0</v>
      </c>
      <c r="Y859" s="123"/>
      <c r="Z859" s="692">
        <f t="shared" si="102"/>
        <v>9902.56</v>
      </c>
    </row>
    <row r="860" spans="1:26" customFormat="1" ht="12.75" hidden="1" thickBot="1">
      <c r="A860" s="25" t="s">
        <v>1222</v>
      </c>
      <c r="B860" s="25" t="s">
        <v>288</v>
      </c>
      <c r="C860" s="25" t="s">
        <v>956</v>
      </c>
      <c r="D860" s="693" t="s">
        <v>498</v>
      </c>
      <c r="E860" s="26">
        <v>65359</v>
      </c>
      <c r="F860" s="27"/>
      <c r="G860" s="28">
        <v>11658.6</v>
      </c>
      <c r="H860" s="27"/>
      <c r="I860" s="27"/>
      <c r="J860" s="27"/>
      <c r="K860" s="27"/>
      <c r="L860" s="27"/>
      <c r="M860" s="28">
        <v>-12.2</v>
      </c>
      <c r="N860" s="28">
        <v>409.88</v>
      </c>
      <c r="O860" s="27"/>
      <c r="P860" s="27"/>
      <c r="Q860" s="28">
        <v>0</v>
      </c>
      <c r="R860" s="28">
        <v>12056.28</v>
      </c>
      <c r="S860" s="142">
        <f t="shared" si="103"/>
        <v>11658.6</v>
      </c>
      <c r="T860" s="142">
        <f t="shared" si="104"/>
        <v>0</v>
      </c>
      <c r="U860" s="142">
        <f t="shared" si="105"/>
        <v>409.88</v>
      </c>
      <c r="W860" s="601">
        <f t="shared" si="106"/>
        <v>12056.279999999999</v>
      </c>
      <c r="X860" s="601">
        <f t="shared" si="107"/>
        <v>0</v>
      </c>
      <c r="Y860" s="123"/>
      <c r="Z860" s="692">
        <f t="shared" ref="Z860:Z919" si="108">SUM(F860:K860)</f>
        <v>11658.6</v>
      </c>
    </row>
    <row r="861" spans="1:26" customFormat="1" ht="12.75" hidden="1" thickBot="1">
      <c r="A861" s="25" t="s">
        <v>1222</v>
      </c>
      <c r="B861" s="25" t="s">
        <v>291</v>
      </c>
      <c r="C861" s="25" t="s">
        <v>957</v>
      </c>
      <c r="D861" s="693" t="s">
        <v>498</v>
      </c>
      <c r="E861" s="29">
        <v>3151</v>
      </c>
      <c r="F861" s="30"/>
      <c r="G861" s="31">
        <v>940.68</v>
      </c>
      <c r="H861" s="30"/>
      <c r="I861" s="30"/>
      <c r="J861" s="30"/>
      <c r="K861" s="30"/>
      <c r="L861" s="30"/>
      <c r="M861" s="31">
        <v>-0.59</v>
      </c>
      <c r="N861" s="31">
        <v>33.1</v>
      </c>
      <c r="O861" s="30"/>
      <c r="P861" s="30"/>
      <c r="Q861" s="31">
        <v>0</v>
      </c>
      <c r="R861" s="31">
        <v>973.19</v>
      </c>
      <c r="S861" s="142">
        <f t="shared" si="103"/>
        <v>940.68</v>
      </c>
      <c r="T861" s="142">
        <f t="shared" si="104"/>
        <v>0</v>
      </c>
      <c r="U861" s="142">
        <f t="shared" si="105"/>
        <v>33.1</v>
      </c>
      <c r="W861" s="601">
        <f t="shared" si="106"/>
        <v>973.18999999999994</v>
      </c>
      <c r="X861" s="601">
        <f t="shared" si="107"/>
        <v>0</v>
      </c>
      <c r="Y861" s="123"/>
      <c r="Z861" s="692">
        <f t="shared" si="108"/>
        <v>940.68</v>
      </c>
    </row>
    <row r="862" spans="1:26" customFormat="1" ht="12.75" hidden="1" thickBot="1">
      <c r="A862" s="25" t="s">
        <v>1222</v>
      </c>
      <c r="B862" s="25" t="s">
        <v>297</v>
      </c>
      <c r="C862" s="25" t="s">
        <v>958</v>
      </c>
      <c r="D862" s="693" t="s">
        <v>498</v>
      </c>
      <c r="E862" s="26">
        <v>3336</v>
      </c>
      <c r="F862" s="27"/>
      <c r="G862" s="28">
        <v>524.79999999999995</v>
      </c>
      <c r="H862" s="27"/>
      <c r="I862" s="27"/>
      <c r="J862" s="27"/>
      <c r="K862" s="27"/>
      <c r="L862" s="27"/>
      <c r="M862" s="28">
        <v>-0.64</v>
      </c>
      <c r="N862" s="28">
        <v>18.45</v>
      </c>
      <c r="O862" s="27"/>
      <c r="P862" s="27"/>
      <c r="Q862" s="28">
        <v>0</v>
      </c>
      <c r="R862" s="28">
        <v>542.61</v>
      </c>
      <c r="S862" s="142">
        <f t="shared" si="103"/>
        <v>524.79999999999995</v>
      </c>
      <c r="T862" s="142">
        <f t="shared" si="104"/>
        <v>0</v>
      </c>
      <c r="U862" s="142">
        <f t="shared" si="105"/>
        <v>18.45</v>
      </c>
      <c r="W862" s="601">
        <f t="shared" si="106"/>
        <v>542.61</v>
      </c>
      <c r="X862" s="601">
        <f t="shared" si="107"/>
        <v>0</v>
      </c>
      <c r="Y862" s="123"/>
      <c r="Z862" s="692">
        <f t="shared" si="108"/>
        <v>524.79999999999995</v>
      </c>
    </row>
    <row r="863" spans="1:26" customFormat="1" ht="12.75" hidden="1" thickBot="1">
      <c r="A863" s="25" t="s">
        <v>1222</v>
      </c>
      <c r="B863" s="25" t="s">
        <v>299</v>
      </c>
      <c r="C863" s="25" t="s">
        <v>959</v>
      </c>
      <c r="D863" s="693" t="s">
        <v>498</v>
      </c>
      <c r="E863" s="29">
        <v>473</v>
      </c>
      <c r="F863" s="30"/>
      <c r="G863" s="31">
        <v>153.34</v>
      </c>
      <c r="H863" s="30"/>
      <c r="I863" s="30"/>
      <c r="J863" s="30"/>
      <c r="K863" s="30"/>
      <c r="L863" s="30"/>
      <c r="M863" s="31">
        <v>-0.09</v>
      </c>
      <c r="N863" s="31">
        <v>5.39</v>
      </c>
      <c r="O863" s="30"/>
      <c r="P863" s="30"/>
      <c r="Q863" s="31">
        <v>0</v>
      </c>
      <c r="R863" s="31">
        <v>158.63999999999999</v>
      </c>
      <c r="S863" s="142">
        <f t="shared" si="103"/>
        <v>153.34</v>
      </c>
      <c r="T863" s="142">
        <f t="shared" si="104"/>
        <v>0</v>
      </c>
      <c r="U863" s="142">
        <f t="shared" si="105"/>
        <v>5.39</v>
      </c>
      <c r="W863" s="601">
        <f t="shared" si="106"/>
        <v>158.63999999999999</v>
      </c>
      <c r="X863" s="601">
        <f t="shared" si="107"/>
        <v>0</v>
      </c>
      <c r="Y863" s="123"/>
      <c r="Z863" s="692">
        <f t="shared" si="108"/>
        <v>153.34</v>
      </c>
    </row>
    <row r="864" spans="1:26" customFormat="1" ht="12.75" hidden="1" thickBot="1">
      <c r="A864" s="25" t="s">
        <v>1222</v>
      </c>
      <c r="B864" s="25" t="s">
        <v>377</v>
      </c>
      <c r="C864" s="25" t="s">
        <v>960</v>
      </c>
      <c r="D864" s="693" t="s">
        <v>606</v>
      </c>
      <c r="E864" s="26">
        <v>479</v>
      </c>
      <c r="F864" s="27"/>
      <c r="G864" s="28">
        <v>913.44</v>
      </c>
      <c r="H864" s="27"/>
      <c r="I864" s="27"/>
      <c r="J864" s="27"/>
      <c r="K864" s="27"/>
      <c r="L864" s="27"/>
      <c r="M864" s="28">
        <v>-0.11</v>
      </c>
      <c r="N864" s="28">
        <v>32.15</v>
      </c>
      <c r="O864" s="27"/>
      <c r="P864" s="27"/>
      <c r="Q864" s="27"/>
      <c r="R864" s="28">
        <v>945.48</v>
      </c>
      <c r="S864" s="142">
        <f t="shared" si="103"/>
        <v>913.44</v>
      </c>
      <c r="T864" s="142">
        <f t="shared" si="104"/>
        <v>0</v>
      </c>
      <c r="U864" s="142">
        <f t="shared" si="105"/>
        <v>32.15</v>
      </c>
      <c r="W864" s="601">
        <f t="shared" si="106"/>
        <v>945.48</v>
      </c>
      <c r="X864" s="601">
        <f t="shared" si="107"/>
        <v>0</v>
      </c>
      <c r="Y864" s="123"/>
      <c r="Z864" s="692">
        <f t="shared" si="108"/>
        <v>913.44</v>
      </c>
    </row>
    <row r="865" spans="1:26" customFormat="1" ht="12.75" hidden="1" thickBot="1">
      <c r="A865" s="25" t="s">
        <v>1222</v>
      </c>
      <c r="B865" s="25" t="s">
        <v>737</v>
      </c>
      <c r="C865" s="25" t="s">
        <v>961</v>
      </c>
      <c r="D865" s="693" t="s">
        <v>606</v>
      </c>
      <c r="E865" s="29">
        <v>107</v>
      </c>
      <c r="F865" s="30"/>
      <c r="G865" s="31">
        <v>99.6</v>
      </c>
      <c r="H865" s="30"/>
      <c r="I865" s="30"/>
      <c r="J865" s="30"/>
      <c r="K865" s="30"/>
      <c r="L865" s="30"/>
      <c r="M865" s="31">
        <v>-0.02</v>
      </c>
      <c r="N865" s="31">
        <v>3.51</v>
      </c>
      <c r="O865" s="30"/>
      <c r="P865" s="30"/>
      <c r="Q865" s="30"/>
      <c r="R865" s="31">
        <v>103.09</v>
      </c>
      <c r="S865" s="142">
        <f t="shared" si="103"/>
        <v>99.6</v>
      </c>
      <c r="T865" s="142">
        <f t="shared" si="104"/>
        <v>0</v>
      </c>
      <c r="U865" s="142">
        <f t="shared" si="105"/>
        <v>3.51</v>
      </c>
      <c r="W865" s="601">
        <f t="shared" si="106"/>
        <v>103.09</v>
      </c>
      <c r="X865" s="601">
        <f t="shared" si="107"/>
        <v>0</v>
      </c>
      <c r="Y865" s="123"/>
      <c r="Z865" s="692">
        <f t="shared" si="108"/>
        <v>99.6</v>
      </c>
    </row>
    <row r="866" spans="1:26" customFormat="1" ht="12.75" hidden="1" thickBot="1">
      <c r="A866" s="25" t="s">
        <v>1222</v>
      </c>
      <c r="B866" s="25" t="s">
        <v>329</v>
      </c>
      <c r="C866" s="25" t="s">
        <v>962</v>
      </c>
      <c r="D866" s="693" t="s">
        <v>606</v>
      </c>
      <c r="E866" s="26">
        <v>5329</v>
      </c>
      <c r="F866" s="27"/>
      <c r="G866" s="28">
        <v>4695.01</v>
      </c>
      <c r="H866" s="27"/>
      <c r="I866" s="27"/>
      <c r="J866" s="27"/>
      <c r="K866" s="27"/>
      <c r="L866" s="27"/>
      <c r="M866" s="28">
        <v>0.06</v>
      </c>
      <c r="N866" s="28">
        <v>161.96</v>
      </c>
      <c r="O866" s="27"/>
      <c r="P866" s="27"/>
      <c r="Q866" s="28">
        <v>0</v>
      </c>
      <c r="R866" s="28">
        <v>4857.03</v>
      </c>
      <c r="S866" s="142">
        <f t="shared" si="103"/>
        <v>4695.01</v>
      </c>
      <c r="T866" s="142">
        <f t="shared" si="104"/>
        <v>0</v>
      </c>
      <c r="U866" s="142">
        <f t="shared" si="105"/>
        <v>161.96</v>
      </c>
      <c r="W866" s="601">
        <f t="shared" si="106"/>
        <v>4857.0300000000007</v>
      </c>
      <c r="X866" s="601">
        <f t="shared" si="107"/>
        <v>0</v>
      </c>
      <c r="Y866" s="123"/>
      <c r="Z866" s="692">
        <f t="shared" si="108"/>
        <v>4695.01</v>
      </c>
    </row>
    <row r="867" spans="1:26" customFormat="1" ht="12.75" hidden="1" thickBot="1">
      <c r="A867" s="25" t="s">
        <v>1222</v>
      </c>
      <c r="B867" s="25" t="s">
        <v>330</v>
      </c>
      <c r="C867" s="25" t="s">
        <v>963</v>
      </c>
      <c r="D867" s="693" t="s">
        <v>606</v>
      </c>
      <c r="E867" s="29">
        <v>69754</v>
      </c>
      <c r="F867" s="30"/>
      <c r="G867" s="31">
        <v>44653.55</v>
      </c>
      <c r="H867" s="30"/>
      <c r="I867" s="30"/>
      <c r="J867" s="30"/>
      <c r="K867" s="30"/>
      <c r="L867" s="30"/>
      <c r="M867" s="31">
        <v>-11.75</v>
      </c>
      <c r="N867" s="31">
        <v>1568.56</v>
      </c>
      <c r="O867" s="30"/>
      <c r="P867" s="30"/>
      <c r="Q867" s="31">
        <v>0</v>
      </c>
      <c r="R867" s="31">
        <v>46210.36</v>
      </c>
      <c r="S867" s="142">
        <f t="shared" si="103"/>
        <v>44653.55</v>
      </c>
      <c r="T867" s="142">
        <f t="shared" si="104"/>
        <v>0</v>
      </c>
      <c r="U867" s="142">
        <f t="shared" si="105"/>
        <v>1568.56</v>
      </c>
      <c r="W867" s="601">
        <f t="shared" si="106"/>
        <v>46210.36</v>
      </c>
      <c r="X867" s="601">
        <f t="shared" si="107"/>
        <v>0</v>
      </c>
      <c r="Y867" s="123"/>
      <c r="Z867" s="692">
        <f t="shared" si="108"/>
        <v>44653.55</v>
      </c>
    </row>
    <row r="868" spans="1:26" customFormat="1" ht="12.75" hidden="1" thickBot="1">
      <c r="A868" s="25" t="s">
        <v>1222</v>
      </c>
      <c r="B868" s="25" t="s">
        <v>332</v>
      </c>
      <c r="C868" s="25" t="s">
        <v>964</v>
      </c>
      <c r="D868" s="693" t="s">
        <v>606</v>
      </c>
      <c r="E868" s="26">
        <v>869</v>
      </c>
      <c r="F868" s="27"/>
      <c r="G868" s="28">
        <v>766.84</v>
      </c>
      <c r="H868" s="27"/>
      <c r="I868" s="27"/>
      <c r="J868" s="27"/>
      <c r="K868" s="27"/>
      <c r="L868" s="27"/>
      <c r="M868" s="28">
        <v>-0.12</v>
      </c>
      <c r="N868" s="28">
        <v>26.98</v>
      </c>
      <c r="O868" s="27"/>
      <c r="P868" s="27"/>
      <c r="Q868" s="28">
        <v>0</v>
      </c>
      <c r="R868" s="28">
        <v>793.7</v>
      </c>
      <c r="S868" s="142">
        <f t="shared" si="103"/>
        <v>766.84</v>
      </c>
      <c r="T868" s="142">
        <f t="shared" si="104"/>
        <v>0</v>
      </c>
      <c r="U868" s="142">
        <f t="shared" si="105"/>
        <v>26.98</v>
      </c>
      <c r="W868" s="601">
        <f t="shared" si="106"/>
        <v>793.7</v>
      </c>
      <c r="X868" s="601">
        <f t="shared" si="107"/>
        <v>0</v>
      </c>
      <c r="Y868" s="123"/>
      <c r="Z868" s="692">
        <f t="shared" si="108"/>
        <v>766.84</v>
      </c>
    </row>
    <row r="869" spans="1:26" customFormat="1" ht="12.75" hidden="1" thickBot="1">
      <c r="A869" s="25" t="s">
        <v>1222</v>
      </c>
      <c r="B869" s="25" t="s">
        <v>333</v>
      </c>
      <c r="C869" s="25" t="s">
        <v>965</v>
      </c>
      <c r="D869" s="693" t="s">
        <v>606</v>
      </c>
      <c r="E869" s="29">
        <v>59568</v>
      </c>
      <c r="F869" s="30"/>
      <c r="G869" s="31">
        <v>42524.84</v>
      </c>
      <c r="H869" s="30"/>
      <c r="I869" s="30"/>
      <c r="J869" s="30"/>
      <c r="K869" s="30"/>
      <c r="L869" s="30"/>
      <c r="M869" s="31">
        <v>-11.24</v>
      </c>
      <c r="N869" s="31">
        <v>1495.74</v>
      </c>
      <c r="O869" s="30"/>
      <c r="P869" s="30"/>
      <c r="Q869" s="31">
        <v>0</v>
      </c>
      <c r="R869" s="31">
        <v>44009.34</v>
      </c>
      <c r="S869" s="142">
        <f t="shared" si="103"/>
        <v>42524.84</v>
      </c>
      <c r="T869" s="142">
        <f t="shared" si="104"/>
        <v>0</v>
      </c>
      <c r="U869" s="142">
        <f t="shared" si="105"/>
        <v>1495.74</v>
      </c>
      <c r="W869" s="601">
        <f t="shared" si="106"/>
        <v>44009.34</v>
      </c>
      <c r="X869" s="601">
        <f t="shared" si="107"/>
        <v>0</v>
      </c>
      <c r="Y869" s="123"/>
      <c r="Z869" s="692">
        <f t="shared" si="108"/>
        <v>42524.84</v>
      </c>
    </row>
    <row r="870" spans="1:26" customFormat="1" ht="12.75" hidden="1" thickBot="1">
      <c r="A870" s="25" t="s">
        <v>1222</v>
      </c>
      <c r="B870" s="25" t="s">
        <v>334</v>
      </c>
      <c r="C870" s="25" t="s">
        <v>966</v>
      </c>
      <c r="D870" s="693" t="s">
        <v>498</v>
      </c>
      <c r="E870" s="26">
        <v>1301</v>
      </c>
      <c r="F870" s="27"/>
      <c r="G870" s="28">
        <v>947.2</v>
      </c>
      <c r="H870" s="27"/>
      <c r="I870" s="27"/>
      <c r="J870" s="27"/>
      <c r="K870" s="27"/>
      <c r="L870" s="27"/>
      <c r="M870" s="28">
        <v>-0.25</v>
      </c>
      <c r="N870" s="28">
        <v>33.340000000000003</v>
      </c>
      <c r="O870" s="27"/>
      <c r="P870" s="27"/>
      <c r="Q870" s="28">
        <v>0</v>
      </c>
      <c r="R870" s="28">
        <v>980.29</v>
      </c>
      <c r="S870" s="142">
        <f t="shared" si="103"/>
        <v>947.2</v>
      </c>
      <c r="T870" s="142">
        <f t="shared" si="104"/>
        <v>0</v>
      </c>
      <c r="U870" s="142">
        <f t="shared" si="105"/>
        <v>33.340000000000003</v>
      </c>
      <c r="W870" s="601">
        <f t="shared" si="106"/>
        <v>980.29000000000008</v>
      </c>
      <c r="X870" s="601">
        <f t="shared" si="107"/>
        <v>0</v>
      </c>
      <c r="Y870" s="123"/>
      <c r="Z870" s="692">
        <f t="shared" si="108"/>
        <v>947.2</v>
      </c>
    </row>
    <row r="871" spans="1:26" customFormat="1" ht="12.75" hidden="1" thickBot="1">
      <c r="A871" s="25" t="s">
        <v>1222</v>
      </c>
      <c r="B871" s="25" t="s">
        <v>336</v>
      </c>
      <c r="C871" s="25" t="s">
        <v>967</v>
      </c>
      <c r="D871" s="693" t="s">
        <v>498</v>
      </c>
      <c r="E871" s="29">
        <v>5580</v>
      </c>
      <c r="F871" s="30"/>
      <c r="G871" s="31">
        <v>2772.03</v>
      </c>
      <c r="H871" s="30"/>
      <c r="I871" s="30"/>
      <c r="J871" s="30"/>
      <c r="K871" s="30"/>
      <c r="L871" s="30"/>
      <c r="M871" s="31">
        <v>-1.1000000000000001</v>
      </c>
      <c r="N871" s="31">
        <v>97.58</v>
      </c>
      <c r="O871" s="30"/>
      <c r="P871" s="30"/>
      <c r="Q871" s="31">
        <v>0</v>
      </c>
      <c r="R871" s="31">
        <v>2868.51</v>
      </c>
      <c r="S871" s="142">
        <f t="shared" si="103"/>
        <v>2772.03</v>
      </c>
      <c r="T871" s="142">
        <f t="shared" si="104"/>
        <v>0</v>
      </c>
      <c r="U871" s="142">
        <f t="shared" si="105"/>
        <v>97.58</v>
      </c>
      <c r="W871" s="601">
        <f t="shared" si="106"/>
        <v>2868.51</v>
      </c>
      <c r="X871" s="601">
        <f t="shared" si="107"/>
        <v>0</v>
      </c>
      <c r="Y871" s="123"/>
      <c r="Z871" s="692">
        <f t="shared" si="108"/>
        <v>2772.03</v>
      </c>
    </row>
    <row r="872" spans="1:26" customFormat="1" ht="12.75" hidden="1" thickBot="1">
      <c r="A872" s="25" t="s">
        <v>1222</v>
      </c>
      <c r="B872" s="25" t="s">
        <v>337</v>
      </c>
      <c r="C872" s="25" t="s">
        <v>968</v>
      </c>
      <c r="D872" s="693" t="s">
        <v>606</v>
      </c>
      <c r="E872" s="26">
        <v>2580</v>
      </c>
      <c r="F872" s="27"/>
      <c r="G872" s="28">
        <v>1614.06</v>
      </c>
      <c r="H872" s="27"/>
      <c r="I872" s="27"/>
      <c r="J872" s="27"/>
      <c r="K872" s="27"/>
      <c r="L872" s="27"/>
      <c r="M872" s="28">
        <v>-0.51</v>
      </c>
      <c r="N872" s="28">
        <v>56.8</v>
      </c>
      <c r="O872" s="27"/>
      <c r="P872" s="27"/>
      <c r="Q872" s="28">
        <v>0</v>
      </c>
      <c r="R872" s="28">
        <v>1670.35</v>
      </c>
      <c r="S872" s="142">
        <f t="shared" si="103"/>
        <v>1614.06</v>
      </c>
      <c r="T872" s="142">
        <f t="shared" si="104"/>
        <v>0</v>
      </c>
      <c r="U872" s="142">
        <f t="shared" si="105"/>
        <v>56.8</v>
      </c>
      <c r="W872" s="601">
        <f t="shared" si="106"/>
        <v>1670.35</v>
      </c>
      <c r="X872" s="601">
        <f t="shared" si="107"/>
        <v>0</v>
      </c>
      <c r="Y872" s="123"/>
      <c r="Z872" s="692">
        <f t="shared" si="108"/>
        <v>1614.06</v>
      </c>
    </row>
    <row r="873" spans="1:26" customFormat="1" ht="12.75" hidden="1" thickBot="1">
      <c r="A873" s="25" t="s">
        <v>1222</v>
      </c>
      <c r="B873" s="25" t="s">
        <v>338</v>
      </c>
      <c r="C873" s="25" t="s">
        <v>969</v>
      </c>
      <c r="D873" s="693" t="s">
        <v>606</v>
      </c>
      <c r="E873" s="29">
        <v>14529</v>
      </c>
      <c r="F873" s="30"/>
      <c r="G873" s="31">
        <v>5947.66</v>
      </c>
      <c r="H873" s="30"/>
      <c r="I873" s="30"/>
      <c r="J873" s="30"/>
      <c r="K873" s="30"/>
      <c r="L873" s="30"/>
      <c r="M873" s="31">
        <v>-2.62</v>
      </c>
      <c r="N873" s="31">
        <v>209.17</v>
      </c>
      <c r="O873" s="30"/>
      <c r="P873" s="30"/>
      <c r="Q873" s="31">
        <v>0</v>
      </c>
      <c r="R873" s="31">
        <v>6154.21</v>
      </c>
      <c r="S873" s="142">
        <f t="shared" si="103"/>
        <v>5947.66</v>
      </c>
      <c r="T873" s="142">
        <f t="shared" si="104"/>
        <v>0</v>
      </c>
      <c r="U873" s="142">
        <f t="shared" si="105"/>
        <v>209.17</v>
      </c>
      <c r="W873" s="601">
        <f t="shared" si="106"/>
        <v>6154.21</v>
      </c>
      <c r="X873" s="601">
        <f t="shared" si="107"/>
        <v>0</v>
      </c>
      <c r="Y873" s="123"/>
      <c r="Z873" s="692">
        <f t="shared" si="108"/>
        <v>5947.66</v>
      </c>
    </row>
    <row r="874" spans="1:26" customFormat="1" ht="12.75" hidden="1" thickBot="1">
      <c r="A874" s="25" t="s">
        <v>1222</v>
      </c>
      <c r="B874" s="25" t="s">
        <v>339</v>
      </c>
      <c r="C874" s="25" t="s">
        <v>970</v>
      </c>
      <c r="D874" s="693" t="s">
        <v>606</v>
      </c>
      <c r="E874" s="26">
        <v>50046</v>
      </c>
      <c r="F874" s="27"/>
      <c r="G874" s="28">
        <v>14856.93</v>
      </c>
      <c r="H874" s="27"/>
      <c r="I874" s="27"/>
      <c r="J874" s="27"/>
      <c r="K874" s="27"/>
      <c r="L874" s="27"/>
      <c r="M874" s="28">
        <v>-8.85</v>
      </c>
      <c r="N874" s="28">
        <v>522.12</v>
      </c>
      <c r="O874" s="27"/>
      <c r="P874" s="27"/>
      <c r="Q874" s="28">
        <v>0</v>
      </c>
      <c r="R874" s="28">
        <v>15370.2</v>
      </c>
      <c r="S874" s="142">
        <f t="shared" si="103"/>
        <v>14856.93</v>
      </c>
      <c r="T874" s="142">
        <f t="shared" si="104"/>
        <v>0</v>
      </c>
      <c r="U874" s="142">
        <f t="shared" si="105"/>
        <v>522.12</v>
      </c>
      <c r="W874" s="601">
        <f t="shared" si="106"/>
        <v>15370.2</v>
      </c>
      <c r="X874" s="601">
        <f t="shared" si="107"/>
        <v>0</v>
      </c>
      <c r="Y874" s="123"/>
      <c r="Z874" s="692">
        <f t="shared" si="108"/>
        <v>14856.93</v>
      </c>
    </row>
    <row r="875" spans="1:26" customFormat="1" ht="12.75" hidden="1" thickBot="1">
      <c r="A875" s="25" t="s">
        <v>1222</v>
      </c>
      <c r="B875" s="25" t="s">
        <v>340</v>
      </c>
      <c r="C875" s="25" t="s">
        <v>971</v>
      </c>
      <c r="D875" s="693" t="s">
        <v>606</v>
      </c>
      <c r="E875" s="29">
        <v>1075</v>
      </c>
      <c r="F875" s="30"/>
      <c r="G875" s="31">
        <v>579.70000000000005</v>
      </c>
      <c r="H875" s="30"/>
      <c r="I875" s="30"/>
      <c r="J875" s="30"/>
      <c r="K875" s="30"/>
      <c r="L875" s="30"/>
      <c r="M875" s="31">
        <v>-0.22</v>
      </c>
      <c r="N875" s="31">
        <v>20.420000000000002</v>
      </c>
      <c r="O875" s="30"/>
      <c r="P875" s="30"/>
      <c r="Q875" s="31">
        <v>0</v>
      </c>
      <c r="R875" s="31">
        <v>599.9</v>
      </c>
      <c r="S875" s="142">
        <f t="shared" ref="S875:S926" si="109">G875+H875+I875</f>
        <v>579.70000000000005</v>
      </c>
      <c r="T875" s="142">
        <f t="shared" ref="T875:T926" si="110">J875+K875</f>
        <v>0</v>
      </c>
      <c r="U875" s="142">
        <f t="shared" ref="U875:U926" si="111">N875+O875</f>
        <v>20.420000000000002</v>
      </c>
      <c r="W875" s="601">
        <f t="shared" si="106"/>
        <v>599.9</v>
      </c>
      <c r="X875" s="601">
        <f t="shared" si="107"/>
        <v>0</v>
      </c>
      <c r="Y875" s="123"/>
      <c r="Z875" s="692">
        <f t="shared" si="108"/>
        <v>579.70000000000005</v>
      </c>
    </row>
    <row r="876" spans="1:26" customFormat="1" ht="12.75" hidden="1" thickBot="1">
      <c r="A876" s="25" t="s">
        <v>1222</v>
      </c>
      <c r="B876" s="25" t="s">
        <v>341</v>
      </c>
      <c r="C876" s="25" t="s">
        <v>972</v>
      </c>
      <c r="D876" s="693" t="s">
        <v>606</v>
      </c>
      <c r="E876" s="26">
        <v>38174</v>
      </c>
      <c r="F876" s="27"/>
      <c r="G876" s="28">
        <v>13293.02</v>
      </c>
      <c r="H876" s="27"/>
      <c r="I876" s="27"/>
      <c r="J876" s="27"/>
      <c r="K876" s="27"/>
      <c r="L876" s="27"/>
      <c r="M876" s="28">
        <v>-7.27</v>
      </c>
      <c r="N876" s="28">
        <v>467.65</v>
      </c>
      <c r="O876" s="27"/>
      <c r="P876" s="27"/>
      <c r="Q876" s="28">
        <v>0</v>
      </c>
      <c r="R876" s="28">
        <v>13753.4</v>
      </c>
      <c r="S876" s="142">
        <f t="shared" si="109"/>
        <v>13293.02</v>
      </c>
      <c r="T876" s="142">
        <f t="shared" si="110"/>
        <v>0</v>
      </c>
      <c r="U876" s="142">
        <f t="shared" si="111"/>
        <v>467.65</v>
      </c>
      <c r="W876" s="601">
        <f t="shared" si="106"/>
        <v>13753.4</v>
      </c>
      <c r="X876" s="601">
        <f t="shared" si="107"/>
        <v>0</v>
      </c>
      <c r="Y876" s="123"/>
      <c r="Z876" s="692">
        <f t="shared" si="108"/>
        <v>13293.02</v>
      </c>
    </row>
    <row r="877" spans="1:26" customFormat="1" ht="12.75" hidden="1" thickBot="1">
      <c r="A877" s="25" t="s">
        <v>1222</v>
      </c>
      <c r="B877" s="25" t="s">
        <v>342</v>
      </c>
      <c r="C877" s="25" t="s">
        <v>973</v>
      </c>
      <c r="D877" s="693" t="s">
        <v>606</v>
      </c>
      <c r="E877" s="29">
        <v>4502</v>
      </c>
      <c r="F877" s="30"/>
      <c r="G877" s="31">
        <v>1191.05</v>
      </c>
      <c r="H877" s="30"/>
      <c r="I877" s="30"/>
      <c r="J877" s="30"/>
      <c r="K877" s="30"/>
      <c r="L877" s="30"/>
      <c r="M877" s="31">
        <v>-0.24</v>
      </c>
      <c r="N877" s="31">
        <v>41.57</v>
      </c>
      <c r="O877" s="30"/>
      <c r="P877" s="30"/>
      <c r="Q877" s="31">
        <v>0</v>
      </c>
      <c r="R877" s="31">
        <v>1232.3800000000001</v>
      </c>
      <c r="S877" s="142">
        <f t="shared" si="109"/>
        <v>1191.05</v>
      </c>
      <c r="T877" s="142">
        <f t="shared" si="110"/>
        <v>0</v>
      </c>
      <c r="U877" s="142">
        <f t="shared" si="111"/>
        <v>41.57</v>
      </c>
      <c r="W877" s="601">
        <f t="shared" si="106"/>
        <v>1232.3799999999999</v>
      </c>
      <c r="X877" s="601">
        <f t="shared" si="107"/>
        <v>0</v>
      </c>
      <c r="Y877" s="123"/>
      <c r="Z877" s="692">
        <f t="shared" si="108"/>
        <v>1191.05</v>
      </c>
    </row>
    <row r="878" spans="1:26" customFormat="1" ht="12.75" hidden="1" thickBot="1">
      <c r="A878" s="25" t="s">
        <v>1222</v>
      </c>
      <c r="B878" s="25" t="s">
        <v>343</v>
      </c>
      <c r="C878" s="25" t="s">
        <v>974</v>
      </c>
      <c r="D878" s="693" t="s">
        <v>498</v>
      </c>
      <c r="E878" s="26">
        <v>961</v>
      </c>
      <c r="F878" s="27"/>
      <c r="G878" s="28">
        <v>1383.38</v>
      </c>
      <c r="H878" s="27"/>
      <c r="I878" s="27"/>
      <c r="J878" s="27"/>
      <c r="K878" s="27"/>
      <c r="L878" s="27"/>
      <c r="M878" s="28">
        <v>-0.19</v>
      </c>
      <c r="N878" s="28">
        <v>48.69</v>
      </c>
      <c r="O878" s="27"/>
      <c r="P878" s="27"/>
      <c r="Q878" s="28">
        <v>0</v>
      </c>
      <c r="R878" s="28">
        <v>1431.88</v>
      </c>
      <c r="S878" s="142">
        <f t="shared" si="109"/>
        <v>1383.38</v>
      </c>
      <c r="T878" s="142">
        <f t="shared" si="110"/>
        <v>0</v>
      </c>
      <c r="U878" s="142">
        <f t="shared" si="111"/>
        <v>48.69</v>
      </c>
      <c r="W878" s="601">
        <f t="shared" si="106"/>
        <v>1431.88</v>
      </c>
      <c r="X878" s="601">
        <f t="shared" si="107"/>
        <v>0</v>
      </c>
      <c r="Y878" s="123"/>
      <c r="Z878" s="692">
        <f t="shared" si="108"/>
        <v>1383.38</v>
      </c>
    </row>
    <row r="879" spans="1:26" customFormat="1" ht="12.75" hidden="1" thickBot="1">
      <c r="A879" s="25" t="s">
        <v>1222</v>
      </c>
      <c r="B879" s="25" t="s">
        <v>344</v>
      </c>
      <c r="C879" s="25" t="s">
        <v>975</v>
      </c>
      <c r="D879" s="693" t="s">
        <v>606</v>
      </c>
      <c r="E879" s="29">
        <v>1226</v>
      </c>
      <c r="F879" s="30"/>
      <c r="G879" s="31">
        <v>1916.46</v>
      </c>
      <c r="H879" s="30"/>
      <c r="I879" s="30"/>
      <c r="J879" s="30"/>
      <c r="K879" s="30"/>
      <c r="L879" s="30"/>
      <c r="M879" s="31">
        <v>-0.24</v>
      </c>
      <c r="N879" s="31">
        <v>67.459999999999994</v>
      </c>
      <c r="O879" s="30"/>
      <c r="P879" s="30"/>
      <c r="Q879" s="31">
        <v>0</v>
      </c>
      <c r="R879" s="31">
        <v>1983.68</v>
      </c>
      <c r="S879" s="142">
        <f t="shared" si="109"/>
        <v>1916.46</v>
      </c>
      <c r="T879" s="142">
        <f t="shared" si="110"/>
        <v>0</v>
      </c>
      <c r="U879" s="142">
        <f t="shared" si="111"/>
        <v>67.459999999999994</v>
      </c>
      <c r="W879" s="601">
        <f t="shared" si="106"/>
        <v>1983.68</v>
      </c>
      <c r="X879" s="601">
        <f t="shared" si="107"/>
        <v>0</v>
      </c>
      <c r="Y879" s="123"/>
      <c r="Z879" s="692">
        <f t="shared" si="108"/>
        <v>1916.46</v>
      </c>
    </row>
    <row r="880" spans="1:26" customFormat="1" ht="12.75" hidden="1" thickBot="1">
      <c r="A880" s="25" t="s">
        <v>1222</v>
      </c>
      <c r="B880" s="25" t="s">
        <v>345</v>
      </c>
      <c r="C880" s="25" t="s">
        <v>976</v>
      </c>
      <c r="D880" s="693" t="s">
        <v>498</v>
      </c>
      <c r="E880" s="26">
        <v>7274</v>
      </c>
      <c r="F880" s="27"/>
      <c r="G880" s="28">
        <v>7800.16</v>
      </c>
      <c r="H880" s="27"/>
      <c r="I880" s="27"/>
      <c r="J880" s="27"/>
      <c r="K880" s="27"/>
      <c r="L880" s="27"/>
      <c r="M880" s="28">
        <v>-1.38</v>
      </c>
      <c r="N880" s="28">
        <v>274.52</v>
      </c>
      <c r="O880" s="27"/>
      <c r="P880" s="27"/>
      <c r="Q880" s="28">
        <v>0</v>
      </c>
      <c r="R880" s="28">
        <v>8073.3</v>
      </c>
      <c r="S880" s="142">
        <f t="shared" si="109"/>
        <v>7800.16</v>
      </c>
      <c r="T880" s="142">
        <f t="shared" si="110"/>
        <v>0</v>
      </c>
      <c r="U880" s="142">
        <f t="shared" si="111"/>
        <v>274.52</v>
      </c>
      <c r="W880" s="601">
        <f t="shared" si="106"/>
        <v>8073.2999999999993</v>
      </c>
      <c r="X880" s="601">
        <f t="shared" si="107"/>
        <v>0</v>
      </c>
      <c r="Y880" s="123"/>
      <c r="Z880" s="692">
        <f t="shared" si="108"/>
        <v>7800.16</v>
      </c>
    </row>
    <row r="881" spans="1:26" customFormat="1" ht="12.75" hidden="1" thickBot="1">
      <c r="A881" s="25" t="s">
        <v>1222</v>
      </c>
      <c r="B881" s="25" t="s">
        <v>346</v>
      </c>
      <c r="C881" s="25" t="s">
        <v>977</v>
      </c>
      <c r="D881" s="693" t="s">
        <v>606</v>
      </c>
      <c r="E881" s="29">
        <v>7220</v>
      </c>
      <c r="F881" s="30"/>
      <c r="G881" s="31">
        <v>8528.02</v>
      </c>
      <c r="H881" s="30"/>
      <c r="I881" s="30"/>
      <c r="J881" s="30"/>
      <c r="K881" s="30"/>
      <c r="L881" s="30"/>
      <c r="M881" s="31">
        <v>2.57</v>
      </c>
      <c r="N881" s="31">
        <v>290.75</v>
      </c>
      <c r="O881" s="30"/>
      <c r="P881" s="30"/>
      <c r="Q881" s="31">
        <v>0</v>
      </c>
      <c r="R881" s="31">
        <v>8821.34</v>
      </c>
      <c r="S881" s="142">
        <f t="shared" si="109"/>
        <v>8528.02</v>
      </c>
      <c r="T881" s="142">
        <f t="shared" si="110"/>
        <v>0</v>
      </c>
      <c r="U881" s="142">
        <f t="shared" si="111"/>
        <v>290.75</v>
      </c>
      <c r="W881" s="601">
        <f t="shared" si="106"/>
        <v>8821.34</v>
      </c>
      <c r="X881" s="601">
        <f t="shared" si="107"/>
        <v>0</v>
      </c>
      <c r="Y881" s="123"/>
      <c r="Z881" s="692">
        <f t="shared" si="108"/>
        <v>8528.02</v>
      </c>
    </row>
    <row r="882" spans="1:26" customFormat="1" ht="12.75" hidden="1" thickBot="1">
      <c r="A882" s="25" t="s">
        <v>1222</v>
      </c>
      <c r="B882" s="25" t="s">
        <v>347</v>
      </c>
      <c r="C882" s="25" t="s">
        <v>978</v>
      </c>
      <c r="D882" s="693" t="s">
        <v>498</v>
      </c>
      <c r="E882" s="26">
        <v>299</v>
      </c>
      <c r="F882" s="27"/>
      <c r="G882" s="28">
        <v>419.38</v>
      </c>
      <c r="H882" s="27"/>
      <c r="I882" s="27"/>
      <c r="J882" s="27"/>
      <c r="K882" s="27"/>
      <c r="L882" s="27"/>
      <c r="M882" s="28">
        <v>-0.05</v>
      </c>
      <c r="N882" s="28">
        <v>14.77</v>
      </c>
      <c r="O882" s="27"/>
      <c r="P882" s="27"/>
      <c r="Q882" s="28">
        <v>0</v>
      </c>
      <c r="R882" s="28">
        <v>434.1</v>
      </c>
      <c r="S882" s="142">
        <f t="shared" si="109"/>
        <v>419.38</v>
      </c>
      <c r="T882" s="142">
        <f t="shared" si="110"/>
        <v>0</v>
      </c>
      <c r="U882" s="142">
        <f t="shared" si="111"/>
        <v>14.77</v>
      </c>
      <c r="W882" s="601">
        <f t="shared" si="106"/>
        <v>434.09999999999997</v>
      </c>
      <c r="X882" s="601">
        <f t="shared" si="107"/>
        <v>0</v>
      </c>
      <c r="Y882" s="123"/>
      <c r="Z882" s="692">
        <f t="shared" si="108"/>
        <v>419.38</v>
      </c>
    </row>
    <row r="883" spans="1:26" customFormat="1" ht="12.75" hidden="1" thickBot="1">
      <c r="A883" s="25" t="s">
        <v>1222</v>
      </c>
      <c r="B883" s="25" t="s">
        <v>348</v>
      </c>
      <c r="C883" s="25" t="s">
        <v>979</v>
      </c>
      <c r="D883" s="693" t="s">
        <v>606</v>
      </c>
      <c r="E883" s="29">
        <v>987</v>
      </c>
      <c r="F883" s="30"/>
      <c r="G883" s="31">
        <v>1647.83</v>
      </c>
      <c r="H883" s="30"/>
      <c r="I883" s="30"/>
      <c r="J883" s="30"/>
      <c r="K883" s="30"/>
      <c r="L883" s="30"/>
      <c r="M883" s="31">
        <v>-0.18</v>
      </c>
      <c r="N883" s="31">
        <v>57.99</v>
      </c>
      <c r="O883" s="30"/>
      <c r="P883" s="30"/>
      <c r="Q883" s="31">
        <v>0</v>
      </c>
      <c r="R883" s="31">
        <v>1705.64</v>
      </c>
      <c r="S883" s="142">
        <f t="shared" si="109"/>
        <v>1647.83</v>
      </c>
      <c r="T883" s="142">
        <f t="shared" si="110"/>
        <v>0</v>
      </c>
      <c r="U883" s="142">
        <f t="shared" si="111"/>
        <v>57.99</v>
      </c>
      <c r="W883" s="601">
        <f t="shared" si="106"/>
        <v>1705.6399999999999</v>
      </c>
      <c r="X883" s="601">
        <f t="shared" si="107"/>
        <v>0</v>
      </c>
      <c r="Y883" s="123"/>
      <c r="Z883" s="692">
        <f t="shared" si="108"/>
        <v>1647.83</v>
      </c>
    </row>
    <row r="884" spans="1:26" customFormat="1" ht="12.75" hidden="1" thickBot="1">
      <c r="A884" s="25" t="s">
        <v>1222</v>
      </c>
      <c r="B884" s="25" t="s">
        <v>376</v>
      </c>
      <c r="C884" s="25" t="s">
        <v>980</v>
      </c>
      <c r="D884" s="693" t="s">
        <v>498</v>
      </c>
      <c r="E884" s="26">
        <v>306</v>
      </c>
      <c r="F884" s="27"/>
      <c r="G884" s="28">
        <v>346.77</v>
      </c>
      <c r="H884" s="27"/>
      <c r="I884" s="27"/>
      <c r="J884" s="27"/>
      <c r="K884" s="27"/>
      <c r="L884" s="27"/>
      <c r="M884" s="28">
        <v>-0.06</v>
      </c>
      <c r="N884" s="28">
        <v>12.2</v>
      </c>
      <c r="O884" s="27"/>
      <c r="P884" s="27"/>
      <c r="Q884" s="28">
        <v>0</v>
      </c>
      <c r="R884" s="28">
        <v>358.91</v>
      </c>
      <c r="S884" s="142">
        <f t="shared" si="109"/>
        <v>346.77</v>
      </c>
      <c r="T884" s="142">
        <f t="shared" si="110"/>
        <v>0</v>
      </c>
      <c r="U884" s="142">
        <f t="shared" si="111"/>
        <v>12.2</v>
      </c>
      <c r="W884" s="601">
        <f t="shared" si="106"/>
        <v>358.90999999999997</v>
      </c>
      <c r="X884" s="601">
        <f t="shared" si="107"/>
        <v>0</v>
      </c>
      <c r="Y884" s="123"/>
      <c r="Z884" s="692">
        <f t="shared" si="108"/>
        <v>346.77</v>
      </c>
    </row>
    <row r="885" spans="1:26" customFormat="1" ht="12.75" hidden="1" thickBot="1">
      <c r="A885" s="25" t="s">
        <v>1222</v>
      </c>
      <c r="B885" s="25" t="s">
        <v>349</v>
      </c>
      <c r="C885" s="25" t="s">
        <v>981</v>
      </c>
      <c r="D885" s="693" t="s">
        <v>606</v>
      </c>
      <c r="E885" s="29">
        <v>6258</v>
      </c>
      <c r="F885" s="30"/>
      <c r="G885" s="31">
        <v>7755.74</v>
      </c>
      <c r="H885" s="30"/>
      <c r="I885" s="30"/>
      <c r="J885" s="30"/>
      <c r="K885" s="30"/>
      <c r="L885" s="30"/>
      <c r="M885" s="31">
        <v>-0.96</v>
      </c>
      <c r="N885" s="31">
        <v>272.41000000000003</v>
      </c>
      <c r="O885" s="30"/>
      <c r="P885" s="30"/>
      <c r="Q885" s="31">
        <v>0</v>
      </c>
      <c r="R885" s="31">
        <v>8027.19</v>
      </c>
      <c r="S885" s="142">
        <f t="shared" si="109"/>
        <v>7755.74</v>
      </c>
      <c r="T885" s="142">
        <f t="shared" si="110"/>
        <v>0</v>
      </c>
      <c r="U885" s="142">
        <f t="shared" si="111"/>
        <v>272.41000000000003</v>
      </c>
      <c r="W885" s="601">
        <f t="shared" si="106"/>
        <v>8027.19</v>
      </c>
      <c r="X885" s="601">
        <f t="shared" si="107"/>
        <v>0</v>
      </c>
      <c r="Y885" s="123"/>
      <c r="Z885" s="692">
        <f t="shared" si="108"/>
        <v>7755.74</v>
      </c>
    </row>
    <row r="886" spans="1:26" customFormat="1" ht="12.75" hidden="1" thickBot="1">
      <c r="A886" s="25" t="s">
        <v>1222</v>
      </c>
      <c r="B886" s="25" t="s">
        <v>730</v>
      </c>
      <c r="C886" s="25" t="s">
        <v>982</v>
      </c>
      <c r="D886" s="693" t="s">
        <v>606</v>
      </c>
      <c r="E886" s="26">
        <v>158</v>
      </c>
      <c r="F886" s="27"/>
      <c r="G886" s="28">
        <v>36.56</v>
      </c>
      <c r="H886" s="27"/>
      <c r="I886" s="27"/>
      <c r="J886" s="27"/>
      <c r="K886" s="27"/>
      <c r="L886" s="27"/>
      <c r="M886" s="28">
        <v>-0.03</v>
      </c>
      <c r="N886" s="28">
        <v>1.28</v>
      </c>
      <c r="O886" s="27"/>
      <c r="P886" s="27"/>
      <c r="Q886" s="27"/>
      <c r="R886" s="28">
        <v>37.81</v>
      </c>
      <c r="S886" s="142">
        <f t="shared" si="109"/>
        <v>36.56</v>
      </c>
      <c r="T886" s="142">
        <f t="shared" si="110"/>
        <v>0</v>
      </c>
      <c r="U886" s="142">
        <f t="shared" si="111"/>
        <v>1.28</v>
      </c>
      <c r="W886" s="601">
        <f t="shared" si="106"/>
        <v>37.81</v>
      </c>
      <c r="X886" s="601">
        <f t="shared" si="107"/>
        <v>0</v>
      </c>
      <c r="Y886" s="123"/>
      <c r="Z886" s="692">
        <f t="shared" si="108"/>
        <v>36.56</v>
      </c>
    </row>
    <row r="887" spans="1:26" customFormat="1" ht="12.75" hidden="1" thickBot="1">
      <c r="A887" s="25" t="s">
        <v>1222</v>
      </c>
      <c r="B887" s="25" t="s">
        <v>378</v>
      </c>
      <c r="C887" s="25" t="s">
        <v>983</v>
      </c>
      <c r="D887" s="693" t="s">
        <v>606</v>
      </c>
      <c r="E887" s="29">
        <v>2493</v>
      </c>
      <c r="F887" s="30"/>
      <c r="G887" s="31">
        <v>424.08</v>
      </c>
      <c r="H887" s="30"/>
      <c r="I887" s="30"/>
      <c r="J887" s="30"/>
      <c r="K887" s="30"/>
      <c r="L887" s="30"/>
      <c r="M887" s="31">
        <v>-0.27</v>
      </c>
      <c r="N887" s="31">
        <v>14.81</v>
      </c>
      <c r="O887" s="30"/>
      <c r="P887" s="30"/>
      <c r="Q887" s="30"/>
      <c r="R887" s="31">
        <v>438.62</v>
      </c>
      <c r="S887" s="142">
        <f t="shared" si="109"/>
        <v>424.08</v>
      </c>
      <c r="T887" s="142">
        <f t="shared" si="110"/>
        <v>0</v>
      </c>
      <c r="U887" s="142">
        <f t="shared" si="111"/>
        <v>14.81</v>
      </c>
      <c r="W887" s="601">
        <f t="shared" si="106"/>
        <v>438.62</v>
      </c>
      <c r="X887" s="601">
        <f t="shared" si="107"/>
        <v>0</v>
      </c>
      <c r="Y887" s="123"/>
      <c r="Z887" s="692">
        <f t="shared" si="108"/>
        <v>424.08</v>
      </c>
    </row>
    <row r="888" spans="1:26" customFormat="1" ht="12.75" hidden="1" thickBot="1">
      <c r="A888" s="25" t="s">
        <v>1222</v>
      </c>
      <c r="B888" s="25" t="s">
        <v>354</v>
      </c>
      <c r="C888" s="25" t="s">
        <v>984</v>
      </c>
      <c r="D888" s="693" t="s">
        <v>606</v>
      </c>
      <c r="E888" s="26">
        <v>327093</v>
      </c>
      <c r="F888" s="27"/>
      <c r="G888" s="28">
        <v>85678.29</v>
      </c>
      <c r="H888" s="27"/>
      <c r="I888" s="27"/>
      <c r="J888" s="27"/>
      <c r="K888" s="27"/>
      <c r="L888" s="27"/>
      <c r="M888" s="28">
        <v>-61.73</v>
      </c>
      <c r="N888" s="28">
        <v>3010.58</v>
      </c>
      <c r="O888" s="27"/>
      <c r="P888" s="27"/>
      <c r="Q888" s="28">
        <v>0</v>
      </c>
      <c r="R888" s="28">
        <v>88627.14</v>
      </c>
      <c r="S888" s="142">
        <f t="shared" si="109"/>
        <v>85678.29</v>
      </c>
      <c r="T888" s="142">
        <f t="shared" si="110"/>
        <v>0</v>
      </c>
      <c r="U888" s="142">
        <f t="shared" si="111"/>
        <v>3010.58</v>
      </c>
      <c r="W888" s="601">
        <f t="shared" si="106"/>
        <v>88627.14</v>
      </c>
      <c r="X888" s="601">
        <f t="shared" si="107"/>
        <v>0</v>
      </c>
      <c r="Y888" s="123"/>
      <c r="Z888" s="692">
        <f t="shared" si="108"/>
        <v>85678.29</v>
      </c>
    </row>
    <row r="889" spans="1:26" customFormat="1" ht="12.75" hidden="1" thickBot="1">
      <c r="A889" s="25" t="s">
        <v>1222</v>
      </c>
      <c r="B889" s="25" t="s">
        <v>355</v>
      </c>
      <c r="C889" s="25" t="s">
        <v>985</v>
      </c>
      <c r="D889" s="693" t="s">
        <v>606</v>
      </c>
      <c r="E889" s="26">
        <v>767659</v>
      </c>
      <c r="F889" s="27"/>
      <c r="G889" s="28">
        <v>143516.99</v>
      </c>
      <c r="H889" s="27"/>
      <c r="I889" s="27"/>
      <c r="J889" s="27"/>
      <c r="K889" s="27"/>
      <c r="L889" s="27"/>
      <c r="M889" s="28">
        <v>-141.49</v>
      </c>
      <c r="N889" s="28">
        <v>5044.25</v>
      </c>
      <c r="O889" s="27"/>
      <c r="P889" s="27"/>
      <c r="Q889" s="28">
        <v>0</v>
      </c>
      <c r="R889" s="28">
        <v>148419.75</v>
      </c>
      <c r="S889" s="142">
        <f t="shared" si="109"/>
        <v>143516.99</v>
      </c>
      <c r="T889" s="142">
        <f t="shared" si="110"/>
        <v>0</v>
      </c>
      <c r="U889" s="142">
        <f t="shared" si="111"/>
        <v>5044.25</v>
      </c>
      <c r="W889" s="601">
        <f t="shared" si="106"/>
        <v>148419.75</v>
      </c>
      <c r="X889" s="601">
        <f t="shared" si="107"/>
        <v>0</v>
      </c>
      <c r="Y889" s="123"/>
      <c r="Z889" s="692">
        <f t="shared" si="108"/>
        <v>143516.99</v>
      </c>
    </row>
    <row r="890" spans="1:26" customFormat="1" ht="12.75" hidden="1" thickBot="1">
      <c r="A890" s="25" t="s">
        <v>1222</v>
      </c>
      <c r="B890" s="25" t="s">
        <v>356</v>
      </c>
      <c r="C890" s="25" t="s">
        <v>986</v>
      </c>
      <c r="D890" s="693" t="s">
        <v>606</v>
      </c>
      <c r="E890" s="26">
        <v>717306</v>
      </c>
      <c r="F890" s="27"/>
      <c r="G890" s="28">
        <v>99427.94</v>
      </c>
      <c r="H890" s="27"/>
      <c r="I890" s="27"/>
      <c r="J890" s="27"/>
      <c r="K890" s="27"/>
      <c r="L890" s="27"/>
      <c r="M890" s="28">
        <v>-119.66</v>
      </c>
      <c r="N890" s="28">
        <v>3489.04</v>
      </c>
      <c r="O890" s="27"/>
      <c r="P890" s="27"/>
      <c r="Q890" s="28">
        <v>0</v>
      </c>
      <c r="R890" s="28">
        <v>102797.32</v>
      </c>
      <c r="S890" s="142">
        <f t="shared" si="109"/>
        <v>99427.94</v>
      </c>
      <c r="T890" s="142">
        <f t="shared" si="110"/>
        <v>0</v>
      </c>
      <c r="U890" s="142">
        <f t="shared" si="111"/>
        <v>3489.04</v>
      </c>
      <c r="W890" s="601">
        <f t="shared" si="106"/>
        <v>102797.31999999999</v>
      </c>
      <c r="X890" s="601">
        <f t="shared" si="107"/>
        <v>0</v>
      </c>
      <c r="Y890" s="123"/>
      <c r="Z890" s="692">
        <f t="shared" si="108"/>
        <v>99427.94</v>
      </c>
    </row>
    <row r="891" spans="1:26" customFormat="1" ht="12.75" hidden="1" thickBot="1">
      <c r="A891" s="25" t="s">
        <v>1222</v>
      </c>
      <c r="B891" s="25" t="s">
        <v>357</v>
      </c>
      <c r="C891" s="25" t="s">
        <v>987</v>
      </c>
      <c r="D891" s="693" t="s">
        <v>606</v>
      </c>
      <c r="E891" s="26">
        <v>19819</v>
      </c>
      <c r="F891" s="27"/>
      <c r="G891" s="28">
        <v>5767</v>
      </c>
      <c r="H891" s="27"/>
      <c r="I891" s="27"/>
      <c r="J891" s="27"/>
      <c r="K891" s="27"/>
      <c r="L891" s="27"/>
      <c r="M891" s="28">
        <v>-4.13</v>
      </c>
      <c r="N891" s="28">
        <v>202.07</v>
      </c>
      <c r="O891" s="27"/>
      <c r="P891" s="27"/>
      <c r="Q891" s="28">
        <v>0</v>
      </c>
      <c r="R891" s="28">
        <v>5964.94</v>
      </c>
      <c r="S891" s="142">
        <f t="shared" si="109"/>
        <v>5767</v>
      </c>
      <c r="T891" s="142">
        <f t="shared" si="110"/>
        <v>0</v>
      </c>
      <c r="U891" s="142">
        <f t="shared" si="111"/>
        <v>202.07</v>
      </c>
      <c r="W891" s="601">
        <f t="shared" si="106"/>
        <v>5964.94</v>
      </c>
      <c r="X891" s="601">
        <f t="shared" si="107"/>
        <v>0</v>
      </c>
      <c r="Y891" s="123"/>
      <c r="Z891" s="692">
        <f t="shared" si="108"/>
        <v>5767</v>
      </c>
    </row>
    <row r="892" spans="1:26" customFormat="1" ht="12.75" hidden="1" thickBot="1">
      <c r="A892" s="25" t="s">
        <v>1222</v>
      </c>
      <c r="B892" s="25" t="s">
        <v>358</v>
      </c>
      <c r="C892" s="25" t="s">
        <v>988</v>
      </c>
      <c r="D892" s="693" t="s">
        <v>606</v>
      </c>
      <c r="E892" s="29">
        <v>1648598</v>
      </c>
      <c r="F892" s="30"/>
      <c r="G892" s="31">
        <v>244101.53</v>
      </c>
      <c r="H892" s="30"/>
      <c r="I892" s="30"/>
      <c r="J892" s="30"/>
      <c r="K892" s="30"/>
      <c r="L892" s="30"/>
      <c r="M892" s="31">
        <v>-259.64</v>
      </c>
      <c r="N892" s="31">
        <v>8567.0400000000009</v>
      </c>
      <c r="O892" s="30"/>
      <c r="P892" s="30"/>
      <c r="Q892" s="31">
        <v>0</v>
      </c>
      <c r="R892" s="31">
        <v>252408.93</v>
      </c>
      <c r="S892" s="142">
        <f t="shared" si="109"/>
        <v>244101.53</v>
      </c>
      <c r="T892" s="142">
        <f t="shared" si="110"/>
        <v>0</v>
      </c>
      <c r="U892" s="142">
        <f t="shared" si="111"/>
        <v>8567.0400000000009</v>
      </c>
      <c r="W892" s="601">
        <f t="shared" si="106"/>
        <v>252408.93</v>
      </c>
      <c r="X892" s="601">
        <f t="shared" si="107"/>
        <v>0</v>
      </c>
      <c r="Y892" s="123"/>
      <c r="Z892" s="692">
        <f t="shared" si="108"/>
        <v>244101.53</v>
      </c>
    </row>
    <row r="893" spans="1:26" customFormat="1" ht="12.75" hidden="1" thickBot="1">
      <c r="A893" s="25" t="s">
        <v>1222</v>
      </c>
      <c r="B893" s="25" t="s">
        <v>359</v>
      </c>
      <c r="C893" s="25" t="s">
        <v>989</v>
      </c>
      <c r="D893" s="693" t="s">
        <v>606</v>
      </c>
      <c r="E893" s="29">
        <v>107829</v>
      </c>
      <c r="F893" s="30"/>
      <c r="G893" s="31">
        <v>38418.379999999997</v>
      </c>
      <c r="H893" s="30"/>
      <c r="I893" s="30"/>
      <c r="J893" s="30"/>
      <c r="K893" s="30"/>
      <c r="L893" s="30"/>
      <c r="M893" s="31">
        <v>-29.25</v>
      </c>
      <c r="N893" s="31">
        <v>1345.78</v>
      </c>
      <c r="O893" s="30"/>
      <c r="P893" s="30"/>
      <c r="Q893" s="31">
        <v>0</v>
      </c>
      <c r="R893" s="31">
        <v>39734.910000000003</v>
      </c>
      <c r="S893" s="142">
        <f t="shared" si="109"/>
        <v>38418.379999999997</v>
      </c>
      <c r="T893" s="142">
        <f t="shared" si="110"/>
        <v>0</v>
      </c>
      <c r="U893" s="142">
        <f t="shared" si="111"/>
        <v>1345.78</v>
      </c>
      <c r="W893" s="601">
        <f t="shared" si="106"/>
        <v>39734.909999999996</v>
      </c>
      <c r="X893" s="601">
        <f t="shared" si="107"/>
        <v>0</v>
      </c>
      <c r="Y893" s="123"/>
      <c r="Z893" s="692">
        <f t="shared" si="108"/>
        <v>38418.379999999997</v>
      </c>
    </row>
    <row r="894" spans="1:26" customFormat="1" ht="12.75" hidden="1" thickBot="1">
      <c r="A894" s="25" t="s">
        <v>1222</v>
      </c>
      <c r="B894" s="25" t="s">
        <v>360</v>
      </c>
      <c r="C894" s="25" t="s">
        <v>990</v>
      </c>
      <c r="D894" s="693" t="s">
        <v>498</v>
      </c>
      <c r="E894" s="26">
        <v>283</v>
      </c>
      <c r="F894" s="27"/>
      <c r="G894" s="28">
        <v>55.65</v>
      </c>
      <c r="H894" s="27"/>
      <c r="I894" s="27"/>
      <c r="J894" s="27"/>
      <c r="K894" s="27"/>
      <c r="L894" s="27"/>
      <c r="M894" s="28">
        <v>-0.05</v>
      </c>
      <c r="N894" s="28">
        <v>1.95</v>
      </c>
      <c r="O894" s="27"/>
      <c r="P894" s="27"/>
      <c r="Q894" s="28">
        <v>0</v>
      </c>
      <c r="R894" s="28">
        <v>57.55</v>
      </c>
      <c r="S894" s="142">
        <f t="shared" si="109"/>
        <v>55.65</v>
      </c>
      <c r="T894" s="142">
        <f t="shared" si="110"/>
        <v>0</v>
      </c>
      <c r="U894" s="142">
        <f t="shared" si="111"/>
        <v>1.95</v>
      </c>
      <c r="W894" s="601">
        <f t="shared" si="106"/>
        <v>57.550000000000004</v>
      </c>
      <c r="X894" s="601">
        <f t="shared" si="107"/>
        <v>0</v>
      </c>
      <c r="Y894" s="123"/>
      <c r="Z894" s="692">
        <f t="shared" si="108"/>
        <v>55.65</v>
      </c>
    </row>
    <row r="895" spans="1:26" customFormat="1" ht="12.75" hidden="1" thickBot="1">
      <c r="A895" s="25" t="s">
        <v>1222</v>
      </c>
      <c r="B895" s="25" t="s">
        <v>365</v>
      </c>
      <c r="C895" s="25" t="s">
        <v>991</v>
      </c>
      <c r="D895" s="693" t="s">
        <v>606</v>
      </c>
      <c r="E895" s="29">
        <v>972</v>
      </c>
      <c r="F895" s="30"/>
      <c r="G895" s="31">
        <v>311.08</v>
      </c>
      <c r="H895" s="30"/>
      <c r="I895" s="30"/>
      <c r="J895" s="30"/>
      <c r="K895" s="30"/>
      <c r="L895" s="30"/>
      <c r="M895" s="31">
        <v>-0.23</v>
      </c>
      <c r="N895" s="31">
        <v>10.94</v>
      </c>
      <c r="O895" s="30"/>
      <c r="P895" s="30"/>
      <c r="Q895" s="31">
        <v>0</v>
      </c>
      <c r="R895" s="31">
        <v>321.79000000000002</v>
      </c>
      <c r="S895" s="142">
        <f t="shared" si="109"/>
        <v>311.08</v>
      </c>
      <c r="T895" s="142">
        <f t="shared" si="110"/>
        <v>0</v>
      </c>
      <c r="U895" s="142">
        <f t="shared" si="111"/>
        <v>10.94</v>
      </c>
      <c r="W895" s="601">
        <f t="shared" si="106"/>
        <v>321.78999999999996</v>
      </c>
      <c r="X895" s="601">
        <f t="shared" si="107"/>
        <v>0</v>
      </c>
      <c r="Y895" s="123"/>
      <c r="Z895" s="692">
        <f t="shared" si="108"/>
        <v>311.08</v>
      </c>
    </row>
    <row r="896" spans="1:26" customFormat="1" ht="12.75" hidden="1" thickBot="1">
      <c r="A896" s="25" t="s">
        <v>1222</v>
      </c>
      <c r="B896" s="25" t="s">
        <v>366</v>
      </c>
      <c r="C896" s="25" t="s">
        <v>992</v>
      </c>
      <c r="D896" s="693" t="s">
        <v>498</v>
      </c>
      <c r="E896" s="26">
        <v>83</v>
      </c>
      <c r="F896" s="27"/>
      <c r="G896" s="28">
        <v>30.14</v>
      </c>
      <c r="H896" s="27"/>
      <c r="I896" s="27"/>
      <c r="J896" s="27"/>
      <c r="K896" s="27"/>
      <c r="L896" s="27"/>
      <c r="M896" s="28">
        <v>-0.02</v>
      </c>
      <c r="N896" s="28">
        <v>1.06</v>
      </c>
      <c r="O896" s="27"/>
      <c r="P896" s="27"/>
      <c r="Q896" s="28">
        <v>0</v>
      </c>
      <c r="R896" s="28">
        <v>31.18</v>
      </c>
      <c r="S896" s="142">
        <f t="shared" si="109"/>
        <v>30.14</v>
      </c>
      <c r="T896" s="142">
        <f t="shared" si="110"/>
        <v>0</v>
      </c>
      <c r="U896" s="142">
        <f t="shared" si="111"/>
        <v>1.06</v>
      </c>
      <c r="W896" s="601">
        <f t="shared" si="106"/>
        <v>31.18</v>
      </c>
      <c r="X896" s="601">
        <f t="shared" si="107"/>
        <v>0</v>
      </c>
      <c r="Y896" s="123"/>
      <c r="Z896" s="692">
        <f t="shared" si="108"/>
        <v>30.14</v>
      </c>
    </row>
    <row r="897" spans="1:26" customFormat="1" ht="12.75" hidden="1" thickBot="1">
      <c r="A897" s="25" t="s">
        <v>1222</v>
      </c>
      <c r="B897" s="25" t="s">
        <v>367</v>
      </c>
      <c r="C897" s="25" t="s">
        <v>993</v>
      </c>
      <c r="D897" s="693" t="s">
        <v>606</v>
      </c>
      <c r="E897" s="29">
        <v>40683</v>
      </c>
      <c r="F897" s="30"/>
      <c r="G897" s="31">
        <v>8191.22</v>
      </c>
      <c r="H897" s="30"/>
      <c r="I897" s="30"/>
      <c r="J897" s="30"/>
      <c r="K897" s="30"/>
      <c r="L897" s="30"/>
      <c r="M897" s="31">
        <v>-6.42</v>
      </c>
      <c r="N897" s="31">
        <v>287.39</v>
      </c>
      <c r="O897" s="30"/>
      <c r="P897" s="30"/>
      <c r="Q897" s="31">
        <v>0</v>
      </c>
      <c r="R897" s="31">
        <v>8472.19</v>
      </c>
      <c r="S897" s="142">
        <f t="shared" si="109"/>
        <v>8191.22</v>
      </c>
      <c r="T897" s="142">
        <f t="shared" si="110"/>
        <v>0</v>
      </c>
      <c r="U897" s="142">
        <f t="shared" si="111"/>
        <v>287.39</v>
      </c>
      <c r="W897" s="601">
        <f t="shared" si="106"/>
        <v>8472.19</v>
      </c>
      <c r="X897" s="601">
        <f t="shared" si="107"/>
        <v>0</v>
      </c>
      <c r="Y897" s="123"/>
      <c r="Z897" s="692">
        <f t="shared" si="108"/>
        <v>8191.22</v>
      </c>
    </row>
    <row r="898" spans="1:26" customFormat="1" ht="12.75" hidden="1" thickBot="1">
      <c r="A898" s="25" t="s">
        <v>1222</v>
      </c>
      <c r="B898" s="25" t="s">
        <v>368</v>
      </c>
      <c r="C898" s="25" t="s">
        <v>994</v>
      </c>
      <c r="D898" s="693" t="s">
        <v>498</v>
      </c>
      <c r="E898" s="26">
        <v>5082</v>
      </c>
      <c r="F898" s="27"/>
      <c r="G898" s="28">
        <v>1159.1199999999999</v>
      </c>
      <c r="H898" s="27"/>
      <c r="I898" s="27"/>
      <c r="J898" s="27"/>
      <c r="K898" s="27"/>
      <c r="L898" s="27"/>
      <c r="M898" s="28">
        <v>-1</v>
      </c>
      <c r="N898" s="28">
        <v>40.81</v>
      </c>
      <c r="O898" s="27"/>
      <c r="P898" s="27"/>
      <c r="Q898" s="28">
        <v>0</v>
      </c>
      <c r="R898" s="28">
        <v>1198.93</v>
      </c>
      <c r="S898" s="142">
        <f t="shared" si="109"/>
        <v>1159.1199999999999</v>
      </c>
      <c r="T898" s="142">
        <f t="shared" si="110"/>
        <v>0</v>
      </c>
      <c r="U898" s="142">
        <f t="shared" si="111"/>
        <v>40.81</v>
      </c>
      <c r="W898" s="601">
        <f t="shared" ref="W898:W959" si="112">SUM(F898:Q898)</f>
        <v>1198.9299999999998</v>
      </c>
      <c r="X898" s="601">
        <f t="shared" ref="X898:X959" si="113">W898-R898</f>
        <v>0</v>
      </c>
      <c r="Y898" s="123"/>
      <c r="Z898" s="692">
        <f t="shared" si="108"/>
        <v>1159.1199999999999</v>
      </c>
    </row>
    <row r="899" spans="1:26" customFormat="1" ht="12.75" hidden="1" thickBot="1">
      <c r="A899" s="25" t="s">
        <v>1222</v>
      </c>
      <c r="B899" s="25" t="s">
        <v>369</v>
      </c>
      <c r="C899" s="25" t="s">
        <v>995</v>
      </c>
      <c r="D899" s="693" t="s">
        <v>498</v>
      </c>
      <c r="E899" s="29">
        <v>190</v>
      </c>
      <c r="F899" s="30"/>
      <c r="G899" s="31">
        <v>56.84</v>
      </c>
      <c r="H899" s="30"/>
      <c r="I899" s="30"/>
      <c r="J899" s="30"/>
      <c r="K899" s="30"/>
      <c r="L899" s="30"/>
      <c r="M899" s="31">
        <v>-0.04</v>
      </c>
      <c r="N899" s="31">
        <v>2</v>
      </c>
      <c r="O899" s="30"/>
      <c r="P899" s="30"/>
      <c r="Q899" s="31">
        <v>0</v>
      </c>
      <c r="R899" s="31">
        <v>58.8</v>
      </c>
      <c r="S899" s="142">
        <f t="shared" si="109"/>
        <v>56.84</v>
      </c>
      <c r="T899" s="142">
        <f t="shared" si="110"/>
        <v>0</v>
      </c>
      <c r="U899" s="142">
        <f t="shared" si="111"/>
        <v>2</v>
      </c>
      <c r="W899" s="601">
        <f t="shared" si="112"/>
        <v>58.800000000000004</v>
      </c>
      <c r="X899" s="601">
        <f t="shared" si="113"/>
        <v>0</v>
      </c>
      <c r="Y899" s="123"/>
      <c r="Z899" s="692">
        <f t="shared" si="108"/>
        <v>56.84</v>
      </c>
    </row>
    <row r="900" spans="1:26" customFormat="1" ht="12.75" hidden="1" thickBot="1">
      <c r="A900" s="25" t="s">
        <v>1222</v>
      </c>
      <c r="B900" s="25" t="s">
        <v>370</v>
      </c>
      <c r="C900" s="25" t="s">
        <v>996</v>
      </c>
      <c r="D900" s="693" t="s">
        <v>606</v>
      </c>
      <c r="E900" s="26">
        <v>118439</v>
      </c>
      <c r="F900" s="27"/>
      <c r="G900" s="28">
        <v>16221.54</v>
      </c>
      <c r="H900" s="27"/>
      <c r="I900" s="27"/>
      <c r="J900" s="27"/>
      <c r="K900" s="27"/>
      <c r="L900" s="27"/>
      <c r="M900" s="28">
        <v>-17.89</v>
      </c>
      <c r="N900" s="28">
        <v>568.85</v>
      </c>
      <c r="O900" s="27"/>
      <c r="P900" s="27"/>
      <c r="Q900" s="28">
        <v>0</v>
      </c>
      <c r="R900" s="28">
        <v>16772.5</v>
      </c>
      <c r="S900" s="142">
        <f t="shared" si="109"/>
        <v>16221.54</v>
      </c>
      <c r="T900" s="142">
        <f t="shared" si="110"/>
        <v>0</v>
      </c>
      <c r="U900" s="142">
        <f t="shared" si="111"/>
        <v>568.85</v>
      </c>
      <c r="W900" s="601">
        <f t="shared" si="112"/>
        <v>16772.5</v>
      </c>
      <c r="X900" s="601">
        <f t="shared" si="113"/>
        <v>0</v>
      </c>
      <c r="Y900" s="123"/>
      <c r="Z900" s="692">
        <f t="shared" si="108"/>
        <v>16221.54</v>
      </c>
    </row>
    <row r="901" spans="1:26" customFormat="1" ht="12.75" hidden="1" thickBot="1">
      <c r="A901" s="25" t="s">
        <v>1222</v>
      </c>
      <c r="B901" s="25" t="s">
        <v>371</v>
      </c>
      <c r="C901" s="25" t="s">
        <v>997</v>
      </c>
      <c r="D901" s="693" t="s">
        <v>498</v>
      </c>
      <c r="E901" s="29">
        <v>18286</v>
      </c>
      <c r="F901" s="30"/>
      <c r="G901" s="31">
        <v>2729.07</v>
      </c>
      <c r="H901" s="30"/>
      <c r="I901" s="30"/>
      <c r="J901" s="30"/>
      <c r="K901" s="30"/>
      <c r="L901" s="30"/>
      <c r="M901" s="31">
        <v>-2.52</v>
      </c>
      <c r="N901" s="31">
        <v>95.66</v>
      </c>
      <c r="O901" s="30"/>
      <c r="P901" s="30"/>
      <c r="Q901" s="31">
        <v>0</v>
      </c>
      <c r="R901" s="31">
        <v>2822.21</v>
      </c>
      <c r="S901" s="142">
        <f t="shared" si="109"/>
        <v>2729.07</v>
      </c>
      <c r="T901" s="142">
        <f t="shared" si="110"/>
        <v>0</v>
      </c>
      <c r="U901" s="142">
        <f t="shared" si="111"/>
        <v>95.66</v>
      </c>
      <c r="W901" s="601">
        <f t="shared" si="112"/>
        <v>2822.21</v>
      </c>
      <c r="X901" s="601">
        <f t="shared" si="113"/>
        <v>0</v>
      </c>
      <c r="Y901" s="123"/>
      <c r="Z901" s="692">
        <f t="shared" si="108"/>
        <v>2729.07</v>
      </c>
    </row>
    <row r="902" spans="1:26" customFormat="1" ht="12.75" hidden="1" thickBot="1">
      <c r="A902" s="25" t="s">
        <v>1222</v>
      </c>
      <c r="B902" s="25" t="s">
        <v>659</v>
      </c>
      <c r="C902" s="25" t="s">
        <v>998</v>
      </c>
      <c r="D902" s="693" t="s">
        <v>606</v>
      </c>
      <c r="E902" s="26">
        <v>739</v>
      </c>
      <c r="F902" s="27"/>
      <c r="G902" s="28">
        <v>428.94</v>
      </c>
      <c r="H902" s="27"/>
      <c r="I902" s="27"/>
      <c r="J902" s="27"/>
      <c r="K902" s="27"/>
      <c r="L902" s="27"/>
      <c r="M902" s="28">
        <v>-0.14000000000000001</v>
      </c>
      <c r="N902" s="28">
        <v>15.09</v>
      </c>
      <c r="O902" s="27"/>
      <c r="P902" s="27"/>
      <c r="Q902" s="28">
        <v>0</v>
      </c>
      <c r="R902" s="28">
        <v>443.89</v>
      </c>
      <c r="S902" s="142">
        <f t="shared" si="109"/>
        <v>428.94</v>
      </c>
      <c r="T902" s="142">
        <f t="shared" si="110"/>
        <v>0</v>
      </c>
      <c r="U902" s="142">
        <f t="shared" si="111"/>
        <v>15.09</v>
      </c>
      <c r="W902" s="601">
        <f t="shared" si="112"/>
        <v>443.89</v>
      </c>
      <c r="X902" s="601">
        <f t="shared" si="113"/>
        <v>0</v>
      </c>
      <c r="Y902" s="123"/>
      <c r="Z902" s="692">
        <f t="shared" si="108"/>
        <v>428.94</v>
      </c>
    </row>
    <row r="903" spans="1:26" customFormat="1" ht="12.75" hidden="1" thickBot="1">
      <c r="A903" s="25" t="s">
        <v>1222</v>
      </c>
      <c r="B903" s="25" t="s">
        <v>399</v>
      </c>
      <c r="C903" s="25" t="s">
        <v>999</v>
      </c>
      <c r="D903" s="693" t="s">
        <v>606</v>
      </c>
      <c r="E903" s="29">
        <v>382</v>
      </c>
      <c r="F903" s="30"/>
      <c r="G903" s="31">
        <v>81.84</v>
      </c>
      <c r="H903" s="30"/>
      <c r="I903" s="30"/>
      <c r="J903" s="30"/>
      <c r="K903" s="30"/>
      <c r="L903" s="30"/>
      <c r="M903" s="31">
        <v>-7.0000000000000007E-2</v>
      </c>
      <c r="N903" s="31">
        <v>2.88</v>
      </c>
      <c r="O903" s="30"/>
      <c r="P903" s="30"/>
      <c r="Q903" s="31">
        <v>0</v>
      </c>
      <c r="R903" s="31">
        <v>84.65</v>
      </c>
      <c r="S903" s="142">
        <f t="shared" si="109"/>
        <v>81.84</v>
      </c>
      <c r="T903" s="142">
        <f t="shared" si="110"/>
        <v>0</v>
      </c>
      <c r="U903" s="142">
        <f t="shared" si="111"/>
        <v>2.88</v>
      </c>
      <c r="W903" s="601">
        <f t="shared" si="112"/>
        <v>84.65</v>
      </c>
      <c r="X903" s="601">
        <f t="shared" si="113"/>
        <v>0</v>
      </c>
      <c r="Y903" s="123"/>
      <c r="Z903" s="692">
        <f t="shared" si="108"/>
        <v>81.84</v>
      </c>
    </row>
    <row r="904" spans="1:26" customFormat="1" ht="12.75" hidden="1" thickBot="1">
      <c r="A904" s="25" t="s">
        <v>1222</v>
      </c>
      <c r="B904" s="25" t="s">
        <v>372</v>
      </c>
      <c r="C904" s="25" t="s">
        <v>1000</v>
      </c>
      <c r="D904" s="693" t="s">
        <v>606</v>
      </c>
      <c r="E904" s="26">
        <v>4153</v>
      </c>
      <c r="F904" s="27"/>
      <c r="G904" s="28">
        <v>1329.24</v>
      </c>
      <c r="H904" s="27"/>
      <c r="I904" s="27"/>
      <c r="J904" s="27"/>
      <c r="K904" s="27"/>
      <c r="L904" s="27"/>
      <c r="M904" s="28">
        <v>-0.79</v>
      </c>
      <c r="N904" s="28">
        <v>46.75</v>
      </c>
      <c r="O904" s="27"/>
      <c r="P904" s="27"/>
      <c r="Q904" s="28">
        <v>0</v>
      </c>
      <c r="R904" s="28">
        <v>1375.2</v>
      </c>
      <c r="S904" s="142">
        <f t="shared" si="109"/>
        <v>1329.24</v>
      </c>
      <c r="T904" s="142">
        <f t="shared" si="110"/>
        <v>0</v>
      </c>
      <c r="U904" s="142">
        <f t="shared" si="111"/>
        <v>46.75</v>
      </c>
      <c r="W904" s="601">
        <f t="shared" si="112"/>
        <v>1375.2</v>
      </c>
      <c r="X904" s="601">
        <f t="shared" si="113"/>
        <v>0</v>
      </c>
      <c r="Y904" s="123"/>
      <c r="Z904" s="692">
        <f t="shared" si="108"/>
        <v>1329.24</v>
      </c>
    </row>
    <row r="905" spans="1:26" customFormat="1" ht="12.75" hidden="1" thickBot="1">
      <c r="A905" s="25" t="s">
        <v>1222</v>
      </c>
      <c r="B905" s="25" t="s">
        <v>373</v>
      </c>
      <c r="C905" s="25" t="s">
        <v>1001</v>
      </c>
      <c r="D905" s="693" t="s">
        <v>606</v>
      </c>
      <c r="E905" s="29">
        <v>573</v>
      </c>
      <c r="F905" s="30"/>
      <c r="G905" s="31">
        <v>85.12</v>
      </c>
      <c r="H905" s="30"/>
      <c r="I905" s="30"/>
      <c r="J905" s="30"/>
      <c r="K905" s="30"/>
      <c r="L905" s="30"/>
      <c r="M905" s="31">
        <v>-0.11</v>
      </c>
      <c r="N905" s="31">
        <v>2.99</v>
      </c>
      <c r="O905" s="30"/>
      <c r="P905" s="30"/>
      <c r="Q905" s="31">
        <v>0</v>
      </c>
      <c r="R905" s="31">
        <v>88</v>
      </c>
      <c r="S905" s="142">
        <f t="shared" si="109"/>
        <v>85.12</v>
      </c>
      <c r="T905" s="142">
        <f t="shared" si="110"/>
        <v>0</v>
      </c>
      <c r="U905" s="142">
        <f t="shared" si="111"/>
        <v>2.99</v>
      </c>
      <c r="W905" s="601">
        <f t="shared" si="112"/>
        <v>88</v>
      </c>
      <c r="X905" s="601">
        <f t="shared" si="113"/>
        <v>0</v>
      </c>
      <c r="Y905" s="123"/>
      <c r="Z905" s="692">
        <f t="shared" si="108"/>
        <v>85.12</v>
      </c>
    </row>
    <row r="906" spans="1:26" customFormat="1" ht="12.75" hidden="1" thickBot="1">
      <c r="A906" s="25" t="s">
        <v>1222</v>
      </c>
      <c r="B906" s="25" t="s">
        <v>374</v>
      </c>
      <c r="C906" s="25" t="s">
        <v>1002</v>
      </c>
      <c r="D906" s="693" t="s">
        <v>606</v>
      </c>
      <c r="E906" s="26">
        <v>3742</v>
      </c>
      <c r="F906" s="27"/>
      <c r="G906" s="28">
        <v>680.03</v>
      </c>
      <c r="H906" s="27"/>
      <c r="I906" s="27"/>
      <c r="J906" s="27"/>
      <c r="K906" s="27"/>
      <c r="L906" s="27"/>
      <c r="M906" s="28">
        <v>-0.71</v>
      </c>
      <c r="N906" s="28">
        <v>23.91</v>
      </c>
      <c r="O906" s="27"/>
      <c r="P906" s="27"/>
      <c r="Q906" s="28">
        <v>0</v>
      </c>
      <c r="R906" s="28">
        <v>703.23</v>
      </c>
      <c r="S906" s="142">
        <f t="shared" si="109"/>
        <v>680.03</v>
      </c>
      <c r="T906" s="142">
        <f t="shared" si="110"/>
        <v>0</v>
      </c>
      <c r="U906" s="142">
        <f t="shared" si="111"/>
        <v>23.91</v>
      </c>
      <c r="W906" s="601">
        <f t="shared" si="112"/>
        <v>703.2299999999999</v>
      </c>
      <c r="X906" s="601">
        <f t="shared" si="113"/>
        <v>0</v>
      </c>
      <c r="Y906" s="123"/>
      <c r="Z906" s="692">
        <f t="shared" si="108"/>
        <v>680.03</v>
      </c>
    </row>
    <row r="907" spans="1:26" customFormat="1" ht="12.75" hidden="1" thickBot="1">
      <c r="A907" s="25" t="s">
        <v>1222</v>
      </c>
      <c r="B907" s="32" t="s">
        <v>7</v>
      </c>
      <c r="C907" s="33"/>
      <c r="D907" s="140"/>
      <c r="E907" s="43">
        <v>1066116894</v>
      </c>
      <c r="F907" s="44">
        <v>5255406.9000000004</v>
      </c>
      <c r="G907" s="44">
        <v>35904094.799999997</v>
      </c>
      <c r="H907" s="44">
        <v>28864084.120000001</v>
      </c>
      <c r="I907" s="44">
        <v>738691.85</v>
      </c>
      <c r="J907" s="44">
        <v>547984.12</v>
      </c>
      <c r="K907" s="44">
        <v>16890276.640000001</v>
      </c>
      <c r="L907" s="44">
        <v>2837078.69</v>
      </c>
      <c r="M907" s="44">
        <v>37293.31</v>
      </c>
      <c r="N907" s="44">
        <v>1395048.25</v>
      </c>
      <c r="O907" s="44">
        <v>1848884.41</v>
      </c>
      <c r="P907" s="44">
        <v>-374643.79</v>
      </c>
      <c r="Q907" s="44">
        <v>0</v>
      </c>
      <c r="R907" s="44">
        <v>93953003.349999994</v>
      </c>
      <c r="S907" s="142">
        <f t="shared" si="109"/>
        <v>65506870.770000003</v>
      </c>
      <c r="T907" s="142">
        <f t="shared" si="110"/>
        <v>17438260.760000002</v>
      </c>
      <c r="U907" s="142">
        <f t="shared" si="111"/>
        <v>3243932.66</v>
      </c>
      <c r="W907" s="601">
        <f t="shared" si="112"/>
        <v>93944199.299999982</v>
      </c>
      <c r="X907" s="601">
        <f t="shared" si="113"/>
        <v>-8804.0500000119209</v>
      </c>
      <c r="Y907" s="123"/>
      <c r="Z907" s="692">
        <f t="shared" si="108"/>
        <v>88200538.429999992</v>
      </c>
    </row>
    <row r="908" spans="1:26" customFormat="1" ht="12.75" thickBot="1">
      <c r="A908" s="61"/>
      <c r="B908" s="62"/>
      <c r="C908" s="45"/>
      <c r="D908" s="25"/>
      <c r="E908" s="25" t="s">
        <v>5</v>
      </c>
      <c r="F908" s="25" t="s">
        <v>851</v>
      </c>
      <c r="G908" s="25" t="s">
        <v>922</v>
      </c>
      <c r="H908" s="25" t="s">
        <v>923</v>
      </c>
      <c r="I908" s="25" t="s">
        <v>924</v>
      </c>
      <c r="J908" s="25" t="s">
        <v>925</v>
      </c>
      <c r="K908" s="25" t="s">
        <v>926</v>
      </c>
      <c r="L908" s="25" t="s">
        <v>838</v>
      </c>
      <c r="M908" s="25" t="s">
        <v>57</v>
      </c>
      <c r="N908" s="25" t="s">
        <v>58</v>
      </c>
      <c r="O908" s="25" t="s">
        <v>927</v>
      </c>
      <c r="P908" s="25" t="s">
        <v>762</v>
      </c>
      <c r="Q908" s="25" t="s">
        <v>839</v>
      </c>
      <c r="R908" s="25" t="s">
        <v>840</v>
      </c>
      <c r="S908" s="142" t="e">
        <f t="shared" si="109"/>
        <v>#VALUE!</v>
      </c>
      <c r="T908" s="142" t="e">
        <f t="shared" si="110"/>
        <v>#VALUE!</v>
      </c>
      <c r="U908" s="142" t="e">
        <f t="shared" si="111"/>
        <v>#VALUE!</v>
      </c>
      <c r="W908" s="601">
        <f t="shared" si="112"/>
        <v>0</v>
      </c>
      <c r="X908" s="601" t="e">
        <f t="shared" si="113"/>
        <v>#VALUE!</v>
      </c>
      <c r="Y908" s="123"/>
      <c r="Z908" s="692">
        <f t="shared" si="108"/>
        <v>0</v>
      </c>
    </row>
    <row r="909" spans="1:26" customFormat="1" ht="12.75" thickBot="1">
      <c r="A909" s="25" t="s">
        <v>0</v>
      </c>
      <c r="B909" s="25" t="s">
        <v>4</v>
      </c>
      <c r="C909" s="46"/>
      <c r="D909" s="25"/>
      <c r="E909" s="45" t="s">
        <v>5</v>
      </c>
      <c r="F909" s="45" t="s">
        <v>6</v>
      </c>
      <c r="G909" s="45" t="s">
        <v>6</v>
      </c>
      <c r="H909" s="45" t="s">
        <v>6</v>
      </c>
      <c r="I909" s="45" t="s">
        <v>6</v>
      </c>
      <c r="J909" s="45" t="s">
        <v>6</v>
      </c>
      <c r="K909" s="45" t="s">
        <v>6</v>
      </c>
      <c r="L909" s="45" t="s">
        <v>6</v>
      </c>
      <c r="M909" s="45" t="s">
        <v>6</v>
      </c>
      <c r="N909" s="45" t="s">
        <v>6</v>
      </c>
      <c r="O909" s="45" t="s">
        <v>6</v>
      </c>
      <c r="P909" s="45" t="s">
        <v>6</v>
      </c>
      <c r="Q909" s="45" t="s">
        <v>6</v>
      </c>
      <c r="R909" s="45" t="s">
        <v>6</v>
      </c>
      <c r="S909" s="142" t="e">
        <f t="shared" si="109"/>
        <v>#VALUE!</v>
      </c>
      <c r="T909" s="142" t="e">
        <f t="shared" si="110"/>
        <v>#VALUE!</v>
      </c>
      <c r="U909" s="142" t="e">
        <f t="shared" si="111"/>
        <v>#VALUE!</v>
      </c>
      <c r="W909" s="601">
        <f t="shared" si="112"/>
        <v>0</v>
      </c>
      <c r="X909" s="601" t="e">
        <f t="shared" si="113"/>
        <v>#VALUE!</v>
      </c>
      <c r="Y909" s="123"/>
      <c r="Z909" s="692">
        <f t="shared" si="108"/>
        <v>0</v>
      </c>
    </row>
    <row r="910" spans="1:26" customFormat="1" ht="12.75" thickBot="1">
      <c r="A910" s="57" t="s">
        <v>1269</v>
      </c>
      <c r="B910" s="25" t="s">
        <v>928</v>
      </c>
      <c r="C910" s="25" t="s">
        <v>929</v>
      </c>
      <c r="D910" s="69" t="s">
        <v>881</v>
      </c>
      <c r="E910" s="574"/>
      <c r="F910" s="574"/>
      <c r="G910" s="574"/>
      <c r="H910" s="574"/>
      <c r="I910" s="574"/>
      <c r="J910" s="574"/>
      <c r="K910" s="574"/>
      <c r="L910" s="574"/>
      <c r="M910" s="574"/>
      <c r="N910" s="574"/>
      <c r="O910" s="574"/>
      <c r="P910" s="574"/>
      <c r="Q910" s="574"/>
      <c r="R910" s="575"/>
      <c r="S910" s="142">
        <f t="shared" si="109"/>
        <v>0</v>
      </c>
      <c r="T910" s="142">
        <f t="shared" si="110"/>
        <v>0</v>
      </c>
      <c r="U910" s="142">
        <f t="shared" si="111"/>
        <v>0</v>
      </c>
      <c r="W910" s="601">
        <f t="shared" si="112"/>
        <v>0</v>
      </c>
      <c r="X910" s="601">
        <f t="shared" si="113"/>
        <v>0</v>
      </c>
      <c r="Y910" s="123"/>
      <c r="Z910" s="692">
        <f t="shared" si="108"/>
        <v>0</v>
      </c>
    </row>
    <row r="911" spans="1:26" customFormat="1" ht="12.75" thickBot="1">
      <c r="A911" s="57" t="s">
        <v>1269</v>
      </c>
      <c r="B911" s="25" t="s">
        <v>848</v>
      </c>
      <c r="C911" s="25" t="s">
        <v>849</v>
      </c>
      <c r="D911" s="69" t="s">
        <v>881</v>
      </c>
      <c r="E911" s="574"/>
      <c r="F911" s="574"/>
      <c r="G911" s="574"/>
      <c r="H911" s="574"/>
      <c r="I911" s="574"/>
      <c r="J911" s="574"/>
      <c r="K911" s="574"/>
      <c r="L911" s="574"/>
      <c r="M911" s="574"/>
      <c r="N911" s="574"/>
      <c r="O911" s="574"/>
      <c r="P911" s="574"/>
      <c r="Q911" s="574"/>
      <c r="R911" s="575"/>
      <c r="S911" s="142">
        <f t="shared" si="109"/>
        <v>0</v>
      </c>
      <c r="T911" s="142">
        <f t="shared" si="110"/>
        <v>0</v>
      </c>
      <c r="U911" s="142">
        <f t="shared" si="111"/>
        <v>0</v>
      </c>
      <c r="W911" s="601">
        <f t="shared" si="112"/>
        <v>0</v>
      </c>
      <c r="X911" s="601">
        <f t="shared" si="113"/>
        <v>0</v>
      </c>
      <c r="Y911" s="123"/>
      <c r="Z911" s="692">
        <f t="shared" si="108"/>
        <v>0</v>
      </c>
    </row>
    <row r="912" spans="1:26" customFormat="1" ht="12.75" thickBot="1">
      <c r="A912" s="57" t="s">
        <v>1269</v>
      </c>
      <c r="B912" s="25" t="s">
        <v>930</v>
      </c>
      <c r="C912" s="25" t="s">
        <v>931</v>
      </c>
      <c r="D912" s="69" t="s">
        <v>881</v>
      </c>
      <c r="E912" s="574"/>
      <c r="F912" s="574"/>
      <c r="G912" s="574"/>
      <c r="H912" s="574"/>
      <c r="I912" s="574"/>
      <c r="J912" s="574"/>
      <c r="K912" s="574"/>
      <c r="L912" s="574"/>
      <c r="M912" s="574"/>
      <c r="N912" s="574"/>
      <c r="O912" s="574"/>
      <c r="P912" s="574"/>
      <c r="Q912" s="574"/>
      <c r="R912" s="575"/>
      <c r="S912" s="142">
        <f t="shared" si="109"/>
        <v>0</v>
      </c>
      <c r="T912" s="142">
        <f t="shared" si="110"/>
        <v>0</v>
      </c>
      <c r="U912" s="142">
        <f t="shared" si="111"/>
        <v>0</v>
      </c>
      <c r="W912" s="601">
        <f t="shared" si="112"/>
        <v>0</v>
      </c>
      <c r="X912" s="601">
        <f t="shared" si="113"/>
        <v>0</v>
      </c>
      <c r="Y912" s="123"/>
      <c r="Z912" s="692">
        <f t="shared" si="108"/>
        <v>0</v>
      </c>
    </row>
    <row r="913" spans="1:26" customFormat="1" ht="12.75" thickBot="1">
      <c r="A913" s="57" t="s">
        <v>1269</v>
      </c>
      <c r="B913" s="25" t="s">
        <v>1011</v>
      </c>
      <c r="C913" s="25" t="s">
        <v>1119</v>
      </c>
      <c r="D913" s="69" t="s">
        <v>881</v>
      </c>
      <c r="E913" s="574"/>
      <c r="F913" s="574"/>
      <c r="G913" s="574"/>
      <c r="H913" s="574"/>
      <c r="I913" s="574"/>
      <c r="J913" s="574"/>
      <c r="K913" s="574"/>
      <c r="L913" s="574"/>
      <c r="M913" s="574"/>
      <c r="N913" s="574"/>
      <c r="O913" s="574"/>
      <c r="P913" s="574"/>
      <c r="Q913" s="574"/>
      <c r="R913" s="575"/>
      <c r="S913" s="142">
        <f t="shared" si="109"/>
        <v>0</v>
      </c>
      <c r="T913" s="142">
        <f t="shared" si="110"/>
        <v>0</v>
      </c>
      <c r="U913" s="142">
        <f t="shared" si="111"/>
        <v>0</v>
      </c>
      <c r="W913" s="601">
        <f t="shared" si="112"/>
        <v>0</v>
      </c>
      <c r="X913" s="601">
        <f t="shared" si="113"/>
        <v>0</v>
      </c>
      <c r="Y913" s="123"/>
      <c r="Z913" s="692">
        <f t="shared" si="108"/>
        <v>0</v>
      </c>
    </row>
    <row r="914" spans="1:26" customFormat="1" ht="12.75" thickBot="1">
      <c r="A914" s="57" t="s">
        <v>1269</v>
      </c>
      <c r="B914" s="25" t="s">
        <v>852</v>
      </c>
      <c r="C914" s="25" t="s">
        <v>853</v>
      </c>
      <c r="D914" s="69" t="s">
        <v>1125</v>
      </c>
      <c r="E914" s="574"/>
      <c r="F914" s="574"/>
      <c r="G914" s="574"/>
      <c r="H914" s="574"/>
      <c r="I914" s="574"/>
      <c r="J914" s="574"/>
      <c r="K914" s="574"/>
      <c r="L914" s="574"/>
      <c r="M914" s="574"/>
      <c r="N914" s="574"/>
      <c r="O914" s="574"/>
      <c r="P914" s="574"/>
      <c r="Q914" s="574"/>
      <c r="R914" s="574"/>
      <c r="S914" s="142">
        <f t="shared" si="109"/>
        <v>0</v>
      </c>
      <c r="T914" s="142">
        <f t="shared" si="110"/>
        <v>0</v>
      </c>
      <c r="U914" s="142">
        <f t="shared" si="111"/>
        <v>0</v>
      </c>
      <c r="W914" s="601">
        <f t="shared" si="112"/>
        <v>0</v>
      </c>
      <c r="X914" s="601">
        <f t="shared" si="113"/>
        <v>0</v>
      </c>
      <c r="Y914" s="123"/>
      <c r="Z914" s="692">
        <f t="shared" si="108"/>
        <v>0</v>
      </c>
    </row>
    <row r="915" spans="1:26" customFormat="1" ht="12.75" thickBot="1">
      <c r="A915" s="57" t="s">
        <v>1269</v>
      </c>
      <c r="B915" s="25" t="s">
        <v>407</v>
      </c>
      <c r="C915" s="25" t="s">
        <v>1120</v>
      </c>
      <c r="D915" s="98" t="s">
        <v>892</v>
      </c>
      <c r="E915" s="576"/>
      <c r="F915" s="574"/>
      <c r="G915" s="575"/>
      <c r="H915" s="575"/>
      <c r="I915" s="575"/>
      <c r="J915" s="574"/>
      <c r="K915" s="574"/>
      <c r="L915" s="575"/>
      <c r="M915" s="575"/>
      <c r="N915" s="575"/>
      <c r="O915" s="575"/>
      <c r="P915" s="574"/>
      <c r="Q915" s="574"/>
      <c r="R915" s="575"/>
      <c r="S915" s="142">
        <f t="shared" si="109"/>
        <v>0</v>
      </c>
      <c r="T915" s="142">
        <f t="shared" si="110"/>
        <v>0</v>
      </c>
      <c r="U915" s="142">
        <f t="shared" si="111"/>
        <v>0</v>
      </c>
      <c r="W915" s="601">
        <f t="shared" si="112"/>
        <v>0</v>
      </c>
      <c r="X915" s="601">
        <f t="shared" si="113"/>
        <v>0</v>
      </c>
      <c r="Y915" s="123"/>
      <c r="Z915" s="692">
        <f t="shared" si="108"/>
        <v>0</v>
      </c>
    </row>
    <row r="916" spans="1:26" customFormat="1" ht="12.75" thickBot="1">
      <c r="A916" s="57" t="s">
        <v>1269</v>
      </c>
      <c r="B916" s="25" t="s">
        <v>409</v>
      </c>
      <c r="C916" s="25" t="s">
        <v>140</v>
      </c>
      <c r="D916" s="98" t="s">
        <v>892</v>
      </c>
      <c r="E916" s="576">
        <v>37557724</v>
      </c>
      <c r="F916" s="575">
        <v>560963</v>
      </c>
      <c r="G916" s="575">
        <v>2344353</v>
      </c>
      <c r="H916" s="575">
        <v>1023448</v>
      </c>
      <c r="I916" s="575">
        <v>62721</v>
      </c>
      <c r="J916" s="574"/>
      <c r="K916" s="574"/>
      <c r="L916" s="575">
        <v>90519</v>
      </c>
      <c r="M916" s="575">
        <v>-191657</v>
      </c>
      <c r="N916" s="575"/>
      <c r="O916" s="575">
        <v>127579</v>
      </c>
      <c r="P916" s="574"/>
      <c r="Q916" s="575"/>
      <c r="R916" s="575">
        <v>4017926</v>
      </c>
      <c r="S916" s="142">
        <f t="shared" si="109"/>
        <v>3430522</v>
      </c>
      <c r="T916" s="142">
        <f t="shared" si="110"/>
        <v>0</v>
      </c>
      <c r="U916" s="142">
        <f t="shared" si="111"/>
        <v>127579</v>
      </c>
      <c r="W916" s="601">
        <f t="shared" si="112"/>
        <v>4017926</v>
      </c>
      <c r="X916" s="601">
        <f t="shared" si="113"/>
        <v>0</v>
      </c>
      <c r="Y916" s="123"/>
      <c r="Z916" s="692">
        <f t="shared" si="108"/>
        <v>3991485</v>
      </c>
    </row>
    <row r="917" spans="1:26" customFormat="1" ht="12.75" thickBot="1">
      <c r="A917" s="57" t="s">
        <v>1269</v>
      </c>
      <c r="B917" s="25" t="s">
        <v>410</v>
      </c>
      <c r="C917" s="25" t="s">
        <v>1121</v>
      </c>
      <c r="D917" s="98" t="s">
        <v>892</v>
      </c>
      <c r="E917" s="576"/>
      <c r="F917" s="575"/>
      <c r="G917" s="575"/>
      <c r="H917" s="575"/>
      <c r="I917" s="575"/>
      <c r="J917" s="574"/>
      <c r="K917" s="574"/>
      <c r="L917" s="575"/>
      <c r="M917" s="575"/>
      <c r="N917" s="575"/>
      <c r="O917" s="575"/>
      <c r="P917" s="574"/>
      <c r="Q917" s="574"/>
      <c r="R917" s="575"/>
      <c r="S917" s="142">
        <f t="shared" si="109"/>
        <v>0</v>
      </c>
      <c r="T917" s="142">
        <f t="shared" si="110"/>
        <v>0</v>
      </c>
      <c r="U917" s="142">
        <f t="shared" si="111"/>
        <v>0</v>
      </c>
      <c r="W917" s="601">
        <f t="shared" si="112"/>
        <v>0</v>
      </c>
      <c r="X917" s="601">
        <f t="shared" si="113"/>
        <v>0</v>
      </c>
      <c r="Y917" s="123"/>
      <c r="Z917" s="692">
        <f t="shared" si="108"/>
        <v>0</v>
      </c>
    </row>
    <row r="918" spans="1:26" customFormat="1" ht="12.75" thickBot="1">
      <c r="A918" s="57" t="s">
        <v>1269</v>
      </c>
      <c r="B918" s="25" t="s">
        <v>411</v>
      </c>
      <c r="C918" s="25" t="s">
        <v>1122</v>
      </c>
      <c r="D918" s="98" t="s">
        <v>892</v>
      </c>
      <c r="E918" s="576"/>
      <c r="F918" s="574"/>
      <c r="G918" s="575"/>
      <c r="H918" s="575"/>
      <c r="I918" s="575"/>
      <c r="J918" s="574"/>
      <c r="K918" s="574"/>
      <c r="L918" s="575"/>
      <c r="M918" s="575"/>
      <c r="N918" s="575"/>
      <c r="O918" s="575"/>
      <c r="P918" s="574"/>
      <c r="Q918" s="574"/>
      <c r="R918" s="575"/>
      <c r="S918" s="142">
        <f t="shared" si="109"/>
        <v>0</v>
      </c>
      <c r="T918" s="142">
        <f t="shared" si="110"/>
        <v>0</v>
      </c>
      <c r="U918" s="142">
        <f t="shared" si="111"/>
        <v>0</v>
      </c>
      <c r="W918" s="601">
        <f t="shared" si="112"/>
        <v>0</v>
      </c>
      <c r="X918" s="601">
        <f t="shared" si="113"/>
        <v>0</v>
      </c>
      <c r="Y918" s="123"/>
      <c r="Z918" s="692">
        <f t="shared" si="108"/>
        <v>0</v>
      </c>
    </row>
    <row r="919" spans="1:26" customFormat="1" ht="12.75" thickBot="1">
      <c r="A919" s="57" t="s">
        <v>1269</v>
      </c>
      <c r="B919" s="25" t="s">
        <v>413</v>
      </c>
      <c r="C919" s="25" t="s">
        <v>454</v>
      </c>
      <c r="D919" s="98" t="s">
        <v>892</v>
      </c>
      <c r="E919" s="576"/>
      <c r="F919" s="575"/>
      <c r="G919" s="575"/>
      <c r="H919" s="575"/>
      <c r="I919" s="575"/>
      <c r="J919" s="574"/>
      <c r="K919" s="574"/>
      <c r="L919" s="575"/>
      <c r="M919" s="575"/>
      <c r="N919" s="575"/>
      <c r="O919" s="575"/>
      <c r="P919" s="574"/>
      <c r="Q919" s="574"/>
      <c r="R919" s="575"/>
      <c r="S919" s="142">
        <f t="shared" si="109"/>
        <v>0</v>
      </c>
      <c r="T919" s="142">
        <f t="shared" si="110"/>
        <v>0</v>
      </c>
      <c r="U919" s="142">
        <f t="shared" si="111"/>
        <v>0</v>
      </c>
      <c r="W919" s="601">
        <f t="shared" si="112"/>
        <v>0</v>
      </c>
      <c r="X919" s="601">
        <f t="shared" si="113"/>
        <v>0</v>
      </c>
      <c r="Y919" s="123"/>
      <c r="Z919" s="692">
        <f t="shared" si="108"/>
        <v>0</v>
      </c>
    </row>
    <row r="920" spans="1:26" customFormat="1" ht="12.75" thickBot="1">
      <c r="A920" s="57" t="s">
        <v>1269</v>
      </c>
      <c r="B920" s="25" t="s">
        <v>414</v>
      </c>
      <c r="C920" s="25" t="s">
        <v>445</v>
      </c>
      <c r="D920" s="25" t="s">
        <v>20</v>
      </c>
      <c r="E920" s="576">
        <v>167813178</v>
      </c>
      <c r="F920" s="575">
        <v>231570</v>
      </c>
      <c r="G920" s="575">
        <v>2240306</v>
      </c>
      <c r="H920" s="575">
        <v>4572909</v>
      </c>
      <c r="I920" s="574"/>
      <c r="J920" s="575">
        <v>199960</v>
      </c>
      <c r="K920" s="575">
        <v>6632011</v>
      </c>
      <c r="L920" s="575">
        <v>404449</v>
      </c>
      <c r="M920" s="575">
        <v>-856352</v>
      </c>
      <c r="N920" s="575"/>
      <c r="O920" s="575">
        <v>570042</v>
      </c>
      <c r="P920" s="574"/>
      <c r="Q920" s="575"/>
      <c r="R920" s="575">
        <v>13994896</v>
      </c>
      <c r="S920" s="142">
        <f t="shared" si="109"/>
        <v>6813215</v>
      </c>
      <c r="T920" s="142">
        <f t="shared" si="110"/>
        <v>6831971</v>
      </c>
      <c r="U920" s="142">
        <f t="shared" si="111"/>
        <v>570042</v>
      </c>
      <c r="W920" s="601">
        <f t="shared" si="112"/>
        <v>13994895</v>
      </c>
      <c r="X920" s="601">
        <f t="shared" si="113"/>
        <v>-1</v>
      </c>
      <c r="Y920" s="123"/>
      <c r="Z920" s="692">
        <f t="shared" ref="Z920:Z981" si="114">SUM(F920:K920)</f>
        <v>13876756</v>
      </c>
    </row>
    <row r="921" spans="1:26" ht="12.75" thickBot="1">
      <c r="A921" s="146" t="s">
        <v>1269</v>
      </c>
      <c r="B921" s="147" t="s">
        <v>415</v>
      </c>
      <c r="C921" s="147" t="s">
        <v>443</v>
      </c>
      <c r="D921" s="153" t="s">
        <v>21</v>
      </c>
      <c r="E921" s="587">
        <v>15138627</v>
      </c>
      <c r="F921" s="588">
        <v>8840</v>
      </c>
      <c r="G921" s="588">
        <v>181815</v>
      </c>
      <c r="H921" s="588">
        <v>412528</v>
      </c>
      <c r="I921" s="589"/>
      <c r="J921" s="588">
        <v>17699</v>
      </c>
      <c r="K921" s="588">
        <v>496683</v>
      </c>
      <c r="L921" s="588">
        <v>36486</v>
      </c>
      <c r="M921" s="588">
        <v>-77253</v>
      </c>
      <c r="N921" s="588"/>
      <c r="O921" s="588">
        <v>51424</v>
      </c>
      <c r="P921" s="589"/>
      <c r="Q921" s="589"/>
      <c r="R921" s="588">
        <v>1128222</v>
      </c>
      <c r="S921" s="590">
        <f t="shared" si="109"/>
        <v>594343</v>
      </c>
      <c r="T921" s="590">
        <f t="shared" si="110"/>
        <v>514382</v>
      </c>
      <c r="U921" s="590">
        <f t="shared" si="111"/>
        <v>51424</v>
      </c>
      <c r="W921" s="368">
        <f t="shared" si="112"/>
        <v>1128222</v>
      </c>
      <c r="X921" s="368">
        <f t="shared" si="113"/>
        <v>0</v>
      </c>
      <c r="Y921" s="592"/>
      <c r="Z921" s="692">
        <f t="shared" si="114"/>
        <v>1117565</v>
      </c>
    </row>
    <row r="922" spans="1:26" customFormat="1" ht="12.75" thickBot="1">
      <c r="A922" s="57" t="s">
        <v>1269</v>
      </c>
      <c r="B922" s="25" t="s">
        <v>416</v>
      </c>
      <c r="C922" s="25" t="s">
        <v>446</v>
      </c>
      <c r="D922" s="69" t="s">
        <v>20</v>
      </c>
      <c r="E922" s="576"/>
      <c r="F922" s="575"/>
      <c r="G922" s="575"/>
      <c r="H922" s="575"/>
      <c r="I922" s="574"/>
      <c r="J922" s="575"/>
      <c r="K922" s="575"/>
      <c r="L922" s="575"/>
      <c r="M922" s="575"/>
      <c r="N922" s="575"/>
      <c r="O922" s="575"/>
      <c r="P922" s="574"/>
      <c r="Q922" s="574"/>
      <c r="R922" s="575"/>
      <c r="S922" s="142">
        <f t="shared" si="109"/>
        <v>0</v>
      </c>
      <c r="T922" s="142">
        <f t="shared" si="110"/>
        <v>0</v>
      </c>
      <c r="U922" s="142">
        <f t="shared" si="111"/>
        <v>0</v>
      </c>
      <c r="W922" s="601">
        <f t="shared" si="112"/>
        <v>0</v>
      </c>
      <c r="X922" s="601">
        <f t="shared" si="113"/>
        <v>0</v>
      </c>
      <c r="Y922" s="123"/>
      <c r="Z922" s="692">
        <f t="shared" si="114"/>
        <v>0</v>
      </c>
    </row>
    <row r="923" spans="1:26" customFormat="1" ht="12.75" thickBot="1">
      <c r="A923" s="57" t="s">
        <v>1269</v>
      </c>
      <c r="B923" s="25" t="s">
        <v>417</v>
      </c>
      <c r="C923" s="25" t="s">
        <v>932</v>
      </c>
      <c r="D923" s="69" t="s">
        <v>920</v>
      </c>
      <c r="E923" s="576">
        <v>70388905</v>
      </c>
      <c r="F923" s="575">
        <v>41200</v>
      </c>
      <c r="G923" s="575">
        <v>890420</v>
      </c>
      <c r="H923" s="575">
        <v>1918098</v>
      </c>
      <c r="I923" s="574"/>
      <c r="J923" s="575">
        <v>68165</v>
      </c>
      <c r="K923" s="575">
        <v>2002254</v>
      </c>
      <c r="L923" s="575">
        <v>169646</v>
      </c>
      <c r="M923" s="575">
        <v>-359195</v>
      </c>
      <c r="N923" s="575"/>
      <c r="O923" s="575">
        <v>239103</v>
      </c>
      <c r="P923" s="574"/>
      <c r="Q923" s="574"/>
      <c r="R923" s="575">
        <v>4969689</v>
      </c>
      <c r="S923" s="142">
        <f t="shared" si="109"/>
        <v>2808518</v>
      </c>
      <c r="T923" s="142">
        <f t="shared" si="110"/>
        <v>2070419</v>
      </c>
      <c r="U923" s="142">
        <f t="shared" si="111"/>
        <v>239103</v>
      </c>
      <c r="W923" s="601">
        <f t="shared" si="112"/>
        <v>4969691</v>
      </c>
      <c r="X923" s="601">
        <f t="shared" si="113"/>
        <v>2</v>
      </c>
      <c r="Y923" s="123"/>
      <c r="Z923" s="692">
        <f t="shared" si="114"/>
        <v>4920137</v>
      </c>
    </row>
    <row r="924" spans="1:26" customFormat="1" ht="12.75" thickBot="1">
      <c r="A924" s="57" t="s">
        <v>1269</v>
      </c>
      <c r="B924" s="25" t="s">
        <v>418</v>
      </c>
      <c r="C924" s="25" t="s">
        <v>447</v>
      </c>
      <c r="D924" s="69" t="s">
        <v>448</v>
      </c>
      <c r="E924" s="576">
        <v>37554466</v>
      </c>
      <c r="F924" s="575">
        <v>10500</v>
      </c>
      <c r="G924" s="575">
        <v>407466</v>
      </c>
      <c r="H924" s="575">
        <v>1023359</v>
      </c>
      <c r="I924" s="574"/>
      <c r="J924" s="575">
        <v>34506</v>
      </c>
      <c r="K924" s="575">
        <v>1108423</v>
      </c>
      <c r="L924" s="575">
        <v>90511</v>
      </c>
      <c r="M924" s="575">
        <v>-191641</v>
      </c>
      <c r="N924" s="575"/>
      <c r="O924" s="575">
        <v>127568</v>
      </c>
      <c r="P924" s="574"/>
      <c r="Q924" s="574"/>
      <c r="R924" s="575">
        <v>2610692</v>
      </c>
      <c r="S924" s="142">
        <f t="shared" si="109"/>
        <v>1430825</v>
      </c>
      <c r="T924" s="142">
        <f t="shared" si="110"/>
        <v>1142929</v>
      </c>
      <c r="U924" s="142">
        <f t="shared" si="111"/>
        <v>127568</v>
      </c>
      <c r="W924" s="601">
        <f t="shared" si="112"/>
        <v>2610692</v>
      </c>
      <c r="X924" s="601">
        <f t="shared" si="113"/>
        <v>0</v>
      </c>
      <c r="Y924" s="123"/>
      <c r="Z924" s="692">
        <f t="shared" si="114"/>
        <v>2584254</v>
      </c>
    </row>
    <row r="925" spans="1:26" customFormat="1" ht="12.75" thickBot="1">
      <c r="A925" s="57" t="s">
        <v>1269</v>
      </c>
      <c r="B925" s="25" t="s">
        <v>420</v>
      </c>
      <c r="C925" s="25" t="s">
        <v>59</v>
      </c>
      <c r="D925" s="69" t="s">
        <v>14</v>
      </c>
      <c r="E925" s="576">
        <v>95834898</v>
      </c>
      <c r="F925" s="575">
        <v>570004</v>
      </c>
      <c r="G925" s="575">
        <v>5982014</v>
      </c>
      <c r="H925" s="575">
        <v>2611501</v>
      </c>
      <c r="I925" s="575">
        <v>160044</v>
      </c>
      <c r="J925" s="574"/>
      <c r="K925" s="574"/>
      <c r="L925" s="575">
        <v>230973</v>
      </c>
      <c r="M925" s="575">
        <v>-489046</v>
      </c>
      <c r="N925" s="575"/>
      <c r="O925" s="575">
        <v>325540</v>
      </c>
      <c r="P925" s="574"/>
      <c r="Q925" s="575"/>
      <c r="R925" s="575">
        <v>9391031</v>
      </c>
      <c r="S925" s="142">
        <f t="shared" si="109"/>
        <v>8753559</v>
      </c>
      <c r="T925" s="142">
        <f t="shared" si="110"/>
        <v>0</v>
      </c>
      <c r="U925" s="142">
        <f t="shared" si="111"/>
        <v>325540</v>
      </c>
      <c r="W925" s="601">
        <f t="shared" si="112"/>
        <v>9391030</v>
      </c>
      <c r="X925" s="601">
        <f t="shared" si="113"/>
        <v>-1</v>
      </c>
      <c r="Y925" s="123"/>
      <c r="Z925" s="692">
        <f t="shared" si="114"/>
        <v>9323563</v>
      </c>
    </row>
    <row r="926" spans="1:26" customFormat="1" ht="12.75" thickBot="1">
      <c r="A926" s="57" t="s">
        <v>1269</v>
      </c>
      <c r="B926" s="25" t="s">
        <v>421</v>
      </c>
      <c r="C926" s="25" t="s">
        <v>1123</v>
      </c>
      <c r="D926" s="69" t="s">
        <v>14</v>
      </c>
      <c r="E926" s="576"/>
      <c r="F926" s="574"/>
      <c r="G926" s="575"/>
      <c r="H926" s="575"/>
      <c r="I926" s="575"/>
      <c r="J926" s="574"/>
      <c r="K926" s="574"/>
      <c r="L926" s="575"/>
      <c r="M926" s="575"/>
      <c r="N926" s="575"/>
      <c r="O926" s="575"/>
      <c r="P926" s="574"/>
      <c r="Q926" s="574"/>
      <c r="R926" s="575"/>
      <c r="S926" s="142">
        <f t="shared" si="109"/>
        <v>0</v>
      </c>
      <c r="T926" s="142">
        <f t="shared" si="110"/>
        <v>0</v>
      </c>
      <c r="U926" s="142">
        <f t="shared" si="111"/>
        <v>0</v>
      </c>
      <c r="W926" s="601">
        <f t="shared" si="112"/>
        <v>0</v>
      </c>
      <c r="X926" s="601">
        <f t="shared" si="113"/>
        <v>0</v>
      </c>
      <c r="Y926" s="123"/>
      <c r="Z926" s="692">
        <f t="shared" si="114"/>
        <v>0</v>
      </c>
    </row>
    <row r="927" spans="1:26" customFormat="1" ht="12.75" thickBot="1">
      <c r="A927" s="57" t="s">
        <v>1269</v>
      </c>
      <c r="B927" s="25" t="s">
        <v>423</v>
      </c>
      <c r="C927" s="25" t="s">
        <v>452</v>
      </c>
      <c r="D927" s="69" t="s">
        <v>14</v>
      </c>
      <c r="E927" s="576"/>
      <c r="F927" s="575"/>
      <c r="G927" s="575"/>
      <c r="H927" s="575"/>
      <c r="I927" s="575"/>
      <c r="J927" s="574"/>
      <c r="K927" s="574"/>
      <c r="L927" s="575"/>
      <c r="M927" s="575"/>
      <c r="N927" s="575"/>
      <c r="O927" s="575"/>
      <c r="P927" s="574"/>
      <c r="Q927" s="574"/>
      <c r="R927" s="575"/>
      <c r="S927" s="142">
        <f t="shared" ref="S927:S988" si="115">G927+H927+I927</f>
        <v>0</v>
      </c>
      <c r="T927" s="142">
        <f t="shared" ref="T927:T988" si="116">J927+K927</f>
        <v>0</v>
      </c>
      <c r="U927" s="142">
        <f t="shared" ref="U927:U988" si="117">N927+O927</f>
        <v>0</v>
      </c>
      <c r="W927" s="601">
        <f t="shared" si="112"/>
        <v>0</v>
      </c>
      <c r="X927" s="601">
        <f t="shared" si="113"/>
        <v>0</v>
      </c>
      <c r="Y927" s="123"/>
      <c r="Z927" s="692">
        <f t="shared" si="114"/>
        <v>0</v>
      </c>
    </row>
    <row r="928" spans="1:26" customFormat="1" ht="12.75" thickBot="1">
      <c r="A928" s="57" t="s">
        <v>1269</v>
      </c>
      <c r="B928" s="25" t="s">
        <v>424</v>
      </c>
      <c r="C928" s="25" t="s">
        <v>463</v>
      </c>
      <c r="D928" s="25" t="s">
        <v>464</v>
      </c>
      <c r="E928" s="576">
        <v>5318100</v>
      </c>
      <c r="F928" s="574"/>
      <c r="G928" s="575">
        <v>51958</v>
      </c>
      <c r="H928" s="575">
        <v>144918</v>
      </c>
      <c r="I928" s="574"/>
      <c r="J928" s="575">
        <v>3496</v>
      </c>
      <c r="K928" s="575">
        <v>94311</v>
      </c>
      <c r="L928" s="575"/>
      <c r="M928" s="575">
        <v>-27138</v>
      </c>
      <c r="N928" s="575"/>
      <c r="O928" s="575">
        <v>18065</v>
      </c>
      <c r="P928" s="574"/>
      <c r="Q928" s="574"/>
      <c r="R928" s="575">
        <v>285610</v>
      </c>
      <c r="S928" s="142">
        <f t="shared" si="115"/>
        <v>196876</v>
      </c>
      <c r="T928" s="142">
        <f t="shared" si="116"/>
        <v>97807</v>
      </c>
      <c r="U928" s="142">
        <f t="shared" si="117"/>
        <v>18065</v>
      </c>
      <c r="W928" s="601">
        <f t="shared" si="112"/>
        <v>285610</v>
      </c>
      <c r="X928" s="601">
        <f t="shared" si="113"/>
        <v>0</v>
      </c>
      <c r="Y928" s="123"/>
      <c r="Z928" s="692">
        <f t="shared" si="114"/>
        <v>294683</v>
      </c>
    </row>
    <row r="929" spans="1:26" customFormat="1" ht="12.75" thickBot="1">
      <c r="A929" s="57" t="s">
        <v>1269</v>
      </c>
      <c r="B929" s="25" t="s">
        <v>1204</v>
      </c>
      <c r="C929" s="25" t="s">
        <v>1206</v>
      </c>
      <c r="D929" s="69" t="s">
        <v>63</v>
      </c>
      <c r="E929" s="574"/>
      <c r="F929" s="574"/>
      <c r="G929" s="574"/>
      <c r="H929" s="574"/>
      <c r="I929" s="574"/>
      <c r="J929" s="574"/>
      <c r="K929" s="574"/>
      <c r="L929" s="574"/>
      <c r="M929" s="574"/>
      <c r="N929" s="574"/>
      <c r="O929" s="574"/>
      <c r="P929" s="578">
        <v>-221406</v>
      </c>
      <c r="Q929" s="574"/>
      <c r="R929" s="578">
        <v>-221406</v>
      </c>
      <c r="S929" s="142">
        <f t="shared" si="115"/>
        <v>0</v>
      </c>
      <c r="T929" s="142">
        <f t="shared" si="116"/>
        <v>0</v>
      </c>
      <c r="U929" s="142">
        <f t="shared" si="117"/>
        <v>0</v>
      </c>
      <c r="W929" s="601">
        <f t="shared" si="112"/>
        <v>-221406</v>
      </c>
      <c r="X929" s="601">
        <f t="shared" si="113"/>
        <v>0</v>
      </c>
      <c r="Y929" s="123"/>
      <c r="Z929" s="692">
        <f t="shared" si="114"/>
        <v>0</v>
      </c>
    </row>
    <row r="930" spans="1:26" customFormat="1" ht="12.75" thickBot="1">
      <c r="A930" s="57" t="s">
        <v>1269</v>
      </c>
      <c r="B930" s="25" t="s">
        <v>425</v>
      </c>
      <c r="C930" s="25" t="s">
        <v>444</v>
      </c>
      <c r="D930" s="69" t="s">
        <v>63</v>
      </c>
      <c r="E930" s="574"/>
      <c r="F930" s="574"/>
      <c r="G930" s="574"/>
      <c r="H930" s="574"/>
      <c r="I930" s="574"/>
      <c r="J930" s="574"/>
      <c r="K930" s="574"/>
      <c r="L930" s="574"/>
      <c r="M930" s="574"/>
      <c r="N930" s="574"/>
      <c r="O930" s="574"/>
      <c r="P930" s="575">
        <v>-65120</v>
      </c>
      <c r="Q930" s="574"/>
      <c r="R930" s="575">
        <v>-65120</v>
      </c>
      <c r="S930" s="142">
        <f t="shared" si="115"/>
        <v>0</v>
      </c>
      <c r="T930" s="142">
        <f t="shared" si="116"/>
        <v>0</v>
      </c>
      <c r="U930" s="142">
        <f t="shared" si="117"/>
        <v>0</v>
      </c>
      <c r="W930" s="601">
        <f t="shared" si="112"/>
        <v>-65120</v>
      </c>
      <c r="X930" s="601">
        <f t="shared" si="113"/>
        <v>0</v>
      </c>
      <c r="Y930" s="123"/>
      <c r="Z930" s="692">
        <f t="shared" si="114"/>
        <v>0</v>
      </c>
    </row>
    <row r="931" spans="1:26" customFormat="1" ht="12.75" thickBot="1">
      <c r="A931" s="57" t="s">
        <v>1269</v>
      </c>
      <c r="B931" s="25" t="s">
        <v>854</v>
      </c>
      <c r="C931" s="25" t="s">
        <v>855</v>
      </c>
      <c r="D931" s="69" t="s">
        <v>1125</v>
      </c>
      <c r="E931" s="574"/>
      <c r="F931" s="574"/>
      <c r="G931" s="574"/>
      <c r="H931" s="574"/>
      <c r="I931" s="574"/>
      <c r="J931" s="574"/>
      <c r="K931" s="574"/>
      <c r="L931" s="574"/>
      <c r="M931" s="574"/>
      <c r="N931" s="574"/>
      <c r="O931" s="574"/>
      <c r="P931" s="574"/>
      <c r="Q931" s="574"/>
      <c r="R931" s="574"/>
      <c r="S931" s="142">
        <f t="shared" si="115"/>
        <v>0</v>
      </c>
      <c r="T931" s="142">
        <f t="shared" si="116"/>
        <v>0</v>
      </c>
      <c r="U931" s="142">
        <f t="shared" si="117"/>
        <v>0</v>
      </c>
      <c r="W931" s="601">
        <f t="shared" si="112"/>
        <v>0</v>
      </c>
      <c r="X931" s="601">
        <f t="shared" si="113"/>
        <v>0</v>
      </c>
      <c r="Y931" s="123"/>
      <c r="Z931" s="692">
        <f t="shared" si="114"/>
        <v>0</v>
      </c>
    </row>
    <row r="932" spans="1:26" customFormat="1" ht="12.75" thickBot="1">
      <c r="A932" s="57" t="s">
        <v>1269</v>
      </c>
      <c r="B932" s="25" t="s">
        <v>426</v>
      </c>
      <c r="C932" s="25" t="s">
        <v>450</v>
      </c>
      <c r="D932" s="69" t="s">
        <v>451</v>
      </c>
      <c r="E932" s="576">
        <v>11024000</v>
      </c>
      <c r="F932" s="574"/>
      <c r="G932" s="575">
        <v>111894</v>
      </c>
      <c r="H932" s="575">
        <v>300404</v>
      </c>
      <c r="I932" s="574"/>
      <c r="J932" s="575">
        <v>8055</v>
      </c>
      <c r="K932" s="575">
        <v>302581</v>
      </c>
      <c r="L932" s="575"/>
      <c r="M932" s="575">
        <v>-56256</v>
      </c>
      <c r="N932" s="575"/>
      <c r="O932" s="575">
        <v>37447</v>
      </c>
      <c r="P932" s="574"/>
      <c r="Q932" s="574"/>
      <c r="R932" s="575">
        <v>704125</v>
      </c>
      <c r="S932" s="142">
        <f t="shared" si="115"/>
        <v>412298</v>
      </c>
      <c r="T932" s="142">
        <f t="shared" si="116"/>
        <v>310636</v>
      </c>
      <c r="U932" s="142">
        <f t="shared" si="117"/>
        <v>37447</v>
      </c>
      <c r="W932" s="601">
        <f t="shared" si="112"/>
        <v>704125</v>
      </c>
      <c r="X932" s="601">
        <f t="shared" si="113"/>
        <v>0</v>
      </c>
      <c r="Y932" s="123"/>
      <c r="Z932" s="692">
        <f t="shared" si="114"/>
        <v>722934</v>
      </c>
    </row>
    <row r="933" spans="1:26" customFormat="1" ht="12.75" thickBot="1">
      <c r="A933" s="57" t="s">
        <v>1269</v>
      </c>
      <c r="B933" s="25" t="s">
        <v>427</v>
      </c>
      <c r="C933" s="25" t="s">
        <v>54</v>
      </c>
      <c r="D933" s="25" t="s">
        <v>15</v>
      </c>
      <c r="E933" s="576">
        <v>71926801</v>
      </c>
      <c r="F933" s="575">
        <v>9000</v>
      </c>
      <c r="G933" s="575">
        <v>636552</v>
      </c>
      <c r="H933" s="575">
        <v>1960005</v>
      </c>
      <c r="I933" s="574"/>
      <c r="J933" s="575">
        <v>44368</v>
      </c>
      <c r="K933" s="575">
        <v>1273786</v>
      </c>
      <c r="L933" s="575"/>
      <c r="M933" s="575">
        <v>-367043</v>
      </c>
      <c r="N933" s="575"/>
      <c r="O933" s="575">
        <v>244327</v>
      </c>
      <c r="P933" s="574"/>
      <c r="Q933" s="574"/>
      <c r="R933" s="575">
        <v>3800996</v>
      </c>
      <c r="S933" s="142">
        <f t="shared" si="115"/>
        <v>2596557</v>
      </c>
      <c r="T933" s="142">
        <f t="shared" si="116"/>
        <v>1318154</v>
      </c>
      <c r="U933" s="142">
        <f t="shared" si="117"/>
        <v>244327</v>
      </c>
      <c r="W933" s="601">
        <f t="shared" si="112"/>
        <v>3800995</v>
      </c>
      <c r="X933" s="601">
        <f t="shared" si="113"/>
        <v>-1</v>
      </c>
      <c r="Y933" s="123"/>
      <c r="Z933" s="692">
        <f t="shared" si="114"/>
        <v>3923711</v>
      </c>
    </row>
    <row r="934" spans="1:26" customFormat="1" ht="12.75" thickBot="1">
      <c r="A934" s="57" t="s">
        <v>1269</v>
      </c>
      <c r="B934" s="25" t="s">
        <v>428</v>
      </c>
      <c r="C934" s="25" t="s">
        <v>458</v>
      </c>
      <c r="D934" s="69" t="s">
        <v>20</v>
      </c>
      <c r="E934" s="576">
        <v>24224816</v>
      </c>
      <c r="F934" s="575">
        <v>20700</v>
      </c>
      <c r="G934" s="575">
        <v>323401</v>
      </c>
      <c r="H934" s="575">
        <v>660126</v>
      </c>
      <c r="I934" s="574"/>
      <c r="J934" s="575">
        <v>36717</v>
      </c>
      <c r="K934" s="575">
        <v>1217777</v>
      </c>
      <c r="L934" s="575">
        <v>58385</v>
      </c>
      <c r="M934" s="575">
        <v>-123619</v>
      </c>
      <c r="N934" s="575"/>
      <c r="O934" s="575">
        <v>82289</v>
      </c>
      <c r="P934" s="574"/>
      <c r="Q934" s="574"/>
      <c r="R934" s="575">
        <v>2275776</v>
      </c>
      <c r="S934" s="142">
        <f t="shared" si="115"/>
        <v>983527</v>
      </c>
      <c r="T934" s="142">
        <f t="shared" si="116"/>
        <v>1254494</v>
      </c>
      <c r="U934" s="142">
        <f t="shared" si="117"/>
        <v>82289</v>
      </c>
      <c r="W934" s="601">
        <f t="shared" si="112"/>
        <v>2275776</v>
      </c>
      <c r="X934" s="601">
        <f t="shared" si="113"/>
        <v>0</v>
      </c>
      <c r="Y934" s="123"/>
      <c r="Z934" s="692">
        <f t="shared" si="114"/>
        <v>2258721</v>
      </c>
    </row>
    <row r="935" spans="1:26" customFormat="1" ht="12.75" thickBot="1">
      <c r="A935" s="57" t="s">
        <v>1269</v>
      </c>
      <c r="B935" s="25" t="s">
        <v>429</v>
      </c>
      <c r="C935" s="25" t="s">
        <v>457</v>
      </c>
      <c r="D935" s="153" t="s">
        <v>21</v>
      </c>
      <c r="E935" s="576">
        <v>1135505</v>
      </c>
      <c r="F935" s="575">
        <v>3570</v>
      </c>
      <c r="G935" s="575">
        <v>13637</v>
      </c>
      <c r="H935" s="575">
        <v>30942</v>
      </c>
      <c r="I935" s="574"/>
      <c r="J935" s="575">
        <v>1976</v>
      </c>
      <c r="K935" s="575">
        <v>55465</v>
      </c>
      <c r="L935" s="575">
        <v>2737</v>
      </c>
      <c r="M935" s="575">
        <v>-5794</v>
      </c>
      <c r="N935" s="575"/>
      <c r="O935" s="575">
        <v>3857</v>
      </c>
      <c r="P935" s="574"/>
      <c r="Q935" s="574"/>
      <c r="R935" s="575">
        <v>106391</v>
      </c>
      <c r="S935" s="142">
        <f t="shared" si="115"/>
        <v>44579</v>
      </c>
      <c r="T935" s="142">
        <f t="shared" si="116"/>
        <v>57441</v>
      </c>
      <c r="U935" s="142">
        <f t="shared" si="117"/>
        <v>3857</v>
      </c>
      <c r="W935" s="601">
        <f t="shared" si="112"/>
        <v>106390</v>
      </c>
      <c r="X935" s="601">
        <f t="shared" si="113"/>
        <v>-1</v>
      </c>
      <c r="Y935" s="123"/>
      <c r="Z935" s="692">
        <f t="shared" si="114"/>
        <v>105590</v>
      </c>
    </row>
    <row r="936" spans="1:26" customFormat="1" ht="12.75" thickBot="1">
      <c r="A936" s="57" t="s">
        <v>1269</v>
      </c>
      <c r="B936" s="25" t="s">
        <v>430</v>
      </c>
      <c r="C936" s="25" t="s">
        <v>933</v>
      </c>
      <c r="D936" s="69" t="s">
        <v>920</v>
      </c>
      <c r="E936" s="576">
        <v>21604051</v>
      </c>
      <c r="F936" s="575">
        <v>16600</v>
      </c>
      <c r="G936" s="575">
        <v>273291</v>
      </c>
      <c r="H936" s="575">
        <v>588710</v>
      </c>
      <c r="I936" s="574"/>
      <c r="J936" s="575">
        <v>22912</v>
      </c>
      <c r="K936" s="575">
        <v>671039</v>
      </c>
      <c r="L936" s="575">
        <v>52068</v>
      </c>
      <c r="M936" s="575">
        <v>-110246</v>
      </c>
      <c r="N936" s="575"/>
      <c r="O936" s="575">
        <v>73386</v>
      </c>
      <c r="P936" s="574"/>
      <c r="Q936" s="574"/>
      <c r="R936" s="575">
        <v>1587762</v>
      </c>
      <c r="S936" s="142">
        <f t="shared" si="115"/>
        <v>862001</v>
      </c>
      <c r="T936" s="142">
        <f t="shared" si="116"/>
        <v>693951</v>
      </c>
      <c r="U936" s="142">
        <f t="shared" si="117"/>
        <v>73386</v>
      </c>
      <c r="W936" s="601">
        <f t="shared" si="112"/>
        <v>1587760</v>
      </c>
      <c r="X936" s="601">
        <f t="shared" si="113"/>
        <v>-2</v>
      </c>
      <c r="Y936" s="123"/>
      <c r="Z936" s="692">
        <f t="shared" si="114"/>
        <v>1572552</v>
      </c>
    </row>
    <row r="937" spans="1:26" customFormat="1" ht="12.75" thickBot="1">
      <c r="A937" s="57" t="s">
        <v>1269</v>
      </c>
      <c r="B937" s="25" t="s">
        <v>431</v>
      </c>
      <c r="C937" s="25" t="s">
        <v>459</v>
      </c>
      <c r="D937" s="69" t="s">
        <v>460</v>
      </c>
      <c r="E937" s="576">
        <v>143186148</v>
      </c>
      <c r="F937" s="575">
        <v>19500</v>
      </c>
      <c r="G937" s="575">
        <v>1164103</v>
      </c>
      <c r="H937" s="575">
        <v>3901823</v>
      </c>
      <c r="I937" s="574"/>
      <c r="J937" s="575">
        <v>138025</v>
      </c>
      <c r="K937" s="575">
        <v>3806842</v>
      </c>
      <c r="L937" s="575">
        <v>345095</v>
      </c>
      <c r="M937" s="575">
        <v>-730680</v>
      </c>
      <c r="N937" s="575"/>
      <c r="O937" s="575">
        <v>486387</v>
      </c>
      <c r="P937" s="574"/>
      <c r="Q937" s="574"/>
      <c r="R937" s="575">
        <v>9131095</v>
      </c>
      <c r="S937" s="142">
        <f t="shared" si="115"/>
        <v>5065926</v>
      </c>
      <c r="T937" s="142">
        <f t="shared" si="116"/>
        <v>3944867</v>
      </c>
      <c r="U937" s="142">
        <f t="shared" si="117"/>
        <v>486387</v>
      </c>
      <c r="W937" s="601">
        <f t="shared" si="112"/>
        <v>9131095</v>
      </c>
      <c r="X937" s="601">
        <f t="shared" si="113"/>
        <v>0</v>
      </c>
      <c r="Y937" s="123"/>
      <c r="Z937" s="692">
        <f t="shared" si="114"/>
        <v>9030293</v>
      </c>
    </row>
    <row r="938" spans="1:26" customFormat="1" ht="12.75" thickBot="1">
      <c r="A938" s="57" t="s">
        <v>1269</v>
      </c>
      <c r="B938" s="25" t="s">
        <v>433</v>
      </c>
      <c r="C938" s="25" t="s">
        <v>462</v>
      </c>
      <c r="D938" s="69" t="s">
        <v>17</v>
      </c>
      <c r="E938" s="576"/>
      <c r="F938" s="574"/>
      <c r="G938" s="575"/>
      <c r="H938" s="575"/>
      <c r="I938" s="575"/>
      <c r="J938" s="574"/>
      <c r="K938" s="574"/>
      <c r="L938" s="574"/>
      <c r="M938" s="575"/>
      <c r="N938" s="575"/>
      <c r="O938" s="574"/>
      <c r="P938" s="574"/>
      <c r="Q938" s="574"/>
      <c r="R938" s="575"/>
      <c r="S938" s="142">
        <f t="shared" si="115"/>
        <v>0</v>
      </c>
      <c r="T938" s="142">
        <f t="shared" si="116"/>
        <v>0</v>
      </c>
      <c r="U938" s="142">
        <f t="shared" si="117"/>
        <v>0</v>
      </c>
      <c r="W938" s="601">
        <f t="shared" si="112"/>
        <v>0</v>
      </c>
      <c r="X938" s="601">
        <f t="shared" si="113"/>
        <v>0</v>
      </c>
      <c r="Y938" s="123"/>
      <c r="Z938" s="692">
        <f t="shared" si="114"/>
        <v>0</v>
      </c>
    </row>
    <row r="939" spans="1:26" customFormat="1" ht="12.75" thickBot="1">
      <c r="A939" s="57" t="s">
        <v>1269</v>
      </c>
      <c r="B939" s="25" t="s">
        <v>434</v>
      </c>
      <c r="C939" s="25" t="s">
        <v>462</v>
      </c>
      <c r="D939" s="69" t="s">
        <v>17</v>
      </c>
      <c r="E939" s="576">
        <v>272078</v>
      </c>
      <c r="F939" s="574"/>
      <c r="G939" s="575">
        <f>ROUND(E939*0.06461,0)</f>
        <v>17579</v>
      </c>
      <c r="H939" s="575"/>
      <c r="I939" s="575"/>
      <c r="J939" s="574"/>
      <c r="K939" s="574"/>
      <c r="L939" s="574"/>
      <c r="M939" s="575">
        <f>ROUND(E939*-0.0051,0)</f>
        <v>-1388</v>
      </c>
      <c r="N939" s="575">
        <f>ROUND(E939*0.0034,0)</f>
        <v>925</v>
      </c>
      <c r="O939" s="574"/>
      <c r="P939" s="574"/>
      <c r="Q939" s="574"/>
      <c r="R939" s="575">
        <f>SUM(F939:N939)</f>
        <v>17116</v>
      </c>
      <c r="S939" s="142">
        <f t="shared" si="115"/>
        <v>17579</v>
      </c>
      <c r="T939" s="142">
        <f t="shared" si="116"/>
        <v>0</v>
      </c>
      <c r="U939" s="142">
        <f t="shared" si="117"/>
        <v>925</v>
      </c>
      <c r="W939" s="601">
        <f t="shared" si="112"/>
        <v>17116</v>
      </c>
      <c r="X939" s="601">
        <f t="shared" si="113"/>
        <v>0</v>
      </c>
      <c r="Y939" s="123"/>
      <c r="Z939" s="692">
        <f t="shared" si="114"/>
        <v>17579</v>
      </c>
    </row>
    <row r="940" spans="1:26" customFormat="1" ht="12.75" thickBot="1">
      <c r="A940" s="57" t="s">
        <v>1269</v>
      </c>
      <c r="B940" s="25" t="s">
        <v>435</v>
      </c>
      <c r="C940" s="25" t="s">
        <v>462</v>
      </c>
      <c r="D940" s="69" t="s">
        <v>17</v>
      </c>
      <c r="E940" s="576"/>
      <c r="F940" s="574"/>
      <c r="G940" s="575"/>
      <c r="H940" s="575"/>
      <c r="I940" s="575"/>
      <c r="J940" s="574"/>
      <c r="K940" s="574"/>
      <c r="L940" s="574"/>
      <c r="M940" s="575"/>
      <c r="N940" s="575"/>
      <c r="O940" s="574"/>
      <c r="P940" s="574"/>
      <c r="Q940" s="574"/>
      <c r="R940" s="575"/>
      <c r="S940" s="142">
        <f t="shared" si="115"/>
        <v>0</v>
      </c>
      <c r="T940" s="142">
        <f t="shared" si="116"/>
        <v>0</v>
      </c>
      <c r="U940" s="142">
        <f t="shared" si="117"/>
        <v>0</v>
      </c>
      <c r="W940" s="601">
        <f t="shared" si="112"/>
        <v>0</v>
      </c>
      <c r="X940" s="601">
        <f t="shared" si="113"/>
        <v>0</v>
      </c>
      <c r="Y940" s="123"/>
      <c r="Z940" s="692">
        <f t="shared" si="114"/>
        <v>0</v>
      </c>
    </row>
    <row r="941" spans="1:26" customFormat="1" ht="12.75" thickBot="1">
      <c r="A941" s="57" t="s">
        <v>1269</v>
      </c>
      <c r="B941" s="25" t="s">
        <v>436</v>
      </c>
      <c r="C941" s="25" t="s">
        <v>55</v>
      </c>
      <c r="D941" s="69" t="s">
        <v>18</v>
      </c>
      <c r="E941" s="576">
        <v>255370</v>
      </c>
      <c r="F941" s="575">
        <f>ROUND('1022'!D303*3.25,0)</f>
        <v>2941</v>
      </c>
      <c r="G941" s="575">
        <f>ROUND(E941*0.07658,0)</f>
        <v>19556</v>
      </c>
      <c r="H941" s="575"/>
      <c r="I941" s="575"/>
      <c r="J941" s="574"/>
      <c r="K941" s="574"/>
      <c r="L941" s="574"/>
      <c r="M941" s="575">
        <f>ROUND(E941*-0.0051,0)</f>
        <v>-1302</v>
      </c>
      <c r="N941" s="575">
        <f>ROUND(E941*0.0034,0)</f>
        <v>868</v>
      </c>
      <c r="O941" s="574"/>
      <c r="P941" s="574"/>
      <c r="Q941" s="574"/>
      <c r="R941" s="575">
        <f>SUM(F941:N941)</f>
        <v>22063</v>
      </c>
      <c r="S941" s="142">
        <f t="shared" si="115"/>
        <v>19556</v>
      </c>
      <c r="T941" s="142">
        <f t="shared" si="116"/>
        <v>0</v>
      </c>
      <c r="U941" s="142">
        <f t="shared" si="117"/>
        <v>868</v>
      </c>
      <c r="W941" s="601">
        <f t="shared" si="112"/>
        <v>22063</v>
      </c>
      <c r="X941" s="601">
        <f t="shared" si="113"/>
        <v>0</v>
      </c>
      <c r="Y941" s="123"/>
      <c r="Z941" s="692">
        <f t="shared" si="114"/>
        <v>22497</v>
      </c>
    </row>
    <row r="942" spans="1:26" customFormat="1" ht="12.75" thickBot="1">
      <c r="A942" s="57" t="s">
        <v>1269</v>
      </c>
      <c r="B942" s="25" t="s">
        <v>437</v>
      </c>
      <c r="C942" s="25" t="s">
        <v>55</v>
      </c>
      <c r="D942" s="69" t="s">
        <v>18</v>
      </c>
      <c r="E942" s="576"/>
      <c r="F942" s="575"/>
      <c r="G942" s="575"/>
      <c r="H942" s="575"/>
      <c r="I942" s="575"/>
      <c r="J942" s="574"/>
      <c r="K942" s="574"/>
      <c r="L942" s="574"/>
      <c r="M942" s="575"/>
      <c r="N942" s="575"/>
      <c r="O942" s="574"/>
      <c r="P942" s="574"/>
      <c r="Q942" s="574"/>
      <c r="R942" s="575"/>
      <c r="S942" s="142">
        <f t="shared" si="115"/>
        <v>0</v>
      </c>
      <c r="T942" s="142">
        <f t="shared" si="116"/>
        <v>0</v>
      </c>
      <c r="U942" s="142">
        <f t="shared" si="117"/>
        <v>0</v>
      </c>
      <c r="W942" s="601">
        <f t="shared" si="112"/>
        <v>0</v>
      </c>
      <c r="X942" s="601">
        <f t="shared" si="113"/>
        <v>0</v>
      </c>
      <c r="Y942" s="123"/>
      <c r="Z942" s="692">
        <f t="shared" si="114"/>
        <v>0</v>
      </c>
    </row>
    <row r="943" spans="1:26" customFormat="1" ht="12.75" thickBot="1">
      <c r="A943" s="57" t="s">
        <v>1269</v>
      </c>
      <c r="B943" s="25" t="s">
        <v>856</v>
      </c>
      <c r="C943" s="25" t="s">
        <v>857</v>
      </c>
      <c r="D943" s="69" t="s">
        <v>1125</v>
      </c>
      <c r="E943" s="574"/>
      <c r="F943" s="574"/>
      <c r="G943" s="574"/>
      <c r="H943" s="574"/>
      <c r="I943" s="574"/>
      <c r="J943" s="574"/>
      <c r="K943" s="574"/>
      <c r="L943" s="574"/>
      <c r="M943" s="574"/>
      <c r="N943" s="574"/>
      <c r="O943" s="574"/>
      <c r="P943" s="574"/>
      <c r="Q943" s="574"/>
      <c r="R943" s="574"/>
      <c r="S943" s="142">
        <f t="shared" si="115"/>
        <v>0</v>
      </c>
      <c r="T943" s="142">
        <f t="shared" si="116"/>
        <v>0</v>
      </c>
      <c r="U943" s="142">
        <f t="shared" si="117"/>
        <v>0</v>
      </c>
      <c r="W943" s="601">
        <f t="shared" si="112"/>
        <v>0</v>
      </c>
      <c r="X943" s="601">
        <f t="shared" si="113"/>
        <v>0</v>
      </c>
      <c r="Y943" s="123"/>
      <c r="Z943" s="692">
        <f t="shared" si="114"/>
        <v>0</v>
      </c>
    </row>
    <row r="944" spans="1:26" customFormat="1" ht="12.75" thickBot="1">
      <c r="A944" s="57" t="s">
        <v>1269</v>
      </c>
      <c r="B944" s="25" t="s">
        <v>438</v>
      </c>
      <c r="C944" s="25" t="s">
        <v>469</v>
      </c>
      <c r="D944" s="69" t="s">
        <v>13</v>
      </c>
      <c r="E944" s="576"/>
      <c r="F944" s="574"/>
      <c r="G944" s="575"/>
      <c r="H944" s="575"/>
      <c r="I944" s="575"/>
      <c r="J944" s="574"/>
      <c r="K944" s="574"/>
      <c r="L944" s="575"/>
      <c r="M944" s="575"/>
      <c r="N944" s="575"/>
      <c r="O944" s="574"/>
      <c r="P944" s="574"/>
      <c r="Q944" s="575"/>
      <c r="R944" s="575"/>
      <c r="S944" s="142">
        <f t="shared" si="115"/>
        <v>0</v>
      </c>
      <c r="T944" s="142">
        <f t="shared" si="116"/>
        <v>0</v>
      </c>
      <c r="U944" s="142">
        <f t="shared" si="117"/>
        <v>0</v>
      </c>
      <c r="W944" s="601">
        <f t="shared" si="112"/>
        <v>0</v>
      </c>
      <c r="X944" s="601">
        <f t="shared" si="113"/>
        <v>0</v>
      </c>
      <c r="Y944" s="123"/>
      <c r="Z944" s="692">
        <f t="shared" si="114"/>
        <v>0</v>
      </c>
    </row>
    <row r="945" spans="1:26" customFormat="1" ht="12.75" thickBot="1">
      <c r="A945" s="57" t="s">
        <v>1269</v>
      </c>
      <c r="B945" s="25" t="s">
        <v>439</v>
      </c>
      <c r="C945" s="25" t="s">
        <v>466</v>
      </c>
      <c r="D945" s="69" t="s">
        <v>13</v>
      </c>
      <c r="E945" s="576">
        <v>443841351</v>
      </c>
      <c r="F945" s="575">
        <v>3852058</v>
      </c>
      <c r="G945" s="575">
        <v>23155203</v>
      </c>
      <c r="H945" s="575">
        <v>12094677</v>
      </c>
      <c r="I945" s="575">
        <v>594747</v>
      </c>
      <c r="J945" s="574"/>
      <c r="K945" s="574"/>
      <c r="L945" s="575">
        <v>1069710</v>
      </c>
      <c r="M945" s="575">
        <v>-2264926</v>
      </c>
      <c r="N945" s="575">
        <v>1507678</v>
      </c>
      <c r="O945" s="574"/>
      <c r="P945" s="574"/>
      <c r="Q945" s="575"/>
      <c r="R945" s="575">
        <v>40009147</v>
      </c>
      <c r="S945" s="142">
        <f t="shared" si="115"/>
        <v>35844627</v>
      </c>
      <c r="T945" s="142">
        <f t="shared" si="116"/>
        <v>0</v>
      </c>
      <c r="U945" s="142">
        <f t="shared" si="117"/>
        <v>1507678</v>
      </c>
      <c r="W945" s="601">
        <f t="shared" si="112"/>
        <v>40009147</v>
      </c>
      <c r="X945" s="601">
        <f t="shared" si="113"/>
        <v>0</v>
      </c>
      <c r="Y945" s="123"/>
      <c r="Z945" s="692">
        <f t="shared" si="114"/>
        <v>39696685</v>
      </c>
    </row>
    <row r="946" spans="1:26" customFormat="1" ht="12.75" thickBot="1">
      <c r="A946" s="57" t="s">
        <v>1269</v>
      </c>
      <c r="B946" s="25" t="s">
        <v>440</v>
      </c>
      <c r="C946" s="25" t="s">
        <v>467</v>
      </c>
      <c r="D946" s="69" t="s">
        <v>13</v>
      </c>
      <c r="E946" s="576"/>
      <c r="F946" s="575"/>
      <c r="G946" s="575"/>
      <c r="H946" s="575"/>
      <c r="I946" s="575"/>
      <c r="J946" s="574"/>
      <c r="K946" s="574"/>
      <c r="L946" s="575"/>
      <c r="M946" s="575"/>
      <c r="N946" s="575"/>
      <c r="O946" s="574"/>
      <c r="P946" s="574"/>
      <c r="Q946" s="575"/>
      <c r="R946" s="575"/>
      <c r="S946" s="142">
        <f t="shared" si="115"/>
        <v>0</v>
      </c>
      <c r="T946" s="142">
        <f t="shared" si="116"/>
        <v>0</v>
      </c>
      <c r="U946" s="142">
        <f t="shared" si="117"/>
        <v>0</v>
      </c>
      <c r="W946" s="601">
        <f t="shared" si="112"/>
        <v>0</v>
      </c>
      <c r="X946" s="601">
        <f t="shared" si="113"/>
        <v>0</v>
      </c>
      <c r="Y946" s="123"/>
      <c r="Z946" s="692">
        <f t="shared" si="114"/>
        <v>0</v>
      </c>
    </row>
    <row r="947" spans="1:26" customFormat="1" ht="12.75" thickBot="1">
      <c r="A947" s="57" t="s">
        <v>1269</v>
      </c>
      <c r="B947" s="25" t="s">
        <v>441</v>
      </c>
      <c r="C947" s="25" t="s">
        <v>468</v>
      </c>
      <c r="D947" s="69" t="s">
        <v>13</v>
      </c>
      <c r="E947" s="576"/>
      <c r="F947" s="575"/>
      <c r="G947" s="575"/>
      <c r="H947" s="575"/>
      <c r="I947" s="575"/>
      <c r="J947" s="574"/>
      <c r="K947" s="574"/>
      <c r="L947" s="575"/>
      <c r="M947" s="575"/>
      <c r="N947" s="575"/>
      <c r="O947" s="574"/>
      <c r="P947" s="574"/>
      <c r="Q947" s="575"/>
      <c r="R947" s="575"/>
      <c r="S947" s="142">
        <f t="shared" si="115"/>
        <v>0</v>
      </c>
      <c r="T947" s="142">
        <f t="shared" si="116"/>
        <v>0</v>
      </c>
      <c r="U947" s="142">
        <f t="shared" si="117"/>
        <v>0</v>
      </c>
      <c r="W947" s="601">
        <f t="shared" si="112"/>
        <v>0</v>
      </c>
      <c r="X947" s="601">
        <f t="shared" si="113"/>
        <v>0</v>
      </c>
      <c r="Y947" s="123"/>
      <c r="Z947" s="692">
        <f t="shared" si="114"/>
        <v>0</v>
      </c>
    </row>
    <row r="948" spans="1:26" customFormat="1" ht="12.75" thickBot="1">
      <c r="A948" s="57" t="s">
        <v>1269</v>
      </c>
      <c r="B948" s="25" t="s">
        <v>755</v>
      </c>
      <c r="C948" s="25" t="s">
        <v>1124</v>
      </c>
      <c r="D948" s="69" t="s">
        <v>680</v>
      </c>
      <c r="E948" s="576"/>
      <c r="F948" s="575"/>
      <c r="G948" s="575"/>
      <c r="H948" s="575"/>
      <c r="I948" s="575"/>
      <c r="J948" s="574"/>
      <c r="K948" s="574"/>
      <c r="L948" s="575"/>
      <c r="M948" s="575"/>
      <c r="N948" s="575"/>
      <c r="O948" s="574"/>
      <c r="P948" s="574"/>
      <c r="Q948" s="574"/>
      <c r="R948" s="575"/>
      <c r="S948" s="142">
        <f t="shared" si="115"/>
        <v>0</v>
      </c>
      <c r="T948" s="142">
        <f t="shared" si="116"/>
        <v>0</v>
      </c>
      <c r="U948" s="142">
        <f t="shared" si="117"/>
        <v>0</v>
      </c>
      <c r="W948" s="601">
        <f t="shared" si="112"/>
        <v>0</v>
      </c>
      <c r="X948" s="601">
        <f t="shared" si="113"/>
        <v>0</v>
      </c>
      <c r="Y948" s="123"/>
      <c r="Z948" s="692">
        <f t="shared" si="114"/>
        <v>0</v>
      </c>
    </row>
    <row r="949" spans="1:26" customFormat="1" ht="12.75" thickBot="1">
      <c r="A949" s="57" t="s">
        <v>1269</v>
      </c>
      <c r="B949" s="25" t="s">
        <v>401</v>
      </c>
      <c r="C949" s="25" t="s">
        <v>402</v>
      </c>
      <c r="D949" s="69" t="s">
        <v>1125</v>
      </c>
      <c r="E949" s="574"/>
      <c r="F949" s="574"/>
      <c r="G949" s="574"/>
      <c r="H949" s="574"/>
      <c r="I949" s="574"/>
      <c r="J949" s="574"/>
      <c r="K949" s="574"/>
      <c r="L949" s="574"/>
      <c r="M949" s="574"/>
      <c r="N949" s="574"/>
      <c r="O949" s="574"/>
      <c r="P949" s="574"/>
      <c r="Q949" s="574"/>
      <c r="R949" s="574"/>
      <c r="S949" s="142">
        <f t="shared" si="115"/>
        <v>0</v>
      </c>
      <c r="T949" s="142">
        <f t="shared" si="116"/>
        <v>0</v>
      </c>
      <c r="U949" s="142">
        <f t="shared" si="117"/>
        <v>0</v>
      </c>
      <c r="W949" s="601">
        <f t="shared" si="112"/>
        <v>0</v>
      </c>
      <c r="X949" s="601">
        <f t="shared" si="113"/>
        <v>0</v>
      </c>
      <c r="Y949" s="123"/>
      <c r="Z949" s="692">
        <f t="shared" si="114"/>
        <v>0</v>
      </c>
    </row>
    <row r="950" spans="1:26" customFormat="1" ht="12.75" thickBot="1">
      <c r="A950" s="57" t="s">
        <v>1269</v>
      </c>
      <c r="B950" s="25" t="s">
        <v>379</v>
      </c>
      <c r="C950" s="25" t="s">
        <v>934</v>
      </c>
      <c r="D950" s="693" t="s">
        <v>498</v>
      </c>
      <c r="E950" s="576"/>
      <c r="F950" s="574"/>
      <c r="G950" s="575"/>
      <c r="H950" s="574"/>
      <c r="I950" s="574"/>
      <c r="J950" s="574"/>
      <c r="K950" s="574"/>
      <c r="L950" s="574"/>
      <c r="M950" s="575"/>
      <c r="N950" s="575"/>
      <c r="O950" s="574"/>
      <c r="P950" s="574"/>
      <c r="Q950" s="575"/>
      <c r="R950" s="575"/>
      <c r="S950" s="142">
        <f t="shared" si="115"/>
        <v>0</v>
      </c>
      <c r="T950" s="142">
        <f t="shared" si="116"/>
        <v>0</v>
      </c>
      <c r="U950" s="142">
        <f t="shared" si="117"/>
        <v>0</v>
      </c>
      <c r="W950" s="601">
        <f t="shared" si="112"/>
        <v>0</v>
      </c>
      <c r="X950" s="601">
        <f t="shared" si="113"/>
        <v>0</v>
      </c>
      <c r="Y950" s="123"/>
      <c r="Z950" s="692">
        <f t="shared" si="114"/>
        <v>0</v>
      </c>
    </row>
    <row r="951" spans="1:26" customFormat="1" ht="12.75" thickBot="1">
      <c r="A951" s="57" t="s">
        <v>1269</v>
      </c>
      <c r="B951" s="25" t="s">
        <v>241</v>
      </c>
      <c r="C951" s="25" t="s">
        <v>935</v>
      </c>
      <c r="D951" s="693" t="s">
        <v>498</v>
      </c>
      <c r="E951" s="576"/>
      <c r="F951" s="574"/>
      <c r="G951" s="575"/>
      <c r="H951" s="574"/>
      <c r="I951" s="574"/>
      <c r="J951" s="574"/>
      <c r="K951" s="574"/>
      <c r="L951" s="574"/>
      <c r="M951" s="575"/>
      <c r="N951" s="575"/>
      <c r="O951" s="574"/>
      <c r="P951" s="574"/>
      <c r="Q951" s="575"/>
      <c r="R951" s="575"/>
      <c r="S951" s="142">
        <f t="shared" si="115"/>
        <v>0</v>
      </c>
      <c r="T951" s="142">
        <f t="shared" si="116"/>
        <v>0</v>
      </c>
      <c r="U951" s="142">
        <f t="shared" si="117"/>
        <v>0</v>
      </c>
      <c r="W951" s="601">
        <f t="shared" si="112"/>
        <v>0</v>
      </c>
      <c r="X951" s="601">
        <f t="shared" si="113"/>
        <v>0</v>
      </c>
      <c r="Y951" s="123"/>
      <c r="Z951" s="692">
        <f t="shared" si="114"/>
        <v>0</v>
      </c>
    </row>
    <row r="952" spans="1:26" customFormat="1" ht="12.75" thickBot="1">
      <c r="A952" s="57" t="s">
        <v>1269</v>
      </c>
      <c r="B952" s="25" t="s">
        <v>242</v>
      </c>
      <c r="C952" s="25" t="s">
        <v>936</v>
      </c>
      <c r="D952" s="693" t="s">
        <v>498</v>
      </c>
      <c r="E952" s="576"/>
      <c r="F952" s="574"/>
      <c r="G952" s="575"/>
      <c r="H952" s="574"/>
      <c r="I952" s="574"/>
      <c r="J952" s="574"/>
      <c r="K952" s="574"/>
      <c r="L952" s="574"/>
      <c r="M952" s="575"/>
      <c r="N952" s="575"/>
      <c r="O952" s="574"/>
      <c r="P952" s="574"/>
      <c r="Q952" s="575"/>
      <c r="R952" s="575"/>
      <c r="S952" s="142">
        <f t="shared" si="115"/>
        <v>0</v>
      </c>
      <c r="T952" s="142">
        <f t="shared" si="116"/>
        <v>0</v>
      </c>
      <c r="U952" s="142">
        <f t="shared" si="117"/>
        <v>0</v>
      </c>
      <c r="W952" s="601">
        <f t="shared" si="112"/>
        <v>0</v>
      </c>
      <c r="X952" s="601">
        <f t="shared" si="113"/>
        <v>0</v>
      </c>
      <c r="Y952" s="123"/>
      <c r="Z952" s="692">
        <f t="shared" si="114"/>
        <v>0</v>
      </c>
    </row>
    <row r="953" spans="1:26" customFormat="1" ht="12.75" thickBot="1">
      <c r="A953" s="57" t="s">
        <v>1269</v>
      </c>
      <c r="B953" s="25" t="s">
        <v>243</v>
      </c>
      <c r="C953" s="25" t="s">
        <v>937</v>
      </c>
      <c r="D953" s="693" t="s">
        <v>498</v>
      </c>
      <c r="E953" s="576"/>
      <c r="F953" s="574"/>
      <c r="G953" s="575"/>
      <c r="H953" s="574"/>
      <c r="I953" s="574"/>
      <c r="J953" s="574"/>
      <c r="K953" s="574"/>
      <c r="L953" s="574"/>
      <c r="M953" s="575"/>
      <c r="N953" s="575"/>
      <c r="O953" s="574"/>
      <c r="P953" s="574"/>
      <c r="Q953" s="575"/>
      <c r="R953" s="575"/>
      <c r="S953" s="142">
        <f t="shared" si="115"/>
        <v>0</v>
      </c>
      <c r="T953" s="142">
        <f t="shared" si="116"/>
        <v>0</v>
      </c>
      <c r="U953" s="142">
        <f t="shared" si="117"/>
        <v>0</v>
      </c>
      <c r="W953" s="601">
        <f t="shared" si="112"/>
        <v>0</v>
      </c>
      <c r="X953" s="601">
        <f t="shared" si="113"/>
        <v>0</v>
      </c>
      <c r="Y953" s="123"/>
      <c r="Z953" s="692">
        <f t="shared" si="114"/>
        <v>0</v>
      </c>
    </row>
    <row r="954" spans="1:26" customFormat="1" ht="12.75" thickBot="1">
      <c r="A954" s="57" t="s">
        <v>1269</v>
      </c>
      <c r="B954" s="25" t="s">
        <v>244</v>
      </c>
      <c r="C954" s="25" t="s">
        <v>938</v>
      </c>
      <c r="D954" s="693" t="s">
        <v>498</v>
      </c>
      <c r="E954" s="576"/>
      <c r="F954" s="574"/>
      <c r="G954" s="575"/>
      <c r="H954" s="574"/>
      <c r="I954" s="574"/>
      <c r="J954" s="574"/>
      <c r="K954" s="574"/>
      <c r="L954" s="574"/>
      <c r="M954" s="575"/>
      <c r="N954" s="575"/>
      <c r="O954" s="574"/>
      <c r="P954" s="574"/>
      <c r="Q954" s="575"/>
      <c r="R954" s="575"/>
      <c r="S954" s="142">
        <f t="shared" si="115"/>
        <v>0</v>
      </c>
      <c r="T954" s="142">
        <f t="shared" si="116"/>
        <v>0</v>
      </c>
      <c r="U954" s="142">
        <f t="shared" si="117"/>
        <v>0</v>
      </c>
      <c r="W954" s="601">
        <f t="shared" si="112"/>
        <v>0</v>
      </c>
      <c r="X954" s="601">
        <f t="shared" si="113"/>
        <v>0</v>
      </c>
      <c r="Y954" s="123"/>
      <c r="Z954" s="692">
        <f t="shared" si="114"/>
        <v>0</v>
      </c>
    </row>
    <row r="955" spans="1:26" customFormat="1" ht="12.75" thickBot="1">
      <c r="A955" s="57" t="s">
        <v>1269</v>
      </c>
      <c r="B955" s="25" t="s">
        <v>245</v>
      </c>
      <c r="C955" s="25" t="s">
        <v>939</v>
      </c>
      <c r="D955" s="693" t="s">
        <v>498</v>
      </c>
      <c r="E955" s="576"/>
      <c r="F955" s="574"/>
      <c r="G955" s="575"/>
      <c r="H955" s="574"/>
      <c r="I955" s="574"/>
      <c r="J955" s="574"/>
      <c r="K955" s="574"/>
      <c r="L955" s="574"/>
      <c r="M955" s="575"/>
      <c r="N955" s="575"/>
      <c r="O955" s="574"/>
      <c r="P955" s="574"/>
      <c r="Q955" s="575"/>
      <c r="R955" s="575"/>
      <c r="S955" s="142">
        <f t="shared" si="115"/>
        <v>0</v>
      </c>
      <c r="T955" s="142">
        <f t="shared" si="116"/>
        <v>0</v>
      </c>
      <c r="U955" s="142">
        <f t="shared" si="117"/>
        <v>0</v>
      </c>
      <c r="W955" s="601">
        <f t="shared" si="112"/>
        <v>0</v>
      </c>
      <c r="X955" s="601">
        <f t="shared" si="113"/>
        <v>0</v>
      </c>
      <c r="Y955" s="123"/>
      <c r="Z955" s="692">
        <f t="shared" si="114"/>
        <v>0</v>
      </c>
    </row>
    <row r="956" spans="1:26" customFormat="1" ht="12.75" thickBot="1">
      <c r="A956" s="57" t="s">
        <v>1269</v>
      </c>
      <c r="B956" s="25" t="s">
        <v>381</v>
      </c>
      <c r="C956" s="25" t="s">
        <v>940</v>
      </c>
      <c r="D956" s="693" t="s">
        <v>498</v>
      </c>
      <c r="E956" s="576"/>
      <c r="F956" s="574"/>
      <c r="G956" s="575"/>
      <c r="H956" s="574"/>
      <c r="I956" s="574"/>
      <c r="J956" s="574"/>
      <c r="K956" s="574"/>
      <c r="L956" s="574"/>
      <c r="M956" s="575"/>
      <c r="N956" s="575"/>
      <c r="O956" s="574"/>
      <c r="P956" s="574"/>
      <c r="Q956" s="575"/>
      <c r="R956" s="575"/>
      <c r="S956" s="142">
        <f t="shared" si="115"/>
        <v>0</v>
      </c>
      <c r="T956" s="142">
        <f t="shared" si="116"/>
        <v>0</v>
      </c>
      <c r="U956" s="142">
        <f t="shared" si="117"/>
        <v>0</v>
      </c>
      <c r="W956" s="601">
        <f t="shared" si="112"/>
        <v>0</v>
      </c>
      <c r="X956" s="601">
        <f t="shared" si="113"/>
        <v>0</v>
      </c>
      <c r="Y956" s="123"/>
      <c r="Z956" s="692">
        <f t="shared" si="114"/>
        <v>0</v>
      </c>
    </row>
    <row r="957" spans="1:26" customFormat="1" ht="12.75" thickBot="1">
      <c r="A957" s="57" t="s">
        <v>1269</v>
      </c>
      <c r="B957" s="25" t="s">
        <v>246</v>
      </c>
      <c r="C957" s="25" t="s">
        <v>941</v>
      </c>
      <c r="D957" s="693" t="s">
        <v>498</v>
      </c>
      <c r="E957" s="576"/>
      <c r="F957" s="574"/>
      <c r="G957" s="575"/>
      <c r="H957" s="574"/>
      <c r="I957" s="574"/>
      <c r="J957" s="574"/>
      <c r="K957" s="574"/>
      <c r="L957" s="574"/>
      <c r="M957" s="575"/>
      <c r="N957" s="575"/>
      <c r="O957" s="574"/>
      <c r="P957" s="574"/>
      <c r="Q957" s="575"/>
      <c r="R957" s="575"/>
      <c r="S957" s="142">
        <f t="shared" si="115"/>
        <v>0</v>
      </c>
      <c r="T957" s="142">
        <f t="shared" si="116"/>
        <v>0</v>
      </c>
      <c r="U957" s="142">
        <f t="shared" si="117"/>
        <v>0</v>
      </c>
      <c r="W957" s="601">
        <f t="shared" si="112"/>
        <v>0</v>
      </c>
      <c r="X957" s="601">
        <f t="shared" si="113"/>
        <v>0</v>
      </c>
      <c r="Y957" s="123"/>
      <c r="Z957" s="692">
        <f t="shared" si="114"/>
        <v>0</v>
      </c>
    </row>
    <row r="958" spans="1:26" customFormat="1" ht="12.75" thickBot="1">
      <c r="A958" s="57" t="s">
        <v>1269</v>
      </c>
      <c r="B958" s="25" t="s">
        <v>382</v>
      </c>
      <c r="C958" s="25" t="s">
        <v>383</v>
      </c>
      <c r="D958" s="693" t="s">
        <v>498</v>
      </c>
      <c r="E958" s="576"/>
      <c r="F958" s="574"/>
      <c r="G958" s="575"/>
      <c r="H958" s="574"/>
      <c r="I958" s="574"/>
      <c r="J958" s="574"/>
      <c r="K958" s="574"/>
      <c r="L958" s="574"/>
      <c r="M958" s="575"/>
      <c r="N958" s="575"/>
      <c r="O958" s="574"/>
      <c r="P958" s="574"/>
      <c r="Q958" s="575"/>
      <c r="R958" s="575"/>
      <c r="S958" s="142">
        <f t="shared" si="115"/>
        <v>0</v>
      </c>
      <c r="T958" s="142">
        <f t="shared" si="116"/>
        <v>0</v>
      </c>
      <c r="U958" s="142">
        <f t="shared" si="117"/>
        <v>0</v>
      </c>
      <c r="W958" s="601">
        <f t="shared" si="112"/>
        <v>0</v>
      </c>
      <c r="X958" s="601">
        <f t="shared" si="113"/>
        <v>0</v>
      </c>
      <c r="Y958" s="123"/>
      <c r="Z958" s="692">
        <f t="shared" si="114"/>
        <v>0</v>
      </c>
    </row>
    <row r="959" spans="1:26" customFormat="1" ht="12.75" thickBot="1">
      <c r="A959" s="57" t="s">
        <v>1269</v>
      </c>
      <c r="B959" s="25" t="s">
        <v>252</v>
      </c>
      <c r="C959" s="25" t="s">
        <v>942</v>
      </c>
      <c r="D959" s="693" t="s">
        <v>498</v>
      </c>
      <c r="E959" s="576"/>
      <c r="F959" s="574"/>
      <c r="G959" s="575"/>
      <c r="H959" s="574"/>
      <c r="I959" s="574"/>
      <c r="J959" s="574"/>
      <c r="K959" s="574"/>
      <c r="L959" s="574"/>
      <c r="M959" s="575"/>
      <c r="N959" s="575"/>
      <c r="O959" s="574"/>
      <c r="P959" s="574"/>
      <c r="Q959" s="575"/>
      <c r="R959" s="575"/>
      <c r="S959" s="142">
        <f t="shared" si="115"/>
        <v>0</v>
      </c>
      <c r="T959" s="142">
        <f t="shared" si="116"/>
        <v>0</v>
      </c>
      <c r="U959" s="142">
        <f t="shared" si="117"/>
        <v>0</v>
      </c>
      <c r="W959" s="601">
        <f t="shared" si="112"/>
        <v>0</v>
      </c>
      <c r="X959" s="601">
        <f t="shared" si="113"/>
        <v>0</v>
      </c>
      <c r="Y959" s="123"/>
      <c r="Z959" s="692">
        <f t="shared" si="114"/>
        <v>0</v>
      </c>
    </row>
    <row r="960" spans="1:26" customFormat="1" ht="12.75" thickBot="1">
      <c r="A960" s="57" t="s">
        <v>1269</v>
      </c>
      <c r="B960" s="25" t="s">
        <v>254</v>
      </c>
      <c r="C960" s="25" t="s">
        <v>255</v>
      </c>
      <c r="D960" s="693" t="s">
        <v>498</v>
      </c>
      <c r="E960" s="576"/>
      <c r="F960" s="574"/>
      <c r="G960" s="575"/>
      <c r="H960" s="574"/>
      <c r="I960" s="574"/>
      <c r="J960" s="574"/>
      <c r="K960" s="574"/>
      <c r="L960" s="574"/>
      <c r="M960" s="575"/>
      <c r="N960" s="575"/>
      <c r="O960" s="574"/>
      <c r="P960" s="574"/>
      <c r="Q960" s="575"/>
      <c r="R960" s="575"/>
      <c r="S960" s="142">
        <f t="shared" si="115"/>
        <v>0</v>
      </c>
      <c r="T960" s="142">
        <f t="shared" si="116"/>
        <v>0</v>
      </c>
      <c r="U960" s="142">
        <f t="shared" si="117"/>
        <v>0</v>
      </c>
      <c r="W960" s="601">
        <f t="shared" ref="W960:W1019" si="118">SUM(F960:Q960)</f>
        <v>0</v>
      </c>
      <c r="X960" s="601">
        <f t="shared" ref="X960:X1019" si="119">W960-R960</f>
        <v>0</v>
      </c>
      <c r="Y960" s="123"/>
      <c r="Z960" s="692">
        <f t="shared" si="114"/>
        <v>0</v>
      </c>
    </row>
    <row r="961" spans="1:26" customFormat="1" ht="12.75" thickBot="1">
      <c r="A961" s="57" t="s">
        <v>1269</v>
      </c>
      <c r="B961" s="25" t="s">
        <v>388</v>
      </c>
      <c r="C961" s="25" t="s">
        <v>389</v>
      </c>
      <c r="D961" s="693" t="s">
        <v>498</v>
      </c>
      <c r="E961" s="576"/>
      <c r="F961" s="574"/>
      <c r="G961" s="575"/>
      <c r="H961" s="574"/>
      <c r="I961" s="574"/>
      <c r="J961" s="574"/>
      <c r="K961" s="574"/>
      <c r="L961" s="574"/>
      <c r="M961" s="575"/>
      <c r="N961" s="575"/>
      <c r="O961" s="574"/>
      <c r="P961" s="574"/>
      <c r="Q961" s="575"/>
      <c r="R961" s="575"/>
      <c r="S961" s="142">
        <f t="shared" si="115"/>
        <v>0</v>
      </c>
      <c r="T961" s="142">
        <f t="shared" si="116"/>
        <v>0</v>
      </c>
      <c r="U961" s="142">
        <f t="shared" si="117"/>
        <v>0</v>
      </c>
      <c r="W961" s="601">
        <f t="shared" si="118"/>
        <v>0</v>
      </c>
      <c r="X961" s="601">
        <f t="shared" si="119"/>
        <v>0</v>
      </c>
      <c r="Y961" s="123"/>
      <c r="Z961" s="692">
        <f t="shared" si="114"/>
        <v>0</v>
      </c>
    </row>
    <row r="962" spans="1:26" customFormat="1" ht="12.75" thickBot="1">
      <c r="A962" s="57" t="s">
        <v>1269</v>
      </c>
      <c r="B962" s="25" t="s">
        <v>261</v>
      </c>
      <c r="C962" s="25" t="s">
        <v>262</v>
      </c>
      <c r="D962" s="693" t="s">
        <v>498</v>
      </c>
      <c r="E962" s="576"/>
      <c r="F962" s="574"/>
      <c r="G962" s="575"/>
      <c r="H962" s="574"/>
      <c r="I962" s="574"/>
      <c r="J962" s="574"/>
      <c r="K962" s="574"/>
      <c r="L962" s="574"/>
      <c r="M962" s="575"/>
      <c r="N962" s="575"/>
      <c r="O962" s="574"/>
      <c r="P962" s="574"/>
      <c r="Q962" s="575"/>
      <c r="R962" s="575"/>
      <c r="S962" s="142">
        <f t="shared" si="115"/>
        <v>0</v>
      </c>
      <c r="T962" s="142">
        <f t="shared" si="116"/>
        <v>0</v>
      </c>
      <c r="U962" s="142">
        <f t="shared" si="117"/>
        <v>0</v>
      </c>
      <c r="W962" s="601">
        <f t="shared" si="118"/>
        <v>0</v>
      </c>
      <c r="X962" s="601">
        <f t="shared" si="119"/>
        <v>0</v>
      </c>
      <c r="Y962" s="123"/>
      <c r="Z962" s="692">
        <f t="shared" si="114"/>
        <v>0</v>
      </c>
    </row>
    <row r="963" spans="1:26" customFormat="1" ht="12.75" thickBot="1">
      <c r="A963" s="57" t="s">
        <v>1269</v>
      </c>
      <c r="B963" s="25" t="s">
        <v>263</v>
      </c>
      <c r="C963" s="25" t="s">
        <v>943</v>
      </c>
      <c r="D963" s="693" t="s">
        <v>498</v>
      </c>
      <c r="E963" s="576"/>
      <c r="F963" s="574"/>
      <c r="G963" s="575"/>
      <c r="H963" s="574"/>
      <c r="I963" s="574"/>
      <c r="J963" s="574"/>
      <c r="K963" s="574"/>
      <c r="L963" s="574"/>
      <c r="M963" s="575"/>
      <c r="N963" s="575"/>
      <c r="O963" s="574"/>
      <c r="P963" s="574"/>
      <c r="Q963" s="575"/>
      <c r="R963" s="575"/>
      <c r="S963" s="142">
        <f t="shared" si="115"/>
        <v>0</v>
      </c>
      <c r="T963" s="142">
        <f t="shared" si="116"/>
        <v>0</v>
      </c>
      <c r="U963" s="142">
        <f t="shared" si="117"/>
        <v>0</v>
      </c>
      <c r="W963" s="601">
        <f t="shared" si="118"/>
        <v>0</v>
      </c>
      <c r="X963" s="601">
        <f t="shared" si="119"/>
        <v>0</v>
      </c>
      <c r="Y963" s="123"/>
      <c r="Z963" s="692">
        <f t="shared" si="114"/>
        <v>0</v>
      </c>
    </row>
    <row r="964" spans="1:26" customFormat="1" ht="12.75" thickBot="1">
      <c r="A964" s="57" t="s">
        <v>1269</v>
      </c>
      <c r="B964" s="25" t="s">
        <v>264</v>
      </c>
      <c r="C964" s="25" t="s">
        <v>944</v>
      </c>
      <c r="D964" s="693" t="s">
        <v>498</v>
      </c>
      <c r="E964" s="576"/>
      <c r="F964" s="574"/>
      <c r="G964" s="575"/>
      <c r="H964" s="574"/>
      <c r="I964" s="574"/>
      <c r="J964" s="574"/>
      <c r="K964" s="574"/>
      <c r="L964" s="574"/>
      <c r="M964" s="575"/>
      <c r="N964" s="575"/>
      <c r="O964" s="574"/>
      <c r="P964" s="574"/>
      <c r="Q964" s="575"/>
      <c r="R964" s="575"/>
      <c r="S964" s="142">
        <f t="shared" si="115"/>
        <v>0</v>
      </c>
      <c r="T964" s="142">
        <f t="shared" si="116"/>
        <v>0</v>
      </c>
      <c r="U964" s="142">
        <f t="shared" si="117"/>
        <v>0</v>
      </c>
      <c r="W964" s="601">
        <f t="shared" si="118"/>
        <v>0</v>
      </c>
      <c r="X964" s="601">
        <f t="shared" si="119"/>
        <v>0</v>
      </c>
      <c r="Y964" s="123"/>
      <c r="Z964" s="692">
        <f t="shared" si="114"/>
        <v>0</v>
      </c>
    </row>
    <row r="965" spans="1:26" customFormat="1" ht="12.75" thickBot="1">
      <c r="A965" s="57" t="s">
        <v>1269</v>
      </c>
      <c r="B965" s="25" t="s">
        <v>267</v>
      </c>
      <c r="C965" s="25" t="s">
        <v>945</v>
      </c>
      <c r="D965" s="693" t="s">
        <v>498</v>
      </c>
      <c r="E965" s="576"/>
      <c r="F965" s="574"/>
      <c r="G965" s="575"/>
      <c r="H965" s="574"/>
      <c r="I965" s="574"/>
      <c r="J965" s="574"/>
      <c r="K965" s="574"/>
      <c r="L965" s="574"/>
      <c r="M965" s="575"/>
      <c r="N965" s="575"/>
      <c r="O965" s="574"/>
      <c r="P965" s="574"/>
      <c r="Q965" s="575"/>
      <c r="R965" s="575"/>
      <c r="S965" s="142">
        <f t="shared" si="115"/>
        <v>0</v>
      </c>
      <c r="T965" s="142">
        <f t="shared" si="116"/>
        <v>0</v>
      </c>
      <c r="U965" s="142">
        <f t="shared" si="117"/>
        <v>0</v>
      </c>
      <c r="W965" s="601">
        <f t="shared" si="118"/>
        <v>0</v>
      </c>
      <c r="X965" s="601">
        <f t="shared" si="119"/>
        <v>0</v>
      </c>
      <c r="Y965" s="123"/>
      <c r="Z965" s="692">
        <f t="shared" si="114"/>
        <v>0</v>
      </c>
    </row>
    <row r="966" spans="1:26" customFormat="1" ht="12.75" thickBot="1">
      <c r="A966" s="57" t="s">
        <v>1269</v>
      </c>
      <c r="B966" s="25" t="s">
        <v>392</v>
      </c>
      <c r="C966" s="25" t="s">
        <v>946</v>
      </c>
      <c r="D966" s="693" t="s">
        <v>498</v>
      </c>
      <c r="E966" s="576"/>
      <c r="F966" s="574"/>
      <c r="G966" s="575"/>
      <c r="H966" s="574"/>
      <c r="I966" s="574"/>
      <c r="J966" s="574"/>
      <c r="K966" s="574"/>
      <c r="L966" s="574"/>
      <c r="M966" s="575"/>
      <c r="N966" s="575"/>
      <c r="O966" s="574"/>
      <c r="P966" s="574"/>
      <c r="Q966" s="575"/>
      <c r="R966" s="575"/>
      <c r="S966" s="142">
        <f t="shared" si="115"/>
        <v>0</v>
      </c>
      <c r="T966" s="142">
        <f t="shared" si="116"/>
        <v>0</v>
      </c>
      <c r="U966" s="142">
        <f t="shared" si="117"/>
        <v>0</v>
      </c>
      <c r="W966" s="601">
        <f t="shared" si="118"/>
        <v>0</v>
      </c>
      <c r="X966" s="601">
        <f t="shared" si="119"/>
        <v>0</v>
      </c>
      <c r="Y966" s="123"/>
      <c r="Z966" s="692">
        <f t="shared" si="114"/>
        <v>0</v>
      </c>
    </row>
    <row r="967" spans="1:26" customFormat="1" ht="12.75" thickBot="1">
      <c r="A967" s="57" t="s">
        <v>1269</v>
      </c>
      <c r="B967" s="25" t="s">
        <v>268</v>
      </c>
      <c r="C967" s="25" t="s">
        <v>947</v>
      </c>
      <c r="D967" s="693" t="s">
        <v>498</v>
      </c>
      <c r="E967" s="576"/>
      <c r="F967" s="574"/>
      <c r="G967" s="575"/>
      <c r="H967" s="574"/>
      <c r="I967" s="574"/>
      <c r="J967" s="574"/>
      <c r="K967" s="574"/>
      <c r="L967" s="574"/>
      <c r="M967" s="575"/>
      <c r="N967" s="575"/>
      <c r="O967" s="574"/>
      <c r="P967" s="574"/>
      <c r="Q967" s="575"/>
      <c r="R967" s="575"/>
      <c r="S967" s="142">
        <f t="shared" si="115"/>
        <v>0</v>
      </c>
      <c r="T967" s="142">
        <f t="shared" si="116"/>
        <v>0</v>
      </c>
      <c r="U967" s="142">
        <f t="shared" si="117"/>
        <v>0</v>
      </c>
      <c r="W967" s="601">
        <f t="shared" si="118"/>
        <v>0</v>
      </c>
      <c r="X967" s="601">
        <f t="shared" si="119"/>
        <v>0</v>
      </c>
      <c r="Y967" s="123"/>
      <c r="Z967" s="692">
        <f t="shared" si="114"/>
        <v>0</v>
      </c>
    </row>
    <row r="968" spans="1:26" customFormat="1" ht="12.75" thickBot="1">
      <c r="A968" s="57" t="s">
        <v>1269</v>
      </c>
      <c r="B968" s="25" t="s">
        <v>269</v>
      </c>
      <c r="C968" s="25" t="s">
        <v>948</v>
      </c>
      <c r="D968" s="693" t="s">
        <v>498</v>
      </c>
      <c r="E968" s="576"/>
      <c r="F968" s="574"/>
      <c r="G968" s="575"/>
      <c r="H968" s="574"/>
      <c r="I968" s="574"/>
      <c r="J968" s="574"/>
      <c r="K968" s="574"/>
      <c r="L968" s="574"/>
      <c r="M968" s="575"/>
      <c r="N968" s="575"/>
      <c r="O968" s="574"/>
      <c r="P968" s="574"/>
      <c r="Q968" s="575"/>
      <c r="R968" s="575"/>
      <c r="S968" s="142">
        <f t="shared" si="115"/>
        <v>0</v>
      </c>
      <c r="T968" s="142">
        <f t="shared" si="116"/>
        <v>0</v>
      </c>
      <c r="U968" s="142">
        <f t="shared" si="117"/>
        <v>0</v>
      </c>
      <c r="W968" s="601">
        <f t="shared" si="118"/>
        <v>0</v>
      </c>
      <c r="X968" s="601">
        <f t="shared" si="119"/>
        <v>0</v>
      </c>
      <c r="Y968" s="123"/>
      <c r="Z968" s="692">
        <f t="shared" si="114"/>
        <v>0</v>
      </c>
    </row>
    <row r="969" spans="1:26" customFormat="1" ht="12.75" thickBot="1">
      <c r="A969" s="57" t="s">
        <v>1269</v>
      </c>
      <c r="B969" s="25" t="s">
        <v>393</v>
      </c>
      <c r="C969" s="25" t="s">
        <v>949</v>
      </c>
      <c r="D969" s="693" t="s">
        <v>498</v>
      </c>
      <c r="E969" s="576"/>
      <c r="F969" s="574"/>
      <c r="G969" s="575"/>
      <c r="H969" s="574"/>
      <c r="I969" s="574"/>
      <c r="J969" s="574"/>
      <c r="K969" s="574"/>
      <c r="L969" s="574"/>
      <c r="M969" s="575"/>
      <c r="N969" s="575"/>
      <c r="O969" s="574"/>
      <c r="P969" s="574"/>
      <c r="Q969" s="575"/>
      <c r="R969" s="575"/>
      <c r="S969" s="142">
        <f t="shared" si="115"/>
        <v>0</v>
      </c>
      <c r="T969" s="142">
        <f t="shared" si="116"/>
        <v>0</v>
      </c>
      <c r="U969" s="142">
        <f t="shared" si="117"/>
        <v>0</v>
      </c>
      <c r="W969" s="601">
        <f t="shared" si="118"/>
        <v>0</v>
      </c>
      <c r="X969" s="601">
        <f t="shared" si="119"/>
        <v>0</v>
      </c>
      <c r="Y969" s="123"/>
      <c r="Z969" s="692">
        <f t="shared" si="114"/>
        <v>0</v>
      </c>
    </row>
    <row r="970" spans="1:26" customFormat="1" ht="12.75" thickBot="1">
      <c r="A970" s="57" t="s">
        <v>1269</v>
      </c>
      <c r="B970" s="25" t="s">
        <v>394</v>
      </c>
      <c r="C970" s="25" t="s">
        <v>950</v>
      </c>
      <c r="D970" s="693" t="s">
        <v>498</v>
      </c>
      <c r="E970" s="576"/>
      <c r="F970" s="574"/>
      <c r="G970" s="575"/>
      <c r="H970" s="574"/>
      <c r="I970" s="574"/>
      <c r="J970" s="574"/>
      <c r="K970" s="574"/>
      <c r="L970" s="574"/>
      <c r="M970" s="575"/>
      <c r="N970" s="575"/>
      <c r="O970" s="574"/>
      <c r="P970" s="574"/>
      <c r="Q970" s="575"/>
      <c r="R970" s="575"/>
      <c r="S970" s="142">
        <f t="shared" si="115"/>
        <v>0</v>
      </c>
      <c r="T970" s="142">
        <f t="shared" si="116"/>
        <v>0</v>
      </c>
      <c r="U970" s="142">
        <f t="shared" si="117"/>
        <v>0</v>
      </c>
      <c r="W970" s="601">
        <f t="shared" si="118"/>
        <v>0</v>
      </c>
      <c r="X970" s="601">
        <f t="shared" si="119"/>
        <v>0</v>
      </c>
      <c r="Y970" s="123"/>
      <c r="Z970" s="692">
        <f t="shared" si="114"/>
        <v>0</v>
      </c>
    </row>
    <row r="971" spans="1:26" customFormat="1" ht="12.75" thickBot="1">
      <c r="A971" s="57" t="s">
        <v>1269</v>
      </c>
      <c r="B971" s="25" t="s">
        <v>398</v>
      </c>
      <c r="C971" s="25" t="s">
        <v>951</v>
      </c>
      <c r="D971" s="693" t="s">
        <v>498</v>
      </c>
      <c r="E971" s="576"/>
      <c r="F971" s="574"/>
      <c r="G971" s="575"/>
      <c r="H971" s="574"/>
      <c r="I971" s="574"/>
      <c r="J971" s="574"/>
      <c r="K971" s="574"/>
      <c r="L971" s="574"/>
      <c r="M971" s="575"/>
      <c r="N971" s="575"/>
      <c r="O971" s="574"/>
      <c r="P971" s="574"/>
      <c r="Q971" s="575"/>
      <c r="R971" s="575"/>
      <c r="S971" s="142">
        <f t="shared" si="115"/>
        <v>0</v>
      </c>
      <c r="T971" s="142">
        <f t="shared" si="116"/>
        <v>0</v>
      </c>
      <c r="U971" s="142">
        <f t="shared" si="117"/>
        <v>0</v>
      </c>
      <c r="W971" s="601">
        <f t="shared" si="118"/>
        <v>0</v>
      </c>
      <c r="X971" s="601">
        <f t="shared" si="119"/>
        <v>0</v>
      </c>
      <c r="Y971" s="123"/>
      <c r="Z971" s="692">
        <f t="shared" si="114"/>
        <v>0</v>
      </c>
    </row>
    <row r="972" spans="1:26" customFormat="1" ht="12.75" thickBot="1">
      <c r="A972" s="57" t="s">
        <v>1269</v>
      </c>
      <c r="B972" s="25" t="s">
        <v>395</v>
      </c>
      <c r="C972" s="25" t="s">
        <v>952</v>
      </c>
      <c r="D972" s="693" t="s">
        <v>498</v>
      </c>
      <c r="E972" s="576"/>
      <c r="F972" s="574"/>
      <c r="G972" s="575"/>
      <c r="H972" s="574"/>
      <c r="I972" s="574"/>
      <c r="J972" s="574"/>
      <c r="K972" s="574"/>
      <c r="L972" s="574"/>
      <c r="M972" s="575"/>
      <c r="N972" s="575"/>
      <c r="O972" s="574"/>
      <c r="P972" s="574"/>
      <c r="Q972" s="575"/>
      <c r="R972" s="575"/>
      <c r="S972" s="142">
        <f t="shared" si="115"/>
        <v>0</v>
      </c>
      <c r="T972" s="142">
        <f t="shared" si="116"/>
        <v>0</v>
      </c>
      <c r="U972" s="142">
        <f t="shared" si="117"/>
        <v>0</v>
      </c>
      <c r="W972" s="601">
        <f t="shared" si="118"/>
        <v>0</v>
      </c>
      <c r="X972" s="601">
        <f t="shared" si="119"/>
        <v>0</v>
      </c>
      <c r="Y972" s="123"/>
      <c r="Z972" s="692">
        <f t="shared" si="114"/>
        <v>0</v>
      </c>
    </row>
    <row r="973" spans="1:26" customFormat="1" ht="12.75" thickBot="1">
      <c r="A973" s="57" t="s">
        <v>1269</v>
      </c>
      <c r="B973" s="25" t="s">
        <v>396</v>
      </c>
      <c r="C973" s="25" t="s">
        <v>953</v>
      </c>
      <c r="D973" s="693" t="s">
        <v>498</v>
      </c>
      <c r="E973" s="576"/>
      <c r="F973" s="574"/>
      <c r="G973" s="575"/>
      <c r="H973" s="574"/>
      <c r="I973" s="574"/>
      <c r="J973" s="574"/>
      <c r="K973" s="574"/>
      <c r="L973" s="574"/>
      <c r="M973" s="575"/>
      <c r="N973" s="575"/>
      <c r="O973" s="574"/>
      <c r="P973" s="574"/>
      <c r="Q973" s="575"/>
      <c r="R973" s="575"/>
      <c r="S973" s="142">
        <f t="shared" si="115"/>
        <v>0</v>
      </c>
      <c r="T973" s="142">
        <f t="shared" si="116"/>
        <v>0</v>
      </c>
      <c r="U973" s="142">
        <f t="shared" si="117"/>
        <v>0</v>
      </c>
      <c r="W973" s="601">
        <f t="shared" si="118"/>
        <v>0</v>
      </c>
      <c r="X973" s="601">
        <f t="shared" si="119"/>
        <v>0</v>
      </c>
      <c r="Y973" s="123"/>
      <c r="Z973" s="692">
        <f t="shared" si="114"/>
        <v>0</v>
      </c>
    </row>
    <row r="974" spans="1:26" customFormat="1" ht="12.75" thickBot="1">
      <c r="A974" s="57" t="s">
        <v>1269</v>
      </c>
      <c r="B974" s="25" t="s">
        <v>397</v>
      </c>
      <c r="C974" s="25" t="s">
        <v>954</v>
      </c>
      <c r="D974" s="693" t="s">
        <v>498</v>
      </c>
      <c r="E974" s="576"/>
      <c r="F974" s="574"/>
      <c r="G974" s="575"/>
      <c r="H974" s="574"/>
      <c r="I974" s="574"/>
      <c r="J974" s="574"/>
      <c r="K974" s="574"/>
      <c r="L974" s="574"/>
      <c r="M974" s="575"/>
      <c r="N974" s="575"/>
      <c r="O974" s="574"/>
      <c r="P974" s="574"/>
      <c r="Q974" s="575"/>
      <c r="R974" s="575"/>
      <c r="S974" s="142">
        <f t="shared" si="115"/>
        <v>0</v>
      </c>
      <c r="T974" s="142">
        <f t="shared" si="116"/>
        <v>0</v>
      </c>
      <c r="U974" s="142">
        <f t="shared" si="117"/>
        <v>0</v>
      </c>
      <c r="W974" s="601">
        <f t="shared" si="118"/>
        <v>0</v>
      </c>
      <c r="X974" s="601">
        <f t="shared" si="119"/>
        <v>0</v>
      </c>
      <c r="Y974" s="123"/>
      <c r="Z974" s="692">
        <f t="shared" si="114"/>
        <v>0</v>
      </c>
    </row>
    <row r="975" spans="1:26" customFormat="1" ht="12.75" thickBot="1">
      <c r="A975" s="57" t="s">
        <v>1269</v>
      </c>
      <c r="B975" s="25" t="s">
        <v>273</v>
      </c>
      <c r="C975" s="25" t="s">
        <v>274</v>
      </c>
      <c r="D975" s="693" t="s">
        <v>498</v>
      </c>
      <c r="E975" s="576"/>
      <c r="F975" s="574"/>
      <c r="G975" s="575"/>
      <c r="H975" s="574"/>
      <c r="I975" s="574"/>
      <c r="J975" s="574"/>
      <c r="K975" s="574"/>
      <c r="L975" s="574"/>
      <c r="M975" s="575"/>
      <c r="N975" s="575"/>
      <c r="O975" s="574"/>
      <c r="P975" s="574"/>
      <c r="Q975" s="575"/>
      <c r="R975" s="575"/>
      <c r="S975" s="142">
        <f t="shared" si="115"/>
        <v>0</v>
      </c>
      <c r="T975" s="142">
        <f t="shared" si="116"/>
        <v>0</v>
      </c>
      <c r="U975" s="142">
        <f t="shared" si="117"/>
        <v>0</v>
      </c>
      <c r="W975" s="601">
        <f t="shared" si="118"/>
        <v>0</v>
      </c>
      <c r="X975" s="601">
        <f t="shared" si="119"/>
        <v>0</v>
      </c>
      <c r="Y975" s="123"/>
      <c r="Z975" s="692">
        <f t="shared" si="114"/>
        <v>0</v>
      </c>
    </row>
    <row r="976" spans="1:26" customFormat="1" ht="12.75" thickBot="1">
      <c r="A976" s="57" t="s">
        <v>1269</v>
      </c>
      <c r="B976" s="25" t="s">
        <v>281</v>
      </c>
      <c r="C976" s="25" t="s">
        <v>282</v>
      </c>
      <c r="D976" s="693" t="s">
        <v>498</v>
      </c>
      <c r="E976" s="576"/>
      <c r="F976" s="574"/>
      <c r="G976" s="575"/>
      <c r="H976" s="574"/>
      <c r="I976" s="574"/>
      <c r="J976" s="574"/>
      <c r="K976" s="574"/>
      <c r="L976" s="574"/>
      <c r="M976" s="575"/>
      <c r="N976" s="575"/>
      <c r="O976" s="574"/>
      <c r="P976" s="574"/>
      <c r="Q976" s="575"/>
      <c r="R976" s="575"/>
      <c r="S976" s="142">
        <f t="shared" si="115"/>
        <v>0</v>
      </c>
      <c r="T976" s="142">
        <f t="shared" si="116"/>
        <v>0</v>
      </c>
      <c r="U976" s="142">
        <f t="shared" si="117"/>
        <v>0</v>
      </c>
      <c r="W976" s="601">
        <f t="shared" si="118"/>
        <v>0</v>
      </c>
      <c r="X976" s="601">
        <f t="shared" si="119"/>
        <v>0</v>
      </c>
      <c r="Y976" s="123"/>
      <c r="Z976" s="692">
        <f t="shared" si="114"/>
        <v>0</v>
      </c>
    </row>
    <row r="977" spans="1:26" customFormat="1" ht="12.75" thickBot="1">
      <c r="A977" s="57" t="s">
        <v>1269</v>
      </c>
      <c r="B977" s="25" t="s">
        <v>283</v>
      </c>
      <c r="C977" s="25" t="s">
        <v>284</v>
      </c>
      <c r="D977" s="693" t="s">
        <v>498</v>
      </c>
      <c r="E977" s="576"/>
      <c r="F977" s="574"/>
      <c r="G977" s="575"/>
      <c r="H977" s="574"/>
      <c r="I977" s="574"/>
      <c r="J977" s="574"/>
      <c r="K977" s="574"/>
      <c r="L977" s="574"/>
      <c r="M977" s="575"/>
      <c r="N977" s="575"/>
      <c r="O977" s="574"/>
      <c r="P977" s="574"/>
      <c r="Q977" s="575"/>
      <c r="R977" s="575"/>
      <c r="S977" s="142">
        <f t="shared" si="115"/>
        <v>0</v>
      </c>
      <c r="T977" s="142">
        <f t="shared" si="116"/>
        <v>0</v>
      </c>
      <c r="U977" s="142">
        <f t="shared" si="117"/>
        <v>0</v>
      </c>
      <c r="W977" s="601">
        <f t="shared" si="118"/>
        <v>0</v>
      </c>
      <c r="X977" s="601">
        <f t="shared" si="119"/>
        <v>0</v>
      </c>
      <c r="Y977" s="123"/>
      <c r="Z977" s="692">
        <f t="shared" si="114"/>
        <v>0</v>
      </c>
    </row>
    <row r="978" spans="1:26" customFormat="1" ht="12.75" thickBot="1">
      <c r="A978" s="57" t="s">
        <v>1269</v>
      </c>
      <c r="B978" s="25" t="s">
        <v>285</v>
      </c>
      <c r="C978" s="25" t="s">
        <v>286</v>
      </c>
      <c r="D978" s="693" t="s">
        <v>498</v>
      </c>
      <c r="E978" s="576"/>
      <c r="F978" s="574"/>
      <c r="G978" s="575"/>
      <c r="H978" s="574"/>
      <c r="I978" s="574"/>
      <c r="J978" s="574"/>
      <c r="K978" s="574"/>
      <c r="L978" s="574"/>
      <c r="M978" s="575"/>
      <c r="N978" s="575"/>
      <c r="O978" s="574"/>
      <c r="P978" s="574"/>
      <c r="Q978" s="575"/>
      <c r="R978" s="575"/>
      <c r="S978" s="142">
        <f t="shared" si="115"/>
        <v>0</v>
      </c>
      <c r="T978" s="142">
        <f t="shared" si="116"/>
        <v>0</v>
      </c>
      <c r="U978" s="142">
        <f t="shared" si="117"/>
        <v>0</v>
      </c>
      <c r="W978" s="601">
        <f t="shared" si="118"/>
        <v>0</v>
      </c>
      <c r="X978" s="601">
        <f t="shared" si="119"/>
        <v>0</v>
      </c>
      <c r="Y978" s="123"/>
      <c r="Z978" s="692">
        <f t="shared" si="114"/>
        <v>0</v>
      </c>
    </row>
    <row r="979" spans="1:26" customFormat="1" ht="12.75" thickBot="1">
      <c r="A979" s="57" t="s">
        <v>1269</v>
      </c>
      <c r="B979" s="25" t="s">
        <v>287</v>
      </c>
      <c r="C979" s="25" t="s">
        <v>955</v>
      </c>
      <c r="D979" s="693" t="s">
        <v>498</v>
      </c>
      <c r="E979" s="576"/>
      <c r="F979" s="574"/>
      <c r="G979" s="575"/>
      <c r="H979" s="574"/>
      <c r="I979" s="574"/>
      <c r="J979" s="574"/>
      <c r="K979" s="574"/>
      <c r="L979" s="574"/>
      <c r="M979" s="575"/>
      <c r="N979" s="575"/>
      <c r="O979" s="574"/>
      <c r="P979" s="574"/>
      <c r="Q979" s="575"/>
      <c r="R979" s="575"/>
      <c r="S979" s="142">
        <f t="shared" si="115"/>
        <v>0</v>
      </c>
      <c r="T979" s="142">
        <f t="shared" si="116"/>
        <v>0</v>
      </c>
      <c r="U979" s="142">
        <f t="shared" si="117"/>
        <v>0</v>
      </c>
      <c r="W979" s="601">
        <f t="shared" si="118"/>
        <v>0</v>
      </c>
      <c r="X979" s="601">
        <f t="shared" si="119"/>
        <v>0</v>
      </c>
      <c r="Y979" s="123"/>
      <c r="Z979" s="692">
        <f t="shared" si="114"/>
        <v>0</v>
      </c>
    </row>
    <row r="980" spans="1:26" customFormat="1" ht="12.75" thickBot="1">
      <c r="A980" s="57" t="s">
        <v>1269</v>
      </c>
      <c r="B980" s="25" t="s">
        <v>288</v>
      </c>
      <c r="C980" s="25" t="s">
        <v>956</v>
      </c>
      <c r="D980" s="693" t="s">
        <v>498</v>
      </c>
      <c r="E980" s="576"/>
      <c r="F980" s="574"/>
      <c r="G980" s="575"/>
      <c r="H980" s="574"/>
      <c r="I980" s="574"/>
      <c r="J980" s="574"/>
      <c r="K980" s="574"/>
      <c r="L980" s="574"/>
      <c r="M980" s="575"/>
      <c r="N980" s="575"/>
      <c r="O980" s="574"/>
      <c r="P980" s="574"/>
      <c r="Q980" s="575"/>
      <c r="R980" s="575"/>
      <c r="S980" s="142">
        <f t="shared" si="115"/>
        <v>0</v>
      </c>
      <c r="T980" s="142">
        <f t="shared" si="116"/>
        <v>0</v>
      </c>
      <c r="U980" s="142">
        <f t="shared" si="117"/>
        <v>0</v>
      </c>
      <c r="W980" s="601">
        <f t="shared" si="118"/>
        <v>0</v>
      </c>
      <c r="X980" s="601">
        <f t="shared" si="119"/>
        <v>0</v>
      </c>
      <c r="Y980" s="123"/>
      <c r="Z980" s="692">
        <f t="shared" si="114"/>
        <v>0</v>
      </c>
    </row>
    <row r="981" spans="1:26" customFormat="1" ht="12.75" thickBot="1">
      <c r="A981" s="57" t="s">
        <v>1269</v>
      </c>
      <c r="B981" s="25" t="s">
        <v>291</v>
      </c>
      <c r="C981" s="25" t="s">
        <v>957</v>
      </c>
      <c r="D981" s="693" t="s">
        <v>498</v>
      </c>
      <c r="E981" s="576"/>
      <c r="F981" s="574"/>
      <c r="G981" s="575"/>
      <c r="H981" s="574"/>
      <c r="I981" s="574"/>
      <c r="J981" s="574"/>
      <c r="K981" s="574"/>
      <c r="L981" s="574"/>
      <c r="M981" s="575"/>
      <c r="N981" s="575"/>
      <c r="O981" s="574"/>
      <c r="P981" s="574"/>
      <c r="Q981" s="575"/>
      <c r="R981" s="575"/>
      <c r="S981" s="142">
        <f t="shared" si="115"/>
        <v>0</v>
      </c>
      <c r="T981" s="142">
        <f t="shared" si="116"/>
        <v>0</v>
      </c>
      <c r="U981" s="142">
        <f t="shared" si="117"/>
        <v>0</v>
      </c>
      <c r="W981" s="601">
        <f t="shared" si="118"/>
        <v>0</v>
      </c>
      <c r="X981" s="601">
        <f t="shared" si="119"/>
        <v>0</v>
      </c>
      <c r="Y981" s="123"/>
      <c r="Z981" s="692">
        <f t="shared" si="114"/>
        <v>0</v>
      </c>
    </row>
    <row r="982" spans="1:26" customFormat="1" ht="12.75" thickBot="1">
      <c r="A982" s="57" t="s">
        <v>1269</v>
      </c>
      <c r="B982" s="25" t="s">
        <v>297</v>
      </c>
      <c r="C982" s="25" t="s">
        <v>958</v>
      </c>
      <c r="D982" s="693" t="s">
        <v>498</v>
      </c>
      <c r="E982" s="576"/>
      <c r="F982" s="574"/>
      <c r="G982" s="575"/>
      <c r="H982" s="574"/>
      <c r="I982" s="574"/>
      <c r="J982" s="574"/>
      <c r="K982" s="574"/>
      <c r="L982" s="574"/>
      <c r="M982" s="575"/>
      <c r="N982" s="575"/>
      <c r="O982" s="574"/>
      <c r="P982" s="574"/>
      <c r="Q982" s="575"/>
      <c r="R982" s="575"/>
      <c r="S982" s="142">
        <f t="shared" si="115"/>
        <v>0</v>
      </c>
      <c r="T982" s="142">
        <f t="shared" si="116"/>
        <v>0</v>
      </c>
      <c r="U982" s="142">
        <f t="shared" si="117"/>
        <v>0</v>
      </c>
      <c r="W982" s="601">
        <f t="shared" si="118"/>
        <v>0</v>
      </c>
      <c r="X982" s="601">
        <f t="shared" si="119"/>
        <v>0</v>
      </c>
      <c r="Y982" s="123"/>
      <c r="Z982" s="692">
        <f t="shared" ref="Z982:Z1041" si="120">SUM(F982:K982)</f>
        <v>0</v>
      </c>
    </row>
    <row r="983" spans="1:26" customFormat="1" ht="12.75" thickBot="1">
      <c r="A983" s="57" t="s">
        <v>1269</v>
      </c>
      <c r="B983" s="25" t="s">
        <v>299</v>
      </c>
      <c r="C983" s="25" t="s">
        <v>959</v>
      </c>
      <c r="D983" s="693" t="s">
        <v>498</v>
      </c>
      <c r="E983" s="576"/>
      <c r="F983" s="574"/>
      <c r="G983" s="575"/>
      <c r="H983" s="574"/>
      <c r="I983" s="574"/>
      <c r="J983" s="574"/>
      <c r="K983" s="574"/>
      <c r="L983" s="574"/>
      <c r="M983" s="575"/>
      <c r="N983" s="575"/>
      <c r="O983" s="574"/>
      <c r="P983" s="574"/>
      <c r="Q983" s="575"/>
      <c r="R983" s="575"/>
      <c r="S983" s="142">
        <f t="shared" si="115"/>
        <v>0</v>
      </c>
      <c r="T983" s="142">
        <f t="shared" si="116"/>
        <v>0</v>
      </c>
      <c r="U983" s="142">
        <f t="shared" si="117"/>
        <v>0</v>
      </c>
      <c r="W983" s="601">
        <f t="shared" si="118"/>
        <v>0</v>
      </c>
      <c r="X983" s="601">
        <f t="shared" si="119"/>
        <v>0</v>
      </c>
      <c r="Y983" s="123"/>
      <c r="Z983" s="692">
        <f t="shared" si="120"/>
        <v>0</v>
      </c>
    </row>
    <row r="984" spans="1:26" customFormat="1" ht="12.75" thickBot="1">
      <c r="A984" s="57" t="s">
        <v>1269</v>
      </c>
      <c r="B984" s="25" t="s">
        <v>309</v>
      </c>
      <c r="C984" s="25" t="s">
        <v>284</v>
      </c>
      <c r="D984" s="693" t="s">
        <v>498</v>
      </c>
      <c r="E984" s="576"/>
      <c r="F984" s="574"/>
      <c r="G984" s="575"/>
      <c r="H984" s="574"/>
      <c r="I984" s="574"/>
      <c r="J984" s="574"/>
      <c r="K984" s="574"/>
      <c r="L984" s="574"/>
      <c r="M984" s="575"/>
      <c r="N984" s="575"/>
      <c r="O984" s="574"/>
      <c r="P984" s="574"/>
      <c r="Q984" s="575"/>
      <c r="R984" s="575"/>
      <c r="S984" s="142">
        <f t="shared" si="115"/>
        <v>0</v>
      </c>
      <c r="T984" s="142">
        <f t="shared" si="116"/>
        <v>0</v>
      </c>
      <c r="U984" s="142">
        <f t="shared" si="117"/>
        <v>0</v>
      </c>
      <c r="W984" s="601">
        <f t="shared" si="118"/>
        <v>0</v>
      </c>
      <c r="X984" s="601">
        <f t="shared" si="119"/>
        <v>0</v>
      </c>
      <c r="Y984" s="123"/>
      <c r="Z984" s="692">
        <f t="shared" si="120"/>
        <v>0</v>
      </c>
    </row>
    <row r="985" spans="1:26" customFormat="1" ht="12.75" thickBot="1">
      <c r="A985" s="57" t="s">
        <v>1269</v>
      </c>
      <c r="B985" s="25" t="s">
        <v>310</v>
      </c>
      <c r="C985" s="25" t="s">
        <v>286</v>
      </c>
      <c r="D985" s="693" t="s">
        <v>498</v>
      </c>
      <c r="E985" s="576"/>
      <c r="F985" s="574"/>
      <c r="G985" s="575"/>
      <c r="H985" s="574"/>
      <c r="I985" s="574"/>
      <c r="J985" s="574"/>
      <c r="K985" s="574"/>
      <c r="L985" s="574"/>
      <c r="M985" s="575"/>
      <c r="N985" s="575"/>
      <c r="O985" s="574"/>
      <c r="P985" s="574"/>
      <c r="Q985" s="575"/>
      <c r="R985" s="575"/>
      <c r="S985" s="142">
        <f t="shared" si="115"/>
        <v>0</v>
      </c>
      <c r="T985" s="142">
        <f t="shared" si="116"/>
        <v>0</v>
      </c>
      <c r="U985" s="142">
        <f t="shared" si="117"/>
        <v>0</v>
      </c>
      <c r="W985" s="601">
        <f t="shared" si="118"/>
        <v>0</v>
      </c>
      <c r="X985" s="601">
        <f t="shared" si="119"/>
        <v>0</v>
      </c>
      <c r="Y985" s="123"/>
      <c r="Z985" s="692">
        <f t="shared" si="120"/>
        <v>0</v>
      </c>
    </row>
    <row r="986" spans="1:26" customFormat="1" ht="12.75" thickBot="1">
      <c r="A986" s="57" t="s">
        <v>1269</v>
      </c>
      <c r="B986" s="25" t="s">
        <v>377</v>
      </c>
      <c r="C986" s="25" t="s">
        <v>960</v>
      </c>
      <c r="D986" s="693" t="s">
        <v>606</v>
      </c>
      <c r="E986" s="576"/>
      <c r="F986" s="574"/>
      <c r="G986" s="575"/>
      <c r="H986" s="574"/>
      <c r="I986" s="574"/>
      <c r="J986" s="574"/>
      <c r="K986" s="574"/>
      <c r="L986" s="574"/>
      <c r="M986" s="575"/>
      <c r="N986" s="575"/>
      <c r="O986" s="574"/>
      <c r="P986" s="574"/>
      <c r="Q986" s="574"/>
      <c r="R986" s="575"/>
      <c r="S986" s="142">
        <f t="shared" si="115"/>
        <v>0</v>
      </c>
      <c r="T986" s="142">
        <f t="shared" si="116"/>
        <v>0</v>
      </c>
      <c r="U986" s="142">
        <f t="shared" si="117"/>
        <v>0</v>
      </c>
      <c r="W986" s="601">
        <f t="shared" si="118"/>
        <v>0</v>
      </c>
      <c r="X986" s="601">
        <f t="shared" si="119"/>
        <v>0</v>
      </c>
      <c r="Y986" s="123"/>
      <c r="Z986" s="692">
        <f t="shared" si="120"/>
        <v>0</v>
      </c>
    </row>
    <row r="987" spans="1:26" customFormat="1" ht="12.75" thickBot="1">
      <c r="A987" s="57" t="s">
        <v>1269</v>
      </c>
      <c r="B987" s="25" t="s">
        <v>737</v>
      </c>
      <c r="C987" s="25" t="s">
        <v>961</v>
      </c>
      <c r="D987" s="693" t="s">
        <v>606</v>
      </c>
      <c r="E987" s="576"/>
      <c r="F987" s="574"/>
      <c r="G987" s="575"/>
      <c r="H987" s="574"/>
      <c r="I987" s="574"/>
      <c r="J987" s="574"/>
      <c r="K987" s="574"/>
      <c r="L987" s="574"/>
      <c r="M987" s="575"/>
      <c r="N987" s="575"/>
      <c r="O987" s="574"/>
      <c r="P987" s="574"/>
      <c r="Q987" s="574"/>
      <c r="R987" s="575"/>
      <c r="S987" s="142">
        <f t="shared" si="115"/>
        <v>0</v>
      </c>
      <c r="T987" s="142">
        <f t="shared" si="116"/>
        <v>0</v>
      </c>
      <c r="U987" s="142">
        <f t="shared" si="117"/>
        <v>0</v>
      </c>
      <c r="W987" s="601">
        <f t="shared" si="118"/>
        <v>0</v>
      </c>
      <c r="X987" s="601">
        <f t="shared" si="119"/>
        <v>0</v>
      </c>
      <c r="Y987" s="123"/>
      <c r="Z987" s="692">
        <f t="shared" si="120"/>
        <v>0</v>
      </c>
    </row>
    <row r="988" spans="1:26" customFormat="1" ht="12.75" thickBot="1">
      <c r="A988" s="57" t="s">
        <v>1269</v>
      </c>
      <c r="B988" s="25" t="s">
        <v>329</v>
      </c>
      <c r="C988" s="25" t="s">
        <v>962</v>
      </c>
      <c r="D988" s="693" t="s">
        <v>606</v>
      </c>
      <c r="E988" s="576"/>
      <c r="F988" s="574"/>
      <c r="G988" s="575"/>
      <c r="H988" s="574"/>
      <c r="I988" s="574"/>
      <c r="J988" s="574"/>
      <c r="K988" s="574"/>
      <c r="L988" s="574"/>
      <c r="M988" s="575"/>
      <c r="N988" s="575"/>
      <c r="O988" s="574"/>
      <c r="P988" s="574"/>
      <c r="Q988" s="575"/>
      <c r="R988" s="575"/>
      <c r="S988" s="142">
        <f t="shared" si="115"/>
        <v>0</v>
      </c>
      <c r="T988" s="142">
        <f t="shared" si="116"/>
        <v>0</v>
      </c>
      <c r="U988" s="142">
        <f t="shared" si="117"/>
        <v>0</v>
      </c>
      <c r="W988" s="601">
        <f t="shared" si="118"/>
        <v>0</v>
      </c>
      <c r="X988" s="601">
        <f t="shared" si="119"/>
        <v>0</v>
      </c>
      <c r="Y988" s="123"/>
      <c r="Z988" s="692">
        <f t="shared" si="120"/>
        <v>0</v>
      </c>
    </row>
    <row r="989" spans="1:26" customFormat="1" ht="12.75" thickBot="1">
      <c r="A989" s="57" t="s">
        <v>1269</v>
      </c>
      <c r="B989" s="25" t="s">
        <v>330</v>
      </c>
      <c r="C989" s="25" t="s">
        <v>963</v>
      </c>
      <c r="D989" s="693" t="s">
        <v>606</v>
      </c>
      <c r="E989" s="576"/>
      <c r="F989" s="574"/>
      <c r="G989" s="575"/>
      <c r="H989" s="574"/>
      <c r="I989" s="574"/>
      <c r="J989" s="574"/>
      <c r="K989" s="574"/>
      <c r="L989" s="574"/>
      <c r="M989" s="575"/>
      <c r="N989" s="575"/>
      <c r="O989" s="574"/>
      <c r="P989" s="574"/>
      <c r="Q989" s="575"/>
      <c r="R989" s="575"/>
      <c r="S989" s="142">
        <f t="shared" ref="S989:S1049" si="121">G989+H989+I989</f>
        <v>0</v>
      </c>
      <c r="T989" s="142">
        <f t="shared" ref="T989:T1049" si="122">J989+K989</f>
        <v>0</v>
      </c>
      <c r="U989" s="142">
        <f t="shared" ref="U989:U1049" si="123">N989+O989</f>
        <v>0</v>
      </c>
      <c r="W989" s="601">
        <f t="shared" si="118"/>
        <v>0</v>
      </c>
      <c r="X989" s="601">
        <f t="shared" si="119"/>
        <v>0</v>
      </c>
      <c r="Y989" s="123"/>
      <c r="Z989" s="692">
        <f t="shared" si="120"/>
        <v>0</v>
      </c>
    </row>
    <row r="990" spans="1:26" customFormat="1" ht="12.75" thickBot="1">
      <c r="A990" s="57" t="s">
        <v>1269</v>
      </c>
      <c r="B990" s="25" t="s">
        <v>332</v>
      </c>
      <c r="C990" s="25" t="s">
        <v>964</v>
      </c>
      <c r="D990" s="693" t="s">
        <v>606</v>
      </c>
      <c r="E990" s="576"/>
      <c r="F990" s="574"/>
      <c r="G990" s="575"/>
      <c r="H990" s="574"/>
      <c r="I990" s="574"/>
      <c r="J990" s="574"/>
      <c r="K990" s="574"/>
      <c r="L990" s="574"/>
      <c r="M990" s="575"/>
      <c r="N990" s="575"/>
      <c r="O990" s="574"/>
      <c r="P990" s="574"/>
      <c r="Q990" s="575"/>
      <c r="R990" s="575"/>
      <c r="S990" s="142">
        <f t="shared" si="121"/>
        <v>0</v>
      </c>
      <c r="T990" s="142">
        <f t="shared" si="122"/>
        <v>0</v>
      </c>
      <c r="U990" s="142">
        <f t="shared" si="123"/>
        <v>0</v>
      </c>
      <c r="W990" s="601">
        <f t="shared" si="118"/>
        <v>0</v>
      </c>
      <c r="X990" s="601">
        <f t="shared" si="119"/>
        <v>0</v>
      </c>
      <c r="Y990" s="123"/>
      <c r="Z990" s="692">
        <f t="shared" si="120"/>
        <v>0</v>
      </c>
    </row>
    <row r="991" spans="1:26" customFormat="1" ht="12.75" thickBot="1">
      <c r="A991" s="57" t="s">
        <v>1269</v>
      </c>
      <c r="B991" s="25" t="s">
        <v>333</v>
      </c>
      <c r="C991" s="25" t="s">
        <v>965</v>
      </c>
      <c r="D991" s="693" t="s">
        <v>606</v>
      </c>
      <c r="E991" s="576"/>
      <c r="F991" s="574"/>
      <c r="G991" s="575"/>
      <c r="H991" s="574"/>
      <c r="I991" s="574"/>
      <c r="J991" s="574"/>
      <c r="K991" s="574"/>
      <c r="L991" s="574"/>
      <c r="M991" s="575"/>
      <c r="N991" s="575"/>
      <c r="O991" s="574"/>
      <c r="P991" s="574"/>
      <c r="Q991" s="575"/>
      <c r="R991" s="575"/>
      <c r="S991" s="142">
        <f t="shared" si="121"/>
        <v>0</v>
      </c>
      <c r="T991" s="142">
        <f t="shared" si="122"/>
        <v>0</v>
      </c>
      <c r="U991" s="142">
        <f t="shared" si="123"/>
        <v>0</v>
      </c>
      <c r="W991" s="601">
        <f t="shared" si="118"/>
        <v>0</v>
      </c>
      <c r="X991" s="601">
        <f t="shared" si="119"/>
        <v>0</v>
      </c>
      <c r="Y991" s="123"/>
      <c r="Z991" s="692">
        <f t="shared" si="120"/>
        <v>0</v>
      </c>
    </row>
    <row r="992" spans="1:26" customFormat="1" ht="12.75" thickBot="1">
      <c r="A992" s="57" t="s">
        <v>1269</v>
      </c>
      <c r="B992" s="25" t="s">
        <v>334</v>
      </c>
      <c r="C992" s="25" t="s">
        <v>966</v>
      </c>
      <c r="D992" s="693" t="s">
        <v>498</v>
      </c>
      <c r="E992" s="576"/>
      <c r="F992" s="574"/>
      <c r="G992" s="575"/>
      <c r="H992" s="574"/>
      <c r="I992" s="574"/>
      <c r="J992" s="574"/>
      <c r="K992" s="574"/>
      <c r="L992" s="574"/>
      <c r="M992" s="575"/>
      <c r="N992" s="575"/>
      <c r="O992" s="574"/>
      <c r="P992" s="574"/>
      <c r="Q992" s="575"/>
      <c r="R992" s="575"/>
      <c r="S992" s="142">
        <f t="shared" si="121"/>
        <v>0</v>
      </c>
      <c r="T992" s="142">
        <f t="shared" si="122"/>
        <v>0</v>
      </c>
      <c r="U992" s="142">
        <f t="shared" si="123"/>
        <v>0</v>
      </c>
      <c r="W992" s="601">
        <f t="shared" si="118"/>
        <v>0</v>
      </c>
      <c r="X992" s="601">
        <f t="shared" si="119"/>
        <v>0</v>
      </c>
      <c r="Y992" s="123"/>
      <c r="Z992" s="692">
        <f t="shared" si="120"/>
        <v>0</v>
      </c>
    </row>
    <row r="993" spans="1:26" customFormat="1" ht="12.75" thickBot="1">
      <c r="A993" s="57" t="s">
        <v>1269</v>
      </c>
      <c r="B993" s="25" t="s">
        <v>336</v>
      </c>
      <c r="C993" s="25" t="s">
        <v>967</v>
      </c>
      <c r="D993" s="693" t="s">
        <v>498</v>
      </c>
      <c r="E993" s="576"/>
      <c r="F993" s="574"/>
      <c r="G993" s="575"/>
      <c r="H993" s="574"/>
      <c r="I993" s="574"/>
      <c r="J993" s="574"/>
      <c r="K993" s="574"/>
      <c r="L993" s="574"/>
      <c r="M993" s="575"/>
      <c r="N993" s="575"/>
      <c r="O993" s="574"/>
      <c r="P993" s="574"/>
      <c r="Q993" s="575"/>
      <c r="R993" s="575"/>
      <c r="S993" s="142">
        <f t="shared" si="121"/>
        <v>0</v>
      </c>
      <c r="T993" s="142">
        <f t="shared" si="122"/>
        <v>0</v>
      </c>
      <c r="U993" s="142">
        <f t="shared" si="123"/>
        <v>0</v>
      </c>
      <c r="W993" s="601">
        <f t="shared" si="118"/>
        <v>0</v>
      </c>
      <c r="X993" s="601">
        <f t="shared" si="119"/>
        <v>0</v>
      </c>
      <c r="Y993" s="123"/>
      <c r="Z993" s="692">
        <f t="shared" si="120"/>
        <v>0</v>
      </c>
    </row>
    <row r="994" spans="1:26" customFormat="1" ht="12.75" thickBot="1">
      <c r="A994" s="57" t="s">
        <v>1269</v>
      </c>
      <c r="B994" s="25" t="s">
        <v>337</v>
      </c>
      <c r="C994" s="25" t="s">
        <v>968</v>
      </c>
      <c r="D994" s="693" t="s">
        <v>606</v>
      </c>
      <c r="E994" s="576"/>
      <c r="F994" s="574"/>
      <c r="G994" s="575"/>
      <c r="H994" s="574"/>
      <c r="I994" s="574"/>
      <c r="J994" s="574"/>
      <c r="K994" s="574"/>
      <c r="L994" s="574"/>
      <c r="M994" s="575"/>
      <c r="N994" s="575"/>
      <c r="O994" s="574"/>
      <c r="P994" s="574"/>
      <c r="Q994" s="575"/>
      <c r="R994" s="575"/>
      <c r="S994" s="142">
        <f t="shared" si="121"/>
        <v>0</v>
      </c>
      <c r="T994" s="142">
        <f t="shared" si="122"/>
        <v>0</v>
      </c>
      <c r="U994" s="142">
        <f t="shared" si="123"/>
        <v>0</v>
      </c>
      <c r="W994" s="601">
        <f t="shared" si="118"/>
        <v>0</v>
      </c>
      <c r="X994" s="601">
        <f t="shared" si="119"/>
        <v>0</v>
      </c>
      <c r="Y994" s="123"/>
      <c r="Z994" s="692">
        <f t="shared" si="120"/>
        <v>0</v>
      </c>
    </row>
    <row r="995" spans="1:26" customFormat="1" ht="12.75" thickBot="1">
      <c r="A995" s="57" t="s">
        <v>1269</v>
      </c>
      <c r="B995" s="25" t="s">
        <v>338</v>
      </c>
      <c r="C995" s="25" t="s">
        <v>969</v>
      </c>
      <c r="D995" s="693" t="s">
        <v>606</v>
      </c>
      <c r="E995" s="576"/>
      <c r="F995" s="574"/>
      <c r="G995" s="575"/>
      <c r="H995" s="574"/>
      <c r="I995" s="574"/>
      <c r="J995" s="574"/>
      <c r="K995" s="574"/>
      <c r="L995" s="574"/>
      <c r="M995" s="575"/>
      <c r="N995" s="575"/>
      <c r="O995" s="574"/>
      <c r="P995" s="574"/>
      <c r="Q995" s="575"/>
      <c r="R995" s="575"/>
      <c r="S995" s="142">
        <f t="shared" si="121"/>
        <v>0</v>
      </c>
      <c r="T995" s="142">
        <f t="shared" si="122"/>
        <v>0</v>
      </c>
      <c r="U995" s="142">
        <f t="shared" si="123"/>
        <v>0</v>
      </c>
      <c r="W995" s="601">
        <f t="shared" si="118"/>
        <v>0</v>
      </c>
      <c r="X995" s="601">
        <f t="shared" si="119"/>
        <v>0</v>
      </c>
      <c r="Y995" s="123"/>
      <c r="Z995" s="692">
        <f t="shared" si="120"/>
        <v>0</v>
      </c>
    </row>
    <row r="996" spans="1:26" customFormat="1" ht="12.75" thickBot="1">
      <c r="A996" s="57" t="s">
        <v>1269</v>
      </c>
      <c r="B996" s="25" t="s">
        <v>339</v>
      </c>
      <c r="C996" s="25" t="s">
        <v>970</v>
      </c>
      <c r="D996" s="693" t="s">
        <v>606</v>
      </c>
      <c r="E996" s="576"/>
      <c r="F996" s="574"/>
      <c r="G996" s="575"/>
      <c r="H996" s="574"/>
      <c r="I996" s="574"/>
      <c r="J996" s="574"/>
      <c r="K996" s="574"/>
      <c r="L996" s="574"/>
      <c r="M996" s="575"/>
      <c r="N996" s="575"/>
      <c r="O996" s="574"/>
      <c r="P996" s="574"/>
      <c r="Q996" s="575"/>
      <c r="R996" s="575"/>
      <c r="S996" s="142">
        <f t="shared" si="121"/>
        <v>0</v>
      </c>
      <c r="T996" s="142">
        <f t="shared" si="122"/>
        <v>0</v>
      </c>
      <c r="U996" s="142">
        <f t="shared" si="123"/>
        <v>0</v>
      </c>
      <c r="W996" s="601">
        <f t="shared" si="118"/>
        <v>0</v>
      </c>
      <c r="X996" s="601">
        <f t="shared" si="119"/>
        <v>0</v>
      </c>
      <c r="Y996" s="123"/>
      <c r="Z996" s="692">
        <f t="shared" si="120"/>
        <v>0</v>
      </c>
    </row>
    <row r="997" spans="1:26" customFormat="1" ht="12.75" thickBot="1">
      <c r="A997" s="57" t="s">
        <v>1269</v>
      </c>
      <c r="B997" s="25" t="s">
        <v>340</v>
      </c>
      <c r="C997" s="25" t="s">
        <v>971</v>
      </c>
      <c r="D997" s="693" t="s">
        <v>606</v>
      </c>
      <c r="E997" s="576"/>
      <c r="F997" s="574"/>
      <c r="G997" s="575"/>
      <c r="H997" s="574"/>
      <c r="I997" s="574"/>
      <c r="J997" s="574"/>
      <c r="K997" s="574"/>
      <c r="L997" s="574"/>
      <c r="M997" s="575"/>
      <c r="N997" s="575"/>
      <c r="O997" s="574"/>
      <c r="P997" s="574"/>
      <c r="Q997" s="575"/>
      <c r="R997" s="575"/>
      <c r="S997" s="142">
        <f t="shared" si="121"/>
        <v>0</v>
      </c>
      <c r="T997" s="142">
        <f t="shared" si="122"/>
        <v>0</v>
      </c>
      <c r="U997" s="142">
        <f t="shared" si="123"/>
        <v>0</v>
      </c>
      <c r="W997" s="601">
        <f t="shared" si="118"/>
        <v>0</v>
      </c>
      <c r="X997" s="601">
        <f t="shared" si="119"/>
        <v>0</v>
      </c>
      <c r="Y997" s="123"/>
      <c r="Z997" s="692">
        <f t="shared" si="120"/>
        <v>0</v>
      </c>
    </row>
    <row r="998" spans="1:26" customFormat="1" ht="12.75" thickBot="1">
      <c r="A998" s="57" t="s">
        <v>1269</v>
      </c>
      <c r="B998" s="25" t="s">
        <v>341</v>
      </c>
      <c r="C998" s="25" t="s">
        <v>972</v>
      </c>
      <c r="D998" s="693" t="s">
        <v>606</v>
      </c>
      <c r="E998" s="576"/>
      <c r="F998" s="574"/>
      <c r="G998" s="575"/>
      <c r="H998" s="574"/>
      <c r="I998" s="574"/>
      <c r="J998" s="574"/>
      <c r="K998" s="574"/>
      <c r="L998" s="574"/>
      <c r="M998" s="575"/>
      <c r="N998" s="575"/>
      <c r="O998" s="574"/>
      <c r="P998" s="574"/>
      <c r="Q998" s="575"/>
      <c r="R998" s="575"/>
      <c r="S998" s="142">
        <f t="shared" si="121"/>
        <v>0</v>
      </c>
      <c r="T998" s="142">
        <f t="shared" si="122"/>
        <v>0</v>
      </c>
      <c r="U998" s="142">
        <f t="shared" si="123"/>
        <v>0</v>
      </c>
      <c r="W998" s="601">
        <f t="shared" si="118"/>
        <v>0</v>
      </c>
      <c r="X998" s="601">
        <f t="shared" si="119"/>
        <v>0</v>
      </c>
      <c r="Y998" s="123"/>
      <c r="Z998" s="692">
        <f t="shared" si="120"/>
        <v>0</v>
      </c>
    </row>
    <row r="999" spans="1:26" customFormat="1" ht="12.75" thickBot="1">
      <c r="A999" s="57" t="s">
        <v>1269</v>
      </c>
      <c r="B999" s="25" t="s">
        <v>342</v>
      </c>
      <c r="C999" s="25" t="s">
        <v>973</v>
      </c>
      <c r="D999" s="693" t="s">
        <v>606</v>
      </c>
      <c r="E999" s="576"/>
      <c r="F999" s="574"/>
      <c r="G999" s="575"/>
      <c r="H999" s="574"/>
      <c r="I999" s="574"/>
      <c r="J999" s="574"/>
      <c r="K999" s="574"/>
      <c r="L999" s="574"/>
      <c r="M999" s="575"/>
      <c r="N999" s="575"/>
      <c r="O999" s="574"/>
      <c r="P999" s="574"/>
      <c r="Q999" s="575"/>
      <c r="R999" s="575"/>
      <c r="S999" s="142">
        <f t="shared" si="121"/>
        <v>0</v>
      </c>
      <c r="T999" s="142">
        <f t="shared" si="122"/>
        <v>0</v>
      </c>
      <c r="U999" s="142">
        <f t="shared" si="123"/>
        <v>0</v>
      </c>
      <c r="W999" s="601">
        <f t="shared" si="118"/>
        <v>0</v>
      </c>
      <c r="X999" s="601">
        <f t="shared" si="119"/>
        <v>0</v>
      </c>
      <c r="Y999" s="123"/>
      <c r="Z999" s="692">
        <f t="shared" si="120"/>
        <v>0</v>
      </c>
    </row>
    <row r="1000" spans="1:26" customFormat="1" ht="12.75" thickBot="1">
      <c r="A1000" s="57" t="s">
        <v>1269</v>
      </c>
      <c r="B1000" s="25" t="s">
        <v>343</v>
      </c>
      <c r="C1000" s="25" t="s">
        <v>974</v>
      </c>
      <c r="D1000" s="693" t="s">
        <v>498</v>
      </c>
      <c r="E1000" s="576"/>
      <c r="F1000" s="574"/>
      <c r="G1000" s="575"/>
      <c r="H1000" s="574"/>
      <c r="I1000" s="574"/>
      <c r="J1000" s="574"/>
      <c r="K1000" s="574"/>
      <c r="L1000" s="574"/>
      <c r="M1000" s="575"/>
      <c r="N1000" s="575"/>
      <c r="O1000" s="574"/>
      <c r="P1000" s="574"/>
      <c r="Q1000" s="575"/>
      <c r="R1000" s="575"/>
      <c r="S1000" s="142">
        <f t="shared" si="121"/>
        <v>0</v>
      </c>
      <c r="T1000" s="142">
        <f t="shared" si="122"/>
        <v>0</v>
      </c>
      <c r="U1000" s="142">
        <f t="shared" si="123"/>
        <v>0</v>
      </c>
      <c r="W1000" s="601">
        <f t="shared" si="118"/>
        <v>0</v>
      </c>
      <c r="X1000" s="601">
        <f t="shared" si="119"/>
        <v>0</v>
      </c>
      <c r="Y1000" s="123"/>
      <c r="Z1000" s="692">
        <f t="shared" si="120"/>
        <v>0</v>
      </c>
    </row>
    <row r="1001" spans="1:26" customFormat="1" ht="12.75" thickBot="1">
      <c r="A1001" s="57" t="s">
        <v>1269</v>
      </c>
      <c r="B1001" s="25" t="s">
        <v>344</v>
      </c>
      <c r="C1001" s="25" t="s">
        <v>975</v>
      </c>
      <c r="D1001" s="693" t="s">
        <v>606</v>
      </c>
      <c r="E1001" s="576"/>
      <c r="F1001" s="574"/>
      <c r="G1001" s="575"/>
      <c r="H1001" s="574"/>
      <c r="I1001" s="574"/>
      <c r="J1001" s="574"/>
      <c r="K1001" s="574"/>
      <c r="L1001" s="574"/>
      <c r="M1001" s="575"/>
      <c r="N1001" s="575"/>
      <c r="O1001" s="574"/>
      <c r="P1001" s="574"/>
      <c r="Q1001" s="575"/>
      <c r="R1001" s="575"/>
      <c r="S1001" s="142">
        <f t="shared" si="121"/>
        <v>0</v>
      </c>
      <c r="T1001" s="142">
        <f t="shared" si="122"/>
        <v>0</v>
      </c>
      <c r="U1001" s="142">
        <f t="shared" si="123"/>
        <v>0</v>
      </c>
      <c r="W1001" s="601">
        <f t="shared" si="118"/>
        <v>0</v>
      </c>
      <c r="X1001" s="601">
        <f t="shared" si="119"/>
        <v>0</v>
      </c>
      <c r="Y1001" s="123"/>
      <c r="Z1001" s="692">
        <f t="shared" si="120"/>
        <v>0</v>
      </c>
    </row>
    <row r="1002" spans="1:26" customFormat="1" ht="12.75" thickBot="1">
      <c r="A1002" s="57" t="s">
        <v>1269</v>
      </c>
      <c r="B1002" s="25" t="s">
        <v>345</v>
      </c>
      <c r="C1002" s="25" t="s">
        <v>976</v>
      </c>
      <c r="D1002" s="693" t="s">
        <v>498</v>
      </c>
      <c r="E1002" s="576"/>
      <c r="F1002" s="574"/>
      <c r="G1002" s="575"/>
      <c r="H1002" s="574"/>
      <c r="I1002" s="574"/>
      <c r="J1002" s="574"/>
      <c r="K1002" s="574"/>
      <c r="L1002" s="574"/>
      <c r="M1002" s="575"/>
      <c r="N1002" s="575"/>
      <c r="O1002" s="574"/>
      <c r="P1002" s="574"/>
      <c r="Q1002" s="575"/>
      <c r="R1002" s="575"/>
      <c r="S1002" s="142">
        <f t="shared" si="121"/>
        <v>0</v>
      </c>
      <c r="T1002" s="142">
        <f t="shared" si="122"/>
        <v>0</v>
      </c>
      <c r="U1002" s="142">
        <f t="shared" si="123"/>
        <v>0</v>
      </c>
      <c r="W1002" s="601">
        <f t="shared" si="118"/>
        <v>0</v>
      </c>
      <c r="X1002" s="601">
        <f t="shared" si="119"/>
        <v>0</v>
      </c>
      <c r="Y1002" s="123"/>
      <c r="Z1002" s="692">
        <f t="shared" si="120"/>
        <v>0</v>
      </c>
    </row>
    <row r="1003" spans="1:26" customFormat="1" ht="12.75" thickBot="1">
      <c r="A1003" s="57" t="s">
        <v>1269</v>
      </c>
      <c r="B1003" s="25" t="s">
        <v>346</v>
      </c>
      <c r="C1003" s="25" t="s">
        <v>977</v>
      </c>
      <c r="D1003" s="693" t="s">
        <v>606</v>
      </c>
      <c r="E1003" s="576"/>
      <c r="F1003" s="574"/>
      <c r="G1003" s="575"/>
      <c r="H1003" s="574"/>
      <c r="I1003" s="574"/>
      <c r="J1003" s="574"/>
      <c r="K1003" s="574"/>
      <c r="L1003" s="574"/>
      <c r="M1003" s="575"/>
      <c r="N1003" s="575"/>
      <c r="O1003" s="574"/>
      <c r="P1003" s="574"/>
      <c r="Q1003" s="575"/>
      <c r="R1003" s="575"/>
      <c r="S1003" s="142">
        <f t="shared" si="121"/>
        <v>0</v>
      </c>
      <c r="T1003" s="142">
        <f t="shared" si="122"/>
        <v>0</v>
      </c>
      <c r="U1003" s="142">
        <f t="shared" si="123"/>
        <v>0</v>
      </c>
      <c r="W1003" s="601">
        <f t="shared" si="118"/>
        <v>0</v>
      </c>
      <c r="X1003" s="601">
        <f t="shared" si="119"/>
        <v>0</v>
      </c>
      <c r="Y1003" s="123"/>
      <c r="Z1003" s="692">
        <f t="shared" si="120"/>
        <v>0</v>
      </c>
    </row>
    <row r="1004" spans="1:26" customFormat="1" ht="12.75" thickBot="1">
      <c r="A1004" s="57" t="s">
        <v>1269</v>
      </c>
      <c r="B1004" s="25" t="s">
        <v>347</v>
      </c>
      <c r="C1004" s="25" t="s">
        <v>978</v>
      </c>
      <c r="D1004" s="693" t="s">
        <v>498</v>
      </c>
      <c r="E1004" s="576"/>
      <c r="F1004" s="574"/>
      <c r="G1004" s="575"/>
      <c r="H1004" s="574"/>
      <c r="I1004" s="574"/>
      <c r="J1004" s="574"/>
      <c r="K1004" s="574"/>
      <c r="L1004" s="574"/>
      <c r="M1004" s="575"/>
      <c r="N1004" s="575"/>
      <c r="O1004" s="574"/>
      <c r="P1004" s="574"/>
      <c r="Q1004" s="575"/>
      <c r="R1004" s="575"/>
      <c r="S1004" s="142">
        <f t="shared" si="121"/>
        <v>0</v>
      </c>
      <c r="T1004" s="142">
        <f t="shared" si="122"/>
        <v>0</v>
      </c>
      <c r="U1004" s="142">
        <f t="shared" si="123"/>
        <v>0</v>
      </c>
      <c r="W1004" s="601">
        <f t="shared" si="118"/>
        <v>0</v>
      </c>
      <c r="X1004" s="601">
        <f t="shared" si="119"/>
        <v>0</v>
      </c>
      <c r="Y1004" s="123"/>
      <c r="Z1004" s="692">
        <f t="shared" si="120"/>
        <v>0</v>
      </c>
    </row>
    <row r="1005" spans="1:26" customFormat="1" ht="12.75" thickBot="1">
      <c r="A1005" s="57" t="s">
        <v>1269</v>
      </c>
      <c r="B1005" s="25" t="s">
        <v>348</v>
      </c>
      <c r="C1005" s="25" t="s">
        <v>979</v>
      </c>
      <c r="D1005" s="693" t="s">
        <v>606</v>
      </c>
      <c r="E1005" s="576"/>
      <c r="F1005" s="574"/>
      <c r="G1005" s="575"/>
      <c r="H1005" s="574"/>
      <c r="I1005" s="574"/>
      <c r="J1005" s="574"/>
      <c r="K1005" s="574"/>
      <c r="L1005" s="574"/>
      <c r="M1005" s="575"/>
      <c r="N1005" s="575"/>
      <c r="O1005" s="574"/>
      <c r="P1005" s="574"/>
      <c r="Q1005" s="575"/>
      <c r="R1005" s="575"/>
      <c r="S1005" s="142">
        <f t="shared" si="121"/>
        <v>0</v>
      </c>
      <c r="T1005" s="142">
        <f t="shared" si="122"/>
        <v>0</v>
      </c>
      <c r="U1005" s="142">
        <f t="shared" si="123"/>
        <v>0</v>
      </c>
      <c r="W1005" s="601">
        <f t="shared" si="118"/>
        <v>0</v>
      </c>
      <c r="X1005" s="601">
        <f t="shared" si="119"/>
        <v>0</v>
      </c>
      <c r="Y1005" s="123"/>
      <c r="Z1005" s="692">
        <f t="shared" si="120"/>
        <v>0</v>
      </c>
    </row>
    <row r="1006" spans="1:26" customFormat="1" ht="12.75" thickBot="1">
      <c r="A1006" s="57" t="s">
        <v>1269</v>
      </c>
      <c r="B1006" s="25" t="s">
        <v>376</v>
      </c>
      <c r="C1006" s="25" t="s">
        <v>980</v>
      </c>
      <c r="D1006" s="693" t="s">
        <v>498</v>
      </c>
      <c r="E1006" s="576"/>
      <c r="F1006" s="574"/>
      <c r="G1006" s="575"/>
      <c r="H1006" s="574"/>
      <c r="I1006" s="574"/>
      <c r="J1006" s="574"/>
      <c r="K1006" s="574"/>
      <c r="L1006" s="574"/>
      <c r="M1006" s="575"/>
      <c r="N1006" s="575"/>
      <c r="O1006" s="574"/>
      <c r="P1006" s="574"/>
      <c r="Q1006" s="575"/>
      <c r="R1006" s="575"/>
      <c r="S1006" s="142">
        <f t="shared" si="121"/>
        <v>0</v>
      </c>
      <c r="T1006" s="142">
        <f t="shared" si="122"/>
        <v>0</v>
      </c>
      <c r="U1006" s="142">
        <f t="shared" si="123"/>
        <v>0</v>
      </c>
      <c r="W1006" s="601">
        <f t="shared" si="118"/>
        <v>0</v>
      </c>
      <c r="X1006" s="601">
        <f t="shared" si="119"/>
        <v>0</v>
      </c>
      <c r="Y1006" s="123"/>
      <c r="Z1006" s="692">
        <f t="shared" si="120"/>
        <v>0</v>
      </c>
    </row>
    <row r="1007" spans="1:26" customFormat="1" ht="12.75" thickBot="1">
      <c r="A1007" s="57" t="s">
        <v>1269</v>
      </c>
      <c r="B1007" s="25" t="s">
        <v>349</v>
      </c>
      <c r="C1007" s="25" t="s">
        <v>981</v>
      </c>
      <c r="D1007" s="693" t="s">
        <v>606</v>
      </c>
      <c r="E1007" s="576"/>
      <c r="F1007" s="574"/>
      <c r="G1007" s="575"/>
      <c r="H1007" s="574"/>
      <c r="I1007" s="574"/>
      <c r="J1007" s="574"/>
      <c r="K1007" s="574"/>
      <c r="L1007" s="574"/>
      <c r="M1007" s="575"/>
      <c r="N1007" s="575"/>
      <c r="O1007" s="574"/>
      <c r="P1007" s="574"/>
      <c r="Q1007" s="575"/>
      <c r="R1007" s="575"/>
      <c r="S1007" s="142">
        <f t="shared" si="121"/>
        <v>0</v>
      </c>
      <c r="T1007" s="142">
        <f t="shared" si="122"/>
        <v>0</v>
      </c>
      <c r="U1007" s="142">
        <f t="shared" si="123"/>
        <v>0</v>
      </c>
      <c r="W1007" s="601">
        <f t="shared" si="118"/>
        <v>0</v>
      </c>
      <c r="X1007" s="601">
        <f t="shared" si="119"/>
        <v>0</v>
      </c>
      <c r="Y1007" s="123"/>
      <c r="Z1007" s="692">
        <f t="shared" si="120"/>
        <v>0</v>
      </c>
    </row>
    <row r="1008" spans="1:26" customFormat="1" ht="12.75" thickBot="1">
      <c r="A1008" s="57" t="s">
        <v>1269</v>
      </c>
      <c r="B1008" s="25" t="s">
        <v>730</v>
      </c>
      <c r="C1008" s="25" t="s">
        <v>982</v>
      </c>
      <c r="D1008" s="693" t="s">
        <v>606</v>
      </c>
      <c r="E1008" s="576"/>
      <c r="F1008" s="574"/>
      <c r="G1008" s="575"/>
      <c r="H1008" s="574"/>
      <c r="I1008" s="574"/>
      <c r="J1008" s="574"/>
      <c r="K1008" s="574"/>
      <c r="L1008" s="574"/>
      <c r="M1008" s="575"/>
      <c r="N1008" s="575"/>
      <c r="O1008" s="574"/>
      <c r="P1008" s="574"/>
      <c r="Q1008" s="574"/>
      <c r="R1008" s="575"/>
      <c r="S1008" s="142">
        <f t="shared" si="121"/>
        <v>0</v>
      </c>
      <c r="T1008" s="142">
        <f t="shared" si="122"/>
        <v>0</v>
      </c>
      <c r="U1008" s="142">
        <f t="shared" si="123"/>
        <v>0</v>
      </c>
      <c r="W1008" s="601">
        <f t="shared" si="118"/>
        <v>0</v>
      </c>
      <c r="X1008" s="601">
        <f t="shared" si="119"/>
        <v>0</v>
      </c>
      <c r="Y1008" s="123"/>
      <c r="Z1008" s="692">
        <f t="shared" si="120"/>
        <v>0</v>
      </c>
    </row>
    <row r="1009" spans="1:26" customFormat="1" ht="12.75" thickBot="1">
      <c r="A1009" s="57" t="s">
        <v>1269</v>
      </c>
      <c r="B1009" s="25" t="s">
        <v>378</v>
      </c>
      <c r="C1009" s="25" t="s">
        <v>983</v>
      </c>
      <c r="D1009" s="693" t="s">
        <v>606</v>
      </c>
      <c r="E1009" s="576"/>
      <c r="F1009" s="574"/>
      <c r="G1009" s="575"/>
      <c r="H1009" s="574"/>
      <c r="I1009" s="574"/>
      <c r="J1009" s="574"/>
      <c r="K1009" s="574"/>
      <c r="L1009" s="574"/>
      <c r="M1009" s="575"/>
      <c r="N1009" s="575"/>
      <c r="O1009" s="574"/>
      <c r="P1009" s="574"/>
      <c r="Q1009" s="574"/>
      <c r="R1009" s="575"/>
      <c r="S1009" s="142">
        <f t="shared" si="121"/>
        <v>0</v>
      </c>
      <c r="T1009" s="142">
        <f t="shared" si="122"/>
        <v>0</v>
      </c>
      <c r="U1009" s="142">
        <f t="shared" si="123"/>
        <v>0</v>
      </c>
      <c r="W1009" s="601">
        <f t="shared" si="118"/>
        <v>0</v>
      </c>
      <c r="X1009" s="601">
        <f t="shared" si="119"/>
        <v>0</v>
      </c>
      <c r="Y1009" s="123"/>
      <c r="Z1009" s="692">
        <f t="shared" si="120"/>
        <v>0</v>
      </c>
    </row>
    <row r="1010" spans="1:26" customFormat="1" ht="12.75" thickBot="1">
      <c r="A1010" s="57" t="s">
        <v>1269</v>
      </c>
      <c r="B1010" s="25" t="s">
        <v>354</v>
      </c>
      <c r="C1010" s="25" t="s">
        <v>984</v>
      </c>
      <c r="D1010" s="693" t="s">
        <v>606</v>
      </c>
      <c r="E1010" s="576"/>
      <c r="F1010" s="574"/>
      <c r="G1010" s="575"/>
      <c r="H1010" s="574"/>
      <c r="I1010" s="574"/>
      <c r="J1010" s="574"/>
      <c r="K1010" s="574"/>
      <c r="L1010" s="574"/>
      <c r="M1010" s="575"/>
      <c r="N1010" s="575"/>
      <c r="O1010" s="574"/>
      <c r="P1010" s="574"/>
      <c r="Q1010" s="575"/>
      <c r="R1010" s="575"/>
      <c r="S1010" s="142">
        <f t="shared" si="121"/>
        <v>0</v>
      </c>
      <c r="T1010" s="142">
        <f t="shared" si="122"/>
        <v>0</v>
      </c>
      <c r="U1010" s="142">
        <f t="shared" si="123"/>
        <v>0</v>
      </c>
      <c r="W1010" s="601">
        <f t="shared" si="118"/>
        <v>0</v>
      </c>
      <c r="X1010" s="601">
        <f t="shared" si="119"/>
        <v>0</v>
      </c>
      <c r="Y1010" s="123"/>
      <c r="Z1010" s="692">
        <f t="shared" si="120"/>
        <v>0</v>
      </c>
    </row>
    <row r="1011" spans="1:26" customFormat="1" ht="12.75" thickBot="1">
      <c r="A1011" s="57" t="s">
        <v>1269</v>
      </c>
      <c r="B1011" s="25" t="s">
        <v>355</v>
      </c>
      <c r="C1011" s="25" t="s">
        <v>985</v>
      </c>
      <c r="D1011" s="693" t="s">
        <v>606</v>
      </c>
      <c r="E1011" s="576"/>
      <c r="F1011" s="574"/>
      <c r="G1011" s="575"/>
      <c r="H1011" s="574"/>
      <c r="I1011" s="574"/>
      <c r="J1011" s="574"/>
      <c r="K1011" s="574"/>
      <c r="L1011" s="574"/>
      <c r="M1011" s="575"/>
      <c r="N1011" s="575"/>
      <c r="O1011" s="574"/>
      <c r="P1011" s="574"/>
      <c r="Q1011" s="575"/>
      <c r="R1011" s="575"/>
      <c r="S1011" s="142">
        <f t="shared" si="121"/>
        <v>0</v>
      </c>
      <c r="T1011" s="142">
        <f t="shared" si="122"/>
        <v>0</v>
      </c>
      <c r="U1011" s="142">
        <f t="shared" si="123"/>
        <v>0</v>
      </c>
      <c r="W1011" s="601">
        <f t="shared" si="118"/>
        <v>0</v>
      </c>
      <c r="X1011" s="601">
        <f t="shared" si="119"/>
        <v>0</v>
      </c>
      <c r="Y1011" s="123"/>
      <c r="Z1011" s="692">
        <f t="shared" si="120"/>
        <v>0</v>
      </c>
    </row>
    <row r="1012" spans="1:26" customFormat="1" ht="12.75" thickBot="1">
      <c r="A1012" s="57" t="s">
        <v>1269</v>
      </c>
      <c r="B1012" s="25" t="s">
        <v>356</v>
      </c>
      <c r="C1012" s="25" t="s">
        <v>986</v>
      </c>
      <c r="D1012" s="693" t="s">
        <v>606</v>
      </c>
      <c r="E1012" s="576"/>
      <c r="F1012" s="574"/>
      <c r="G1012" s="575"/>
      <c r="H1012" s="574"/>
      <c r="I1012" s="574"/>
      <c r="J1012" s="574"/>
      <c r="K1012" s="574"/>
      <c r="L1012" s="574"/>
      <c r="M1012" s="575"/>
      <c r="N1012" s="575"/>
      <c r="O1012" s="574"/>
      <c r="P1012" s="574"/>
      <c r="Q1012" s="575"/>
      <c r="R1012" s="575"/>
      <c r="S1012" s="142">
        <f t="shared" si="121"/>
        <v>0</v>
      </c>
      <c r="T1012" s="142">
        <f t="shared" si="122"/>
        <v>0</v>
      </c>
      <c r="U1012" s="142">
        <f t="shared" si="123"/>
        <v>0</v>
      </c>
      <c r="W1012" s="601">
        <f t="shared" si="118"/>
        <v>0</v>
      </c>
      <c r="X1012" s="601">
        <f t="shared" si="119"/>
        <v>0</v>
      </c>
      <c r="Y1012" s="123"/>
      <c r="Z1012" s="692">
        <f t="shared" si="120"/>
        <v>0</v>
      </c>
    </row>
    <row r="1013" spans="1:26" customFormat="1" ht="12.75" thickBot="1">
      <c r="A1013" s="57" t="s">
        <v>1269</v>
      </c>
      <c r="B1013" s="25" t="s">
        <v>357</v>
      </c>
      <c r="C1013" s="25" t="s">
        <v>987</v>
      </c>
      <c r="D1013" s="693" t="s">
        <v>606</v>
      </c>
      <c r="E1013" s="576"/>
      <c r="F1013" s="574"/>
      <c r="G1013" s="575"/>
      <c r="H1013" s="574"/>
      <c r="I1013" s="574"/>
      <c r="J1013" s="574"/>
      <c r="K1013" s="574"/>
      <c r="L1013" s="574"/>
      <c r="M1013" s="575"/>
      <c r="N1013" s="575"/>
      <c r="O1013" s="574"/>
      <c r="P1013" s="574"/>
      <c r="Q1013" s="575"/>
      <c r="R1013" s="575"/>
      <c r="S1013" s="142">
        <f t="shared" si="121"/>
        <v>0</v>
      </c>
      <c r="T1013" s="142">
        <f t="shared" si="122"/>
        <v>0</v>
      </c>
      <c r="U1013" s="142">
        <f t="shared" si="123"/>
        <v>0</v>
      </c>
      <c r="W1013" s="601">
        <f t="shared" si="118"/>
        <v>0</v>
      </c>
      <c r="X1013" s="601">
        <f t="shared" si="119"/>
        <v>0</v>
      </c>
      <c r="Y1013" s="123"/>
      <c r="Z1013" s="692">
        <f t="shared" si="120"/>
        <v>0</v>
      </c>
    </row>
    <row r="1014" spans="1:26" customFormat="1" ht="12.75" thickBot="1">
      <c r="A1014" s="57" t="s">
        <v>1269</v>
      </c>
      <c r="B1014" s="25" t="s">
        <v>358</v>
      </c>
      <c r="C1014" s="25" t="s">
        <v>988</v>
      </c>
      <c r="D1014" s="693" t="s">
        <v>606</v>
      </c>
      <c r="E1014" s="576"/>
      <c r="F1014" s="574"/>
      <c r="G1014" s="575"/>
      <c r="H1014" s="574"/>
      <c r="I1014" s="574"/>
      <c r="J1014" s="574"/>
      <c r="K1014" s="574"/>
      <c r="L1014" s="574"/>
      <c r="M1014" s="575"/>
      <c r="N1014" s="575"/>
      <c r="O1014" s="574"/>
      <c r="P1014" s="574"/>
      <c r="Q1014" s="575"/>
      <c r="R1014" s="575"/>
      <c r="S1014" s="142">
        <f t="shared" si="121"/>
        <v>0</v>
      </c>
      <c r="T1014" s="142">
        <f t="shared" si="122"/>
        <v>0</v>
      </c>
      <c r="U1014" s="142">
        <f t="shared" si="123"/>
        <v>0</v>
      </c>
      <c r="W1014" s="601">
        <f t="shared" si="118"/>
        <v>0</v>
      </c>
      <c r="X1014" s="601">
        <f t="shared" si="119"/>
        <v>0</v>
      </c>
      <c r="Y1014" s="123"/>
      <c r="Z1014" s="692">
        <f t="shared" si="120"/>
        <v>0</v>
      </c>
    </row>
    <row r="1015" spans="1:26" customFormat="1" ht="12.75" thickBot="1">
      <c r="A1015" s="57" t="s">
        <v>1269</v>
      </c>
      <c r="B1015" s="25" t="s">
        <v>359</v>
      </c>
      <c r="C1015" s="25" t="s">
        <v>989</v>
      </c>
      <c r="D1015" s="693" t="s">
        <v>606</v>
      </c>
      <c r="E1015" s="576"/>
      <c r="F1015" s="574"/>
      <c r="G1015" s="575"/>
      <c r="H1015" s="574"/>
      <c r="I1015" s="574"/>
      <c r="J1015" s="574"/>
      <c r="K1015" s="574"/>
      <c r="L1015" s="574"/>
      <c r="M1015" s="575"/>
      <c r="N1015" s="575"/>
      <c r="O1015" s="574"/>
      <c r="P1015" s="574"/>
      <c r="Q1015" s="575"/>
      <c r="R1015" s="575"/>
      <c r="S1015" s="142">
        <f t="shared" si="121"/>
        <v>0</v>
      </c>
      <c r="T1015" s="142">
        <f t="shared" si="122"/>
        <v>0</v>
      </c>
      <c r="U1015" s="142">
        <f t="shared" si="123"/>
        <v>0</v>
      </c>
      <c r="W1015" s="601">
        <f t="shared" si="118"/>
        <v>0</v>
      </c>
      <c r="X1015" s="601">
        <f t="shared" si="119"/>
        <v>0</v>
      </c>
      <c r="Y1015" s="123"/>
      <c r="Z1015" s="692">
        <f t="shared" si="120"/>
        <v>0</v>
      </c>
    </row>
    <row r="1016" spans="1:26" customFormat="1" ht="12.75" thickBot="1">
      <c r="A1016" s="57" t="s">
        <v>1269</v>
      </c>
      <c r="B1016" s="25" t="s">
        <v>360</v>
      </c>
      <c r="C1016" s="25" t="s">
        <v>990</v>
      </c>
      <c r="D1016" s="693" t="s">
        <v>498</v>
      </c>
      <c r="E1016" s="576"/>
      <c r="F1016" s="574"/>
      <c r="G1016" s="575"/>
      <c r="H1016" s="574"/>
      <c r="I1016" s="574"/>
      <c r="J1016" s="574"/>
      <c r="K1016" s="574"/>
      <c r="L1016" s="574"/>
      <c r="M1016" s="575"/>
      <c r="N1016" s="575"/>
      <c r="O1016" s="574"/>
      <c r="P1016" s="574"/>
      <c r="Q1016" s="575"/>
      <c r="R1016" s="575"/>
      <c r="S1016" s="142">
        <f t="shared" si="121"/>
        <v>0</v>
      </c>
      <c r="T1016" s="142">
        <f t="shared" si="122"/>
        <v>0</v>
      </c>
      <c r="U1016" s="142">
        <f t="shared" si="123"/>
        <v>0</v>
      </c>
      <c r="W1016" s="601">
        <f t="shared" si="118"/>
        <v>0</v>
      </c>
      <c r="X1016" s="601">
        <f t="shared" si="119"/>
        <v>0</v>
      </c>
      <c r="Y1016" s="123"/>
      <c r="Z1016" s="692">
        <f t="shared" si="120"/>
        <v>0</v>
      </c>
    </row>
    <row r="1017" spans="1:26" customFormat="1" ht="12.75" thickBot="1">
      <c r="A1017" s="57" t="s">
        <v>1269</v>
      </c>
      <c r="B1017" s="25" t="s">
        <v>365</v>
      </c>
      <c r="C1017" s="25" t="s">
        <v>991</v>
      </c>
      <c r="D1017" s="693" t="s">
        <v>606</v>
      </c>
      <c r="E1017" s="576"/>
      <c r="F1017" s="574"/>
      <c r="G1017" s="575"/>
      <c r="H1017" s="574"/>
      <c r="I1017" s="574"/>
      <c r="J1017" s="574"/>
      <c r="K1017" s="574"/>
      <c r="L1017" s="574"/>
      <c r="M1017" s="575"/>
      <c r="N1017" s="575"/>
      <c r="O1017" s="574"/>
      <c r="P1017" s="574"/>
      <c r="Q1017" s="575"/>
      <c r="R1017" s="575"/>
      <c r="S1017" s="142">
        <f t="shared" si="121"/>
        <v>0</v>
      </c>
      <c r="T1017" s="142">
        <f t="shared" si="122"/>
        <v>0</v>
      </c>
      <c r="U1017" s="142">
        <f t="shared" si="123"/>
        <v>0</v>
      </c>
      <c r="W1017" s="601">
        <f t="shared" si="118"/>
        <v>0</v>
      </c>
      <c r="X1017" s="601">
        <f t="shared" si="119"/>
        <v>0</v>
      </c>
      <c r="Y1017" s="123"/>
      <c r="Z1017" s="692">
        <f t="shared" si="120"/>
        <v>0</v>
      </c>
    </row>
    <row r="1018" spans="1:26" customFormat="1" ht="12.75" thickBot="1">
      <c r="A1018" s="57" t="s">
        <v>1269</v>
      </c>
      <c r="B1018" s="25" t="s">
        <v>366</v>
      </c>
      <c r="C1018" s="25" t="s">
        <v>992</v>
      </c>
      <c r="D1018" s="693" t="s">
        <v>498</v>
      </c>
      <c r="E1018" s="576"/>
      <c r="F1018" s="574"/>
      <c r="G1018" s="575"/>
      <c r="H1018" s="574"/>
      <c r="I1018" s="574"/>
      <c r="J1018" s="574"/>
      <c r="K1018" s="574"/>
      <c r="L1018" s="574"/>
      <c r="M1018" s="575"/>
      <c r="N1018" s="575"/>
      <c r="O1018" s="574"/>
      <c r="P1018" s="574"/>
      <c r="Q1018" s="575"/>
      <c r="R1018" s="575"/>
      <c r="S1018" s="142">
        <f t="shared" si="121"/>
        <v>0</v>
      </c>
      <c r="T1018" s="142">
        <f t="shared" si="122"/>
        <v>0</v>
      </c>
      <c r="U1018" s="142">
        <f t="shared" si="123"/>
        <v>0</v>
      </c>
      <c r="W1018" s="601">
        <f t="shared" si="118"/>
        <v>0</v>
      </c>
      <c r="X1018" s="601">
        <f t="shared" si="119"/>
        <v>0</v>
      </c>
      <c r="Y1018" s="123"/>
      <c r="Z1018" s="692">
        <f t="shared" si="120"/>
        <v>0</v>
      </c>
    </row>
    <row r="1019" spans="1:26" customFormat="1" ht="12.75" thickBot="1">
      <c r="A1019" s="57" t="s">
        <v>1269</v>
      </c>
      <c r="B1019" s="25" t="s">
        <v>367</v>
      </c>
      <c r="C1019" s="25" t="s">
        <v>993</v>
      </c>
      <c r="D1019" s="693" t="s">
        <v>606</v>
      </c>
      <c r="E1019" s="576"/>
      <c r="F1019" s="574"/>
      <c r="G1019" s="575"/>
      <c r="H1019" s="574"/>
      <c r="I1019" s="574"/>
      <c r="J1019" s="574"/>
      <c r="K1019" s="574"/>
      <c r="L1019" s="574"/>
      <c r="M1019" s="575"/>
      <c r="N1019" s="575"/>
      <c r="O1019" s="574"/>
      <c r="P1019" s="574"/>
      <c r="Q1019" s="575"/>
      <c r="R1019" s="575"/>
      <c r="S1019" s="142">
        <f t="shared" si="121"/>
        <v>0</v>
      </c>
      <c r="T1019" s="142">
        <f t="shared" si="122"/>
        <v>0</v>
      </c>
      <c r="U1019" s="142">
        <f t="shared" si="123"/>
        <v>0</v>
      </c>
      <c r="W1019" s="601">
        <f t="shared" si="118"/>
        <v>0</v>
      </c>
      <c r="X1019" s="601">
        <f t="shared" si="119"/>
        <v>0</v>
      </c>
      <c r="Y1019" s="123"/>
      <c r="Z1019" s="692">
        <f t="shared" si="120"/>
        <v>0</v>
      </c>
    </row>
    <row r="1020" spans="1:26" customFormat="1" ht="12.75" thickBot="1">
      <c r="A1020" s="57" t="s">
        <v>1269</v>
      </c>
      <c r="B1020" s="25" t="s">
        <v>368</v>
      </c>
      <c r="C1020" s="25" t="s">
        <v>994</v>
      </c>
      <c r="D1020" s="693" t="s">
        <v>498</v>
      </c>
      <c r="E1020" s="576"/>
      <c r="F1020" s="574"/>
      <c r="G1020" s="575"/>
      <c r="H1020" s="574"/>
      <c r="I1020" s="574"/>
      <c r="J1020" s="574"/>
      <c r="K1020" s="574"/>
      <c r="L1020" s="574"/>
      <c r="M1020" s="575"/>
      <c r="N1020" s="575"/>
      <c r="O1020" s="574"/>
      <c r="P1020" s="574"/>
      <c r="Q1020" s="575"/>
      <c r="R1020" s="575"/>
      <c r="S1020" s="142">
        <f t="shared" si="121"/>
        <v>0</v>
      </c>
      <c r="T1020" s="142">
        <f t="shared" si="122"/>
        <v>0</v>
      </c>
      <c r="U1020" s="142">
        <f t="shared" si="123"/>
        <v>0</v>
      </c>
      <c r="W1020" s="601">
        <f t="shared" ref="W1020:W1083" si="124">SUM(F1020:Q1020)</f>
        <v>0</v>
      </c>
      <c r="X1020" s="601">
        <f t="shared" ref="X1020:X1083" si="125">W1020-R1020</f>
        <v>0</v>
      </c>
      <c r="Y1020" s="123"/>
      <c r="Z1020" s="692">
        <f t="shared" si="120"/>
        <v>0</v>
      </c>
    </row>
    <row r="1021" spans="1:26" customFormat="1" ht="12.75" thickBot="1">
      <c r="A1021" s="57" t="s">
        <v>1269</v>
      </c>
      <c r="B1021" s="25" t="s">
        <v>369</v>
      </c>
      <c r="C1021" s="25" t="s">
        <v>995</v>
      </c>
      <c r="D1021" s="693" t="s">
        <v>498</v>
      </c>
      <c r="E1021" s="576"/>
      <c r="F1021" s="574"/>
      <c r="G1021" s="575"/>
      <c r="H1021" s="574"/>
      <c r="I1021" s="574"/>
      <c r="J1021" s="574"/>
      <c r="K1021" s="574"/>
      <c r="L1021" s="574"/>
      <c r="M1021" s="575"/>
      <c r="N1021" s="575"/>
      <c r="O1021" s="574"/>
      <c r="P1021" s="574"/>
      <c r="Q1021" s="575"/>
      <c r="R1021" s="575"/>
      <c r="S1021" s="142">
        <f t="shared" si="121"/>
        <v>0</v>
      </c>
      <c r="T1021" s="142">
        <f t="shared" si="122"/>
        <v>0</v>
      </c>
      <c r="U1021" s="142">
        <f t="shared" si="123"/>
        <v>0</v>
      </c>
      <c r="W1021" s="601">
        <f t="shared" si="124"/>
        <v>0</v>
      </c>
      <c r="X1021" s="601">
        <f t="shared" si="125"/>
        <v>0</v>
      </c>
      <c r="Y1021" s="123"/>
      <c r="Z1021" s="692">
        <f t="shared" si="120"/>
        <v>0</v>
      </c>
    </row>
    <row r="1022" spans="1:26" customFormat="1" ht="12.75" thickBot="1">
      <c r="A1022" s="57" t="s">
        <v>1269</v>
      </c>
      <c r="B1022" s="25" t="s">
        <v>370</v>
      </c>
      <c r="C1022" s="25" t="s">
        <v>996</v>
      </c>
      <c r="D1022" s="693" t="s">
        <v>606</v>
      </c>
      <c r="E1022" s="576"/>
      <c r="F1022" s="574"/>
      <c r="G1022" s="575"/>
      <c r="H1022" s="574"/>
      <c r="I1022" s="574"/>
      <c r="J1022" s="574"/>
      <c r="K1022" s="574"/>
      <c r="L1022" s="574"/>
      <c r="M1022" s="575"/>
      <c r="N1022" s="575"/>
      <c r="O1022" s="574"/>
      <c r="P1022" s="574"/>
      <c r="Q1022" s="575"/>
      <c r="R1022" s="575"/>
      <c r="S1022" s="142">
        <f t="shared" si="121"/>
        <v>0</v>
      </c>
      <c r="T1022" s="142">
        <f t="shared" si="122"/>
        <v>0</v>
      </c>
      <c r="U1022" s="142">
        <f t="shared" si="123"/>
        <v>0</v>
      </c>
      <c r="W1022" s="601">
        <f t="shared" si="124"/>
        <v>0</v>
      </c>
      <c r="X1022" s="601">
        <f t="shared" si="125"/>
        <v>0</v>
      </c>
      <c r="Y1022" s="123"/>
      <c r="Z1022" s="692">
        <f t="shared" si="120"/>
        <v>0</v>
      </c>
    </row>
    <row r="1023" spans="1:26" customFormat="1" ht="12.75" thickBot="1">
      <c r="A1023" s="57" t="s">
        <v>1269</v>
      </c>
      <c r="B1023" s="25" t="s">
        <v>371</v>
      </c>
      <c r="C1023" s="25" t="s">
        <v>997</v>
      </c>
      <c r="D1023" s="693" t="s">
        <v>498</v>
      </c>
      <c r="E1023" s="576"/>
      <c r="F1023" s="574"/>
      <c r="G1023" s="575"/>
      <c r="H1023" s="574"/>
      <c r="I1023" s="574"/>
      <c r="J1023" s="574"/>
      <c r="K1023" s="574"/>
      <c r="L1023" s="574"/>
      <c r="M1023" s="575"/>
      <c r="N1023" s="575"/>
      <c r="O1023" s="574"/>
      <c r="P1023" s="574"/>
      <c r="Q1023" s="575"/>
      <c r="R1023" s="575"/>
      <c r="S1023" s="142">
        <f t="shared" si="121"/>
        <v>0</v>
      </c>
      <c r="T1023" s="142">
        <f t="shared" si="122"/>
        <v>0</v>
      </c>
      <c r="U1023" s="142">
        <f t="shared" si="123"/>
        <v>0</v>
      </c>
      <c r="W1023" s="601">
        <f t="shared" si="124"/>
        <v>0</v>
      </c>
      <c r="X1023" s="601">
        <f t="shared" si="125"/>
        <v>0</v>
      </c>
      <c r="Y1023" s="123"/>
      <c r="Z1023" s="692">
        <f t="shared" si="120"/>
        <v>0</v>
      </c>
    </row>
    <row r="1024" spans="1:26" customFormat="1" ht="12.75" thickBot="1">
      <c r="A1024" s="57" t="s">
        <v>1269</v>
      </c>
      <c r="B1024" s="25" t="s">
        <v>659</v>
      </c>
      <c r="C1024" s="25" t="s">
        <v>998</v>
      </c>
      <c r="D1024" s="693" t="s">
        <v>606</v>
      </c>
      <c r="E1024" s="576"/>
      <c r="F1024" s="574"/>
      <c r="G1024" s="575"/>
      <c r="H1024" s="574"/>
      <c r="I1024" s="574"/>
      <c r="J1024" s="574"/>
      <c r="K1024" s="574"/>
      <c r="L1024" s="574"/>
      <c r="M1024" s="575"/>
      <c r="N1024" s="575"/>
      <c r="O1024" s="574"/>
      <c r="P1024" s="574"/>
      <c r="Q1024" s="575"/>
      <c r="R1024" s="575"/>
      <c r="S1024" s="142">
        <f t="shared" si="121"/>
        <v>0</v>
      </c>
      <c r="T1024" s="142">
        <f t="shared" si="122"/>
        <v>0</v>
      </c>
      <c r="U1024" s="142">
        <f t="shared" si="123"/>
        <v>0</v>
      </c>
      <c r="W1024" s="601">
        <f t="shared" si="124"/>
        <v>0</v>
      </c>
      <c r="X1024" s="601">
        <f t="shared" si="125"/>
        <v>0</v>
      </c>
      <c r="Y1024" s="123"/>
      <c r="Z1024" s="692">
        <f t="shared" si="120"/>
        <v>0</v>
      </c>
    </row>
    <row r="1025" spans="1:26" customFormat="1" ht="12.75" thickBot="1">
      <c r="A1025" s="57" t="s">
        <v>1269</v>
      </c>
      <c r="B1025" s="25" t="s">
        <v>399</v>
      </c>
      <c r="C1025" s="25" t="s">
        <v>999</v>
      </c>
      <c r="D1025" s="693" t="s">
        <v>606</v>
      </c>
      <c r="E1025" s="576"/>
      <c r="F1025" s="574"/>
      <c r="G1025" s="575"/>
      <c r="H1025" s="574"/>
      <c r="I1025" s="574"/>
      <c r="J1025" s="574"/>
      <c r="K1025" s="574"/>
      <c r="L1025" s="574"/>
      <c r="M1025" s="575"/>
      <c r="N1025" s="575"/>
      <c r="O1025" s="574"/>
      <c r="P1025" s="574"/>
      <c r="Q1025" s="575"/>
      <c r="R1025" s="575"/>
      <c r="S1025" s="142">
        <f t="shared" si="121"/>
        <v>0</v>
      </c>
      <c r="T1025" s="142">
        <f t="shared" si="122"/>
        <v>0</v>
      </c>
      <c r="U1025" s="142">
        <f t="shared" si="123"/>
        <v>0</v>
      </c>
      <c r="W1025" s="601">
        <f t="shared" si="124"/>
        <v>0</v>
      </c>
      <c r="X1025" s="601">
        <f t="shared" si="125"/>
        <v>0</v>
      </c>
      <c r="Y1025" s="123"/>
      <c r="Z1025" s="692">
        <f t="shared" si="120"/>
        <v>0</v>
      </c>
    </row>
    <row r="1026" spans="1:26" customFormat="1" ht="12.75" thickBot="1">
      <c r="A1026" s="57" t="s">
        <v>1269</v>
      </c>
      <c r="B1026" s="25" t="s">
        <v>372</v>
      </c>
      <c r="C1026" s="25" t="s">
        <v>1000</v>
      </c>
      <c r="D1026" s="693" t="s">
        <v>606</v>
      </c>
      <c r="E1026" s="576"/>
      <c r="F1026" s="574"/>
      <c r="G1026" s="575"/>
      <c r="H1026" s="574"/>
      <c r="I1026" s="574"/>
      <c r="J1026" s="574"/>
      <c r="K1026" s="574"/>
      <c r="L1026" s="574"/>
      <c r="M1026" s="575"/>
      <c r="N1026" s="575"/>
      <c r="O1026" s="574"/>
      <c r="P1026" s="574"/>
      <c r="Q1026" s="575"/>
      <c r="R1026" s="575"/>
      <c r="S1026" s="142">
        <f t="shared" si="121"/>
        <v>0</v>
      </c>
      <c r="T1026" s="142">
        <f t="shared" si="122"/>
        <v>0</v>
      </c>
      <c r="U1026" s="142">
        <f t="shared" si="123"/>
        <v>0</v>
      </c>
      <c r="W1026" s="601">
        <f t="shared" si="124"/>
        <v>0</v>
      </c>
      <c r="X1026" s="601">
        <f t="shared" si="125"/>
        <v>0</v>
      </c>
      <c r="Y1026" s="123"/>
      <c r="Z1026" s="692">
        <f t="shared" si="120"/>
        <v>0</v>
      </c>
    </row>
    <row r="1027" spans="1:26" customFormat="1" ht="12.75" thickBot="1">
      <c r="A1027" s="57" t="s">
        <v>1269</v>
      </c>
      <c r="B1027" s="25" t="s">
        <v>373</v>
      </c>
      <c r="C1027" s="25" t="s">
        <v>1001</v>
      </c>
      <c r="D1027" s="693" t="s">
        <v>606</v>
      </c>
      <c r="E1027" s="576"/>
      <c r="F1027" s="574"/>
      <c r="G1027" s="575"/>
      <c r="H1027" s="574"/>
      <c r="I1027" s="574"/>
      <c r="J1027" s="574"/>
      <c r="K1027" s="574"/>
      <c r="L1027" s="574"/>
      <c r="M1027" s="575"/>
      <c r="N1027" s="575"/>
      <c r="O1027" s="574"/>
      <c r="P1027" s="574"/>
      <c r="Q1027" s="575"/>
      <c r="R1027" s="575"/>
      <c r="S1027" s="142">
        <f t="shared" si="121"/>
        <v>0</v>
      </c>
      <c r="T1027" s="142">
        <f t="shared" si="122"/>
        <v>0</v>
      </c>
      <c r="U1027" s="142">
        <f t="shared" si="123"/>
        <v>0</v>
      </c>
      <c r="W1027" s="601">
        <f t="shared" si="124"/>
        <v>0</v>
      </c>
      <c r="X1027" s="601">
        <f t="shared" si="125"/>
        <v>0</v>
      </c>
      <c r="Y1027" s="123"/>
      <c r="Z1027" s="692">
        <f t="shared" si="120"/>
        <v>0</v>
      </c>
    </row>
    <row r="1028" spans="1:26" customFormat="1" ht="12.75" thickBot="1">
      <c r="A1028" s="57" t="s">
        <v>1269</v>
      </c>
      <c r="B1028" s="25" t="s">
        <v>374</v>
      </c>
      <c r="C1028" s="25" t="s">
        <v>1002</v>
      </c>
      <c r="D1028" s="693" t="s">
        <v>606</v>
      </c>
      <c r="E1028" s="576"/>
      <c r="F1028" s="574"/>
      <c r="G1028" s="575"/>
      <c r="H1028" s="574"/>
      <c r="I1028" s="574"/>
      <c r="J1028" s="574"/>
      <c r="K1028" s="574"/>
      <c r="L1028" s="574"/>
      <c r="M1028" s="575"/>
      <c r="N1028" s="575"/>
      <c r="O1028" s="574"/>
      <c r="P1028" s="574"/>
      <c r="Q1028" s="575"/>
      <c r="R1028" s="575"/>
      <c r="S1028" s="142">
        <f t="shared" si="121"/>
        <v>0</v>
      </c>
      <c r="T1028" s="142">
        <f t="shared" si="122"/>
        <v>0</v>
      </c>
      <c r="U1028" s="142">
        <f t="shared" si="123"/>
        <v>0</v>
      </c>
      <c r="W1028" s="601">
        <f t="shared" si="124"/>
        <v>0</v>
      </c>
      <c r="X1028" s="601">
        <f t="shared" si="125"/>
        <v>0</v>
      </c>
      <c r="Y1028" s="123"/>
      <c r="Z1028" s="692">
        <f t="shared" si="120"/>
        <v>0</v>
      </c>
    </row>
    <row r="1029" spans="1:26" customFormat="1" ht="12.75" thickBot="1">
      <c r="A1029" s="57" t="s">
        <v>1269</v>
      </c>
      <c r="B1029" s="25" t="s">
        <v>843</v>
      </c>
      <c r="C1029" s="25" t="s">
        <v>843</v>
      </c>
      <c r="D1029" s="693" t="s">
        <v>843</v>
      </c>
      <c r="E1029" s="576">
        <f>8555473-E939-E941</f>
        <v>8028025</v>
      </c>
      <c r="F1029" s="574"/>
      <c r="G1029" s="575">
        <f>1287730-G939-F941-G941</f>
        <v>1247654</v>
      </c>
      <c r="H1029" s="602">
        <v>233137</v>
      </c>
      <c r="I1029" s="574"/>
      <c r="J1029" s="574"/>
      <c r="K1029" s="574"/>
      <c r="L1029" s="574"/>
      <c r="M1029" s="575">
        <f>-43659-M939-M941</f>
        <v>-40969</v>
      </c>
      <c r="N1029" s="575">
        <f>29062-N939-N941</f>
        <v>27269</v>
      </c>
      <c r="O1029" s="574"/>
      <c r="P1029" s="574"/>
      <c r="Q1029" s="575"/>
      <c r="R1029" s="575">
        <f>SUM(F1029:N1029)</f>
        <v>1467091</v>
      </c>
      <c r="S1029" s="142">
        <f t="shared" si="121"/>
        <v>1480791</v>
      </c>
      <c r="T1029" s="142">
        <f t="shared" si="122"/>
        <v>0</v>
      </c>
      <c r="U1029" s="142">
        <f t="shared" si="123"/>
        <v>27269</v>
      </c>
      <c r="W1029" s="601">
        <f t="shared" si="124"/>
        <v>1467091</v>
      </c>
      <c r="X1029" s="601">
        <f t="shared" si="125"/>
        <v>0</v>
      </c>
      <c r="Y1029" s="123"/>
      <c r="Z1029" s="692">
        <f t="shared" si="120"/>
        <v>1480791</v>
      </c>
    </row>
    <row r="1030" spans="1:26" customFormat="1" ht="12.75" thickBot="1">
      <c r="A1030" s="57" t="s">
        <v>1269</v>
      </c>
      <c r="B1030" s="32" t="s">
        <v>7</v>
      </c>
      <c r="C1030" s="33"/>
      <c r="D1030" s="33"/>
      <c r="E1030" s="33"/>
      <c r="F1030" s="33"/>
      <c r="G1030" s="33"/>
      <c r="H1030" s="33"/>
      <c r="I1030" s="33"/>
      <c r="J1030" s="33"/>
      <c r="K1030" s="33"/>
      <c r="L1030" s="33"/>
      <c r="M1030" s="33"/>
      <c r="N1030" s="33"/>
      <c r="O1030" s="33"/>
      <c r="P1030" s="33"/>
      <c r="Q1030" s="33"/>
      <c r="R1030" s="33"/>
      <c r="S1030" s="142">
        <f t="shared" si="121"/>
        <v>0</v>
      </c>
      <c r="T1030" s="142">
        <f t="shared" si="122"/>
        <v>0</v>
      </c>
      <c r="U1030" s="142">
        <f t="shared" si="123"/>
        <v>0</v>
      </c>
      <c r="W1030" s="601">
        <f t="shared" si="124"/>
        <v>0</v>
      </c>
      <c r="X1030" s="601">
        <f t="shared" si="125"/>
        <v>0</v>
      </c>
      <c r="Y1030" s="123"/>
      <c r="Z1030" s="692">
        <f t="shared" si="120"/>
        <v>0</v>
      </c>
    </row>
    <row r="1031" spans="1:26" customFormat="1" ht="23.25" thickBot="1">
      <c r="A1031" s="61"/>
      <c r="B1031" s="62"/>
      <c r="C1031" s="45"/>
      <c r="D1031" s="16"/>
      <c r="E1031" s="16" t="s">
        <v>5</v>
      </c>
      <c r="F1031" s="16" t="s">
        <v>851</v>
      </c>
      <c r="G1031" s="16" t="s">
        <v>922</v>
      </c>
      <c r="H1031" s="16" t="s">
        <v>923</v>
      </c>
      <c r="I1031" s="16" t="s">
        <v>924</v>
      </c>
      <c r="J1031" s="16" t="s">
        <v>925</v>
      </c>
      <c r="K1031" s="16" t="s">
        <v>926</v>
      </c>
      <c r="L1031" s="16" t="s">
        <v>838</v>
      </c>
      <c r="M1031" s="16" t="s">
        <v>57</v>
      </c>
      <c r="N1031" s="16" t="s">
        <v>58</v>
      </c>
      <c r="O1031" s="16" t="s">
        <v>927</v>
      </c>
      <c r="P1031" s="16" t="s">
        <v>762</v>
      </c>
      <c r="Q1031" s="16" t="s">
        <v>839</v>
      </c>
      <c r="R1031" s="16" t="s">
        <v>840</v>
      </c>
      <c r="S1031" s="142" t="e">
        <f t="shared" si="121"/>
        <v>#VALUE!</v>
      </c>
      <c r="T1031" s="142" t="e">
        <f t="shared" si="122"/>
        <v>#VALUE!</v>
      </c>
      <c r="U1031" s="142" t="e">
        <f t="shared" si="123"/>
        <v>#VALUE!</v>
      </c>
      <c r="W1031" s="601">
        <f t="shared" si="124"/>
        <v>0</v>
      </c>
      <c r="X1031" s="601" t="e">
        <f t="shared" si="125"/>
        <v>#VALUE!</v>
      </c>
      <c r="Y1031" s="123"/>
      <c r="Z1031" s="692">
        <f t="shared" si="120"/>
        <v>0</v>
      </c>
    </row>
    <row r="1032" spans="1:26" customFormat="1" ht="12.75" thickBot="1">
      <c r="A1032" s="25" t="s">
        <v>0</v>
      </c>
      <c r="B1032" s="25" t="s">
        <v>4</v>
      </c>
      <c r="C1032" s="46"/>
      <c r="D1032" s="16"/>
      <c r="E1032" s="250" t="s">
        <v>5</v>
      </c>
      <c r="F1032" s="250" t="s">
        <v>6</v>
      </c>
      <c r="G1032" s="250" t="s">
        <v>6</v>
      </c>
      <c r="H1032" s="250" t="s">
        <v>6</v>
      </c>
      <c r="I1032" s="250" t="s">
        <v>6</v>
      </c>
      <c r="J1032" s="250" t="s">
        <v>6</v>
      </c>
      <c r="K1032" s="250" t="s">
        <v>6</v>
      </c>
      <c r="L1032" s="250" t="s">
        <v>6</v>
      </c>
      <c r="M1032" s="250" t="s">
        <v>6</v>
      </c>
      <c r="N1032" s="250" t="s">
        <v>6</v>
      </c>
      <c r="O1032" s="250" t="s">
        <v>6</v>
      </c>
      <c r="P1032" s="250" t="s">
        <v>6</v>
      </c>
      <c r="Q1032" s="250" t="s">
        <v>6</v>
      </c>
      <c r="R1032" s="250" t="s">
        <v>6</v>
      </c>
      <c r="S1032" s="142" t="e">
        <f t="shared" si="121"/>
        <v>#VALUE!</v>
      </c>
      <c r="T1032" s="142" t="e">
        <f t="shared" si="122"/>
        <v>#VALUE!</v>
      </c>
      <c r="U1032" s="142" t="e">
        <f t="shared" si="123"/>
        <v>#VALUE!</v>
      </c>
      <c r="W1032" s="601">
        <f t="shared" si="124"/>
        <v>0</v>
      </c>
      <c r="X1032" s="601" t="e">
        <f t="shared" si="125"/>
        <v>#VALUE!</v>
      </c>
      <c r="Y1032" s="123"/>
      <c r="Z1032" s="692">
        <f t="shared" si="120"/>
        <v>0</v>
      </c>
    </row>
    <row r="1033" spans="1:26" customFormat="1" ht="12.75" thickBot="1">
      <c r="A1033" s="57" t="s">
        <v>1270</v>
      </c>
      <c r="B1033" s="25" t="s">
        <v>928</v>
      </c>
      <c r="C1033" s="25" t="s">
        <v>929</v>
      </c>
      <c r="D1033" s="69" t="s">
        <v>881</v>
      </c>
      <c r="E1033" s="577"/>
      <c r="F1033" s="577"/>
      <c r="G1033" s="577"/>
      <c r="H1033" s="577"/>
      <c r="I1033" s="577"/>
      <c r="J1033" s="577"/>
      <c r="K1033" s="577"/>
      <c r="L1033" s="577"/>
      <c r="M1033" s="577"/>
      <c r="N1033" s="577"/>
      <c r="O1033" s="577"/>
      <c r="P1033" s="577"/>
      <c r="Q1033" s="577"/>
      <c r="R1033" s="578"/>
      <c r="S1033" s="142">
        <f t="shared" si="121"/>
        <v>0</v>
      </c>
      <c r="T1033" s="142">
        <f t="shared" si="122"/>
        <v>0</v>
      </c>
      <c r="U1033" s="142">
        <f t="shared" si="123"/>
        <v>0</v>
      </c>
      <c r="W1033" s="601">
        <f t="shared" si="124"/>
        <v>0</v>
      </c>
      <c r="X1033" s="601">
        <f t="shared" si="125"/>
        <v>0</v>
      </c>
      <c r="Y1033" s="123"/>
      <c r="Z1033" s="692">
        <f t="shared" si="120"/>
        <v>0</v>
      </c>
    </row>
    <row r="1034" spans="1:26" customFormat="1" ht="12.75" thickBot="1">
      <c r="A1034" s="57" t="s">
        <v>1270</v>
      </c>
      <c r="B1034" s="25" t="s">
        <v>848</v>
      </c>
      <c r="C1034" s="25" t="s">
        <v>849</v>
      </c>
      <c r="D1034" s="69" t="s">
        <v>881</v>
      </c>
      <c r="E1034" s="577"/>
      <c r="F1034" s="577"/>
      <c r="G1034" s="577"/>
      <c r="H1034" s="577"/>
      <c r="I1034" s="577"/>
      <c r="J1034" s="577"/>
      <c r="K1034" s="577"/>
      <c r="L1034" s="577"/>
      <c r="M1034" s="577"/>
      <c r="N1034" s="577"/>
      <c r="O1034" s="577"/>
      <c r="P1034" s="577"/>
      <c r="Q1034" s="577"/>
      <c r="R1034" s="578"/>
      <c r="S1034" s="142">
        <f t="shared" si="121"/>
        <v>0</v>
      </c>
      <c r="T1034" s="142">
        <f t="shared" si="122"/>
        <v>0</v>
      </c>
      <c r="U1034" s="142">
        <f t="shared" si="123"/>
        <v>0</v>
      </c>
      <c r="W1034" s="601">
        <f t="shared" si="124"/>
        <v>0</v>
      </c>
      <c r="X1034" s="601">
        <f t="shared" si="125"/>
        <v>0</v>
      </c>
      <c r="Y1034" s="123"/>
      <c r="Z1034" s="692">
        <f t="shared" si="120"/>
        <v>0</v>
      </c>
    </row>
    <row r="1035" spans="1:26" customFormat="1" ht="12.75" thickBot="1">
      <c r="A1035" s="57" t="s">
        <v>1270</v>
      </c>
      <c r="B1035" s="25" t="s">
        <v>930</v>
      </c>
      <c r="C1035" s="25" t="s">
        <v>931</v>
      </c>
      <c r="D1035" s="69" t="s">
        <v>881</v>
      </c>
      <c r="E1035" s="577"/>
      <c r="F1035" s="577"/>
      <c r="G1035" s="577"/>
      <c r="H1035" s="577"/>
      <c r="I1035" s="577"/>
      <c r="J1035" s="577"/>
      <c r="K1035" s="577"/>
      <c r="L1035" s="577"/>
      <c r="M1035" s="577"/>
      <c r="N1035" s="577"/>
      <c r="O1035" s="577"/>
      <c r="P1035" s="577"/>
      <c r="Q1035" s="577"/>
      <c r="R1035" s="578"/>
      <c r="S1035" s="142">
        <f t="shared" si="121"/>
        <v>0</v>
      </c>
      <c r="T1035" s="142">
        <f t="shared" si="122"/>
        <v>0</v>
      </c>
      <c r="U1035" s="142">
        <f t="shared" si="123"/>
        <v>0</v>
      </c>
      <c r="W1035" s="601">
        <f t="shared" si="124"/>
        <v>0</v>
      </c>
      <c r="X1035" s="601">
        <f t="shared" si="125"/>
        <v>0</v>
      </c>
      <c r="Y1035" s="123"/>
      <c r="Z1035" s="692">
        <f t="shared" si="120"/>
        <v>0</v>
      </c>
    </row>
    <row r="1036" spans="1:26" customFormat="1" ht="12.75" thickBot="1">
      <c r="A1036" s="57" t="s">
        <v>1270</v>
      </c>
      <c r="B1036" s="25" t="s">
        <v>1011</v>
      </c>
      <c r="C1036" s="25" t="s">
        <v>1119</v>
      </c>
      <c r="D1036" s="69" t="s">
        <v>881</v>
      </c>
      <c r="E1036" s="577"/>
      <c r="F1036" s="577"/>
      <c r="G1036" s="577"/>
      <c r="H1036" s="577"/>
      <c r="I1036" s="577"/>
      <c r="J1036" s="577"/>
      <c r="K1036" s="577"/>
      <c r="L1036" s="577"/>
      <c r="M1036" s="577"/>
      <c r="N1036" s="577"/>
      <c r="O1036" s="577"/>
      <c r="P1036" s="577"/>
      <c r="Q1036" s="577"/>
      <c r="R1036" s="578"/>
      <c r="S1036" s="142">
        <f t="shared" si="121"/>
        <v>0</v>
      </c>
      <c r="T1036" s="142">
        <f t="shared" si="122"/>
        <v>0</v>
      </c>
      <c r="U1036" s="142">
        <f t="shared" si="123"/>
        <v>0</v>
      </c>
      <c r="W1036" s="601">
        <f t="shared" si="124"/>
        <v>0</v>
      </c>
      <c r="X1036" s="601">
        <f t="shared" si="125"/>
        <v>0</v>
      </c>
      <c r="Y1036" s="123"/>
      <c r="Z1036" s="692">
        <f t="shared" si="120"/>
        <v>0</v>
      </c>
    </row>
    <row r="1037" spans="1:26" customFormat="1" ht="12.75" thickBot="1">
      <c r="A1037" s="57" t="s">
        <v>1270</v>
      </c>
      <c r="B1037" s="25" t="s">
        <v>852</v>
      </c>
      <c r="C1037" s="25" t="s">
        <v>853</v>
      </c>
      <c r="D1037" s="69" t="s">
        <v>1125</v>
      </c>
      <c r="E1037" s="577"/>
      <c r="F1037" s="577"/>
      <c r="G1037" s="577"/>
      <c r="H1037" s="577"/>
      <c r="I1037" s="577"/>
      <c r="J1037" s="577"/>
      <c r="K1037" s="577"/>
      <c r="L1037" s="577"/>
      <c r="M1037" s="577"/>
      <c r="N1037" s="577"/>
      <c r="O1037" s="577"/>
      <c r="P1037" s="577"/>
      <c r="Q1037" s="577"/>
      <c r="R1037" s="577"/>
      <c r="S1037" s="142">
        <f t="shared" si="121"/>
        <v>0</v>
      </c>
      <c r="T1037" s="142">
        <f t="shared" si="122"/>
        <v>0</v>
      </c>
      <c r="U1037" s="142">
        <f t="shared" si="123"/>
        <v>0</v>
      </c>
      <c r="W1037" s="601">
        <f t="shared" si="124"/>
        <v>0</v>
      </c>
      <c r="X1037" s="601">
        <f t="shared" si="125"/>
        <v>0</v>
      </c>
      <c r="Y1037" s="123"/>
      <c r="Z1037" s="692">
        <f t="shared" si="120"/>
        <v>0</v>
      </c>
    </row>
    <row r="1038" spans="1:26" customFormat="1" ht="12.75" thickBot="1">
      <c r="A1038" s="57" t="s">
        <v>1270</v>
      </c>
      <c r="B1038" s="25" t="s">
        <v>407</v>
      </c>
      <c r="C1038" s="25" t="s">
        <v>1120</v>
      </c>
      <c r="D1038" s="98" t="s">
        <v>892</v>
      </c>
      <c r="E1038" s="579"/>
      <c r="F1038" s="577"/>
      <c r="G1038" s="578"/>
      <c r="H1038" s="578"/>
      <c r="I1038" s="578"/>
      <c r="J1038" s="577"/>
      <c r="K1038" s="577"/>
      <c r="L1038" s="578"/>
      <c r="M1038" s="578"/>
      <c r="N1038" s="578"/>
      <c r="O1038" s="578"/>
      <c r="P1038" s="577"/>
      <c r="Q1038" s="577"/>
      <c r="R1038" s="578"/>
      <c r="S1038" s="142">
        <f t="shared" si="121"/>
        <v>0</v>
      </c>
      <c r="T1038" s="142">
        <f t="shared" si="122"/>
        <v>0</v>
      </c>
      <c r="U1038" s="142">
        <f t="shared" si="123"/>
        <v>0</v>
      </c>
      <c r="W1038" s="601">
        <f t="shared" si="124"/>
        <v>0</v>
      </c>
      <c r="X1038" s="601">
        <f t="shared" si="125"/>
        <v>0</v>
      </c>
      <c r="Y1038" s="123"/>
      <c r="Z1038" s="692">
        <f t="shared" si="120"/>
        <v>0</v>
      </c>
    </row>
    <row r="1039" spans="1:26" customFormat="1" ht="12.75" thickBot="1">
      <c r="A1039" s="57" t="s">
        <v>1270</v>
      </c>
      <c r="B1039" s="25" t="s">
        <v>409</v>
      </c>
      <c r="C1039" s="25" t="s">
        <v>140</v>
      </c>
      <c r="D1039" s="98" t="s">
        <v>892</v>
      </c>
      <c r="E1039" s="579">
        <v>30560254</v>
      </c>
      <c r="F1039" s="578">
        <v>561178</v>
      </c>
      <c r="G1039" s="578">
        <v>1907571</v>
      </c>
      <c r="H1039" s="578">
        <v>832767</v>
      </c>
      <c r="I1039" s="578">
        <v>51036</v>
      </c>
      <c r="J1039" s="577"/>
      <c r="K1039" s="577"/>
      <c r="L1039" s="578">
        <v>71038</v>
      </c>
      <c r="M1039" s="578">
        <v>-33599</v>
      </c>
      <c r="N1039" s="578"/>
      <c r="O1039" s="578">
        <v>148367</v>
      </c>
      <c r="P1039" s="577"/>
      <c r="Q1039" s="578"/>
      <c r="R1039" s="578">
        <v>3538359</v>
      </c>
      <c r="S1039" s="142">
        <f t="shared" si="121"/>
        <v>2791374</v>
      </c>
      <c r="T1039" s="142">
        <f t="shared" si="122"/>
        <v>0</v>
      </c>
      <c r="U1039" s="142">
        <f t="shared" si="123"/>
        <v>148367</v>
      </c>
      <c r="W1039" s="601">
        <f t="shared" si="124"/>
        <v>3538358</v>
      </c>
      <c r="X1039" s="601">
        <f t="shared" si="125"/>
        <v>-1</v>
      </c>
      <c r="Y1039" s="123"/>
      <c r="Z1039" s="692">
        <f t="shared" si="120"/>
        <v>3352552</v>
      </c>
    </row>
    <row r="1040" spans="1:26" customFormat="1" ht="12.75" thickBot="1">
      <c r="A1040" s="57" t="s">
        <v>1270</v>
      </c>
      <c r="B1040" s="25" t="s">
        <v>410</v>
      </c>
      <c r="C1040" s="25" t="s">
        <v>1121</v>
      </c>
      <c r="D1040" s="98" t="s">
        <v>892</v>
      </c>
      <c r="E1040" s="579"/>
      <c r="F1040" s="578"/>
      <c r="G1040" s="578"/>
      <c r="H1040" s="578"/>
      <c r="I1040" s="578"/>
      <c r="J1040" s="577"/>
      <c r="K1040" s="577"/>
      <c r="L1040" s="578"/>
      <c r="M1040" s="578"/>
      <c r="N1040" s="578"/>
      <c r="O1040" s="578"/>
      <c r="P1040" s="577"/>
      <c r="Q1040" s="577"/>
      <c r="R1040" s="578"/>
      <c r="S1040" s="142">
        <f t="shared" si="121"/>
        <v>0</v>
      </c>
      <c r="T1040" s="142">
        <f t="shared" si="122"/>
        <v>0</v>
      </c>
      <c r="U1040" s="142">
        <f t="shared" si="123"/>
        <v>0</v>
      </c>
      <c r="W1040" s="601">
        <f t="shared" si="124"/>
        <v>0</v>
      </c>
      <c r="X1040" s="601">
        <f t="shared" si="125"/>
        <v>0</v>
      </c>
      <c r="Y1040" s="123"/>
      <c r="Z1040" s="692">
        <f t="shared" si="120"/>
        <v>0</v>
      </c>
    </row>
    <row r="1041" spans="1:26" customFormat="1" ht="12.75" thickBot="1">
      <c r="A1041" s="57" t="s">
        <v>1270</v>
      </c>
      <c r="B1041" s="25" t="s">
        <v>411</v>
      </c>
      <c r="C1041" s="25" t="s">
        <v>1122</v>
      </c>
      <c r="D1041" s="98" t="s">
        <v>892</v>
      </c>
      <c r="E1041" s="579"/>
      <c r="F1041" s="577"/>
      <c r="G1041" s="578"/>
      <c r="H1041" s="578"/>
      <c r="I1041" s="578"/>
      <c r="J1041" s="577"/>
      <c r="K1041" s="577"/>
      <c r="L1041" s="578"/>
      <c r="M1041" s="578"/>
      <c r="N1041" s="578"/>
      <c r="O1041" s="578"/>
      <c r="P1041" s="577"/>
      <c r="Q1041" s="577"/>
      <c r="R1041" s="578"/>
      <c r="S1041" s="142">
        <f t="shared" si="121"/>
        <v>0</v>
      </c>
      <c r="T1041" s="142">
        <f t="shared" si="122"/>
        <v>0</v>
      </c>
      <c r="U1041" s="142">
        <f t="shared" si="123"/>
        <v>0</v>
      </c>
      <c r="W1041" s="601">
        <f t="shared" si="124"/>
        <v>0</v>
      </c>
      <c r="X1041" s="601">
        <f t="shared" si="125"/>
        <v>0</v>
      </c>
      <c r="Y1041" s="123"/>
      <c r="Z1041" s="692">
        <f t="shared" si="120"/>
        <v>0</v>
      </c>
    </row>
    <row r="1042" spans="1:26" customFormat="1" ht="12.75" thickBot="1">
      <c r="A1042" s="57" t="s">
        <v>1270</v>
      </c>
      <c r="B1042" s="25" t="s">
        <v>413</v>
      </c>
      <c r="C1042" s="25" t="s">
        <v>454</v>
      </c>
      <c r="D1042" s="98" t="s">
        <v>892</v>
      </c>
      <c r="E1042" s="579"/>
      <c r="F1042" s="578"/>
      <c r="G1042" s="578"/>
      <c r="H1042" s="578"/>
      <c r="I1042" s="578"/>
      <c r="J1042" s="577"/>
      <c r="K1042" s="577"/>
      <c r="L1042" s="578"/>
      <c r="M1042" s="578"/>
      <c r="N1042" s="578"/>
      <c r="O1042" s="578"/>
      <c r="P1042" s="577"/>
      <c r="Q1042" s="577"/>
      <c r="R1042" s="578"/>
      <c r="S1042" s="142">
        <f t="shared" si="121"/>
        <v>0</v>
      </c>
      <c r="T1042" s="142">
        <f t="shared" si="122"/>
        <v>0</v>
      </c>
      <c r="U1042" s="142">
        <f t="shared" si="123"/>
        <v>0</v>
      </c>
      <c r="W1042" s="601">
        <f t="shared" si="124"/>
        <v>0</v>
      </c>
      <c r="X1042" s="601">
        <f t="shared" si="125"/>
        <v>0</v>
      </c>
      <c r="Y1042" s="123"/>
      <c r="Z1042" s="692">
        <f t="shared" ref="Z1042:Z1103" si="126">SUM(F1042:K1042)</f>
        <v>0</v>
      </c>
    </row>
    <row r="1043" spans="1:26" customFormat="1" ht="12.75" thickBot="1">
      <c r="A1043" s="57" t="s">
        <v>1270</v>
      </c>
      <c r="B1043" s="25" t="s">
        <v>414</v>
      </c>
      <c r="C1043" s="25" t="s">
        <v>445</v>
      </c>
      <c r="D1043" s="25" t="s">
        <v>20</v>
      </c>
      <c r="E1043" s="579">
        <v>142980406</v>
      </c>
      <c r="F1043" s="578">
        <v>231570</v>
      </c>
      <c r="G1043" s="578">
        <v>1908788</v>
      </c>
      <c r="H1043" s="578">
        <v>3896216</v>
      </c>
      <c r="I1043" s="577"/>
      <c r="J1043" s="578">
        <v>170419</v>
      </c>
      <c r="K1043" s="578">
        <v>4803684</v>
      </c>
      <c r="L1043" s="578">
        <v>332363</v>
      </c>
      <c r="M1043" s="578">
        <v>-157196</v>
      </c>
      <c r="N1043" s="578"/>
      <c r="O1043" s="578">
        <v>694156</v>
      </c>
      <c r="P1043" s="577"/>
      <c r="Q1043" s="578"/>
      <c r="R1043" s="578">
        <v>11880001</v>
      </c>
      <c r="S1043" s="142">
        <f t="shared" si="121"/>
        <v>5805004</v>
      </c>
      <c r="T1043" s="142">
        <f t="shared" si="122"/>
        <v>4974103</v>
      </c>
      <c r="U1043" s="142">
        <f t="shared" si="123"/>
        <v>694156</v>
      </c>
      <c r="W1043" s="601">
        <f t="shared" si="124"/>
        <v>11880000</v>
      </c>
      <c r="X1043" s="601">
        <f t="shared" si="125"/>
        <v>-1</v>
      </c>
      <c r="Y1043" s="123"/>
      <c r="Z1043" s="692">
        <f t="shared" si="126"/>
        <v>11010677</v>
      </c>
    </row>
    <row r="1044" spans="1:26" ht="12.75" thickBot="1">
      <c r="A1044" s="146" t="s">
        <v>1270</v>
      </c>
      <c r="B1044" s="147" t="s">
        <v>415</v>
      </c>
      <c r="C1044" s="147" t="s">
        <v>443</v>
      </c>
      <c r="D1044" s="153" t="s">
        <v>21</v>
      </c>
      <c r="E1044" s="597">
        <v>12570706</v>
      </c>
      <c r="F1044" s="598">
        <v>8840</v>
      </c>
      <c r="G1044" s="598">
        <v>150974</v>
      </c>
      <c r="H1044" s="598">
        <v>342552</v>
      </c>
      <c r="I1044" s="599"/>
      <c r="J1044" s="598">
        <v>14643</v>
      </c>
      <c r="K1044" s="598">
        <v>341064</v>
      </c>
      <c r="L1044" s="598">
        <v>29221</v>
      </c>
      <c r="M1044" s="598">
        <v>-13820</v>
      </c>
      <c r="N1044" s="598"/>
      <c r="O1044" s="598">
        <v>61030</v>
      </c>
      <c r="P1044" s="599"/>
      <c r="Q1044" s="599"/>
      <c r="R1044" s="598">
        <v>934504</v>
      </c>
      <c r="S1044" s="590">
        <f t="shared" si="121"/>
        <v>493526</v>
      </c>
      <c r="T1044" s="590">
        <f t="shared" si="122"/>
        <v>355707</v>
      </c>
      <c r="U1044" s="590">
        <f t="shared" si="123"/>
        <v>61030</v>
      </c>
      <c r="W1044" s="368">
        <f t="shared" si="124"/>
        <v>934504</v>
      </c>
      <c r="X1044" s="368">
        <f t="shared" si="125"/>
        <v>0</v>
      </c>
      <c r="Y1044" s="592"/>
      <c r="Z1044" s="692">
        <f t="shared" si="126"/>
        <v>858073</v>
      </c>
    </row>
    <row r="1045" spans="1:26" customFormat="1" ht="12.75" thickBot="1">
      <c r="A1045" s="57" t="s">
        <v>1270</v>
      </c>
      <c r="B1045" s="25" t="s">
        <v>416</v>
      </c>
      <c r="C1045" s="25" t="s">
        <v>446</v>
      </c>
      <c r="D1045" s="69" t="s">
        <v>20</v>
      </c>
      <c r="E1045" s="579"/>
      <c r="F1045" s="578"/>
      <c r="G1045" s="578"/>
      <c r="H1045" s="578"/>
      <c r="I1045" s="577"/>
      <c r="J1045" s="578"/>
      <c r="K1045" s="578"/>
      <c r="L1045" s="578"/>
      <c r="M1045" s="578"/>
      <c r="N1045" s="578"/>
      <c r="O1045" s="578"/>
      <c r="P1045" s="577"/>
      <c r="Q1045" s="577"/>
      <c r="R1045" s="578"/>
      <c r="S1045" s="142">
        <f t="shared" si="121"/>
        <v>0</v>
      </c>
      <c r="T1045" s="142">
        <f t="shared" si="122"/>
        <v>0</v>
      </c>
      <c r="U1045" s="142">
        <f t="shared" si="123"/>
        <v>0</v>
      </c>
      <c r="W1045" s="601">
        <f t="shared" si="124"/>
        <v>0</v>
      </c>
      <c r="X1045" s="601">
        <f t="shared" si="125"/>
        <v>0</v>
      </c>
      <c r="Y1045" s="123"/>
      <c r="Z1045" s="692">
        <f t="shared" si="126"/>
        <v>0</v>
      </c>
    </row>
    <row r="1046" spans="1:26" customFormat="1" ht="12.75" thickBot="1">
      <c r="A1046" s="57" t="s">
        <v>1270</v>
      </c>
      <c r="B1046" s="25" t="s">
        <v>417</v>
      </c>
      <c r="C1046" s="25" t="s">
        <v>932</v>
      </c>
      <c r="D1046" s="69" t="s">
        <v>920</v>
      </c>
      <c r="E1046" s="579">
        <v>60450509</v>
      </c>
      <c r="F1046" s="578">
        <v>41400</v>
      </c>
      <c r="G1046" s="578">
        <v>764699</v>
      </c>
      <c r="H1046" s="578">
        <v>1647276</v>
      </c>
      <c r="I1046" s="577"/>
      <c r="J1046" s="578">
        <v>62130</v>
      </c>
      <c r="K1046" s="578">
        <v>1824145</v>
      </c>
      <c r="L1046" s="578">
        <v>140519</v>
      </c>
      <c r="M1046" s="578">
        <v>-66461</v>
      </c>
      <c r="N1046" s="578"/>
      <c r="O1046" s="578">
        <v>293482</v>
      </c>
      <c r="P1046" s="577"/>
      <c r="Q1046" s="577"/>
      <c r="R1046" s="578">
        <v>4707190</v>
      </c>
      <c r="S1046" s="142">
        <f t="shared" si="121"/>
        <v>2411975</v>
      </c>
      <c r="T1046" s="142">
        <f t="shared" si="122"/>
        <v>1886275</v>
      </c>
      <c r="U1046" s="142">
        <f t="shared" si="123"/>
        <v>293482</v>
      </c>
      <c r="W1046" s="601">
        <f t="shared" si="124"/>
        <v>4707190</v>
      </c>
      <c r="X1046" s="601">
        <f t="shared" si="125"/>
        <v>0</v>
      </c>
      <c r="Y1046" s="123"/>
      <c r="Z1046" s="692">
        <f t="shared" si="126"/>
        <v>4339650</v>
      </c>
    </row>
    <row r="1047" spans="1:26" customFormat="1" ht="12.75" thickBot="1">
      <c r="A1047" s="57" t="s">
        <v>1270</v>
      </c>
      <c r="B1047" s="25" t="s">
        <v>418</v>
      </c>
      <c r="C1047" s="25" t="s">
        <v>447</v>
      </c>
      <c r="D1047" s="69" t="s">
        <v>448</v>
      </c>
      <c r="E1047" s="579">
        <v>31311359</v>
      </c>
      <c r="F1047" s="575">
        <v>10500</v>
      </c>
      <c r="G1047" s="578">
        <v>339728</v>
      </c>
      <c r="H1047" s="578">
        <v>853235</v>
      </c>
      <c r="I1047" s="577"/>
      <c r="J1047" s="578">
        <v>30542</v>
      </c>
      <c r="K1047" s="578">
        <v>980043</v>
      </c>
      <c r="L1047" s="578">
        <v>72784</v>
      </c>
      <c r="M1047" s="578">
        <v>-34424</v>
      </c>
      <c r="N1047" s="578"/>
      <c r="O1047" s="578">
        <v>152014</v>
      </c>
      <c r="P1047" s="577"/>
      <c r="Q1047" s="577"/>
      <c r="R1047" s="578">
        <v>2404422</v>
      </c>
      <c r="S1047" s="142">
        <f t="shared" si="121"/>
        <v>1192963</v>
      </c>
      <c r="T1047" s="142">
        <f t="shared" si="122"/>
        <v>1010585</v>
      </c>
      <c r="U1047" s="142">
        <f t="shared" si="123"/>
        <v>152014</v>
      </c>
      <c r="W1047" s="601">
        <f t="shared" si="124"/>
        <v>2404422</v>
      </c>
      <c r="X1047" s="601">
        <f t="shared" si="125"/>
        <v>0</v>
      </c>
      <c r="Y1047" s="123"/>
      <c r="Z1047" s="692">
        <f t="shared" si="126"/>
        <v>2214048</v>
      </c>
    </row>
    <row r="1048" spans="1:26" customFormat="1" ht="12.75" thickBot="1">
      <c r="A1048" s="57" t="s">
        <v>1270</v>
      </c>
      <c r="B1048" s="25" t="s">
        <v>420</v>
      </c>
      <c r="C1048" s="25" t="s">
        <v>59</v>
      </c>
      <c r="D1048" s="69" t="s">
        <v>14</v>
      </c>
      <c r="E1048" s="579">
        <v>77924991</v>
      </c>
      <c r="F1048" s="578">
        <v>570223</v>
      </c>
      <c r="G1048" s="578">
        <v>4864078</v>
      </c>
      <c r="H1048" s="578">
        <v>2123456</v>
      </c>
      <c r="I1048" s="578">
        <v>130135</v>
      </c>
      <c r="J1048" s="577"/>
      <c r="K1048" s="577"/>
      <c r="L1048" s="578">
        <v>181140</v>
      </c>
      <c r="M1048" s="578">
        <v>-85672</v>
      </c>
      <c r="N1048" s="578"/>
      <c r="O1048" s="578">
        <v>378319</v>
      </c>
      <c r="P1048" s="577"/>
      <c r="Q1048" s="578"/>
      <c r="R1048" s="578">
        <v>8161677</v>
      </c>
      <c r="S1048" s="142">
        <f t="shared" si="121"/>
        <v>7117669</v>
      </c>
      <c r="T1048" s="142">
        <f t="shared" si="122"/>
        <v>0</v>
      </c>
      <c r="U1048" s="142">
        <f t="shared" si="123"/>
        <v>378319</v>
      </c>
      <c r="W1048" s="601">
        <f t="shared" si="124"/>
        <v>8161679</v>
      </c>
      <c r="X1048" s="601">
        <f t="shared" si="125"/>
        <v>2</v>
      </c>
      <c r="Y1048" s="123"/>
      <c r="Z1048" s="692">
        <f t="shared" si="126"/>
        <v>7687892</v>
      </c>
    </row>
    <row r="1049" spans="1:26" customFormat="1" ht="12.75" thickBot="1">
      <c r="A1049" s="57" t="s">
        <v>1270</v>
      </c>
      <c r="B1049" s="25" t="s">
        <v>421</v>
      </c>
      <c r="C1049" s="25" t="s">
        <v>1123</v>
      </c>
      <c r="D1049" s="69" t="s">
        <v>14</v>
      </c>
      <c r="E1049" s="579"/>
      <c r="F1049" s="577"/>
      <c r="G1049" s="578"/>
      <c r="H1049" s="578"/>
      <c r="I1049" s="578"/>
      <c r="J1049" s="577"/>
      <c r="K1049" s="577"/>
      <c r="L1049" s="578"/>
      <c r="M1049" s="578"/>
      <c r="N1049" s="578"/>
      <c r="O1049" s="578"/>
      <c r="P1049" s="577"/>
      <c r="Q1049" s="577"/>
      <c r="R1049" s="578"/>
      <c r="S1049" s="142">
        <f t="shared" si="121"/>
        <v>0</v>
      </c>
      <c r="T1049" s="142">
        <f t="shared" si="122"/>
        <v>0</v>
      </c>
      <c r="U1049" s="142">
        <f t="shared" si="123"/>
        <v>0</v>
      </c>
      <c r="W1049" s="601">
        <f t="shared" si="124"/>
        <v>0</v>
      </c>
      <c r="X1049" s="601">
        <f t="shared" si="125"/>
        <v>0</v>
      </c>
      <c r="Y1049" s="123"/>
      <c r="Z1049" s="692">
        <f t="shared" si="126"/>
        <v>0</v>
      </c>
    </row>
    <row r="1050" spans="1:26" customFormat="1" ht="12.75" thickBot="1">
      <c r="A1050" s="57" t="s">
        <v>1270</v>
      </c>
      <c r="B1050" s="25" t="s">
        <v>423</v>
      </c>
      <c r="C1050" s="25" t="s">
        <v>452</v>
      </c>
      <c r="D1050" s="69" t="s">
        <v>14</v>
      </c>
      <c r="E1050" s="579"/>
      <c r="F1050" s="578"/>
      <c r="G1050" s="578"/>
      <c r="H1050" s="578"/>
      <c r="I1050" s="578"/>
      <c r="J1050" s="577"/>
      <c r="K1050" s="577"/>
      <c r="L1050" s="578"/>
      <c r="M1050" s="578"/>
      <c r="N1050" s="578"/>
      <c r="O1050" s="578"/>
      <c r="P1050" s="577"/>
      <c r="Q1050" s="577"/>
      <c r="R1050" s="578"/>
      <c r="S1050" s="142">
        <f t="shared" ref="S1050:S1111" si="127">G1050+H1050+I1050</f>
        <v>0</v>
      </c>
      <c r="T1050" s="142">
        <f t="shared" ref="T1050:T1111" si="128">J1050+K1050</f>
        <v>0</v>
      </c>
      <c r="U1050" s="142">
        <f t="shared" ref="U1050:U1111" si="129">N1050+O1050</f>
        <v>0</v>
      </c>
      <c r="W1050" s="601">
        <f t="shared" si="124"/>
        <v>0</v>
      </c>
      <c r="X1050" s="601">
        <f t="shared" si="125"/>
        <v>0</v>
      </c>
      <c r="Y1050" s="123"/>
      <c r="Z1050" s="692">
        <f t="shared" si="126"/>
        <v>0</v>
      </c>
    </row>
    <row r="1051" spans="1:26" customFormat="1" ht="12.75" thickBot="1">
      <c r="A1051" s="57" t="s">
        <v>1270</v>
      </c>
      <c r="B1051" s="25" t="s">
        <v>424</v>
      </c>
      <c r="C1051" s="25" t="s">
        <v>463</v>
      </c>
      <c r="D1051" s="25" t="s">
        <v>464</v>
      </c>
      <c r="E1051" s="579">
        <v>4450800</v>
      </c>
      <c r="F1051" s="577"/>
      <c r="G1051" s="578">
        <v>43484</v>
      </c>
      <c r="H1051" s="578">
        <v>121284</v>
      </c>
      <c r="I1051" s="577"/>
      <c r="J1051" s="578">
        <v>3496</v>
      </c>
      <c r="K1051" s="578">
        <v>94311</v>
      </c>
      <c r="L1051" s="575"/>
      <c r="M1051" s="578">
        <v>-4893</v>
      </c>
      <c r="N1051" s="578"/>
      <c r="O1051" s="578">
        <v>21608</v>
      </c>
      <c r="P1051" s="577"/>
      <c r="Q1051" s="577"/>
      <c r="R1051" s="578">
        <v>279291</v>
      </c>
      <c r="S1051" s="142">
        <f t="shared" si="127"/>
        <v>164768</v>
      </c>
      <c r="T1051" s="142">
        <f t="shared" si="128"/>
        <v>97807</v>
      </c>
      <c r="U1051" s="142">
        <f t="shared" si="129"/>
        <v>21608</v>
      </c>
      <c r="W1051" s="601">
        <f t="shared" si="124"/>
        <v>279290</v>
      </c>
      <c r="X1051" s="601">
        <f t="shared" si="125"/>
        <v>-1</v>
      </c>
      <c r="Y1051" s="123"/>
      <c r="Z1051" s="692">
        <f t="shared" si="126"/>
        <v>262575</v>
      </c>
    </row>
    <row r="1052" spans="1:26" customFormat="1" ht="12.75" thickBot="1">
      <c r="A1052" s="57" t="s">
        <v>1270</v>
      </c>
      <c r="B1052" s="25" t="s">
        <v>1204</v>
      </c>
      <c r="C1052" s="25" t="s">
        <v>1206</v>
      </c>
      <c r="D1052" s="69" t="s">
        <v>63</v>
      </c>
      <c r="E1052" s="577"/>
      <c r="F1052" s="577"/>
      <c r="G1052" s="577"/>
      <c r="H1052" s="577"/>
      <c r="I1052" s="577"/>
      <c r="J1052" s="577"/>
      <c r="K1052" s="577"/>
      <c r="L1052" s="577"/>
      <c r="M1052" s="577"/>
      <c r="N1052" s="577"/>
      <c r="O1052" s="577"/>
      <c r="P1052" s="578">
        <v>-221406</v>
      </c>
      <c r="Q1052" s="577"/>
      <c r="R1052" s="578">
        <v>-221406</v>
      </c>
      <c r="S1052" s="142">
        <f t="shared" si="127"/>
        <v>0</v>
      </c>
      <c r="T1052" s="142">
        <f t="shared" si="128"/>
        <v>0</v>
      </c>
      <c r="U1052" s="142">
        <f t="shared" si="129"/>
        <v>0</v>
      </c>
      <c r="W1052" s="601">
        <f t="shared" si="124"/>
        <v>-221406</v>
      </c>
      <c r="X1052" s="601">
        <f t="shared" si="125"/>
        <v>0</v>
      </c>
      <c r="Y1052" s="123"/>
      <c r="Z1052" s="692">
        <f t="shared" si="126"/>
        <v>0</v>
      </c>
    </row>
    <row r="1053" spans="1:26" customFormat="1" ht="12.75" thickBot="1">
      <c r="A1053" s="57" t="s">
        <v>1270</v>
      </c>
      <c r="B1053" s="25" t="s">
        <v>1204</v>
      </c>
      <c r="C1053" s="25" t="s">
        <v>1206</v>
      </c>
      <c r="D1053" s="69" t="s">
        <v>63</v>
      </c>
      <c r="E1053" s="577"/>
      <c r="F1053" s="577"/>
      <c r="G1053" s="577"/>
      <c r="H1053" s="577"/>
      <c r="I1053" s="577"/>
      <c r="J1053" s="577"/>
      <c r="K1053" s="577"/>
      <c r="L1053" s="577"/>
      <c r="M1053" s="577"/>
      <c r="N1053" s="577"/>
      <c r="O1053" s="577"/>
      <c r="P1053" s="575">
        <v>-65120</v>
      </c>
      <c r="Q1053" s="577"/>
      <c r="R1053" s="575">
        <v>-65120</v>
      </c>
      <c r="S1053" s="142">
        <f t="shared" si="127"/>
        <v>0</v>
      </c>
      <c r="T1053" s="142">
        <f t="shared" si="128"/>
        <v>0</v>
      </c>
      <c r="U1053" s="142">
        <f t="shared" si="129"/>
        <v>0</v>
      </c>
      <c r="W1053" s="601">
        <f t="shared" si="124"/>
        <v>-65120</v>
      </c>
      <c r="X1053" s="601">
        <f t="shared" si="125"/>
        <v>0</v>
      </c>
      <c r="Y1053" s="123"/>
      <c r="Z1053" s="692">
        <f t="shared" si="126"/>
        <v>0</v>
      </c>
    </row>
    <row r="1054" spans="1:26" customFormat="1" ht="12.75" thickBot="1">
      <c r="A1054" s="57" t="s">
        <v>1270</v>
      </c>
      <c r="B1054" s="25" t="s">
        <v>425</v>
      </c>
      <c r="C1054" s="25" t="s">
        <v>444</v>
      </c>
      <c r="D1054" s="69" t="s">
        <v>63</v>
      </c>
      <c r="E1054" s="577"/>
      <c r="F1054" s="577"/>
      <c r="G1054" s="577"/>
      <c r="H1054" s="577"/>
      <c r="I1054" s="577"/>
      <c r="J1054" s="577"/>
      <c r="K1054" s="577"/>
      <c r="L1054" s="577"/>
      <c r="M1054" s="577"/>
      <c r="N1054" s="577"/>
      <c r="O1054" s="577"/>
      <c r="P1054" s="578"/>
      <c r="Q1054" s="577"/>
      <c r="R1054" s="578"/>
      <c r="S1054" s="142">
        <f t="shared" si="127"/>
        <v>0</v>
      </c>
      <c r="T1054" s="142">
        <f t="shared" si="128"/>
        <v>0</v>
      </c>
      <c r="U1054" s="142">
        <f t="shared" si="129"/>
        <v>0</v>
      </c>
      <c r="W1054" s="601">
        <f t="shared" si="124"/>
        <v>0</v>
      </c>
      <c r="X1054" s="601">
        <f t="shared" si="125"/>
        <v>0</v>
      </c>
      <c r="Y1054" s="123"/>
      <c r="Z1054" s="692">
        <f t="shared" si="126"/>
        <v>0</v>
      </c>
    </row>
    <row r="1055" spans="1:26" customFormat="1" ht="12.75" thickBot="1">
      <c r="A1055" s="57" t="s">
        <v>1270</v>
      </c>
      <c r="B1055" s="25" t="s">
        <v>854</v>
      </c>
      <c r="C1055" s="25" t="s">
        <v>855</v>
      </c>
      <c r="D1055" s="69" t="s">
        <v>1125</v>
      </c>
      <c r="E1055" s="577"/>
      <c r="F1055" s="577"/>
      <c r="G1055" s="577"/>
      <c r="H1055" s="577"/>
      <c r="I1055" s="577"/>
      <c r="J1055" s="577"/>
      <c r="K1055" s="577"/>
      <c r="L1055" s="577"/>
      <c r="M1055" s="577"/>
      <c r="N1055" s="577"/>
      <c r="O1055" s="577"/>
      <c r="P1055" s="577"/>
      <c r="Q1055" s="577"/>
      <c r="R1055" s="577"/>
      <c r="S1055" s="142">
        <f t="shared" si="127"/>
        <v>0</v>
      </c>
      <c r="T1055" s="142">
        <f t="shared" si="128"/>
        <v>0</v>
      </c>
      <c r="U1055" s="142">
        <f t="shared" si="129"/>
        <v>0</v>
      </c>
      <c r="W1055" s="601">
        <f t="shared" si="124"/>
        <v>0</v>
      </c>
      <c r="X1055" s="601">
        <f t="shared" si="125"/>
        <v>0</v>
      </c>
      <c r="Y1055" s="123"/>
      <c r="Z1055" s="692">
        <f t="shared" si="126"/>
        <v>0</v>
      </c>
    </row>
    <row r="1056" spans="1:26" customFormat="1" ht="12.75" thickBot="1">
      <c r="A1056" s="57" t="s">
        <v>1270</v>
      </c>
      <c r="B1056" s="25" t="s">
        <v>426</v>
      </c>
      <c r="C1056" s="25" t="s">
        <v>450</v>
      </c>
      <c r="D1056" s="69" t="s">
        <v>451</v>
      </c>
      <c r="E1056" s="579">
        <v>8804400</v>
      </c>
      <c r="F1056" s="577"/>
      <c r="G1056" s="578">
        <v>89365</v>
      </c>
      <c r="H1056" s="578">
        <v>239920</v>
      </c>
      <c r="I1056" s="577"/>
      <c r="J1056" s="578">
        <v>5082</v>
      </c>
      <c r="K1056" s="578">
        <v>160685</v>
      </c>
      <c r="L1056" s="575"/>
      <c r="M1056" s="578">
        <v>-9680</v>
      </c>
      <c r="N1056" s="578"/>
      <c r="O1056" s="578">
        <v>42745</v>
      </c>
      <c r="P1056" s="577"/>
      <c r="Q1056" s="577"/>
      <c r="R1056" s="578">
        <v>528116</v>
      </c>
      <c r="S1056" s="142">
        <f t="shared" si="127"/>
        <v>329285</v>
      </c>
      <c r="T1056" s="142">
        <f t="shared" si="128"/>
        <v>165767</v>
      </c>
      <c r="U1056" s="142">
        <f t="shared" si="129"/>
        <v>42745</v>
      </c>
      <c r="W1056" s="601">
        <f t="shared" si="124"/>
        <v>528117</v>
      </c>
      <c r="X1056" s="601">
        <f t="shared" si="125"/>
        <v>1</v>
      </c>
      <c r="Y1056" s="123"/>
      <c r="Z1056" s="692">
        <f t="shared" si="126"/>
        <v>495052</v>
      </c>
    </row>
    <row r="1057" spans="1:26" customFormat="1" ht="12.75" thickBot="1">
      <c r="A1057" s="57" t="s">
        <v>1270</v>
      </c>
      <c r="B1057" s="25" t="s">
        <v>427</v>
      </c>
      <c r="C1057" s="25" t="s">
        <v>54</v>
      </c>
      <c r="D1057" s="25" t="s">
        <v>15</v>
      </c>
      <c r="E1057" s="579">
        <v>69246739</v>
      </c>
      <c r="F1057" s="575">
        <v>9000</v>
      </c>
      <c r="G1057" s="578">
        <v>612834</v>
      </c>
      <c r="H1057" s="578">
        <v>1886974</v>
      </c>
      <c r="I1057" s="577"/>
      <c r="J1057" s="578">
        <v>44510</v>
      </c>
      <c r="K1057" s="578">
        <v>1271186</v>
      </c>
      <c r="L1057" s="575"/>
      <c r="M1057" s="578">
        <v>-76131</v>
      </c>
      <c r="N1057" s="578"/>
      <c r="O1057" s="578">
        <v>336186</v>
      </c>
      <c r="P1057" s="577"/>
      <c r="Q1057" s="577"/>
      <c r="R1057" s="578">
        <v>4084558</v>
      </c>
      <c r="S1057" s="142">
        <f t="shared" si="127"/>
        <v>2499808</v>
      </c>
      <c r="T1057" s="142">
        <f t="shared" si="128"/>
        <v>1315696</v>
      </c>
      <c r="U1057" s="142">
        <f t="shared" si="129"/>
        <v>336186</v>
      </c>
      <c r="W1057" s="601">
        <f t="shared" si="124"/>
        <v>4084559</v>
      </c>
      <c r="X1057" s="601">
        <f t="shared" si="125"/>
        <v>1</v>
      </c>
      <c r="Y1057" s="123"/>
      <c r="Z1057" s="692">
        <f t="shared" si="126"/>
        <v>3824504</v>
      </c>
    </row>
    <row r="1058" spans="1:26" customFormat="1" ht="12.75" thickBot="1">
      <c r="A1058" s="57" t="s">
        <v>1270</v>
      </c>
      <c r="B1058" s="25" t="s">
        <v>428</v>
      </c>
      <c r="C1058" s="25" t="s">
        <v>458</v>
      </c>
      <c r="D1058" s="69" t="s">
        <v>20</v>
      </c>
      <c r="E1058" s="579">
        <v>21421688</v>
      </c>
      <c r="F1058" s="578">
        <v>20610</v>
      </c>
      <c r="G1058" s="578">
        <v>285980</v>
      </c>
      <c r="H1058" s="578">
        <v>583741</v>
      </c>
      <c r="I1058" s="577"/>
      <c r="J1058" s="578">
        <v>32290</v>
      </c>
      <c r="K1058" s="578">
        <v>910175</v>
      </c>
      <c r="L1058" s="578">
        <v>49796</v>
      </c>
      <c r="M1058" s="578">
        <v>-23551</v>
      </c>
      <c r="N1058" s="578"/>
      <c r="O1058" s="578">
        <v>104000</v>
      </c>
      <c r="P1058" s="577"/>
      <c r="Q1058" s="578"/>
      <c r="R1058" s="578">
        <v>1963040</v>
      </c>
      <c r="S1058" s="142">
        <f t="shared" si="127"/>
        <v>869721</v>
      </c>
      <c r="T1058" s="142">
        <f t="shared" si="128"/>
        <v>942465</v>
      </c>
      <c r="U1058" s="142">
        <f t="shared" si="129"/>
        <v>104000</v>
      </c>
      <c r="W1058" s="601">
        <f t="shared" si="124"/>
        <v>1963041</v>
      </c>
      <c r="X1058" s="601">
        <f t="shared" si="125"/>
        <v>1</v>
      </c>
      <c r="Y1058" s="123"/>
      <c r="Z1058" s="692">
        <f t="shared" si="126"/>
        <v>1832796</v>
      </c>
    </row>
    <row r="1059" spans="1:26" customFormat="1" ht="12.75" thickBot="1">
      <c r="A1059" s="57" t="s">
        <v>1270</v>
      </c>
      <c r="B1059" s="25" t="s">
        <v>429</v>
      </c>
      <c r="C1059" s="25" t="s">
        <v>457</v>
      </c>
      <c r="D1059" s="153" t="s">
        <v>21</v>
      </c>
      <c r="E1059" s="579">
        <v>1036606</v>
      </c>
      <c r="F1059" s="578">
        <v>3570</v>
      </c>
      <c r="G1059" s="578">
        <v>12450</v>
      </c>
      <c r="H1059" s="578">
        <v>28248</v>
      </c>
      <c r="I1059" s="577"/>
      <c r="J1059" s="578">
        <v>1804</v>
      </c>
      <c r="K1059" s="578">
        <v>42026</v>
      </c>
      <c r="L1059" s="578">
        <v>2410</v>
      </c>
      <c r="M1059" s="578">
        <v>-1140</v>
      </c>
      <c r="N1059" s="578"/>
      <c r="O1059" s="578">
        <v>5033</v>
      </c>
      <c r="P1059" s="577"/>
      <c r="Q1059" s="577"/>
      <c r="R1059" s="578">
        <v>94400</v>
      </c>
      <c r="S1059" s="142">
        <f t="shared" si="127"/>
        <v>40698</v>
      </c>
      <c r="T1059" s="142">
        <f t="shared" si="128"/>
        <v>43830</v>
      </c>
      <c r="U1059" s="142">
        <f t="shared" si="129"/>
        <v>5033</v>
      </c>
      <c r="W1059" s="601">
        <f t="shared" si="124"/>
        <v>94401</v>
      </c>
      <c r="X1059" s="601">
        <f t="shared" si="125"/>
        <v>1</v>
      </c>
      <c r="Y1059" s="123"/>
      <c r="Z1059" s="692">
        <f t="shared" si="126"/>
        <v>88098</v>
      </c>
    </row>
    <row r="1060" spans="1:26" customFormat="1" ht="12.75" thickBot="1">
      <c r="A1060" s="57" t="s">
        <v>1270</v>
      </c>
      <c r="B1060" s="25" t="s">
        <v>430</v>
      </c>
      <c r="C1060" s="25" t="s">
        <v>933</v>
      </c>
      <c r="D1060" s="69" t="s">
        <v>920</v>
      </c>
      <c r="E1060" s="579">
        <v>19113805</v>
      </c>
      <c r="F1060" s="578">
        <v>16800</v>
      </c>
      <c r="G1060" s="578">
        <v>241790</v>
      </c>
      <c r="H1060" s="578">
        <v>520851</v>
      </c>
      <c r="I1060" s="577"/>
      <c r="J1060" s="578">
        <v>21497</v>
      </c>
      <c r="K1060" s="578">
        <v>628758</v>
      </c>
      <c r="L1060" s="578">
        <v>44431</v>
      </c>
      <c r="M1060" s="578">
        <v>-21014</v>
      </c>
      <c r="N1060" s="578"/>
      <c r="O1060" s="578">
        <v>92796</v>
      </c>
      <c r="P1060" s="577"/>
      <c r="Q1060" s="577"/>
      <c r="R1060" s="578">
        <v>1545908</v>
      </c>
      <c r="S1060" s="142">
        <f t="shared" si="127"/>
        <v>762641</v>
      </c>
      <c r="T1060" s="142">
        <f t="shared" si="128"/>
        <v>650255</v>
      </c>
      <c r="U1060" s="142">
        <f t="shared" si="129"/>
        <v>92796</v>
      </c>
      <c r="W1060" s="601">
        <f t="shared" si="124"/>
        <v>1545909</v>
      </c>
      <c r="X1060" s="601">
        <f t="shared" si="125"/>
        <v>1</v>
      </c>
      <c r="Y1060" s="123"/>
      <c r="Z1060" s="692">
        <f t="shared" si="126"/>
        <v>1429696</v>
      </c>
    </row>
    <row r="1061" spans="1:26" customFormat="1" ht="12.75" thickBot="1">
      <c r="A1061" s="57" t="s">
        <v>1270</v>
      </c>
      <c r="B1061" s="25" t="s">
        <v>431</v>
      </c>
      <c r="C1061" s="25" t="s">
        <v>459</v>
      </c>
      <c r="D1061" s="69" t="s">
        <v>460</v>
      </c>
      <c r="E1061" s="579">
        <v>130715093</v>
      </c>
      <c r="F1061" s="578">
        <v>19500</v>
      </c>
      <c r="G1061" s="578">
        <v>1062714</v>
      </c>
      <c r="H1061" s="578">
        <v>3561986</v>
      </c>
      <c r="I1061" s="577"/>
      <c r="J1061" s="578">
        <v>126003</v>
      </c>
      <c r="K1061" s="578">
        <v>3475278</v>
      </c>
      <c r="L1061" s="578">
        <v>303852</v>
      </c>
      <c r="M1061" s="578">
        <v>-143711</v>
      </c>
      <c r="N1061" s="578"/>
      <c r="O1061" s="578">
        <v>634609</v>
      </c>
      <c r="P1061" s="577"/>
      <c r="Q1061" s="577"/>
      <c r="R1061" s="578">
        <v>9040232</v>
      </c>
      <c r="S1061" s="142">
        <f t="shared" si="127"/>
        <v>4624700</v>
      </c>
      <c r="T1061" s="142">
        <f t="shared" si="128"/>
        <v>3601281</v>
      </c>
      <c r="U1061" s="142">
        <f t="shared" si="129"/>
        <v>634609</v>
      </c>
      <c r="W1061" s="601">
        <f t="shared" si="124"/>
        <v>9040231</v>
      </c>
      <c r="X1061" s="601">
        <f t="shared" si="125"/>
        <v>-1</v>
      </c>
      <c r="Y1061" s="123"/>
      <c r="Z1061" s="692">
        <f t="shared" si="126"/>
        <v>8245481</v>
      </c>
    </row>
    <row r="1062" spans="1:26" customFormat="1" ht="12.75" thickBot="1">
      <c r="A1062" s="57" t="s">
        <v>1270</v>
      </c>
      <c r="B1062" s="25" t="s">
        <v>433</v>
      </c>
      <c r="C1062" s="25" t="s">
        <v>462</v>
      </c>
      <c r="D1062" s="69" t="s">
        <v>17</v>
      </c>
      <c r="E1062" s="579"/>
      <c r="F1062" s="577"/>
      <c r="G1062" s="578"/>
      <c r="H1062" s="578"/>
      <c r="I1062" s="578"/>
      <c r="J1062" s="577"/>
      <c r="K1062" s="577"/>
      <c r="L1062" s="577"/>
      <c r="M1062" s="578"/>
      <c r="N1062" s="578"/>
      <c r="O1062" s="577"/>
      <c r="P1062" s="577"/>
      <c r="Q1062" s="577"/>
      <c r="R1062" s="578"/>
      <c r="S1062" s="142">
        <f t="shared" si="127"/>
        <v>0</v>
      </c>
      <c r="T1062" s="142">
        <f t="shared" si="128"/>
        <v>0</v>
      </c>
      <c r="U1062" s="142">
        <f t="shared" si="129"/>
        <v>0</v>
      </c>
      <c r="W1062" s="601">
        <f t="shared" si="124"/>
        <v>0</v>
      </c>
      <c r="X1062" s="601">
        <f t="shared" si="125"/>
        <v>0</v>
      </c>
      <c r="Y1062" s="123"/>
      <c r="Z1062" s="692">
        <f t="shared" si="126"/>
        <v>0</v>
      </c>
    </row>
    <row r="1063" spans="1:26" customFormat="1" ht="12.75" thickBot="1">
      <c r="A1063" s="57" t="s">
        <v>1270</v>
      </c>
      <c r="B1063" s="25" t="s">
        <v>434</v>
      </c>
      <c r="C1063" s="25" t="s">
        <v>462</v>
      </c>
      <c r="D1063" s="69" t="s">
        <v>17</v>
      </c>
      <c r="E1063" s="579">
        <v>280619</v>
      </c>
      <c r="F1063" s="577"/>
      <c r="G1063" s="575">
        <f>ROUND(E1063*0.06461,0)</f>
        <v>18131</v>
      </c>
      <c r="H1063" s="578"/>
      <c r="I1063" s="578"/>
      <c r="J1063" s="577"/>
      <c r="K1063" s="577"/>
      <c r="L1063" s="577"/>
      <c r="M1063" s="578">
        <f>ROUND(E1063*-0.0011,0)</f>
        <v>-309</v>
      </c>
      <c r="N1063" s="578">
        <f>ROUND(E1063*0.00485,0)</f>
        <v>1361</v>
      </c>
      <c r="O1063" s="577"/>
      <c r="P1063" s="577"/>
      <c r="Q1063" s="577"/>
      <c r="R1063" s="575">
        <f>SUM(F1063:N1063)</f>
        <v>19183</v>
      </c>
      <c r="S1063" s="142">
        <f t="shared" si="127"/>
        <v>18131</v>
      </c>
      <c r="T1063" s="142">
        <f t="shared" si="128"/>
        <v>0</v>
      </c>
      <c r="U1063" s="142">
        <f t="shared" si="129"/>
        <v>1361</v>
      </c>
      <c r="W1063" s="601">
        <f t="shared" si="124"/>
        <v>19183</v>
      </c>
      <c r="X1063" s="601">
        <f t="shared" si="125"/>
        <v>0</v>
      </c>
      <c r="Y1063" s="123"/>
      <c r="Z1063" s="692">
        <f t="shared" si="126"/>
        <v>18131</v>
      </c>
    </row>
    <row r="1064" spans="1:26" customFormat="1" ht="12.75" thickBot="1">
      <c r="A1064" s="57" t="s">
        <v>1270</v>
      </c>
      <c r="B1064" s="25" t="s">
        <v>435</v>
      </c>
      <c r="C1064" s="25" t="s">
        <v>462</v>
      </c>
      <c r="D1064" s="69" t="s">
        <v>17</v>
      </c>
      <c r="E1064" s="579"/>
      <c r="F1064" s="577"/>
      <c r="G1064" s="578"/>
      <c r="H1064" s="578"/>
      <c r="I1064" s="578"/>
      <c r="J1064" s="577"/>
      <c r="K1064" s="577"/>
      <c r="L1064" s="577"/>
      <c r="M1064" s="578"/>
      <c r="N1064" s="578"/>
      <c r="O1064" s="577"/>
      <c r="P1064" s="577"/>
      <c r="Q1064" s="577"/>
      <c r="R1064" s="578"/>
      <c r="S1064" s="142">
        <f t="shared" si="127"/>
        <v>0</v>
      </c>
      <c r="T1064" s="142">
        <f t="shared" si="128"/>
        <v>0</v>
      </c>
      <c r="U1064" s="142">
        <f t="shared" si="129"/>
        <v>0</v>
      </c>
      <c r="W1064" s="601">
        <f t="shared" si="124"/>
        <v>0</v>
      </c>
      <c r="X1064" s="601">
        <f t="shared" si="125"/>
        <v>0</v>
      </c>
      <c r="Y1064" s="123"/>
      <c r="Z1064" s="692">
        <f t="shared" si="126"/>
        <v>0</v>
      </c>
    </row>
    <row r="1065" spans="1:26" customFormat="1" ht="12.75" thickBot="1">
      <c r="A1065" s="57" t="s">
        <v>1270</v>
      </c>
      <c r="B1065" s="25" t="s">
        <v>436</v>
      </c>
      <c r="C1065" s="25" t="s">
        <v>55</v>
      </c>
      <c r="D1065" s="69" t="s">
        <v>18</v>
      </c>
      <c r="E1065" s="579">
        <v>257054</v>
      </c>
      <c r="F1065" s="575">
        <f>ROUND('1022'!D338*3.25,0)</f>
        <v>2941</v>
      </c>
      <c r="G1065" s="575">
        <f>ROUND(E1065*0.07658,0)</f>
        <v>19685</v>
      </c>
      <c r="H1065" s="578"/>
      <c r="I1065" s="578"/>
      <c r="J1065" s="577"/>
      <c r="K1065" s="577"/>
      <c r="L1065" s="577"/>
      <c r="M1065" s="578">
        <f>ROUND(E1065*-0.0011,0)</f>
        <v>-283</v>
      </c>
      <c r="N1065" s="578">
        <f>ROUND(E1065*0.00485,0)</f>
        <v>1247</v>
      </c>
      <c r="O1065" s="577"/>
      <c r="P1065" s="577"/>
      <c r="Q1065" s="577"/>
      <c r="R1065" s="575">
        <f>SUM(F1065:N1065)</f>
        <v>23590</v>
      </c>
      <c r="S1065" s="142">
        <f t="shared" si="127"/>
        <v>19685</v>
      </c>
      <c r="T1065" s="142">
        <f t="shared" si="128"/>
        <v>0</v>
      </c>
      <c r="U1065" s="142">
        <f t="shared" si="129"/>
        <v>1247</v>
      </c>
      <c r="W1065" s="601">
        <f t="shared" si="124"/>
        <v>23590</v>
      </c>
      <c r="X1065" s="601">
        <f t="shared" si="125"/>
        <v>0</v>
      </c>
      <c r="Y1065" s="123"/>
      <c r="Z1065" s="692">
        <f t="shared" si="126"/>
        <v>22626</v>
      </c>
    </row>
    <row r="1066" spans="1:26" customFormat="1" ht="12.75" thickBot="1">
      <c r="A1066" s="57" t="s">
        <v>1270</v>
      </c>
      <c r="B1066" s="25" t="s">
        <v>437</v>
      </c>
      <c r="C1066" s="25" t="s">
        <v>55</v>
      </c>
      <c r="D1066" s="69" t="s">
        <v>18</v>
      </c>
      <c r="E1066" s="579"/>
      <c r="F1066" s="578"/>
      <c r="G1066" s="578"/>
      <c r="H1066" s="578"/>
      <c r="I1066" s="578"/>
      <c r="J1066" s="577"/>
      <c r="K1066" s="577"/>
      <c r="L1066" s="577"/>
      <c r="M1066" s="578"/>
      <c r="N1066" s="578"/>
      <c r="O1066" s="577"/>
      <c r="P1066" s="577"/>
      <c r="Q1066" s="577"/>
      <c r="R1066" s="578"/>
      <c r="S1066" s="142">
        <f t="shared" si="127"/>
        <v>0</v>
      </c>
      <c r="T1066" s="142">
        <f t="shared" si="128"/>
        <v>0</v>
      </c>
      <c r="U1066" s="142">
        <f t="shared" si="129"/>
        <v>0</v>
      </c>
      <c r="W1066" s="601">
        <f t="shared" si="124"/>
        <v>0</v>
      </c>
      <c r="X1066" s="601">
        <f t="shared" si="125"/>
        <v>0</v>
      </c>
      <c r="Y1066" s="123"/>
      <c r="Z1066" s="692">
        <f t="shared" si="126"/>
        <v>0</v>
      </c>
    </row>
    <row r="1067" spans="1:26" customFormat="1" ht="12.75" thickBot="1">
      <c r="A1067" s="57" t="s">
        <v>1270</v>
      </c>
      <c r="B1067" s="25" t="s">
        <v>856</v>
      </c>
      <c r="C1067" s="25" t="s">
        <v>857</v>
      </c>
      <c r="D1067" s="69" t="s">
        <v>1125</v>
      </c>
      <c r="E1067" s="577"/>
      <c r="F1067" s="577"/>
      <c r="G1067" s="577"/>
      <c r="H1067" s="577"/>
      <c r="I1067" s="577"/>
      <c r="J1067" s="577"/>
      <c r="K1067" s="577"/>
      <c r="L1067" s="577"/>
      <c r="M1067" s="577"/>
      <c r="N1067" s="577"/>
      <c r="O1067" s="577"/>
      <c r="P1067" s="577"/>
      <c r="Q1067" s="577"/>
      <c r="R1067" s="577"/>
      <c r="S1067" s="142">
        <f t="shared" si="127"/>
        <v>0</v>
      </c>
      <c r="T1067" s="142">
        <f t="shared" si="128"/>
        <v>0</v>
      </c>
      <c r="U1067" s="142">
        <f t="shared" si="129"/>
        <v>0</v>
      </c>
      <c r="W1067" s="601">
        <f t="shared" si="124"/>
        <v>0</v>
      </c>
      <c r="X1067" s="601">
        <f t="shared" si="125"/>
        <v>0</v>
      </c>
      <c r="Y1067" s="123"/>
      <c r="Z1067" s="692">
        <f t="shared" si="126"/>
        <v>0</v>
      </c>
    </row>
    <row r="1068" spans="1:26" customFormat="1" ht="12.75" thickBot="1">
      <c r="A1068" s="57" t="s">
        <v>1270</v>
      </c>
      <c r="B1068" s="25" t="s">
        <v>438</v>
      </c>
      <c r="C1068" s="25" t="s">
        <v>469</v>
      </c>
      <c r="D1068" s="69" t="s">
        <v>13</v>
      </c>
      <c r="E1068" s="579"/>
      <c r="F1068" s="577"/>
      <c r="G1068" s="578"/>
      <c r="H1068" s="578"/>
      <c r="I1068" s="578"/>
      <c r="J1068" s="577"/>
      <c r="K1068" s="577"/>
      <c r="L1068" s="578"/>
      <c r="M1068" s="578"/>
      <c r="N1068" s="578"/>
      <c r="O1068" s="577"/>
      <c r="P1068" s="577"/>
      <c r="Q1068" s="578"/>
      <c r="R1068" s="578"/>
      <c r="S1068" s="142">
        <f t="shared" si="127"/>
        <v>0</v>
      </c>
      <c r="T1068" s="142">
        <f t="shared" si="128"/>
        <v>0</v>
      </c>
      <c r="U1068" s="142">
        <f t="shared" si="129"/>
        <v>0</v>
      </c>
      <c r="W1068" s="601">
        <f t="shared" si="124"/>
        <v>0</v>
      </c>
      <c r="X1068" s="601">
        <f t="shared" si="125"/>
        <v>0</v>
      </c>
      <c r="Y1068" s="123"/>
      <c r="Z1068" s="692">
        <f t="shared" si="126"/>
        <v>0</v>
      </c>
    </row>
    <row r="1069" spans="1:26" customFormat="1" ht="12.75" thickBot="1">
      <c r="A1069" s="57" t="s">
        <v>1270</v>
      </c>
      <c r="B1069" s="25" t="s">
        <v>439</v>
      </c>
      <c r="C1069" s="25" t="s">
        <v>466</v>
      </c>
      <c r="D1069" s="69" t="s">
        <v>13</v>
      </c>
      <c r="E1069" s="579">
        <v>278535029</v>
      </c>
      <c r="F1069" s="578">
        <v>3854273</v>
      </c>
      <c r="G1069" s="578">
        <v>14531172</v>
      </c>
      <c r="H1069" s="578">
        <v>7590080</v>
      </c>
      <c r="I1069" s="578">
        <v>373237</v>
      </c>
      <c r="J1069" s="577"/>
      <c r="K1069" s="577"/>
      <c r="L1069" s="578">
        <v>647465</v>
      </c>
      <c r="M1069" s="578">
        <v>-306227</v>
      </c>
      <c r="N1069" s="578">
        <v>1352261</v>
      </c>
      <c r="O1069" s="577"/>
      <c r="P1069" s="577"/>
      <c r="Q1069" s="578"/>
      <c r="R1069" s="578">
        <v>28042261</v>
      </c>
      <c r="S1069" s="142">
        <f t="shared" si="127"/>
        <v>22494489</v>
      </c>
      <c r="T1069" s="142">
        <f t="shared" si="128"/>
        <v>0</v>
      </c>
      <c r="U1069" s="142">
        <f t="shared" si="129"/>
        <v>1352261</v>
      </c>
      <c r="W1069" s="601">
        <f t="shared" si="124"/>
        <v>28042261</v>
      </c>
      <c r="X1069" s="601">
        <f t="shared" si="125"/>
        <v>0</v>
      </c>
      <c r="Y1069" s="123"/>
      <c r="Z1069" s="692">
        <f t="shared" si="126"/>
        <v>26348762</v>
      </c>
    </row>
    <row r="1070" spans="1:26" customFormat="1" ht="12.75" thickBot="1">
      <c r="A1070" s="57" t="s">
        <v>1270</v>
      </c>
      <c r="B1070" s="25" t="s">
        <v>440</v>
      </c>
      <c r="C1070" s="25" t="s">
        <v>467</v>
      </c>
      <c r="D1070" s="69" t="s">
        <v>13</v>
      </c>
      <c r="E1070" s="579"/>
      <c r="F1070" s="578"/>
      <c r="G1070" s="578"/>
      <c r="H1070" s="578"/>
      <c r="I1070" s="578"/>
      <c r="J1070" s="577"/>
      <c r="K1070" s="577"/>
      <c r="L1070" s="578"/>
      <c r="M1070" s="578"/>
      <c r="N1070" s="578"/>
      <c r="O1070" s="577"/>
      <c r="P1070" s="577"/>
      <c r="Q1070" s="578"/>
      <c r="R1070" s="578"/>
      <c r="S1070" s="142">
        <f t="shared" si="127"/>
        <v>0</v>
      </c>
      <c r="T1070" s="142">
        <f t="shared" si="128"/>
        <v>0</v>
      </c>
      <c r="U1070" s="142">
        <f t="shared" si="129"/>
        <v>0</v>
      </c>
      <c r="W1070" s="601">
        <f t="shared" si="124"/>
        <v>0</v>
      </c>
      <c r="X1070" s="601">
        <f t="shared" si="125"/>
        <v>0</v>
      </c>
      <c r="Y1070" s="123"/>
      <c r="Z1070" s="692">
        <f t="shared" si="126"/>
        <v>0</v>
      </c>
    </row>
    <row r="1071" spans="1:26" customFormat="1" ht="12.75" thickBot="1">
      <c r="A1071" s="57" t="s">
        <v>1270</v>
      </c>
      <c r="B1071" s="25" t="s">
        <v>441</v>
      </c>
      <c r="C1071" s="25" t="s">
        <v>468</v>
      </c>
      <c r="D1071" s="69" t="s">
        <v>13</v>
      </c>
      <c r="E1071" s="579"/>
      <c r="F1071" s="578"/>
      <c r="G1071" s="578"/>
      <c r="H1071" s="578"/>
      <c r="I1071" s="578"/>
      <c r="J1071" s="577"/>
      <c r="K1071" s="577"/>
      <c r="L1071" s="578"/>
      <c r="M1071" s="578"/>
      <c r="N1071" s="578"/>
      <c r="O1071" s="577"/>
      <c r="P1071" s="577"/>
      <c r="Q1071" s="578"/>
      <c r="R1071" s="578"/>
      <c r="S1071" s="142">
        <f t="shared" si="127"/>
        <v>0</v>
      </c>
      <c r="T1071" s="142">
        <f t="shared" si="128"/>
        <v>0</v>
      </c>
      <c r="U1071" s="142">
        <f t="shared" si="129"/>
        <v>0</v>
      </c>
      <c r="W1071" s="601">
        <f t="shared" si="124"/>
        <v>0</v>
      </c>
      <c r="X1071" s="601">
        <f t="shared" si="125"/>
        <v>0</v>
      </c>
      <c r="Y1071" s="123"/>
      <c r="Z1071" s="692">
        <f t="shared" si="126"/>
        <v>0</v>
      </c>
    </row>
    <row r="1072" spans="1:26" customFormat="1" ht="12.75" thickBot="1">
      <c r="A1072" s="57" t="s">
        <v>1270</v>
      </c>
      <c r="B1072" s="25" t="s">
        <v>755</v>
      </c>
      <c r="C1072" s="25" t="s">
        <v>1124</v>
      </c>
      <c r="D1072" s="69" t="s">
        <v>680</v>
      </c>
      <c r="E1072" s="579"/>
      <c r="F1072" s="578"/>
      <c r="G1072" s="578"/>
      <c r="H1072" s="578"/>
      <c r="I1072" s="578"/>
      <c r="J1072" s="577"/>
      <c r="K1072" s="577"/>
      <c r="L1072" s="578"/>
      <c r="M1072" s="578"/>
      <c r="N1072" s="578"/>
      <c r="O1072" s="577"/>
      <c r="P1072" s="577"/>
      <c r="Q1072" s="577"/>
      <c r="R1072" s="578"/>
      <c r="S1072" s="142">
        <f t="shared" si="127"/>
        <v>0</v>
      </c>
      <c r="T1072" s="142">
        <f t="shared" si="128"/>
        <v>0</v>
      </c>
      <c r="U1072" s="142">
        <f t="shared" si="129"/>
        <v>0</v>
      </c>
      <c r="W1072" s="601">
        <f t="shared" si="124"/>
        <v>0</v>
      </c>
      <c r="X1072" s="601">
        <f t="shared" si="125"/>
        <v>0</v>
      </c>
      <c r="Y1072" s="123"/>
      <c r="Z1072" s="692">
        <f t="shared" si="126"/>
        <v>0</v>
      </c>
    </row>
    <row r="1073" spans="1:26" customFormat="1" ht="12.75" thickBot="1">
      <c r="A1073" s="57" t="s">
        <v>1270</v>
      </c>
      <c r="B1073" s="25" t="s">
        <v>1208</v>
      </c>
      <c r="C1073" s="25" t="s">
        <v>1211</v>
      </c>
      <c r="D1073" s="69" t="s">
        <v>680</v>
      </c>
      <c r="E1073" s="579"/>
      <c r="F1073" s="578"/>
      <c r="G1073" s="578"/>
      <c r="H1073" s="578"/>
      <c r="I1073" s="578"/>
      <c r="J1073" s="577"/>
      <c r="K1073" s="577"/>
      <c r="L1073" s="578"/>
      <c r="M1073" s="578"/>
      <c r="N1073" s="578"/>
      <c r="O1073" s="577"/>
      <c r="P1073" s="577"/>
      <c r="Q1073" s="577"/>
      <c r="R1073" s="578"/>
      <c r="S1073" s="142">
        <f t="shared" si="127"/>
        <v>0</v>
      </c>
      <c r="T1073" s="142">
        <f t="shared" si="128"/>
        <v>0</v>
      </c>
      <c r="U1073" s="142">
        <f t="shared" si="129"/>
        <v>0</v>
      </c>
      <c r="W1073" s="601">
        <f t="shared" si="124"/>
        <v>0</v>
      </c>
      <c r="X1073" s="601">
        <f t="shared" si="125"/>
        <v>0</v>
      </c>
      <c r="Y1073" s="123"/>
      <c r="Z1073" s="692">
        <f t="shared" si="126"/>
        <v>0</v>
      </c>
    </row>
    <row r="1074" spans="1:26" customFormat="1" ht="12.75" thickBot="1">
      <c r="A1074" s="57" t="s">
        <v>1270</v>
      </c>
      <c r="B1074" s="25" t="s">
        <v>401</v>
      </c>
      <c r="C1074" s="25" t="s">
        <v>402</v>
      </c>
      <c r="D1074" s="69" t="s">
        <v>1125</v>
      </c>
      <c r="E1074" s="577"/>
      <c r="F1074" s="577"/>
      <c r="G1074" s="577"/>
      <c r="H1074" s="577"/>
      <c r="I1074" s="577"/>
      <c r="J1074" s="577"/>
      <c r="K1074" s="577"/>
      <c r="L1074" s="577"/>
      <c r="M1074" s="577"/>
      <c r="N1074" s="577"/>
      <c r="O1074" s="577"/>
      <c r="P1074" s="577"/>
      <c r="Q1074" s="577"/>
      <c r="R1074" s="577"/>
      <c r="S1074" s="142">
        <f t="shared" si="127"/>
        <v>0</v>
      </c>
      <c r="T1074" s="142">
        <f t="shared" si="128"/>
        <v>0</v>
      </c>
      <c r="U1074" s="142">
        <f t="shared" si="129"/>
        <v>0</v>
      </c>
      <c r="W1074" s="601">
        <f t="shared" si="124"/>
        <v>0</v>
      </c>
      <c r="X1074" s="601">
        <f t="shared" si="125"/>
        <v>0</v>
      </c>
      <c r="Y1074" s="123"/>
      <c r="Z1074" s="692">
        <f t="shared" si="126"/>
        <v>0</v>
      </c>
    </row>
    <row r="1075" spans="1:26" customFormat="1" ht="12.75" thickBot="1">
      <c r="A1075" s="57" t="s">
        <v>1270</v>
      </c>
      <c r="B1075" s="25" t="s">
        <v>199</v>
      </c>
      <c r="C1075" s="57" t="s">
        <v>1315</v>
      </c>
      <c r="D1075" s="694" t="s">
        <v>498</v>
      </c>
      <c r="E1075" s="579"/>
      <c r="F1075" s="577"/>
      <c r="G1075" s="578"/>
      <c r="H1075" s="577"/>
      <c r="I1075" s="577"/>
      <c r="J1075" s="577"/>
      <c r="K1075" s="577"/>
      <c r="L1075" s="577"/>
      <c r="M1075" s="578"/>
      <c r="N1075" s="578"/>
      <c r="O1075" s="577"/>
      <c r="P1075" s="577"/>
      <c r="Q1075" s="578"/>
      <c r="R1075" s="578"/>
      <c r="S1075" s="142">
        <f t="shared" si="127"/>
        <v>0</v>
      </c>
      <c r="T1075" s="142">
        <f t="shared" si="128"/>
        <v>0</v>
      </c>
      <c r="U1075" s="142">
        <f t="shared" si="129"/>
        <v>0</v>
      </c>
      <c r="W1075" s="601">
        <f t="shared" si="124"/>
        <v>0</v>
      </c>
      <c r="X1075" s="601">
        <f t="shared" si="125"/>
        <v>0</v>
      </c>
      <c r="Y1075" s="123"/>
      <c r="Z1075" s="692">
        <f t="shared" si="126"/>
        <v>0</v>
      </c>
    </row>
    <row r="1076" spans="1:26" customFormat="1" ht="12.75" thickBot="1">
      <c r="A1076" s="57" t="s">
        <v>1270</v>
      </c>
      <c r="B1076" s="25" t="s">
        <v>205</v>
      </c>
      <c r="C1076" s="57" t="s">
        <v>1320</v>
      </c>
      <c r="D1076" s="694" t="s">
        <v>498</v>
      </c>
      <c r="E1076" s="579"/>
      <c r="F1076" s="577"/>
      <c r="G1076" s="578"/>
      <c r="H1076" s="577"/>
      <c r="I1076" s="577"/>
      <c r="J1076" s="577"/>
      <c r="K1076" s="577"/>
      <c r="L1076" s="577"/>
      <c r="M1076" s="578"/>
      <c r="N1076" s="578"/>
      <c r="O1076" s="577"/>
      <c r="P1076" s="577"/>
      <c r="Q1076" s="578"/>
      <c r="R1076" s="578"/>
      <c r="S1076" s="142">
        <f t="shared" si="127"/>
        <v>0</v>
      </c>
      <c r="T1076" s="142">
        <f t="shared" si="128"/>
        <v>0</v>
      </c>
      <c r="U1076" s="142">
        <f t="shared" si="129"/>
        <v>0</v>
      </c>
      <c r="W1076" s="601">
        <f t="shared" si="124"/>
        <v>0</v>
      </c>
      <c r="X1076" s="601">
        <f t="shared" si="125"/>
        <v>0</v>
      </c>
      <c r="Y1076" s="123"/>
      <c r="Z1076" s="692">
        <f t="shared" si="126"/>
        <v>0</v>
      </c>
    </row>
    <row r="1077" spans="1:26" customFormat="1" ht="12.75" thickBot="1">
      <c r="A1077" s="57" t="s">
        <v>1270</v>
      </c>
      <c r="B1077" s="25" t="s">
        <v>227</v>
      </c>
      <c r="C1077" s="57" t="s">
        <v>1321</v>
      </c>
      <c r="D1077" s="694" t="s">
        <v>498</v>
      </c>
      <c r="E1077" s="579"/>
      <c r="F1077" s="577"/>
      <c r="G1077" s="578"/>
      <c r="H1077" s="577"/>
      <c r="I1077" s="577"/>
      <c r="J1077" s="577"/>
      <c r="K1077" s="577"/>
      <c r="L1077" s="577"/>
      <c r="M1077" s="578"/>
      <c r="N1077" s="578"/>
      <c r="O1077" s="577"/>
      <c r="P1077" s="577"/>
      <c r="Q1077" s="578"/>
      <c r="R1077" s="578"/>
      <c r="S1077" s="142">
        <f t="shared" si="127"/>
        <v>0</v>
      </c>
      <c r="T1077" s="142">
        <f t="shared" si="128"/>
        <v>0</v>
      </c>
      <c r="U1077" s="142">
        <f t="shared" si="129"/>
        <v>0</v>
      </c>
      <c r="W1077" s="601">
        <f t="shared" si="124"/>
        <v>0</v>
      </c>
      <c r="X1077" s="601">
        <f t="shared" si="125"/>
        <v>0</v>
      </c>
      <c r="Y1077" s="123"/>
      <c r="Z1077" s="692">
        <f t="shared" si="126"/>
        <v>0</v>
      </c>
    </row>
    <row r="1078" spans="1:26" customFormat="1" ht="12.75" thickBot="1">
      <c r="A1078" s="57" t="s">
        <v>1270</v>
      </c>
      <c r="B1078" s="25" t="s">
        <v>379</v>
      </c>
      <c r="C1078" s="25" t="s">
        <v>934</v>
      </c>
      <c r="D1078" s="694" t="s">
        <v>498</v>
      </c>
      <c r="E1078" s="579"/>
      <c r="F1078" s="577"/>
      <c r="G1078" s="578"/>
      <c r="H1078" s="577"/>
      <c r="I1078" s="577"/>
      <c r="J1078" s="577"/>
      <c r="K1078" s="577"/>
      <c r="L1078" s="577"/>
      <c r="M1078" s="578"/>
      <c r="N1078" s="578"/>
      <c r="O1078" s="577"/>
      <c r="P1078" s="577"/>
      <c r="Q1078" s="578"/>
      <c r="R1078" s="578"/>
      <c r="S1078" s="142">
        <f t="shared" si="127"/>
        <v>0</v>
      </c>
      <c r="T1078" s="142">
        <f t="shared" si="128"/>
        <v>0</v>
      </c>
      <c r="U1078" s="142">
        <f t="shared" si="129"/>
        <v>0</v>
      </c>
      <c r="W1078" s="601">
        <f t="shared" si="124"/>
        <v>0</v>
      </c>
      <c r="X1078" s="601">
        <f t="shared" si="125"/>
        <v>0</v>
      </c>
      <c r="Y1078" s="123"/>
      <c r="Z1078" s="692">
        <f t="shared" si="126"/>
        <v>0</v>
      </c>
    </row>
    <row r="1079" spans="1:26" customFormat="1" ht="12.75" thickBot="1">
      <c r="A1079" s="57" t="s">
        <v>1270</v>
      </c>
      <c r="B1079" s="25" t="s">
        <v>239</v>
      </c>
      <c r="C1079" s="25" t="s">
        <v>240</v>
      </c>
      <c r="D1079" s="694" t="s">
        <v>498</v>
      </c>
      <c r="E1079" s="579"/>
      <c r="F1079" s="577"/>
      <c r="G1079" s="578"/>
      <c r="H1079" s="577"/>
      <c r="I1079" s="577"/>
      <c r="J1079" s="577"/>
      <c r="K1079" s="577"/>
      <c r="L1079" s="577"/>
      <c r="M1079" s="578"/>
      <c r="N1079" s="578"/>
      <c r="O1079" s="577"/>
      <c r="P1079" s="577"/>
      <c r="Q1079" s="578"/>
      <c r="R1079" s="578"/>
      <c r="S1079" s="142">
        <f t="shared" si="127"/>
        <v>0</v>
      </c>
      <c r="T1079" s="142">
        <f t="shared" si="128"/>
        <v>0</v>
      </c>
      <c r="U1079" s="142">
        <f t="shared" si="129"/>
        <v>0</v>
      </c>
      <c r="W1079" s="601">
        <f t="shared" si="124"/>
        <v>0</v>
      </c>
      <c r="X1079" s="601">
        <f t="shared" si="125"/>
        <v>0</v>
      </c>
      <c r="Y1079" s="123"/>
      <c r="Z1079" s="692">
        <f t="shared" si="126"/>
        <v>0</v>
      </c>
    </row>
    <row r="1080" spans="1:26" customFormat="1" ht="12.75" thickBot="1">
      <c r="A1080" s="57" t="s">
        <v>1270</v>
      </c>
      <c r="B1080" s="25" t="s">
        <v>241</v>
      </c>
      <c r="C1080" s="25" t="s">
        <v>935</v>
      </c>
      <c r="D1080" s="694" t="s">
        <v>498</v>
      </c>
      <c r="E1080" s="579"/>
      <c r="F1080" s="577"/>
      <c r="G1080" s="578"/>
      <c r="H1080" s="577"/>
      <c r="I1080" s="577"/>
      <c r="J1080" s="577"/>
      <c r="K1080" s="577"/>
      <c r="L1080" s="577"/>
      <c r="M1080" s="578"/>
      <c r="N1080" s="578"/>
      <c r="O1080" s="577"/>
      <c r="P1080" s="577"/>
      <c r="Q1080" s="578"/>
      <c r="R1080" s="578"/>
      <c r="S1080" s="142">
        <f t="shared" si="127"/>
        <v>0</v>
      </c>
      <c r="T1080" s="142">
        <f t="shared" si="128"/>
        <v>0</v>
      </c>
      <c r="U1080" s="142">
        <f t="shared" si="129"/>
        <v>0</v>
      </c>
      <c r="W1080" s="601">
        <f t="shared" si="124"/>
        <v>0</v>
      </c>
      <c r="X1080" s="601">
        <f t="shared" si="125"/>
        <v>0</v>
      </c>
      <c r="Y1080" s="123"/>
      <c r="Z1080" s="692">
        <f t="shared" si="126"/>
        <v>0</v>
      </c>
    </row>
    <row r="1081" spans="1:26" customFormat="1" ht="12.75" thickBot="1">
      <c r="A1081" s="57" t="s">
        <v>1270</v>
      </c>
      <c r="B1081" s="25" t="s">
        <v>242</v>
      </c>
      <c r="C1081" s="25" t="s">
        <v>936</v>
      </c>
      <c r="D1081" s="694" t="s">
        <v>498</v>
      </c>
      <c r="E1081" s="579"/>
      <c r="F1081" s="577"/>
      <c r="G1081" s="578"/>
      <c r="H1081" s="577"/>
      <c r="I1081" s="577"/>
      <c r="J1081" s="577"/>
      <c r="K1081" s="577"/>
      <c r="L1081" s="577"/>
      <c r="M1081" s="578"/>
      <c r="N1081" s="578"/>
      <c r="O1081" s="577"/>
      <c r="P1081" s="577"/>
      <c r="Q1081" s="578"/>
      <c r="R1081" s="578"/>
      <c r="S1081" s="142">
        <f t="shared" si="127"/>
        <v>0</v>
      </c>
      <c r="T1081" s="142">
        <f t="shared" si="128"/>
        <v>0</v>
      </c>
      <c r="U1081" s="142">
        <f t="shared" si="129"/>
        <v>0</v>
      </c>
      <c r="W1081" s="601">
        <f t="shared" si="124"/>
        <v>0</v>
      </c>
      <c r="X1081" s="601">
        <f t="shared" si="125"/>
        <v>0</v>
      </c>
      <c r="Y1081" s="123"/>
      <c r="Z1081" s="692">
        <f t="shared" si="126"/>
        <v>0</v>
      </c>
    </row>
    <row r="1082" spans="1:26" customFormat="1" ht="12.75" thickBot="1">
      <c r="A1082" s="57" t="s">
        <v>1270</v>
      </c>
      <c r="B1082" s="25" t="s">
        <v>243</v>
      </c>
      <c r="C1082" s="25" t="s">
        <v>937</v>
      </c>
      <c r="D1082" s="694" t="s">
        <v>498</v>
      </c>
      <c r="E1082" s="579"/>
      <c r="F1082" s="577"/>
      <c r="G1082" s="578"/>
      <c r="H1082" s="577"/>
      <c r="I1082" s="577"/>
      <c r="J1082" s="577"/>
      <c r="K1082" s="577"/>
      <c r="L1082" s="577"/>
      <c r="M1082" s="578"/>
      <c r="N1082" s="578"/>
      <c r="O1082" s="577"/>
      <c r="P1082" s="577"/>
      <c r="Q1082" s="578"/>
      <c r="R1082" s="578"/>
      <c r="S1082" s="142">
        <f t="shared" si="127"/>
        <v>0</v>
      </c>
      <c r="T1082" s="142">
        <f t="shared" si="128"/>
        <v>0</v>
      </c>
      <c r="U1082" s="142">
        <f t="shared" si="129"/>
        <v>0</v>
      </c>
      <c r="W1082" s="601">
        <f t="shared" si="124"/>
        <v>0</v>
      </c>
      <c r="X1082" s="601">
        <f t="shared" si="125"/>
        <v>0</v>
      </c>
      <c r="Y1082" s="123"/>
      <c r="Z1082" s="692">
        <f t="shared" si="126"/>
        <v>0</v>
      </c>
    </row>
    <row r="1083" spans="1:26" customFormat="1" ht="12.75" thickBot="1">
      <c r="A1083" s="57" t="s">
        <v>1270</v>
      </c>
      <c r="B1083" s="25" t="s">
        <v>244</v>
      </c>
      <c r="C1083" s="25" t="s">
        <v>938</v>
      </c>
      <c r="D1083" s="694" t="s">
        <v>498</v>
      </c>
      <c r="E1083" s="579"/>
      <c r="F1083" s="577"/>
      <c r="G1083" s="578"/>
      <c r="H1083" s="577"/>
      <c r="I1083" s="577"/>
      <c r="J1083" s="577"/>
      <c r="K1083" s="577"/>
      <c r="L1083" s="577"/>
      <c r="M1083" s="578"/>
      <c r="N1083" s="578"/>
      <c r="O1083" s="577"/>
      <c r="P1083" s="577"/>
      <c r="Q1083" s="578"/>
      <c r="R1083" s="578"/>
      <c r="S1083" s="142">
        <f t="shared" si="127"/>
        <v>0</v>
      </c>
      <c r="T1083" s="142">
        <f t="shared" si="128"/>
        <v>0</v>
      </c>
      <c r="U1083" s="142">
        <f t="shared" si="129"/>
        <v>0</v>
      </c>
      <c r="W1083" s="601">
        <f t="shared" si="124"/>
        <v>0</v>
      </c>
      <c r="X1083" s="601">
        <f t="shared" si="125"/>
        <v>0</v>
      </c>
      <c r="Y1083" s="123"/>
      <c r="Z1083" s="692">
        <f t="shared" si="126"/>
        <v>0</v>
      </c>
    </row>
    <row r="1084" spans="1:26" customFormat="1" ht="12.75" thickBot="1">
      <c r="A1084" s="57" t="s">
        <v>1270</v>
      </c>
      <c r="B1084" s="25" t="s">
        <v>245</v>
      </c>
      <c r="C1084" s="25" t="s">
        <v>939</v>
      </c>
      <c r="D1084" s="694" t="s">
        <v>498</v>
      </c>
      <c r="E1084" s="579"/>
      <c r="F1084" s="577"/>
      <c r="G1084" s="578"/>
      <c r="H1084" s="577"/>
      <c r="I1084" s="577"/>
      <c r="J1084" s="577"/>
      <c r="K1084" s="577"/>
      <c r="L1084" s="577"/>
      <c r="M1084" s="578"/>
      <c r="N1084" s="578"/>
      <c r="O1084" s="577"/>
      <c r="P1084" s="577"/>
      <c r="Q1084" s="578"/>
      <c r="R1084" s="578"/>
      <c r="S1084" s="142">
        <f t="shared" si="127"/>
        <v>0</v>
      </c>
      <c r="T1084" s="142">
        <f t="shared" si="128"/>
        <v>0</v>
      </c>
      <c r="U1084" s="142">
        <f t="shared" si="129"/>
        <v>0</v>
      </c>
      <c r="W1084" s="601">
        <f t="shared" ref="W1084:W1142" si="130">SUM(F1084:Q1084)</f>
        <v>0</v>
      </c>
      <c r="X1084" s="601">
        <f t="shared" ref="X1084:X1142" si="131">W1084-R1084</f>
        <v>0</v>
      </c>
      <c r="Y1084" s="123"/>
      <c r="Z1084" s="692">
        <f t="shared" si="126"/>
        <v>0</v>
      </c>
    </row>
    <row r="1085" spans="1:26" customFormat="1" ht="12.75" thickBot="1">
      <c r="A1085" s="57" t="s">
        <v>1270</v>
      </c>
      <c r="B1085" s="25" t="s">
        <v>381</v>
      </c>
      <c r="C1085" s="25" t="s">
        <v>940</v>
      </c>
      <c r="D1085" s="694" t="s">
        <v>498</v>
      </c>
      <c r="E1085" s="579"/>
      <c r="F1085" s="577"/>
      <c r="G1085" s="578"/>
      <c r="H1085" s="577"/>
      <c r="I1085" s="577"/>
      <c r="J1085" s="577"/>
      <c r="K1085" s="577"/>
      <c r="L1085" s="577"/>
      <c r="M1085" s="578"/>
      <c r="N1085" s="578"/>
      <c r="O1085" s="577"/>
      <c r="P1085" s="577"/>
      <c r="Q1085" s="578"/>
      <c r="R1085" s="578"/>
      <c r="S1085" s="142">
        <f t="shared" si="127"/>
        <v>0</v>
      </c>
      <c r="T1085" s="142">
        <f t="shared" si="128"/>
        <v>0</v>
      </c>
      <c r="U1085" s="142">
        <f t="shared" si="129"/>
        <v>0</v>
      </c>
      <c r="W1085" s="601">
        <f t="shared" si="130"/>
        <v>0</v>
      </c>
      <c r="X1085" s="601">
        <f t="shared" si="131"/>
        <v>0</v>
      </c>
      <c r="Y1085" s="123"/>
      <c r="Z1085" s="692">
        <f t="shared" si="126"/>
        <v>0</v>
      </c>
    </row>
    <row r="1086" spans="1:26" customFormat="1" ht="12.75" thickBot="1">
      <c r="A1086" s="57" t="s">
        <v>1270</v>
      </c>
      <c r="B1086" s="25" t="s">
        <v>246</v>
      </c>
      <c r="C1086" s="25" t="s">
        <v>941</v>
      </c>
      <c r="D1086" s="694" t="s">
        <v>498</v>
      </c>
      <c r="E1086" s="579"/>
      <c r="F1086" s="577"/>
      <c r="G1086" s="578"/>
      <c r="H1086" s="577"/>
      <c r="I1086" s="577"/>
      <c r="J1086" s="577"/>
      <c r="K1086" s="577"/>
      <c r="L1086" s="577"/>
      <c r="M1086" s="578"/>
      <c r="N1086" s="578"/>
      <c r="O1086" s="577"/>
      <c r="P1086" s="577"/>
      <c r="Q1086" s="578"/>
      <c r="R1086" s="578"/>
      <c r="S1086" s="142">
        <f t="shared" si="127"/>
        <v>0</v>
      </c>
      <c r="T1086" s="142">
        <f t="shared" si="128"/>
        <v>0</v>
      </c>
      <c r="U1086" s="142">
        <f t="shared" si="129"/>
        <v>0</v>
      </c>
      <c r="W1086" s="601">
        <f t="shared" si="130"/>
        <v>0</v>
      </c>
      <c r="X1086" s="601">
        <f t="shared" si="131"/>
        <v>0</v>
      </c>
      <c r="Y1086" s="123"/>
      <c r="Z1086" s="692">
        <f t="shared" si="126"/>
        <v>0</v>
      </c>
    </row>
    <row r="1087" spans="1:26" customFormat="1" ht="12.75" thickBot="1">
      <c r="A1087" s="57" t="s">
        <v>1270</v>
      </c>
      <c r="B1087" s="25" t="s">
        <v>248</v>
      </c>
      <c r="C1087" s="25" t="s">
        <v>249</v>
      </c>
      <c r="D1087" s="694" t="s">
        <v>498</v>
      </c>
      <c r="E1087" s="579"/>
      <c r="F1087" s="577"/>
      <c r="G1087" s="578"/>
      <c r="H1087" s="577"/>
      <c r="I1087" s="577"/>
      <c r="J1087" s="577"/>
      <c r="K1087" s="577"/>
      <c r="L1087" s="577"/>
      <c r="M1087" s="578"/>
      <c r="N1087" s="578"/>
      <c r="O1087" s="577"/>
      <c r="P1087" s="577"/>
      <c r="Q1087" s="578"/>
      <c r="R1087" s="578"/>
      <c r="S1087" s="142">
        <f t="shared" si="127"/>
        <v>0</v>
      </c>
      <c r="T1087" s="142">
        <f t="shared" si="128"/>
        <v>0</v>
      </c>
      <c r="U1087" s="142">
        <f t="shared" si="129"/>
        <v>0</v>
      </c>
      <c r="W1087" s="601">
        <f t="shared" si="130"/>
        <v>0</v>
      </c>
      <c r="X1087" s="601">
        <f t="shared" si="131"/>
        <v>0</v>
      </c>
      <c r="Y1087" s="123"/>
      <c r="Z1087" s="692">
        <f t="shared" si="126"/>
        <v>0</v>
      </c>
    </row>
    <row r="1088" spans="1:26" customFormat="1" ht="12.75" thickBot="1">
      <c r="A1088" s="57" t="s">
        <v>1270</v>
      </c>
      <c r="B1088" s="25" t="s">
        <v>382</v>
      </c>
      <c r="C1088" s="25" t="s">
        <v>383</v>
      </c>
      <c r="D1088" s="694" t="s">
        <v>498</v>
      </c>
      <c r="E1088" s="579"/>
      <c r="F1088" s="577"/>
      <c r="G1088" s="578"/>
      <c r="H1088" s="577"/>
      <c r="I1088" s="577"/>
      <c r="J1088" s="577"/>
      <c r="K1088" s="577"/>
      <c r="L1088" s="577"/>
      <c r="M1088" s="578"/>
      <c r="N1088" s="578"/>
      <c r="O1088" s="577"/>
      <c r="P1088" s="577"/>
      <c r="Q1088" s="578"/>
      <c r="R1088" s="578"/>
      <c r="S1088" s="142">
        <f t="shared" si="127"/>
        <v>0</v>
      </c>
      <c r="T1088" s="142">
        <f t="shared" si="128"/>
        <v>0</v>
      </c>
      <c r="U1088" s="142">
        <f t="shared" si="129"/>
        <v>0</v>
      </c>
      <c r="W1088" s="601">
        <f t="shared" si="130"/>
        <v>0</v>
      </c>
      <c r="X1088" s="601">
        <f t="shared" si="131"/>
        <v>0</v>
      </c>
      <c r="Y1088" s="123"/>
      <c r="Z1088" s="692">
        <f t="shared" si="126"/>
        <v>0</v>
      </c>
    </row>
    <row r="1089" spans="1:26" customFormat="1" ht="12.75" thickBot="1">
      <c r="A1089" s="57" t="s">
        <v>1270</v>
      </c>
      <c r="B1089" s="25" t="s">
        <v>252</v>
      </c>
      <c r="C1089" s="25" t="s">
        <v>942</v>
      </c>
      <c r="D1089" s="694" t="s">
        <v>498</v>
      </c>
      <c r="E1089" s="579"/>
      <c r="F1089" s="577"/>
      <c r="G1089" s="578"/>
      <c r="H1089" s="577"/>
      <c r="I1089" s="577"/>
      <c r="J1089" s="577"/>
      <c r="K1089" s="577"/>
      <c r="L1089" s="577"/>
      <c r="M1089" s="578"/>
      <c r="N1089" s="578"/>
      <c r="O1089" s="577"/>
      <c r="P1089" s="577"/>
      <c r="Q1089" s="578"/>
      <c r="R1089" s="578"/>
      <c r="S1089" s="142">
        <f t="shared" si="127"/>
        <v>0</v>
      </c>
      <c r="T1089" s="142">
        <f t="shared" si="128"/>
        <v>0</v>
      </c>
      <c r="U1089" s="142">
        <f t="shared" si="129"/>
        <v>0</v>
      </c>
      <c r="W1089" s="601">
        <f t="shared" si="130"/>
        <v>0</v>
      </c>
      <c r="X1089" s="601">
        <f t="shared" si="131"/>
        <v>0</v>
      </c>
      <c r="Y1089" s="123"/>
      <c r="Z1089" s="692">
        <f t="shared" si="126"/>
        <v>0</v>
      </c>
    </row>
    <row r="1090" spans="1:26" customFormat="1" ht="12.75" thickBot="1">
      <c r="A1090" s="57" t="s">
        <v>1270</v>
      </c>
      <c r="B1090" s="25" t="s">
        <v>388</v>
      </c>
      <c r="C1090" s="25" t="s">
        <v>389</v>
      </c>
      <c r="D1090" s="694" t="s">
        <v>498</v>
      </c>
      <c r="E1090" s="579"/>
      <c r="F1090" s="577"/>
      <c r="G1090" s="578"/>
      <c r="H1090" s="577"/>
      <c r="I1090" s="577"/>
      <c r="J1090" s="577"/>
      <c r="K1090" s="577"/>
      <c r="L1090" s="577"/>
      <c r="M1090" s="578"/>
      <c r="N1090" s="578"/>
      <c r="O1090" s="577"/>
      <c r="P1090" s="577"/>
      <c r="Q1090" s="578"/>
      <c r="R1090" s="578"/>
      <c r="S1090" s="142">
        <f t="shared" si="127"/>
        <v>0</v>
      </c>
      <c r="T1090" s="142">
        <f t="shared" si="128"/>
        <v>0</v>
      </c>
      <c r="U1090" s="142">
        <f t="shared" si="129"/>
        <v>0</v>
      </c>
      <c r="W1090" s="601">
        <f t="shared" si="130"/>
        <v>0</v>
      </c>
      <c r="X1090" s="601">
        <f t="shared" si="131"/>
        <v>0</v>
      </c>
      <c r="Y1090" s="123"/>
      <c r="Z1090" s="692">
        <f t="shared" si="126"/>
        <v>0</v>
      </c>
    </row>
    <row r="1091" spans="1:26" customFormat="1" ht="12.75" thickBot="1">
      <c r="A1091" s="57" t="s">
        <v>1270</v>
      </c>
      <c r="B1091" s="25" t="s">
        <v>259</v>
      </c>
      <c r="C1091" s="25" t="s">
        <v>260</v>
      </c>
      <c r="D1091" s="694" t="s">
        <v>498</v>
      </c>
      <c r="E1091" s="579"/>
      <c r="F1091" s="577"/>
      <c r="G1091" s="578"/>
      <c r="H1091" s="577"/>
      <c r="I1091" s="577"/>
      <c r="J1091" s="577"/>
      <c r="K1091" s="577"/>
      <c r="L1091" s="577"/>
      <c r="M1091" s="578"/>
      <c r="N1091" s="578"/>
      <c r="O1091" s="577"/>
      <c r="P1091" s="577"/>
      <c r="Q1091" s="578"/>
      <c r="R1091" s="578"/>
      <c r="S1091" s="142">
        <f t="shared" si="127"/>
        <v>0</v>
      </c>
      <c r="T1091" s="142">
        <f t="shared" si="128"/>
        <v>0</v>
      </c>
      <c r="U1091" s="142">
        <f t="shared" si="129"/>
        <v>0</v>
      </c>
      <c r="W1091" s="601">
        <f t="shared" si="130"/>
        <v>0</v>
      </c>
      <c r="X1091" s="601">
        <f t="shared" si="131"/>
        <v>0</v>
      </c>
      <c r="Y1091" s="123"/>
      <c r="Z1091" s="692">
        <f t="shared" si="126"/>
        <v>0</v>
      </c>
    </row>
    <row r="1092" spans="1:26" customFormat="1" ht="12.75" thickBot="1">
      <c r="A1092" s="57" t="s">
        <v>1270</v>
      </c>
      <c r="B1092" s="25" t="s">
        <v>261</v>
      </c>
      <c r="C1092" s="25" t="s">
        <v>262</v>
      </c>
      <c r="D1092" s="694" t="s">
        <v>498</v>
      </c>
      <c r="E1092" s="579"/>
      <c r="F1092" s="577"/>
      <c r="G1092" s="578"/>
      <c r="H1092" s="577"/>
      <c r="I1092" s="577"/>
      <c r="J1092" s="577"/>
      <c r="K1092" s="577"/>
      <c r="L1092" s="577"/>
      <c r="M1092" s="578"/>
      <c r="N1092" s="578"/>
      <c r="O1092" s="577"/>
      <c r="P1092" s="577"/>
      <c r="Q1092" s="578"/>
      <c r="R1092" s="578"/>
      <c r="S1092" s="142">
        <f t="shared" si="127"/>
        <v>0</v>
      </c>
      <c r="T1092" s="142">
        <f t="shared" si="128"/>
        <v>0</v>
      </c>
      <c r="U1092" s="142">
        <f t="shared" si="129"/>
        <v>0</v>
      </c>
      <c r="W1092" s="601">
        <f t="shared" si="130"/>
        <v>0</v>
      </c>
      <c r="X1092" s="601">
        <f t="shared" si="131"/>
        <v>0</v>
      </c>
      <c r="Y1092" s="123"/>
      <c r="Z1092" s="692">
        <f t="shared" si="126"/>
        <v>0</v>
      </c>
    </row>
    <row r="1093" spans="1:26" customFormat="1" ht="12.75" thickBot="1">
      <c r="A1093" s="57" t="s">
        <v>1270</v>
      </c>
      <c r="B1093" s="25" t="s">
        <v>263</v>
      </c>
      <c r="C1093" s="25" t="s">
        <v>943</v>
      </c>
      <c r="D1093" s="694" t="s">
        <v>498</v>
      </c>
      <c r="E1093" s="579"/>
      <c r="F1093" s="577"/>
      <c r="G1093" s="578"/>
      <c r="H1093" s="577"/>
      <c r="I1093" s="577"/>
      <c r="J1093" s="577"/>
      <c r="K1093" s="577"/>
      <c r="L1093" s="577"/>
      <c r="M1093" s="578"/>
      <c r="N1093" s="578"/>
      <c r="O1093" s="577"/>
      <c r="P1093" s="577"/>
      <c r="Q1093" s="578"/>
      <c r="R1093" s="578"/>
      <c r="S1093" s="142">
        <f t="shared" si="127"/>
        <v>0</v>
      </c>
      <c r="T1093" s="142">
        <f t="shared" si="128"/>
        <v>0</v>
      </c>
      <c r="U1093" s="142">
        <f t="shared" si="129"/>
        <v>0</v>
      </c>
      <c r="W1093" s="601">
        <f t="shared" si="130"/>
        <v>0</v>
      </c>
      <c r="X1093" s="601">
        <f t="shared" si="131"/>
        <v>0</v>
      </c>
      <c r="Y1093" s="123"/>
      <c r="Z1093" s="692">
        <f t="shared" si="126"/>
        <v>0</v>
      </c>
    </row>
    <row r="1094" spans="1:26" customFormat="1" ht="12.75" thickBot="1">
      <c r="A1094" s="57" t="s">
        <v>1270</v>
      </c>
      <c r="B1094" s="25" t="s">
        <v>264</v>
      </c>
      <c r="C1094" s="25" t="s">
        <v>944</v>
      </c>
      <c r="D1094" s="694" t="s">
        <v>498</v>
      </c>
      <c r="E1094" s="579"/>
      <c r="F1094" s="577"/>
      <c r="G1094" s="578"/>
      <c r="H1094" s="577"/>
      <c r="I1094" s="577"/>
      <c r="J1094" s="577"/>
      <c r="K1094" s="577"/>
      <c r="L1094" s="577"/>
      <c r="M1094" s="578"/>
      <c r="N1094" s="578"/>
      <c r="O1094" s="577"/>
      <c r="P1094" s="577"/>
      <c r="Q1094" s="578"/>
      <c r="R1094" s="578"/>
      <c r="S1094" s="142">
        <f t="shared" si="127"/>
        <v>0</v>
      </c>
      <c r="T1094" s="142">
        <f t="shared" si="128"/>
        <v>0</v>
      </c>
      <c r="U1094" s="142">
        <f t="shared" si="129"/>
        <v>0</v>
      </c>
      <c r="W1094" s="601">
        <f t="shared" si="130"/>
        <v>0</v>
      </c>
      <c r="X1094" s="601">
        <f t="shared" si="131"/>
        <v>0</v>
      </c>
      <c r="Y1094" s="123"/>
      <c r="Z1094" s="692">
        <f t="shared" si="126"/>
        <v>0</v>
      </c>
    </row>
    <row r="1095" spans="1:26" customFormat="1" ht="12.75" thickBot="1">
      <c r="A1095" s="57" t="s">
        <v>1270</v>
      </c>
      <c r="B1095" s="25" t="s">
        <v>265</v>
      </c>
      <c r="C1095" s="25" t="s">
        <v>266</v>
      </c>
      <c r="D1095" s="694" t="s">
        <v>498</v>
      </c>
      <c r="E1095" s="579"/>
      <c r="F1095" s="577"/>
      <c r="G1095" s="578"/>
      <c r="H1095" s="577"/>
      <c r="I1095" s="577"/>
      <c r="J1095" s="577"/>
      <c r="K1095" s="577"/>
      <c r="L1095" s="577"/>
      <c r="M1095" s="578"/>
      <c r="N1095" s="578"/>
      <c r="O1095" s="577"/>
      <c r="P1095" s="577"/>
      <c r="Q1095" s="578"/>
      <c r="R1095" s="578"/>
      <c r="S1095" s="142">
        <f t="shared" si="127"/>
        <v>0</v>
      </c>
      <c r="T1095" s="142">
        <f t="shared" si="128"/>
        <v>0</v>
      </c>
      <c r="U1095" s="142">
        <f t="shared" si="129"/>
        <v>0</v>
      </c>
      <c r="W1095" s="601">
        <f t="shared" si="130"/>
        <v>0</v>
      </c>
      <c r="X1095" s="601">
        <f t="shared" si="131"/>
        <v>0</v>
      </c>
      <c r="Y1095" s="123"/>
      <c r="Z1095" s="692">
        <f t="shared" si="126"/>
        <v>0</v>
      </c>
    </row>
    <row r="1096" spans="1:26" customFormat="1" ht="12.75" thickBot="1">
      <c r="A1096" s="57" t="s">
        <v>1270</v>
      </c>
      <c r="B1096" s="25" t="s">
        <v>267</v>
      </c>
      <c r="C1096" s="25" t="s">
        <v>945</v>
      </c>
      <c r="D1096" s="694" t="s">
        <v>498</v>
      </c>
      <c r="E1096" s="579"/>
      <c r="F1096" s="577"/>
      <c r="G1096" s="578"/>
      <c r="H1096" s="577"/>
      <c r="I1096" s="577"/>
      <c r="J1096" s="577"/>
      <c r="K1096" s="577"/>
      <c r="L1096" s="577"/>
      <c r="M1096" s="578"/>
      <c r="N1096" s="578"/>
      <c r="O1096" s="577"/>
      <c r="P1096" s="577"/>
      <c r="Q1096" s="578"/>
      <c r="R1096" s="578"/>
      <c r="S1096" s="142">
        <f t="shared" si="127"/>
        <v>0</v>
      </c>
      <c r="T1096" s="142">
        <f t="shared" si="128"/>
        <v>0</v>
      </c>
      <c r="U1096" s="142">
        <f t="shared" si="129"/>
        <v>0</v>
      </c>
      <c r="W1096" s="601">
        <f t="shared" si="130"/>
        <v>0</v>
      </c>
      <c r="X1096" s="601">
        <f t="shared" si="131"/>
        <v>0</v>
      </c>
      <c r="Y1096" s="123"/>
      <c r="Z1096" s="692">
        <f t="shared" si="126"/>
        <v>0</v>
      </c>
    </row>
    <row r="1097" spans="1:26" customFormat="1" ht="12.75" thickBot="1">
      <c r="A1097" s="57" t="s">
        <v>1270</v>
      </c>
      <c r="B1097" s="25" t="s">
        <v>392</v>
      </c>
      <c r="C1097" s="25" t="s">
        <v>946</v>
      </c>
      <c r="D1097" s="694" t="s">
        <v>498</v>
      </c>
      <c r="E1097" s="579"/>
      <c r="F1097" s="577"/>
      <c r="G1097" s="578"/>
      <c r="H1097" s="577"/>
      <c r="I1097" s="577"/>
      <c r="J1097" s="577"/>
      <c r="K1097" s="577"/>
      <c r="L1097" s="577"/>
      <c r="M1097" s="578"/>
      <c r="N1097" s="578"/>
      <c r="O1097" s="577"/>
      <c r="P1097" s="577"/>
      <c r="Q1097" s="578"/>
      <c r="R1097" s="578"/>
      <c r="S1097" s="142">
        <f t="shared" si="127"/>
        <v>0</v>
      </c>
      <c r="T1097" s="142">
        <f t="shared" si="128"/>
        <v>0</v>
      </c>
      <c r="U1097" s="142">
        <f t="shared" si="129"/>
        <v>0</v>
      </c>
      <c r="W1097" s="601">
        <f t="shared" si="130"/>
        <v>0</v>
      </c>
      <c r="X1097" s="601">
        <f t="shared" si="131"/>
        <v>0</v>
      </c>
      <c r="Y1097" s="123"/>
      <c r="Z1097" s="692">
        <f t="shared" si="126"/>
        <v>0</v>
      </c>
    </row>
    <row r="1098" spans="1:26" customFormat="1" ht="12.75" thickBot="1">
      <c r="A1098" s="57" t="s">
        <v>1270</v>
      </c>
      <c r="B1098" s="25" t="s">
        <v>268</v>
      </c>
      <c r="C1098" s="25" t="s">
        <v>947</v>
      </c>
      <c r="D1098" s="694" t="s">
        <v>498</v>
      </c>
      <c r="E1098" s="579"/>
      <c r="F1098" s="577"/>
      <c r="G1098" s="578"/>
      <c r="H1098" s="577"/>
      <c r="I1098" s="577"/>
      <c r="J1098" s="577"/>
      <c r="K1098" s="577"/>
      <c r="L1098" s="577"/>
      <c r="M1098" s="578"/>
      <c r="N1098" s="578"/>
      <c r="O1098" s="577"/>
      <c r="P1098" s="577"/>
      <c r="Q1098" s="578"/>
      <c r="R1098" s="578"/>
      <c r="S1098" s="142">
        <f t="shared" si="127"/>
        <v>0</v>
      </c>
      <c r="T1098" s="142">
        <f t="shared" si="128"/>
        <v>0</v>
      </c>
      <c r="U1098" s="142">
        <f t="shared" si="129"/>
        <v>0</v>
      </c>
      <c r="W1098" s="601">
        <f t="shared" si="130"/>
        <v>0</v>
      </c>
      <c r="X1098" s="601">
        <f t="shared" si="131"/>
        <v>0</v>
      </c>
      <c r="Y1098" s="123"/>
      <c r="Z1098" s="692">
        <f t="shared" si="126"/>
        <v>0</v>
      </c>
    </row>
    <row r="1099" spans="1:26" customFormat="1" ht="12.75" thickBot="1">
      <c r="A1099" s="57" t="s">
        <v>1270</v>
      </c>
      <c r="B1099" s="25" t="s">
        <v>269</v>
      </c>
      <c r="C1099" s="25" t="s">
        <v>948</v>
      </c>
      <c r="D1099" s="694" t="s">
        <v>498</v>
      </c>
      <c r="E1099" s="579"/>
      <c r="F1099" s="577"/>
      <c r="G1099" s="578"/>
      <c r="H1099" s="577"/>
      <c r="I1099" s="577"/>
      <c r="J1099" s="577"/>
      <c r="K1099" s="577"/>
      <c r="L1099" s="577"/>
      <c r="M1099" s="578"/>
      <c r="N1099" s="578"/>
      <c r="O1099" s="577"/>
      <c r="P1099" s="577"/>
      <c r="Q1099" s="578"/>
      <c r="R1099" s="578"/>
      <c r="S1099" s="142">
        <f t="shared" si="127"/>
        <v>0</v>
      </c>
      <c r="T1099" s="142">
        <f t="shared" si="128"/>
        <v>0</v>
      </c>
      <c r="U1099" s="142">
        <f t="shared" si="129"/>
        <v>0</v>
      </c>
      <c r="W1099" s="601">
        <f t="shared" si="130"/>
        <v>0</v>
      </c>
      <c r="X1099" s="601">
        <f t="shared" si="131"/>
        <v>0</v>
      </c>
      <c r="Y1099" s="123"/>
      <c r="Z1099" s="692">
        <f t="shared" si="126"/>
        <v>0</v>
      </c>
    </row>
    <row r="1100" spans="1:26" customFormat="1" ht="12.75" thickBot="1">
      <c r="A1100" s="57" t="s">
        <v>1270</v>
      </c>
      <c r="B1100" s="25" t="s">
        <v>393</v>
      </c>
      <c r="C1100" s="25" t="s">
        <v>949</v>
      </c>
      <c r="D1100" s="694" t="s">
        <v>498</v>
      </c>
      <c r="E1100" s="579"/>
      <c r="F1100" s="577"/>
      <c r="G1100" s="578"/>
      <c r="H1100" s="577"/>
      <c r="I1100" s="577"/>
      <c r="J1100" s="577"/>
      <c r="K1100" s="577"/>
      <c r="L1100" s="577"/>
      <c r="M1100" s="578"/>
      <c r="N1100" s="578"/>
      <c r="O1100" s="577"/>
      <c r="P1100" s="577"/>
      <c r="Q1100" s="578"/>
      <c r="R1100" s="578"/>
      <c r="S1100" s="142">
        <f t="shared" si="127"/>
        <v>0</v>
      </c>
      <c r="T1100" s="142">
        <f t="shared" si="128"/>
        <v>0</v>
      </c>
      <c r="U1100" s="142">
        <f t="shared" si="129"/>
        <v>0</v>
      </c>
      <c r="W1100" s="601">
        <f t="shared" si="130"/>
        <v>0</v>
      </c>
      <c r="X1100" s="601">
        <f t="shared" si="131"/>
        <v>0</v>
      </c>
      <c r="Y1100" s="123"/>
      <c r="Z1100" s="692">
        <f t="shared" si="126"/>
        <v>0</v>
      </c>
    </row>
    <row r="1101" spans="1:26" customFormat="1" ht="12.75" thickBot="1">
      <c r="A1101" s="57" t="s">
        <v>1270</v>
      </c>
      <c r="B1101" s="25" t="s">
        <v>394</v>
      </c>
      <c r="C1101" s="25" t="s">
        <v>950</v>
      </c>
      <c r="D1101" s="694" t="s">
        <v>498</v>
      </c>
      <c r="E1101" s="579"/>
      <c r="F1101" s="577"/>
      <c r="G1101" s="578"/>
      <c r="H1101" s="577"/>
      <c r="I1101" s="577"/>
      <c r="J1101" s="577"/>
      <c r="K1101" s="577"/>
      <c r="L1101" s="577"/>
      <c r="M1101" s="578"/>
      <c r="N1101" s="578"/>
      <c r="O1101" s="577"/>
      <c r="P1101" s="577"/>
      <c r="Q1101" s="578"/>
      <c r="R1101" s="578"/>
      <c r="S1101" s="142">
        <f t="shared" si="127"/>
        <v>0</v>
      </c>
      <c r="T1101" s="142">
        <f t="shared" si="128"/>
        <v>0</v>
      </c>
      <c r="U1101" s="142">
        <f t="shared" si="129"/>
        <v>0</v>
      </c>
      <c r="W1101" s="601">
        <f t="shared" si="130"/>
        <v>0</v>
      </c>
      <c r="X1101" s="601">
        <f t="shared" si="131"/>
        <v>0</v>
      </c>
      <c r="Y1101" s="123"/>
      <c r="Z1101" s="692">
        <f t="shared" si="126"/>
        <v>0</v>
      </c>
    </row>
    <row r="1102" spans="1:26" customFormat="1" ht="12.75" thickBot="1">
      <c r="A1102" s="57" t="s">
        <v>1270</v>
      </c>
      <c r="B1102" s="25" t="s">
        <v>398</v>
      </c>
      <c r="C1102" s="25" t="s">
        <v>951</v>
      </c>
      <c r="D1102" s="694" t="s">
        <v>498</v>
      </c>
      <c r="E1102" s="579"/>
      <c r="F1102" s="577"/>
      <c r="G1102" s="578"/>
      <c r="H1102" s="577"/>
      <c r="I1102" s="577"/>
      <c r="J1102" s="577"/>
      <c r="K1102" s="577"/>
      <c r="L1102" s="577"/>
      <c r="M1102" s="578"/>
      <c r="N1102" s="578"/>
      <c r="O1102" s="577"/>
      <c r="P1102" s="577"/>
      <c r="Q1102" s="578"/>
      <c r="R1102" s="578"/>
      <c r="S1102" s="142">
        <f t="shared" si="127"/>
        <v>0</v>
      </c>
      <c r="T1102" s="142">
        <f t="shared" si="128"/>
        <v>0</v>
      </c>
      <c r="U1102" s="142">
        <f t="shared" si="129"/>
        <v>0</v>
      </c>
      <c r="W1102" s="601">
        <f t="shared" si="130"/>
        <v>0</v>
      </c>
      <c r="X1102" s="601">
        <f t="shared" si="131"/>
        <v>0</v>
      </c>
      <c r="Y1102" s="123"/>
      <c r="Z1102" s="692">
        <f t="shared" si="126"/>
        <v>0</v>
      </c>
    </row>
    <row r="1103" spans="1:26" customFormat="1" ht="12.75" thickBot="1">
      <c r="A1103" s="57" t="s">
        <v>1270</v>
      </c>
      <c r="B1103" s="25" t="s">
        <v>395</v>
      </c>
      <c r="C1103" s="25" t="s">
        <v>952</v>
      </c>
      <c r="D1103" s="694" t="s">
        <v>498</v>
      </c>
      <c r="E1103" s="579"/>
      <c r="F1103" s="577"/>
      <c r="G1103" s="578"/>
      <c r="H1103" s="577"/>
      <c r="I1103" s="577"/>
      <c r="J1103" s="577"/>
      <c r="K1103" s="577"/>
      <c r="L1103" s="577"/>
      <c r="M1103" s="578"/>
      <c r="N1103" s="578"/>
      <c r="O1103" s="577"/>
      <c r="P1103" s="577"/>
      <c r="Q1103" s="578"/>
      <c r="R1103" s="578"/>
      <c r="S1103" s="142">
        <f t="shared" si="127"/>
        <v>0</v>
      </c>
      <c r="T1103" s="142">
        <f t="shared" si="128"/>
        <v>0</v>
      </c>
      <c r="U1103" s="142">
        <f t="shared" si="129"/>
        <v>0</v>
      </c>
      <c r="W1103" s="601">
        <f t="shared" si="130"/>
        <v>0</v>
      </c>
      <c r="X1103" s="601">
        <f t="shared" si="131"/>
        <v>0</v>
      </c>
      <c r="Y1103" s="123"/>
      <c r="Z1103" s="692">
        <f t="shared" si="126"/>
        <v>0</v>
      </c>
    </row>
    <row r="1104" spans="1:26" customFormat="1" ht="12.75" thickBot="1">
      <c r="A1104" s="57" t="s">
        <v>1270</v>
      </c>
      <c r="B1104" s="25" t="s">
        <v>396</v>
      </c>
      <c r="C1104" s="25" t="s">
        <v>953</v>
      </c>
      <c r="D1104" s="694" t="s">
        <v>498</v>
      </c>
      <c r="E1104" s="579"/>
      <c r="F1104" s="577"/>
      <c r="G1104" s="578"/>
      <c r="H1104" s="577"/>
      <c r="I1104" s="577"/>
      <c r="J1104" s="577"/>
      <c r="K1104" s="577"/>
      <c r="L1104" s="577"/>
      <c r="M1104" s="578"/>
      <c r="N1104" s="578"/>
      <c r="O1104" s="577"/>
      <c r="P1104" s="577"/>
      <c r="Q1104" s="578"/>
      <c r="R1104" s="578"/>
      <c r="S1104" s="142">
        <f t="shared" si="127"/>
        <v>0</v>
      </c>
      <c r="T1104" s="142">
        <f t="shared" si="128"/>
        <v>0</v>
      </c>
      <c r="U1104" s="142">
        <f t="shared" si="129"/>
        <v>0</v>
      </c>
      <c r="W1104" s="601">
        <f t="shared" si="130"/>
        <v>0</v>
      </c>
      <c r="X1104" s="601">
        <f t="shared" si="131"/>
        <v>0</v>
      </c>
      <c r="Y1104" s="123"/>
      <c r="Z1104" s="692">
        <f t="shared" ref="Z1104:Z1163" si="132">SUM(F1104:K1104)</f>
        <v>0</v>
      </c>
    </row>
    <row r="1105" spans="1:26" customFormat="1" ht="12.75" thickBot="1">
      <c r="A1105" s="57" t="s">
        <v>1270</v>
      </c>
      <c r="B1105" s="25" t="s">
        <v>397</v>
      </c>
      <c r="C1105" s="25" t="s">
        <v>954</v>
      </c>
      <c r="D1105" s="694" t="s">
        <v>498</v>
      </c>
      <c r="E1105" s="579"/>
      <c r="F1105" s="577"/>
      <c r="G1105" s="578"/>
      <c r="H1105" s="577"/>
      <c r="I1105" s="577"/>
      <c r="J1105" s="577"/>
      <c r="K1105" s="577"/>
      <c r="L1105" s="577"/>
      <c r="M1105" s="578"/>
      <c r="N1105" s="578"/>
      <c r="O1105" s="577"/>
      <c r="P1105" s="577"/>
      <c r="Q1105" s="578"/>
      <c r="R1105" s="578"/>
      <c r="S1105" s="142">
        <f t="shared" si="127"/>
        <v>0</v>
      </c>
      <c r="T1105" s="142">
        <f t="shared" si="128"/>
        <v>0</v>
      </c>
      <c r="U1105" s="142">
        <f t="shared" si="129"/>
        <v>0</v>
      </c>
      <c r="W1105" s="601">
        <f t="shared" si="130"/>
        <v>0</v>
      </c>
      <c r="X1105" s="601">
        <f t="shared" si="131"/>
        <v>0</v>
      </c>
      <c r="Y1105" s="123"/>
      <c r="Z1105" s="692">
        <f t="shared" si="132"/>
        <v>0</v>
      </c>
    </row>
    <row r="1106" spans="1:26" customFormat="1" ht="12.75" thickBot="1">
      <c r="A1106" s="57" t="s">
        <v>1270</v>
      </c>
      <c r="B1106" s="25" t="s">
        <v>287</v>
      </c>
      <c r="C1106" s="25" t="s">
        <v>955</v>
      </c>
      <c r="D1106" s="694" t="s">
        <v>498</v>
      </c>
      <c r="E1106" s="579"/>
      <c r="F1106" s="577"/>
      <c r="G1106" s="578"/>
      <c r="H1106" s="577"/>
      <c r="I1106" s="577"/>
      <c r="J1106" s="577"/>
      <c r="K1106" s="577"/>
      <c r="L1106" s="577"/>
      <c r="M1106" s="578"/>
      <c r="N1106" s="578"/>
      <c r="O1106" s="577"/>
      <c r="P1106" s="577"/>
      <c r="Q1106" s="578"/>
      <c r="R1106" s="578"/>
      <c r="S1106" s="142">
        <f t="shared" si="127"/>
        <v>0</v>
      </c>
      <c r="T1106" s="142">
        <f t="shared" si="128"/>
        <v>0</v>
      </c>
      <c r="U1106" s="142">
        <f t="shared" si="129"/>
        <v>0</v>
      </c>
      <c r="W1106" s="601">
        <f t="shared" si="130"/>
        <v>0</v>
      </c>
      <c r="X1106" s="601">
        <f t="shared" si="131"/>
        <v>0</v>
      </c>
      <c r="Y1106" s="123"/>
      <c r="Z1106" s="692">
        <f t="shared" si="132"/>
        <v>0</v>
      </c>
    </row>
    <row r="1107" spans="1:26" customFormat="1" ht="12.75" thickBot="1">
      <c r="A1107" s="57" t="s">
        <v>1270</v>
      </c>
      <c r="B1107" s="25" t="s">
        <v>288</v>
      </c>
      <c r="C1107" s="25" t="s">
        <v>956</v>
      </c>
      <c r="D1107" s="694" t="s">
        <v>498</v>
      </c>
      <c r="E1107" s="579"/>
      <c r="F1107" s="577"/>
      <c r="G1107" s="578"/>
      <c r="H1107" s="577"/>
      <c r="I1107" s="577"/>
      <c r="J1107" s="577"/>
      <c r="K1107" s="577"/>
      <c r="L1107" s="577"/>
      <c r="M1107" s="578"/>
      <c r="N1107" s="578"/>
      <c r="O1107" s="577"/>
      <c r="P1107" s="577"/>
      <c r="Q1107" s="578"/>
      <c r="R1107" s="578"/>
      <c r="S1107" s="142">
        <f t="shared" si="127"/>
        <v>0</v>
      </c>
      <c r="T1107" s="142">
        <f t="shared" si="128"/>
        <v>0</v>
      </c>
      <c r="U1107" s="142">
        <f t="shared" si="129"/>
        <v>0</v>
      </c>
      <c r="W1107" s="601">
        <f t="shared" si="130"/>
        <v>0</v>
      </c>
      <c r="X1107" s="601">
        <f t="shared" si="131"/>
        <v>0</v>
      </c>
      <c r="Y1107" s="123"/>
      <c r="Z1107" s="692">
        <f t="shared" si="132"/>
        <v>0</v>
      </c>
    </row>
    <row r="1108" spans="1:26" customFormat="1" ht="12.75" thickBot="1">
      <c r="A1108" s="57" t="s">
        <v>1270</v>
      </c>
      <c r="B1108" s="25" t="s">
        <v>291</v>
      </c>
      <c r="C1108" s="25" t="s">
        <v>957</v>
      </c>
      <c r="D1108" s="694" t="s">
        <v>498</v>
      </c>
      <c r="E1108" s="579"/>
      <c r="F1108" s="577"/>
      <c r="G1108" s="578"/>
      <c r="H1108" s="577"/>
      <c r="I1108" s="577"/>
      <c r="J1108" s="577"/>
      <c r="K1108" s="577"/>
      <c r="L1108" s="577"/>
      <c r="M1108" s="578"/>
      <c r="N1108" s="578"/>
      <c r="O1108" s="577"/>
      <c r="P1108" s="577"/>
      <c r="Q1108" s="578"/>
      <c r="R1108" s="578"/>
      <c r="S1108" s="142">
        <f t="shared" si="127"/>
        <v>0</v>
      </c>
      <c r="T1108" s="142">
        <f t="shared" si="128"/>
        <v>0</v>
      </c>
      <c r="U1108" s="142">
        <f t="shared" si="129"/>
        <v>0</v>
      </c>
      <c r="W1108" s="601">
        <f t="shared" si="130"/>
        <v>0</v>
      </c>
      <c r="X1108" s="601">
        <f t="shared" si="131"/>
        <v>0</v>
      </c>
      <c r="Y1108" s="123"/>
      <c r="Z1108" s="692">
        <f t="shared" si="132"/>
        <v>0</v>
      </c>
    </row>
    <row r="1109" spans="1:26" customFormat="1" ht="12.75" thickBot="1">
      <c r="A1109" s="57" t="s">
        <v>1270</v>
      </c>
      <c r="B1109" s="25" t="s">
        <v>297</v>
      </c>
      <c r="C1109" s="25" t="s">
        <v>958</v>
      </c>
      <c r="D1109" s="694" t="s">
        <v>498</v>
      </c>
      <c r="E1109" s="579"/>
      <c r="F1109" s="577"/>
      <c r="G1109" s="578"/>
      <c r="H1109" s="577"/>
      <c r="I1109" s="577"/>
      <c r="J1109" s="577"/>
      <c r="K1109" s="577"/>
      <c r="L1109" s="577"/>
      <c r="M1109" s="578"/>
      <c r="N1109" s="578"/>
      <c r="O1109" s="577"/>
      <c r="P1109" s="577"/>
      <c r="Q1109" s="578"/>
      <c r="R1109" s="578"/>
      <c r="S1109" s="142">
        <f t="shared" si="127"/>
        <v>0</v>
      </c>
      <c r="T1109" s="142">
        <f t="shared" si="128"/>
        <v>0</v>
      </c>
      <c r="U1109" s="142">
        <f t="shared" si="129"/>
        <v>0</v>
      </c>
      <c r="W1109" s="601">
        <f t="shared" si="130"/>
        <v>0</v>
      </c>
      <c r="X1109" s="601">
        <f t="shared" si="131"/>
        <v>0</v>
      </c>
      <c r="Y1109" s="123"/>
      <c r="Z1109" s="692">
        <f t="shared" si="132"/>
        <v>0</v>
      </c>
    </row>
    <row r="1110" spans="1:26" customFormat="1" ht="12.75" thickBot="1">
      <c r="A1110" s="57" t="s">
        <v>1270</v>
      </c>
      <c r="B1110" s="25" t="s">
        <v>299</v>
      </c>
      <c r="C1110" s="25" t="s">
        <v>959</v>
      </c>
      <c r="D1110" s="694" t="s">
        <v>498</v>
      </c>
      <c r="E1110" s="579"/>
      <c r="F1110" s="577"/>
      <c r="G1110" s="578"/>
      <c r="H1110" s="577"/>
      <c r="I1110" s="577"/>
      <c r="J1110" s="577"/>
      <c r="K1110" s="577"/>
      <c r="L1110" s="577"/>
      <c r="M1110" s="578"/>
      <c r="N1110" s="578"/>
      <c r="O1110" s="577"/>
      <c r="P1110" s="577"/>
      <c r="Q1110" s="578"/>
      <c r="R1110" s="578"/>
      <c r="S1110" s="142">
        <f t="shared" si="127"/>
        <v>0</v>
      </c>
      <c r="T1110" s="142">
        <f t="shared" si="128"/>
        <v>0</v>
      </c>
      <c r="U1110" s="142">
        <f t="shared" si="129"/>
        <v>0</v>
      </c>
      <c r="W1110" s="601">
        <f t="shared" si="130"/>
        <v>0</v>
      </c>
      <c r="X1110" s="601">
        <f t="shared" si="131"/>
        <v>0</v>
      </c>
      <c r="Y1110" s="123"/>
      <c r="Z1110" s="692">
        <f t="shared" si="132"/>
        <v>0</v>
      </c>
    </row>
    <row r="1111" spans="1:26" customFormat="1" ht="12.75" thickBot="1">
      <c r="A1111" s="57" t="s">
        <v>1270</v>
      </c>
      <c r="B1111" s="25" t="s">
        <v>377</v>
      </c>
      <c r="C1111" s="25" t="s">
        <v>960</v>
      </c>
      <c r="D1111" s="694" t="s">
        <v>606</v>
      </c>
      <c r="E1111" s="579"/>
      <c r="F1111" s="577"/>
      <c r="G1111" s="578"/>
      <c r="H1111" s="577"/>
      <c r="I1111" s="577"/>
      <c r="J1111" s="577"/>
      <c r="K1111" s="577"/>
      <c r="L1111" s="577"/>
      <c r="M1111" s="578"/>
      <c r="N1111" s="578"/>
      <c r="O1111" s="577"/>
      <c r="P1111" s="577"/>
      <c r="Q1111" s="577"/>
      <c r="R1111" s="578"/>
      <c r="S1111" s="142">
        <f t="shared" si="127"/>
        <v>0</v>
      </c>
      <c r="T1111" s="142">
        <f t="shared" si="128"/>
        <v>0</v>
      </c>
      <c r="U1111" s="142">
        <f t="shared" si="129"/>
        <v>0</v>
      </c>
      <c r="W1111" s="601">
        <f t="shared" si="130"/>
        <v>0</v>
      </c>
      <c r="X1111" s="601">
        <f t="shared" si="131"/>
        <v>0</v>
      </c>
      <c r="Y1111" s="123"/>
      <c r="Z1111" s="692">
        <f t="shared" si="132"/>
        <v>0</v>
      </c>
    </row>
    <row r="1112" spans="1:26" customFormat="1" ht="12.75" thickBot="1">
      <c r="A1112" s="57" t="s">
        <v>1270</v>
      </c>
      <c r="B1112" s="25" t="s">
        <v>737</v>
      </c>
      <c r="C1112" s="25" t="s">
        <v>961</v>
      </c>
      <c r="D1112" s="694" t="s">
        <v>606</v>
      </c>
      <c r="E1112" s="579"/>
      <c r="F1112" s="577"/>
      <c r="G1112" s="578"/>
      <c r="H1112" s="577"/>
      <c r="I1112" s="577"/>
      <c r="J1112" s="577"/>
      <c r="K1112" s="577"/>
      <c r="L1112" s="577"/>
      <c r="M1112" s="578"/>
      <c r="N1112" s="578"/>
      <c r="O1112" s="577"/>
      <c r="P1112" s="577"/>
      <c r="Q1112" s="577"/>
      <c r="R1112" s="578"/>
      <c r="S1112" s="142">
        <f t="shared" ref="S1112:S1172" si="133">G1112+H1112+I1112</f>
        <v>0</v>
      </c>
      <c r="T1112" s="142">
        <f t="shared" ref="T1112:T1172" si="134">J1112+K1112</f>
        <v>0</v>
      </c>
      <c r="U1112" s="142">
        <f t="shared" ref="U1112:U1172" si="135">N1112+O1112</f>
        <v>0</v>
      </c>
      <c r="W1112" s="601">
        <f t="shared" si="130"/>
        <v>0</v>
      </c>
      <c r="X1112" s="601">
        <f t="shared" si="131"/>
        <v>0</v>
      </c>
      <c r="Y1112" s="123"/>
      <c r="Z1112" s="692">
        <f t="shared" si="132"/>
        <v>0</v>
      </c>
    </row>
    <row r="1113" spans="1:26" customFormat="1" ht="12.75" thickBot="1">
      <c r="A1113" s="57" t="s">
        <v>1270</v>
      </c>
      <c r="B1113" s="25" t="s">
        <v>329</v>
      </c>
      <c r="C1113" s="25" t="s">
        <v>962</v>
      </c>
      <c r="D1113" s="694" t="s">
        <v>606</v>
      </c>
      <c r="E1113" s="579"/>
      <c r="F1113" s="577"/>
      <c r="G1113" s="578"/>
      <c r="H1113" s="577"/>
      <c r="I1113" s="577"/>
      <c r="J1113" s="577"/>
      <c r="K1113" s="577"/>
      <c r="L1113" s="577"/>
      <c r="M1113" s="578"/>
      <c r="N1113" s="578"/>
      <c r="O1113" s="577"/>
      <c r="P1113" s="577"/>
      <c r="Q1113" s="578"/>
      <c r="R1113" s="578"/>
      <c r="S1113" s="142">
        <f t="shared" si="133"/>
        <v>0</v>
      </c>
      <c r="T1113" s="142">
        <f t="shared" si="134"/>
        <v>0</v>
      </c>
      <c r="U1113" s="142">
        <f t="shared" si="135"/>
        <v>0</v>
      </c>
      <c r="W1113" s="601">
        <f t="shared" si="130"/>
        <v>0</v>
      </c>
      <c r="X1113" s="601">
        <f t="shared" si="131"/>
        <v>0</v>
      </c>
      <c r="Y1113" s="123"/>
      <c r="Z1113" s="692">
        <f t="shared" si="132"/>
        <v>0</v>
      </c>
    </row>
    <row r="1114" spans="1:26" customFormat="1" ht="12.75" thickBot="1">
      <c r="A1114" s="57" t="s">
        <v>1270</v>
      </c>
      <c r="B1114" s="25" t="s">
        <v>330</v>
      </c>
      <c r="C1114" s="25" t="s">
        <v>963</v>
      </c>
      <c r="D1114" s="694" t="s">
        <v>606</v>
      </c>
      <c r="E1114" s="579"/>
      <c r="F1114" s="577"/>
      <c r="G1114" s="578"/>
      <c r="H1114" s="577"/>
      <c r="I1114" s="577"/>
      <c r="J1114" s="577"/>
      <c r="K1114" s="577"/>
      <c r="L1114" s="577"/>
      <c r="M1114" s="578"/>
      <c r="N1114" s="578"/>
      <c r="O1114" s="577"/>
      <c r="P1114" s="577"/>
      <c r="Q1114" s="578"/>
      <c r="R1114" s="578"/>
      <c r="S1114" s="142">
        <f t="shared" si="133"/>
        <v>0</v>
      </c>
      <c r="T1114" s="142">
        <f t="shared" si="134"/>
        <v>0</v>
      </c>
      <c r="U1114" s="142">
        <f t="shared" si="135"/>
        <v>0</v>
      </c>
      <c r="W1114" s="601">
        <f t="shared" si="130"/>
        <v>0</v>
      </c>
      <c r="X1114" s="601">
        <f t="shared" si="131"/>
        <v>0</v>
      </c>
      <c r="Y1114" s="123"/>
      <c r="Z1114" s="692">
        <f t="shared" si="132"/>
        <v>0</v>
      </c>
    </row>
    <row r="1115" spans="1:26" customFormat="1" ht="12.75" thickBot="1">
      <c r="A1115" s="57" t="s">
        <v>1270</v>
      </c>
      <c r="B1115" s="25" t="s">
        <v>332</v>
      </c>
      <c r="C1115" s="25" t="s">
        <v>964</v>
      </c>
      <c r="D1115" s="694" t="s">
        <v>606</v>
      </c>
      <c r="E1115" s="579"/>
      <c r="F1115" s="577"/>
      <c r="G1115" s="578"/>
      <c r="H1115" s="577"/>
      <c r="I1115" s="577"/>
      <c r="J1115" s="577"/>
      <c r="K1115" s="577"/>
      <c r="L1115" s="577"/>
      <c r="M1115" s="578"/>
      <c r="N1115" s="578"/>
      <c r="O1115" s="577"/>
      <c r="P1115" s="577"/>
      <c r="Q1115" s="578"/>
      <c r="R1115" s="578"/>
      <c r="S1115" s="142">
        <f t="shared" si="133"/>
        <v>0</v>
      </c>
      <c r="T1115" s="142">
        <f t="shared" si="134"/>
        <v>0</v>
      </c>
      <c r="U1115" s="142">
        <f t="shared" si="135"/>
        <v>0</v>
      </c>
      <c r="W1115" s="601">
        <f t="shared" si="130"/>
        <v>0</v>
      </c>
      <c r="X1115" s="601">
        <f t="shared" si="131"/>
        <v>0</v>
      </c>
      <c r="Y1115" s="123"/>
      <c r="Z1115" s="692">
        <f t="shared" si="132"/>
        <v>0</v>
      </c>
    </row>
    <row r="1116" spans="1:26" customFormat="1" ht="12.75" thickBot="1">
      <c r="A1116" s="57" t="s">
        <v>1270</v>
      </c>
      <c r="B1116" s="25" t="s">
        <v>333</v>
      </c>
      <c r="C1116" s="25" t="s">
        <v>965</v>
      </c>
      <c r="D1116" s="694" t="s">
        <v>606</v>
      </c>
      <c r="E1116" s="579"/>
      <c r="F1116" s="577"/>
      <c r="G1116" s="578"/>
      <c r="H1116" s="577"/>
      <c r="I1116" s="577"/>
      <c r="J1116" s="577"/>
      <c r="K1116" s="577"/>
      <c r="L1116" s="577"/>
      <c r="M1116" s="578"/>
      <c r="N1116" s="578"/>
      <c r="O1116" s="577"/>
      <c r="P1116" s="577"/>
      <c r="Q1116" s="578"/>
      <c r="R1116" s="578"/>
      <c r="S1116" s="142">
        <f t="shared" si="133"/>
        <v>0</v>
      </c>
      <c r="T1116" s="142">
        <f t="shared" si="134"/>
        <v>0</v>
      </c>
      <c r="U1116" s="142">
        <f t="shared" si="135"/>
        <v>0</v>
      </c>
      <c r="W1116" s="601">
        <f t="shared" si="130"/>
        <v>0</v>
      </c>
      <c r="X1116" s="601">
        <f t="shared" si="131"/>
        <v>0</v>
      </c>
      <c r="Y1116" s="123"/>
      <c r="Z1116" s="692">
        <f t="shared" si="132"/>
        <v>0</v>
      </c>
    </row>
    <row r="1117" spans="1:26" customFormat="1" ht="12.75" thickBot="1">
      <c r="A1117" s="57" t="s">
        <v>1270</v>
      </c>
      <c r="B1117" s="25" t="s">
        <v>334</v>
      </c>
      <c r="C1117" s="25" t="s">
        <v>966</v>
      </c>
      <c r="D1117" s="694" t="s">
        <v>498</v>
      </c>
      <c r="E1117" s="579"/>
      <c r="F1117" s="577"/>
      <c r="G1117" s="578"/>
      <c r="H1117" s="577"/>
      <c r="I1117" s="577"/>
      <c r="J1117" s="577"/>
      <c r="K1117" s="577"/>
      <c r="L1117" s="577"/>
      <c r="M1117" s="578"/>
      <c r="N1117" s="578"/>
      <c r="O1117" s="577"/>
      <c r="P1117" s="577"/>
      <c r="Q1117" s="578"/>
      <c r="R1117" s="578"/>
      <c r="S1117" s="142">
        <f t="shared" si="133"/>
        <v>0</v>
      </c>
      <c r="T1117" s="142">
        <f t="shared" si="134"/>
        <v>0</v>
      </c>
      <c r="U1117" s="142">
        <f t="shared" si="135"/>
        <v>0</v>
      </c>
      <c r="W1117" s="601">
        <f t="shared" si="130"/>
        <v>0</v>
      </c>
      <c r="X1117" s="601">
        <f t="shared" si="131"/>
        <v>0</v>
      </c>
      <c r="Y1117" s="123"/>
      <c r="Z1117" s="692">
        <f t="shared" si="132"/>
        <v>0</v>
      </c>
    </row>
    <row r="1118" spans="1:26" customFormat="1" ht="12.75" thickBot="1">
      <c r="A1118" s="57" t="s">
        <v>1270</v>
      </c>
      <c r="B1118" s="25" t="s">
        <v>336</v>
      </c>
      <c r="C1118" s="25" t="s">
        <v>967</v>
      </c>
      <c r="D1118" s="694" t="s">
        <v>498</v>
      </c>
      <c r="E1118" s="579"/>
      <c r="F1118" s="577"/>
      <c r="G1118" s="578"/>
      <c r="H1118" s="577"/>
      <c r="I1118" s="577"/>
      <c r="J1118" s="577"/>
      <c r="K1118" s="577"/>
      <c r="L1118" s="577"/>
      <c r="M1118" s="578"/>
      <c r="N1118" s="578"/>
      <c r="O1118" s="577"/>
      <c r="P1118" s="577"/>
      <c r="Q1118" s="578"/>
      <c r="R1118" s="578"/>
      <c r="S1118" s="142">
        <f t="shared" si="133"/>
        <v>0</v>
      </c>
      <c r="T1118" s="142">
        <f t="shared" si="134"/>
        <v>0</v>
      </c>
      <c r="U1118" s="142">
        <f t="shared" si="135"/>
        <v>0</v>
      </c>
      <c r="W1118" s="601">
        <f t="shared" si="130"/>
        <v>0</v>
      </c>
      <c r="X1118" s="601">
        <f t="shared" si="131"/>
        <v>0</v>
      </c>
      <c r="Y1118" s="123"/>
      <c r="Z1118" s="692">
        <f t="shared" si="132"/>
        <v>0</v>
      </c>
    </row>
    <row r="1119" spans="1:26" customFormat="1" ht="12.75" thickBot="1">
      <c r="A1119" s="57" t="s">
        <v>1270</v>
      </c>
      <c r="B1119" s="25" t="s">
        <v>337</v>
      </c>
      <c r="C1119" s="25" t="s">
        <v>968</v>
      </c>
      <c r="D1119" s="694" t="s">
        <v>606</v>
      </c>
      <c r="E1119" s="579"/>
      <c r="F1119" s="577"/>
      <c r="G1119" s="578"/>
      <c r="H1119" s="577"/>
      <c r="I1119" s="577"/>
      <c r="J1119" s="577"/>
      <c r="K1119" s="577"/>
      <c r="L1119" s="577"/>
      <c r="M1119" s="578"/>
      <c r="N1119" s="578"/>
      <c r="O1119" s="577"/>
      <c r="P1119" s="577"/>
      <c r="Q1119" s="578"/>
      <c r="R1119" s="578"/>
      <c r="S1119" s="142">
        <f t="shared" si="133"/>
        <v>0</v>
      </c>
      <c r="T1119" s="142">
        <f t="shared" si="134"/>
        <v>0</v>
      </c>
      <c r="U1119" s="142">
        <f t="shared" si="135"/>
        <v>0</v>
      </c>
      <c r="W1119" s="601">
        <f t="shared" si="130"/>
        <v>0</v>
      </c>
      <c r="X1119" s="601">
        <f t="shared" si="131"/>
        <v>0</v>
      </c>
      <c r="Y1119" s="123"/>
      <c r="Z1119" s="692">
        <f t="shared" si="132"/>
        <v>0</v>
      </c>
    </row>
    <row r="1120" spans="1:26" customFormat="1" ht="12.75" thickBot="1">
      <c r="A1120" s="57" t="s">
        <v>1270</v>
      </c>
      <c r="B1120" s="25" t="s">
        <v>338</v>
      </c>
      <c r="C1120" s="25" t="s">
        <v>969</v>
      </c>
      <c r="D1120" s="694" t="s">
        <v>606</v>
      </c>
      <c r="E1120" s="579"/>
      <c r="F1120" s="577"/>
      <c r="G1120" s="578"/>
      <c r="H1120" s="577"/>
      <c r="I1120" s="577"/>
      <c r="J1120" s="577"/>
      <c r="K1120" s="577"/>
      <c r="L1120" s="577"/>
      <c r="M1120" s="578"/>
      <c r="N1120" s="578"/>
      <c r="O1120" s="577"/>
      <c r="P1120" s="577"/>
      <c r="Q1120" s="578"/>
      <c r="R1120" s="578"/>
      <c r="S1120" s="142">
        <f t="shared" si="133"/>
        <v>0</v>
      </c>
      <c r="T1120" s="142">
        <f t="shared" si="134"/>
        <v>0</v>
      </c>
      <c r="U1120" s="142">
        <f t="shared" si="135"/>
        <v>0</v>
      </c>
      <c r="W1120" s="601">
        <f t="shared" si="130"/>
        <v>0</v>
      </c>
      <c r="X1120" s="601">
        <f t="shared" si="131"/>
        <v>0</v>
      </c>
      <c r="Y1120" s="123"/>
      <c r="Z1120" s="692">
        <f t="shared" si="132"/>
        <v>0</v>
      </c>
    </row>
    <row r="1121" spans="1:26" customFormat="1" ht="12.75" thickBot="1">
      <c r="A1121" s="57" t="s">
        <v>1270</v>
      </c>
      <c r="B1121" s="25" t="s">
        <v>339</v>
      </c>
      <c r="C1121" s="25" t="s">
        <v>970</v>
      </c>
      <c r="D1121" s="694" t="s">
        <v>606</v>
      </c>
      <c r="E1121" s="579"/>
      <c r="F1121" s="577"/>
      <c r="G1121" s="578"/>
      <c r="H1121" s="577"/>
      <c r="I1121" s="577"/>
      <c r="J1121" s="577"/>
      <c r="K1121" s="577"/>
      <c r="L1121" s="577"/>
      <c r="M1121" s="578"/>
      <c r="N1121" s="578"/>
      <c r="O1121" s="577"/>
      <c r="P1121" s="577"/>
      <c r="Q1121" s="578"/>
      <c r="R1121" s="578"/>
      <c r="S1121" s="142">
        <f t="shared" si="133"/>
        <v>0</v>
      </c>
      <c r="T1121" s="142">
        <f t="shared" si="134"/>
        <v>0</v>
      </c>
      <c r="U1121" s="142">
        <f t="shared" si="135"/>
        <v>0</v>
      </c>
      <c r="W1121" s="601">
        <f t="shared" si="130"/>
        <v>0</v>
      </c>
      <c r="X1121" s="601">
        <f t="shared" si="131"/>
        <v>0</v>
      </c>
      <c r="Y1121" s="123"/>
      <c r="Z1121" s="692">
        <f t="shared" si="132"/>
        <v>0</v>
      </c>
    </row>
    <row r="1122" spans="1:26" customFormat="1" ht="12.75" thickBot="1">
      <c r="A1122" s="57" t="s">
        <v>1270</v>
      </c>
      <c r="B1122" s="25" t="s">
        <v>340</v>
      </c>
      <c r="C1122" s="25" t="s">
        <v>971</v>
      </c>
      <c r="D1122" s="694" t="s">
        <v>606</v>
      </c>
      <c r="E1122" s="579"/>
      <c r="F1122" s="577"/>
      <c r="G1122" s="578"/>
      <c r="H1122" s="577"/>
      <c r="I1122" s="577"/>
      <c r="J1122" s="577"/>
      <c r="K1122" s="577"/>
      <c r="L1122" s="577"/>
      <c r="M1122" s="578"/>
      <c r="N1122" s="578"/>
      <c r="O1122" s="577"/>
      <c r="P1122" s="577"/>
      <c r="Q1122" s="578"/>
      <c r="R1122" s="578"/>
      <c r="S1122" s="142">
        <f t="shared" si="133"/>
        <v>0</v>
      </c>
      <c r="T1122" s="142">
        <f t="shared" si="134"/>
        <v>0</v>
      </c>
      <c r="U1122" s="142">
        <f t="shared" si="135"/>
        <v>0</v>
      </c>
      <c r="W1122" s="601">
        <f t="shared" si="130"/>
        <v>0</v>
      </c>
      <c r="X1122" s="601">
        <f t="shared" si="131"/>
        <v>0</v>
      </c>
      <c r="Y1122" s="123"/>
      <c r="Z1122" s="692">
        <f t="shared" si="132"/>
        <v>0</v>
      </c>
    </row>
    <row r="1123" spans="1:26" customFormat="1" ht="12.75" thickBot="1">
      <c r="A1123" s="57" t="s">
        <v>1270</v>
      </c>
      <c r="B1123" s="25" t="s">
        <v>341</v>
      </c>
      <c r="C1123" s="25" t="s">
        <v>972</v>
      </c>
      <c r="D1123" s="694" t="s">
        <v>606</v>
      </c>
      <c r="E1123" s="579"/>
      <c r="F1123" s="577"/>
      <c r="G1123" s="578"/>
      <c r="H1123" s="577"/>
      <c r="I1123" s="577"/>
      <c r="J1123" s="577"/>
      <c r="K1123" s="577"/>
      <c r="L1123" s="577"/>
      <c r="M1123" s="578"/>
      <c r="N1123" s="578"/>
      <c r="O1123" s="577"/>
      <c r="P1123" s="577"/>
      <c r="Q1123" s="578"/>
      <c r="R1123" s="578"/>
      <c r="S1123" s="142">
        <f t="shared" si="133"/>
        <v>0</v>
      </c>
      <c r="T1123" s="142">
        <f t="shared" si="134"/>
        <v>0</v>
      </c>
      <c r="U1123" s="142">
        <f t="shared" si="135"/>
        <v>0</v>
      </c>
      <c r="W1123" s="601">
        <f t="shared" si="130"/>
        <v>0</v>
      </c>
      <c r="X1123" s="601">
        <f t="shared" si="131"/>
        <v>0</v>
      </c>
      <c r="Y1123" s="123"/>
      <c r="Z1123" s="692">
        <f t="shared" si="132"/>
        <v>0</v>
      </c>
    </row>
    <row r="1124" spans="1:26" customFormat="1" ht="12.75" thickBot="1">
      <c r="A1124" s="57" t="s">
        <v>1270</v>
      </c>
      <c r="B1124" s="25" t="s">
        <v>342</v>
      </c>
      <c r="C1124" s="25" t="s">
        <v>973</v>
      </c>
      <c r="D1124" s="694" t="s">
        <v>606</v>
      </c>
      <c r="E1124" s="579"/>
      <c r="F1124" s="577"/>
      <c r="G1124" s="578"/>
      <c r="H1124" s="577"/>
      <c r="I1124" s="577"/>
      <c r="J1124" s="577"/>
      <c r="K1124" s="577"/>
      <c r="L1124" s="577"/>
      <c r="M1124" s="578"/>
      <c r="N1124" s="578"/>
      <c r="O1124" s="577"/>
      <c r="P1124" s="577"/>
      <c r="Q1124" s="578"/>
      <c r="R1124" s="578"/>
      <c r="S1124" s="142">
        <f t="shared" si="133"/>
        <v>0</v>
      </c>
      <c r="T1124" s="142">
        <f t="shared" si="134"/>
        <v>0</v>
      </c>
      <c r="U1124" s="142">
        <f t="shared" si="135"/>
        <v>0</v>
      </c>
      <c r="W1124" s="601">
        <f t="shared" si="130"/>
        <v>0</v>
      </c>
      <c r="X1124" s="601">
        <f t="shared" si="131"/>
        <v>0</v>
      </c>
      <c r="Y1124" s="123"/>
      <c r="Z1124" s="692">
        <f t="shared" si="132"/>
        <v>0</v>
      </c>
    </row>
    <row r="1125" spans="1:26" customFormat="1" ht="12.75" thickBot="1">
      <c r="A1125" s="57" t="s">
        <v>1270</v>
      </c>
      <c r="B1125" s="25" t="s">
        <v>343</v>
      </c>
      <c r="C1125" s="25" t="s">
        <v>974</v>
      </c>
      <c r="D1125" s="694" t="s">
        <v>498</v>
      </c>
      <c r="E1125" s="579"/>
      <c r="F1125" s="577"/>
      <c r="G1125" s="578"/>
      <c r="H1125" s="577"/>
      <c r="I1125" s="577"/>
      <c r="J1125" s="577"/>
      <c r="K1125" s="577"/>
      <c r="L1125" s="577"/>
      <c r="M1125" s="578"/>
      <c r="N1125" s="578"/>
      <c r="O1125" s="577"/>
      <c r="P1125" s="577"/>
      <c r="Q1125" s="578"/>
      <c r="R1125" s="578"/>
      <c r="S1125" s="142">
        <f t="shared" si="133"/>
        <v>0</v>
      </c>
      <c r="T1125" s="142">
        <f t="shared" si="134"/>
        <v>0</v>
      </c>
      <c r="U1125" s="142">
        <f t="shared" si="135"/>
        <v>0</v>
      </c>
      <c r="W1125" s="601">
        <f t="shared" si="130"/>
        <v>0</v>
      </c>
      <c r="X1125" s="601">
        <f t="shared" si="131"/>
        <v>0</v>
      </c>
      <c r="Y1125" s="123"/>
      <c r="Z1125" s="692">
        <f t="shared" si="132"/>
        <v>0</v>
      </c>
    </row>
    <row r="1126" spans="1:26" customFormat="1" ht="12.75" thickBot="1">
      <c r="A1126" s="57" t="s">
        <v>1270</v>
      </c>
      <c r="B1126" s="25" t="s">
        <v>344</v>
      </c>
      <c r="C1126" s="25" t="s">
        <v>975</v>
      </c>
      <c r="D1126" s="694" t="s">
        <v>606</v>
      </c>
      <c r="E1126" s="579"/>
      <c r="F1126" s="577"/>
      <c r="G1126" s="578"/>
      <c r="H1126" s="577"/>
      <c r="I1126" s="577"/>
      <c r="J1126" s="577"/>
      <c r="K1126" s="577"/>
      <c r="L1126" s="577"/>
      <c r="M1126" s="578"/>
      <c r="N1126" s="578"/>
      <c r="O1126" s="577"/>
      <c r="P1126" s="577"/>
      <c r="Q1126" s="578"/>
      <c r="R1126" s="578"/>
      <c r="S1126" s="142">
        <f t="shared" si="133"/>
        <v>0</v>
      </c>
      <c r="T1126" s="142">
        <f t="shared" si="134"/>
        <v>0</v>
      </c>
      <c r="U1126" s="142">
        <f t="shared" si="135"/>
        <v>0</v>
      </c>
      <c r="W1126" s="601">
        <f t="shared" si="130"/>
        <v>0</v>
      </c>
      <c r="X1126" s="601">
        <f t="shared" si="131"/>
        <v>0</v>
      </c>
      <c r="Y1126" s="123"/>
      <c r="Z1126" s="692">
        <f t="shared" si="132"/>
        <v>0</v>
      </c>
    </row>
    <row r="1127" spans="1:26" customFormat="1" ht="12.75" thickBot="1">
      <c r="A1127" s="57" t="s">
        <v>1270</v>
      </c>
      <c r="B1127" s="25" t="s">
        <v>345</v>
      </c>
      <c r="C1127" s="25" t="s">
        <v>976</v>
      </c>
      <c r="D1127" s="694" t="s">
        <v>498</v>
      </c>
      <c r="E1127" s="579"/>
      <c r="F1127" s="577"/>
      <c r="G1127" s="578"/>
      <c r="H1127" s="577"/>
      <c r="I1127" s="577"/>
      <c r="J1127" s="577"/>
      <c r="K1127" s="577"/>
      <c r="L1127" s="577"/>
      <c r="M1127" s="578"/>
      <c r="N1127" s="578"/>
      <c r="O1127" s="577"/>
      <c r="P1127" s="577"/>
      <c r="Q1127" s="578"/>
      <c r="R1127" s="578"/>
      <c r="S1127" s="142">
        <f t="shared" si="133"/>
        <v>0</v>
      </c>
      <c r="T1127" s="142">
        <f t="shared" si="134"/>
        <v>0</v>
      </c>
      <c r="U1127" s="142">
        <f t="shared" si="135"/>
        <v>0</v>
      </c>
      <c r="W1127" s="601">
        <f t="shared" si="130"/>
        <v>0</v>
      </c>
      <c r="X1127" s="601">
        <f t="shared" si="131"/>
        <v>0</v>
      </c>
      <c r="Y1127" s="123"/>
      <c r="Z1127" s="692">
        <f t="shared" si="132"/>
        <v>0</v>
      </c>
    </row>
    <row r="1128" spans="1:26" customFormat="1" ht="12.75" thickBot="1">
      <c r="A1128" s="57" t="s">
        <v>1270</v>
      </c>
      <c r="B1128" s="25" t="s">
        <v>346</v>
      </c>
      <c r="C1128" s="25" t="s">
        <v>977</v>
      </c>
      <c r="D1128" s="694" t="s">
        <v>606</v>
      </c>
      <c r="E1128" s="579"/>
      <c r="F1128" s="577"/>
      <c r="G1128" s="578"/>
      <c r="H1128" s="577"/>
      <c r="I1128" s="577"/>
      <c r="J1128" s="577"/>
      <c r="K1128" s="577"/>
      <c r="L1128" s="577"/>
      <c r="M1128" s="578"/>
      <c r="N1128" s="578"/>
      <c r="O1128" s="577"/>
      <c r="P1128" s="577"/>
      <c r="Q1128" s="578"/>
      <c r="R1128" s="578"/>
      <c r="S1128" s="142">
        <f t="shared" si="133"/>
        <v>0</v>
      </c>
      <c r="T1128" s="142">
        <f t="shared" si="134"/>
        <v>0</v>
      </c>
      <c r="U1128" s="142">
        <f t="shared" si="135"/>
        <v>0</v>
      </c>
      <c r="W1128" s="601">
        <f t="shared" si="130"/>
        <v>0</v>
      </c>
      <c r="X1128" s="601">
        <f t="shared" si="131"/>
        <v>0</v>
      </c>
      <c r="Y1128" s="123"/>
      <c r="Z1128" s="692">
        <f t="shared" si="132"/>
        <v>0</v>
      </c>
    </row>
    <row r="1129" spans="1:26" customFormat="1" ht="12.75" thickBot="1">
      <c r="A1129" s="57" t="s">
        <v>1270</v>
      </c>
      <c r="B1129" s="25" t="s">
        <v>347</v>
      </c>
      <c r="C1129" s="25" t="s">
        <v>978</v>
      </c>
      <c r="D1129" s="694" t="s">
        <v>498</v>
      </c>
      <c r="E1129" s="579"/>
      <c r="F1129" s="577"/>
      <c r="G1129" s="578"/>
      <c r="H1129" s="577"/>
      <c r="I1129" s="577"/>
      <c r="J1129" s="577"/>
      <c r="K1129" s="577"/>
      <c r="L1129" s="577"/>
      <c r="M1129" s="578"/>
      <c r="N1129" s="578"/>
      <c r="O1129" s="577"/>
      <c r="P1129" s="577"/>
      <c r="Q1129" s="578"/>
      <c r="R1129" s="578"/>
      <c r="S1129" s="142">
        <f t="shared" si="133"/>
        <v>0</v>
      </c>
      <c r="T1129" s="142">
        <f t="shared" si="134"/>
        <v>0</v>
      </c>
      <c r="U1129" s="142">
        <f t="shared" si="135"/>
        <v>0</v>
      </c>
      <c r="W1129" s="601">
        <f t="shared" si="130"/>
        <v>0</v>
      </c>
      <c r="X1129" s="601">
        <f t="shared" si="131"/>
        <v>0</v>
      </c>
      <c r="Y1129" s="123"/>
      <c r="Z1129" s="692">
        <f t="shared" si="132"/>
        <v>0</v>
      </c>
    </row>
    <row r="1130" spans="1:26" customFormat="1" ht="12.75" thickBot="1">
      <c r="A1130" s="57" t="s">
        <v>1270</v>
      </c>
      <c r="B1130" s="25" t="s">
        <v>348</v>
      </c>
      <c r="C1130" s="25" t="s">
        <v>979</v>
      </c>
      <c r="D1130" s="694" t="s">
        <v>606</v>
      </c>
      <c r="E1130" s="579"/>
      <c r="F1130" s="577"/>
      <c r="G1130" s="578"/>
      <c r="H1130" s="577"/>
      <c r="I1130" s="577"/>
      <c r="J1130" s="577"/>
      <c r="K1130" s="577"/>
      <c r="L1130" s="577"/>
      <c r="M1130" s="578"/>
      <c r="N1130" s="578"/>
      <c r="O1130" s="577"/>
      <c r="P1130" s="577"/>
      <c r="Q1130" s="578"/>
      <c r="R1130" s="578"/>
      <c r="S1130" s="142">
        <f t="shared" si="133"/>
        <v>0</v>
      </c>
      <c r="T1130" s="142">
        <f t="shared" si="134"/>
        <v>0</v>
      </c>
      <c r="U1130" s="142">
        <f t="shared" si="135"/>
        <v>0</v>
      </c>
      <c r="W1130" s="601">
        <f t="shared" si="130"/>
        <v>0</v>
      </c>
      <c r="X1130" s="601">
        <f t="shared" si="131"/>
        <v>0</v>
      </c>
      <c r="Y1130" s="123"/>
      <c r="Z1130" s="692">
        <f t="shared" si="132"/>
        <v>0</v>
      </c>
    </row>
    <row r="1131" spans="1:26" customFormat="1" ht="12.75" thickBot="1">
      <c r="A1131" s="57" t="s">
        <v>1270</v>
      </c>
      <c r="B1131" s="25" t="s">
        <v>376</v>
      </c>
      <c r="C1131" s="25" t="s">
        <v>980</v>
      </c>
      <c r="D1131" s="694" t="s">
        <v>498</v>
      </c>
      <c r="E1131" s="579"/>
      <c r="F1131" s="577"/>
      <c r="G1131" s="578"/>
      <c r="H1131" s="577"/>
      <c r="I1131" s="577"/>
      <c r="J1131" s="577"/>
      <c r="K1131" s="577"/>
      <c r="L1131" s="577"/>
      <c r="M1131" s="578"/>
      <c r="N1131" s="578"/>
      <c r="O1131" s="577"/>
      <c r="P1131" s="577"/>
      <c r="Q1131" s="578"/>
      <c r="R1131" s="578"/>
      <c r="S1131" s="142">
        <f t="shared" si="133"/>
        <v>0</v>
      </c>
      <c r="T1131" s="142">
        <f t="shared" si="134"/>
        <v>0</v>
      </c>
      <c r="U1131" s="142">
        <f t="shared" si="135"/>
        <v>0</v>
      </c>
      <c r="W1131" s="601">
        <f t="shared" si="130"/>
        <v>0</v>
      </c>
      <c r="X1131" s="601">
        <f t="shared" si="131"/>
        <v>0</v>
      </c>
      <c r="Y1131" s="123"/>
      <c r="Z1131" s="692">
        <f t="shared" si="132"/>
        <v>0</v>
      </c>
    </row>
    <row r="1132" spans="1:26" customFormat="1" ht="12.75" thickBot="1">
      <c r="A1132" s="57" t="s">
        <v>1270</v>
      </c>
      <c r="B1132" s="25" t="s">
        <v>349</v>
      </c>
      <c r="C1132" s="25" t="s">
        <v>981</v>
      </c>
      <c r="D1132" s="694" t="s">
        <v>606</v>
      </c>
      <c r="E1132" s="579"/>
      <c r="F1132" s="577"/>
      <c r="G1132" s="578"/>
      <c r="H1132" s="577"/>
      <c r="I1132" s="577"/>
      <c r="J1132" s="577"/>
      <c r="K1132" s="577"/>
      <c r="L1132" s="577"/>
      <c r="M1132" s="578"/>
      <c r="N1132" s="578"/>
      <c r="O1132" s="577"/>
      <c r="P1132" s="577"/>
      <c r="Q1132" s="578"/>
      <c r="R1132" s="578"/>
      <c r="S1132" s="142">
        <f t="shared" si="133"/>
        <v>0</v>
      </c>
      <c r="T1132" s="142">
        <f t="shared" si="134"/>
        <v>0</v>
      </c>
      <c r="U1132" s="142">
        <f t="shared" si="135"/>
        <v>0</v>
      </c>
      <c r="W1132" s="601">
        <f t="shared" si="130"/>
        <v>0</v>
      </c>
      <c r="X1132" s="601">
        <f t="shared" si="131"/>
        <v>0</v>
      </c>
      <c r="Y1132" s="123"/>
      <c r="Z1132" s="692">
        <f t="shared" si="132"/>
        <v>0</v>
      </c>
    </row>
    <row r="1133" spans="1:26" customFormat="1" ht="12.75" thickBot="1">
      <c r="A1133" s="57" t="s">
        <v>1270</v>
      </c>
      <c r="B1133" s="25" t="s">
        <v>730</v>
      </c>
      <c r="C1133" s="25" t="s">
        <v>982</v>
      </c>
      <c r="D1133" s="694" t="s">
        <v>606</v>
      </c>
      <c r="E1133" s="579"/>
      <c r="F1133" s="577"/>
      <c r="G1133" s="578"/>
      <c r="H1133" s="577"/>
      <c r="I1133" s="577"/>
      <c r="J1133" s="577"/>
      <c r="K1133" s="577"/>
      <c r="L1133" s="577"/>
      <c r="M1133" s="578"/>
      <c r="N1133" s="578"/>
      <c r="O1133" s="577"/>
      <c r="P1133" s="577"/>
      <c r="Q1133" s="577"/>
      <c r="R1133" s="578"/>
      <c r="S1133" s="142">
        <f t="shared" si="133"/>
        <v>0</v>
      </c>
      <c r="T1133" s="142">
        <f t="shared" si="134"/>
        <v>0</v>
      </c>
      <c r="U1133" s="142">
        <f t="shared" si="135"/>
        <v>0</v>
      </c>
      <c r="W1133" s="601">
        <f t="shared" si="130"/>
        <v>0</v>
      </c>
      <c r="X1133" s="601">
        <f t="shared" si="131"/>
        <v>0</v>
      </c>
      <c r="Y1133" s="123"/>
      <c r="Z1133" s="692">
        <f t="shared" si="132"/>
        <v>0</v>
      </c>
    </row>
    <row r="1134" spans="1:26" customFormat="1" ht="12.75" thickBot="1">
      <c r="A1134" s="57" t="s">
        <v>1270</v>
      </c>
      <c r="B1134" s="25" t="s">
        <v>378</v>
      </c>
      <c r="C1134" s="25" t="s">
        <v>983</v>
      </c>
      <c r="D1134" s="694" t="s">
        <v>606</v>
      </c>
      <c r="E1134" s="579"/>
      <c r="F1134" s="577"/>
      <c r="G1134" s="578"/>
      <c r="H1134" s="577"/>
      <c r="I1134" s="577"/>
      <c r="J1134" s="577"/>
      <c r="K1134" s="577"/>
      <c r="L1134" s="577"/>
      <c r="M1134" s="578"/>
      <c r="N1134" s="578"/>
      <c r="O1134" s="577"/>
      <c r="P1134" s="577"/>
      <c r="Q1134" s="577"/>
      <c r="R1134" s="578"/>
      <c r="S1134" s="142">
        <f t="shared" si="133"/>
        <v>0</v>
      </c>
      <c r="T1134" s="142">
        <f t="shared" si="134"/>
        <v>0</v>
      </c>
      <c r="U1134" s="142">
        <f t="shared" si="135"/>
        <v>0</v>
      </c>
      <c r="W1134" s="601">
        <f t="shared" si="130"/>
        <v>0</v>
      </c>
      <c r="X1134" s="601">
        <f t="shared" si="131"/>
        <v>0</v>
      </c>
      <c r="Y1134" s="123"/>
      <c r="Z1134" s="692">
        <f t="shared" si="132"/>
        <v>0</v>
      </c>
    </row>
    <row r="1135" spans="1:26" customFormat="1" ht="12.75" thickBot="1">
      <c r="A1135" s="57" t="s">
        <v>1270</v>
      </c>
      <c r="B1135" s="25" t="s">
        <v>354</v>
      </c>
      <c r="C1135" s="25" t="s">
        <v>984</v>
      </c>
      <c r="D1135" s="694" t="s">
        <v>606</v>
      </c>
      <c r="E1135" s="579"/>
      <c r="F1135" s="577"/>
      <c r="G1135" s="578"/>
      <c r="H1135" s="577"/>
      <c r="I1135" s="577"/>
      <c r="J1135" s="577"/>
      <c r="K1135" s="577"/>
      <c r="L1135" s="577"/>
      <c r="M1135" s="578"/>
      <c r="N1135" s="578"/>
      <c r="O1135" s="577"/>
      <c r="P1135" s="577"/>
      <c r="Q1135" s="578"/>
      <c r="R1135" s="578"/>
      <c r="S1135" s="142">
        <f t="shared" si="133"/>
        <v>0</v>
      </c>
      <c r="T1135" s="142">
        <f t="shared" si="134"/>
        <v>0</v>
      </c>
      <c r="U1135" s="142">
        <f t="shared" si="135"/>
        <v>0</v>
      </c>
      <c r="W1135" s="601">
        <f t="shared" si="130"/>
        <v>0</v>
      </c>
      <c r="X1135" s="601">
        <f t="shared" si="131"/>
        <v>0</v>
      </c>
      <c r="Y1135" s="123"/>
      <c r="Z1135" s="692">
        <f t="shared" si="132"/>
        <v>0</v>
      </c>
    </row>
    <row r="1136" spans="1:26" customFormat="1" ht="12.75" thickBot="1">
      <c r="A1136" s="57" t="s">
        <v>1270</v>
      </c>
      <c r="B1136" s="25" t="s">
        <v>355</v>
      </c>
      <c r="C1136" s="25" t="s">
        <v>985</v>
      </c>
      <c r="D1136" s="694" t="s">
        <v>606</v>
      </c>
      <c r="E1136" s="579"/>
      <c r="F1136" s="577"/>
      <c r="G1136" s="578"/>
      <c r="H1136" s="577"/>
      <c r="I1136" s="577"/>
      <c r="J1136" s="577"/>
      <c r="K1136" s="577"/>
      <c r="L1136" s="577"/>
      <c r="M1136" s="578"/>
      <c r="N1136" s="578"/>
      <c r="O1136" s="577"/>
      <c r="P1136" s="577"/>
      <c r="Q1136" s="578"/>
      <c r="R1136" s="578"/>
      <c r="S1136" s="142">
        <f t="shared" si="133"/>
        <v>0</v>
      </c>
      <c r="T1136" s="142">
        <f t="shared" si="134"/>
        <v>0</v>
      </c>
      <c r="U1136" s="142">
        <f t="shared" si="135"/>
        <v>0</v>
      </c>
      <c r="W1136" s="601">
        <f t="shared" si="130"/>
        <v>0</v>
      </c>
      <c r="X1136" s="601">
        <f t="shared" si="131"/>
        <v>0</v>
      </c>
      <c r="Y1136" s="123"/>
      <c r="Z1136" s="692">
        <f t="shared" si="132"/>
        <v>0</v>
      </c>
    </row>
    <row r="1137" spans="1:26" customFormat="1" ht="12.75" thickBot="1">
      <c r="A1137" s="57" t="s">
        <v>1270</v>
      </c>
      <c r="B1137" s="25" t="s">
        <v>356</v>
      </c>
      <c r="C1137" s="25" t="s">
        <v>986</v>
      </c>
      <c r="D1137" s="694" t="s">
        <v>606</v>
      </c>
      <c r="E1137" s="579"/>
      <c r="F1137" s="577"/>
      <c r="G1137" s="578"/>
      <c r="H1137" s="577"/>
      <c r="I1137" s="577"/>
      <c r="J1137" s="577"/>
      <c r="K1137" s="577"/>
      <c r="L1137" s="577"/>
      <c r="M1137" s="578"/>
      <c r="N1137" s="578"/>
      <c r="O1137" s="577"/>
      <c r="P1137" s="577"/>
      <c r="Q1137" s="578"/>
      <c r="R1137" s="578"/>
      <c r="S1137" s="142">
        <f t="shared" si="133"/>
        <v>0</v>
      </c>
      <c r="T1137" s="142">
        <f t="shared" si="134"/>
        <v>0</v>
      </c>
      <c r="U1137" s="142">
        <f t="shared" si="135"/>
        <v>0</v>
      </c>
      <c r="W1137" s="601">
        <f t="shared" si="130"/>
        <v>0</v>
      </c>
      <c r="X1137" s="601">
        <f t="shared" si="131"/>
        <v>0</v>
      </c>
      <c r="Y1137" s="123"/>
      <c r="Z1137" s="692">
        <f t="shared" si="132"/>
        <v>0</v>
      </c>
    </row>
    <row r="1138" spans="1:26" customFormat="1" ht="12.75" thickBot="1">
      <c r="A1138" s="57" t="s">
        <v>1270</v>
      </c>
      <c r="B1138" s="25" t="s">
        <v>357</v>
      </c>
      <c r="C1138" s="25" t="s">
        <v>987</v>
      </c>
      <c r="D1138" s="694" t="s">
        <v>606</v>
      </c>
      <c r="E1138" s="579"/>
      <c r="F1138" s="577"/>
      <c r="G1138" s="578"/>
      <c r="H1138" s="577"/>
      <c r="I1138" s="577"/>
      <c r="J1138" s="577"/>
      <c r="K1138" s="577"/>
      <c r="L1138" s="577"/>
      <c r="M1138" s="578"/>
      <c r="N1138" s="578"/>
      <c r="O1138" s="577"/>
      <c r="P1138" s="577"/>
      <c r="Q1138" s="578"/>
      <c r="R1138" s="578"/>
      <c r="S1138" s="142">
        <f t="shared" si="133"/>
        <v>0</v>
      </c>
      <c r="T1138" s="142">
        <f t="shared" si="134"/>
        <v>0</v>
      </c>
      <c r="U1138" s="142">
        <f t="shared" si="135"/>
        <v>0</v>
      </c>
      <c r="W1138" s="601">
        <f t="shared" si="130"/>
        <v>0</v>
      </c>
      <c r="X1138" s="601">
        <f t="shared" si="131"/>
        <v>0</v>
      </c>
      <c r="Y1138" s="123"/>
      <c r="Z1138" s="692">
        <f t="shared" si="132"/>
        <v>0</v>
      </c>
    </row>
    <row r="1139" spans="1:26" customFormat="1" ht="12.75" thickBot="1">
      <c r="A1139" s="57" t="s">
        <v>1270</v>
      </c>
      <c r="B1139" s="25" t="s">
        <v>358</v>
      </c>
      <c r="C1139" s="25" t="s">
        <v>988</v>
      </c>
      <c r="D1139" s="694" t="s">
        <v>606</v>
      </c>
      <c r="E1139" s="579"/>
      <c r="F1139" s="577"/>
      <c r="G1139" s="578"/>
      <c r="H1139" s="577"/>
      <c r="I1139" s="577"/>
      <c r="J1139" s="577"/>
      <c r="K1139" s="577"/>
      <c r="L1139" s="577"/>
      <c r="M1139" s="578"/>
      <c r="N1139" s="578"/>
      <c r="O1139" s="577"/>
      <c r="P1139" s="577"/>
      <c r="Q1139" s="578"/>
      <c r="R1139" s="578"/>
      <c r="S1139" s="142">
        <f t="shared" si="133"/>
        <v>0</v>
      </c>
      <c r="T1139" s="142">
        <f t="shared" si="134"/>
        <v>0</v>
      </c>
      <c r="U1139" s="142">
        <f t="shared" si="135"/>
        <v>0</v>
      </c>
      <c r="W1139" s="601">
        <f t="shared" si="130"/>
        <v>0</v>
      </c>
      <c r="X1139" s="601">
        <f t="shared" si="131"/>
        <v>0</v>
      </c>
      <c r="Y1139" s="123"/>
      <c r="Z1139" s="692">
        <f t="shared" si="132"/>
        <v>0</v>
      </c>
    </row>
    <row r="1140" spans="1:26" customFormat="1" ht="12.75" thickBot="1">
      <c r="A1140" s="57" t="s">
        <v>1270</v>
      </c>
      <c r="B1140" s="25" t="s">
        <v>359</v>
      </c>
      <c r="C1140" s="25" t="s">
        <v>989</v>
      </c>
      <c r="D1140" s="694" t="s">
        <v>606</v>
      </c>
      <c r="E1140" s="579"/>
      <c r="F1140" s="577"/>
      <c r="G1140" s="578"/>
      <c r="H1140" s="577"/>
      <c r="I1140" s="577"/>
      <c r="J1140" s="577"/>
      <c r="K1140" s="577"/>
      <c r="L1140" s="577"/>
      <c r="M1140" s="578"/>
      <c r="N1140" s="578"/>
      <c r="O1140" s="577"/>
      <c r="P1140" s="577"/>
      <c r="Q1140" s="578"/>
      <c r="R1140" s="578"/>
      <c r="S1140" s="142">
        <f t="shared" si="133"/>
        <v>0</v>
      </c>
      <c r="T1140" s="142">
        <f t="shared" si="134"/>
        <v>0</v>
      </c>
      <c r="U1140" s="142">
        <f t="shared" si="135"/>
        <v>0</v>
      </c>
      <c r="W1140" s="601">
        <f t="shared" si="130"/>
        <v>0</v>
      </c>
      <c r="X1140" s="601">
        <f t="shared" si="131"/>
        <v>0</v>
      </c>
      <c r="Y1140" s="123"/>
      <c r="Z1140" s="692">
        <f t="shared" si="132"/>
        <v>0</v>
      </c>
    </row>
    <row r="1141" spans="1:26" customFormat="1" ht="12.75" thickBot="1">
      <c r="A1141" s="57" t="s">
        <v>1270</v>
      </c>
      <c r="B1141" s="25" t="s">
        <v>360</v>
      </c>
      <c r="C1141" s="25" t="s">
        <v>990</v>
      </c>
      <c r="D1141" s="694" t="s">
        <v>498</v>
      </c>
      <c r="E1141" s="579"/>
      <c r="F1141" s="577"/>
      <c r="G1141" s="578"/>
      <c r="H1141" s="577"/>
      <c r="I1141" s="577"/>
      <c r="J1141" s="577"/>
      <c r="K1141" s="577"/>
      <c r="L1141" s="577"/>
      <c r="M1141" s="578"/>
      <c r="N1141" s="578"/>
      <c r="O1141" s="577"/>
      <c r="P1141" s="577"/>
      <c r="Q1141" s="578"/>
      <c r="R1141" s="578"/>
      <c r="S1141" s="142">
        <f t="shared" si="133"/>
        <v>0</v>
      </c>
      <c r="T1141" s="142">
        <f t="shared" si="134"/>
        <v>0</v>
      </c>
      <c r="U1141" s="142">
        <f t="shared" si="135"/>
        <v>0</v>
      </c>
      <c r="W1141" s="601">
        <f t="shared" si="130"/>
        <v>0</v>
      </c>
      <c r="X1141" s="601">
        <f t="shared" si="131"/>
        <v>0</v>
      </c>
      <c r="Y1141" s="123"/>
      <c r="Z1141" s="692">
        <f t="shared" si="132"/>
        <v>0</v>
      </c>
    </row>
    <row r="1142" spans="1:26" customFormat="1" ht="12.75" thickBot="1">
      <c r="A1142" s="57" t="s">
        <v>1270</v>
      </c>
      <c r="B1142" s="25" t="s">
        <v>365</v>
      </c>
      <c r="C1142" s="25" t="s">
        <v>991</v>
      </c>
      <c r="D1142" s="694" t="s">
        <v>606</v>
      </c>
      <c r="E1142" s="579"/>
      <c r="F1142" s="577"/>
      <c r="G1142" s="578"/>
      <c r="H1142" s="577"/>
      <c r="I1142" s="577"/>
      <c r="J1142" s="577"/>
      <c r="K1142" s="577"/>
      <c r="L1142" s="577"/>
      <c r="M1142" s="578"/>
      <c r="N1142" s="578"/>
      <c r="O1142" s="577"/>
      <c r="P1142" s="577"/>
      <c r="Q1142" s="578"/>
      <c r="R1142" s="578"/>
      <c r="S1142" s="142">
        <f t="shared" si="133"/>
        <v>0</v>
      </c>
      <c r="T1142" s="142">
        <f t="shared" si="134"/>
        <v>0</v>
      </c>
      <c r="U1142" s="142">
        <f t="shared" si="135"/>
        <v>0</v>
      </c>
      <c r="W1142" s="601">
        <f t="shared" si="130"/>
        <v>0</v>
      </c>
      <c r="X1142" s="601">
        <f t="shared" si="131"/>
        <v>0</v>
      </c>
      <c r="Y1142" s="123"/>
      <c r="Z1142" s="692">
        <f t="shared" si="132"/>
        <v>0</v>
      </c>
    </row>
    <row r="1143" spans="1:26" customFormat="1" ht="12.75" thickBot="1">
      <c r="A1143" s="57" t="s">
        <v>1270</v>
      </c>
      <c r="B1143" s="25" t="s">
        <v>366</v>
      </c>
      <c r="C1143" s="25" t="s">
        <v>992</v>
      </c>
      <c r="D1143" s="694" t="s">
        <v>498</v>
      </c>
      <c r="E1143" s="579"/>
      <c r="F1143" s="577"/>
      <c r="G1143" s="578"/>
      <c r="H1143" s="577"/>
      <c r="I1143" s="577"/>
      <c r="J1143" s="577"/>
      <c r="K1143" s="577"/>
      <c r="L1143" s="577"/>
      <c r="M1143" s="578"/>
      <c r="N1143" s="578"/>
      <c r="O1143" s="577"/>
      <c r="P1143" s="577"/>
      <c r="Q1143" s="578"/>
      <c r="R1143" s="578"/>
      <c r="S1143" s="142">
        <f t="shared" si="133"/>
        <v>0</v>
      </c>
      <c r="T1143" s="142">
        <f t="shared" si="134"/>
        <v>0</v>
      </c>
      <c r="U1143" s="142">
        <f t="shared" si="135"/>
        <v>0</v>
      </c>
      <c r="W1143" s="601">
        <f t="shared" ref="W1143:W1205" si="136">SUM(F1143:Q1143)</f>
        <v>0</v>
      </c>
      <c r="X1143" s="601">
        <f t="shared" ref="X1143:X1205" si="137">W1143-R1143</f>
        <v>0</v>
      </c>
      <c r="Y1143" s="123"/>
      <c r="Z1143" s="692">
        <f t="shared" si="132"/>
        <v>0</v>
      </c>
    </row>
    <row r="1144" spans="1:26" customFormat="1" ht="12.75" thickBot="1">
      <c r="A1144" s="57" t="s">
        <v>1270</v>
      </c>
      <c r="B1144" s="25" t="s">
        <v>367</v>
      </c>
      <c r="C1144" s="25" t="s">
        <v>993</v>
      </c>
      <c r="D1144" s="694" t="s">
        <v>606</v>
      </c>
      <c r="E1144" s="579"/>
      <c r="F1144" s="577"/>
      <c r="G1144" s="578"/>
      <c r="H1144" s="577"/>
      <c r="I1144" s="577"/>
      <c r="J1144" s="577"/>
      <c r="K1144" s="577"/>
      <c r="L1144" s="577"/>
      <c r="M1144" s="578"/>
      <c r="N1144" s="578"/>
      <c r="O1144" s="577"/>
      <c r="P1144" s="577"/>
      <c r="Q1144" s="578"/>
      <c r="R1144" s="578"/>
      <c r="S1144" s="142">
        <f t="shared" si="133"/>
        <v>0</v>
      </c>
      <c r="T1144" s="142">
        <f t="shared" si="134"/>
        <v>0</v>
      </c>
      <c r="U1144" s="142">
        <f t="shared" si="135"/>
        <v>0</v>
      </c>
      <c r="W1144" s="601">
        <f t="shared" si="136"/>
        <v>0</v>
      </c>
      <c r="X1144" s="601">
        <f t="shared" si="137"/>
        <v>0</v>
      </c>
      <c r="Y1144" s="123"/>
      <c r="Z1144" s="692">
        <f t="shared" si="132"/>
        <v>0</v>
      </c>
    </row>
    <row r="1145" spans="1:26" customFormat="1" ht="12.75" thickBot="1">
      <c r="A1145" s="57" t="s">
        <v>1270</v>
      </c>
      <c r="B1145" s="25" t="s">
        <v>368</v>
      </c>
      <c r="C1145" s="25" t="s">
        <v>994</v>
      </c>
      <c r="D1145" s="694" t="s">
        <v>498</v>
      </c>
      <c r="E1145" s="579"/>
      <c r="F1145" s="577"/>
      <c r="G1145" s="578"/>
      <c r="H1145" s="577"/>
      <c r="I1145" s="577"/>
      <c r="J1145" s="577"/>
      <c r="K1145" s="577"/>
      <c r="L1145" s="577"/>
      <c r="M1145" s="578"/>
      <c r="N1145" s="578"/>
      <c r="O1145" s="577"/>
      <c r="P1145" s="577"/>
      <c r="Q1145" s="578"/>
      <c r="R1145" s="578"/>
      <c r="S1145" s="142">
        <f t="shared" si="133"/>
        <v>0</v>
      </c>
      <c r="T1145" s="142">
        <f t="shared" si="134"/>
        <v>0</v>
      </c>
      <c r="U1145" s="142">
        <f t="shared" si="135"/>
        <v>0</v>
      </c>
      <c r="W1145" s="601">
        <f t="shared" si="136"/>
        <v>0</v>
      </c>
      <c r="X1145" s="601">
        <f t="shared" si="137"/>
        <v>0</v>
      </c>
      <c r="Y1145" s="123"/>
      <c r="Z1145" s="692">
        <f t="shared" si="132"/>
        <v>0</v>
      </c>
    </row>
    <row r="1146" spans="1:26" customFormat="1" ht="12.75" thickBot="1">
      <c r="A1146" s="57" t="s">
        <v>1270</v>
      </c>
      <c r="B1146" s="25" t="s">
        <v>369</v>
      </c>
      <c r="C1146" s="25" t="s">
        <v>995</v>
      </c>
      <c r="D1146" s="694" t="s">
        <v>498</v>
      </c>
      <c r="E1146" s="579"/>
      <c r="F1146" s="577"/>
      <c r="G1146" s="578"/>
      <c r="H1146" s="577"/>
      <c r="I1146" s="577"/>
      <c r="J1146" s="577"/>
      <c r="K1146" s="577"/>
      <c r="L1146" s="577"/>
      <c r="M1146" s="578"/>
      <c r="N1146" s="578"/>
      <c r="O1146" s="577"/>
      <c r="P1146" s="577"/>
      <c r="Q1146" s="578"/>
      <c r="R1146" s="578"/>
      <c r="S1146" s="142">
        <f t="shared" si="133"/>
        <v>0</v>
      </c>
      <c r="T1146" s="142">
        <f t="shared" si="134"/>
        <v>0</v>
      </c>
      <c r="U1146" s="142">
        <f t="shared" si="135"/>
        <v>0</v>
      </c>
      <c r="W1146" s="601">
        <f t="shared" si="136"/>
        <v>0</v>
      </c>
      <c r="X1146" s="601">
        <f t="shared" si="137"/>
        <v>0</v>
      </c>
      <c r="Y1146" s="123"/>
      <c r="Z1146" s="692">
        <f t="shared" si="132"/>
        <v>0</v>
      </c>
    </row>
    <row r="1147" spans="1:26" customFormat="1" ht="12.75" thickBot="1">
      <c r="A1147" s="57" t="s">
        <v>1270</v>
      </c>
      <c r="B1147" s="25" t="s">
        <v>370</v>
      </c>
      <c r="C1147" s="25" t="s">
        <v>996</v>
      </c>
      <c r="D1147" s="694" t="s">
        <v>606</v>
      </c>
      <c r="E1147" s="579"/>
      <c r="F1147" s="577"/>
      <c r="G1147" s="578"/>
      <c r="H1147" s="577"/>
      <c r="I1147" s="577"/>
      <c r="J1147" s="577"/>
      <c r="K1147" s="577"/>
      <c r="L1147" s="577"/>
      <c r="M1147" s="578"/>
      <c r="N1147" s="578"/>
      <c r="O1147" s="577"/>
      <c r="P1147" s="577"/>
      <c r="Q1147" s="578"/>
      <c r="R1147" s="578"/>
      <c r="S1147" s="142">
        <f t="shared" si="133"/>
        <v>0</v>
      </c>
      <c r="T1147" s="142">
        <f t="shared" si="134"/>
        <v>0</v>
      </c>
      <c r="U1147" s="142">
        <f t="shared" si="135"/>
        <v>0</v>
      </c>
      <c r="W1147" s="601">
        <f t="shared" si="136"/>
        <v>0</v>
      </c>
      <c r="X1147" s="601">
        <f t="shared" si="137"/>
        <v>0</v>
      </c>
      <c r="Y1147" s="123"/>
      <c r="Z1147" s="692">
        <f t="shared" si="132"/>
        <v>0</v>
      </c>
    </row>
    <row r="1148" spans="1:26" customFormat="1" ht="12.75" thickBot="1">
      <c r="A1148" s="57" t="s">
        <v>1270</v>
      </c>
      <c r="B1148" s="25" t="s">
        <v>371</v>
      </c>
      <c r="C1148" s="25" t="s">
        <v>997</v>
      </c>
      <c r="D1148" s="694" t="s">
        <v>498</v>
      </c>
      <c r="E1148" s="579"/>
      <c r="F1148" s="577"/>
      <c r="G1148" s="578"/>
      <c r="H1148" s="577"/>
      <c r="I1148" s="577"/>
      <c r="J1148" s="577"/>
      <c r="K1148" s="577"/>
      <c r="L1148" s="577"/>
      <c r="M1148" s="578"/>
      <c r="N1148" s="578"/>
      <c r="O1148" s="577"/>
      <c r="P1148" s="577"/>
      <c r="Q1148" s="578"/>
      <c r="R1148" s="578"/>
      <c r="S1148" s="142">
        <f t="shared" si="133"/>
        <v>0</v>
      </c>
      <c r="T1148" s="142">
        <f t="shared" si="134"/>
        <v>0</v>
      </c>
      <c r="U1148" s="142">
        <f t="shared" si="135"/>
        <v>0</v>
      </c>
      <c r="W1148" s="601">
        <f t="shared" si="136"/>
        <v>0</v>
      </c>
      <c r="X1148" s="601">
        <f t="shared" si="137"/>
        <v>0</v>
      </c>
      <c r="Y1148" s="123"/>
      <c r="Z1148" s="692">
        <f t="shared" si="132"/>
        <v>0</v>
      </c>
    </row>
    <row r="1149" spans="1:26" customFormat="1" ht="12.75" thickBot="1">
      <c r="A1149" s="57" t="s">
        <v>1270</v>
      </c>
      <c r="B1149" s="25" t="s">
        <v>659</v>
      </c>
      <c r="C1149" s="25" t="s">
        <v>998</v>
      </c>
      <c r="D1149" s="694" t="s">
        <v>606</v>
      </c>
      <c r="E1149" s="579"/>
      <c r="F1149" s="577"/>
      <c r="G1149" s="578"/>
      <c r="H1149" s="577"/>
      <c r="I1149" s="577"/>
      <c r="J1149" s="577"/>
      <c r="K1149" s="577"/>
      <c r="L1149" s="577"/>
      <c r="M1149" s="578"/>
      <c r="N1149" s="578"/>
      <c r="O1149" s="577"/>
      <c r="P1149" s="577"/>
      <c r="Q1149" s="578"/>
      <c r="R1149" s="578"/>
      <c r="S1149" s="142">
        <f t="shared" si="133"/>
        <v>0</v>
      </c>
      <c r="T1149" s="142">
        <f t="shared" si="134"/>
        <v>0</v>
      </c>
      <c r="U1149" s="142">
        <f t="shared" si="135"/>
        <v>0</v>
      </c>
      <c r="W1149" s="601">
        <f t="shared" si="136"/>
        <v>0</v>
      </c>
      <c r="X1149" s="601">
        <f t="shared" si="137"/>
        <v>0</v>
      </c>
      <c r="Y1149" s="123"/>
      <c r="Z1149" s="692">
        <f t="shared" si="132"/>
        <v>0</v>
      </c>
    </row>
    <row r="1150" spans="1:26" customFormat="1" ht="12.75" thickBot="1">
      <c r="A1150" s="57" t="s">
        <v>1270</v>
      </c>
      <c r="B1150" s="25" t="s">
        <v>399</v>
      </c>
      <c r="C1150" s="25" t="s">
        <v>999</v>
      </c>
      <c r="D1150" s="694" t="s">
        <v>606</v>
      </c>
      <c r="E1150" s="579"/>
      <c r="F1150" s="577"/>
      <c r="G1150" s="578"/>
      <c r="H1150" s="577"/>
      <c r="I1150" s="577"/>
      <c r="J1150" s="577"/>
      <c r="K1150" s="577"/>
      <c r="L1150" s="577"/>
      <c r="M1150" s="578"/>
      <c r="N1150" s="578"/>
      <c r="O1150" s="577"/>
      <c r="P1150" s="577"/>
      <c r="Q1150" s="578"/>
      <c r="R1150" s="578"/>
      <c r="S1150" s="142">
        <f t="shared" si="133"/>
        <v>0</v>
      </c>
      <c r="T1150" s="142">
        <f t="shared" si="134"/>
        <v>0</v>
      </c>
      <c r="U1150" s="142">
        <f t="shared" si="135"/>
        <v>0</v>
      </c>
      <c r="W1150" s="601">
        <f t="shared" si="136"/>
        <v>0</v>
      </c>
      <c r="X1150" s="601">
        <f t="shared" si="137"/>
        <v>0</v>
      </c>
      <c r="Y1150" s="123"/>
      <c r="Z1150" s="692">
        <f t="shared" si="132"/>
        <v>0</v>
      </c>
    </row>
    <row r="1151" spans="1:26" customFormat="1" ht="12.75" thickBot="1">
      <c r="A1151" s="57" t="s">
        <v>1270</v>
      </c>
      <c r="B1151" s="25" t="s">
        <v>372</v>
      </c>
      <c r="C1151" s="25" t="s">
        <v>1000</v>
      </c>
      <c r="D1151" s="694" t="s">
        <v>606</v>
      </c>
      <c r="E1151" s="579"/>
      <c r="F1151" s="577"/>
      <c r="G1151" s="578"/>
      <c r="H1151" s="577"/>
      <c r="I1151" s="577"/>
      <c r="J1151" s="577"/>
      <c r="K1151" s="577"/>
      <c r="L1151" s="577"/>
      <c r="M1151" s="578"/>
      <c r="N1151" s="578"/>
      <c r="O1151" s="577"/>
      <c r="P1151" s="577"/>
      <c r="Q1151" s="578"/>
      <c r="R1151" s="578"/>
      <c r="S1151" s="142">
        <f t="shared" si="133"/>
        <v>0</v>
      </c>
      <c r="T1151" s="142">
        <f t="shared" si="134"/>
        <v>0</v>
      </c>
      <c r="U1151" s="142">
        <f t="shared" si="135"/>
        <v>0</v>
      </c>
      <c r="W1151" s="601">
        <f t="shared" si="136"/>
        <v>0</v>
      </c>
      <c r="X1151" s="601">
        <f t="shared" si="137"/>
        <v>0</v>
      </c>
      <c r="Y1151" s="123"/>
      <c r="Z1151" s="692">
        <f t="shared" si="132"/>
        <v>0</v>
      </c>
    </row>
    <row r="1152" spans="1:26" customFormat="1" ht="12.75" thickBot="1">
      <c r="A1152" s="57" t="s">
        <v>1270</v>
      </c>
      <c r="B1152" s="25" t="s">
        <v>373</v>
      </c>
      <c r="C1152" s="25" t="s">
        <v>1001</v>
      </c>
      <c r="D1152" s="694" t="s">
        <v>606</v>
      </c>
      <c r="E1152" s="579"/>
      <c r="F1152" s="577"/>
      <c r="G1152" s="578"/>
      <c r="H1152" s="577"/>
      <c r="I1152" s="577"/>
      <c r="J1152" s="577"/>
      <c r="K1152" s="577"/>
      <c r="L1152" s="577"/>
      <c r="M1152" s="578"/>
      <c r="N1152" s="578"/>
      <c r="O1152" s="577"/>
      <c r="P1152" s="577"/>
      <c r="Q1152" s="578"/>
      <c r="R1152" s="578"/>
      <c r="S1152" s="142">
        <f t="shared" si="133"/>
        <v>0</v>
      </c>
      <c r="T1152" s="142">
        <f t="shared" si="134"/>
        <v>0</v>
      </c>
      <c r="U1152" s="142">
        <f t="shared" si="135"/>
        <v>0</v>
      </c>
      <c r="W1152" s="601">
        <f t="shared" si="136"/>
        <v>0</v>
      </c>
      <c r="X1152" s="601">
        <f t="shared" si="137"/>
        <v>0</v>
      </c>
      <c r="Y1152" s="123"/>
      <c r="Z1152" s="692">
        <f t="shared" si="132"/>
        <v>0</v>
      </c>
    </row>
    <row r="1153" spans="1:26" customFormat="1" ht="12.75" thickBot="1">
      <c r="A1153" s="57" t="s">
        <v>1270</v>
      </c>
      <c r="B1153" s="25" t="s">
        <v>374</v>
      </c>
      <c r="C1153" s="25" t="s">
        <v>1002</v>
      </c>
      <c r="D1153" s="694" t="s">
        <v>606</v>
      </c>
      <c r="E1153" s="579"/>
      <c r="F1153" s="577"/>
      <c r="G1153" s="578"/>
      <c r="H1153" s="577"/>
      <c r="I1153" s="577"/>
      <c r="J1153" s="577"/>
      <c r="K1153" s="577"/>
      <c r="L1153" s="577"/>
      <c r="M1153" s="578"/>
      <c r="N1153" s="578"/>
      <c r="O1153" s="577"/>
      <c r="P1153" s="577"/>
      <c r="Q1153" s="578"/>
      <c r="R1153" s="578"/>
      <c r="S1153" s="142">
        <f t="shared" si="133"/>
        <v>0</v>
      </c>
      <c r="T1153" s="142">
        <f t="shared" si="134"/>
        <v>0</v>
      </c>
      <c r="U1153" s="142">
        <f t="shared" si="135"/>
        <v>0</v>
      </c>
      <c r="W1153" s="601">
        <f t="shared" si="136"/>
        <v>0</v>
      </c>
      <c r="X1153" s="601">
        <f t="shared" si="137"/>
        <v>0</v>
      </c>
      <c r="Y1153" s="123"/>
      <c r="Z1153" s="692">
        <f t="shared" si="132"/>
        <v>0</v>
      </c>
    </row>
    <row r="1154" spans="1:26" customFormat="1" ht="12.75" thickBot="1">
      <c r="A1154" s="57" t="s">
        <v>1270</v>
      </c>
      <c r="B1154" s="25" t="s">
        <v>843</v>
      </c>
      <c r="C1154" s="25" t="s">
        <v>843</v>
      </c>
      <c r="D1154" s="694" t="s">
        <v>843</v>
      </c>
      <c r="E1154" s="576">
        <f>9019976-E1063-E1065</f>
        <v>8482303</v>
      </c>
      <c r="F1154" s="574"/>
      <c r="G1154" s="575">
        <f>1287388-F1065-G1063-G1065</f>
        <v>1246631</v>
      </c>
      <c r="H1154" s="602">
        <v>245794</v>
      </c>
      <c r="I1154" s="574"/>
      <c r="J1154" s="574"/>
      <c r="K1154" s="574"/>
      <c r="L1154" s="574"/>
      <c r="M1154" s="575">
        <f>-9917-M1063-M1065</f>
        <v>-9325</v>
      </c>
      <c r="N1154" s="575">
        <f>43791-N1063-N1065</f>
        <v>41183</v>
      </c>
      <c r="O1154" s="574"/>
      <c r="P1154" s="574"/>
      <c r="Q1154" s="575"/>
      <c r="R1154" s="575">
        <f>SUM(F1154:N1154)+1</f>
        <v>1524284</v>
      </c>
      <c r="S1154" s="142">
        <f t="shared" si="133"/>
        <v>1492425</v>
      </c>
      <c r="T1154" s="142">
        <f t="shared" si="134"/>
        <v>0</v>
      </c>
      <c r="U1154" s="142">
        <f t="shared" si="135"/>
        <v>41183</v>
      </c>
      <c r="W1154" s="601">
        <f t="shared" si="136"/>
        <v>1524283</v>
      </c>
      <c r="X1154" s="601">
        <f t="shared" si="137"/>
        <v>-1</v>
      </c>
      <c r="Y1154" s="123"/>
      <c r="Z1154" s="692">
        <f t="shared" si="132"/>
        <v>1492425</v>
      </c>
    </row>
    <row r="1155" spans="1:26" customFormat="1" ht="12.75" thickBot="1">
      <c r="A1155" s="57" t="s">
        <v>1270</v>
      </c>
      <c r="B1155" s="32" t="s">
        <v>7</v>
      </c>
      <c r="C1155" s="33"/>
      <c r="D1155" s="33"/>
      <c r="E1155" s="79"/>
      <c r="F1155" s="21"/>
      <c r="G1155" s="21"/>
      <c r="H1155" s="21"/>
      <c r="I1155" s="21"/>
      <c r="J1155" s="21"/>
      <c r="K1155" s="21"/>
      <c r="L1155" s="21"/>
      <c r="M1155" s="21"/>
      <c r="N1155" s="21"/>
      <c r="O1155" s="21"/>
      <c r="P1155" s="21"/>
      <c r="Q1155" s="21"/>
      <c r="R1155" s="21"/>
      <c r="S1155" s="142">
        <f t="shared" si="133"/>
        <v>0</v>
      </c>
      <c r="T1155" s="142">
        <f t="shared" si="134"/>
        <v>0</v>
      </c>
      <c r="U1155" s="142">
        <f t="shared" si="135"/>
        <v>0</v>
      </c>
      <c r="W1155" s="601">
        <f t="shared" si="136"/>
        <v>0</v>
      </c>
      <c r="X1155" s="601">
        <f t="shared" si="137"/>
        <v>0</v>
      </c>
      <c r="Y1155" s="123"/>
      <c r="Z1155" s="692">
        <f t="shared" si="132"/>
        <v>0</v>
      </c>
    </row>
    <row r="1156" spans="1:26" customFormat="1" ht="23.25" thickBot="1">
      <c r="A1156" s="61"/>
      <c r="B1156" s="62"/>
      <c r="C1156" s="45"/>
      <c r="D1156" s="16"/>
      <c r="E1156" s="16" t="s">
        <v>5</v>
      </c>
      <c r="F1156" s="16" t="s">
        <v>851</v>
      </c>
      <c r="G1156" s="16" t="s">
        <v>922</v>
      </c>
      <c r="H1156" s="16" t="s">
        <v>923</v>
      </c>
      <c r="I1156" s="16" t="s">
        <v>924</v>
      </c>
      <c r="J1156" s="16" t="s">
        <v>925</v>
      </c>
      <c r="K1156" s="16" t="s">
        <v>926</v>
      </c>
      <c r="L1156" s="16" t="s">
        <v>838</v>
      </c>
      <c r="M1156" s="16" t="s">
        <v>57</v>
      </c>
      <c r="N1156" s="16" t="s">
        <v>58</v>
      </c>
      <c r="O1156" s="16" t="s">
        <v>927</v>
      </c>
      <c r="P1156" s="16" t="s">
        <v>762</v>
      </c>
      <c r="Q1156" s="16" t="s">
        <v>839</v>
      </c>
      <c r="R1156" s="16" t="s">
        <v>840</v>
      </c>
      <c r="S1156" s="142" t="e">
        <f t="shared" si="133"/>
        <v>#VALUE!</v>
      </c>
      <c r="T1156" s="142" t="e">
        <f t="shared" si="134"/>
        <v>#VALUE!</v>
      </c>
      <c r="U1156" s="142" t="e">
        <f t="shared" si="135"/>
        <v>#VALUE!</v>
      </c>
      <c r="W1156" s="601">
        <f t="shared" si="136"/>
        <v>0</v>
      </c>
      <c r="X1156" s="601" t="e">
        <f t="shared" si="137"/>
        <v>#VALUE!</v>
      </c>
      <c r="Y1156" s="123"/>
      <c r="Z1156" s="692">
        <f t="shared" si="132"/>
        <v>0</v>
      </c>
    </row>
    <row r="1157" spans="1:26" customFormat="1" ht="12.75" thickBot="1">
      <c r="A1157" s="25" t="s">
        <v>0</v>
      </c>
      <c r="B1157" s="25" t="s">
        <v>4</v>
      </c>
      <c r="C1157" s="46"/>
      <c r="D1157" s="16"/>
      <c r="E1157" s="250" t="s">
        <v>5</v>
      </c>
      <c r="F1157" s="250" t="s">
        <v>6</v>
      </c>
      <c r="G1157" s="250" t="s">
        <v>6</v>
      </c>
      <c r="H1157" s="250" t="s">
        <v>6</v>
      </c>
      <c r="I1157" s="250" t="s">
        <v>6</v>
      </c>
      <c r="J1157" s="250" t="s">
        <v>6</v>
      </c>
      <c r="K1157" s="250" t="s">
        <v>6</v>
      </c>
      <c r="L1157" s="250" t="s">
        <v>6</v>
      </c>
      <c r="M1157" s="250" t="s">
        <v>6</v>
      </c>
      <c r="N1157" s="250" t="s">
        <v>6</v>
      </c>
      <c r="O1157" s="250" t="s">
        <v>6</v>
      </c>
      <c r="P1157" s="250" t="s">
        <v>6</v>
      </c>
      <c r="Q1157" s="250" t="s">
        <v>6</v>
      </c>
      <c r="R1157" s="250" t="s">
        <v>6</v>
      </c>
      <c r="S1157" s="142" t="e">
        <f t="shared" si="133"/>
        <v>#VALUE!</v>
      </c>
      <c r="T1157" s="142" t="e">
        <f t="shared" si="134"/>
        <v>#VALUE!</v>
      </c>
      <c r="U1157" s="142" t="e">
        <f t="shared" si="135"/>
        <v>#VALUE!</v>
      </c>
      <c r="W1157" s="601">
        <f t="shared" si="136"/>
        <v>0</v>
      </c>
      <c r="X1157" s="601" t="e">
        <f t="shared" si="137"/>
        <v>#VALUE!</v>
      </c>
      <c r="Y1157" s="123"/>
      <c r="Z1157" s="692">
        <f t="shared" si="132"/>
        <v>0</v>
      </c>
    </row>
    <row r="1158" spans="1:26" customFormat="1" ht="12.75" thickBot="1">
      <c r="A1158" s="57" t="s">
        <v>1271</v>
      </c>
      <c r="B1158" s="25" t="s">
        <v>928</v>
      </c>
      <c r="C1158" s="25" t="s">
        <v>929</v>
      </c>
      <c r="D1158" s="69" t="s">
        <v>881</v>
      </c>
      <c r="E1158" s="577"/>
      <c r="F1158" s="577"/>
      <c r="G1158" s="577"/>
      <c r="H1158" s="577"/>
      <c r="I1158" s="577"/>
      <c r="J1158" s="577"/>
      <c r="K1158" s="577"/>
      <c r="L1158" s="577"/>
      <c r="M1158" s="577"/>
      <c r="N1158" s="577"/>
      <c r="O1158" s="577"/>
      <c r="P1158" s="577"/>
      <c r="Q1158" s="577"/>
      <c r="R1158" s="578"/>
      <c r="S1158" s="142">
        <f t="shared" si="133"/>
        <v>0</v>
      </c>
      <c r="T1158" s="142">
        <f t="shared" si="134"/>
        <v>0</v>
      </c>
      <c r="U1158" s="142">
        <f t="shared" si="135"/>
        <v>0</v>
      </c>
      <c r="W1158" s="601">
        <f t="shared" si="136"/>
        <v>0</v>
      </c>
      <c r="X1158" s="601">
        <f t="shared" si="137"/>
        <v>0</v>
      </c>
      <c r="Y1158" s="123"/>
      <c r="Z1158" s="692">
        <f t="shared" si="132"/>
        <v>0</v>
      </c>
    </row>
    <row r="1159" spans="1:26" customFormat="1" ht="12.75" thickBot="1">
      <c r="A1159" s="57" t="s">
        <v>1271</v>
      </c>
      <c r="B1159" s="25" t="s">
        <v>848</v>
      </c>
      <c r="C1159" s="25" t="s">
        <v>849</v>
      </c>
      <c r="D1159" s="69" t="s">
        <v>881</v>
      </c>
      <c r="E1159" s="577"/>
      <c r="F1159" s="577"/>
      <c r="G1159" s="577"/>
      <c r="H1159" s="577"/>
      <c r="I1159" s="577"/>
      <c r="J1159" s="577"/>
      <c r="K1159" s="577"/>
      <c r="L1159" s="577"/>
      <c r="M1159" s="577"/>
      <c r="N1159" s="577"/>
      <c r="O1159" s="577"/>
      <c r="P1159" s="577"/>
      <c r="Q1159" s="577"/>
      <c r="R1159" s="578"/>
      <c r="S1159" s="142">
        <f t="shared" si="133"/>
        <v>0</v>
      </c>
      <c r="T1159" s="142">
        <f t="shared" si="134"/>
        <v>0</v>
      </c>
      <c r="U1159" s="142">
        <f t="shared" si="135"/>
        <v>0</v>
      </c>
      <c r="W1159" s="601">
        <f t="shared" si="136"/>
        <v>0</v>
      </c>
      <c r="X1159" s="601">
        <f t="shared" si="137"/>
        <v>0</v>
      </c>
      <c r="Y1159" s="123"/>
      <c r="Z1159" s="692">
        <f t="shared" si="132"/>
        <v>0</v>
      </c>
    </row>
    <row r="1160" spans="1:26" customFormat="1" ht="12.75" thickBot="1">
      <c r="A1160" s="57" t="s">
        <v>1271</v>
      </c>
      <c r="B1160" s="25" t="s">
        <v>930</v>
      </c>
      <c r="C1160" s="25" t="s">
        <v>931</v>
      </c>
      <c r="D1160" s="69" t="s">
        <v>881</v>
      </c>
      <c r="E1160" s="577"/>
      <c r="F1160" s="577"/>
      <c r="G1160" s="577"/>
      <c r="H1160" s="577"/>
      <c r="I1160" s="577"/>
      <c r="J1160" s="577"/>
      <c r="K1160" s="577"/>
      <c r="L1160" s="577"/>
      <c r="M1160" s="577"/>
      <c r="N1160" s="577"/>
      <c r="O1160" s="577"/>
      <c r="P1160" s="577"/>
      <c r="Q1160" s="577"/>
      <c r="R1160" s="578"/>
      <c r="S1160" s="142">
        <f t="shared" si="133"/>
        <v>0</v>
      </c>
      <c r="T1160" s="142">
        <f t="shared" si="134"/>
        <v>0</v>
      </c>
      <c r="U1160" s="142">
        <f t="shared" si="135"/>
        <v>0</v>
      </c>
      <c r="W1160" s="601">
        <f t="shared" si="136"/>
        <v>0</v>
      </c>
      <c r="X1160" s="601">
        <f t="shared" si="137"/>
        <v>0</v>
      </c>
      <c r="Y1160" s="123"/>
      <c r="Z1160" s="692">
        <f t="shared" si="132"/>
        <v>0</v>
      </c>
    </row>
    <row r="1161" spans="1:26" customFormat="1" ht="12.75" thickBot="1">
      <c r="A1161" s="57" t="s">
        <v>1271</v>
      </c>
      <c r="B1161" s="25" t="s">
        <v>1011</v>
      </c>
      <c r="C1161" s="25" t="s">
        <v>1119</v>
      </c>
      <c r="D1161" s="69" t="s">
        <v>881</v>
      </c>
      <c r="E1161" s="577"/>
      <c r="F1161" s="577"/>
      <c r="G1161" s="577"/>
      <c r="H1161" s="577"/>
      <c r="I1161" s="577"/>
      <c r="J1161" s="577"/>
      <c r="K1161" s="577"/>
      <c r="L1161" s="577"/>
      <c r="M1161" s="577"/>
      <c r="N1161" s="577"/>
      <c r="O1161" s="577"/>
      <c r="P1161" s="577"/>
      <c r="Q1161" s="577"/>
      <c r="R1161" s="578"/>
      <c r="S1161" s="142">
        <f t="shared" si="133"/>
        <v>0</v>
      </c>
      <c r="T1161" s="142">
        <f t="shared" si="134"/>
        <v>0</v>
      </c>
      <c r="U1161" s="142">
        <f t="shared" si="135"/>
        <v>0</v>
      </c>
      <c r="W1161" s="601">
        <f t="shared" si="136"/>
        <v>0</v>
      </c>
      <c r="X1161" s="601">
        <f t="shared" si="137"/>
        <v>0</v>
      </c>
      <c r="Y1161" s="123"/>
      <c r="Z1161" s="692">
        <f t="shared" si="132"/>
        <v>0</v>
      </c>
    </row>
    <row r="1162" spans="1:26" customFormat="1" ht="12.75" thickBot="1">
      <c r="A1162" s="57" t="s">
        <v>1271</v>
      </c>
      <c r="B1162" s="25" t="s">
        <v>852</v>
      </c>
      <c r="C1162" s="25" t="s">
        <v>853</v>
      </c>
      <c r="D1162" s="69" t="s">
        <v>1125</v>
      </c>
      <c r="E1162" s="577"/>
      <c r="F1162" s="577"/>
      <c r="G1162" s="577"/>
      <c r="H1162" s="577"/>
      <c r="I1162" s="577"/>
      <c r="J1162" s="577"/>
      <c r="K1162" s="577"/>
      <c r="L1162" s="577"/>
      <c r="M1162" s="577"/>
      <c r="N1162" s="577"/>
      <c r="O1162" s="577"/>
      <c r="P1162" s="577"/>
      <c r="Q1162" s="577"/>
      <c r="R1162" s="577"/>
      <c r="S1162" s="142">
        <f t="shared" si="133"/>
        <v>0</v>
      </c>
      <c r="T1162" s="142">
        <f t="shared" si="134"/>
        <v>0</v>
      </c>
      <c r="U1162" s="142">
        <f t="shared" si="135"/>
        <v>0</v>
      </c>
      <c r="W1162" s="601">
        <f t="shared" si="136"/>
        <v>0</v>
      </c>
      <c r="X1162" s="601">
        <f t="shared" si="137"/>
        <v>0</v>
      </c>
      <c r="Y1162" s="123"/>
      <c r="Z1162" s="692">
        <f t="shared" si="132"/>
        <v>0</v>
      </c>
    </row>
    <row r="1163" spans="1:26" customFormat="1" ht="12.75" thickBot="1">
      <c r="A1163" s="57" t="s">
        <v>1271</v>
      </c>
      <c r="B1163" s="25" t="s">
        <v>407</v>
      </c>
      <c r="C1163" s="25" t="s">
        <v>1120</v>
      </c>
      <c r="D1163" s="98" t="s">
        <v>892</v>
      </c>
      <c r="E1163" s="579"/>
      <c r="F1163" s="577"/>
      <c r="G1163" s="578"/>
      <c r="H1163" s="578"/>
      <c r="I1163" s="578"/>
      <c r="J1163" s="577"/>
      <c r="K1163" s="577"/>
      <c r="L1163" s="578"/>
      <c r="M1163" s="578"/>
      <c r="N1163" s="578"/>
      <c r="O1163" s="578"/>
      <c r="P1163" s="577"/>
      <c r="Q1163" s="577"/>
      <c r="R1163" s="578"/>
      <c r="S1163" s="142">
        <f t="shared" si="133"/>
        <v>0</v>
      </c>
      <c r="T1163" s="142">
        <f t="shared" si="134"/>
        <v>0</v>
      </c>
      <c r="U1163" s="142">
        <f t="shared" si="135"/>
        <v>0</v>
      </c>
      <c r="W1163" s="601">
        <f t="shared" si="136"/>
        <v>0</v>
      </c>
      <c r="X1163" s="601">
        <f t="shared" si="137"/>
        <v>0</v>
      </c>
      <c r="Y1163" s="123"/>
      <c r="Z1163" s="692">
        <f t="shared" si="132"/>
        <v>0</v>
      </c>
    </row>
    <row r="1164" spans="1:26" customFormat="1" ht="12.75" thickBot="1">
      <c r="A1164" s="57" t="s">
        <v>1271</v>
      </c>
      <c r="B1164" s="25" t="s">
        <v>409</v>
      </c>
      <c r="C1164" s="25" t="s">
        <v>140</v>
      </c>
      <c r="D1164" s="98" t="s">
        <v>892</v>
      </c>
      <c r="E1164" s="579">
        <v>28603574</v>
      </c>
      <c r="F1164" s="578">
        <v>561393</v>
      </c>
      <c r="G1164" s="578">
        <v>1785435</v>
      </c>
      <c r="H1164" s="578">
        <v>779447</v>
      </c>
      <c r="I1164" s="578">
        <v>47768</v>
      </c>
      <c r="J1164" s="577"/>
      <c r="K1164" s="577"/>
      <c r="L1164" s="578">
        <v>83511</v>
      </c>
      <c r="M1164" s="578">
        <v>-10107</v>
      </c>
      <c r="N1164" s="578"/>
      <c r="O1164" s="578">
        <v>148504</v>
      </c>
      <c r="P1164" s="577"/>
      <c r="Q1164" s="578"/>
      <c r="R1164" s="578">
        <v>3395952</v>
      </c>
      <c r="S1164" s="142">
        <f t="shared" si="133"/>
        <v>2612650</v>
      </c>
      <c r="T1164" s="142">
        <f t="shared" si="134"/>
        <v>0</v>
      </c>
      <c r="U1164" s="142">
        <f t="shared" si="135"/>
        <v>148504</v>
      </c>
      <c r="W1164" s="601">
        <f t="shared" si="136"/>
        <v>3395951</v>
      </c>
      <c r="X1164" s="601">
        <f t="shared" si="137"/>
        <v>-1</v>
      </c>
      <c r="Y1164" s="123"/>
      <c r="Z1164" s="692">
        <f t="shared" ref="Z1164:Z1225" si="138">SUM(F1164:K1164)</f>
        <v>3174043</v>
      </c>
    </row>
    <row r="1165" spans="1:26" customFormat="1" ht="12.75" thickBot="1">
      <c r="A1165" s="57" t="s">
        <v>1271</v>
      </c>
      <c r="B1165" s="25" t="s">
        <v>410</v>
      </c>
      <c r="C1165" s="25" t="s">
        <v>1121</v>
      </c>
      <c r="D1165" s="98" t="s">
        <v>892</v>
      </c>
      <c r="E1165" s="579"/>
      <c r="F1165" s="578"/>
      <c r="G1165" s="578"/>
      <c r="H1165" s="578"/>
      <c r="I1165" s="578"/>
      <c r="J1165" s="577"/>
      <c r="K1165" s="577"/>
      <c r="L1165" s="578"/>
      <c r="M1165" s="578"/>
      <c r="N1165" s="578"/>
      <c r="O1165" s="578"/>
      <c r="P1165" s="577"/>
      <c r="Q1165" s="577"/>
      <c r="R1165" s="578"/>
      <c r="S1165" s="142">
        <f t="shared" si="133"/>
        <v>0</v>
      </c>
      <c r="T1165" s="142">
        <f t="shared" si="134"/>
        <v>0</v>
      </c>
      <c r="U1165" s="142">
        <f t="shared" si="135"/>
        <v>0</v>
      </c>
      <c r="W1165" s="601">
        <f t="shared" si="136"/>
        <v>0</v>
      </c>
      <c r="X1165" s="601">
        <f t="shared" si="137"/>
        <v>0</v>
      </c>
      <c r="Y1165" s="123"/>
      <c r="Z1165" s="692">
        <f t="shared" si="138"/>
        <v>0</v>
      </c>
    </row>
    <row r="1166" spans="1:26" customFormat="1" ht="12.75" thickBot="1">
      <c r="A1166" s="57" t="s">
        <v>1271</v>
      </c>
      <c r="B1166" s="25" t="s">
        <v>411</v>
      </c>
      <c r="C1166" s="25" t="s">
        <v>1122</v>
      </c>
      <c r="D1166" s="98" t="s">
        <v>892</v>
      </c>
      <c r="E1166" s="579"/>
      <c r="F1166" s="577"/>
      <c r="G1166" s="578"/>
      <c r="H1166" s="578"/>
      <c r="I1166" s="578"/>
      <c r="J1166" s="577"/>
      <c r="K1166" s="577"/>
      <c r="L1166" s="578"/>
      <c r="M1166" s="578"/>
      <c r="N1166" s="578"/>
      <c r="O1166" s="578"/>
      <c r="P1166" s="577"/>
      <c r="Q1166" s="577"/>
      <c r="R1166" s="578"/>
      <c r="S1166" s="142">
        <f t="shared" si="133"/>
        <v>0</v>
      </c>
      <c r="T1166" s="142">
        <f t="shared" si="134"/>
        <v>0</v>
      </c>
      <c r="U1166" s="142">
        <f t="shared" si="135"/>
        <v>0</v>
      </c>
      <c r="W1166" s="601">
        <f t="shared" si="136"/>
        <v>0</v>
      </c>
      <c r="X1166" s="601">
        <f t="shared" si="137"/>
        <v>0</v>
      </c>
      <c r="Y1166" s="123"/>
      <c r="Z1166" s="692">
        <f t="shared" si="138"/>
        <v>0</v>
      </c>
    </row>
    <row r="1167" spans="1:26" customFormat="1" ht="12.75" thickBot="1">
      <c r="A1167" s="57" t="s">
        <v>1271</v>
      </c>
      <c r="B1167" s="25" t="s">
        <v>413</v>
      </c>
      <c r="C1167" s="25" t="s">
        <v>454</v>
      </c>
      <c r="D1167" s="98" t="s">
        <v>892</v>
      </c>
      <c r="E1167" s="579"/>
      <c r="F1167" s="578"/>
      <c r="G1167" s="578"/>
      <c r="H1167" s="578"/>
      <c r="I1167" s="578"/>
      <c r="J1167" s="577"/>
      <c r="K1167" s="577"/>
      <c r="L1167" s="578"/>
      <c r="M1167" s="578"/>
      <c r="N1167" s="578"/>
      <c r="O1167" s="578"/>
      <c r="P1167" s="577"/>
      <c r="Q1167" s="577"/>
      <c r="R1167" s="578"/>
      <c r="S1167" s="142">
        <f t="shared" si="133"/>
        <v>0</v>
      </c>
      <c r="T1167" s="142">
        <f t="shared" si="134"/>
        <v>0</v>
      </c>
      <c r="U1167" s="142">
        <f t="shared" si="135"/>
        <v>0</v>
      </c>
      <c r="W1167" s="601">
        <f t="shared" si="136"/>
        <v>0</v>
      </c>
      <c r="X1167" s="601">
        <f t="shared" si="137"/>
        <v>0</v>
      </c>
      <c r="Y1167" s="123"/>
      <c r="Z1167" s="692">
        <f t="shared" si="138"/>
        <v>0</v>
      </c>
    </row>
    <row r="1168" spans="1:26" customFormat="1" ht="12.75" thickBot="1">
      <c r="A1168" s="57" t="s">
        <v>1271</v>
      </c>
      <c r="B1168" s="25" t="s">
        <v>414</v>
      </c>
      <c r="C1168" s="25" t="s">
        <v>445</v>
      </c>
      <c r="D1168" s="25" t="s">
        <v>20</v>
      </c>
      <c r="E1168" s="579">
        <v>128845885</v>
      </c>
      <c r="F1168" s="578">
        <v>231570</v>
      </c>
      <c r="G1168" s="578">
        <v>1720093</v>
      </c>
      <c r="H1168" s="578">
        <v>3511050</v>
      </c>
      <c r="I1168" s="577"/>
      <c r="J1168" s="578">
        <v>153588</v>
      </c>
      <c r="K1168" s="578">
        <v>4329257</v>
      </c>
      <c r="L1168" s="578">
        <v>376178</v>
      </c>
      <c r="M1168" s="578">
        <v>-45529</v>
      </c>
      <c r="N1168" s="578"/>
      <c r="O1168" s="578">
        <v>668943</v>
      </c>
      <c r="P1168" s="577"/>
      <c r="Q1168" s="577"/>
      <c r="R1168" s="578">
        <v>10945149</v>
      </c>
      <c r="S1168" s="142">
        <f t="shared" si="133"/>
        <v>5231143</v>
      </c>
      <c r="T1168" s="142">
        <f t="shared" si="134"/>
        <v>4482845</v>
      </c>
      <c r="U1168" s="142">
        <f t="shared" si="135"/>
        <v>668943</v>
      </c>
      <c r="W1168" s="601">
        <f t="shared" si="136"/>
        <v>10945150</v>
      </c>
      <c r="X1168" s="601">
        <f t="shared" si="137"/>
        <v>1</v>
      </c>
      <c r="Y1168" s="123"/>
      <c r="Z1168" s="692">
        <f t="shared" si="138"/>
        <v>9945558</v>
      </c>
    </row>
    <row r="1169" spans="1:26" ht="12.75" thickBot="1">
      <c r="A1169" s="146" t="s">
        <v>1271</v>
      </c>
      <c r="B1169" s="147" t="s">
        <v>415</v>
      </c>
      <c r="C1169" s="147" t="s">
        <v>443</v>
      </c>
      <c r="D1169" s="153" t="s">
        <v>21</v>
      </c>
      <c r="E1169" s="597">
        <v>11215351</v>
      </c>
      <c r="F1169" s="598">
        <v>8840</v>
      </c>
      <c r="G1169" s="598">
        <v>134696</v>
      </c>
      <c r="H1169" s="598">
        <v>305618</v>
      </c>
      <c r="I1169" s="599"/>
      <c r="J1169" s="598">
        <v>13045</v>
      </c>
      <c r="K1169" s="598">
        <v>303839</v>
      </c>
      <c r="L1169" s="598">
        <v>32744</v>
      </c>
      <c r="M1169" s="598">
        <v>-3963</v>
      </c>
      <c r="N1169" s="598"/>
      <c r="O1169" s="598">
        <v>58228</v>
      </c>
      <c r="P1169" s="599"/>
      <c r="Q1169" s="599"/>
      <c r="R1169" s="598">
        <v>853048</v>
      </c>
      <c r="S1169" s="590">
        <f t="shared" si="133"/>
        <v>440314</v>
      </c>
      <c r="T1169" s="590">
        <f t="shared" si="134"/>
        <v>316884</v>
      </c>
      <c r="U1169" s="590">
        <f t="shared" si="135"/>
        <v>58228</v>
      </c>
      <c r="W1169" s="368">
        <f t="shared" si="136"/>
        <v>853047</v>
      </c>
      <c r="X1169" s="368">
        <f t="shared" si="137"/>
        <v>-1</v>
      </c>
      <c r="Y1169" s="592"/>
      <c r="Z1169" s="692">
        <f t="shared" si="138"/>
        <v>766038</v>
      </c>
    </row>
    <row r="1170" spans="1:26" customFormat="1" ht="12.75" thickBot="1">
      <c r="A1170" s="57" t="s">
        <v>1271</v>
      </c>
      <c r="B1170" s="25" t="s">
        <v>416</v>
      </c>
      <c r="C1170" s="25" t="s">
        <v>446</v>
      </c>
      <c r="D1170" s="69" t="s">
        <v>20</v>
      </c>
      <c r="E1170" s="579"/>
      <c r="F1170" s="578"/>
      <c r="G1170" s="578"/>
      <c r="H1170" s="578"/>
      <c r="I1170" s="577"/>
      <c r="J1170" s="578"/>
      <c r="K1170" s="578"/>
      <c r="L1170" s="578"/>
      <c r="M1170" s="578"/>
      <c r="N1170" s="578"/>
      <c r="O1170" s="578"/>
      <c r="P1170" s="577"/>
      <c r="Q1170" s="577"/>
      <c r="R1170" s="578"/>
      <c r="S1170" s="142">
        <f t="shared" si="133"/>
        <v>0</v>
      </c>
      <c r="T1170" s="142">
        <f t="shared" si="134"/>
        <v>0</v>
      </c>
      <c r="U1170" s="142">
        <f t="shared" si="135"/>
        <v>0</v>
      </c>
      <c r="W1170" s="601">
        <f t="shared" si="136"/>
        <v>0</v>
      </c>
      <c r="X1170" s="601">
        <f t="shared" si="137"/>
        <v>0</v>
      </c>
      <c r="Y1170" s="123"/>
      <c r="Z1170" s="692">
        <f t="shared" si="138"/>
        <v>0</v>
      </c>
    </row>
    <row r="1171" spans="1:26" customFormat="1" ht="12.75" thickBot="1">
      <c r="A1171" s="57" t="s">
        <v>1271</v>
      </c>
      <c r="B1171" s="25" t="s">
        <v>417</v>
      </c>
      <c r="C1171" s="25" t="s">
        <v>932</v>
      </c>
      <c r="D1171" s="69" t="s">
        <v>920</v>
      </c>
      <c r="E1171" s="579">
        <v>54908223</v>
      </c>
      <c r="F1171" s="578">
        <v>41600</v>
      </c>
      <c r="G1171" s="578">
        <v>694589</v>
      </c>
      <c r="H1171" s="578">
        <v>1496249</v>
      </c>
      <c r="I1171" s="577"/>
      <c r="J1171" s="578">
        <v>57838</v>
      </c>
      <c r="K1171" s="578">
        <v>1692402</v>
      </c>
      <c r="L1171" s="578">
        <v>160310</v>
      </c>
      <c r="M1171" s="578">
        <v>-19402</v>
      </c>
      <c r="N1171" s="578"/>
      <c r="O1171" s="578">
        <v>285073</v>
      </c>
      <c r="P1171" s="577"/>
      <c r="Q1171" s="577"/>
      <c r="R1171" s="578">
        <v>4408658</v>
      </c>
      <c r="S1171" s="142">
        <f t="shared" si="133"/>
        <v>2190838</v>
      </c>
      <c r="T1171" s="142">
        <f t="shared" si="134"/>
        <v>1750240</v>
      </c>
      <c r="U1171" s="142">
        <f t="shared" si="135"/>
        <v>285073</v>
      </c>
      <c r="W1171" s="601">
        <f t="shared" si="136"/>
        <v>4408659</v>
      </c>
      <c r="X1171" s="601">
        <f t="shared" si="137"/>
        <v>1</v>
      </c>
      <c r="Y1171" s="123"/>
      <c r="Z1171" s="692">
        <f t="shared" si="138"/>
        <v>3982678</v>
      </c>
    </row>
    <row r="1172" spans="1:26" customFormat="1" ht="12.75" thickBot="1">
      <c r="A1172" s="57" t="s">
        <v>1271</v>
      </c>
      <c r="B1172" s="25" t="s">
        <v>418</v>
      </c>
      <c r="C1172" s="25" t="s">
        <v>447</v>
      </c>
      <c r="D1172" s="69" t="s">
        <v>448</v>
      </c>
      <c r="E1172" s="579">
        <v>28058758</v>
      </c>
      <c r="F1172" s="575">
        <v>10500</v>
      </c>
      <c r="G1172" s="578">
        <v>304438</v>
      </c>
      <c r="H1172" s="578">
        <v>764601</v>
      </c>
      <c r="I1172" s="577"/>
      <c r="J1172" s="578">
        <v>27998</v>
      </c>
      <c r="K1172" s="578">
        <v>895769</v>
      </c>
      <c r="L1172" s="578">
        <v>81920</v>
      </c>
      <c r="M1172" s="578">
        <v>-9915</v>
      </c>
      <c r="N1172" s="578"/>
      <c r="O1172" s="578">
        <v>145676</v>
      </c>
      <c r="P1172" s="577"/>
      <c r="Q1172" s="577"/>
      <c r="R1172" s="578">
        <v>2220987</v>
      </c>
      <c r="S1172" s="142">
        <f t="shared" si="133"/>
        <v>1069039</v>
      </c>
      <c r="T1172" s="142">
        <f t="shared" si="134"/>
        <v>923767</v>
      </c>
      <c r="U1172" s="142">
        <f t="shared" si="135"/>
        <v>145676</v>
      </c>
      <c r="W1172" s="601">
        <f t="shared" si="136"/>
        <v>2220987</v>
      </c>
      <c r="X1172" s="601">
        <f t="shared" si="137"/>
        <v>0</v>
      </c>
      <c r="Y1172" s="123"/>
      <c r="Z1172" s="692">
        <f t="shared" si="138"/>
        <v>2003306</v>
      </c>
    </row>
    <row r="1173" spans="1:26" customFormat="1" ht="12.75" thickBot="1">
      <c r="A1173" s="57" t="s">
        <v>1271</v>
      </c>
      <c r="B1173" s="25" t="s">
        <v>420</v>
      </c>
      <c r="C1173" s="25" t="s">
        <v>59</v>
      </c>
      <c r="D1173" s="69" t="s">
        <v>14</v>
      </c>
      <c r="E1173" s="579">
        <v>72923500</v>
      </c>
      <c r="F1173" s="578">
        <v>570441</v>
      </c>
      <c r="G1173" s="578">
        <v>4551885</v>
      </c>
      <c r="H1173" s="578">
        <v>1987165</v>
      </c>
      <c r="I1173" s="578">
        <v>121782</v>
      </c>
      <c r="J1173" s="577"/>
      <c r="K1173" s="577"/>
      <c r="L1173" s="578">
        <v>212907</v>
      </c>
      <c r="M1173" s="578">
        <v>-25768</v>
      </c>
      <c r="N1173" s="578"/>
      <c r="O1173" s="578">
        <v>378605</v>
      </c>
      <c r="P1173" s="577"/>
      <c r="Q1173" s="578"/>
      <c r="R1173" s="578">
        <v>7797018</v>
      </c>
      <c r="S1173" s="142">
        <f t="shared" ref="S1173:S1234" si="139">G1173+H1173+I1173</f>
        <v>6660832</v>
      </c>
      <c r="T1173" s="142">
        <f t="shared" ref="T1173:T1234" si="140">J1173+K1173</f>
        <v>0</v>
      </c>
      <c r="U1173" s="142">
        <f t="shared" ref="U1173:U1234" si="141">N1173+O1173</f>
        <v>378605</v>
      </c>
      <c r="W1173" s="601">
        <f t="shared" si="136"/>
        <v>7797017</v>
      </c>
      <c r="X1173" s="601">
        <f t="shared" si="137"/>
        <v>-1</v>
      </c>
      <c r="Y1173" s="123"/>
      <c r="Z1173" s="692">
        <f t="shared" si="138"/>
        <v>7231273</v>
      </c>
    </row>
    <row r="1174" spans="1:26" customFormat="1" ht="12.75" thickBot="1">
      <c r="A1174" s="57" t="s">
        <v>1271</v>
      </c>
      <c r="B1174" s="25" t="s">
        <v>421</v>
      </c>
      <c r="C1174" s="25" t="s">
        <v>1123</v>
      </c>
      <c r="D1174" s="69" t="s">
        <v>14</v>
      </c>
      <c r="E1174" s="579"/>
      <c r="F1174" s="577"/>
      <c r="G1174" s="578"/>
      <c r="H1174" s="578"/>
      <c r="I1174" s="578"/>
      <c r="J1174" s="577"/>
      <c r="K1174" s="577"/>
      <c r="L1174" s="578"/>
      <c r="M1174" s="578"/>
      <c r="N1174" s="578"/>
      <c r="O1174" s="578"/>
      <c r="P1174" s="577"/>
      <c r="Q1174" s="577"/>
      <c r="R1174" s="578"/>
      <c r="S1174" s="142">
        <f t="shared" si="139"/>
        <v>0</v>
      </c>
      <c r="T1174" s="142">
        <f t="shared" si="140"/>
        <v>0</v>
      </c>
      <c r="U1174" s="142">
        <f t="shared" si="141"/>
        <v>0</v>
      </c>
      <c r="W1174" s="601">
        <f t="shared" si="136"/>
        <v>0</v>
      </c>
      <c r="X1174" s="601">
        <f t="shared" si="137"/>
        <v>0</v>
      </c>
      <c r="Y1174" s="123"/>
      <c r="Z1174" s="692">
        <f t="shared" si="138"/>
        <v>0</v>
      </c>
    </row>
    <row r="1175" spans="1:26" customFormat="1" ht="12.75" thickBot="1">
      <c r="A1175" s="57" t="s">
        <v>1271</v>
      </c>
      <c r="B1175" s="25" t="s">
        <v>423</v>
      </c>
      <c r="C1175" s="25" t="s">
        <v>452</v>
      </c>
      <c r="D1175" s="69" t="s">
        <v>14</v>
      </c>
      <c r="E1175" s="579"/>
      <c r="F1175" s="578"/>
      <c r="G1175" s="578"/>
      <c r="H1175" s="578"/>
      <c r="I1175" s="578"/>
      <c r="J1175" s="577"/>
      <c r="K1175" s="577"/>
      <c r="L1175" s="578"/>
      <c r="M1175" s="578"/>
      <c r="N1175" s="578"/>
      <c r="O1175" s="578"/>
      <c r="P1175" s="577"/>
      <c r="Q1175" s="577"/>
      <c r="R1175" s="578"/>
      <c r="S1175" s="142">
        <f t="shared" si="139"/>
        <v>0</v>
      </c>
      <c r="T1175" s="142">
        <f t="shared" si="140"/>
        <v>0</v>
      </c>
      <c r="U1175" s="142">
        <f t="shared" si="141"/>
        <v>0</v>
      </c>
      <c r="W1175" s="601">
        <f t="shared" si="136"/>
        <v>0</v>
      </c>
      <c r="X1175" s="601">
        <f t="shared" si="137"/>
        <v>0</v>
      </c>
      <c r="Y1175" s="123"/>
      <c r="Z1175" s="692">
        <f t="shared" si="138"/>
        <v>0</v>
      </c>
    </row>
    <row r="1176" spans="1:26" customFormat="1" ht="12.75" thickBot="1">
      <c r="A1176" s="57" t="s">
        <v>1271</v>
      </c>
      <c r="B1176" s="25" t="s">
        <v>424</v>
      </c>
      <c r="C1176" s="25" t="s">
        <v>463</v>
      </c>
      <c r="D1176" s="25" t="s">
        <v>464</v>
      </c>
      <c r="E1176" s="579">
        <v>4366800</v>
      </c>
      <c r="F1176" s="577"/>
      <c r="G1176" s="578">
        <v>42664</v>
      </c>
      <c r="H1176" s="578">
        <v>118995</v>
      </c>
      <c r="I1176" s="577"/>
      <c r="J1176" s="578">
        <v>3496</v>
      </c>
      <c r="K1176" s="578">
        <v>94311</v>
      </c>
      <c r="L1176" s="575"/>
      <c r="M1176" s="578">
        <v>-1543</v>
      </c>
      <c r="N1176" s="578"/>
      <c r="O1176" s="578">
        <v>22672</v>
      </c>
      <c r="P1176" s="577"/>
      <c r="Q1176" s="577"/>
      <c r="R1176" s="578">
        <v>280595</v>
      </c>
      <c r="S1176" s="142">
        <f t="shared" si="139"/>
        <v>161659</v>
      </c>
      <c r="T1176" s="142">
        <f t="shared" si="140"/>
        <v>97807</v>
      </c>
      <c r="U1176" s="142">
        <f t="shared" si="141"/>
        <v>22672</v>
      </c>
      <c r="W1176" s="601">
        <f t="shared" si="136"/>
        <v>280595</v>
      </c>
      <c r="X1176" s="601">
        <f t="shared" si="137"/>
        <v>0</v>
      </c>
      <c r="Y1176" s="123"/>
      <c r="Z1176" s="692">
        <f t="shared" si="138"/>
        <v>259466</v>
      </c>
    </row>
    <row r="1177" spans="1:26" customFormat="1" ht="12.75" thickBot="1">
      <c r="A1177" s="57" t="s">
        <v>1271</v>
      </c>
      <c r="B1177" s="25" t="s">
        <v>1204</v>
      </c>
      <c r="C1177" s="25" t="s">
        <v>1206</v>
      </c>
      <c r="D1177" s="69" t="s">
        <v>63</v>
      </c>
      <c r="E1177" s="577"/>
      <c r="F1177" s="577"/>
      <c r="G1177" s="577"/>
      <c r="H1177" s="577"/>
      <c r="I1177" s="577"/>
      <c r="J1177" s="577"/>
      <c r="K1177" s="577"/>
      <c r="L1177" s="577"/>
      <c r="M1177" s="577"/>
      <c r="N1177" s="577"/>
      <c r="O1177" s="577"/>
      <c r="P1177" s="578">
        <v>-221406</v>
      </c>
      <c r="Q1177" s="577"/>
      <c r="R1177" s="578">
        <v>-221406</v>
      </c>
      <c r="S1177" s="142">
        <f t="shared" si="139"/>
        <v>0</v>
      </c>
      <c r="T1177" s="142">
        <f t="shared" si="140"/>
        <v>0</v>
      </c>
      <c r="U1177" s="142">
        <f t="shared" si="141"/>
        <v>0</v>
      </c>
      <c r="W1177" s="601">
        <f t="shared" si="136"/>
        <v>-221406</v>
      </c>
      <c r="X1177" s="601">
        <f t="shared" si="137"/>
        <v>0</v>
      </c>
      <c r="Y1177" s="123"/>
      <c r="Z1177" s="692">
        <f t="shared" si="138"/>
        <v>0</v>
      </c>
    </row>
    <row r="1178" spans="1:26" customFormat="1" ht="12.75" thickBot="1">
      <c r="A1178" s="57" t="s">
        <v>1271</v>
      </c>
      <c r="B1178" s="25" t="s">
        <v>1204</v>
      </c>
      <c r="C1178" s="25" t="s">
        <v>1206</v>
      </c>
      <c r="D1178" s="69" t="s">
        <v>63</v>
      </c>
      <c r="E1178" s="577"/>
      <c r="F1178" s="577"/>
      <c r="G1178" s="577"/>
      <c r="H1178" s="577"/>
      <c r="I1178" s="577"/>
      <c r="J1178" s="577"/>
      <c r="K1178" s="577"/>
      <c r="L1178" s="577"/>
      <c r="M1178" s="577"/>
      <c r="N1178" s="577"/>
      <c r="O1178" s="577"/>
      <c r="P1178" s="575">
        <v>-65120</v>
      </c>
      <c r="Q1178" s="577"/>
      <c r="R1178" s="575">
        <v>-65120</v>
      </c>
      <c r="S1178" s="142">
        <f t="shared" si="139"/>
        <v>0</v>
      </c>
      <c r="T1178" s="142">
        <f t="shared" si="140"/>
        <v>0</v>
      </c>
      <c r="U1178" s="142">
        <f t="shared" si="141"/>
        <v>0</v>
      </c>
      <c r="W1178" s="601">
        <f t="shared" si="136"/>
        <v>-65120</v>
      </c>
      <c r="X1178" s="601">
        <f t="shared" si="137"/>
        <v>0</v>
      </c>
      <c r="Y1178" s="123"/>
      <c r="Z1178" s="692">
        <f t="shared" si="138"/>
        <v>0</v>
      </c>
    </row>
    <row r="1179" spans="1:26" customFormat="1" ht="12.75" thickBot="1">
      <c r="A1179" s="57" t="s">
        <v>1271</v>
      </c>
      <c r="B1179" s="25" t="s">
        <v>854</v>
      </c>
      <c r="C1179" s="25" t="s">
        <v>855</v>
      </c>
      <c r="D1179" s="69" t="s">
        <v>1125</v>
      </c>
      <c r="E1179" s="577"/>
      <c r="F1179" s="577"/>
      <c r="G1179" s="577"/>
      <c r="H1179" s="577"/>
      <c r="I1179" s="577"/>
      <c r="J1179" s="577"/>
      <c r="K1179" s="577"/>
      <c r="L1179" s="577"/>
      <c r="M1179" s="577"/>
      <c r="N1179" s="577"/>
      <c r="O1179" s="577"/>
      <c r="P1179" s="577"/>
      <c r="Q1179" s="577"/>
      <c r="R1179" s="577"/>
      <c r="S1179" s="142">
        <f t="shared" si="139"/>
        <v>0</v>
      </c>
      <c r="T1179" s="142">
        <f t="shared" si="140"/>
        <v>0</v>
      </c>
      <c r="U1179" s="142">
        <f t="shared" si="141"/>
        <v>0</v>
      </c>
      <c r="W1179" s="601">
        <f t="shared" si="136"/>
        <v>0</v>
      </c>
      <c r="X1179" s="601">
        <f t="shared" si="137"/>
        <v>0</v>
      </c>
      <c r="Y1179" s="123"/>
      <c r="Z1179" s="692">
        <f t="shared" si="138"/>
        <v>0</v>
      </c>
    </row>
    <row r="1180" spans="1:26" customFormat="1" ht="12.75" thickBot="1">
      <c r="A1180" s="57" t="s">
        <v>1271</v>
      </c>
      <c r="B1180" s="25" t="s">
        <v>426</v>
      </c>
      <c r="C1180" s="25" t="s">
        <v>450</v>
      </c>
      <c r="D1180" s="69" t="s">
        <v>451</v>
      </c>
      <c r="E1180" s="579">
        <v>8264000</v>
      </c>
      <c r="F1180" s="577"/>
      <c r="G1180" s="578">
        <v>83880</v>
      </c>
      <c r="H1180" s="578">
        <v>225194</v>
      </c>
      <c r="I1180" s="577"/>
      <c r="J1180" s="578">
        <v>4649</v>
      </c>
      <c r="K1180" s="578">
        <v>146974</v>
      </c>
      <c r="L1180" s="575"/>
      <c r="M1180" s="578">
        <v>-2920</v>
      </c>
      <c r="N1180" s="578"/>
      <c r="O1180" s="578">
        <v>42905</v>
      </c>
      <c r="P1180" s="577"/>
      <c r="Q1180" s="577"/>
      <c r="R1180" s="578">
        <v>500681</v>
      </c>
      <c r="S1180" s="142">
        <f t="shared" si="139"/>
        <v>309074</v>
      </c>
      <c r="T1180" s="142">
        <f t="shared" si="140"/>
        <v>151623</v>
      </c>
      <c r="U1180" s="142">
        <f t="shared" si="141"/>
        <v>42905</v>
      </c>
      <c r="W1180" s="601">
        <f t="shared" si="136"/>
        <v>500682</v>
      </c>
      <c r="X1180" s="601">
        <f t="shared" si="137"/>
        <v>1</v>
      </c>
      <c r="Y1180" s="123"/>
      <c r="Z1180" s="692">
        <f t="shared" si="138"/>
        <v>460697</v>
      </c>
    </row>
    <row r="1181" spans="1:26" customFormat="1" ht="12.75" thickBot="1">
      <c r="A1181" s="57" t="s">
        <v>1271</v>
      </c>
      <c r="B1181" s="25" t="s">
        <v>427</v>
      </c>
      <c r="C1181" s="25" t="s">
        <v>54</v>
      </c>
      <c r="D1181" s="25" t="s">
        <v>15</v>
      </c>
      <c r="E1181" s="579">
        <v>68955967</v>
      </c>
      <c r="F1181" s="575">
        <v>9000</v>
      </c>
      <c r="G1181" s="578">
        <v>610260</v>
      </c>
      <c r="H1181" s="578">
        <v>1879050</v>
      </c>
      <c r="I1181" s="577"/>
      <c r="J1181" s="578">
        <v>41453</v>
      </c>
      <c r="K1181" s="578">
        <v>1193910</v>
      </c>
      <c r="L1181" s="575"/>
      <c r="M1181" s="578">
        <v>-24366</v>
      </c>
      <c r="N1181" s="578"/>
      <c r="O1181" s="578">
        <v>358006</v>
      </c>
      <c r="P1181" s="577"/>
      <c r="Q1181" s="577"/>
      <c r="R1181" s="578">
        <v>4067313</v>
      </c>
      <c r="S1181" s="142">
        <f t="shared" si="139"/>
        <v>2489310</v>
      </c>
      <c r="T1181" s="142">
        <f t="shared" si="140"/>
        <v>1235363</v>
      </c>
      <c r="U1181" s="142">
        <f t="shared" si="141"/>
        <v>358006</v>
      </c>
      <c r="W1181" s="601">
        <f t="shared" si="136"/>
        <v>4067313</v>
      </c>
      <c r="X1181" s="601">
        <f t="shared" si="137"/>
        <v>0</v>
      </c>
      <c r="Y1181" s="123"/>
      <c r="Z1181" s="692">
        <f t="shared" si="138"/>
        <v>3733673</v>
      </c>
    </row>
    <row r="1182" spans="1:26" customFormat="1" ht="12.75" thickBot="1">
      <c r="A1182" s="57" t="s">
        <v>1271</v>
      </c>
      <c r="B1182" s="25" t="s">
        <v>428</v>
      </c>
      <c r="C1182" s="25" t="s">
        <v>458</v>
      </c>
      <c r="D1182" s="69" t="s">
        <v>20</v>
      </c>
      <c r="E1182" s="579">
        <v>20224931</v>
      </c>
      <c r="F1182" s="578">
        <v>20430</v>
      </c>
      <c r="G1182" s="578">
        <v>270003</v>
      </c>
      <c r="H1182" s="578">
        <v>551129</v>
      </c>
      <c r="I1182" s="577"/>
      <c r="J1182" s="578">
        <v>30420</v>
      </c>
      <c r="K1182" s="578">
        <v>857468</v>
      </c>
      <c r="L1182" s="578">
        <v>59049</v>
      </c>
      <c r="M1182" s="578">
        <v>-7147</v>
      </c>
      <c r="N1182" s="578"/>
      <c r="O1182" s="578">
        <v>105004</v>
      </c>
      <c r="P1182" s="577"/>
      <c r="Q1182" s="577"/>
      <c r="R1182" s="578">
        <v>1886356</v>
      </c>
      <c r="S1182" s="142">
        <f t="shared" si="139"/>
        <v>821132</v>
      </c>
      <c r="T1182" s="142">
        <f t="shared" si="140"/>
        <v>887888</v>
      </c>
      <c r="U1182" s="142">
        <f t="shared" si="141"/>
        <v>105004</v>
      </c>
      <c r="W1182" s="601">
        <f t="shared" si="136"/>
        <v>1886356</v>
      </c>
      <c r="X1182" s="601">
        <f t="shared" si="137"/>
        <v>0</v>
      </c>
      <c r="Y1182" s="123"/>
      <c r="Z1182" s="692">
        <f t="shared" si="138"/>
        <v>1729450</v>
      </c>
    </row>
    <row r="1183" spans="1:26" customFormat="1" ht="12.75" thickBot="1">
      <c r="A1183" s="57" t="s">
        <v>1271</v>
      </c>
      <c r="B1183" s="25" t="s">
        <v>429</v>
      </c>
      <c r="C1183" s="25" t="s">
        <v>457</v>
      </c>
      <c r="D1183" s="153" t="s">
        <v>21</v>
      </c>
      <c r="E1183" s="579">
        <v>1005709</v>
      </c>
      <c r="F1183" s="578">
        <v>3570</v>
      </c>
      <c r="G1183" s="578">
        <v>12079</v>
      </c>
      <c r="H1183" s="578">
        <v>27406</v>
      </c>
      <c r="I1183" s="577"/>
      <c r="J1183" s="578">
        <v>1751</v>
      </c>
      <c r="K1183" s="578">
        <v>40773</v>
      </c>
      <c r="L1183" s="578">
        <v>2936</v>
      </c>
      <c r="M1183" s="578">
        <v>-355</v>
      </c>
      <c r="N1183" s="578"/>
      <c r="O1183" s="578">
        <v>5221</v>
      </c>
      <c r="P1183" s="577"/>
      <c r="Q1183" s="577"/>
      <c r="R1183" s="578">
        <v>93380</v>
      </c>
      <c r="S1183" s="142">
        <f t="shared" si="139"/>
        <v>39485</v>
      </c>
      <c r="T1183" s="142">
        <f t="shared" si="140"/>
        <v>42524</v>
      </c>
      <c r="U1183" s="142">
        <f t="shared" si="141"/>
        <v>5221</v>
      </c>
      <c r="W1183" s="601">
        <f t="shared" si="136"/>
        <v>93381</v>
      </c>
      <c r="X1183" s="601">
        <f t="shared" si="137"/>
        <v>1</v>
      </c>
      <c r="Y1183" s="123"/>
      <c r="Z1183" s="692">
        <f t="shared" si="138"/>
        <v>85579</v>
      </c>
    </row>
    <row r="1184" spans="1:26" customFormat="1" ht="12.75" thickBot="1">
      <c r="A1184" s="57" t="s">
        <v>1271</v>
      </c>
      <c r="B1184" s="25" t="s">
        <v>430</v>
      </c>
      <c r="C1184" s="25" t="s">
        <v>933</v>
      </c>
      <c r="D1184" s="69" t="s">
        <v>920</v>
      </c>
      <c r="E1184" s="579">
        <v>18761930</v>
      </c>
      <c r="F1184" s="578">
        <v>17000</v>
      </c>
      <c r="G1184" s="578">
        <v>237338</v>
      </c>
      <c r="H1184" s="578">
        <v>511263</v>
      </c>
      <c r="I1184" s="577"/>
      <c r="J1184" s="578">
        <v>22265</v>
      </c>
      <c r="K1184" s="578">
        <v>652221</v>
      </c>
      <c r="L1184" s="578">
        <v>54777</v>
      </c>
      <c r="M1184" s="578">
        <v>-6630</v>
      </c>
      <c r="N1184" s="578"/>
      <c r="O1184" s="578">
        <v>97408</v>
      </c>
      <c r="P1184" s="577"/>
      <c r="Q1184" s="577"/>
      <c r="R1184" s="578">
        <v>1585642</v>
      </c>
      <c r="S1184" s="142">
        <f t="shared" si="139"/>
        <v>748601</v>
      </c>
      <c r="T1184" s="142">
        <f t="shared" si="140"/>
        <v>674486</v>
      </c>
      <c r="U1184" s="142">
        <f t="shared" si="141"/>
        <v>97408</v>
      </c>
      <c r="W1184" s="601">
        <f t="shared" si="136"/>
        <v>1585642</v>
      </c>
      <c r="X1184" s="601">
        <f t="shared" si="137"/>
        <v>0</v>
      </c>
      <c r="Y1184" s="123"/>
      <c r="Z1184" s="692">
        <f t="shared" si="138"/>
        <v>1440087</v>
      </c>
    </row>
    <row r="1185" spans="1:26" customFormat="1" ht="12.75" thickBot="1">
      <c r="A1185" s="57" t="s">
        <v>1271</v>
      </c>
      <c r="B1185" s="25" t="s">
        <v>431</v>
      </c>
      <c r="C1185" s="25" t="s">
        <v>459</v>
      </c>
      <c r="D1185" s="69" t="s">
        <v>460</v>
      </c>
      <c r="E1185" s="579">
        <v>126819004</v>
      </c>
      <c r="F1185" s="578">
        <v>19800</v>
      </c>
      <c r="G1185" s="578">
        <v>1031039</v>
      </c>
      <c r="H1185" s="578">
        <v>3455818</v>
      </c>
      <c r="I1185" s="577"/>
      <c r="J1185" s="578">
        <v>122248</v>
      </c>
      <c r="K1185" s="578">
        <v>3371694</v>
      </c>
      <c r="L1185" s="578">
        <v>370260</v>
      </c>
      <c r="M1185" s="578">
        <v>-44812</v>
      </c>
      <c r="N1185" s="578"/>
      <c r="O1185" s="578">
        <v>658420</v>
      </c>
      <c r="P1185" s="577"/>
      <c r="Q1185" s="577"/>
      <c r="R1185" s="578">
        <v>8984465</v>
      </c>
      <c r="S1185" s="142">
        <f t="shared" si="139"/>
        <v>4486857</v>
      </c>
      <c r="T1185" s="142">
        <f t="shared" si="140"/>
        <v>3493942</v>
      </c>
      <c r="U1185" s="142">
        <f t="shared" si="141"/>
        <v>658420</v>
      </c>
      <c r="W1185" s="601">
        <f t="shared" si="136"/>
        <v>8984467</v>
      </c>
      <c r="X1185" s="601">
        <f t="shared" si="137"/>
        <v>2</v>
      </c>
      <c r="Y1185" s="123"/>
      <c r="Z1185" s="692">
        <f t="shared" si="138"/>
        <v>8000599</v>
      </c>
    </row>
    <row r="1186" spans="1:26" customFormat="1" ht="12.75" thickBot="1">
      <c r="A1186" s="57" t="s">
        <v>1271</v>
      </c>
      <c r="B1186" s="25" t="s">
        <v>433</v>
      </c>
      <c r="C1186" s="25" t="s">
        <v>462</v>
      </c>
      <c r="D1186" s="69" t="s">
        <v>17</v>
      </c>
      <c r="E1186" s="579"/>
      <c r="F1186" s="577"/>
      <c r="G1186" s="578"/>
      <c r="H1186" s="578"/>
      <c r="I1186" s="578"/>
      <c r="J1186" s="577"/>
      <c r="K1186" s="577"/>
      <c r="L1186" s="577"/>
      <c r="M1186" s="578"/>
      <c r="N1186" s="578"/>
      <c r="O1186" s="577"/>
      <c r="P1186" s="577"/>
      <c r="Q1186" s="577"/>
      <c r="R1186" s="578"/>
      <c r="S1186" s="142">
        <f t="shared" si="139"/>
        <v>0</v>
      </c>
      <c r="T1186" s="142">
        <f t="shared" si="140"/>
        <v>0</v>
      </c>
      <c r="U1186" s="142">
        <f t="shared" si="141"/>
        <v>0</v>
      </c>
      <c r="W1186" s="601">
        <f t="shared" si="136"/>
        <v>0</v>
      </c>
      <c r="X1186" s="601">
        <f t="shared" si="137"/>
        <v>0</v>
      </c>
      <c r="Y1186" s="123"/>
      <c r="Z1186" s="692">
        <f t="shared" si="138"/>
        <v>0</v>
      </c>
    </row>
    <row r="1187" spans="1:26" customFormat="1" ht="12.75" thickBot="1">
      <c r="A1187" s="57" t="s">
        <v>1271</v>
      </c>
      <c r="B1187" s="25" t="s">
        <v>434</v>
      </c>
      <c r="C1187" s="25" t="s">
        <v>462</v>
      </c>
      <c r="D1187" s="69" t="s">
        <v>17</v>
      </c>
      <c r="E1187" s="579">
        <v>309305</v>
      </c>
      <c r="F1187" s="577"/>
      <c r="G1187" s="575">
        <f>ROUND(E1187*0.06461,0)</f>
        <v>19984</v>
      </c>
      <c r="H1187" s="578"/>
      <c r="I1187" s="578"/>
      <c r="J1187" s="577"/>
      <c r="K1187" s="577"/>
      <c r="L1187" s="577"/>
      <c r="M1187" s="578">
        <f>ROUND(E1187*-0.00035,0)</f>
        <v>-108</v>
      </c>
      <c r="N1187" s="578">
        <f>ROUND(E1187*0.00519,0)</f>
        <v>1605</v>
      </c>
      <c r="O1187" s="577"/>
      <c r="P1187" s="577"/>
      <c r="Q1187" s="577"/>
      <c r="R1187" s="575">
        <f>SUM(F1187:N1187)</f>
        <v>21481</v>
      </c>
      <c r="S1187" s="142">
        <f t="shared" si="139"/>
        <v>19984</v>
      </c>
      <c r="T1187" s="142">
        <f t="shared" si="140"/>
        <v>0</v>
      </c>
      <c r="U1187" s="142">
        <f t="shared" si="141"/>
        <v>1605</v>
      </c>
      <c r="W1187" s="601">
        <f t="shared" si="136"/>
        <v>21481</v>
      </c>
      <c r="X1187" s="601">
        <f t="shared" si="137"/>
        <v>0</v>
      </c>
      <c r="Y1187" s="123"/>
      <c r="Z1187" s="692">
        <f t="shared" si="138"/>
        <v>19984</v>
      </c>
    </row>
    <row r="1188" spans="1:26" customFormat="1" ht="12.75" thickBot="1">
      <c r="A1188" s="57" t="s">
        <v>1271</v>
      </c>
      <c r="B1188" s="25" t="s">
        <v>435</v>
      </c>
      <c r="C1188" s="25" t="s">
        <v>462</v>
      </c>
      <c r="D1188" s="69" t="s">
        <v>17</v>
      </c>
      <c r="E1188" s="579"/>
      <c r="F1188" s="577"/>
      <c r="G1188" s="578"/>
      <c r="H1188" s="578"/>
      <c r="I1188" s="578"/>
      <c r="J1188" s="577"/>
      <c r="K1188" s="577"/>
      <c r="L1188" s="577"/>
      <c r="M1188" s="578"/>
      <c r="N1188" s="578"/>
      <c r="O1188" s="577"/>
      <c r="P1188" s="577"/>
      <c r="Q1188" s="577"/>
      <c r="R1188" s="578"/>
      <c r="S1188" s="142">
        <f t="shared" si="139"/>
        <v>0</v>
      </c>
      <c r="T1188" s="142">
        <f t="shared" si="140"/>
        <v>0</v>
      </c>
      <c r="U1188" s="142">
        <f t="shared" si="141"/>
        <v>0</v>
      </c>
      <c r="W1188" s="601">
        <f t="shared" si="136"/>
        <v>0</v>
      </c>
      <c r="X1188" s="601">
        <f t="shared" si="137"/>
        <v>0</v>
      </c>
      <c r="Y1188" s="123"/>
      <c r="Z1188" s="692">
        <f t="shared" si="138"/>
        <v>0</v>
      </c>
    </row>
    <row r="1189" spans="1:26" customFormat="1" ht="12.75" thickBot="1">
      <c r="A1189" s="57" t="s">
        <v>1271</v>
      </c>
      <c r="B1189" s="25" t="s">
        <v>436</v>
      </c>
      <c r="C1189" s="25" t="s">
        <v>55</v>
      </c>
      <c r="D1189" s="69" t="s">
        <v>18</v>
      </c>
      <c r="E1189" s="579">
        <v>265656</v>
      </c>
      <c r="F1189" s="575">
        <f>ROUND('1022'!D374*3.25,0)</f>
        <v>2941</v>
      </c>
      <c r="G1189" s="575">
        <f>ROUND(E1189*0.07658,0)</f>
        <v>20344</v>
      </c>
      <c r="H1189" s="578"/>
      <c r="I1189" s="578"/>
      <c r="J1189" s="577"/>
      <c r="K1189" s="577"/>
      <c r="L1189" s="577"/>
      <c r="M1189" s="578">
        <f>ROUND(E1189*-0.00035,0)</f>
        <v>-93</v>
      </c>
      <c r="N1189" s="578">
        <f>ROUND(E1189*0.00519,0)</f>
        <v>1379</v>
      </c>
      <c r="O1189" s="577"/>
      <c r="P1189" s="577"/>
      <c r="Q1189" s="577"/>
      <c r="R1189" s="575">
        <f>SUM(F1189:N1189)</f>
        <v>24571</v>
      </c>
      <c r="S1189" s="142">
        <f t="shared" si="139"/>
        <v>20344</v>
      </c>
      <c r="T1189" s="142">
        <f t="shared" si="140"/>
        <v>0</v>
      </c>
      <c r="U1189" s="142">
        <f t="shared" si="141"/>
        <v>1379</v>
      </c>
      <c r="W1189" s="601">
        <f t="shared" si="136"/>
        <v>24571</v>
      </c>
      <c r="X1189" s="601">
        <f t="shared" si="137"/>
        <v>0</v>
      </c>
      <c r="Y1189" s="123"/>
      <c r="Z1189" s="692">
        <f t="shared" si="138"/>
        <v>23285</v>
      </c>
    </row>
    <row r="1190" spans="1:26" customFormat="1" ht="12.75" thickBot="1">
      <c r="A1190" s="57" t="s">
        <v>1271</v>
      </c>
      <c r="B1190" s="25" t="s">
        <v>437</v>
      </c>
      <c r="C1190" s="25" t="s">
        <v>55</v>
      </c>
      <c r="D1190" s="69" t="s">
        <v>18</v>
      </c>
      <c r="E1190" s="579"/>
      <c r="F1190" s="578"/>
      <c r="G1190" s="578"/>
      <c r="H1190" s="578"/>
      <c r="I1190" s="578"/>
      <c r="J1190" s="577"/>
      <c r="K1190" s="577"/>
      <c r="L1190" s="577"/>
      <c r="M1190" s="578"/>
      <c r="N1190" s="578"/>
      <c r="O1190" s="577"/>
      <c r="P1190" s="577"/>
      <c r="Q1190" s="577"/>
      <c r="R1190" s="578"/>
      <c r="S1190" s="142">
        <f t="shared" si="139"/>
        <v>0</v>
      </c>
      <c r="T1190" s="142">
        <f t="shared" si="140"/>
        <v>0</v>
      </c>
      <c r="U1190" s="142">
        <f t="shared" si="141"/>
        <v>0</v>
      </c>
      <c r="W1190" s="601">
        <f t="shared" si="136"/>
        <v>0</v>
      </c>
      <c r="X1190" s="601">
        <f t="shared" si="137"/>
        <v>0</v>
      </c>
      <c r="Y1190" s="123"/>
      <c r="Z1190" s="692">
        <f t="shared" si="138"/>
        <v>0</v>
      </c>
    </row>
    <row r="1191" spans="1:26" customFormat="1" ht="12.75" thickBot="1">
      <c r="A1191" s="57" t="s">
        <v>1271</v>
      </c>
      <c r="B1191" s="25" t="s">
        <v>856</v>
      </c>
      <c r="C1191" s="25" t="s">
        <v>857</v>
      </c>
      <c r="D1191" s="69" t="s">
        <v>1125</v>
      </c>
      <c r="E1191" s="577"/>
      <c r="F1191" s="577"/>
      <c r="G1191" s="577"/>
      <c r="H1191" s="577"/>
      <c r="I1191" s="577"/>
      <c r="J1191" s="577"/>
      <c r="K1191" s="577"/>
      <c r="L1191" s="577"/>
      <c r="M1191" s="577"/>
      <c r="N1191" s="577"/>
      <c r="O1191" s="577"/>
      <c r="P1191" s="577"/>
      <c r="Q1191" s="577"/>
      <c r="R1191" s="577"/>
      <c r="S1191" s="142">
        <f t="shared" si="139"/>
        <v>0</v>
      </c>
      <c r="T1191" s="142">
        <f t="shared" si="140"/>
        <v>0</v>
      </c>
      <c r="U1191" s="142">
        <f t="shared" si="141"/>
        <v>0</v>
      </c>
      <c r="W1191" s="601">
        <f t="shared" si="136"/>
        <v>0</v>
      </c>
      <c r="X1191" s="601">
        <f t="shared" si="137"/>
        <v>0</v>
      </c>
      <c r="Y1191" s="123"/>
      <c r="Z1191" s="692">
        <f t="shared" si="138"/>
        <v>0</v>
      </c>
    </row>
    <row r="1192" spans="1:26" customFormat="1" ht="12.75" thickBot="1">
      <c r="A1192" s="57" t="s">
        <v>1271</v>
      </c>
      <c r="B1192" s="25" t="s">
        <v>438</v>
      </c>
      <c r="C1192" s="25" t="s">
        <v>469</v>
      </c>
      <c r="D1192" s="69" t="s">
        <v>13</v>
      </c>
      <c r="E1192" s="579"/>
      <c r="F1192" s="577"/>
      <c r="G1192" s="578"/>
      <c r="H1192" s="578"/>
      <c r="I1192" s="578"/>
      <c r="J1192" s="577"/>
      <c r="K1192" s="577"/>
      <c r="L1192" s="578"/>
      <c r="M1192" s="578"/>
      <c r="N1192" s="578"/>
      <c r="O1192" s="577"/>
      <c r="P1192" s="577"/>
      <c r="Q1192" s="578"/>
      <c r="R1192" s="578"/>
      <c r="S1192" s="142">
        <f t="shared" si="139"/>
        <v>0</v>
      </c>
      <c r="T1192" s="142">
        <f t="shared" si="140"/>
        <v>0</v>
      </c>
      <c r="U1192" s="142">
        <f t="shared" si="141"/>
        <v>0</v>
      </c>
      <c r="W1192" s="601">
        <f t="shared" si="136"/>
        <v>0</v>
      </c>
      <c r="X1192" s="601">
        <f t="shared" si="137"/>
        <v>0</v>
      </c>
      <c r="Y1192" s="123"/>
      <c r="Z1192" s="692">
        <f t="shared" si="138"/>
        <v>0</v>
      </c>
    </row>
    <row r="1193" spans="1:26" customFormat="1" ht="12.75" thickBot="1">
      <c r="A1193" s="57" t="s">
        <v>1271</v>
      </c>
      <c r="B1193" s="25" t="s">
        <v>439</v>
      </c>
      <c r="C1193" s="25" t="s">
        <v>466</v>
      </c>
      <c r="D1193" s="69" t="s">
        <v>13</v>
      </c>
      <c r="E1193" s="579">
        <v>250737996</v>
      </c>
      <c r="F1193" s="578">
        <v>3856487</v>
      </c>
      <c r="G1193" s="578">
        <v>13081001</v>
      </c>
      <c r="H1193" s="578">
        <v>6832610</v>
      </c>
      <c r="I1193" s="578">
        <v>335989</v>
      </c>
      <c r="J1193" s="577"/>
      <c r="K1193" s="577"/>
      <c r="L1193" s="578">
        <v>732053</v>
      </c>
      <c r="M1193" s="578">
        <v>-88600</v>
      </c>
      <c r="N1193" s="578">
        <v>1301783</v>
      </c>
      <c r="O1193" s="577"/>
      <c r="P1193" s="577"/>
      <c r="Q1193" s="578"/>
      <c r="R1193" s="578">
        <v>26051324</v>
      </c>
      <c r="S1193" s="142">
        <f t="shared" si="139"/>
        <v>20249600</v>
      </c>
      <c r="T1193" s="142">
        <f t="shared" si="140"/>
        <v>0</v>
      </c>
      <c r="U1193" s="142">
        <f t="shared" si="141"/>
        <v>1301783</v>
      </c>
      <c r="W1193" s="601">
        <f t="shared" si="136"/>
        <v>26051323</v>
      </c>
      <c r="X1193" s="601">
        <f t="shared" si="137"/>
        <v>-1</v>
      </c>
      <c r="Y1193" s="123"/>
      <c r="Z1193" s="692">
        <f t="shared" si="138"/>
        <v>24106087</v>
      </c>
    </row>
    <row r="1194" spans="1:26" customFormat="1" ht="12.75" thickBot="1">
      <c r="A1194" s="57" t="s">
        <v>1271</v>
      </c>
      <c r="B1194" s="25" t="s">
        <v>440</v>
      </c>
      <c r="C1194" s="25" t="s">
        <v>467</v>
      </c>
      <c r="D1194" s="69" t="s">
        <v>13</v>
      </c>
      <c r="E1194" s="579"/>
      <c r="F1194" s="578"/>
      <c r="G1194" s="578"/>
      <c r="H1194" s="578"/>
      <c r="I1194" s="578"/>
      <c r="J1194" s="577"/>
      <c r="K1194" s="577"/>
      <c r="L1194" s="578"/>
      <c r="M1194" s="578"/>
      <c r="N1194" s="578"/>
      <c r="O1194" s="577"/>
      <c r="P1194" s="577"/>
      <c r="Q1194" s="578"/>
      <c r="R1194" s="578"/>
      <c r="S1194" s="142">
        <f t="shared" si="139"/>
        <v>0</v>
      </c>
      <c r="T1194" s="142">
        <f t="shared" si="140"/>
        <v>0</v>
      </c>
      <c r="U1194" s="142">
        <f t="shared" si="141"/>
        <v>0</v>
      </c>
      <c r="W1194" s="601">
        <f t="shared" si="136"/>
        <v>0</v>
      </c>
      <c r="X1194" s="601">
        <f t="shared" si="137"/>
        <v>0</v>
      </c>
      <c r="Y1194" s="123"/>
      <c r="Z1194" s="692">
        <f t="shared" si="138"/>
        <v>0</v>
      </c>
    </row>
    <row r="1195" spans="1:26" customFormat="1" ht="12.75" thickBot="1">
      <c r="A1195" s="57" t="s">
        <v>1271</v>
      </c>
      <c r="B1195" s="25" t="s">
        <v>441</v>
      </c>
      <c r="C1195" s="25" t="s">
        <v>468</v>
      </c>
      <c r="D1195" s="69" t="s">
        <v>13</v>
      </c>
      <c r="E1195" s="579"/>
      <c r="F1195" s="578"/>
      <c r="G1195" s="578"/>
      <c r="H1195" s="578"/>
      <c r="I1195" s="578"/>
      <c r="J1195" s="577"/>
      <c r="K1195" s="577"/>
      <c r="L1195" s="578"/>
      <c r="M1195" s="578"/>
      <c r="N1195" s="578"/>
      <c r="O1195" s="577"/>
      <c r="P1195" s="577"/>
      <c r="Q1195" s="578"/>
      <c r="R1195" s="578"/>
      <c r="S1195" s="142">
        <f t="shared" si="139"/>
        <v>0</v>
      </c>
      <c r="T1195" s="142">
        <f t="shared" si="140"/>
        <v>0</v>
      </c>
      <c r="U1195" s="142">
        <f t="shared" si="141"/>
        <v>0</v>
      </c>
      <c r="W1195" s="601">
        <f t="shared" si="136"/>
        <v>0</v>
      </c>
      <c r="X1195" s="601">
        <f t="shared" si="137"/>
        <v>0</v>
      </c>
      <c r="Y1195" s="123"/>
      <c r="Z1195" s="692">
        <f t="shared" si="138"/>
        <v>0</v>
      </c>
    </row>
    <row r="1196" spans="1:26" customFormat="1" ht="12.75" thickBot="1">
      <c r="A1196" s="57" t="s">
        <v>1271</v>
      </c>
      <c r="B1196" s="25" t="s">
        <v>755</v>
      </c>
      <c r="C1196" s="25" t="s">
        <v>1124</v>
      </c>
      <c r="D1196" s="69" t="s">
        <v>680</v>
      </c>
      <c r="E1196" s="579"/>
      <c r="F1196" s="578"/>
      <c r="G1196" s="578"/>
      <c r="H1196" s="578"/>
      <c r="I1196" s="578"/>
      <c r="J1196" s="577"/>
      <c r="K1196" s="577"/>
      <c r="L1196" s="578"/>
      <c r="M1196" s="578"/>
      <c r="N1196" s="578"/>
      <c r="O1196" s="577"/>
      <c r="P1196" s="577"/>
      <c r="Q1196" s="577"/>
      <c r="R1196" s="578"/>
      <c r="S1196" s="142">
        <f t="shared" si="139"/>
        <v>0</v>
      </c>
      <c r="T1196" s="142">
        <f t="shared" si="140"/>
        <v>0</v>
      </c>
      <c r="U1196" s="142">
        <f t="shared" si="141"/>
        <v>0</v>
      </c>
      <c r="W1196" s="601">
        <f t="shared" si="136"/>
        <v>0</v>
      </c>
      <c r="X1196" s="601">
        <f t="shared" si="137"/>
        <v>0</v>
      </c>
      <c r="Y1196" s="123"/>
      <c r="Z1196" s="692">
        <f t="shared" si="138"/>
        <v>0</v>
      </c>
    </row>
    <row r="1197" spans="1:26" customFormat="1" ht="12.75" thickBot="1">
      <c r="A1197" s="57" t="s">
        <v>1271</v>
      </c>
      <c r="B1197" s="25" t="s">
        <v>1208</v>
      </c>
      <c r="C1197" s="25" t="s">
        <v>1211</v>
      </c>
      <c r="D1197" s="69" t="s">
        <v>680</v>
      </c>
      <c r="E1197" s="579"/>
      <c r="F1197" s="578"/>
      <c r="G1197" s="578"/>
      <c r="H1197" s="578"/>
      <c r="I1197" s="578"/>
      <c r="J1197" s="577"/>
      <c r="K1197" s="577"/>
      <c r="L1197" s="578"/>
      <c r="M1197" s="578"/>
      <c r="N1197" s="578"/>
      <c r="O1197" s="577"/>
      <c r="P1197" s="577"/>
      <c r="Q1197" s="577"/>
      <c r="R1197" s="578"/>
      <c r="S1197" s="142">
        <f t="shared" si="139"/>
        <v>0</v>
      </c>
      <c r="T1197" s="142">
        <f t="shared" si="140"/>
        <v>0</v>
      </c>
      <c r="U1197" s="142">
        <f t="shared" si="141"/>
        <v>0</v>
      </c>
      <c r="W1197" s="601">
        <f t="shared" si="136"/>
        <v>0</v>
      </c>
      <c r="X1197" s="601">
        <f t="shared" si="137"/>
        <v>0</v>
      </c>
      <c r="Y1197" s="123"/>
      <c r="Z1197" s="692">
        <f t="shared" si="138"/>
        <v>0</v>
      </c>
    </row>
    <row r="1198" spans="1:26" customFormat="1" ht="12.75" thickBot="1">
      <c r="A1198" s="57" t="s">
        <v>1271</v>
      </c>
      <c r="B1198" s="25" t="s">
        <v>401</v>
      </c>
      <c r="C1198" s="25" t="s">
        <v>402</v>
      </c>
      <c r="D1198" s="69" t="s">
        <v>1125</v>
      </c>
      <c r="E1198" s="577"/>
      <c r="F1198" s="577"/>
      <c r="G1198" s="577"/>
      <c r="H1198" s="577"/>
      <c r="I1198" s="577"/>
      <c r="J1198" s="577"/>
      <c r="K1198" s="577"/>
      <c r="L1198" s="577"/>
      <c r="M1198" s="577"/>
      <c r="N1198" s="577"/>
      <c r="O1198" s="577"/>
      <c r="P1198" s="577"/>
      <c r="Q1198" s="577"/>
      <c r="R1198" s="577"/>
      <c r="S1198" s="142">
        <f t="shared" si="139"/>
        <v>0</v>
      </c>
      <c r="T1198" s="142">
        <f t="shared" si="140"/>
        <v>0</v>
      </c>
      <c r="U1198" s="142">
        <f t="shared" si="141"/>
        <v>0</v>
      </c>
      <c r="W1198" s="601">
        <f t="shared" si="136"/>
        <v>0</v>
      </c>
      <c r="X1198" s="601">
        <f t="shared" si="137"/>
        <v>0</v>
      </c>
      <c r="Y1198" s="123"/>
      <c r="Z1198" s="692">
        <f t="shared" si="138"/>
        <v>0</v>
      </c>
    </row>
    <row r="1199" spans="1:26" customFormat="1" ht="12.75" thickBot="1">
      <c r="A1199" s="57" t="s">
        <v>1271</v>
      </c>
      <c r="B1199" s="25" t="s">
        <v>379</v>
      </c>
      <c r="C1199" s="25" t="s">
        <v>934</v>
      </c>
      <c r="D1199" s="694" t="s">
        <v>498</v>
      </c>
      <c r="E1199" s="579"/>
      <c r="F1199" s="577"/>
      <c r="G1199" s="578"/>
      <c r="H1199" s="577"/>
      <c r="I1199" s="577"/>
      <c r="J1199" s="577"/>
      <c r="K1199" s="577"/>
      <c r="L1199" s="577"/>
      <c r="M1199" s="578"/>
      <c r="N1199" s="578"/>
      <c r="O1199" s="577"/>
      <c r="P1199" s="577"/>
      <c r="Q1199" s="578"/>
      <c r="R1199" s="578"/>
      <c r="S1199" s="142">
        <f t="shared" si="139"/>
        <v>0</v>
      </c>
      <c r="T1199" s="142">
        <f t="shared" si="140"/>
        <v>0</v>
      </c>
      <c r="U1199" s="142">
        <f t="shared" si="141"/>
        <v>0</v>
      </c>
      <c r="W1199" s="601">
        <f t="shared" si="136"/>
        <v>0</v>
      </c>
      <c r="X1199" s="601">
        <f t="shared" si="137"/>
        <v>0</v>
      </c>
      <c r="Y1199" s="123"/>
      <c r="Z1199" s="692">
        <f t="shared" si="138"/>
        <v>0</v>
      </c>
    </row>
    <row r="1200" spans="1:26" customFormat="1" ht="12.75" thickBot="1">
      <c r="A1200" s="57" t="s">
        <v>1271</v>
      </c>
      <c r="B1200" s="25" t="s">
        <v>241</v>
      </c>
      <c r="C1200" s="25" t="s">
        <v>935</v>
      </c>
      <c r="D1200" s="694" t="s">
        <v>498</v>
      </c>
      <c r="E1200" s="579"/>
      <c r="F1200" s="577"/>
      <c r="G1200" s="578"/>
      <c r="H1200" s="577"/>
      <c r="I1200" s="577"/>
      <c r="J1200" s="577"/>
      <c r="K1200" s="577"/>
      <c r="L1200" s="577"/>
      <c r="M1200" s="578"/>
      <c r="N1200" s="578"/>
      <c r="O1200" s="577"/>
      <c r="P1200" s="577"/>
      <c r="Q1200" s="578"/>
      <c r="R1200" s="578"/>
      <c r="S1200" s="142">
        <f t="shared" si="139"/>
        <v>0</v>
      </c>
      <c r="T1200" s="142">
        <f t="shared" si="140"/>
        <v>0</v>
      </c>
      <c r="U1200" s="142">
        <f t="shared" si="141"/>
        <v>0</v>
      </c>
      <c r="W1200" s="601">
        <f t="shared" si="136"/>
        <v>0</v>
      </c>
      <c r="X1200" s="601">
        <f t="shared" si="137"/>
        <v>0</v>
      </c>
      <c r="Y1200" s="123"/>
      <c r="Z1200" s="692">
        <f t="shared" si="138"/>
        <v>0</v>
      </c>
    </row>
    <row r="1201" spans="1:26" customFormat="1" ht="12.75" thickBot="1">
      <c r="A1201" s="57" t="s">
        <v>1271</v>
      </c>
      <c r="B1201" s="25" t="s">
        <v>242</v>
      </c>
      <c r="C1201" s="25" t="s">
        <v>936</v>
      </c>
      <c r="D1201" s="694" t="s">
        <v>498</v>
      </c>
      <c r="E1201" s="579"/>
      <c r="F1201" s="577"/>
      <c r="G1201" s="578"/>
      <c r="H1201" s="577"/>
      <c r="I1201" s="577"/>
      <c r="J1201" s="577"/>
      <c r="K1201" s="577"/>
      <c r="L1201" s="577"/>
      <c r="M1201" s="578"/>
      <c r="N1201" s="578"/>
      <c r="O1201" s="577"/>
      <c r="P1201" s="577"/>
      <c r="Q1201" s="578"/>
      <c r="R1201" s="578"/>
      <c r="S1201" s="142">
        <f t="shared" si="139"/>
        <v>0</v>
      </c>
      <c r="T1201" s="142">
        <f t="shared" si="140"/>
        <v>0</v>
      </c>
      <c r="U1201" s="142">
        <f t="shared" si="141"/>
        <v>0</v>
      </c>
      <c r="W1201" s="601">
        <f t="shared" si="136"/>
        <v>0</v>
      </c>
      <c r="X1201" s="601">
        <f t="shared" si="137"/>
        <v>0</v>
      </c>
      <c r="Y1201" s="123"/>
      <c r="Z1201" s="692">
        <f t="shared" si="138"/>
        <v>0</v>
      </c>
    </row>
    <row r="1202" spans="1:26" customFormat="1" ht="12.75" thickBot="1">
      <c r="A1202" s="57" t="s">
        <v>1271</v>
      </c>
      <c r="B1202" s="25" t="s">
        <v>243</v>
      </c>
      <c r="C1202" s="25" t="s">
        <v>937</v>
      </c>
      <c r="D1202" s="694" t="s">
        <v>498</v>
      </c>
      <c r="E1202" s="579"/>
      <c r="F1202" s="577"/>
      <c r="G1202" s="578"/>
      <c r="H1202" s="577"/>
      <c r="I1202" s="577"/>
      <c r="J1202" s="577"/>
      <c r="K1202" s="577"/>
      <c r="L1202" s="577"/>
      <c r="M1202" s="578"/>
      <c r="N1202" s="578"/>
      <c r="O1202" s="577"/>
      <c r="P1202" s="577"/>
      <c r="Q1202" s="578"/>
      <c r="R1202" s="578"/>
      <c r="S1202" s="142">
        <f t="shared" si="139"/>
        <v>0</v>
      </c>
      <c r="T1202" s="142">
        <f t="shared" si="140"/>
        <v>0</v>
      </c>
      <c r="U1202" s="142">
        <f t="shared" si="141"/>
        <v>0</v>
      </c>
      <c r="W1202" s="601">
        <f t="shared" si="136"/>
        <v>0</v>
      </c>
      <c r="X1202" s="601">
        <f t="shared" si="137"/>
        <v>0</v>
      </c>
      <c r="Y1202" s="123"/>
      <c r="Z1202" s="692">
        <f t="shared" si="138"/>
        <v>0</v>
      </c>
    </row>
    <row r="1203" spans="1:26" customFormat="1" ht="12.75" thickBot="1">
      <c r="A1203" s="57" t="s">
        <v>1271</v>
      </c>
      <c r="B1203" s="25" t="s">
        <v>244</v>
      </c>
      <c r="C1203" s="25" t="s">
        <v>938</v>
      </c>
      <c r="D1203" s="694" t="s">
        <v>498</v>
      </c>
      <c r="E1203" s="579"/>
      <c r="F1203" s="577"/>
      <c r="G1203" s="578"/>
      <c r="H1203" s="577"/>
      <c r="I1203" s="577"/>
      <c r="J1203" s="577"/>
      <c r="K1203" s="577"/>
      <c r="L1203" s="577"/>
      <c r="M1203" s="578"/>
      <c r="N1203" s="578"/>
      <c r="O1203" s="577"/>
      <c r="P1203" s="577"/>
      <c r="Q1203" s="578"/>
      <c r="R1203" s="578"/>
      <c r="S1203" s="142">
        <f t="shared" si="139"/>
        <v>0</v>
      </c>
      <c r="T1203" s="142">
        <f t="shared" si="140"/>
        <v>0</v>
      </c>
      <c r="U1203" s="142">
        <f t="shared" si="141"/>
        <v>0</v>
      </c>
      <c r="W1203" s="601">
        <f t="shared" si="136"/>
        <v>0</v>
      </c>
      <c r="X1203" s="601">
        <f t="shared" si="137"/>
        <v>0</v>
      </c>
      <c r="Y1203" s="123"/>
      <c r="Z1203" s="692">
        <f t="shared" si="138"/>
        <v>0</v>
      </c>
    </row>
    <row r="1204" spans="1:26" customFormat="1" ht="12.75" thickBot="1">
      <c r="A1204" s="57" t="s">
        <v>1271</v>
      </c>
      <c r="B1204" s="25" t="s">
        <v>245</v>
      </c>
      <c r="C1204" s="25" t="s">
        <v>939</v>
      </c>
      <c r="D1204" s="694" t="s">
        <v>498</v>
      </c>
      <c r="E1204" s="579"/>
      <c r="F1204" s="577"/>
      <c r="G1204" s="578"/>
      <c r="H1204" s="577"/>
      <c r="I1204" s="577"/>
      <c r="J1204" s="577"/>
      <c r="K1204" s="577"/>
      <c r="L1204" s="577"/>
      <c r="M1204" s="578"/>
      <c r="N1204" s="578"/>
      <c r="O1204" s="577"/>
      <c r="P1204" s="577"/>
      <c r="Q1204" s="578"/>
      <c r="R1204" s="578"/>
      <c r="S1204" s="142">
        <f t="shared" si="139"/>
        <v>0</v>
      </c>
      <c r="T1204" s="142">
        <f t="shared" si="140"/>
        <v>0</v>
      </c>
      <c r="U1204" s="142">
        <f t="shared" si="141"/>
        <v>0</v>
      </c>
      <c r="W1204" s="601">
        <f t="shared" si="136"/>
        <v>0</v>
      </c>
      <c r="X1204" s="601">
        <f t="shared" si="137"/>
        <v>0</v>
      </c>
      <c r="Y1204" s="123"/>
      <c r="Z1204" s="692">
        <f t="shared" si="138"/>
        <v>0</v>
      </c>
    </row>
    <row r="1205" spans="1:26" customFormat="1" ht="12.75" thickBot="1">
      <c r="A1205" s="57" t="s">
        <v>1271</v>
      </c>
      <c r="B1205" s="25" t="s">
        <v>381</v>
      </c>
      <c r="C1205" s="25" t="s">
        <v>940</v>
      </c>
      <c r="D1205" s="694" t="s">
        <v>498</v>
      </c>
      <c r="E1205" s="579"/>
      <c r="F1205" s="577"/>
      <c r="G1205" s="578"/>
      <c r="H1205" s="577"/>
      <c r="I1205" s="577"/>
      <c r="J1205" s="577"/>
      <c r="K1205" s="577"/>
      <c r="L1205" s="577"/>
      <c r="M1205" s="578"/>
      <c r="N1205" s="578"/>
      <c r="O1205" s="577"/>
      <c r="P1205" s="577"/>
      <c r="Q1205" s="578"/>
      <c r="R1205" s="578"/>
      <c r="S1205" s="142">
        <f t="shared" si="139"/>
        <v>0</v>
      </c>
      <c r="T1205" s="142">
        <f t="shared" si="140"/>
        <v>0</v>
      </c>
      <c r="U1205" s="142">
        <f t="shared" si="141"/>
        <v>0</v>
      </c>
      <c r="W1205" s="601">
        <f t="shared" si="136"/>
        <v>0</v>
      </c>
      <c r="X1205" s="601">
        <f t="shared" si="137"/>
        <v>0</v>
      </c>
      <c r="Y1205" s="123"/>
      <c r="Z1205" s="692">
        <f t="shared" si="138"/>
        <v>0</v>
      </c>
    </row>
    <row r="1206" spans="1:26" customFormat="1" ht="12.75" thickBot="1">
      <c r="A1206" s="57" t="s">
        <v>1271</v>
      </c>
      <c r="B1206" s="25" t="s">
        <v>246</v>
      </c>
      <c r="C1206" s="25" t="s">
        <v>941</v>
      </c>
      <c r="D1206" s="694" t="s">
        <v>498</v>
      </c>
      <c r="E1206" s="579"/>
      <c r="F1206" s="577"/>
      <c r="G1206" s="578"/>
      <c r="H1206" s="577"/>
      <c r="I1206" s="577"/>
      <c r="J1206" s="577"/>
      <c r="K1206" s="577"/>
      <c r="L1206" s="577"/>
      <c r="M1206" s="578"/>
      <c r="N1206" s="578"/>
      <c r="O1206" s="577"/>
      <c r="P1206" s="577"/>
      <c r="Q1206" s="578"/>
      <c r="R1206" s="578"/>
      <c r="S1206" s="142">
        <f t="shared" si="139"/>
        <v>0</v>
      </c>
      <c r="T1206" s="142">
        <f t="shared" si="140"/>
        <v>0</v>
      </c>
      <c r="U1206" s="142">
        <f t="shared" si="141"/>
        <v>0</v>
      </c>
      <c r="W1206" s="601">
        <f t="shared" ref="W1206:W1265" si="142">SUM(F1206:Q1206)</f>
        <v>0</v>
      </c>
      <c r="X1206" s="601">
        <f t="shared" ref="X1206:X1265" si="143">W1206-R1206</f>
        <v>0</v>
      </c>
      <c r="Y1206" s="123"/>
      <c r="Z1206" s="692">
        <f t="shared" si="138"/>
        <v>0</v>
      </c>
    </row>
    <row r="1207" spans="1:26" customFormat="1" ht="12.75" thickBot="1">
      <c r="A1207" s="57" t="s">
        <v>1271</v>
      </c>
      <c r="B1207" s="25" t="s">
        <v>252</v>
      </c>
      <c r="C1207" s="25" t="s">
        <v>942</v>
      </c>
      <c r="D1207" s="694" t="s">
        <v>498</v>
      </c>
      <c r="E1207" s="579"/>
      <c r="F1207" s="577"/>
      <c r="G1207" s="578"/>
      <c r="H1207" s="577"/>
      <c r="I1207" s="577"/>
      <c r="J1207" s="577"/>
      <c r="K1207" s="577"/>
      <c r="L1207" s="577"/>
      <c r="M1207" s="578"/>
      <c r="N1207" s="578"/>
      <c r="O1207" s="577"/>
      <c r="P1207" s="577"/>
      <c r="Q1207" s="578"/>
      <c r="R1207" s="578"/>
      <c r="S1207" s="142">
        <f t="shared" si="139"/>
        <v>0</v>
      </c>
      <c r="T1207" s="142">
        <f t="shared" si="140"/>
        <v>0</v>
      </c>
      <c r="U1207" s="142">
        <f t="shared" si="141"/>
        <v>0</v>
      </c>
      <c r="W1207" s="601">
        <f t="shared" si="142"/>
        <v>0</v>
      </c>
      <c r="X1207" s="601">
        <f t="shared" si="143"/>
        <v>0</v>
      </c>
      <c r="Y1207" s="123"/>
      <c r="Z1207" s="692">
        <f t="shared" si="138"/>
        <v>0</v>
      </c>
    </row>
    <row r="1208" spans="1:26" customFormat="1" ht="12.75" thickBot="1">
      <c r="A1208" s="57" t="s">
        <v>1271</v>
      </c>
      <c r="B1208" s="25" t="s">
        <v>263</v>
      </c>
      <c r="C1208" s="25" t="s">
        <v>943</v>
      </c>
      <c r="D1208" s="694" t="s">
        <v>498</v>
      </c>
      <c r="E1208" s="579"/>
      <c r="F1208" s="577"/>
      <c r="G1208" s="578"/>
      <c r="H1208" s="577"/>
      <c r="I1208" s="577"/>
      <c r="J1208" s="577"/>
      <c r="K1208" s="577"/>
      <c r="L1208" s="577"/>
      <c r="M1208" s="578"/>
      <c r="N1208" s="578"/>
      <c r="O1208" s="577"/>
      <c r="P1208" s="577"/>
      <c r="Q1208" s="578"/>
      <c r="R1208" s="578"/>
      <c r="S1208" s="142">
        <f t="shared" si="139"/>
        <v>0</v>
      </c>
      <c r="T1208" s="142">
        <f t="shared" si="140"/>
        <v>0</v>
      </c>
      <c r="U1208" s="142">
        <f t="shared" si="141"/>
        <v>0</v>
      </c>
      <c r="W1208" s="601">
        <f t="shared" si="142"/>
        <v>0</v>
      </c>
      <c r="X1208" s="601">
        <f t="shared" si="143"/>
        <v>0</v>
      </c>
      <c r="Y1208" s="123"/>
      <c r="Z1208" s="692">
        <f t="shared" si="138"/>
        <v>0</v>
      </c>
    </row>
    <row r="1209" spans="1:26" customFormat="1" ht="12.75" thickBot="1">
      <c r="A1209" s="57" t="s">
        <v>1271</v>
      </c>
      <c r="B1209" s="25" t="s">
        <v>264</v>
      </c>
      <c r="C1209" s="25" t="s">
        <v>944</v>
      </c>
      <c r="D1209" s="694" t="s">
        <v>498</v>
      </c>
      <c r="E1209" s="579"/>
      <c r="F1209" s="577"/>
      <c r="G1209" s="578"/>
      <c r="H1209" s="577"/>
      <c r="I1209" s="577"/>
      <c r="J1209" s="577"/>
      <c r="K1209" s="577"/>
      <c r="L1209" s="577"/>
      <c r="M1209" s="578"/>
      <c r="N1209" s="578"/>
      <c r="O1209" s="577"/>
      <c r="P1209" s="577"/>
      <c r="Q1209" s="578"/>
      <c r="R1209" s="578"/>
      <c r="S1209" s="142">
        <f t="shared" si="139"/>
        <v>0</v>
      </c>
      <c r="T1209" s="142">
        <f t="shared" si="140"/>
        <v>0</v>
      </c>
      <c r="U1209" s="142">
        <f t="shared" si="141"/>
        <v>0</v>
      </c>
      <c r="W1209" s="601">
        <f t="shared" si="142"/>
        <v>0</v>
      </c>
      <c r="X1209" s="601">
        <f t="shared" si="143"/>
        <v>0</v>
      </c>
      <c r="Y1209" s="123"/>
      <c r="Z1209" s="692">
        <f t="shared" si="138"/>
        <v>0</v>
      </c>
    </row>
    <row r="1210" spans="1:26" customFormat="1" ht="12.75" thickBot="1">
      <c r="A1210" s="57" t="s">
        <v>1271</v>
      </c>
      <c r="B1210" s="25" t="s">
        <v>267</v>
      </c>
      <c r="C1210" s="25" t="s">
        <v>945</v>
      </c>
      <c r="D1210" s="694" t="s">
        <v>498</v>
      </c>
      <c r="E1210" s="579"/>
      <c r="F1210" s="577"/>
      <c r="G1210" s="578"/>
      <c r="H1210" s="577"/>
      <c r="I1210" s="577"/>
      <c r="J1210" s="577"/>
      <c r="K1210" s="577"/>
      <c r="L1210" s="577"/>
      <c r="M1210" s="578"/>
      <c r="N1210" s="578"/>
      <c r="O1210" s="577"/>
      <c r="P1210" s="577"/>
      <c r="Q1210" s="578"/>
      <c r="R1210" s="578"/>
      <c r="S1210" s="142">
        <f t="shared" si="139"/>
        <v>0</v>
      </c>
      <c r="T1210" s="142">
        <f t="shared" si="140"/>
        <v>0</v>
      </c>
      <c r="U1210" s="142">
        <f t="shared" si="141"/>
        <v>0</v>
      </c>
      <c r="W1210" s="601">
        <f t="shared" si="142"/>
        <v>0</v>
      </c>
      <c r="X1210" s="601">
        <f t="shared" si="143"/>
        <v>0</v>
      </c>
      <c r="Y1210" s="123"/>
      <c r="Z1210" s="692">
        <f t="shared" si="138"/>
        <v>0</v>
      </c>
    </row>
    <row r="1211" spans="1:26" customFormat="1" ht="12.75" thickBot="1">
      <c r="A1211" s="57" t="s">
        <v>1271</v>
      </c>
      <c r="B1211" s="25" t="s">
        <v>392</v>
      </c>
      <c r="C1211" s="25" t="s">
        <v>946</v>
      </c>
      <c r="D1211" s="694" t="s">
        <v>498</v>
      </c>
      <c r="E1211" s="579"/>
      <c r="F1211" s="577"/>
      <c r="G1211" s="578"/>
      <c r="H1211" s="577"/>
      <c r="I1211" s="577"/>
      <c r="J1211" s="577"/>
      <c r="K1211" s="577"/>
      <c r="L1211" s="577"/>
      <c r="M1211" s="578"/>
      <c r="N1211" s="578"/>
      <c r="O1211" s="577"/>
      <c r="P1211" s="577"/>
      <c r="Q1211" s="578"/>
      <c r="R1211" s="578"/>
      <c r="S1211" s="142">
        <f t="shared" si="139"/>
        <v>0</v>
      </c>
      <c r="T1211" s="142">
        <f t="shared" si="140"/>
        <v>0</v>
      </c>
      <c r="U1211" s="142">
        <f t="shared" si="141"/>
        <v>0</v>
      </c>
      <c r="W1211" s="601">
        <f t="shared" si="142"/>
        <v>0</v>
      </c>
      <c r="X1211" s="601">
        <f t="shared" si="143"/>
        <v>0</v>
      </c>
      <c r="Y1211" s="123"/>
      <c r="Z1211" s="692">
        <f t="shared" si="138"/>
        <v>0</v>
      </c>
    </row>
    <row r="1212" spans="1:26" customFormat="1" ht="12.75" thickBot="1">
      <c r="A1212" s="57" t="s">
        <v>1271</v>
      </c>
      <c r="B1212" s="25" t="s">
        <v>268</v>
      </c>
      <c r="C1212" s="25" t="s">
        <v>947</v>
      </c>
      <c r="D1212" s="694" t="s">
        <v>498</v>
      </c>
      <c r="E1212" s="579"/>
      <c r="F1212" s="577"/>
      <c r="G1212" s="578"/>
      <c r="H1212" s="577"/>
      <c r="I1212" s="577"/>
      <c r="J1212" s="577"/>
      <c r="K1212" s="577"/>
      <c r="L1212" s="577"/>
      <c r="M1212" s="578"/>
      <c r="N1212" s="578"/>
      <c r="O1212" s="577"/>
      <c r="P1212" s="577"/>
      <c r="Q1212" s="578"/>
      <c r="R1212" s="578"/>
      <c r="S1212" s="142">
        <f t="shared" si="139"/>
        <v>0</v>
      </c>
      <c r="T1212" s="142">
        <f t="shared" si="140"/>
        <v>0</v>
      </c>
      <c r="U1212" s="142">
        <f t="shared" si="141"/>
        <v>0</v>
      </c>
      <c r="W1212" s="601">
        <f t="shared" si="142"/>
        <v>0</v>
      </c>
      <c r="X1212" s="601">
        <f t="shared" si="143"/>
        <v>0</v>
      </c>
      <c r="Y1212" s="123"/>
      <c r="Z1212" s="692">
        <f t="shared" si="138"/>
        <v>0</v>
      </c>
    </row>
    <row r="1213" spans="1:26" customFormat="1" ht="12.75" thickBot="1">
      <c r="A1213" s="57" t="s">
        <v>1271</v>
      </c>
      <c r="B1213" s="25" t="s">
        <v>269</v>
      </c>
      <c r="C1213" s="25" t="s">
        <v>948</v>
      </c>
      <c r="D1213" s="694" t="s">
        <v>498</v>
      </c>
      <c r="E1213" s="579"/>
      <c r="F1213" s="577"/>
      <c r="G1213" s="578"/>
      <c r="H1213" s="577"/>
      <c r="I1213" s="577"/>
      <c r="J1213" s="577"/>
      <c r="K1213" s="577"/>
      <c r="L1213" s="577"/>
      <c r="M1213" s="578"/>
      <c r="N1213" s="578"/>
      <c r="O1213" s="577"/>
      <c r="P1213" s="577"/>
      <c r="Q1213" s="578"/>
      <c r="R1213" s="578"/>
      <c r="S1213" s="142">
        <f t="shared" si="139"/>
        <v>0</v>
      </c>
      <c r="T1213" s="142">
        <f t="shared" si="140"/>
        <v>0</v>
      </c>
      <c r="U1213" s="142">
        <f t="shared" si="141"/>
        <v>0</v>
      </c>
      <c r="W1213" s="601">
        <f t="shared" si="142"/>
        <v>0</v>
      </c>
      <c r="X1213" s="601">
        <f t="shared" si="143"/>
        <v>0</v>
      </c>
      <c r="Y1213" s="123"/>
      <c r="Z1213" s="692">
        <f t="shared" si="138"/>
        <v>0</v>
      </c>
    </row>
    <row r="1214" spans="1:26" customFormat="1" ht="12.75" thickBot="1">
      <c r="A1214" s="57" t="s">
        <v>1271</v>
      </c>
      <c r="B1214" s="25" t="s">
        <v>393</v>
      </c>
      <c r="C1214" s="25" t="s">
        <v>949</v>
      </c>
      <c r="D1214" s="694" t="s">
        <v>498</v>
      </c>
      <c r="E1214" s="579"/>
      <c r="F1214" s="577"/>
      <c r="G1214" s="578"/>
      <c r="H1214" s="577"/>
      <c r="I1214" s="577"/>
      <c r="J1214" s="577"/>
      <c r="K1214" s="577"/>
      <c r="L1214" s="577"/>
      <c r="M1214" s="578"/>
      <c r="N1214" s="578"/>
      <c r="O1214" s="577"/>
      <c r="P1214" s="577"/>
      <c r="Q1214" s="578"/>
      <c r="R1214" s="578"/>
      <c r="S1214" s="142">
        <f t="shared" si="139"/>
        <v>0</v>
      </c>
      <c r="T1214" s="142">
        <f t="shared" si="140"/>
        <v>0</v>
      </c>
      <c r="U1214" s="142">
        <f t="shared" si="141"/>
        <v>0</v>
      </c>
      <c r="W1214" s="601">
        <f t="shared" si="142"/>
        <v>0</v>
      </c>
      <c r="X1214" s="601">
        <f t="shared" si="143"/>
        <v>0</v>
      </c>
      <c r="Y1214" s="123"/>
      <c r="Z1214" s="692">
        <f t="shared" si="138"/>
        <v>0</v>
      </c>
    </row>
    <row r="1215" spans="1:26" customFormat="1" ht="12.75" thickBot="1">
      <c r="A1215" s="57" t="s">
        <v>1271</v>
      </c>
      <c r="B1215" s="25" t="s">
        <v>394</v>
      </c>
      <c r="C1215" s="25" t="s">
        <v>950</v>
      </c>
      <c r="D1215" s="694" t="s">
        <v>498</v>
      </c>
      <c r="E1215" s="579"/>
      <c r="F1215" s="577"/>
      <c r="G1215" s="578"/>
      <c r="H1215" s="577"/>
      <c r="I1215" s="577"/>
      <c r="J1215" s="577"/>
      <c r="K1215" s="577"/>
      <c r="L1215" s="577"/>
      <c r="M1215" s="578"/>
      <c r="N1215" s="578"/>
      <c r="O1215" s="577"/>
      <c r="P1215" s="577"/>
      <c r="Q1215" s="578"/>
      <c r="R1215" s="578"/>
      <c r="S1215" s="142">
        <f t="shared" si="139"/>
        <v>0</v>
      </c>
      <c r="T1215" s="142">
        <f t="shared" si="140"/>
        <v>0</v>
      </c>
      <c r="U1215" s="142">
        <f t="shared" si="141"/>
        <v>0</v>
      </c>
      <c r="W1215" s="601">
        <f t="shared" si="142"/>
        <v>0</v>
      </c>
      <c r="X1215" s="601">
        <f t="shared" si="143"/>
        <v>0</v>
      </c>
      <c r="Y1215" s="123"/>
      <c r="Z1215" s="692">
        <f t="shared" si="138"/>
        <v>0</v>
      </c>
    </row>
    <row r="1216" spans="1:26" customFormat="1" ht="12.75" thickBot="1">
      <c r="A1216" s="57" t="s">
        <v>1271</v>
      </c>
      <c r="B1216" s="25" t="s">
        <v>398</v>
      </c>
      <c r="C1216" s="25" t="s">
        <v>951</v>
      </c>
      <c r="D1216" s="694" t="s">
        <v>498</v>
      </c>
      <c r="E1216" s="579"/>
      <c r="F1216" s="577"/>
      <c r="G1216" s="578"/>
      <c r="H1216" s="577"/>
      <c r="I1216" s="577"/>
      <c r="J1216" s="577"/>
      <c r="K1216" s="577"/>
      <c r="L1216" s="577"/>
      <c r="M1216" s="578"/>
      <c r="N1216" s="578"/>
      <c r="O1216" s="577"/>
      <c r="P1216" s="577"/>
      <c r="Q1216" s="578"/>
      <c r="R1216" s="578"/>
      <c r="S1216" s="142">
        <f t="shared" si="139"/>
        <v>0</v>
      </c>
      <c r="T1216" s="142">
        <f t="shared" si="140"/>
        <v>0</v>
      </c>
      <c r="U1216" s="142">
        <f t="shared" si="141"/>
        <v>0</v>
      </c>
      <c r="W1216" s="601">
        <f t="shared" si="142"/>
        <v>0</v>
      </c>
      <c r="X1216" s="601">
        <f t="shared" si="143"/>
        <v>0</v>
      </c>
      <c r="Y1216" s="123"/>
      <c r="Z1216" s="692">
        <f t="shared" si="138"/>
        <v>0</v>
      </c>
    </row>
    <row r="1217" spans="1:26" customFormat="1" ht="12.75" thickBot="1">
      <c r="A1217" s="57" t="s">
        <v>1271</v>
      </c>
      <c r="B1217" s="25" t="s">
        <v>395</v>
      </c>
      <c r="C1217" s="25" t="s">
        <v>952</v>
      </c>
      <c r="D1217" s="694" t="s">
        <v>498</v>
      </c>
      <c r="E1217" s="579"/>
      <c r="F1217" s="577"/>
      <c r="G1217" s="578"/>
      <c r="H1217" s="577"/>
      <c r="I1217" s="577"/>
      <c r="J1217" s="577"/>
      <c r="K1217" s="577"/>
      <c r="L1217" s="577"/>
      <c r="M1217" s="578"/>
      <c r="N1217" s="578"/>
      <c r="O1217" s="577"/>
      <c r="P1217" s="577"/>
      <c r="Q1217" s="578"/>
      <c r="R1217" s="578"/>
      <c r="S1217" s="142">
        <f t="shared" si="139"/>
        <v>0</v>
      </c>
      <c r="T1217" s="142">
        <f t="shared" si="140"/>
        <v>0</v>
      </c>
      <c r="U1217" s="142">
        <f t="shared" si="141"/>
        <v>0</v>
      </c>
      <c r="W1217" s="601">
        <f t="shared" si="142"/>
        <v>0</v>
      </c>
      <c r="X1217" s="601">
        <f t="shared" si="143"/>
        <v>0</v>
      </c>
      <c r="Y1217" s="123"/>
      <c r="Z1217" s="692">
        <f t="shared" si="138"/>
        <v>0</v>
      </c>
    </row>
    <row r="1218" spans="1:26" customFormat="1" ht="12.75" thickBot="1">
      <c r="A1218" s="57" t="s">
        <v>1271</v>
      </c>
      <c r="B1218" s="25" t="s">
        <v>396</v>
      </c>
      <c r="C1218" s="25" t="s">
        <v>953</v>
      </c>
      <c r="D1218" s="694" t="s">
        <v>498</v>
      </c>
      <c r="E1218" s="579"/>
      <c r="F1218" s="577"/>
      <c r="G1218" s="578"/>
      <c r="H1218" s="577"/>
      <c r="I1218" s="577"/>
      <c r="J1218" s="577"/>
      <c r="K1218" s="577"/>
      <c r="L1218" s="577"/>
      <c r="M1218" s="578"/>
      <c r="N1218" s="578"/>
      <c r="O1218" s="577"/>
      <c r="P1218" s="577"/>
      <c r="Q1218" s="578"/>
      <c r="R1218" s="578"/>
      <c r="S1218" s="142">
        <f t="shared" si="139"/>
        <v>0</v>
      </c>
      <c r="T1218" s="142">
        <f t="shared" si="140"/>
        <v>0</v>
      </c>
      <c r="U1218" s="142">
        <f t="shared" si="141"/>
        <v>0</v>
      </c>
      <c r="W1218" s="601">
        <f t="shared" si="142"/>
        <v>0</v>
      </c>
      <c r="X1218" s="601">
        <f t="shared" si="143"/>
        <v>0</v>
      </c>
      <c r="Y1218" s="123"/>
      <c r="Z1218" s="692">
        <f t="shared" si="138"/>
        <v>0</v>
      </c>
    </row>
    <row r="1219" spans="1:26" customFormat="1" ht="12.75" thickBot="1">
      <c r="A1219" s="57" t="s">
        <v>1271</v>
      </c>
      <c r="B1219" s="25" t="s">
        <v>397</v>
      </c>
      <c r="C1219" s="25" t="s">
        <v>954</v>
      </c>
      <c r="D1219" s="694" t="s">
        <v>498</v>
      </c>
      <c r="E1219" s="579"/>
      <c r="F1219" s="577"/>
      <c r="G1219" s="578"/>
      <c r="H1219" s="577"/>
      <c r="I1219" s="577"/>
      <c r="J1219" s="577"/>
      <c r="K1219" s="577"/>
      <c r="L1219" s="577"/>
      <c r="M1219" s="578"/>
      <c r="N1219" s="578"/>
      <c r="O1219" s="577"/>
      <c r="P1219" s="577"/>
      <c r="Q1219" s="578"/>
      <c r="R1219" s="578"/>
      <c r="S1219" s="142">
        <f t="shared" si="139"/>
        <v>0</v>
      </c>
      <c r="T1219" s="142">
        <f t="shared" si="140"/>
        <v>0</v>
      </c>
      <c r="U1219" s="142">
        <f t="shared" si="141"/>
        <v>0</v>
      </c>
      <c r="W1219" s="601">
        <f t="shared" si="142"/>
        <v>0</v>
      </c>
      <c r="X1219" s="601">
        <f t="shared" si="143"/>
        <v>0</v>
      </c>
      <c r="Y1219" s="123"/>
      <c r="Z1219" s="692">
        <f t="shared" si="138"/>
        <v>0</v>
      </c>
    </row>
    <row r="1220" spans="1:26" customFormat="1" ht="12.75" thickBot="1">
      <c r="A1220" s="57" t="s">
        <v>1271</v>
      </c>
      <c r="B1220" s="25" t="s">
        <v>287</v>
      </c>
      <c r="C1220" s="25" t="s">
        <v>955</v>
      </c>
      <c r="D1220" s="694" t="s">
        <v>498</v>
      </c>
      <c r="E1220" s="579"/>
      <c r="F1220" s="577"/>
      <c r="G1220" s="578"/>
      <c r="H1220" s="577"/>
      <c r="I1220" s="577"/>
      <c r="J1220" s="577"/>
      <c r="K1220" s="577"/>
      <c r="L1220" s="577"/>
      <c r="M1220" s="578"/>
      <c r="N1220" s="578"/>
      <c r="O1220" s="577"/>
      <c r="P1220" s="577"/>
      <c r="Q1220" s="578"/>
      <c r="R1220" s="578"/>
      <c r="S1220" s="142">
        <f t="shared" si="139"/>
        <v>0</v>
      </c>
      <c r="T1220" s="142">
        <f t="shared" si="140"/>
        <v>0</v>
      </c>
      <c r="U1220" s="142">
        <f t="shared" si="141"/>
        <v>0</v>
      </c>
      <c r="W1220" s="601">
        <f t="shared" si="142"/>
        <v>0</v>
      </c>
      <c r="X1220" s="601">
        <f t="shared" si="143"/>
        <v>0</v>
      </c>
      <c r="Y1220" s="123"/>
      <c r="Z1220" s="692">
        <f t="shared" si="138"/>
        <v>0</v>
      </c>
    </row>
    <row r="1221" spans="1:26" customFormat="1" ht="12.75" thickBot="1">
      <c r="A1221" s="57" t="s">
        <v>1271</v>
      </c>
      <c r="B1221" s="25" t="s">
        <v>288</v>
      </c>
      <c r="C1221" s="25" t="s">
        <v>956</v>
      </c>
      <c r="D1221" s="694" t="s">
        <v>498</v>
      </c>
      <c r="E1221" s="579"/>
      <c r="F1221" s="577"/>
      <c r="G1221" s="578"/>
      <c r="H1221" s="577"/>
      <c r="I1221" s="577"/>
      <c r="J1221" s="577"/>
      <c r="K1221" s="577"/>
      <c r="L1221" s="577"/>
      <c r="M1221" s="578"/>
      <c r="N1221" s="578"/>
      <c r="O1221" s="577"/>
      <c r="P1221" s="577"/>
      <c r="Q1221" s="578"/>
      <c r="R1221" s="578"/>
      <c r="S1221" s="142">
        <f t="shared" si="139"/>
        <v>0</v>
      </c>
      <c r="T1221" s="142">
        <f t="shared" si="140"/>
        <v>0</v>
      </c>
      <c r="U1221" s="142">
        <f t="shared" si="141"/>
        <v>0</v>
      </c>
      <c r="W1221" s="601">
        <f t="shared" si="142"/>
        <v>0</v>
      </c>
      <c r="X1221" s="601">
        <f t="shared" si="143"/>
        <v>0</v>
      </c>
      <c r="Y1221" s="123"/>
      <c r="Z1221" s="692">
        <f t="shared" si="138"/>
        <v>0</v>
      </c>
    </row>
    <row r="1222" spans="1:26" customFormat="1" ht="12.75" thickBot="1">
      <c r="A1222" s="57" t="s">
        <v>1271</v>
      </c>
      <c r="B1222" s="25" t="s">
        <v>291</v>
      </c>
      <c r="C1222" s="25" t="s">
        <v>957</v>
      </c>
      <c r="D1222" s="694" t="s">
        <v>498</v>
      </c>
      <c r="E1222" s="579"/>
      <c r="F1222" s="577"/>
      <c r="G1222" s="578"/>
      <c r="H1222" s="577"/>
      <c r="I1222" s="577"/>
      <c r="J1222" s="577"/>
      <c r="K1222" s="577"/>
      <c r="L1222" s="577"/>
      <c r="M1222" s="578"/>
      <c r="N1222" s="578"/>
      <c r="O1222" s="577"/>
      <c r="P1222" s="577"/>
      <c r="Q1222" s="578"/>
      <c r="R1222" s="578"/>
      <c r="S1222" s="142">
        <f t="shared" si="139"/>
        <v>0</v>
      </c>
      <c r="T1222" s="142">
        <f t="shared" si="140"/>
        <v>0</v>
      </c>
      <c r="U1222" s="142">
        <f t="shared" si="141"/>
        <v>0</v>
      </c>
      <c r="W1222" s="601">
        <f t="shared" si="142"/>
        <v>0</v>
      </c>
      <c r="X1222" s="601">
        <f t="shared" si="143"/>
        <v>0</v>
      </c>
      <c r="Y1222" s="123"/>
      <c r="Z1222" s="692">
        <f t="shared" si="138"/>
        <v>0</v>
      </c>
    </row>
    <row r="1223" spans="1:26" customFormat="1" ht="12.75" thickBot="1">
      <c r="A1223" s="57" t="s">
        <v>1271</v>
      </c>
      <c r="B1223" s="25" t="s">
        <v>297</v>
      </c>
      <c r="C1223" s="25" t="s">
        <v>958</v>
      </c>
      <c r="D1223" s="694" t="s">
        <v>498</v>
      </c>
      <c r="E1223" s="579"/>
      <c r="F1223" s="577"/>
      <c r="G1223" s="578"/>
      <c r="H1223" s="577"/>
      <c r="I1223" s="577"/>
      <c r="J1223" s="577"/>
      <c r="K1223" s="577"/>
      <c r="L1223" s="577"/>
      <c r="M1223" s="578"/>
      <c r="N1223" s="578"/>
      <c r="O1223" s="577"/>
      <c r="P1223" s="577"/>
      <c r="Q1223" s="578"/>
      <c r="R1223" s="578"/>
      <c r="S1223" s="142">
        <f t="shared" si="139"/>
        <v>0</v>
      </c>
      <c r="T1223" s="142">
        <f t="shared" si="140"/>
        <v>0</v>
      </c>
      <c r="U1223" s="142">
        <f t="shared" si="141"/>
        <v>0</v>
      </c>
      <c r="W1223" s="601">
        <f t="shared" si="142"/>
        <v>0</v>
      </c>
      <c r="X1223" s="601">
        <f t="shared" si="143"/>
        <v>0</v>
      </c>
      <c r="Y1223" s="123"/>
      <c r="Z1223" s="692">
        <f t="shared" si="138"/>
        <v>0</v>
      </c>
    </row>
    <row r="1224" spans="1:26" customFormat="1" ht="12.75" thickBot="1">
      <c r="A1224" s="57" t="s">
        <v>1271</v>
      </c>
      <c r="B1224" s="25" t="s">
        <v>299</v>
      </c>
      <c r="C1224" s="25" t="s">
        <v>959</v>
      </c>
      <c r="D1224" s="694" t="s">
        <v>498</v>
      </c>
      <c r="E1224" s="579"/>
      <c r="F1224" s="577"/>
      <c r="G1224" s="578"/>
      <c r="H1224" s="577"/>
      <c r="I1224" s="577"/>
      <c r="J1224" s="577"/>
      <c r="K1224" s="577"/>
      <c r="L1224" s="577"/>
      <c r="M1224" s="578"/>
      <c r="N1224" s="578"/>
      <c r="O1224" s="577"/>
      <c r="P1224" s="577"/>
      <c r="Q1224" s="578"/>
      <c r="R1224" s="578"/>
      <c r="S1224" s="142">
        <f t="shared" si="139"/>
        <v>0</v>
      </c>
      <c r="T1224" s="142">
        <f t="shared" si="140"/>
        <v>0</v>
      </c>
      <c r="U1224" s="142">
        <f t="shared" si="141"/>
        <v>0</v>
      </c>
      <c r="W1224" s="601">
        <f t="shared" si="142"/>
        <v>0</v>
      </c>
      <c r="X1224" s="601">
        <f t="shared" si="143"/>
        <v>0</v>
      </c>
      <c r="Y1224" s="123"/>
      <c r="Z1224" s="692">
        <f t="shared" si="138"/>
        <v>0</v>
      </c>
    </row>
    <row r="1225" spans="1:26" customFormat="1" ht="12.75" thickBot="1">
      <c r="A1225" s="57" t="s">
        <v>1271</v>
      </c>
      <c r="B1225" s="25" t="s">
        <v>377</v>
      </c>
      <c r="C1225" s="25" t="s">
        <v>960</v>
      </c>
      <c r="D1225" s="694" t="s">
        <v>606</v>
      </c>
      <c r="E1225" s="579"/>
      <c r="F1225" s="577"/>
      <c r="G1225" s="578"/>
      <c r="H1225" s="577"/>
      <c r="I1225" s="577"/>
      <c r="J1225" s="577"/>
      <c r="K1225" s="577"/>
      <c r="L1225" s="577"/>
      <c r="M1225" s="578"/>
      <c r="N1225" s="578"/>
      <c r="O1225" s="577"/>
      <c r="P1225" s="577"/>
      <c r="Q1225" s="577"/>
      <c r="R1225" s="578"/>
      <c r="S1225" s="142">
        <f t="shared" si="139"/>
        <v>0</v>
      </c>
      <c r="T1225" s="142">
        <f t="shared" si="140"/>
        <v>0</v>
      </c>
      <c r="U1225" s="142">
        <f t="shared" si="141"/>
        <v>0</v>
      </c>
      <c r="W1225" s="601">
        <f t="shared" si="142"/>
        <v>0</v>
      </c>
      <c r="X1225" s="601">
        <f t="shared" si="143"/>
        <v>0</v>
      </c>
      <c r="Y1225" s="123"/>
      <c r="Z1225" s="692">
        <f t="shared" si="138"/>
        <v>0</v>
      </c>
    </row>
    <row r="1226" spans="1:26" customFormat="1" ht="12.75" thickBot="1">
      <c r="A1226" s="57" t="s">
        <v>1271</v>
      </c>
      <c r="B1226" s="25" t="s">
        <v>737</v>
      </c>
      <c r="C1226" s="25" t="s">
        <v>961</v>
      </c>
      <c r="D1226" s="694" t="s">
        <v>606</v>
      </c>
      <c r="E1226" s="579"/>
      <c r="F1226" s="577"/>
      <c r="G1226" s="578"/>
      <c r="H1226" s="577"/>
      <c r="I1226" s="577"/>
      <c r="J1226" s="577"/>
      <c r="K1226" s="577"/>
      <c r="L1226" s="577"/>
      <c r="M1226" s="578"/>
      <c r="N1226" s="578"/>
      <c r="O1226" s="577"/>
      <c r="P1226" s="577"/>
      <c r="Q1226" s="577"/>
      <c r="R1226" s="578"/>
      <c r="S1226" s="142">
        <f t="shared" si="139"/>
        <v>0</v>
      </c>
      <c r="T1226" s="142">
        <f t="shared" si="140"/>
        <v>0</v>
      </c>
      <c r="U1226" s="142">
        <f t="shared" si="141"/>
        <v>0</v>
      </c>
      <c r="W1226" s="601">
        <f t="shared" si="142"/>
        <v>0</v>
      </c>
      <c r="X1226" s="601">
        <f t="shared" si="143"/>
        <v>0</v>
      </c>
      <c r="Y1226" s="123"/>
      <c r="Z1226" s="692">
        <f t="shared" ref="Z1226:Z1285" si="144">SUM(F1226:K1226)</f>
        <v>0</v>
      </c>
    </row>
    <row r="1227" spans="1:26" customFormat="1" ht="12.75" thickBot="1">
      <c r="A1227" s="57" t="s">
        <v>1271</v>
      </c>
      <c r="B1227" s="25" t="s">
        <v>329</v>
      </c>
      <c r="C1227" s="25" t="s">
        <v>962</v>
      </c>
      <c r="D1227" s="694" t="s">
        <v>606</v>
      </c>
      <c r="E1227" s="579"/>
      <c r="F1227" s="577"/>
      <c r="G1227" s="578"/>
      <c r="H1227" s="577"/>
      <c r="I1227" s="577"/>
      <c r="J1227" s="577"/>
      <c r="K1227" s="577"/>
      <c r="L1227" s="577"/>
      <c r="M1227" s="578"/>
      <c r="N1227" s="578"/>
      <c r="O1227" s="577"/>
      <c r="P1227" s="577"/>
      <c r="Q1227" s="578"/>
      <c r="R1227" s="578"/>
      <c r="S1227" s="142">
        <f t="shared" si="139"/>
        <v>0</v>
      </c>
      <c r="T1227" s="142">
        <f t="shared" si="140"/>
        <v>0</v>
      </c>
      <c r="U1227" s="142">
        <f t="shared" si="141"/>
        <v>0</v>
      </c>
      <c r="W1227" s="601">
        <f t="shared" si="142"/>
        <v>0</v>
      </c>
      <c r="X1227" s="601">
        <f t="shared" si="143"/>
        <v>0</v>
      </c>
      <c r="Y1227" s="123"/>
      <c r="Z1227" s="692">
        <f t="shared" si="144"/>
        <v>0</v>
      </c>
    </row>
    <row r="1228" spans="1:26" customFormat="1" ht="12.75" thickBot="1">
      <c r="A1228" s="57" t="s">
        <v>1271</v>
      </c>
      <c r="B1228" s="25" t="s">
        <v>330</v>
      </c>
      <c r="C1228" s="25" t="s">
        <v>963</v>
      </c>
      <c r="D1228" s="694" t="s">
        <v>606</v>
      </c>
      <c r="E1228" s="579"/>
      <c r="F1228" s="577"/>
      <c r="G1228" s="578"/>
      <c r="H1228" s="577"/>
      <c r="I1228" s="577"/>
      <c r="J1228" s="577"/>
      <c r="K1228" s="577"/>
      <c r="L1228" s="577"/>
      <c r="M1228" s="578"/>
      <c r="N1228" s="578"/>
      <c r="O1228" s="577"/>
      <c r="P1228" s="577"/>
      <c r="Q1228" s="578"/>
      <c r="R1228" s="578"/>
      <c r="S1228" s="142">
        <f t="shared" si="139"/>
        <v>0</v>
      </c>
      <c r="T1228" s="142">
        <f t="shared" si="140"/>
        <v>0</v>
      </c>
      <c r="U1228" s="142">
        <f t="shared" si="141"/>
        <v>0</v>
      </c>
      <c r="W1228" s="601">
        <f t="shared" si="142"/>
        <v>0</v>
      </c>
      <c r="X1228" s="601">
        <f t="shared" si="143"/>
        <v>0</v>
      </c>
      <c r="Y1228" s="123"/>
      <c r="Z1228" s="692">
        <f t="shared" si="144"/>
        <v>0</v>
      </c>
    </row>
    <row r="1229" spans="1:26" customFormat="1" ht="12.75" thickBot="1">
      <c r="A1229" s="57" t="s">
        <v>1271</v>
      </c>
      <c r="B1229" s="25" t="s">
        <v>332</v>
      </c>
      <c r="C1229" s="25" t="s">
        <v>964</v>
      </c>
      <c r="D1229" s="694" t="s">
        <v>606</v>
      </c>
      <c r="E1229" s="579"/>
      <c r="F1229" s="577"/>
      <c r="G1229" s="578"/>
      <c r="H1229" s="577"/>
      <c r="I1229" s="577"/>
      <c r="J1229" s="577"/>
      <c r="K1229" s="577"/>
      <c r="L1229" s="577"/>
      <c r="M1229" s="578"/>
      <c r="N1229" s="578"/>
      <c r="O1229" s="577"/>
      <c r="P1229" s="577"/>
      <c r="Q1229" s="578"/>
      <c r="R1229" s="578"/>
      <c r="S1229" s="142">
        <f t="shared" si="139"/>
        <v>0</v>
      </c>
      <c r="T1229" s="142">
        <f t="shared" si="140"/>
        <v>0</v>
      </c>
      <c r="U1229" s="142">
        <f t="shared" si="141"/>
        <v>0</v>
      </c>
      <c r="W1229" s="601">
        <f t="shared" si="142"/>
        <v>0</v>
      </c>
      <c r="X1229" s="601">
        <f t="shared" si="143"/>
        <v>0</v>
      </c>
      <c r="Y1229" s="123"/>
      <c r="Z1229" s="692">
        <f t="shared" si="144"/>
        <v>0</v>
      </c>
    </row>
    <row r="1230" spans="1:26" customFormat="1" ht="12.75" thickBot="1">
      <c r="A1230" s="57" t="s">
        <v>1271</v>
      </c>
      <c r="B1230" s="25" t="s">
        <v>333</v>
      </c>
      <c r="C1230" s="25" t="s">
        <v>965</v>
      </c>
      <c r="D1230" s="694" t="s">
        <v>606</v>
      </c>
      <c r="E1230" s="579"/>
      <c r="F1230" s="577"/>
      <c r="G1230" s="578"/>
      <c r="H1230" s="577"/>
      <c r="I1230" s="577"/>
      <c r="J1230" s="577"/>
      <c r="K1230" s="577"/>
      <c r="L1230" s="577"/>
      <c r="M1230" s="578"/>
      <c r="N1230" s="578"/>
      <c r="O1230" s="577"/>
      <c r="P1230" s="577"/>
      <c r="Q1230" s="578"/>
      <c r="R1230" s="578"/>
      <c r="S1230" s="142">
        <f t="shared" si="139"/>
        <v>0</v>
      </c>
      <c r="T1230" s="142">
        <f t="shared" si="140"/>
        <v>0</v>
      </c>
      <c r="U1230" s="142">
        <f t="shared" si="141"/>
        <v>0</v>
      </c>
      <c r="W1230" s="601">
        <f t="shared" si="142"/>
        <v>0</v>
      </c>
      <c r="X1230" s="601">
        <f t="shared" si="143"/>
        <v>0</v>
      </c>
      <c r="Y1230" s="123"/>
      <c r="Z1230" s="692">
        <f t="shared" si="144"/>
        <v>0</v>
      </c>
    </row>
    <row r="1231" spans="1:26" customFormat="1" ht="12.75" thickBot="1">
      <c r="A1231" s="57" t="s">
        <v>1271</v>
      </c>
      <c r="B1231" s="25" t="s">
        <v>334</v>
      </c>
      <c r="C1231" s="25" t="s">
        <v>966</v>
      </c>
      <c r="D1231" s="694" t="s">
        <v>498</v>
      </c>
      <c r="E1231" s="579"/>
      <c r="F1231" s="577"/>
      <c r="G1231" s="578"/>
      <c r="H1231" s="577"/>
      <c r="I1231" s="577"/>
      <c r="J1231" s="577"/>
      <c r="K1231" s="577"/>
      <c r="L1231" s="577"/>
      <c r="M1231" s="578"/>
      <c r="N1231" s="578"/>
      <c r="O1231" s="577"/>
      <c r="P1231" s="577"/>
      <c r="Q1231" s="578"/>
      <c r="R1231" s="578"/>
      <c r="S1231" s="142">
        <f t="shared" si="139"/>
        <v>0</v>
      </c>
      <c r="T1231" s="142">
        <f t="shared" si="140"/>
        <v>0</v>
      </c>
      <c r="U1231" s="142">
        <f t="shared" si="141"/>
        <v>0</v>
      </c>
      <c r="W1231" s="601">
        <f t="shared" si="142"/>
        <v>0</v>
      </c>
      <c r="X1231" s="601">
        <f t="shared" si="143"/>
        <v>0</v>
      </c>
      <c r="Y1231" s="123"/>
      <c r="Z1231" s="692">
        <f t="shared" si="144"/>
        <v>0</v>
      </c>
    </row>
    <row r="1232" spans="1:26" customFormat="1" ht="12.75" thickBot="1">
      <c r="A1232" s="57" t="s">
        <v>1271</v>
      </c>
      <c r="B1232" s="25" t="s">
        <v>336</v>
      </c>
      <c r="C1232" s="25" t="s">
        <v>967</v>
      </c>
      <c r="D1232" s="694" t="s">
        <v>498</v>
      </c>
      <c r="E1232" s="579"/>
      <c r="F1232" s="577"/>
      <c r="G1232" s="578"/>
      <c r="H1232" s="577"/>
      <c r="I1232" s="577"/>
      <c r="J1232" s="577"/>
      <c r="K1232" s="577"/>
      <c r="L1232" s="577"/>
      <c r="M1232" s="578"/>
      <c r="N1232" s="578"/>
      <c r="O1232" s="577"/>
      <c r="P1232" s="577"/>
      <c r="Q1232" s="578"/>
      <c r="R1232" s="578"/>
      <c r="S1232" s="142">
        <f t="shared" si="139"/>
        <v>0</v>
      </c>
      <c r="T1232" s="142">
        <f t="shared" si="140"/>
        <v>0</v>
      </c>
      <c r="U1232" s="142">
        <f t="shared" si="141"/>
        <v>0</v>
      </c>
      <c r="W1232" s="601">
        <f t="shared" si="142"/>
        <v>0</v>
      </c>
      <c r="X1232" s="601">
        <f t="shared" si="143"/>
        <v>0</v>
      </c>
      <c r="Y1232" s="123"/>
      <c r="Z1232" s="692">
        <f t="shared" si="144"/>
        <v>0</v>
      </c>
    </row>
    <row r="1233" spans="1:26" customFormat="1" ht="12.75" thickBot="1">
      <c r="A1233" s="57" t="s">
        <v>1271</v>
      </c>
      <c r="B1233" s="25" t="s">
        <v>337</v>
      </c>
      <c r="C1233" s="25" t="s">
        <v>968</v>
      </c>
      <c r="D1233" s="694" t="s">
        <v>606</v>
      </c>
      <c r="E1233" s="579"/>
      <c r="F1233" s="577"/>
      <c r="G1233" s="578"/>
      <c r="H1233" s="577"/>
      <c r="I1233" s="577"/>
      <c r="J1233" s="577"/>
      <c r="K1233" s="577"/>
      <c r="L1233" s="577"/>
      <c r="M1233" s="578"/>
      <c r="N1233" s="578"/>
      <c r="O1233" s="577"/>
      <c r="P1233" s="577"/>
      <c r="Q1233" s="578"/>
      <c r="R1233" s="578"/>
      <c r="S1233" s="142">
        <f t="shared" si="139"/>
        <v>0</v>
      </c>
      <c r="T1233" s="142">
        <f t="shared" si="140"/>
        <v>0</v>
      </c>
      <c r="U1233" s="142">
        <f t="shared" si="141"/>
        <v>0</v>
      </c>
      <c r="W1233" s="601">
        <f t="shared" si="142"/>
        <v>0</v>
      </c>
      <c r="X1233" s="601">
        <f t="shared" si="143"/>
        <v>0</v>
      </c>
      <c r="Y1233" s="123"/>
      <c r="Z1233" s="692">
        <f t="shared" si="144"/>
        <v>0</v>
      </c>
    </row>
    <row r="1234" spans="1:26" customFormat="1" ht="12.75" thickBot="1">
      <c r="A1234" s="57" t="s">
        <v>1271</v>
      </c>
      <c r="B1234" s="25" t="s">
        <v>338</v>
      </c>
      <c r="C1234" s="25" t="s">
        <v>969</v>
      </c>
      <c r="D1234" s="694" t="s">
        <v>606</v>
      </c>
      <c r="E1234" s="579"/>
      <c r="F1234" s="577"/>
      <c r="G1234" s="578"/>
      <c r="H1234" s="577"/>
      <c r="I1234" s="577"/>
      <c r="J1234" s="577"/>
      <c r="K1234" s="577"/>
      <c r="L1234" s="577"/>
      <c r="M1234" s="578"/>
      <c r="N1234" s="578"/>
      <c r="O1234" s="577"/>
      <c r="P1234" s="577"/>
      <c r="Q1234" s="578"/>
      <c r="R1234" s="578"/>
      <c r="S1234" s="142">
        <f t="shared" si="139"/>
        <v>0</v>
      </c>
      <c r="T1234" s="142">
        <f t="shared" si="140"/>
        <v>0</v>
      </c>
      <c r="U1234" s="142">
        <f t="shared" si="141"/>
        <v>0</v>
      </c>
      <c r="W1234" s="601">
        <f t="shared" si="142"/>
        <v>0</v>
      </c>
      <c r="X1234" s="601">
        <f t="shared" si="143"/>
        <v>0</v>
      </c>
      <c r="Y1234" s="123"/>
      <c r="Z1234" s="692">
        <f t="shared" si="144"/>
        <v>0</v>
      </c>
    </row>
    <row r="1235" spans="1:26" customFormat="1" ht="12.75" thickBot="1">
      <c r="A1235" s="57" t="s">
        <v>1271</v>
      </c>
      <c r="B1235" s="25" t="s">
        <v>339</v>
      </c>
      <c r="C1235" s="25" t="s">
        <v>970</v>
      </c>
      <c r="D1235" s="694" t="s">
        <v>606</v>
      </c>
      <c r="E1235" s="579"/>
      <c r="F1235" s="577"/>
      <c r="G1235" s="578"/>
      <c r="H1235" s="577"/>
      <c r="I1235" s="577"/>
      <c r="J1235" s="577"/>
      <c r="K1235" s="577"/>
      <c r="L1235" s="577"/>
      <c r="M1235" s="578"/>
      <c r="N1235" s="578"/>
      <c r="O1235" s="577"/>
      <c r="P1235" s="577"/>
      <c r="Q1235" s="578"/>
      <c r="R1235" s="578"/>
      <c r="S1235" s="142">
        <f t="shared" ref="S1235:S1295" si="145">G1235+H1235+I1235</f>
        <v>0</v>
      </c>
      <c r="T1235" s="142">
        <f t="shared" ref="T1235:T1295" si="146">J1235+K1235</f>
        <v>0</v>
      </c>
      <c r="U1235" s="142">
        <f t="shared" ref="U1235:U1295" si="147">N1235+O1235</f>
        <v>0</v>
      </c>
      <c r="W1235" s="601">
        <f t="shared" si="142"/>
        <v>0</v>
      </c>
      <c r="X1235" s="601">
        <f t="shared" si="143"/>
        <v>0</v>
      </c>
      <c r="Y1235" s="123"/>
      <c r="Z1235" s="692">
        <f t="shared" si="144"/>
        <v>0</v>
      </c>
    </row>
    <row r="1236" spans="1:26" customFormat="1" ht="12.75" thickBot="1">
      <c r="A1236" s="57" t="s">
        <v>1271</v>
      </c>
      <c r="B1236" s="25" t="s">
        <v>340</v>
      </c>
      <c r="C1236" s="25" t="s">
        <v>971</v>
      </c>
      <c r="D1236" s="694" t="s">
        <v>606</v>
      </c>
      <c r="E1236" s="579"/>
      <c r="F1236" s="577"/>
      <c r="G1236" s="578"/>
      <c r="H1236" s="577"/>
      <c r="I1236" s="577"/>
      <c r="J1236" s="577"/>
      <c r="K1236" s="577"/>
      <c r="L1236" s="577"/>
      <c r="M1236" s="578"/>
      <c r="N1236" s="578"/>
      <c r="O1236" s="577"/>
      <c r="P1236" s="577"/>
      <c r="Q1236" s="578"/>
      <c r="R1236" s="578"/>
      <c r="S1236" s="142">
        <f t="shared" si="145"/>
        <v>0</v>
      </c>
      <c r="T1236" s="142">
        <f t="shared" si="146"/>
        <v>0</v>
      </c>
      <c r="U1236" s="142">
        <f t="shared" si="147"/>
        <v>0</v>
      </c>
      <c r="W1236" s="601">
        <f t="shared" si="142"/>
        <v>0</v>
      </c>
      <c r="X1236" s="601">
        <f t="shared" si="143"/>
        <v>0</v>
      </c>
      <c r="Y1236" s="123"/>
      <c r="Z1236" s="692">
        <f t="shared" si="144"/>
        <v>0</v>
      </c>
    </row>
    <row r="1237" spans="1:26" customFormat="1" ht="12.75" thickBot="1">
      <c r="A1237" s="57" t="s">
        <v>1271</v>
      </c>
      <c r="B1237" s="25" t="s">
        <v>341</v>
      </c>
      <c r="C1237" s="25" t="s">
        <v>972</v>
      </c>
      <c r="D1237" s="694" t="s">
        <v>606</v>
      </c>
      <c r="E1237" s="579"/>
      <c r="F1237" s="577"/>
      <c r="G1237" s="578"/>
      <c r="H1237" s="577"/>
      <c r="I1237" s="577"/>
      <c r="J1237" s="577"/>
      <c r="K1237" s="577"/>
      <c r="L1237" s="577"/>
      <c r="M1237" s="578"/>
      <c r="N1237" s="578"/>
      <c r="O1237" s="577"/>
      <c r="P1237" s="577"/>
      <c r="Q1237" s="578"/>
      <c r="R1237" s="578"/>
      <c r="S1237" s="142">
        <f t="shared" si="145"/>
        <v>0</v>
      </c>
      <c r="T1237" s="142">
        <f t="shared" si="146"/>
        <v>0</v>
      </c>
      <c r="U1237" s="142">
        <f t="shared" si="147"/>
        <v>0</v>
      </c>
      <c r="W1237" s="601">
        <f t="shared" si="142"/>
        <v>0</v>
      </c>
      <c r="X1237" s="601">
        <f t="shared" si="143"/>
        <v>0</v>
      </c>
      <c r="Y1237" s="123"/>
      <c r="Z1237" s="692">
        <f t="shared" si="144"/>
        <v>0</v>
      </c>
    </row>
    <row r="1238" spans="1:26" customFormat="1" ht="12.75" thickBot="1">
      <c r="A1238" s="57" t="s">
        <v>1271</v>
      </c>
      <c r="B1238" s="25" t="s">
        <v>342</v>
      </c>
      <c r="C1238" s="25" t="s">
        <v>973</v>
      </c>
      <c r="D1238" s="694" t="s">
        <v>606</v>
      </c>
      <c r="E1238" s="579"/>
      <c r="F1238" s="577"/>
      <c r="G1238" s="578"/>
      <c r="H1238" s="577"/>
      <c r="I1238" s="577"/>
      <c r="J1238" s="577"/>
      <c r="K1238" s="577"/>
      <c r="L1238" s="577"/>
      <c r="M1238" s="578"/>
      <c r="N1238" s="578"/>
      <c r="O1238" s="577"/>
      <c r="P1238" s="577"/>
      <c r="Q1238" s="578"/>
      <c r="R1238" s="578"/>
      <c r="S1238" s="142">
        <f t="shared" si="145"/>
        <v>0</v>
      </c>
      <c r="T1238" s="142">
        <f t="shared" si="146"/>
        <v>0</v>
      </c>
      <c r="U1238" s="142">
        <f t="shared" si="147"/>
        <v>0</v>
      </c>
      <c r="W1238" s="601">
        <f t="shared" si="142"/>
        <v>0</v>
      </c>
      <c r="X1238" s="601">
        <f t="shared" si="143"/>
        <v>0</v>
      </c>
      <c r="Y1238" s="123"/>
      <c r="Z1238" s="692">
        <f t="shared" si="144"/>
        <v>0</v>
      </c>
    </row>
    <row r="1239" spans="1:26" customFormat="1" ht="12.75" thickBot="1">
      <c r="A1239" s="57" t="s">
        <v>1271</v>
      </c>
      <c r="B1239" s="25" t="s">
        <v>343</v>
      </c>
      <c r="C1239" s="25" t="s">
        <v>974</v>
      </c>
      <c r="D1239" s="694" t="s">
        <v>498</v>
      </c>
      <c r="E1239" s="579"/>
      <c r="F1239" s="577"/>
      <c r="G1239" s="578"/>
      <c r="H1239" s="577"/>
      <c r="I1239" s="577"/>
      <c r="J1239" s="577"/>
      <c r="K1239" s="577"/>
      <c r="L1239" s="577"/>
      <c r="M1239" s="578"/>
      <c r="N1239" s="578"/>
      <c r="O1239" s="577"/>
      <c r="P1239" s="577"/>
      <c r="Q1239" s="578"/>
      <c r="R1239" s="578"/>
      <c r="S1239" s="142">
        <f t="shared" si="145"/>
        <v>0</v>
      </c>
      <c r="T1239" s="142">
        <f t="shared" si="146"/>
        <v>0</v>
      </c>
      <c r="U1239" s="142">
        <f t="shared" si="147"/>
        <v>0</v>
      </c>
      <c r="W1239" s="601">
        <f t="shared" si="142"/>
        <v>0</v>
      </c>
      <c r="X1239" s="601">
        <f t="shared" si="143"/>
        <v>0</v>
      </c>
      <c r="Y1239" s="123"/>
      <c r="Z1239" s="692">
        <f t="shared" si="144"/>
        <v>0</v>
      </c>
    </row>
    <row r="1240" spans="1:26" customFormat="1" ht="12.75" thickBot="1">
      <c r="A1240" s="57" t="s">
        <v>1271</v>
      </c>
      <c r="B1240" s="25" t="s">
        <v>344</v>
      </c>
      <c r="C1240" s="25" t="s">
        <v>975</v>
      </c>
      <c r="D1240" s="694" t="s">
        <v>606</v>
      </c>
      <c r="E1240" s="579"/>
      <c r="F1240" s="577"/>
      <c r="G1240" s="578"/>
      <c r="H1240" s="577"/>
      <c r="I1240" s="577"/>
      <c r="J1240" s="577"/>
      <c r="K1240" s="577"/>
      <c r="L1240" s="577"/>
      <c r="M1240" s="578"/>
      <c r="N1240" s="578"/>
      <c r="O1240" s="577"/>
      <c r="P1240" s="577"/>
      <c r="Q1240" s="578"/>
      <c r="R1240" s="578"/>
      <c r="S1240" s="142">
        <f t="shared" si="145"/>
        <v>0</v>
      </c>
      <c r="T1240" s="142">
        <f t="shared" si="146"/>
        <v>0</v>
      </c>
      <c r="U1240" s="142">
        <f t="shared" si="147"/>
        <v>0</v>
      </c>
      <c r="W1240" s="601">
        <f t="shared" si="142"/>
        <v>0</v>
      </c>
      <c r="X1240" s="601">
        <f t="shared" si="143"/>
        <v>0</v>
      </c>
      <c r="Y1240" s="123"/>
      <c r="Z1240" s="692">
        <f t="shared" si="144"/>
        <v>0</v>
      </c>
    </row>
    <row r="1241" spans="1:26" customFormat="1" ht="12.75" thickBot="1">
      <c r="A1241" s="57" t="s">
        <v>1271</v>
      </c>
      <c r="B1241" s="25" t="s">
        <v>345</v>
      </c>
      <c r="C1241" s="25" t="s">
        <v>976</v>
      </c>
      <c r="D1241" s="694" t="s">
        <v>498</v>
      </c>
      <c r="E1241" s="579"/>
      <c r="F1241" s="577"/>
      <c r="G1241" s="578"/>
      <c r="H1241" s="577"/>
      <c r="I1241" s="577"/>
      <c r="J1241" s="577"/>
      <c r="K1241" s="577"/>
      <c r="L1241" s="577"/>
      <c r="M1241" s="578"/>
      <c r="N1241" s="578"/>
      <c r="O1241" s="577"/>
      <c r="P1241" s="577"/>
      <c r="Q1241" s="578"/>
      <c r="R1241" s="578"/>
      <c r="S1241" s="142">
        <f t="shared" si="145"/>
        <v>0</v>
      </c>
      <c r="T1241" s="142">
        <f t="shared" si="146"/>
        <v>0</v>
      </c>
      <c r="U1241" s="142">
        <f t="shared" si="147"/>
        <v>0</v>
      </c>
      <c r="W1241" s="601">
        <f t="shared" si="142"/>
        <v>0</v>
      </c>
      <c r="X1241" s="601">
        <f t="shared" si="143"/>
        <v>0</v>
      </c>
      <c r="Y1241" s="123"/>
      <c r="Z1241" s="692">
        <f t="shared" si="144"/>
        <v>0</v>
      </c>
    </row>
    <row r="1242" spans="1:26" customFormat="1" ht="12.75" thickBot="1">
      <c r="A1242" s="57" t="s">
        <v>1271</v>
      </c>
      <c r="B1242" s="25" t="s">
        <v>346</v>
      </c>
      <c r="C1242" s="25" t="s">
        <v>977</v>
      </c>
      <c r="D1242" s="694" t="s">
        <v>606</v>
      </c>
      <c r="E1242" s="579"/>
      <c r="F1242" s="577"/>
      <c r="G1242" s="578"/>
      <c r="H1242" s="577"/>
      <c r="I1242" s="577"/>
      <c r="J1242" s="577"/>
      <c r="K1242" s="577"/>
      <c r="L1242" s="577"/>
      <c r="M1242" s="578"/>
      <c r="N1242" s="578"/>
      <c r="O1242" s="577"/>
      <c r="P1242" s="577"/>
      <c r="Q1242" s="578"/>
      <c r="R1242" s="578"/>
      <c r="S1242" s="142">
        <f t="shared" si="145"/>
        <v>0</v>
      </c>
      <c r="T1242" s="142">
        <f t="shared" si="146"/>
        <v>0</v>
      </c>
      <c r="U1242" s="142">
        <f t="shared" si="147"/>
        <v>0</v>
      </c>
      <c r="W1242" s="601">
        <f t="shared" si="142"/>
        <v>0</v>
      </c>
      <c r="X1242" s="601">
        <f t="shared" si="143"/>
        <v>0</v>
      </c>
      <c r="Y1242" s="123"/>
      <c r="Z1242" s="692">
        <f t="shared" si="144"/>
        <v>0</v>
      </c>
    </row>
    <row r="1243" spans="1:26" customFormat="1" ht="12.75" thickBot="1">
      <c r="A1243" s="57" t="s">
        <v>1271</v>
      </c>
      <c r="B1243" s="25" t="s">
        <v>347</v>
      </c>
      <c r="C1243" s="25" t="s">
        <v>978</v>
      </c>
      <c r="D1243" s="694" t="s">
        <v>498</v>
      </c>
      <c r="E1243" s="579"/>
      <c r="F1243" s="577"/>
      <c r="G1243" s="578"/>
      <c r="H1243" s="577"/>
      <c r="I1243" s="577"/>
      <c r="J1243" s="577"/>
      <c r="K1243" s="577"/>
      <c r="L1243" s="577"/>
      <c r="M1243" s="578"/>
      <c r="N1243" s="578"/>
      <c r="O1243" s="577"/>
      <c r="P1243" s="577"/>
      <c r="Q1243" s="578"/>
      <c r="R1243" s="578"/>
      <c r="S1243" s="142">
        <f t="shared" si="145"/>
        <v>0</v>
      </c>
      <c r="T1243" s="142">
        <f t="shared" si="146"/>
        <v>0</v>
      </c>
      <c r="U1243" s="142">
        <f t="shared" si="147"/>
        <v>0</v>
      </c>
      <c r="W1243" s="601">
        <f t="shared" si="142"/>
        <v>0</v>
      </c>
      <c r="X1243" s="601">
        <f t="shared" si="143"/>
        <v>0</v>
      </c>
      <c r="Y1243" s="123"/>
      <c r="Z1243" s="692">
        <f t="shared" si="144"/>
        <v>0</v>
      </c>
    </row>
    <row r="1244" spans="1:26" customFormat="1" ht="12.75" thickBot="1">
      <c r="A1244" s="57" t="s">
        <v>1271</v>
      </c>
      <c r="B1244" s="25" t="s">
        <v>348</v>
      </c>
      <c r="C1244" s="25" t="s">
        <v>979</v>
      </c>
      <c r="D1244" s="694" t="s">
        <v>606</v>
      </c>
      <c r="E1244" s="579"/>
      <c r="F1244" s="577"/>
      <c r="G1244" s="578"/>
      <c r="H1244" s="577"/>
      <c r="I1244" s="577"/>
      <c r="J1244" s="577"/>
      <c r="K1244" s="577"/>
      <c r="L1244" s="577"/>
      <c r="M1244" s="578"/>
      <c r="N1244" s="578"/>
      <c r="O1244" s="577"/>
      <c r="P1244" s="577"/>
      <c r="Q1244" s="578"/>
      <c r="R1244" s="578"/>
      <c r="S1244" s="142">
        <f t="shared" si="145"/>
        <v>0</v>
      </c>
      <c r="T1244" s="142">
        <f t="shared" si="146"/>
        <v>0</v>
      </c>
      <c r="U1244" s="142">
        <f t="shared" si="147"/>
        <v>0</v>
      </c>
      <c r="W1244" s="601">
        <f t="shared" si="142"/>
        <v>0</v>
      </c>
      <c r="X1244" s="601">
        <f t="shared" si="143"/>
        <v>0</v>
      </c>
      <c r="Y1244" s="123"/>
      <c r="Z1244" s="692">
        <f t="shared" si="144"/>
        <v>0</v>
      </c>
    </row>
    <row r="1245" spans="1:26" customFormat="1" ht="12.75" thickBot="1">
      <c r="A1245" s="57" t="s">
        <v>1271</v>
      </c>
      <c r="B1245" s="25" t="s">
        <v>376</v>
      </c>
      <c r="C1245" s="25" t="s">
        <v>980</v>
      </c>
      <c r="D1245" s="694" t="s">
        <v>498</v>
      </c>
      <c r="E1245" s="579"/>
      <c r="F1245" s="577"/>
      <c r="G1245" s="578"/>
      <c r="H1245" s="577"/>
      <c r="I1245" s="577"/>
      <c r="J1245" s="577"/>
      <c r="K1245" s="577"/>
      <c r="L1245" s="577"/>
      <c r="M1245" s="578"/>
      <c r="N1245" s="578"/>
      <c r="O1245" s="577"/>
      <c r="P1245" s="577"/>
      <c r="Q1245" s="578"/>
      <c r="R1245" s="578"/>
      <c r="S1245" s="142">
        <f t="shared" si="145"/>
        <v>0</v>
      </c>
      <c r="T1245" s="142">
        <f t="shared" si="146"/>
        <v>0</v>
      </c>
      <c r="U1245" s="142">
        <f t="shared" si="147"/>
        <v>0</v>
      </c>
      <c r="W1245" s="601">
        <f t="shared" si="142"/>
        <v>0</v>
      </c>
      <c r="X1245" s="601">
        <f t="shared" si="143"/>
        <v>0</v>
      </c>
      <c r="Y1245" s="123"/>
      <c r="Z1245" s="692">
        <f t="shared" si="144"/>
        <v>0</v>
      </c>
    </row>
    <row r="1246" spans="1:26" customFormat="1" ht="12.75" thickBot="1">
      <c r="A1246" s="57" t="s">
        <v>1271</v>
      </c>
      <c r="B1246" s="25" t="s">
        <v>349</v>
      </c>
      <c r="C1246" s="25" t="s">
        <v>981</v>
      </c>
      <c r="D1246" s="694" t="s">
        <v>606</v>
      </c>
      <c r="E1246" s="579"/>
      <c r="F1246" s="577"/>
      <c r="G1246" s="578"/>
      <c r="H1246" s="577"/>
      <c r="I1246" s="577"/>
      <c r="J1246" s="577"/>
      <c r="K1246" s="577"/>
      <c r="L1246" s="577"/>
      <c r="M1246" s="578"/>
      <c r="N1246" s="578"/>
      <c r="O1246" s="577"/>
      <c r="P1246" s="577"/>
      <c r="Q1246" s="578"/>
      <c r="R1246" s="578"/>
      <c r="S1246" s="142">
        <f t="shared" si="145"/>
        <v>0</v>
      </c>
      <c r="T1246" s="142">
        <f t="shared" si="146"/>
        <v>0</v>
      </c>
      <c r="U1246" s="142">
        <f t="shared" si="147"/>
        <v>0</v>
      </c>
      <c r="W1246" s="601">
        <f t="shared" si="142"/>
        <v>0</v>
      </c>
      <c r="X1246" s="601">
        <f t="shared" si="143"/>
        <v>0</v>
      </c>
      <c r="Y1246" s="123"/>
      <c r="Z1246" s="692">
        <f t="shared" si="144"/>
        <v>0</v>
      </c>
    </row>
    <row r="1247" spans="1:26" customFormat="1" ht="12.75" thickBot="1">
      <c r="A1247" s="57" t="s">
        <v>1271</v>
      </c>
      <c r="B1247" s="25" t="s">
        <v>730</v>
      </c>
      <c r="C1247" s="25" t="s">
        <v>982</v>
      </c>
      <c r="D1247" s="694" t="s">
        <v>606</v>
      </c>
      <c r="E1247" s="579"/>
      <c r="F1247" s="577"/>
      <c r="G1247" s="578"/>
      <c r="H1247" s="577"/>
      <c r="I1247" s="577"/>
      <c r="J1247" s="577"/>
      <c r="K1247" s="577"/>
      <c r="L1247" s="577"/>
      <c r="M1247" s="578"/>
      <c r="N1247" s="578"/>
      <c r="O1247" s="577"/>
      <c r="P1247" s="577"/>
      <c r="Q1247" s="577"/>
      <c r="R1247" s="578"/>
      <c r="S1247" s="142">
        <f t="shared" si="145"/>
        <v>0</v>
      </c>
      <c r="T1247" s="142">
        <f t="shared" si="146"/>
        <v>0</v>
      </c>
      <c r="U1247" s="142">
        <f t="shared" si="147"/>
        <v>0</v>
      </c>
      <c r="W1247" s="601">
        <f t="shared" si="142"/>
        <v>0</v>
      </c>
      <c r="X1247" s="601">
        <f t="shared" si="143"/>
        <v>0</v>
      </c>
      <c r="Y1247" s="123"/>
      <c r="Z1247" s="692">
        <f t="shared" si="144"/>
        <v>0</v>
      </c>
    </row>
    <row r="1248" spans="1:26" customFormat="1" ht="12.75" thickBot="1">
      <c r="A1248" s="57" t="s">
        <v>1271</v>
      </c>
      <c r="B1248" s="25" t="s">
        <v>378</v>
      </c>
      <c r="C1248" s="25" t="s">
        <v>983</v>
      </c>
      <c r="D1248" s="694" t="s">
        <v>606</v>
      </c>
      <c r="E1248" s="579"/>
      <c r="F1248" s="577"/>
      <c r="G1248" s="578"/>
      <c r="H1248" s="577"/>
      <c r="I1248" s="577"/>
      <c r="J1248" s="577"/>
      <c r="K1248" s="577"/>
      <c r="L1248" s="577"/>
      <c r="M1248" s="578"/>
      <c r="N1248" s="578"/>
      <c r="O1248" s="577"/>
      <c r="P1248" s="577"/>
      <c r="Q1248" s="577"/>
      <c r="R1248" s="578"/>
      <c r="S1248" s="142">
        <f t="shared" si="145"/>
        <v>0</v>
      </c>
      <c r="T1248" s="142">
        <f t="shared" si="146"/>
        <v>0</v>
      </c>
      <c r="U1248" s="142">
        <f t="shared" si="147"/>
        <v>0</v>
      </c>
      <c r="W1248" s="601">
        <f t="shared" si="142"/>
        <v>0</v>
      </c>
      <c r="X1248" s="601">
        <f t="shared" si="143"/>
        <v>0</v>
      </c>
      <c r="Y1248" s="123"/>
      <c r="Z1248" s="692">
        <f t="shared" si="144"/>
        <v>0</v>
      </c>
    </row>
    <row r="1249" spans="1:26" customFormat="1" ht="12.75" thickBot="1">
      <c r="A1249" s="57" t="s">
        <v>1271</v>
      </c>
      <c r="B1249" s="25" t="s">
        <v>354</v>
      </c>
      <c r="C1249" s="25" t="s">
        <v>984</v>
      </c>
      <c r="D1249" s="694" t="s">
        <v>606</v>
      </c>
      <c r="E1249" s="579"/>
      <c r="F1249" s="577"/>
      <c r="G1249" s="578"/>
      <c r="H1249" s="577"/>
      <c r="I1249" s="577"/>
      <c r="J1249" s="577"/>
      <c r="K1249" s="577"/>
      <c r="L1249" s="577"/>
      <c r="M1249" s="578"/>
      <c r="N1249" s="578"/>
      <c r="O1249" s="577"/>
      <c r="P1249" s="577"/>
      <c r="Q1249" s="578"/>
      <c r="R1249" s="578"/>
      <c r="S1249" s="142">
        <f t="shared" si="145"/>
        <v>0</v>
      </c>
      <c r="T1249" s="142">
        <f t="shared" si="146"/>
        <v>0</v>
      </c>
      <c r="U1249" s="142">
        <f t="shared" si="147"/>
        <v>0</v>
      </c>
      <c r="W1249" s="601">
        <f t="shared" si="142"/>
        <v>0</v>
      </c>
      <c r="X1249" s="601">
        <f t="shared" si="143"/>
        <v>0</v>
      </c>
      <c r="Y1249" s="123"/>
      <c r="Z1249" s="692">
        <f t="shared" si="144"/>
        <v>0</v>
      </c>
    </row>
    <row r="1250" spans="1:26" customFormat="1" ht="12.75" thickBot="1">
      <c r="A1250" s="57" t="s">
        <v>1271</v>
      </c>
      <c r="B1250" s="25" t="s">
        <v>355</v>
      </c>
      <c r="C1250" s="25" t="s">
        <v>985</v>
      </c>
      <c r="D1250" s="694" t="s">
        <v>606</v>
      </c>
      <c r="E1250" s="579"/>
      <c r="F1250" s="577"/>
      <c r="G1250" s="578"/>
      <c r="H1250" s="577"/>
      <c r="I1250" s="577"/>
      <c r="J1250" s="577"/>
      <c r="K1250" s="577"/>
      <c r="L1250" s="577"/>
      <c r="M1250" s="578"/>
      <c r="N1250" s="578"/>
      <c r="O1250" s="577"/>
      <c r="P1250" s="577"/>
      <c r="Q1250" s="578"/>
      <c r="R1250" s="578"/>
      <c r="S1250" s="142">
        <f t="shared" si="145"/>
        <v>0</v>
      </c>
      <c r="T1250" s="142">
        <f t="shared" si="146"/>
        <v>0</v>
      </c>
      <c r="U1250" s="142">
        <f t="shared" si="147"/>
        <v>0</v>
      </c>
      <c r="W1250" s="601">
        <f t="shared" si="142"/>
        <v>0</v>
      </c>
      <c r="X1250" s="601">
        <f t="shared" si="143"/>
        <v>0</v>
      </c>
      <c r="Y1250" s="123"/>
      <c r="Z1250" s="692">
        <f t="shared" si="144"/>
        <v>0</v>
      </c>
    </row>
    <row r="1251" spans="1:26" customFormat="1" ht="12.75" thickBot="1">
      <c r="A1251" s="57" t="s">
        <v>1271</v>
      </c>
      <c r="B1251" s="25" t="s">
        <v>356</v>
      </c>
      <c r="C1251" s="25" t="s">
        <v>986</v>
      </c>
      <c r="D1251" s="694" t="s">
        <v>606</v>
      </c>
      <c r="E1251" s="579"/>
      <c r="F1251" s="577"/>
      <c r="G1251" s="578"/>
      <c r="H1251" s="577"/>
      <c r="I1251" s="577"/>
      <c r="J1251" s="577"/>
      <c r="K1251" s="577"/>
      <c r="L1251" s="577"/>
      <c r="M1251" s="578"/>
      <c r="N1251" s="578"/>
      <c r="O1251" s="577"/>
      <c r="P1251" s="577"/>
      <c r="Q1251" s="578"/>
      <c r="R1251" s="578"/>
      <c r="S1251" s="142">
        <f t="shared" si="145"/>
        <v>0</v>
      </c>
      <c r="T1251" s="142">
        <f t="shared" si="146"/>
        <v>0</v>
      </c>
      <c r="U1251" s="142">
        <f t="shared" si="147"/>
        <v>0</v>
      </c>
      <c r="W1251" s="601">
        <f t="shared" si="142"/>
        <v>0</v>
      </c>
      <c r="X1251" s="601">
        <f t="shared" si="143"/>
        <v>0</v>
      </c>
      <c r="Y1251" s="123"/>
      <c r="Z1251" s="692">
        <f t="shared" si="144"/>
        <v>0</v>
      </c>
    </row>
    <row r="1252" spans="1:26" customFormat="1" ht="12.75" thickBot="1">
      <c r="A1252" s="57" t="s">
        <v>1271</v>
      </c>
      <c r="B1252" s="25" t="s">
        <v>357</v>
      </c>
      <c r="C1252" s="25" t="s">
        <v>987</v>
      </c>
      <c r="D1252" s="694" t="s">
        <v>606</v>
      </c>
      <c r="E1252" s="579"/>
      <c r="F1252" s="577"/>
      <c r="G1252" s="578"/>
      <c r="H1252" s="577"/>
      <c r="I1252" s="577"/>
      <c r="J1252" s="577"/>
      <c r="K1252" s="577"/>
      <c r="L1252" s="577"/>
      <c r="M1252" s="578"/>
      <c r="N1252" s="578"/>
      <c r="O1252" s="577"/>
      <c r="P1252" s="577"/>
      <c r="Q1252" s="578"/>
      <c r="R1252" s="578"/>
      <c r="S1252" s="142">
        <f t="shared" si="145"/>
        <v>0</v>
      </c>
      <c r="T1252" s="142">
        <f t="shared" si="146"/>
        <v>0</v>
      </c>
      <c r="U1252" s="142">
        <f t="shared" si="147"/>
        <v>0</v>
      </c>
      <c r="W1252" s="601">
        <f t="shared" si="142"/>
        <v>0</v>
      </c>
      <c r="X1252" s="601">
        <f t="shared" si="143"/>
        <v>0</v>
      </c>
      <c r="Y1252" s="123"/>
      <c r="Z1252" s="692">
        <f t="shared" si="144"/>
        <v>0</v>
      </c>
    </row>
    <row r="1253" spans="1:26" customFormat="1" ht="12.75" thickBot="1">
      <c r="A1253" s="57" t="s">
        <v>1271</v>
      </c>
      <c r="B1253" s="25" t="s">
        <v>358</v>
      </c>
      <c r="C1253" s="25" t="s">
        <v>988</v>
      </c>
      <c r="D1253" s="694" t="s">
        <v>606</v>
      </c>
      <c r="E1253" s="579"/>
      <c r="F1253" s="577"/>
      <c r="G1253" s="578"/>
      <c r="H1253" s="577"/>
      <c r="I1253" s="577"/>
      <c r="J1253" s="577"/>
      <c r="K1253" s="577"/>
      <c r="L1253" s="577"/>
      <c r="M1253" s="578"/>
      <c r="N1253" s="578"/>
      <c r="O1253" s="577"/>
      <c r="P1253" s="577"/>
      <c r="Q1253" s="578"/>
      <c r="R1253" s="578"/>
      <c r="S1253" s="142">
        <f t="shared" si="145"/>
        <v>0</v>
      </c>
      <c r="T1253" s="142">
        <f t="shared" si="146"/>
        <v>0</v>
      </c>
      <c r="U1253" s="142">
        <f t="shared" si="147"/>
        <v>0</v>
      </c>
      <c r="W1253" s="601">
        <f t="shared" si="142"/>
        <v>0</v>
      </c>
      <c r="X1253" s="601">
        <f t="shared" si="143"/>
        <v>0</v>
      </c>
      <c r="Y1253" s="123"/>
      <c r="Z1253" s="692">
        <f t="shared" si="144"/>
        <v>0</v>
      </c>
    </row>
    <row r="1254" spans="1:26" customFormat="1" ht="12.75" thickBot="1">
      <c r="A1254" s="57" t="s">
        <v>1271</v>
      </c>
      <c r="B1254" s="25" t="s">
        <v>359</v>
      </c>
      <c r="C1254" s="25" t="s">
        <v>989</v>
      </c>
      <c r="D1254" s="694" t="s">
        <v>606</v>
      </c>
      <c r="E1254" s="579"/>
      <c r="F1254" s="577"/>
      <c r="G1254" s="578"/>
      <c r="H1254" s="577"/>
      <c r="I1254" s="577"/>
      <c r="J1254" s="577"/>
      <c r="K1254" s="577"/>
      <c r="L1254" s="577"/>
      <c r="M1254" s="578"/>
      <c r="N1254" s="578"/>
      <c r="O1254" s="577"/>
      <c r="P1254" s="577"/>
      <c r="Q1254" s="578"/>
      <c r="R1254" s="578"/>
      <c r="S1254" s="142">
        <f t="shared" si="145"/>
        <v>0</v>
      </c>
      <c r="T1254" s="142">
        <f t="shared" si="146"/>
        <v>0</v>
      </c>
      <c r="U1254" s="142">
        <f t="shared" si="147"/>
        <v>0</v>
      </c>
      <c r="W1254" s="601">
        <f t="shared" si="142"/>
        <v>0</v>
      </c>
      <c r="X1254" s="601">
        <f t="shared" si="143"/>
        <v>0</v>
      </c>
      <c r="Y1254" s="123"/>
      <c r="Z1254" s="692">
        <f t="shared" si="144"/>
        <v>0</v>
      </c>
    </row>
    <row r="1255" spans="1:26" customFormat="1" ht="12.75" thickBot="1">
      <c r="A1255" s="57" t="s">
        <v>1271</v>
      </c>
      <c r="B1255" s="25" t="s">
        <v>360</v>
      </c>
      <c r="C1255" s="25" t="s">
        <v>990</v>
      </c>
      <c r="D1255" s="694" t="s">
        <v>498</v>
      </c>
      <c r="E1255" s="579"/>
      <c r="F1255" s="577"/>
      <c r="G1255" s="578"/>
      <c r="H1255" s="577"/>
      <c r="I1255" s="577"/>
      <c r="J1255" s="577"/>
      <c r="K1255" s="577"/>
      <c r="L1255" s="577"/>
      <c r="M1255" s="578"/>
      <c r="N1255" s="578"/>
      <c r="O1255" s="577"/>
      <c r="P1255" s="577"/>
      <c r="Q1255" s="578"/>
      <c r="R1255" s="578"/>
      <c r="S1255" s="142">
        <f t="shared" si="145"/>
        <v>0</v>
      </c>
      <c r="T1255" s="142">
        <f t="shared" si="146"/>
        <v>0</v>
      </c>
      <c r="U1255" s="142">
        <f t="shared" si="147"/>
        <v>0</v>
      </c>
      <c r="W1255" s="601">
        <f t="shared" si="142"/>
        <v>0</v>
      </c>
      <c r="X1255" s="601">
        <f t="shared" si="143"/>
        <v>0</v>
      </c>
      <c r="Y1255" s="123"/>
      <c r="Z1255" s="692">
        <f t="shared" si="144"/>
        <v>0</v>
      </c>
    </row>
    <row r="1256" spans="1:26" customFormat="1" ht="12.75" thickBot="1">
      <c r="A1256" s="57" t="s">
        <v>1271</v>
      </c>
      <c r="B1256" s="25" t="s">
        <v>365</v>
      </c>
      <c r="C1256" s="25" t="s">
        <v>991</v>
      </c>
      <c r="D1256" s="694" t="s">
        <v>606</v>
      </c>
      <c r="E1256" s="579"/>
      <c r="F1256" s="577"/>
      <c r="G1256" s="578"/>
      <c r="H1256" s="577"/>
      <c r="I1256" s="577"/>
      <c r="J1256" s="577"/>
      <c r="K1256" s="577"/>
      <c r="L1256" s="577"/>
      <c r="M1256" s="578"/>
      <c r="N1256" s="578"/>
      <c r="O1256" s="577"/>
      <c r="P1256" s="577"/>
      <c r="Q1256" s="578"/>
      <c r="R1256" s="578"/>
      <c r="S1256" s="142">
        <f t="shared" si="145"/>
        <v>0</v>
      </c>
      <c r="T1256" s="142">
        <f t="shared" si="146"/>
        <v>0</v>
      </c>
      <c r="U1256" s="142">
        <f t="shared" si="147"/>
        <v>0</v>
      </c>
      <c r="W1256" s="601">
        <f t="shared" si="142"/>
        <v>0</v>
      </c>
      <c r="X1256" s="601">
        <f t="shared" si="143"/>
        <v>0</v>
      </c>
      <c r="Y1256" s="123"/>
      <c r="Z1256" s="692">
        <f t="shared" si="144"/>
        <v>0</v>
      </c>
    </row>
    <row r="1257" spans="1:26" customFormat="1" ht="12.75" thickBot="1">
      <c r="A1257" s="57" t="s">
        <v>1271</v>
      </c>
      <c r="B1257" s="25" t="s">
        <v>366</v>
      </c>
      <c r="C1257" s="25" t="s">
        <v>992</v>
      </c>
      <c r="D1257" s="694" t="s">
        <v>498</v>
      </c>
      <c r="E1257" s="579"/>
      <c r="F1257" s="577"/>
      <c r="G1257" s="578"/>
      <c r="H1257" s="577"/>
      <c r="I1257" s="577"/>
      <c r="J1257" s="577"/>
      <c r="K1257" s="577"/>
      <c r="L1257" s="577"/>
      <c r="M1257" s="578"/>
      <c r="N1257" s="578"/>
      <c r="O1257" s="577"/>
      <c r="P1257" s="577"/>
      <c r="Q1257" s="578"/>
      <c r="R1257" s="578"/>
      <c r="S1257" s="142">
        <f t="shared" si="145"/>
        <v>0</v>
      </c>
      <c r="T1257" s="142">
        <f t="shared" si="146"/>
        <v>0</v>
      </c>
      <c r="U1257" s="142">
        <f t="shared" si="147"/>
        <v>0</v>
      </c>
      <c r="W1257" s="601">
        <f t="shared" si="142"/>
        <v>0</v>
      </c>
      <c r="X1257" s="601">
        <f t="shared" si="143"/>
        <v>0</v>
      </c>
      <c r="Y1257" s="123"/>
      <c r="Z1257" s="692">
        <f t="shared" si="144"/>
        <v>0</v>
      </c>
    </row>
    <row r="1258" spans="1:26" customFormat="1" ht="12.75" thickBot="1">
      <c r="A1258" s="57" t="s">
        <v>1271</v>
      </c>
      <c r="B1258" s="25" t="s">
        <v>367</v>
      </c>
      <c r="C1258" s="25" t="s">
        <v>993</v>
      </c>
      <c r="D1258" s="694" t="s">
        <v>606</v>
      </c>
      <c r="E1258" s="579"/>
      <c r="F1258" s="577"/>
      <c r="G1258" s="578"/>
      <c r="H1258" s="577"/>
      <c r="I1258" s="577"/>
      <c r="J1258" s="577"/>
      <c r="K1258" s="577"/>
      <c r="L1258" s="577"/>
      <c r="M1258" s="578"/>
      <c r="N1258" s="578"/>
      <c r="O1258" s="577"/>
      <c r="P1258" s="577"/>
      <c r="Q1258" s="578"/>
      <c r="R1258" s="578"/>
      <c r="S1258" s="142">
        <f t="shared" si="145"/>
        <v>0</v>
      </c>
      <c r="T1258" s="142">
        <f t="shared" si="146"/>
        <v>0</v>
      </c>
      <c r="U1258" s="142">
        <f t="shared" si="147"/>
        <v>0</v>
      </c>
      <c r="W1258" s="601">
        <f t="shared" si="142"/>
        <v>0</v>
      </c>
      <c r="X1258" s="601">
        <f t="shared" si="143"/>
        <v>0</v>
      </c>
      <c r="Y1258" s="123"/>
      <c r="Z1258" s="692">
        <f t="shared" si="144"/>
        <v>0</v>
      </c>
    </row>
    <row r="1259" spans="1:26" customFormat="1" ht="12.75" thickBot="1">
      <c r="A1259" s="57" t="s">
        <v>1271</v>
      </c>
      <c r="B1259" s="25" t="s">
        <v>368</v>
      </c>
      <c r="C1259" s="25" t="s">
        <v>994</v>
      </c>
      <c r="D1259" s="694" t="s">
        <v>498</v>
      </c>
      <c r="E1259" s="579"/>
      <c r="F1259" s="577"/>
      <c r="G1259" s="578"/>
      <c r="H1259" s="577"/>
      <c r="I1259" s="577"/>
      <c r="J1259" s="577"/>
      <c r="K1259" s="577"/>
      <c r="L1259" s="577"/>
      <c r="M1259" s="578"/>
      <c r="N1259" s="578"/>
      <c r="O1259" s="577"/>
      <c r="P1259" s="577"/>
      <c r="Q1259" s="578"/>
      <c r="R1259" s="578"/>
      <c r="S1259" s="142">
        <f t="shared" si="145"/>
        <v>0</v>
      </c>
      <c r="T1259" s="142">
        <f t="shared" si="146"/>
        <v>0</v>
      </c>
      <c r="U1259" s="142">
        <f t="shared" si="147"/>
        <v>0</v>
      </c>
      <c r="W1259" s="601">
        <f t="shared" si="142"/>
        <v>0</v>
      </c>
      <c r="X1259" s="601">
        <f t="shared" si="143"/>
        <v>0</v>
      </c>
      <c r="Y1259" s="123"/>
      <c r="Z1259" s="692">
        <f t="shared" si="144"/>
        <v>0</v>
      </c>
    </row>
    <row r="1260" spans="1:26" customFormat="1" ht="12.75" thickBot="1">
      <c r="A1260" s="57" t="s">
        <v>1271</v>
      </c>
      <c r="B1260" s="25" t="s">
        <v>369</v>
      </c>
      <c r="C1260" s="25" t="s">
        <v>995</v>
      </c>
      <c r="D1260" s="694" t="s">
        <v>498</v>
      </c>
      <c r="E1260" s="579"/>
      <c r="F1260" s="577"/>
      <c r="G1260" s="578"/>
      <c r="H1260" s="577"/>
      <c r="I1260" s="577"/>
      <c r="J1260" s="577"/>
      <c r="K1260" s="577"/>
      <c r="L1260" s="577"/>
      <c r="M1260" s="578"/>
      <c r="N1260" s="578"/>
      <c r="O1260" s="577"/>
      <c r="P1260" s="577"/>
      <c r="Q1260" s="578"/>
      <c r="R1260" s="578"/>
      <c r="S1260" s="142">
        <f t="shared" si="145"/>
        <v>0</v>
      </c>
      <c r="T1260" s="142">
        <f t="shared" si="146"/>
        <v>0</v>
      </c>
      <c r="U1260" s="142">
        <f t="shared" si="147"/>
        <v>0</v>
      </c>
      <c r="W1260" s="601">
        <f t="shared" si="142"/>
        <v>0</v>
      </c>
      <c r="X1260" s="601">
        <f t="shared" si="143"/>
        <v>0</v>
      </c>
      <c r="Y1260" s="123"/>
      <c r="Z1260" s="692">
        <f t="shared" si="144"/>
        <v>0</v>
      </c>
    </row>
    <row r="1261" spans="1:26" customFormat="1" ht="12.75" thickBot="1">
      <c r="A1261" s="57" t="s">
        <v>1271</v>
      </c>
      <c r="B1261" s="25" t="s">
        <v>370</v>
      </c>
      <c r="C1261" s="25" t="s">
        <v>996</v>
      </c>
      <c r="D1261" s="694" t="s">
        <v>606</v>
      </c>
      <c r="E1261" s="579"/>
      <c r="F1261" s="577"/>
      <c r="G1261" s="578"/>
      <c r="H1261" s="577"/>
      <c r="I1261" s="577"/>
      <c r="J1261" s="577"/>
      <c r="K1261" s="577"/>
      <c r="L1261" s="577"/>
      <c r="M1261" s="578"/>
      <c r="N1261" s="578"/>
      <c r="O1261" s="577"/>
      <c r="P1261" s="577"/>
      <c r="Q1261" s="578"/>
      <c r="R1261" s="578"/>
      <c r="S1261" s="142">
        <f t="shared" si="145"/>
        <v>0</v>
      </c>
      <c r="T1261" s="142">
        <f t="shared" si="146"/>
        <v>0</v>
      </c>
      <c r="U1261" s="142">
        <f t="shared" si="147"/>
        <v>0</v>
      </c>
      <c r="W1261" s="601">
        <f t="shared" si="142"/>
        <v>0</v>
      </c>
      <c r="X1261" s="601">
        <f t="shared" si="143"/>
        <v>0</v>
      </c>
      <c r="Y1261" s="123"/>
      <c r="Z1261" s="692">
        <f t="shared" si="144"/>
        <v>0</v>
      </c>
    </row>
    <row r="1262" spans="1:26" customFormat="1" ht="12.75" thickBot="1">
      <c r="A1262" s="57" t="s">
        <v>1271</v>
      </c>
      <c r="B1262" s="25" t="s">
        <v>371</v>
      </c>
      <c r="C1262" s="25" t="s">
        <v>997</v>
      </c>
      <c r="D1262" s="694" t="s">
        <v>498</v>
      </c>
      <c r="E1262" s="579"/>
      <c r="F1262" s="577"/>
      <c r="G1262" s="578"/>
      <c r="H1262" s="577"/>
      <c r="I1262" s="577"/>
      <c r="J1262" s="577"/>
      <c r="K1262" s="577"/>
      <c r="L1262" s="577"/>
      <c r="M1262" s="578"/>
      <c r="N1262" s="578"/>
      <c r="O1262" s="577"/>
      <c r="P1262" s="577"/>
      <c r="Q1262" s="578"/>
      <c r="R1262" s="578"/>
      <c r="S1262" s="142">
        <f t="shared" si="145"/>
        <v>0</v>
      </c>
      <c r="T1262" s="142">
        <f t="shared" si="146"/>
        <v>0</v>
      </c>
      <c r="U1262" s="142">
        <f t="shared" si="147"/>
        <v>0</v>
      </c>
      <c r="W1262" s="601">
        <f t="shared" si="142"/>
        <v>0</v>
      </c>
      <c r="X1262" s="601">
        <f t="shared" si="143"/>
        <v>0</v>
      </c>
      <c r="Y1262" s="123"/>
      <c r="Z1262" s="692">
        <f t="shared" si="144"/>
        <v>0</v>
      </c>
    </row>
    <row r="1263" spans="1:26" customFormat="1" ht="12.75" thickBot="1">
      <c r="A1263" s="57" t="s">
        <v>1271</v>
      </c>
      <c r="B1263" s="25" t="s">
        <v>659</v>
      </c>
      <c r="C1263" s="25" t="s">
        <v>998</v>
      </c>
      <c r="D1263" s="694" t="s">
        <v>606</v>
      </c>
      <c r="E1263" s="579"/>
      <c r="F1263" s="577"/>
      <c r="G1263" s="578"/>
      <c r="H1263" s="577"/>
      <c r="I1263" s="577"/>
      <c r="J1263" s="577"/>
      <c r="K1263" s="577"/>
      <c r="L1263" s="577"/>
      <c r="M1263" s="578"/>
      <c r="N1263" s="578"/>
      <c r="O1263" s="577"/>
      <c r="P1263" s="577"/>
      <c r="Q1263" s="578"/>
      <c r="R1263" s="578"/>
      <c r="S1263" s="142">
        <f t="shared" si="145"/>
        <v>0</v>
      </c>
      <c r="T1263" s="142">
        <f t="shared" si="146"/>
        <v>0</v>
      </c>
      <c r="U1263" s="142">
        <f t="shared" si="147"/>
        <v>0</v>
      </c>
      <c r="W1263" s="601">
        <f t="shared" si="142"/>
        <v>0</v>
      </c>
      <c r="X1263" s="601">
        <f t="shared" si="143"/>
        <v>0</v>
      </c>
      <c r="Y1263" s="123"/>
      <c r="Z1263" s="692">
        <f t="shared" si="144"/>
        <v>0</v>
      </c>
    </row>
    <row r="1264" spans="1:26" customFormat="1" ht="12.75" thickBot="1">
      <c r="A1264" s="57" t="s">
        <v>1271</v>
      </c>
      <c r="B1264" s="25" t="s">
        <v>399</v>
      </c>
      <c r="C1264" s="25" t="s">
        <v>999</v>
      </c>
      <c r="D1264" s="694" t="s">
        <v>606</v>
      </c>
      <c r="E1264" s="579"/>
      <c r="F1264" s="577"/>
      <c r="G1264" s="578"/>
      <c r="H1264" s="577"/>
      <c r="I1264" s="577"/>
      <c r="J1264" s="577"/>
      <c r="K1264" s="577"/>
      <c r="L1264" s="577"/>
      <c r="M1264" s="578"/>
      <c r="N1264" s="578"/>
      <c r="O1264" s="577"/>
      <c r="P1264" s="577"/>
      <c r="Q1264" s="578"/>
      <c r="R1264" s="578"/>
      <c r="S1264" s="142">
        <f t="shared" si="145"/>
        <v>0</v>
      </c>
      <c r="T1264" s="142">
        <f t="shared" si="146"/>
        <v>0</v>
      </c>
      <c r="U1264" s="142">
        <f t="shared" si="147"/>
        <v>0</v>
      </c>
      <c r="W1264" s="601">
        <f t="shared" si="142"/>
        <v>0</v>
      </c>
      <c r="X1264" s="601">
        <f t="shared" si="143"/>
        <v>0</v>
      </c>
      <c r="Y1264" s="123"/>
      <c r="Z1264" s="692">
        <f t="shared" si="144"/>
        <v>0</v>
      </c>
    </row>
    <row r="1265" spans="1:26" customFormat="1" ht="12.75" thickBot="1">
      <c r="A1265" s="57" t="s">
        <v>1271</v>
      </c>
      <c r="B1265" s="25" t="s">
        <v>372</v>
      </c>
      <c r="C1265" s="25" t="s">
        <v>1000</v>
      </c>
      <c r="D1265" s="694" t="s">
        <v>606</v>
      </c>
      <c r="E1265" s="579"/>
      <c r="F1265" s="577"/>
      <c r="G1265" s="578"/>
      <c r="H1265" s="577"/>
      <c r="I1265" s="577"/>
      <c r="J1265" s="577"/>
      <c r="K1265" s="577"/>
      <c r="L1265" s="577"/>
      <c r="M1265" s="578"/>
      <c r="N1265" s="578"/>
      <c r="O1265" s="577"/>
      <c r="P1265" s="577"/>
      <c r="Q1265" s="578"/>
      <c r="R1265" s="578"/>
      <c r="S1265" s="142">
        <f t="shared" si="145"/>
        <v>0</v>
      </c>
      <c r="T1265" s="142">
        <f t="shared" si="146"/>
        <v>0</v>
      </c>
      <c r="U1265" s="142">
        <f t="shared" si="147"/>
        <v>0</v>
      </c>
      <c r="W1265" s="601">
        <f t="shared" si="142"/>
        <v>0</v>
      </c>
      <c r="X1265" s="601">
        <f t="shared" si="143"/>
        <v>0</v>
      </c>
      <c r="Y1265" s="123"/>
      <c r="Z1265" s="692">
        <f t="shared" si="144"/>
        <v>0</v>
      </c>
    </row>
    <row r="1266" spans="1:26" customFormat="1" ht="12.75" thickBot="1">
      <c r="A1266" s="57" t="s">
        <v>1271</v>
      </c>
      <c r="B1266" s="25" t="s">
        <v>373</v>
      </c>
      <c r="C1266" s="25" t="s">
        <v>1001</v>
      </c>
      <c r="D1266" s="694" t="s">
        <v>606</v>
      </c>
      <c r="E1266" s="579"/>
      <c r="F1266" s="577"/>
      <c r="G1266" s="578"/>
      <c r="H1266" s="577"/>
      <c r="I1266" s="577"/>
      <c r="J1266" s="577"/>
      <c r="K1266" s="577"/>
      <c r="L1266" s="577"/>
      <c r="M1266" s="578"/>
      <c r="N1266" s="578"/>
      <c r="O1266" s="577"/>
      <c r="P1266" s="577"/>
      <c r="Q1266" s="578"/>
      <c r="R1266" s="578"/>
      <c r="S1266" s="142">
        <f t="shared" si="145"/>
        <v>0</v>
      </c>
      <c r="T1266" s="142">
        <f t="shared" si="146"/>
        <v>0</v>
      </c>
      <c r="U1266" s="142">
        <f t="shared" si="147"/>
        <v>0</v>
      </c>
      <c r="W1266" s="601">
        <f t="shared" ref="W1266:W1285" si="148">SUM(F1266:Q1266)</f>
        <v>0</v>
      </c>
      <c r="X1266" s="601">
        <f t="shared" ref="X1266:X1285" si="149">W1266-R1266</f>
        <v>0</v>
      </c>
      <c r="Y1266" s="123"/>
      <c r="Z1266" s="692">
        <f t="shared" si="144"/>
        <v>0</v>
      </c>
    </row>
    <row r="1267" spans="1:26" customFormat="1" ht="12.75" thickBot="1">
      <c r="A1267" s="57" t="s">
        <v>1271</v>
      </c>
      <c r="B1267" s="25" t="s">
        <v>374</v>
      </c>
      <c r="C1267" s="25" t="s">
        <v>1002</v>
      </c>
      <c r="D1267" s="694" t="s">
        <v>606</v>
      </c>
      <c r="E1267" s="579"/>
      <c r="F1267" s="577"/>
      <c r="G1267" s="578"/>
      <c r="H1267" s="577"/>
      <c r="I1267" s="577"/>
      <c r="J1267" s="577"/>
      <c r="K1267" s="577"/>
      <c r="L1267" s="577"/>
      <c r="M1267" s="578"/>
      <c r="N1267" s="578"/>
      <c r="O1267" s="577"/>
      <c r="P1267" s="577"/>
      <c r="Q1267" s="578"/>
      <c r="R1267" s="578"/>
      <c r="S1267" s="142">
        <f t="shared" si="145"/>
        <v>0</v>
      </c>
      <c r="T1267" s="142">
        <f t="shared" si="146"/>
        <v>0</v>
      </c>
      <c r="U1267" s="142">
        <f t="shared" si="147"/>
        <v>0</v>
      </c>
      <c r="W1267" s="601">
        <f t="shared" si="148"/>
        <v>0</v>
      </c>
      <c r="X1267" s="601">
        <f t="shared" si="149"/>
        <v>0</v>
      </c>
      <c r="Y1267" s="123"/>
      <c r="Z1267" s="692">
        <f t="shared" si="144"/>
        <v>0</v>
      </c>
    </row>
    <row r="1268" spans="1:26" customFormat="1" ht="12.75" thickBot="1">
      <c r="A1268" s="57" t="s">
        <v>1271</v>
      </c>
      <c r="B1268" s="25" t="s">
        <v>843</v>
      </c>
      <c r="C1268" s="25" t="s">
        <v>843</v>
      </c>
      <c r="D1268" s="694" t="s">
        <v>843</v>
      </c>
      <c r="E1268" s="576">
        <f>9898121-E1187-E1189</f>
        <v>9323160</v>
      </c>
      <c r="F1268" s="574"/>
      <c r="G1268" s="575">
        <f>1250141-G1187-F1189-G1189</f>
        <v>1206872</v>
      </c>
      <c r="H1268" s="602">
        <v>269724</v>
      </c>
      <c r="I1268" s="574"/>
      <c r="J1268" s="574"/>
      <c r="K1268" s="574"/>
      <c r="L1268" s="574"/>
      <c r="M1268" s="575">
        <f>-3498-M1187-M1189</f>
        <v>-3297</v>
      </c>
      <c r="N1268" s="575">
        <f>51389-N1187-N1189</f>
        <v>48405</v>
      </c>
      <c r="O1268" s="574"/>
      <c r="P1268" s="574"/>
      <c r="Q1268" s="575"/>
      <c r="R1268" s="575">
        <f>SUM(F1268:N1268)</f>
        <v>1521704</v>
      </c>
      <c r="S1268" s="142">
        <f t="shared" si="145"/>
        <v>1476596</v>
      </c>
      <c r="T1268" s="142">
        <f t="shared" si="146"/>
        <v>0</v>
      </c>
      <c r="U1268" s="142">
        <f t="shared" si="147"/>
        <v>48405</v>
      </c>
      <c r="W1268" s="601">
        <f t="shared" si="148"/>
        <v>1521704</v>
      </c>
      <c r="X1268" s="601">
        <f t="shared" si="149"/>
        <v>0</v>
      </c>
      <c r="Y1268" s="123"/>
      <c r="Z1268" s="692">
        <f t="shared" si="144"/>
        <v>1476596</v>
      </c>
    </row>
    <row r="1269" spans="1:26" customFormat="1" ht="12.75" thickBot="1">
      <c r="A1269" s="57" t="s">
        <v>1271</v>
      </c>
      <c r="B1269" s="32" t="s">
        <v>7</v>
      </c>
      <c r="C1269" s="33"/>
      <c r="D1269" s="33"/>
      <c r="E1269" s="79"/>
      <c r="F1269" s="21"/>
      <c r="G1269" s="21"/>
      <c r="H1269" s="21"/>
      <c r="I1269" s="21"/>
      <c r="J1269" s="21"/>
      <c r="K1269" s="21"/>
      <c r="L1269" s="21"/>
      <c r="M1269" s="21"/>
      <c r="N1269" s="21"/>
      <c r="O1269" s="21"/>
      <c r="P1269" s="21"/>
      <c r="Q1269" s="21"/>
      <c r="R1269" s="21"/>
      <c r="S1269" s="142">
        <f t="shared" si="145"/>
        <v>0</v>
      </c>
      <c r="T1269" s="142">
        <f t="shared" si="146"/>
        <v>0</v>
      </c>
      <c r="U1269" s="142">
        <f t="shared" si="147"/>
        <v>0</v>
      </c>
      <c r="W1269" s="601">
        <f t="shared" si="148"/>
        <v>0</v>
      </c>
      <c r="X1269" s="601">
        <f t="shared" si="149"/>
        <v>0</v>
      </c>
      <c r="Y1269" s="123"/>
      <c r="Z1269" s="692">
        <f t="shared" si="144"/>
        <v>0</v>
      </c>
    </row>
    <row r="1270" spans="1:26" customFormat="1" ht="23.25" thickBot="1">
      <c r="A1270" s="61"/>
      <c r="B1270" s="62"/>
      <c r="C1270" s="45"/>
      <c r="D1270" s="16"/>
      <c r="E1270" s="16" t="s">
        <v>5</v>
      </c>
      <c r="F1270" s="16" t="s">
        <v>851</v>
      </c>
      <c r="G1270" s="16" t="s">
        <v>922</v>
      </c>
      <c r="H1270" s="16" t="s">
        <v>923</v>
      </c>
      <c r="I1270" s="16" t="s">
        <v>924</v>
      </c>
      <c r="J1270" s="16" t="s">
        <v>925</v>
      </c>
      <c r="K1270" s="16" t="s">
        <v>926</v>
      </c>
      <c r="L1270" s="16" t="s">
        <v>838</v>
      </c>
      <c r="M1270" s="16" t="s">
        <v>57</v>
      </c>
      <c r="N1270" s="16" t="s">
        <v>58</v>
      </c>
      <c r="O1270" s="16" t="s">
        <v>927</v>
      </c>
      <c r="P1270" s="16" t="s">
        <v>762</v>
      </c>
      <c r="Q1270" s="16" t="s">
        <v>839</v>
      </c>
      <c r="R1270" s="16" t="s">
        <v>840</v>
      </c>
      <c r="S1270" s="142" t="e">
        <f t="shared" si="145"/>
        <v>#VALUE!</v>
      </c>
      <c r="T1270" s="142" t="e">
        <f t="shared" si="146"/>
        <v>#VALUE!</v>
      </c>
      <c r="U1270" s="142" t="e">
        <f t="shared" si="147"/>
        <v>#VALUE!</v>
      </c>
      <c r="W1270" s="601">
        <f t="shared" si="148"/>
        <v>0</v>
      </c>
      <c r="X1270" s="601" t="e">
        <f t="shared" si="149"/>
        <v>#VALUE!</v>
      </c>
      <c r="Y1270" s="123"/>
      <c r="Z1270" s="692">
        <f t="shared" si="144"/>
        <v>0</v>
      </c>
    </row>
    <row r="1271" spans="1:26" customFormat="1" ht="12.75" thickBot="1">
      <c r="A1271" s="25" t="s">
        <v>0</v>
      </c>
      <c r="B1271" s="25" t="s">
        <v>4</v>
      </c>
      <c r="C1271" s="46"/>
      <c r="D1271" s="16"/>
      <c r="E1271" s="250" t="s">
        <v>5</v>
      </c>
      <c r="F1271" s="250" t="s">
        <v>6</v>
      </c>
      <c r="G1271" s="250" t="s">
        <v>6</v>
      </c>
      <c r="H1271" s="250" t="s">
        <v>6</v>
      </c>
      <c r="I1271" s="250" t="s">
        <v>6</v>
      </c>
      <c r="J1271" s="250" t="s">
        <v>6</v>
      </c>
      <c r="K1271" s="250" t="s">
        <v>6</v>
      </c>
      <c r="L1271" s="250" t="s">
        <v>6</v>
      </c>
      <c r="M1271" s="250" t="s">
        <v>6</v>
      </c>
      <c r="N1271" s="250" t="s">
        <v>6</v>
      </c>
      <c r="O1271" s="250" t="s">
        <v>6</v>
      </c>
      <c r="P1271" s="250" t="s">
        <v>6</v>
      </c>
      <c r="Q1271" s="250" t="s">
        <v>6</v>
      </c>
      <c r="R1271" s="250" t="s">
        <v>6</v>
      </c>
      <c r="S1271" s="142" t="e">
        <f t="shared" si="145"/>
        <v>#VALUE!</v>
      </c>
      <c r="T1271" s="142" t="e">
        <f t="shared" si="146"/>
        <v>#VALUE!</v>
      </c>
      <c r="U1271" s="142" t="e">
        <f t="shared" si="147"/>
        <v>#VALUE!</v>
      </c>
      <c r="W1271" s="601">
        <f t="shared" si="148"/>
        <v>0</v>
      </c>
      <c r="X1271" s="601" t="e">
        <f t="shared" si="149"/>
        <v>#VALUE!</v>
      </c>
      <c r="Y1271" s="123"/>
      <c r="Z1271" s="692">
        <f t="shared" si="144"/>
        <v>0</v>
      </c>
    </row>
    <row r="1272" spans="1:26" customFormat="1" ht="12.75" thickBot="1">
      <c r="A1272" s="57" t="s">
        <v>1272</v>
      </c>
      <c r="B1272" s="25" t="s">
        <v>928</v>
      </c>
      <c r="C1272" s="25" t="s">
        <v>929</v>
      </c>
      <c r="D1272" s="69" t="s">
        <v>881</v>
      </c>
      <c r="E1272" s="577"/>
      <c r="F1272" s="577"/>
      <c r="G1272" s="577"/>
      <c r="H1272" s="577"/>
      <c r="I1272" s="577"/>
      <c r="J1272" s="577"/>
      <c r="K1272" s="577"/>
      <c r="L1272" s="577"/>
      <c r="M1272" s="577"/>
      <c r="N1272" s="577"/>
      <c r="O1272" s="577"/>
      <c r="P1272" s="577"/>
      <c r="Q1272" s="577"/>
      <c r="R1272" s="578"/>
      <c r="S1272" s="142">
        <f t="shared" si="145"/>
        <v>0</v>
      </c>
      <c r="T1272" s="142">
        <f t="shared" si="146"/>
        <v>0</v>
      </c>
      <c r="U1272" s="142">
        <f t="shared" si="147"/>
        <v>0</v>
      </c>
      <c r="W1272" s="601">
        <f t="shared" si="148"/>
        <v>0</v>
      </c>
      <c r="X1272" s="601">
        <f t="shared" si="149"/>
        <v>0</v>
      </c>
      <c r="Y1272" s="123"/>
      <c r="Z1272" s="692">
        <f t="shared" si="144"/>
        <v>0</v>
      </c>
    </row>
    <row r="1273" spans="1:26" customFormat="1" ht="12.75" thickBot="1">
      <c r="A1273" s="57" t="s">
        <v>1272</v>
      </c>
      <c r="B1273" s="25" t="s">
        <v>848</v>
      </c>
      <c r="C1273" s="25" t="s">
        <v>849</v>
      </c>
      <c r="D1273" s="69" t="s">
        <v>881</v>
      </c>
      <c r="E1273" s="577"/>
      <c r="F1273" s="577"/>
      <c r="G1273" s="577"/>
      <c r="H1273" s="577"/>
      <c r="I1273" s="577"/>
      <c r="J1273" s="577"/>
      <c r="K1273" s="577"/>
      <c r="L1273" s="577"/>
      <c r="M1273" s="577"/>
      <c r="N1273" s="577"/>
      <c r="O1273" s="577"/>
      <c r="P1273" s="577"/>
      <c r="Q1273" s="577"/>
      <c r="R1273" s="578"/>
      <c r="S1273" s="142">
        <f t="shared" si="145"/>
        <v>0</v>
      </c>
      <c r="T1273" s="142">
        <f t="shared" si="146"/>
        <v>0</v>
      </c>
      <c r="U1273" s="142">
        <f t="shared" si="147"/>
        <v>0</v>
      </c>
      <c r="W1273" s="601">
        <f t="shared" si="148"/>
        <v>0</v>
      </c>
      <c r="X1273" s="601">
        <f t="shared" si="149"/>
        <v>0</v>
      </c>
      <c r="Y1273" s="123"/>
      <c r="Z1273" s="692">
        <f t="shared" si="144"/>
        <v>0</v>
      </c>
    </row>
    <row r="1274" spans="1:26" customFormat="1" ht="12.75" thickBot="1">
      <c r="A1274" s="57" t="s">
        <v>1272</v>
      </c>
      <c r="B1274" s="25" t="s">
        <v>930</v>
      </c>
      <c r="C1274" s="25" t="s">
        <v>931</v>
      </c>
      <c r="D1274" s="69" t="s">
        <v>881</v>
      </c>
      <c r="E1274" s="577"/>
      <c r="F1274" s="577"/>
      <c r="G1274" s="577"/>
      <c r="H1274" s="577"/>
      <c r="I1274" s="577"/>
      <c r="J1274" s="577"/>
      <c r="K1274" s="577"/>
      <c r="L1274" s="577"/>
      <c r="M1274" s="577"/>
      <c r="N1274" s="577"/>
      <c r="O1274" s="577"/>
      <c r="P1274" s="577"/>
      <c r="Q1274" s="577"/>
      <c r="R1274" s="578"/>
      <c r="S1274" s="142">
        <f t="shared" si="145"/>
        <v>0</v>
      </c>
      <c r="T1274" s="142">
        <f t="shared" si="146"/>
        <v>0</v>
      </c>
      <c r="U1274" s="142">
        <f t="shared" si="147"/>
        <v>0</v>
      </c>
      <c r="W1274" s="601">
        <f t="shared" si="148"/>
        <v>0</v>
      </c>
      <c r="X1274" s="601">
        <f t="shared" si="149"/>
        <v>0</v>
      </c>
      <c r="Y1274" s="123"/>
      <c r="Z1274" s="692">
        <f t="shared" si="144"/>
        <v>0</v>
      </c>
    </row>
    <row r="1275" spans="1:26" customFormat="1" ht="12.75" thickBot="1">
      <c r="A1275" s="57" t="s">
        <v>1272</v>
      </c>
      <c r="B1275" s="25" t="s">
        <v>1011</v>
      </c>
      <c r="C1275" s="25" t="s">
        <v>1119</v>
      </c>
      <c r="D1275" s="69" t="s">
        <v>881</v>
      </c>
      <c r="E1275" s="577"/>
      <c r="F1275" s="577"/>
      <c r="G1275" s="577"/>
      <c r="H1275" s="577"/>
      <c r="I1275" s="577"/>
      <c r="J1275" s="577"/>
      <c r="K1275" s="577"/>
      <c r="L1275" s="577"/>
      <c r="M1275" s="577"/>
      <c r="N1275" s="577"/>
      <c r="O1275" s="577"/>
      <c r="P1275" s="577"/>
      <c r="Q1275" s="577"/>
      <c r="R1275" s="578"/>
      <c r="S1275" s="142">
        <f t="shared" si="145"/>
        <v>0</v>
      </c>
      <c r="T1275" s="142">
        <f t="shared" si="146"/>
        <v>0</v>
      </c>
      <c r="U1275" s="142">
        <f t="shared" si="147"/>
        <v>0</v>
      </c>
      <c r="W1275" s="601">
        <f t="shared" si="148"/>
        <v>0</v>
      </c>
      <c r="X1275" s="601">
        <f t="shared" si="149"/>
        <v>0</v>
      </c>
      <c r="Y1275" s="123"/>
      <c r="Z1275" s="692">
        <f t="shared" si="144"/>
        <v>0</v>
      </c>
    </row>
    <row r="1276" spans="1:26" customFormat="1" ht="12.75" thickBot="1">
      <c r="A1276" s="57" t="s">
        <v>1272</v>
      </c>
      <c r="B1276" s="25" t="s">
        <v>852</v>
      </c>
      <c r="C1276" s="25" t="s">
        <v>853</v>
      </c>
      <c r="D1276" s="69" t="s">
        <v>1125</v>
      </c>
      <c r="E1276" s="577"/>
      <c r="F1276" s="577"/>
      <c r="G1276" s="577"/>
      <c r="H1276" s="577"/>
      <c r="I1276" s="577"/>
      <c r="J1276" s="577"/>
      <c r="K1276" s="577"/>
      <c r="L1276" s="577"/>
      <c r="M1276" s="577"/>
      <c r="N1276" s="577"/>
      <c r="O1276" s="577"/>
      <c r="P1276" s="577"/>
      <c r="Q1276" s="577"/>
      <c r="R1276" s="577"/>
      <c r="S1276" s="142">
        <f t="shared" si="145"/>
        <v>0</v>
      </c>
      <c r="T1276" s="142">
        <f t="shared" si="146"/>
        <v>0</v>
      </c>
      <c r="U1276" s="142">
        <f t="shared" si="147"/>
        <v>0</v>
      </c>
      <c r="W1276" s="601">
        <f t="shared" si="148"/>
        <v>0</v>
      </c>
      <c r="X1276" s="601">
        <f t="shared" si="149"/>
        <v>0</v>
      </c>
      <c r="Y1276" s="123"/>
      <c r="Z1276" s="692">
        <f t="shared" si="144"/>
        <v>0</v>
      </c>
    </row>
    <row r="1277" spans="1:26" customFormat="1" ht="12.75" thickBot="1">
      <c r="A1277" s="57" t="s">
        <v>1272</v>
      </c>
      <c r="B1277" s="25" t="s">
        <v>407</v>
      </c>
      <c r="C1277" s="25" t="s">
        <v>1120</v>
      </c>
      <c r="D1277" s="98" t="s">
        <v>892</v>
      </c>
      <c r="E1277" s="579"/>
      <c r="F1277" s="577"/>
      <c r="G1277" s="578"/>
      <c r="H1277" s="578"/>
      <c r="I1277" s="578"/>
      <c r="J1277" s="577"/>
      <c r="K1277" s="577"/>
      <c r="L1277" s="578"/>
      <c r="M1277" s="578"/>
      <c r="N1277" s="578"/>
      <c r="O1277" s="578"/>
      <c r="P1277" s="577"/>
      <c r="Q1277" s="577"/>
      <c r="R1277" s="578"/>
      <c r="S1277" s="142">
        <f t="shared" si="145"/>
        <v>0</v>
      </c>
      <c r="T1277" s="142">
        <f t="shared" si="146"/>
        <v>0</v>
      </c>
      <c r="U1277" s="142">
        <f t="shared" si="147"/>
        <v>0</v>
      </c>
      <c r="W1277" s="601">
        <f t="shared" si="148"/>
        <v>0</v>
      </c>
      <c r="X1277" s="601">
        <f t="shared" si="149"/>
        <v>0</v>
      </c>
      <c r="Y1277" s="123"/>
      <c r="Z1277" s="692">
        <f t="shared" si="144"/>
        <v>0</v>
      </c>
    </row>
    <row r="1278" spans="1:26" customFormat="1" ht="12.75" thickBot="1">
      <c r="A1278" s="57" t="s">
        <v>1272</v>
      </c>
      <c r="B1278" s="25" t="s">
        <v>409</v>
      </c>
      <c r="C1278" s="25" t="s">
        <v>140</v>
      </c>
      <c r="D1278" s="98" t="s">
        <v>892</v>
      </c>
      <c r="E1278" s="579">
        <v>30580171</v>
      </c>
      <c r="F1278" s="578">
        <v>561609</v>
      </c>
      <c r="G1278" s="578">
        <v>1908814</v>
      </c>
      <c r="H1278" s="578">
        <v>833310</v>
      </c>
      <c r="I1278" s="578">
        <v>51069</v>
      </c>
      <c r="J1278" s="577"/>
      <c r="K1278" s="577"/>
      <c r="L1278" s="578">
        <v>81156</v>
      </c>
      <c r="M1278" s="578">
        <v>-15928</v>
      </c>
      <c r="N1278" s="578"/>
      <c r="O1278" s="578">
        <v>143474</v>
      </c>
      <c r="P1278" s="577"/>
      <c r="Q1278" s="578"/>
      <c r="R1278" s="578">
        <v>3563504</v>
      </c>
      <c r="S1278" s="142">
        <f t="shared" si="145"/>
        <v>2793193</v>
      </c>
      <c r="T1278" s="142">
        <f t="shared" si="146"/>
        <v>0</v>
      </c>
      <c r="U1278" s="142">
        <f t="shared" si="147"/>
        <v>143474</v>
      </c>
      <c r="W1278" s="601">
        <f t="shared" si="148"/>
        <v>3563504</v>
      </c>
      <c r="X1278" s="601">
        <f t="shared" si="149"/>
        <v>0</v>
      </c>
      <c r="Y1278" s="123"/>
      <c r="Z1278" s="692">
        <f t="shared" si="144"/>
        <v>3354802</v>
      </c>
    </row>
    <row r="1279" spans="1:26" customFormat="1" ht="12.75" thickBot="1">
      <c r="A1279" s="57" t="s">
        <v>1272</v>
      </c>
      <c r="B1279" s="25" t="s">
        <v>410</v>
      </c>
      <c r="C1279" s="25" t="s">
        <v>1121</v>
      </c>
      <c r="D1279" s="98" t="s">
        <v>892</v>
      </c>
      <c r="E1279" s="579"/>
      <c r="F1279" s="578"/>
      <c r="G1279" s="578"/>
      <c r="H1279" s="578"/>
      <c r="I1279" s="578"/>
      <c r="J1279" s="577"/>
      <c r="K1279" s="577"/>
      <c r="L1279" s="578"/>
      <c r="M1279" s="578"/>
      <c r="N1279" s="578"/>
      <c r="O1279" s="578"/>
      <c r="P1279" s="577"/>
      <c r="Q1279" s="577"/>
      <c r="R1279" s="578"/>
      <c r="S1279" s="142">
        <f t="shared" si="145"/>
        <v>0</v>
      </c>
      <c r="T1279" s="142">
        <f t="shared" si="146"/>
        <v>0</v>
      </c>
      <c r="U1279" s="142">
        <f t="shared" si="147"/>
        <v>0</v>
      </c>
      <c r="W1279" s="601">
        <f t="shared" si="148"/>
        <v>0</v>
      </c>
      <c r="X1279" s="601">
        <f t="shared" si="149"/>
        <v>0</v>
      </c>
      <c r="Y1279" s="123"/>
      <c r="Z1279" s="692">
        <f t="shared" si="144"/>
        <v>0</v>
      </c>
    </row>
    <row r="1280" spans="1:26" customFormat="1" ht="12.75" thickBot="1">
      <c r="A1280" s="57" t="s">
        <v>1272</v>
      </c>
      <c r="B1280" s="25" t="s">
        <v>411</v>
      </c>
      <c r="C1280" s="25" t="s">
        <v>1122</v>
      </c>
      <c r="D1280" s="98" t="s">
        <v>892</v>
      </c>
      <c r="E1280" s="579"/>
      <c r="F1280" s="577"/>
      <c r="G1280" s="578"/>
      <c r="H1280" s="578"/>
      <c r="I1280" s="578"/>
      <c r="J1280" s="577"/>
      <c r="K1280" s="577"/>
      <c r="L1280" s="578"/>
      <c r="M1280" s="578"/>
      <c r="N1280" s="578"/>
      <c r="O1280" s="578"/>
      <c r="P1280" s="577"/>
      <c r="Q1280" s="577"/>
      <c r="R1280" s="578"/>
      <c r="S1280" s="142">
        <f t="shared" si="145"/>
        <v>0</v>
      </c>
      <c r="T1280" s="142">
        <f t="shared" si="146"/>
        <v>0</v>
      </c>
      <c r="U1280" s="142">
        <f t="shared" si="147"/>
        <v>0</v>
      </c>
      <c r="W1280" s="601">
        <f t="shared" si="148"/>
        <v>0</v>
      </c>
      <c r="X1280" s="601">
        <f t="shared" si="149"/>
        <v>0</v>
      </c>
      <c r="Y1280" s="123"/>
      <c r="Z1280" s="692">
        <f t="shared" si="144"/>
        <v>0</v>
      </c>
    </row>
    <row r="1281" spans="1:26" customFormat="1" ht="12.75" thickBot="1">
      <c r="A1281" s="57" t="s">
        <v>1272</v>
      </c>
      <c r="B1281" s="25" t="s">
        <v>413</v>
      </c>
      <c r="C1281" s="25" t="s">
        <v>454</v>
      </c>
      <c r="D1281" s="98" t="s">
        <v>892</v>
      </c>
      <c r="E1281" s="579"/>
      <c r="F1281" s="578"/>
      <c r="G1281" s="578"/>
      <c r="H1281" s="578"/>
      <c r="I1281" s="578"/>
      <c r="J1281" s="577"/>
      <c r="K1281" s="577"/>
      <c r="L1281" s="578"/>
      <c r="M1281" s="578"/>
      <c r="N1281" s="578"/>
      <c r="O1281" s="578"/>
      <c r="P1281" s="577"/>
      <c r="Q1281" s="577"/>
      <c r="R1281" s="578"/>
      <c r="S1281" s="142">
        <f t="shared" si="145"/>
        <v>0</v>
      </c>
      <c r="T1281" s="142">
        <f t="shared" si="146"/>
        <v>0</v>
      </c>
      <c r="U1281" s="142">
        <f t="shared" si="147"/>
        <v>0</v>
      </c>
      <c r="W1281" s="601">
        <f t="shared" si="148"/>
        <v>0</v>
      </c>
      <c r="X1281" s="601">
        <f t="shared" si="149"/>
        <v>0</v>
      </c>
      <c r="Y1281" s="123"/>
      <c r="Z1281" s="692">
        <f t="shared" si="144"/>
        <v>0</v>
      </c>
    </row>
    <row r="1282" spans="1:26" customFormat="1" ht="12.75" thickBot="1">
      <c r="A1282" s="57" t="s">
        <v>1272</v>
      </c>
      <c r="B1282" s="25" t="s">
        <v>414</v>
      </c>
      <c r="C1282" s="25" t="s">
        <v>445</v>
      </c>
      <c r="D1282" s="25" t="s">
        <v>20</v>
      </c>
      <c r="E1282" s="579">
        <v>135710403</v>
      </c>
      <c r="F1282" s="578">
        <v>231570</v>
      </c>
      <c r="G1282" s="578">
        <v>1811734</v>
      </c>
      <c r="H1282" s="578">
        <v>3698108</v>
      </c>
      <c r="I1282" s="577"/>
      <c r="J1282" s="578">
        <v>161763</v>
      </c>
      <c r="K1282" s="578">
        <v>4559694</v>
      </c>
      <c r="L1282" s="578">
        <v>360158</v>
      </c>
      <c r="M1282" s="578">
        <v>-70686</v>
      </c>
      <c r="N1282" s="578"/>
      <c r="O1282" s="578">
        <v>636719</v>
      </c>
      <c r="P1282" s="577"/>
      <c r="Q1282" s="577"/>
      <c r="R1282" s="578">
        <v>11389061</v>
      </c>
      <c r="S1282" s="142">
        <f t="shared" si="145"/>
        <v>5509842</v>
      </c>
      <c r="T1282" s="142">
        <f t="shared" si="146"/>
        <v>4721457</v>
      </c>
      <c r="U1282" s="142">
        <f t="shared" si="147"/>
        <v>636719</v>
      </c>
      <c r="W1282" s="601">
        <f t="shared" si="148"/>
        <v>11389060</v>
      </c>
      <c r="X1282" s="601">
        <f t="shared" si="149"/>
        <v>-1</v>
      </c>
      <c r="Y1282" s="123"/>
      <c r="Z1282" s="692">
        <f t="shared" si="144"/>
        <v>10462869</v>
      </c>
    </row>
    <row r="1283" spans="1:26" ht="12.75" thickBot="1">
      <c r="A1283" s="146" t="s">
        <v>1272</v>
      </c>
      <c r="B1283" s="147" t="s">
        <v>415</v>
      </c>
      <c r="C1283" s="147" t="s">
        <v>443</v>
      </c>
      <c r="D1283" s="153" t="s">
        <v>21</v>
      </c>
      <c r="E1283" s="597">
        <v>11939933</v>
      </c>
      <c r="F1283" s="598">
        <v>8840</v>
      </c>
      <c r="G1283" s="598">
        <v>143399</v>
      </c>
      <c r="H1283" s="598">
        <v>325363</v>
      </c>
      <c r="I1283" s="599"/>
      <c r="J1283" s="598">
        <v>13897</v>
      </c>
      <c r="K1283" s="598">
        <v>323678</v>
      </c>
      <c r="L1283" s="598">
        <v>31687</v>
      </c>
      <c r="M1283" s="598">
        <v>-6219</v>
      </c>
      <c r="N1283" s="598"/>
      <c r="O1283" s="598">
        <v>56019</v>
      </c>
      <c r="P1283" s="599"/>
      <c r="Q1283" s="599"/>
      <c r="R1283" s="598">
        <v>896664</v>
      </c>
      <c r="S1283" s="590">
        <f t="shared" si="145"/>
        <v>468762</v>
      </c>
      <c r="T1283" s="590">
        <f t="shared" si="146"/>
        <v>337575</v>
      </c>
      <c r="U1283" s="590">
        <f t="shared" si="147"/>
        <v>56019</v>
      </c>
      <c r="W1283" s="368">
        <f t="shared" si="148"/>
        <v>896664</v>
      </c>
      <c r="X1283" s="368">
        <f t="shared" si="149"/>
        <v>0</v>
      </c>
      <c r="Y1283" s="592"/>
      <c r="Z1283" s="692">
        <f t="shared" si="144"/>
        <v>815177</v>
      </c>
    </row>
    <row r="1284" spans="1:26" customFormat="1" ht="12.75" thickBot="1">
      <c r="A1284" s="57" t="s">
        <v>1272</v>
      </c>
      <c r="B1284" s="25" t="s">
        <v>416</v>
      </c>
      <c r="C1284" s="25" t="s">
        <v>446</v>
      </c>
      <c r="D1284" s="69" t="s">
        <v>20</v>
      </c>
      <c r="E1284" s="579"/>
      <c r="F1284" s="578"/>
      <c r="G1284" s="578"/>
      <c r="H1284" s="578"/>
      <c r="I1284" s="577"/>
      <c r="J1284" s="578"/>
      <c r="K1284" s="578"/>
      <c r="L1284" s="578"/>
      <c r="M1284" s="578"/>
      <c r="N1284" s="578"/>
      <c r="O1284" s="578"/>
      <c r="P1284" s="577"/>
      <c r="Q1284" s="577"/>
      <c r="R1284" s="578"/>
      <c r="S1284" s="142">
        <f t="shared" si="145"/>
        <v>0</v>
      </c>
      <c r="T1284" s="142">
        <f t="shared" si="146"/>
        <v>0</v>
      </c>
      <c r="U1284" s="142">
        <f t="shared" si="147"/>
        <v>0</v>
      </c>
      <c r="W1284" s="601">
        <f t="shared" si="148"/>
        <v>0</v>
      </c>
      <c r="X1284" s="601">
        <f t="shared" si="149"/>
        <v>0</v>
      </c>
      <c r="Y1284" s="123"/>
      <c r="Z1284" s="692">
        <f t="shared" si="144"/>
        <v>0</v>
      </c>
    </row>
    <row r="1285" spans="1:26" customFormat="1" ht="12.75" thickBot="1">
      <c r="A1285" s="57" t="s">
        <v>1272</v>
      </c>
      <c r="B1285" s="25" t="s">
        <v>417</v>
      </c>
      <c r="C1285" s="25" t="s">
        <v>932</v>
      </c>
      <c r="D1285" s="69" t="s">
        <v>920</v>
      </c>
      <c r="E1285" s="579">
        <v>58285927</v>
      </c>
      <c r="F1285" s="578">
        <v>41800</v>
      </c>
      <c r="G1285" s="578">
        <v>737317</v>
      </c>
      <c r="H1285" s="578">
        <v>1588292</v>
      </c>
      <c r="I1285" s="577"/>
      <c r="J1285" s="578">
        <v>58511</v>
      </c>
      <c r="K1285" s="578">
        <v>1712479</v>
      </c>
      <c r="L1285" s="578">
        <v>154683</v>
      </c>
      <c r="M1285" s="578">
        <v>-30359</v>
      </c>
      <c r="N1285" s="578"/>
      <c r="O1285" s="578">
        <v>273463</v>
      </c>
      <c r="P1285" s="577"/>
      <c r="Q1285" s="577"/>
      <c r="R1285" s="578">
        <v>4536186</v>
      </c>
      <c r="S1285" s="142">
        <f t="shared" si="145"/>
        <v>2325609</v>
      </c>
      <c r="T1285" s="142">
        <f t="shared" si="146"/>
        <v>1770990</v>
      </c>
      <c r="U1285" s="142">
        <f t="shared" si="147"/>
        <v>273463</v>
      </c>
      <c r="W1285" s="601">
        <f t="shared" si="148"/>
        <v>4536186</v>
      </c>
      <c r="X1285" s="601">
        <f t="shared" si="149"/>
        <v>0</v>
      </c>
      <c r="Y1285" s="123"/>
      <c r="Z1285" s="692">
        <f t="shared" si="144"/>
        <v>4138399</v>
      </c>
    </row>
    <row r="1286" spans="1:26" customFormat="1" ht="12.75" thickBot="1">
      <c r="A1286" s="57" t="s">
        <v>1272</v>
      </c>
      <c r="B1286" s="25" t="s">
        <v>418</v>
      </c>
      <c r="C1286" s="25" t="s">
        <v>447</v>
      </c>
      <c r="D1286" s="69" t="s">
        <v>448</v>
      </c>
      <c r="E1286" s="579">
        <v>29789935</v>
      </c>
      <c r="F1286" s="575">
        <v>10500</v>
      </c>
      <c r="G1286" s="578">
        <v>323221</v>
      </c>
      <c r="H1286" s="578">
        <v>811776</v>
      </c>
      <c r="I1286" s="577"/>
      <c r="J1286" s="578">
        <v>28407</v>
      </c>
      <c r="K1286" s="578">
        <v>906377</v>
      </c>
      <c r="L1286" s="578">
        <v>79059</v>
      </c>
      <c r="M1286" s="578">
        <v>-15516</v>
      </c>
      <c r="N1286" s="578"/>
      <c r="O1286" s="578">
        <v>139767</v>
      </c>
      <c r="P1286" s="577"/>
      <c r="Q1286" s="577"/>
      <c r="R1286" s="578">
        <v>2283589</v>
      </c>
      <c r="S1286" s="142">
        <f t="shared" si="145"/>
        <v>1134997</v>
      </c>
      <c r="T1286" s="142">
        <f t="shared" si="146"/>
        <v>934784</v>
      </c>
      <c r="U1286" s="142">
        <f t="shared" si="147"/>
        <v>139767</v>
      </c>
      <c r="W1286" s="601">
        <f t="shared" ref="W1286" si="150">SUM(F1286:Q1286)</f>
        <v>2283591</v>
      </c>
      <c r="X1286" s="601">
        <f t="shared" ref="X1286" si="151">W1286-R1286</f>
        <v>2</v>
      </c>
      <c r="Y1286" s="123"/>
      <c r="Z1286" s="692">
        <f t="shared" ref="Z1286:Z1347" si="152">SUM(F1286:K1286)</f>
        <v>2080281</v>
      </c>
    </row>
    <row r="1287" spans="1:26" customFormat="1" ht="12.75" thickBot="1">
      <c r="A1287" s="57" t="s">
        <v>1272</v>
      </c>
      <c r="B1287" s="25" t="s">
        <v>420</v>
      </c>
      <c r="C1287" s="25" t="s">
        <v>59</v>
      </c>
      <c r="D1287" s="69" t="s">
        <v>14</v>
      </c>
      <c r="E1287" s="579">
        <v>77992712</v>
      </c>
      <c r="F1287" s="578">
        <v>570660</v>
      </c>
      <c r="G1287" s="578">
        <v>4868305</v>
      </c>
      <c r="H1287" s="578">
        <v>2125301</v>
      </c>
      <c r="I1287" s="578">
        <v>130248</v>
      </c>
      <c r="J1287" s="577"/>
      <c r="K1287" s="577"/>
      <c r="L1287" s="578">
        <v>206983</v>
      </c>
      <c r="M1287" s="578">
        <v>-40623</v>
      </c>
      <c r="N1287" s="578"/>
      <c r="O1287" s="578">
        <v>365922</v>
      </c>
      <c r="P1287" s="577"/>
      <c r="Q1287" s="577"/>
      <c r="R1287" s="578">
        <v>8226796</v>
      </c>
      <c r="S1287" s="142">
        <f t="shared" si="145"/>
        <v>7123854</v>
      </c>
      <c r="T1287" s="142">
        <f t="shared" si="146"/>
        <v>0</v>
      </c>
      <c r="U1287" s="142">
        <f t="shared" si="147"/>
        <v>365922</v>
      </c>
      <c r="W1287" s="601"/>
      <c r="X1287" s="601"/>
      <c r="Y1287" s="123"/>
      <c r="Z1287" s="692">
        <f t="shared" si="152"/>
        <v>7694514</v>
      </c>
    </row>
    <row r="1288" spans="1:26" customFormat="1" ht="12.75" thickBot="1">
      <c r="A1288" s="57" t="s">
        <v>1272</v>
      </c>
      <c r="B1288" s="25" t="s">
        <v>421</v>
      </c>
      <c r="C1288" s="25" t="s">
        <v>1123</v>
      </c>
      <c r="D1288" s="69" t="s">
        <v>14</v>
      </c>
      <c r="E1288" s="579"/>
      <c r="F1288" s="577"/>
      <c r="G1288" s="578"/>
      <c r="H1288" s="578"/>
      <c r="I1288" s="578"/>
      <c r="J1288" s="577"/>
      <c r="K1288" s="577"/>
      <c r="L1288" s="578"/>
      <c r="M1288" s="578"/>
      <c r="N1288" s="578"/>
      <c r="O1288" s="578"/>
      <c r="P1288" s="577"/>
      <c r="Q1288" s="577"/>
      <c r="R1288" s="578"/>
      <c r="S1288" s="142">
        <f t="shared" si="145"/>
        <v>0</v>
      </c>
      <c r="T1288" s="142">
        <f t="shared" si="146"/>
        <v>0</v>
      </c>
      <c r="U1288" s="142">
        <f t="shared" si="147"/>
        <v>0</v>
      </c>
      <c r="W1288" s="601"/>
      <c r="X1288" s="601"/>
      <c r="Y1288" s="123"/>
      <c r="Z1288" s="692">
        <f t="shared" si="152"/>
        <v>0</v>
      </c>
    </row>
    <row r="1289" spans="1:26" customFormat="1" ht="12.75" thickBot="1">
      <c r="A1289" s="57" t="s">
        <v>1272</v>
      </c>
      <c r="B1289" s="25" t="s">
        <v>423</v>
      </c>
      <c r="C1289" s="25" t="s">
        <v>452</v>
      </c>
      <c r="D1289" s="69" t="s">
        <v>14</v>
      </c>
      <c r="E1289" s="579"/>
      <c r="F1289" s="578"/>
      <c r="G1289" s="578"/>
      <c r="H1289" s="578"/>
      <c r="I1289" s="578"/>
      <c r="J1289" s="577"/>
      <c r="K1289" s="577"/>
      <c r="L1289" s="578"/>
      <c r="M1289" s="578"/>
      <c r="N1289" s="578"/>
      <c r="O1289" s="578"/>
      <c r="P1289" s="577"/>
      <c r="Q1289" s="577"/>
      <c r="R1289" s="578"/>
      <c r="S1289" s="142">
        <f t="shared" si="145"/>
        <v>0</v>
      </c>
      <c r="T1289" s="142">
        <f t="shared" si="146"/>
        <v>0</v>
      </c>
      <c r="U1289" s="142">
        <f t="shared" si="147"/>
        <v>0</v>
      </c>
      <c r="W1289" s="601"/>
      <c r="X1289" s="601"/>
      <c r="Y1289" s="123"/>
      <c r="Z1289" s="692">
        <f t="shared" si="152"/>
        <v>0</v>
      </c>
    </row>
    <row r="1290" spans="1:26" customFormat="1" ht="12.75" thickBot="1">
      <c r="A1290" s="57" t="s">
        <v>1272</v>
      </c>
      <c r="B1290" s="25" t="s">
        <v>424</v>
      </c>
      <c r="C1290" s="25" t="s">
        <v>463</v>
      </c>
      <c r="D1290" s="25" t="s">
        <v>464</v>
      </c>
      <c r="E1290" s="579">
        <v>4790100</v>
      </c>
      <c r="F1290" s="577"/>
      <c r="G1290" s="578">
        <v>46799</v>
      </c>
      <c r="H1290" s="578">
        <v>130530</v>
      </c>
      <c r="I1290" s="577"/>
      <c r="J1290" s="578">
        <v>3507</v>
      </c>
      <c r="K1290" s="578">
        <v>94598</v>
      </c>
      <c r="L1290" s="575"/>
      <c r="M1290" s="578">
        <v>-2495</v>
      </c>
      <c r="N1290" s="578"/>
      <c r="O1290" s="578">
        <v>22474</v>
      </c>
      <c r="P1290" s="577"/>
      <c r="Q1290" s="577"/>
      <c r="R1290" s="578">
        <v>295414</v>
      </c>
      <c r="S1290" s="142">
        <f t="shared" si="145"/>
        <v>177329</v>
      </c>
      <c r="T1290" s="142">
        <f t="shared" si="146"/>
        <v>98105</v>
      </c>
      <c r="U1290" s="142">
        <f t="shared" si="147"/>
        <v>22474</v>
      </c>
      <c r="W1290" s="601"/>
      <c r="X1290" s="601"/>
      <c r="Y1290" s="123"/>
      <c r="Z1290" s="692">
        <f t="shared" si="152"/>
        <v>275434</v>
      </c>
    </row>
    <row r="1291" spans="1:26" customFormat="1" ht="12.75" thickBot="1">
      <c r="A1291" s="57" t="s">
        <v>1272</v>
      </c>
      <c r="B1291" s="25" t="s">
        <v>1204</v>
      </c>
      <c r="C1291" s="25" t="s">
        <v>1206</v>
      </c>
      <c r="D1291" s="69" t="s">
        <v>63</v>
      </c>
      <c r="E1291" s="577"/>
      <c r="F1291" s="577"/>
      <c r="G1291" s="577"/>
      <c r="H1291" s="577"/>
      <c r="I1291" s="577"/>
      <c r="J1291" s="577"/>
      <c r="K1291" s="577"/>
      <c r="L1291" s="577"/>
      <c r="M1291" s="577"/>
      <c r="N1291" s="577"/>
      <c r="O1291" s="577"/>
      <c r="P1291" s="578">
        <v>-221406</v>
      </c>
      <c r="Q1291" s="577"/>
      <c r="R1291" s="578">
        <v>-221406</v>
      </c>
      <c r="S1291" s="142">
        <f t="shared" si="145"/>
        <v>0</v>
      </c>
      <c r="T1291" s="142">
        <f t="shared" si="146"/>
        <v>0</v>
      </c>
      <c r="U1291" s="142">
        <f t="shared" si="147"/>
        <v>0</v>
      </c>
      <c r="W1291" s="601"/>
      <c r="X1291" s="601"/>
      <c r="Y1291" s="123"/>
      <c r="Z1291" s="692">
        <f t="shared" si="152"/>
        <v>0</v>
      </c>
    </row>
    <row r="1292" spans="1:26" customFormat="1" ht="12.75" thickBot="1">
      <c r="A1292" s="57" t="s">
        <v>1272</v>
      </c>
      <c r="B1292" s="25" t="s">
        <v>1204</v>
      </c>
      <c r="C1292" s="25" t="s">
        <v>1206</v>
      </c>
      <c r="D1292" s="69" t="s">
        <v>63</v>
      </c>
      <c r="E1292" s="577"/>
      <c r="F1292" s="577"/>
      <c r="G1292" s="577"/>
      <c r="H1292" s="577"/>
      <c r="I1292" s="577"/>
      <c r="J1292" s="577"/>
      <c r="K1292" s="577"/>
      <c r="L1292" s="577"/>
      <c r="M1292" s="577"/>
      <c r="N1292" s="577"/>
      <c r="O1292" s="577"/>
      <c r="P1292" s="575">
        <v>-65120</v>
      </c>
      <c r="Q1292" s="577"/>
      <c r="R1292" s="575">
        <v>-65120</v>
      </c>
      <c r="S1292" s="142">
        <f t="shared" si="145"/>
        <v>0</v>
      </c>
      <c r="T1292" s="142">
        <f t="shared" si="146"/>
        <v>0</v>
      </c>
      <c r="U1292" s="142">
        <f t="shared" si="147"/>
        <v>0</v>
      </c>
      <c r="W1292" s="601"/>
      <c r="X1292" s="601"/>
      <c r="Y1292" s="123"/>
      <c r="Z1292" s="692">
        <f t="shared" si="152"/>
        <v>0</v>
      </c>
    </row>
    <row r="1293" spans="1:26" customFormat="1" ht="12.75" thickBot="1">
      <c r="A1293" s="57" t="s">
        <v>1272</v>
      </c>
      <c r="B1293" s="25" t="s">
        <v>854</v>
      </c>
      <c r="C1293" s="25" t="s">
        <v>855</v>
      </c>
      <c r="D1293" s="69" t="s">
        <v>1125</v>
      </c>
      <c r="E1293" s="577"/>
      <c r="F1293" s="577"/>
      <c r="G1293" s="577"/>
      <c r="H1293" s="577"/>
      <c r="I1293" s="577"/>
      <c r="J1293" s="577"/>
      <c r="K1293" s="577"/>
      <c r="L1293" s="577"/>
      <c r="M1293" s="577"/>
      <c r="N1293" s="577"/>
      <c r="O1293" s="577"/>
      <c r="P1293" s="577"/>
      <c r="Q1293" s="577"/>
      <c r="R1293" s="577"/>
      <c r="S1293" s="142">
        <f t="shared" si="145"/>
        <v>0</v>
      </c>
      <c r="T1293" s="142">
        <f t="shared" si="146"/>
        <v>0</v>
      </c>
      <c r="U1293" s="142">
        <f t="shared" si="147"/>
        <v>0</v>
      </c>
      <c r="W1293" s="601"/>
      <c r="X1293" s="601"/>
      <c r="Y1293" s="123"/>
      <c r="Z1293" s="692">
        <f t="shared" si="152"/>
        <v>0</v>
      </c>
    </row>
    <row r="1294" spans="1:26" customFormat="1" ht="12.75" thickBot="1">
      <c r="A1294" s="57" t="s">
        <v>1272</v>
      </c>
      <c r="B1294" s="25" t="s">
        <v>426</v>
      </c>
      <c r="C1294" s="25" t="s">
        <v>450</v>
      </c>
      <c r="D1294" s="69" t="s">
        <v>451</v>
      </c>
      <c r="E1294" s="579">
        <v>9529000</v>
      </c>
      <c r="F1294" s="577"/>
      <c r="G1294" s="578">
        <v>96719</v>
      </c>
      <c r="H1294" s="578">
        <v>259665</v>
      </c>
      <c r="I1294" s="577"/>
      <c r="J1294" s="578">
        <v>4810</v>
      </c>
      <c r="K1294" s="578">
        <v>152078</v>
      </c>
      <c r="L1294" s="575"/>
      <c r="M1294" s="578">
        <v>-4963</v>
      </c>
      <c r="N1294" s="578"/>
      <c r="O1294" s="578">
        <v>44708</v>
      </c>
      <c r="P1294" s="577"/>
      <c r="Q1294" s="577"/>
      <c r="R1294" s="578">
        <v>553017</v>
      </c>
      <c r="S1294" s="142">
        <f t="shared" si="145"/>
        <v>356384</v>
      </c>
      <c r="T1294" s="142">
        <f t="shared" si="146"/>
        <v>156888</v>
      </c>
      <c r="U1294" s="142">
        <f t="shared" si="147"/>
        <v>44708</v>
      </c>
      <c r="W1294" s="601"/>
      <c r="X1294" s="601"/>
      <c r="Y1294" s="123"/>
      <c r="Z1294" s="692">
        <f t="shared" si="152"/>
        <v>513272</v>
      </c>
    </row>
    <row r="1295" spans="1:26" customFormat="1" ht="12.75" thickBot="1">
      <c r="A1295" s="57" t="s">
        <v>1272</v>
      </c>
      <c r="B1295" s="25" t="s">
        <v>427</v>
      </c>
      <c r="C1295" s="25" t="s">
        <v>54</v>
      </c>
      <c r="D1295" s="25" t="s">
        <v>15</v>
      </c>
      <c r="E1295" s="579">
        <v>73594949</v>
      </c>
      <c r="F1295" s="575">
        <v>9000</v>
      </c>
      <c r="G1295" s="578">
        <v>651315</v>
      </c>
      <c r="H1295" s="578">
        <v>2005462</v>
      </c>
      <c r="I1295" s="577"/>
      <c r="J1295" s="578">
        <v>43084</v>
      </c>
      <c r="K1295" s="578">
        <v>1244777</v>
      </c>
      <c r="L1295" s="575"/>
      <c r="M1295" s="578">
        <v>-38332</v>
      </c>
      <c r="N1295" s="578"/>
      <c r="O1295" s="578">
        <v>345289</v>
      </c>
      <c r="P1295" s="577"/>
      <c r="Q1295" s="577"/>
      <c r="R1295" s="578">
        <v>4260595</v>
      </c>
      <c r="S1295" s="142">
        <f t="shared" si="145"/>
        <v>2656777</v>
      </c>
      <c r="T1295" s="142">
        <f t="shared" si="146"/>
        <v>1287861</v>
      </c>
      <c r="U1295" s="142">
        <f t="shared" si="147"/>
        <v>345289</v>
      </c>
      <c r="W1295" s="601"/>
      <c r="X1295" s="601"/>
      <c r="Y1295" s="123"/>
      <c r="Z1295" s="692">
        <f t="shared" si="152"/>
        <v>3953638</v>
      </c>
    </row>
    <row r="1296" spans="1:26" customFormat="1" ht="12.75" thickBot="1">
      <c r="A1296" s="57" t="s">
        <v>1272</v>
      </c>
      <c r="B1296" s="25" t="s">
        <v>428</v>
      </c>
      <c r="C1296" s="25" t="s">
        <v>458</v>
      </c>
      <c r="D1296" s="69" t="s">
        <v>20</v>
      </c>
      <c r="E1296" s="579">
        <v>20088679</v>
      </c>
      <c r="F1296" s="578">
        <v>20340</v>
      </c>
      <c r="G1296" s="578">
        <v>268184</v>
      </c>
      <c r="H1296" s="578">
        <v>547417</v>
      </c>
      <c r="I1296" s="577"/>
      <c r="J1296" s="578">
        <v>30267</v>
      </c>
      <c r="K1296" s="578">
        <v>853145</v>
      </c>
      <c r="L1296" s="578">
        <v>53313</v>
      </c>
      <c r="M1296" s="578">
        <v>-10463</v>
      </c>
      <c r="N1296" s="578"/>
      <c r="O1296" s="578">
        <v>94251</v>
      </c>
      <c r="P1296" s="577"/>
      <c r="Q1296" s="577"/>
      <c r="R1296" s="578">
        <v>1856452</v>
      </c>
      <c r="S1296" s="142">
        <f t="shared" ref="S1296:S1357" si="153">G1296+H1296+I1296</f>
        <v>815601</v>
      </c>
      <c r="T1296" s="142">
        <f t="shared" ref="T1296:T1357" si="154">J1296+K1296</f>
        <v>883412</v>
      </c>
      <c r="U1296" s="142">
        <f t="shared" ref="U1296:U1357" si="155">N1296+O1296</f>
        <v>94251</v>
      </c>
      <c r="W1296" s="601"/>
      <c r="X1296" s="601"/>
      <c r="Y1296" s="123"/>
      <c r="Z1296" s="692">
        <f t="shared" si="152"/>
        <v>1719353</v>
      </c>
    </row>
    <row r="1297" spans="1:26" customFormat="1" ht="12.75" thickBot="1">
      <c r="A1297" s="57" t="s">
        <v>1272</v>
      </c>
      <c r="B1297" s="25" t="s">
        <v>429</v>
      </c>
      <c r="C1297" s="25" t="s">
        <v>457</v>
      </c>
      <c r="D1297" s="153" t="s">
        <v>21</v>
      </c>
      <c r="E1297" s="579">
        <v>1040565</v>
      </c>
      <c r="F1297" s="578">
        <v>3570</v>
      </c>
      <c r="G1297" s="578">
        <v>12497</v>
      </c>
      <c r="H1297" s="578">
        <v>28355</v>
      </c>
      <c r="I1297" s="577"/>
      <c r="J1297" s="578">
        <v>1811</v>
      </c>
      <c r="K1297" s="578">
        <v>42186</v>
      </c>
      <c r="L1297" s="578">
        <v>2762</v>
      </c>
      <c r="M1297" s="578">
        <v>-542</v>
      </c>
      <c r="N1297" s="578"/>
      <c r="O1297" s="578">
        <v>4882</v>
      </c>
      <c r="P1297" s="577"/>
      <c r="Q1297" s="577"/>
      <c r="R1297" s="578">
        <v>95522</v>
      </c>
      <c r="S1297" s="142">
        <f t="shared" si="153"/>
        <v>40852</v>
      </c>
      <c r="T1297" s="142">
        <f t="shared" si="154"/>
        <v>43997</v>
      </c>
      <c r="U1297" s="142">
        <f t="shared" si="155"/>
        <v>4882</v>
      </c>
      <c r="W1297" s="601">
        <f t="shared" ref="W1297:W1298" si="156">SUM(F1297:Q1297)</f>
        <v>95521</v>
      </c>
      <c r="X1297" s="601">
        <f t="shared" ref="X1297:X1298" si="157">W1297-R1297</f>
        <v>-1</v>
      </c>
      <c r="Y1297" s="123"/>
      <c r="Z1297" s="692">
        <f t="shared" si="152"/>
        <v>88419</v>
      </c>
    </row>
    <row r="1298" spans="1:26" customFormat="1" ht="12.75" thickBot="1">
      <c r="A1298" s="57" t="s">
        <v>1272</v>
      </c>
      <c r="B1298" s="25" t="s">
        <v>430</v>
      </c>
      <c r="C1298" s="25" t="s">
        <v>933</v>
      </c>
      <c r="D1298" s="69" t="s">
        <v>920</v>
      </c>
      <c r="E1298" s="579">
        <v>18711493</v>
      </c>
      <c r="F1298" s="578">
        <v>17200</v>
      </c>
      <c r="G1298" s="578">
        <v>236700</v>
      </c>
      <c r="H1298" s="578">
        <v>509888</v>
      </c>
      <c r="I1298" s="577"/>
      <c r="J1298" s="578">
        <v>21394</v>
      </c>
      <c r="K1298" s="578">
        <v>625709</v>
      </c>
      <c r="L1298" s="578">
        <v>49658</v>
      </c>
      <c r="M1298" s="578">
        <v>-9746</v>
      </c>
      <c r="N1298" s="578"/>
      <c r="O1298" s="578">
        <v>87790</v>
      </c>
      <c r="P1298" s="577"/>
      <c r="Q1298" s="577"/>
      <c r="R1298" s="578">
        <v>1538593</v>
      </c>
      <c r="S1298" s="142">
        <f t="shared" si="153"/>
        <v>746588</v>
      </c>
      <c r="T1298" s="142">
        <f t="shared" si="154"/>
        <v>647103</v>
      </c>
      <c r="U1298" s="142">
        <f t="shared" si="155"/>
        <v>87790</v>
      </c>
      <c r="W1298" s="601">
        <f t="shared" si="156"/>
        <v>1538593</v>
      </c>
      <c r="X1298" s="601">
        <f t="shared" si="157"/>
        <v>0</v>
      </c>
      <c r="Y1298" s="123"/>
      <c r="Z1298" s="692">
        <f t="shared" si="152"/>
        <v>1410891</v>
      </c>
    </row>
    <row r="1299" spans="1:26" customFormat="1" ht="12.75" thickBot="1">
      <c r="A1299" s="57" t="s">
        <v>1272</v>
      </c>
      <c r="B1299" s="25" t="s">
        <v>431</v>
      </c>
      <c r="C1299" s="25" t="s">
        <v>459</v>
      </c>
      <c r="D1299" s="69" t="s">
        <v>460</v>
      </c>
      <c r="E1299" s="579">
        <v>131214326</v>
      </c>
      <c r="F1299" s="578">
        <v>19800</v>
      </c>
      <c r="G1299" s="578">
        <v>1066772</v>
      </c>
      <c r="H1299" s="578">
        <v>3575590</v>
      </c>
      <c r="I1299" s="577"/>
      <c r="J1299" s="578">
        <v>126484</v>
      </c>
      <c r="K1299" s="578">
        <v>3488551</v>
      </c>
      <c r="L1299" s="578">
        <v>348226</v>
      </c>
      <c r="M1299" s="578">
        <v>-68344</v>
      </c>
      <c r="N1299" s="578"/>
      <c r="O1299" s="578">
        <v>615625</v>
      </c>
      <c r="P1299" s="577"/>
      <c r="Q1299" s="577"/>
      <c r="R1299" s="578">
        <v>9172705</v>
      </c>
      <c r="S1299" s="142">
        <f t="shared" si="153"/>
        <v>4642362</v>
      </c>
      <c r="T1299" s="142">
        <f t="shared" si="154"/>
        <v>3615035</v>
      </c>
      <c r="U1299" s="142">
        <f t="shared" si="155"/>
        <v>615625</v>
      </c>
      <c r="W1299" s="601"/>
      <c r="X1299" s="601"/>
      <c r="Y1299" s="123"/>
      <c r="Z1299" s="692">
        <f t="shared" si="152"/>
        <v>8277197</v>
      </c>
    </row>
    <row r="1300" spans="1:26" customFormat="1" ht="12.75" thickBot="1">
      <c r="A1300" s="57" t="s">
        <v>1272</v>
      </c>
      <c r="B1300" s="25" t="s">
        <v>433</v>
      </c>
      <c r="C1300" s="25" t="s">
        <v>462</v>
      </c>
      <c r="D1300" s="69" t="s">
        <v>17</v>
      </c>
      <c r="E1300" s="579"/>
      <c r="F1300" s="577"/>
      <c r="G1300" s="578"/>
      <c r="H1300" s="578"/>
      <c r="I1300" s="578"/>
      <c r="J1300" s="577"/>
      <c r="K1300" s="577"/>
      <c r="L1300" s="577"/>
      <c r="M1300" s="578"/>
      <c r="N1300" s="578"/>
      <c r="O1300" s="577"/>
      <c r="P1300" s="577"/>
      <c r="Q1300" s="577"/>
      <c r="R1300" s="578"/>
      <c r="S1300" s="142">
        <f t="shared" si="153"/>
        <v>0</v>
      </c>
      <c r="T1300" s="142">
        <f t="shared" si="154"/>
        <v>0</v>
      </c>
      <c r="U1300" s="142">
        <f t="shared" si="155"/>
        <v>0</v>
      </c>
      <c r="W1300" s="601"/>
      <c r="X1300" s="601"/>
      <c r="Y1300" s="123"/>
      <c r="Z1300" s="692">
        <f t="shared" si="152"/>
        <v>0</v>
      </c>
    </row>
    <row r="1301" spans="1:26" customFormat="1" ht="12.75" thickBot="1">
      <c r="A1301" s="57" t="s">
        <v>1272</v>
      </c>
      <c r="B1301" s="25" t="s">
        <v>434</v>
      </c>
      <c r="C1301" s="25" t="s">
        <v>462</v>
      </c>
      <c r="D1301" s="69" t="s">
        <v>17</v>
      </c>
      <c r="E1301" s="579">
        <v>355638</v>
      </c>
      <c r="F1301" s="577"/>
      <c r="G1301" s="575">
        <f>ROUND(E1301*0.06461,0)</f>
        <v>22978</v>
      </c>
      <c r="H1301" s="578"/>
      <c r="I1301" s="578"/>
      <c r="J1301" s="577"/>
      <c r="K1301" s="577"/>
      <c r="L1301" s="577"/>
      <c r="M1301" s="578">
        <f>ROUND(E1301*-0.00052,0)</f>
        <v>-185</v>
      </c>
      <c r="N1301" s="578">
        <f>ROUND(E1301*0.00469,0)</f>
        <v>1668</v>
      </c>
      <c r="O1301" s="577"/>
      <c r="P1301" s="577"/>
      <c r="Q1301" s="577"/>
      <c r="R1301" s="575">
        <f>SUM(F1301:N1301)</f>
        <v>24461</v>
      </c>
      <c r="S1301" s="142">
        <f t="shared" si="153"/>
        <v>22978</v>
      </c>
      <c r="T1301" s="142">
        <f t="shared" si="154"/>
        <v>0</v>
      </c>
      <c r="U1301" s="142">
        <f t="shared" si="155"/>
        <v>1668</v>
      </c>
      <c r="W1301" s="601"/>
      <c r="X1301" s="601"/>
      <c r="Y1301" s="123"/>
      <c r="Z1301" s="692">
        <f t="shared" si="152"/>
        <v>22978</v>
      </c>
    </row>
    <row r="1302" spans="1:26" customFormat="1" ht="12.75" thickBot="1">
      <c r="A1302" s="57" t="s">
        <v>1272</v>
      </c>
      <c r="B1302" s="25" t="s">
        <v>435</v>
      </c>
      <c r="C1302" s="25" t="s">
        <v>462</v>
      </c>
      <c r="D1302" s="69" t="s">
        <v>17</v>
      </c>
      <c r="E1302" s="579"/>
      <c r="F1302" s="577"/>
      <c r="G1302" s="578"/>
      <c r="H1302" s="578"/>
      <c r="I1302" s="578"/>
      <c r="J1302" s="577"/>
      <c r="K1302" s="577"/>
      <c r="L1302" s="577"/>
      <c r="M1302" s="578"/>
      <c r="N1302" s="578"/>
      <c r="O1302" s="577"/>
      <c r="P1302" s="577"/>
      <c r="Q1302" s="577"/>
      <c r="R1302" s="578"/>
      <c r="S1302" s="142">
        <f t="shared" si="153"/>
        <v>0</v>
      </c>
      <c r="T1302" s="142">
        <f t="shared" si="154"/>
        <v>0</v>
      </c>
      <c r="U1302" s="142">
        <f t="shared" si="155"/>
        <v>0</v>
      </c>
      <c r="W1302" s="601"/>
      <c r="X1302" s="601"/>
      <c r="Y1302" s="123"/>
      <c r="Z1302" s="692">
        <f t="shared" si="152"/>
        <v>0</v>
      </c>
    </row>
    <row r="1303" spans="1:26" customFormat="1" ht="12.75" thickBot="1">
      <c r="A1303" s="57" t="s">
        <v>1272</v>
      </c>
      <c r="B1303" s="25" t="s">
        <v>436</v>
      </c>
      <c r="C1303" s="25" t="s">
        <v>55</v>
      </c>
      <c r="D1303" s="69" t="s">
        <v>18</v>
      </c>
      <c r="E1303" s="579">
        <v>293077</v>
      </c>
      <c r="F1303" s="575">
        <f>ROUND('1022'!D410*3.25,0)</f>
        <v>2941</v>
      </c>
      <c r="G1303" s="575">
        <f>ROUND(E1303*0.07658,0)</f>
        <v>22444</v>
      </c>
      <c r="H1303" s="578"/>
      <c r="I1303" s="578"/>
      <c r="J1303" s="577"/>
      <c r="K1303" s="577"/>
      <c r="L1303" s="577"/>
      <c r="M1303" s="578">
        <f>ROUND(E1303*-0.00052,0)</f>
        <v>-152</v>
      </c>
      <c r="N1303" s="578">
        <f>ROUND(E1303*0.00469,0)</f>
        <v>1375</v>
      </c>
      <c r="O1303" s="577"/>
      <c r="P1303" s="577"/>
      <c r="Q1303" s="577"/>
      <c r="R1303" s="575">
        <f>SUM(F1303:N1303)</f>
        <v>26608</v>
      </c>
      <c r="S1303" s="142">
        <f t="shared" si="153"/>
        <v>22444</v>
      </c>
      <c r="T1303" s="142">
        <f t="shared" si="154"/>
        <v>0</v>
      </c>
      <c r="U1303" s="142">
        <f t="shared" si="155"/>
        <v>1375</v>
      </c>
      <c r="W1303" s="601"/>
      <c r="X1303" s="601"/>
      <c r="Y1303" s="123"/>
      <c r="Z1303" s="692">
        <f t="shared" si="152"/>
        <v>25385</v>
      </c>
    </row>
    <row r="1304" spans="1:26" customFormat="1" ht="12.75" thickBot="1">
      <c r="A1304" s="57" t="s">
        <v>1272</v>
      </c>
      <c r="B1304" s="25" t="s">
        <v>437</v>
      </c>
      <c r="C1304" s="25" t="s">
        <v>55</v>
      </c>
      <c r="D1304" s="69" t="s">
        <v>18</v>
      </c>
      <c r="E1304" s="579"/>
      <c r="F1304" s="578"/>
      <c r="G1304" s="578"/>
      <c r="H1304" s="578"/>
      <c r="I1304" s="578"/>
      <c r="J1304" s="577"/>
      <c r="K1304" s="577"/>
      <c r="L1304" s="577"/>
      <c r="M1304" s="578"/>
      <c r="N1304" s="578"/>
      <c r="O1304" s="577"/>
      <c r="P1304" s="577"/>
      <c r="Q1304" s="577"/>
      <c r="R1304" s="578"/>
      <c r="S1304" s="142">
        <f t="shared" si="153"/>
        <v>0</v>
      </c>
      <c r="T1304" s="142">
        <f t="shared" si="154"/>
        <v>0</v>
      </c>
      <c r="U1304" s="142">
        <f t="shared" si="155"/>
        <v>0</v>
      </c>
      <c r="W1304" s="601"/>
      <c r="X1304" s="601"/>
      <c r="Y1304" s="123"/>
      <c r="Z1304" s="692">
        <f t="shared" si="152"/>
        <v>0</v>
      </c>
    </row>
    <row r="1305" spans="1:26" customFormat="1" ht="12.75" thickBot="1">
      <c r="A1305" s="57" t="s">
        <v>1272</v>
      </c>
      <c r="B1305" s="25" t="s">
        <v>856</v>
      </c>
      <c r="C1305" s="25" t="s">
        <v>857</v>
      </c>
      <c r="D1305" s="69" t="s">
        <v>1125</v>
      </c>
      <c r="E1305" s="577"/>
      <c r="F1305" s="577"/>
      <c r="G1305" s="577"/>
      <c r="H1305" s="577"/>
      <c r="I1305" s="577"/>
      <c r="J1305" s="577"/>
      <c r="K1305" s="577"/>
      <c r="L1305" s="577"/>
      <c r="M1305" s="577"/>
      <c r="N1305" s="577"/>
      <c r="O1305" s="577"/>
      <c r="P1305" s="577"/>
      <c r="Q1305" s="577"/>
      <c r="R1305" s="577"/>
      <c r="S1305" s="142">
        <f t="shared" si="153"/>
        <v>0</v>
      </c>
      <c r="T1305" s="142">
        <f t="shared" si="154"/>
        <v>0</v>
      </c>
      <c r="U1305" s="142">
        <f t="shared" si="155"/>
        <v>0</v>
      </c>
      <c r="W1305" s="601"/>
      <c r="X1305" s="601"/>
      <c r="Y1305" s="123"/>
      <c r="Z1305" s="692">
        <f t="shared" si="152"/>
        <v>0</v>
      </c>
    </row>
    <row r="1306" spans="1:26" customFormat="1" ht="12.75" thickBot="1">
      <c r="A1306" s="57" t="s">
        <v>1272</v>
      </c>
      <c r="B1306" s="25" t="s">
        <v>438</v>
      </c>
      <c r="C1306" s="25" t="s">
        <v>469</v>
      </c>
      <c r="D1306" s="69" t="s">
        <v>13</v>
      </c>
      <c r="E1306" s="579"/>
      <c r="F1306" s="577"/>
      <c r="G1306" s="578"/>
      <c r="H1306" s="578"/>
      <c r="I1306" s="578"/>
      <c r="J1306" s="577"/>
      <c r="K1306" s="577"/>
      <c r="L1306" s="578"/>
      <c r="M1306" s="578"/>
      <c r="N1306" s="578"/>
      <c r="O1306" s="577"/>
      <c r="P1306" s="577"/>
      <c r="Q1306" s="578"/>
      <c r="R1306" s="578"/>
      <c r="S1306" s="142">
        <f t="shared" si="153"/>
        <v>0</v>
      </c>
      <c r="T1306" s="142">
        <f t="shared" si="154"/>
        <v>0</v>
      </c>
      <c r="U1306" s="142">
        <f t="shared" si="155"/>
        <v>0</v>
      </c>
      <c r="W1306" s="601"/>
      <c r="X1306" s="601"/>
      <c r="Y1306" s="123"/>
      <c r="Z1306" s="692">
        <f t="shared" si="152"/>
        <v>0</v>
      </c>
    </row>
    <row r="1307" spans="1:26" customFormat="1" ht="12.75" thickBot="1">
      <c r="A1307" s="57" t="s">
        <v>1272</v>
      </c>
      <c r="B1307" s="25" t="s">
        <v>439</v>
      </c>
      <c r="C1307" s="25" t="s">
        <v>466</v>
      </c>
      <c r="D1307" s="69" t="s">
        <v>13</v>
      </c>
      <c r="E1307" s="579">
        <v>332979468</v>
      </c>
      <c r="F1307" s="578">
        <v>3858713</v>
      </c>
      <c r="G1307" s="578">
        <v>17371539</v>
      </c>
      <c r="H1307" s="578">
        <v>9073690</v>
      </c>
      <c r="I1307" s="578">
        <v>446192</v>
      </c>
      <c r="J1307" s="577"/>
      <c r="K1307" s="577"/>
      <c r="L1307" s="578">
        <v>883685</v>
      </c>
      <c r="M1307" s="578">
        <v>-173435</v>
      </c>
      <c r="N1307" s="578">
        <v>1562256</v>
      </c>
      <c r="O1307" s="577"/>
      <c r="P1307" s="577"/>
      <c r="Q1307" s="578"/>
      <c r="R1307" s="578">
        <v>33022640</v>
      </c>
      <c r="S1307" s="142">
        <f t="shared" si="153"/>
        <v>26891421</v>
      </c>
      <c r="T1307" s="142">
        <f t="shared" si="154"/>
        <v>0</v>
      </c>
      <c r="U1307" s="142">
        <f t="shared" si="155"/>
        <v>1562256</v>
      </c>
      <c r="W1307" s="601"/>
      <c r="X1307" s="601"/>
      <c r="Y1307" s="123"/>
      <c r="Z1307" s="692">
        <f t="shared" si="152"/>
        <v>30750134</v>
      </c>
    </row>
    <row r="1308" spans="1:26" customFormat="1" ht="12.75" thickBot="1">
      <c r="A1308" s="57" t="s">
        <v>1272</v>
      </c>
      <c r="B1308" s="25" t="s">
        <v>440</v>
      </c>
      <c r="C1308" s="25" t="s">
        <v>467</v>
      </c>
      <c r="D1308" s="69" t="s">
        <v>13</v>
      </c>
      <c r="E1308" s="579"/>
      <c r="F1308" s="578"/>
      <c r="G1308" s="578"/>
      <c r="H1308" s="578"/>
      <c r="I1308" s="578"/>
      <c r="J1308" s="577"/>
      <c r="K1308" s="577"/>
      <c r="L1308" s="578"/>
      <c r="M1308" s="578"/>
      <c r="N1308" s="578"/>
      <c r="O1308" s="577"/>
      <c r="P1308" s="577"/>
      <c r="Q1308" s="578"/>
      <c r="R1308" s="578"/>
      <c r="S1308" s="142">
        <f t="shared" si="153"/>
        <v>0</v>
      </c>
      <c r="T1308" s="142">
        <f t="shared" si="154"/>
        <v>0</v>
      </c>
      <c r="U1308" s="142">
        <f t="shared" si="155"/>
        <v>0</v>
      </c>
      <c r="W1308" s="601"/>
      <c r="X1308" s="601"/>
      <c r="Y1308" s="123"/>
      <c r="Z1308" s="692">
        <f t="shared" si="152"/>
        <v>0</v>
      </c>
    </row>
    <row r="1309" spans="1:26" customFormat="1" ht="12.75" thickBot="1">
      <c r="A1309" s="57" t="s">
        <v>1272</v>
      </c>
      <c r="B1309" s="25" t="s">
        <v>441</v>
      </c>
      <c r="C1309" s="25" t="s">
        <v>468</v>
      </c>
      <c r="D1309" s="69" t="s">
        <v>13</v>
      </c>
      <c r="E1309" s="579"/>
      <c r="F1309" s="578"/>
      <c r="G1309" s="578"/>
      <c r="H1309" s="578"/>
      <c r="I1309" s="578"/>
      <c r="J1309" s="577"/>
      <c r="K1309" s="577"/>
      <c r="L1309" s="578"/>
      <c r="M1309" s="578"/>
      <c r="N1309" s="578"/>
      <c r="O1309" s="577"/>
      <c r="P1309" s="577"/>
      <c r="Q1309" s="578"/>
      <c r="R1309" s="578"/>
      <c r="S1309" s="142">
        <f t="shared" si="153"/>
        <v>0</v>
      </c>
      <c r="T1309" s="142">
        <f t="shared" si="154"/>
        <v>0</v>
      </c>
      <c r="U1309" s="142">
        <f t="shared" si="155"/>
        <v>0</v>
      </c>
      <c r="W1309" s="601"/>
      <c r="X1309" s="601"/>
      <c r="Y1309" s="123"/>
      <c r="Z1309" s="692">
        <f t="shared" si="152"/>
        <v>0</v>
      </c>
    </row>
    <row r="1310" spans="1:26" customFormat="1" ht="12.75" thickBot="1">
      <c r="A1310" s="57" t="s">
        <v>1272</v>
      </c>
      <c r="B1310" s="25" t="s">
        <v>755</v>
      </c>
      <c r="C1310" s="25" t="s">
        <v>1124</v>
      </c>
      <c r="D1310" s="69" t="s">
        <v>680</v>
      </c>
      <c r="E1310" s="579"/>
      <c r="F1310" s="578"/>
      <c r="G1310" s="578"/>
      <c r="H1310" s="578"/>
      <c r="I1310" s="578"/>
      <c r="J1310" s="577"/>
      <c r="K1310" s="577"/>
      <c r="L1310" s="578"/>
      <c r="M1310" s="578"/>
      <c r="N1310" s="578"/>
      <c r="O1310" s="577"/>
      <c r="P1310" s="577"/>
      <c r="Q1310" s="577"/>
      <c r="R1310" s="578"/>
      <c r="S1310" s="142">
        <f t="shared" si="153"/>
        <v>0</v>
      </c>
      <c r="T1310" s="142">
        <f t="shared" si="154"/>
        <v>0</v>
      </c>
      <c r="U1310" s="142">
        <f t="shared" si="155"/>
        <v>0</v>
      </c>
      <c r="W1310" s="601"/>
      <c r="X1310" s="601"/>
      <c r="Y1310" s="123"/>
      <c r="Z1310" s="692">
        <f t="shared" si="152"/>
        <v>0</v>
      </c>
    </row>
    <row r="1311" spans="1:26" customFormat="1" ht="12.75" thickBot="1">
      <c r="A1311" s="57" t="s">
        <v>1272</v>
      </c>
      <c r="B1311" s="25" t="s">
        <v>401</v>
      </c>
      <c r="C1311" s="25" t="s">
        <v>402</v>
      </c>
      <c r="D1311" s="69" t="s">
        <v>1125</v>
      </c>
      <c r="E1311" s="577"/>
      <c r="F1311" s="577"/>
      <c r="G1311" s="577"/>
      <c r="H1311" s="577"/>
      <c r="I1311" s="577"/>
      <c r="J1311" s="577"/>
      <c r="K1311" s="577"/>
      <c r="L1311" s="577"/>
      <c r="M1311" s="577"/>
      <c r="N1311" s="577"/>
      <c r="O1311" s="577"/>
      <c r="P1311" s="577"/>
      <c r="Q1311" s="577"/>
      <c r="R1311" s="577"/>
      <c r="S1311" s="142">
        <f t="shared" si="153"/>
        <v>0</v>
      </c>
      <c r="T1311" s="142">
        <f t="shared" si="154"/>
        <v>0</v>
      </c>
      <c r="U1311" s="142">
        <f t="shared" si="155"/>
        <v>0</v>
      </c>
      <c r="W1311" s="601"/>
      <c r="X1311" s="601"/>
      <c r="Y1311" s="123"/>
      <c r="Z1311" s="692">
        <f t="shared" si="152"/>
        <v>0</v>
      </c>
    </row>
    <row r="1312" spans="1:26" customFormat="1" ht="12.75" thickBot="1">
      <c r="A1312" s="57" t="s">
        <v>1272</v>
      </c>
      <c r="B1312" s="25" t="s">
        <v>379</v>
      </c>
      <c r="C1312" s="25" t="s">
        <v>934</v>
      </c>
      <c r="D1312" s="694" t="s">
        <v>498</v>
      </c>
      <c r="E1312" s="579"/>
      <c r="F1312" s="577"/>
      <c r="G1312" s="578"/>
      <c r="H1312" s="577"/>
      <c r="I1312" s="577"/>
      <c r="J1312" s="577"/>
      <c r="K1312" s="577"/>
      <c r="L1312" s="577"/>
      <c r="M1312" s="578"/>
      <c r="N1312" s="578"/>
      <c r="O1312" s="577"/>
      <c r="P1312" s="577"/>
      <c r="Q1312" s="578"/>
      <c r="R1312" s="578"/>
      <c r="S1312" s="142">
        <f t="shared" si="153"/>
        <v>0</v>
      </c>
      <c r="T1312" s="142">
        <f t="shared" si="154"/>
        <v>0</v>
      </c>
      <c r="U1312" s="142">
        <f t="shared" si="155"/>
        <v>0</v>
      </c>
      <c r="W1312" s="601"/>
      <c r="X1312" s="601"/>
      <c r="Y1312" s="123"/>
      <c r="Z1312" s="692">
        <f t="shared" si="152"/>
        <v>0</v>
      </c>
    </row>
    <row r="1313" spans="1:26" customFormat="1" ht="12.75" thickBot="1">
      <c r="A1313" s="57" t="s">
        <v>1272</v>
      </c>
      <c r="B1313" s="25" t="s">
        <v>241</v>
      </c>
      <c r="C1313" s="25" t="s">
        <v>935</v>
      </c>
      <c r="D1313" s="694" t="s">
        <v>498</v>
      </c>
      <c r="E1313" s="579"/>
      <c r="F1313" s="577"/>
      <c r="G1313" s="578"/>
      <c r="H1313" s="577"/>
      <c r="I1313" s="577"/>
      <c r="J1313" s="577"/>
      <c r="K1313" s="577"/>
      <c r="L1313" s="577"/>
      <c r="M1313" s="578"/>
      <c r="N1313" s="578"/>
      <c r="O1313" s="577"/>
      <c r="P1313" s="577"/>
      <c r="Q1313" s="578"/>
      <c r="R1313" s="578"/>
      <c r="S1313" s="142">
        <f t="shared" si="153"/>
        <v>0</v>
      </c>
      <c r="T1313" s="142">
        <f t="shared" si="154"/>
        <v>0</v>
      </c>
      <c r="U1313" s="142">
        <f t="shared" si="155"/>
        <v>0</v>
      </c>
      <c r="W1313" s="601"/>
      <c r="X1313" s="601"/>
      <c r="Y1313" s="123"/>
      <c r="Z1313" s="692">
        <f t="shared" si="152"/>
        <v>0</v>
      </c>
    </row>
    <row r="1314" spans="1:26" customFormat="1" ht="12.75" thickBot="1">
      <c r="A1314" s="57" t="s">
        <v>1272</v>
      </c>
      <c r="B1314" s="25" t="s">
        <v>242</v>
      </c>
      <c r="C1314" s="25" t="s">
        <v>936</v>
      </c>
      <c r="D1314" s="694" t="s">
        <v>498</v>
      </c>
      <c r="E1314" s="579"/>
      <c r="F1314" s="577"/>
      <c r="G1314" s="578"/>
      <c r="H1314" s="577"/>
      <c r="I1314" s="577"/>
      <c r="J1314" s="577"/>
      <c r="K1314" s="577"/>
      <c r="L1314" s="577"/>
      <c r="M1314" s="578"/>
      <c r="N1314" s="578"/>
      <c r="O1314" s="577"/>
      <c r="P1314" s="577"/>
      <c r="Q1314" s="578"/>
      <c r="R1314" s="578"/>
      <c r="S1314" s="142">
        <f t="shared" si="153"/>
        <v>0</v>
      </c>
      <c r="T1314" s="142">
        <f t="shared" si="154"/>
        <v>0</v>
      </c>
      <c r="U1314" s="142">
        <f t="shared" si="155"/>
        <v>0</v>
      </c>
      <c r="W1314" s="601"/>
      <c r="X1314" s="601"/>
      <c r="Y1314" s="123"/>
      <c r="Z1314" s="692">
        <f t="shared" si="152"/>
        <v>0</v>
      </c>
    </row>
    <row r="1315" spans="1:26" customFormat="1" ht="12.75" thickBot="1">
      <c r="A1315" s="57" t="s">
        <v>1272</v>
      </c>
      <c r="B1315" s="25" t="s">
        <v>243</v>
      </c>
      <c r="C1315" s="25" t="s">
        <v>937</v>
      </c>
      <c r="D1315" s="694" t="s">
        <v>498</v>
      </c>
      <c r="E1315" s="579"/>
      <c r="F1315" s="577"/>
      <c r="G1315" s="578"/>
      <c r="H1315" s="577"/>
      <c r="I1315" s="577"/>
      <c r="J1315" s="577"/>
      <c r="K1315" s="577"/>
      <c r="L1315" s="577"/>
      <c r="M1315" s="578"/>
      <c r="N1315" s="578"/>
      <c r="O1315" s="577"/>
      <c r="P1315" s="577"/>
      <c r="Q1315" s="578"/>
      <c r="R1315" s="578"/>
      <c r="S1315" s="142">
        <f t="shared" si="153"/>
        <v>0</v>
      </c>
      <c r="T1315" s="142">
        <f t="shared" si="154"/>
        <v>0</v>
      </c>
      <c r="U1315" s="142">
        <f t="shared" si="155"/>
        <v>0</v>
      </c>
      <c r="W1315" s="601"/>
      <c r="X1315" s="601"/>
      <c r="Y1315" s="123"/>
      <c r="Z1315" s="692">
        <f t="shared" si="152"/>
        <v>0</v>
      </c>
    </row>
    <row r="1316" spans="1:26" customFormat="1" ht="12.75" thickBot="1">
      <c r="A1316" s="57" t="s">
        <v>1272</v>
      </c>
      <c r="B1316" s="25" t="s">
        <v>244</v>
      </c>
      <c r="C1316" s="25" t="s">
        <v>938</v>
      </c>
      <c r="D1316" s="694" t="s">
        <v>498</v>
      </c>
      <c r="E1316" s="579"/>
      <c r="F1316" s="577"/>
      <c r="G1316" s="578"/>
      <c r="H1316" s="577"/>
      <c r="I1316" s="577"/>
      <c r="J1316" s="577"/>
      <c r="K1316" s="577"/>
      <c r="L1316" s="577"/>
      <c r="M1316" s="578"/>
      <c r="N1316" s="578"/>
      <c r="O1316" s="577"/>
      <c r="P1316" s="577"/>
      <c r="Q1316" s="578"/>
      <c r="R1316" s="578"/>
      <c r="S1316" s="142">
        <f t="shared" si="153"/>
        <v>0</v>
      </c>
      <c r="T1316" s="142">
        <f t="shared" si="154"/>
        <v>0</v>
      </c>
      <c r="U1316" s="142">
        <f t="shared" si="155"/>
        <v>0</v>
      </c>
      <c r="W1316" s="601"/>
      <c r="X1316" s="601"/>
      <c r="Y1316" s="123"/>
      <c r="Z1316" s="692">
        <f t="shared" si="152"/>
        <v>0</v>
      </c>
    </row>
    <row r="1317" spans="1:26" customFormat="1" ht="12.75" thickBot="1">
      <c r="A1317" s="57" t="s">
        <v>1272</v>
      </c>
      <c r="B1317" s="25" t="s">
        <v>245</v>
      </c>
      <c r="C1317" s="25" t="s">
        <v>939</v>
      </c>
      <c r="D1317" s="694" t="s">
        <v>498</v>
      </c>
      <c r="E1317" s="579"/>
      <c r="F1317" s="577"/>
      <c r="G1317" s="578"/>
      <c r="H1317" s="577"/>
      <c r="I1317" s="577"/>
      <c r="J1317" s="577"/>
      <c r="K1317" s="577"/>
      <c r="L1317" s="577"/>
      <c r="M1317" s="578"/>
      <c r="N1317" s="578"/>
      <c r="O1317" s="577"/>
      <c r="P1317" s="577"/>
      <c r="Q1317" s="578"/>
      <c r="R1317" s="578"/>
      <c r="S1317" s="142">
        <f t="shared" si="153"/>
        <v>0</v>
      </c>
      <c r="T1317" s="142">
        <f t="shared" si="154"/>
        <v>0</v>
      </c>
      <c r="U1317" s="142">
        <f t="shared" si="155"/>
        <v>0</v>
      </c>
      <c r="W1317" s="601"/>
      <c r="X1317" s="601"/>
      <c r="Y1317" s="123"/>
      <c r="Z1317" s="692">
        <f t="shared" si="152"/>
        <v>0</v>
      </c>
    </row>
    <row r="1318" spans="1:26" customFormat="1" ht="12.75" thickBot="1">
      <c r="A1318" s="57" t="s">
        <v>1272</v>
      </c>
      <c r="B1318" s="25" t="s">
        <v>381</v>
      </c>
      <c r="C1318" s="25" t="s">
        <v>940</v>
      </c>
      <c r="D1318" s="694" t="s">
        <v>498</v>
      </c>
      <c r="E1318" s="579"/>
      <c r="F1318" s="577"/>
      <c r="G1318" s="578"/>
      <c r="H1318" s="577"/>
      <c r="I1318" s="577"/>
      <c r="J1318" s="577"/>
      <c r="K1318" s="577"/>
      <c r="L1318" s="577"/>
      <c r="M1318" s="578"/>
      <c r="N1318" s="578"/>
      <c r="O1318" s="577"/>
      <c r="P1318" s="577"/>
      <c r="Q1318" s="578"/>
      <c r="R1318" s="578"/>
      <c r="S1318" s="142">
        <f t="shared" si="153"/>
        <v>0</v>
      </c>
      <c r="T1318" s="142">
        <f t="shared" si="154"/>
        <v>0</v>
      </c>
      <c r="U1318" s="142">
        <f t="shared" si="155"/>
        <v>0</v>
      </c>
      <c r="W1318" s="601"/>
      <c r="X1318" s="601"/>
      <c r="Y1318" s="123"/>
      <c r="Z1318" s="692">
        <f t="shared" si="152"/>
        <v>0</v>
      </c>
    </row>
    <row r="1319" spans="1:26" customFormat="1" ht="12.75" thickBot="1">
      <c r="A1319" s="57" t="s">
        <v>1272</v>
      </c>
      <c r="B1319" s="25" t="s">
        <v>246</v>
      </c>
      <c r="C1319" s="25" t="s">
        <v>941</v>
      </c>
      <c r="D1319" s="694" t="s">
        <v>498</v>
      </c>
      <c r="E1319" s="579"/>
      <c r="F1319" s="577"/>
      <c r="G1319" s="578"/>
      <c r="H1319" s="577"/>
      <c r="I1319" s="577"/>
      <c r="J1319" s="577"/>
      <c r="K1319" s="577"/>
      <c r="L1319" s="577"/>
      <c r="M1319" s="578"/>
      <c r="N1319" s="578"/>
      <c r="O1319" s="577"/>
      <c r="P1319" s="577"/>
      <c r="Q1319" s="578"/>
      <c r="R1319" s="578"/>
      <c r="S1319" s="142">
        <f t="shared" si="153"/>
        <v>0</v>
      </c>
      <c r="T1319" s="142">
        <f t="shared" si="154"/>
        <v>0</v>
      </c>
      <c r="U1319" s="142">
        <f t="shared" si="155"/>
        <v>0</v>
      </c>
      <c r="W1319" s="601"/>
      <c r="X1319" s="601"/>
      <c r="Y1319" s="123"/>
      <c r="Z1319" s="692">
        <f t="shared" si="152"/>
        <v>0</v>
      </c>
    </row>
    <row r="1320" spans="1:26" customFormat="1" ht="12.75" thickBot="1">
      <c r="A1320" s="57" t="s">
        <v>1272</v>
      </c>
      <c r="B1320" s="25" t="s">
        <v>252</v>
      </c>
      <c r="C1320" s="25" t="s">
        <v>942</v>
      </c>
      <c r="D1320" s="694" t="s">
        <v>498</v>
      </c>
      <c r="E1320" s="579"/>
      <c r="F1320" s="577"/>
      <c r="G1320" s="578"/>
      <c r="H1320" s="577"/>
      <c r="I1320" s="577"/>
      <c r="J1320" s="577"/>
      <c r="K1320" s="577"/>
      <c r="L1320" s="577"/>
      <c r="M1320" s="578"/>
      <c r="N1320" s="578"/>
      <c r="O1320" s="577"/>
      <c r="P1320" s="577"/>
      <c r="Q1320" s="578"/>
      <c r="R1320" s="578"/>
      <c r="S1320" s="142">
        <f t="shared" si="153"/>
        <v>0</v>
      </c>
      <c r="T1320" s="142">
        <f t="shared" si="154"/>
        <v>0</v>
      </c>
      <c r="U1320" s="142">
        <f t="shared" si="155"/>
        <v>0</v>
      </c>
      <c r="W1320" s="601"/>
      <c r="X1320" s="601"/>
      <c r="Y1320" s="123"/>
      <c r="Z1320" s="692">
        <f t="shared" si="152"/>
        <v>0</v>
      </c>
    </row>
    <row r="1321" spans="1:26" customFormat="1" ht="12.75" thickBot="1">
      <c r="A1321" s="57" t="s">
        <v>1272</v>
      </c>
      <c r="B1321" s="25" t="s">
        <v>263</v>
      </c>
      <c r="C1321" s="25" t="s">
        <v>943</v>
      </c>
      <c r="D1321" s="694" t="s">
        <v>498</v>
      </c>
      <c r="E1321" s="579"/>
      <c r="F1321" s="577"/>
      <c r="G1321" s="578"/>
      <c r="H1321" s="577"/>
      <c r="I1321" s="577"/>
      <c r="J1321" s="577"/>
      <c r="K1321" s="577"/>
      <c r="L1321" s="577"/>
      <c r="M1321" s="578"/>
      <c r="N1321" s="578"/>
      <c r="O1321" s="577"/>
      <c r="P1321" s="577"/>
      <c r="Q1321" s="578"/>
      <c r="R1321" s="578"/>
      <c r="S1321" s="142">
        <f t="shared" si="153"/>
        <v>0</v>
      </c>
      <c r="T1321" s="142">
        <f t="shared" si="154"/>
        <v>0</v>
      </c>
      <c r="U1321" s="142">
        <f t="shared" si="155"/>
        <v>0</v>
      </c>
      <c r="W1321" s="601"/>
      <c r="X1321" s="601"/>
      <c r="Y1321" s="123"/>
      <c r="Z1321" s="692">
        <f t="shared" si="152"/>
        <v>0</v>
      </c>
    </row>
    <row r="1322" spans="1:26" customFormat="1" ht="12.75" thickBot="1">
      <c r="A1322" s="57" t="s">
        <v>1272</v>
      </c>
      <c r="B1322" s="25" t="s">
        <v>264</v>
      </c>
      <c r="C1322" s="25" t="s">
        <v>944</v>
      </c>
      <c r="D1322" s="694" t="s">
        <v>498</v>
      </c>
      <c r="E1322" s="579"/>
      <c r="F1322" s="577"/>
      <c r="G1322" s="578"/>
      <c r="H1322" s="577"/>
      <c r="I1322" s="577"/>
      <c r="J1322" s="577"/>
      <c r="K1322" s="577"/>
      <c r="L1322" s="577"/>
      <c r="M1322" s="578"/>
      <c r="N1322" s="578"/>
      <c r="O1322" s="577"/>
      <c r="P1322" s="577"/>
      <c r="Q1322" s="578"/>
      <c r="R1322" s="578"/>
      <c r="S1322" s="142">
        <f t="shared" si="153"/>
        <v>0</v>
      </c>
      <c r="T1322" s="142">
        <f t="shared" si="154"/>
        <v>0</v>
      </c>
      <c r="U1322" s="142">
        <f t="shared" si="155"/>
        <v>0</v>
      </c>
      <c r="W1322" s="601"/>
      <c r="X1322" s="601"/>
      <c r="Y1322" s="123"/>
      <c r="Z1322" s="692">
        <f t="shared" si="152"/>
        <v>0</v>
      </c>
    </row>
    <row r="1323" spans="1:26" customFormat="1" ht="12.75" thickBot="1">
      <c r="A1323" s="57" t="s">
        <v>1272</v>
      </c>
      <c r="B1323" s="25" t="s">
        <v>267</v>
      </c>
      <c r="C1323" s="25" t="s">
        <v>945</v>
      </c>
      <c r="D1323" s="694" t="s">
        <v>498</v>
      </c>
      <c r="E1323" s="579"/>
      <c r="F1323" s="577"/>
      <c r="G1323" s="578"/>
      <c r="H1323" s="577"/>
      <c r="I1323" s="577"/>
      <c r="J1323" s="577"/>
      <c r="K1323" s="577"/>
      <c r="L1323" s="577"/>
      <c r="M1323" s="578"/>
      <c r="N1323" s="578"/>
      <c r="O1323" s="577"/>
      <c r="P1323" s="577"/>
      <c r="Q1323" s="578"/>
      <c r="R1323" s="578"/>
      <c r="S1323" s="142">
        <f t="shared" si="153"/>
        <v>0</v>
      </c>
      <c r="T1323" s="142">
        <f t="shared" si="154"/>
        <v>0</v>
      </c>
      <c r="U1323" s="142">
        <f t="shared" si="155"/>
        <v>0</v>
      </c>
      <c r="W1323" s="601"/>
      <c r="X1323" s="601"/>
      <c r="Y1323" s="123"/>
      <c r="Z1323" s="692">
        <f t="shared" si="152"/>
        <v>0</v>
      </c>
    </row>
    <row r="1324" spans="1:26" customFormat="1" ht="12.75" thickBot="1">
      <c r="A1324" s="57" t="s">
        <v>1272</v>
      </c>
      <c r="B1324" s="25" t="s">
        <v>392</v>
      </c>
      <c r="C1324" s="25" t="s">
        <v>946</v>
      </c>
      <c r="D1324" s="694" t="s">
        <v>498</v>
      </c>
      <c r="E1324" s="579"/>
      <c r="F1324" s="577"/>
      <c r="G1324" s="578"/>
      <c r="H1324" s="577"/>
      <c r="I1324" s="577"/>
      <c r="J1324" s="577"/>
      <c r="K1324" s="577"/>
      <c r="L1324" s="577"/>
      <c r="M1324" s="578"/>
      <c r="N1324" s="578"/>
      <c r="O1324" s="577"/>
      <c r="P1324" s="577"/>
      <c r="Q1324" s="578"/>
      <c r="R1324" s="578"/>
      <c r="S1324" s="142">
        <f t="shared" si="153"/>
        <v>0</v>
      </c>
      <c r="T1324" s="142">
        <f t="shared" si="154"/>
        <v>0</v>
      </c>
      <c r="U1324" s="142">
        <f t="shared" si="155"/>
        <v>0</v>
      </c>
      <c r="W1324" s="601"/>
      <c r="X1324" s="601"/>
      <c r="Y1324" s="123"/>
      <c r="Z1324" s="692">
        <f t="shared" si="152"/>
        <v>0</v>
      </c>
    </row>
    <row r="1325" spans="1:26" customFormat="1" ht="12.75" thickBot="1">
      <c r="A1325" s="57" t="s">
        <v>1272</v>
      </c>
      <c r="B1325" s="25" t="s">
        <v>268</v>
      </c>
      <c r="C1325" s="25" t="s">
        <v>947</v>
      </c>
      <c r="D1325" s="694" t="s">
        <v>498</v>
      </c>
      <c r="E1325" s="579"/>
      <c r="F1325" s="577"/>
      <c r="G1325" s="578"/>
      <c r="H1325" s="577"/>
      <c r="I1325" s="577"/>
      <c r="J1325" s="577"/>
      <c r="K1325" s="577"/>
      <c r="L1325" s="577"/>
      <c r="M1325" s="578"/>
      <c r="N1325" s="578"/>
      <c r="O1325" s="577"/>
      <c r="P1325" s="577"/>
      <c r="Q1325" s="578"/>
      <c r="R1325" s="578"/>
      <c r="S1325" s="142">
        <f t="shared" si="153"/>
        <v>0</v>
      </c>
      <c r="T1325" s="142">
        <f t="shared" si="154"/>
        <v>0</v>
      </c>
      <c r="U1325" s="142">
        <f t="shared" si="155"/>
        <v>0</v>
      </c>
      <c r="W1325" s="601"/>
      <c r="X1325" s="601"/>
      <c r="Y1325" s="123"/>
      <c r="Z1325" s="692">
        <f t="shared" si="152"/>
        <v>0</v>
      </c>
    </row>
    <row r="1326" spans="1:26" customFormat="1" ht="12.75" thickBot="1">
      <c r="A1326" s="57" t="s">
        <v>1272</v>
      </c>
      <c r="B1326" s="25" t="s">
        <v>269</v>
      </c>
      <c r="C1326" s="25" t="s">
        <v>948</v>
      </c>
      <c r="D1326" s="694" t="s">
        <v>498</v>
      </c>
      <c r="E1326" s="579"/>
      <c r="F1326" s="577"/>
      <c r="G1326" s="578"/>
      <c r="H1326" s="577"/>
      <c r="I1326" s="577"/>
      <c r="J1326" s="577"/>
      <c r="K1326" s="577"/>
      <c r="L1326" s="577"/>
      <c r="M1326" s="578"/>
      <c r="N1326" s="578"/>
      <c r="O1326" s="577"/>
      <c r="P1326" s="577"/>
      <c r="Q1326" s="578"/>
      <c r="R1326" s="578"/>
      <c r="S1326" s="142">
        <f t="shared" si="153"/>
        <v>0</v>
      </c>
      <c r="T1326" s="142">
        <f t="shared" si="154"/>
        <v>0</v>
      </c>
      <c r="U1326" s="142">
        <f t="shared" si="155"/>
        <v>0</v>
      </c>
      <c r="W1326" s="601"/>
      <c r="X1326" s="601"/>
      <c r="Y1326" s="123"/>
      <c r="Z1326" s="692">
        <f t="shared" si="152"/>
        <v>0</v>
      </c>
    </row>
    <row r="1327" spans="1:26" customFormat="1" ht="12.75" thickBot="1">
      <c r="A1327" s="57" t="s">
        <v>1272</v>
      </c>
      <c r="B1327" s="25" t="s">
        <v>393</v>
      </c>
      <c r="C1327" s="25" t="s">
        <v>949</v>
      </c>
      <c r="D1327" s="694" t="s">
        <v>498</v>
      </c>
      <c r="E1327" s="579"/>
      <c r="F1327" s="577"/>
      <c r="G1327" s="578"/>
      <c r="H1327" s="577"/>
      <c r="I1327" s="577"/>
      <c r="J1327" s="577"/>
      <c r="K1327" s="577"/>
      <c r="L1327" s="577"/>
      <c r="M1327" s="578"/>
      <c r="N1327" s="578"/>
      <c r="O1327" s="577"/>
      <c r="P1327" s="577"/>
      <c r="Q1327" s="578"/>
      <c r="R1327" s="578"/>
      <c r="S1327" s="142">
        <f t="shared" si="153"/>
        <v>0</v>
      </c>
      <c r="T1327" s="142">
        <f t="shared" si="154"/>
        <v>0</v>
      </c>
      <c r="U1327" s="142">
        <f t="shared" si="155"/>
        <v>0</v>
      </c>
      <c r="W1327" s="601"/>
      <c r="X1327" s="601"/>
      <c r="Y1327" s="123"/>
      <c r="Z1327" s="692">
        <f t="shared" si="152"/>
        <v>0</v>
      </c>
    </row>
    <row r="1328" spans="1:26" customFormat="1" ht="12.75" thickBot="1">
      <c r="A1328" s="57" t="s">
        <v>1272</v>
      </c>
      <c r="B1328" s="25" t="s">
        <v>394</v>
      </c>
      <c r="C1328" s="25" t="s">
        <v>950</v>
      </c>
      <c r="D1328" s="694" t="s">
        <v>498</v>
      </c>
      <c r="E1328" s="579"/>
      <c r="F1328" s="577"/>
      <c r="G1328" s="578"/>
      <c r="H1328" s="577"/>
      <c r="I1328" s="577"/>
      <c r="J1328" s="577"/>
      <c r="K1328" s="577"/>
      <c r="L1328" s="577"/>
      <c r="M1328" s="578"/>
      <c r="N1328" s="578"/>
      <c r="O1328" s="577"/>
      <c r="P1328" s="577"/>
      <c r="Q1328" s="578"/>
      <c r="R1328" s="578"/>
      <c r="S1328" s="142">
        <f t="shared" si="153"/>
        <v>0</v>
      </c>
      <c r="T1328" s="142">
        <f t="shared" si="154"/>
        <v>0</v>
      </c>
      <c r="U1328" s="142">
        <f t="shared" si="155"/>
        <v>0</v>
      </c>
      <c r="W1328" s="601"/>
      <c r="X1328" s="601"/>
      <c r="Y1328" s="123"/>
      <c r="Z1328" s="692">
        <f t="shared" si="152"/>
        <v>0</v>
      </c>
    </row>
    <row r="1329" spans="1:26" customFormat="1" ht="12.75" thickBot="1">
      <c r="A1329" s="57" t="s">
        <v>1272</v>
      </c>
      <c r="B1329" s="25" t="s">
        <v>398</v>
      </c>
      <c r="C1329" s="25" t="s">
        <v>951</v>
      </c>
      <c r="D1329" s="694" t="s">
        <v>498</v>
      </c>
      <c r="E1329" s="579"/>
      <c r="F1329" s="577"/>
      <c r="G1329" s="578"/>
      <c r="H1329" s="577"/>
      <c r="I1329" s="577"/>
      <c r="J1329" s="577"/>
      <c r="K1329" s="577"/>
      <c r="L1329" s="577"/>
      <c r="M1329" s="578"/>
      <c r="N1329" s="578"/>
      <c r="O1329" s="577"/>
      <c r="P1329" s="577"/>
      <c r="Q1329" s="578"/>
      <c r="R1329" s="578"/>
      <c r="S1329" s="142">
        <f t="shared" si="153"/>
        <v>0</v>
      </c>
      <c r="T1329" s="142">
        <f t="shared" si="154"/>
        <v>0</v>
      </c>
      <c r="U1329" s="142">
        <f t="shared" si="155"/>
        <v>0</v>
      </c>
      <c r="W1329" s="601"/>
      <c r="X1329" s="601"/>
      <c r="Y1329" s="123"/>
      <c r="Z1329" s="692">
        <f t="shared" si="152"/>
        <v>0</v>
      </c>
    </row>
    <row r="1330" spans="1:26" customFormat="1" ht="12.75" thickBot="1">
      <c r="A1330" s="57" t="s">
        <v>1272</v>
      </c>
      <c r="B1330" s="25" t="s">
        <v>395</v>
      </c>
      <c r="C1330" s="25" t="s">
        <v>952</v>
      </c>
      <c r="D1330" s="694" t="s">
        <v>498</v>
      </c>
      <c r="E1330" s="579"/>
      <c r="F1330" s="577"/>
      <c r="G1330" s="578"/>
      <c r="H1330" s="577"/>
      <c r="I1330" s="577"/>
      <c r="J1330" s="577"/>
      <c r="K1330" s="577"/>
      <c r="L1330" s="577"/>
      <c r="M1330" s="578"/>
      <c r="N1330" s="578"/>
      <c r="O1330" s="577"/>
      <c r="P1330" s="577"/>
      <c r="Q1330" s="578"/>
      <c r="R1330" s="578"/>
      <c r="S1330" s="142">
        <f t="shared" si="153"/>
        <v>0</v>
      </c>
      <c r="T1330" s="142">
        <f t="shared" si="154"/>
        <v>0</v>
      </c>
      <c r="U1330" s="142">
        <f t="shared" si="155"/>
        <v>0</v>
      </c>
      <c r="W1330" s="601"/>
      <c r="X1330" s="601"/>
      <c r="Y1330" s="123"/>
      <c r="Z1330" s="692">
        <f t="shared" si="152"/>
        <v>0</v>
      </c>
    </row>
    <row r="1331" spans="1:26" customFormat="1" ht="12.75" thickBot="1">
      <c r="A1331" s="57" t="s">
        <v>1272</v>
      </c>
      <c r="B1331" s="25" t="s">
        <v>396</v>
      </c>
      <c r="C1331" s="25" t="s">
        <v>953</v>
      </c>
      <c r="D1331" s="694" t="s">
        <v>498</v>
      </c>
      <c r="E1331" s="579"/>
      <c r="F1331" s="577"/>
      <c r="G1331" s="578"/>
      <c r="H1331" s="577"/>
      <c r="I1331" s="577"/>
      <c r="J1331" s="577"/>
      <c r="K1331" s="577"/>
      <c r="L1331" s="577"/>
      <c r="M1331" s="578"/>
      <c r="N1331" s="578"/>
      <c r="O1331" s="577"/>
      <c r="P1331" s="577"/>
      <c r="Q1331" s="578"/>
      <c r="R1331" s="578"/>
      <c r="S1331" s="142">
        <f t="shared" si="153"/>
        <v>0</v>
      </c>
      <c r="T1331" s="142">
        <f t="shared" si="154"/>
        <v>0</v>
      </c>
      <c r="U1331" s="142">
        <f t="shared" si="155"/>
        <v>0</v>
      </c>
      <c r="W1331" s="601"/>
      <c r="X1331" s="601"/>
      <c r="Y1331" s="123"/>
      <c r="Z1331" s="692">
        <f t="shared" si="152"/>
        <v>0</v>
      </c>
    </row>
    <row r="1332" spans="1:26" customFormat="1" ht="12.75" thickBot="1">
      <c r="A1332" s="57" t="s">
        <v>1272</v>
      </c>
      <c r="B1332" s="25" t="s">
        <v>397</v>
      </c>
      <c r="C1332" s="25" t="s">
        <v>954</v>
      </c>
      <c r="D1332" s="694" t="s">
        <v>498</v>
      </c>
      <c r="E1332" s="579"/>
      <c r="F1332" s="577"/>
      <c r="G1332" s="578"/>
      <c r="H1332" s="577"/>
      <c r="I1332" s="577"/>
      <c r="J1332" s="577"/>
      <c r="K1332" s="577"/>
      <c r="L1332" s="577"/>
      <c r="M1332" s="578"/>
      <c r="N1332" s="578"/>
      <c r="O1332" s="577"/>
      <c r="P1332" s="577"/>
      <c r="Q1332" s="578"/>
      <c r="R1332" s="578"/>
      <c r="S1332" s="142">
        <f t="shared" si="153"/>
        <v>0</v>
      </c>
      <c r="T1332" s="142">
        <f t="shared" si="154"/>
        <v>0</v>
      </c>
      <c r="U1332" s="142">
        <f t="shared" si="155"/>
        <v>0</v>
      </c>
      <c r="W1332" s="601"/>
      <c r="X1332" s="601"/>
      <c r="Y1332" s="123"/>
      <c r="Z1332" s="692">
        <f t="shared" si="152"/>
        <v>0</v>
      </c>
    </row>
    <row r="1333" spans="1:26" customFormat="1" ht="12.75" thickBot="1">
      <c r="A1333" s="57" t="s">
        <v>1272</v>
      </c>
      <c r="B1333" s="25" t="s">
        <v>287</v>
      </c>
      <c r="C1333" s="25" t="s">
        <v>955</v>
      </c>
      <c r="D1333" s="694" t="s">
        <v>498</v>
      </c>
      <c r="E1333" s="579"/>
      <c r="F1333" s="577"/>
      <c r="G1333" s="578"/>
      <c r="H1333" s="577"/>
      <c r="I1333" s="577"/>
      <c r="J1333" s="577"/>
      <c r="K1333" s="577"/>
      <c r="L1333" s="577"/>
      <c r="M1333" s="578"/>
      <c r="N1333" s="578"/>
      <c r="O1333" s="577"/>
      <c r="P1333" s="577"/>
      <c r="Q1333" s="578"/>
      <c r="R1333" s="578"/>
      <c r="S1333" s="142">
        <f t="shared" si="153"/>
        <v>0</v>
      </c>
      <c r="T1333" s="142">
        <f t="shared" si="154"/>
        <v>0</v>
      </c>
      <c r="U1333" s="142">
        <f t="shared" si="155"/>
        <v>0</v>
      </c>
      <c r="W1333" s="601"/>
      <c r="X1333" s="601"/>
      <c r="Y1333" s="123"/>
      <c r="Z1333" s="692">
        <f t="shared" si="152"/>
        <v>0</v>
      </c>
    </row>
    <row r="1334" spans="1:26" customFormat="1" ht="12.75" thickBot="1">
      <c r="A1334" s="57" t="s">
        <v>1272</v>
      </c>
      <c r="B1334" s="25" t="s">
        <v>288</v>
      </c>
      <c r="C1334" s="25" t="s">
        <v>956</v>
      </c>
      <c r="D1334" s="694" t="s">
        <v>498</v>
      </c>
      <c r="E1334" s="579"/>
      <c r="F1334" s="577"/>
      <c r="G1334" s="578"/>
      <c r="H1334" s="577"/>
      <c r="I1334" s="577"/>
      <c r="J1334" s="577"/>
      <c r="K1334" s="577"/>
      <c r="L1334" s="577"/>
      <c r="M1334" s="578"/>
      <c r="N1334" s="578"/>
      <c r="O1334" s="577"/>
      <c r="P1334" s="577"/>
      <c r="Q1334" s="578"/>
      <c r="R1334" s="578"/>
      <c r="S1334" s="142">
        <f t="shared" si="153"/>
        <v>0</v>
      </c>
      <c r="T1334" s="142">
        <f t="shared" si="154"/>
        <v>0</v>
      </c>
      <c r="U1334" s="142">
        <f t="shared" si="155"/>
        <v>0</v>
      </c>
      <c r="W1334" s="601"/>
      <c r="X1334" s="601"/>
      <c r="Y1334" s="123"/>
      <c r="Z1334" s="692">
        <f t="shared" si="152"/>
        <v>0</v>
      </c>
    </row>
    <row r="1335" spans="1:26" customFormat="1" ht="12.75" thickBot="1">
      <c r="A1335" s="57" t="s">
        <v>1272</v>
      </c>
      <c r="B1335" s="25" t="s">
        <v>291</v>
      </c>
      <c r="C1335" s="25" t="s">
        <v>957</v>
      </c>
      <c r="D1335" s="694" t="s">
        <v>498</v>
      </c>
      <c r="E1335" s="579"/>
      <c r="F1335" s="577"/>
      <c r="G1335" s="578"/>
      <c r="H1335" s="577"/>
      <c r="I1335" s="577"/>
      <c r="J1335" s="577"/>
      <c r="K1335" s="577"/>
      <c r="L1335" s="577"/>
      <c r="M1335" s="578"/>
      <c r="N1335" s="578"/>
      <c r="O1335" s="577"/>
      <c r="P1335" s="577"/>
      <c r="Q1335" s="578"/>
      <c r="R1335" s="578"/>
      <c r="S1335" s="142">
        <f t="shared" si="153"/>
        <v>0</v>
      </c>
      <c r="T1335" s="142">
        <f t="shared" si="154"/>
        <v>0</v>
      </c>
      <c r="U1335" s="142">
        <f t="shared" si="155"/>
        <v>0</v>
      </c>
      <c r="W1335" s="601"/>
      <c r="X1335" s="601"/>
      <c r="Y1335" s="123"/>
      <c r="Z1335" s="692">
        <f t="shared" si="152"/>
        <v>0</v>
      </c>
    </row>
    <row r="1336" spans="1:26" customFormat="1" ht="12.75" thickBot="1">
      <c r="A1336" s="57" t="s">
        <v>1272</v>
      </c>
      <c r="B1336" s="25" t="s">
        <v>297</v>
      </c>
      <c r="C1336" s="25" t="s">
        <v>958</v>
      </c>
      <c r="D1336" s="694" t="s">
        <v>498</v>
      </c>
      <c r="E1336" s="579"/>
      <c r="F1336" s="577"/>
      <c r="G1336" s="578"/>
      <c r="H1336" s="577"/>
      <c r="I1336" s="577"/>
      <c r="J1336" s="577"/>
      <c r="K1336" s="577"/>
      <c r="L1336" s="577"/>
      <c r="M1336" s="578"/>
      <c r="N1336" s="578"/>
      <c r="O1336" s="577"/>
      <c r="P1336" s="577"/>
      <c r="Q1336" s="578"/>
      <c r="R1336" s="578"/>
      <c r="S1336" s="142">
        <f t="shared" si="153"/>
        <v>0</v>
      </c>
      <c r="T1336" s="142">
        <f t="shared" si="154"/>
        <v>0</v>
      </c>
      <c r="U1336" s="142">
        <f t="shared" si="155"/>
        <v>0</v>
      </c>
      <c r="W1336" s="601"/>
      <c r="X1336" s="601"/>
      <c r="Y1336" s="123"/>
      <c r="Z1336" s="692">
        <f t="shared" si="152"/>
        <v>0</v>
      </c>
    </row>
    <row r="1337" spans="1:26" customFormat="1" ht="12.75" thickBot="1">
      <c r="A1337" s="57" t="s">
        <v>1272</v>
      </c>
      <c r="B1337" s="25" t="s">
        <v>299</v>
      </c>
      <c r="C1337" s="25" t="s">
        <v>959</v>
      </c>
      <c r="D1337" s="694" t="s">
        <v>498</v>
      </c>
      <c r="E1337" s="579"/>
      <c r="F1337" s="577"/>
      <c r="G1337" s="578"/>
      <c r="H1337" s="577"/>
      <c r="I1337" s="577"/>
      <c r="J1337" s="577"/>
      <c r="K1337" s="577"/>
      <c r="L1337" s="577"/>
      <c r="M1337" s="578"/>
      <c r="N1337" s="578"/>
      <c r="O1337" s="577"/>
      <c r="P1337" s="577"/>
      <c r="Q1337" s="578"/>
      <c r="R1337" s="578"/>
      <c r="S1337" s="142">
        <f t="shared" si="153"/>
        <v>0</v>
      </c>
      <c r="T1337" s="142">
        <f t="shared" si="154"/>
        <v>0</v>
      </c>
      <c r="U1337" s="142">
        <f t="shared" si="155"/>
        <v>0</v>
      </c>
      <c r="W1337" s="601"/>
      <c r="X1337" s="601"/>
      <c r="Y1337" s="123"/>
      <c r="Z1337" s="692">
        <f t="shared" si="152"/>
        <v>0</v>
      </c>
    </row>
    <row r="1338" spans="1:26" customFormat="1" ht="12.75" thickBot="1">
      <c r="A1338" s="57" t="s">
        <v>1272</v>
      </c>
      <c r="B1338" s="25" t="s">
        <v>377</v>
      </c>
      <c r="C1338" s="25" t="s">
        <v>960</v>
      </c>
      <c r="D1338" s="694" t="s">
        <v>606</v>
      </c>
      <c r="E1338" s="579"/>
      <c r="F1338" s="577"/>
      <c r="G1338" s="578"/>
      <c r="H1338" s="577"/>
      <c r="I1338" s="577"/>
      <c r="J1338" s="577"/>
      <c r="K1338" s="577"/>
      <c r="L1338" s="577"/>
      <c r="M1338" s="578"/>
      <c r="N1338" s="578"/>
      <c r="O1338" s="577"/>
      <c r="P1338" s="577"/>
      <c r="Q1338" s="577"/>
      <c r="R1338" s="578"/>
      <c r="S1338" s="142">
        <f t="shared" si="153"/>
        <v>0</v>
      </c>
      <c r="T1338" s="142">
        <f t="shared" si="154"/>
        <v>0</v>
      </c>
      <c r="U1338" s="142">
        <f t="shared" si="155"/>
        <v>0</v>
      </c>
      <c r="W1338" s="601"/>
      <c r="X1338" s="601"/>
      <c r="Y1338" s="123"/>
      <c r="Z1338" s="692">
        <f t="shared" si="152"/>
        <v>0</v>
      </c>
    </row>
    <row r="1339" spans="1:26" customFormat="1" ht="12.75" thickBot="1">
      <c r="A1339" s="57" t="s">
        <v>1272</v>
      </c>
      <c r="B1339" s="25" t="s">
        <v>737</v>
      </c>
      <c r="C1339" s="25" t="s">
        <v>961</v>
      </c>
      <c r="D1339" s="694" t="s">
        <v>606</v>
      </c>
      <c r="E1339" s="579"/>
      <c r="F1339" s="577"/>
      <c r="G1339" s="578"/>
      <c r="H1339" s="577"/>
      <c r="I1339" s="577"/>
      <c r="J1339" s="577"/>
      <c r="K1339" s="577"/>
      <c r="L1339" s="577"/>
      <c r="M1339" s="578"/>
      <c r="N1339" s="578"/>
      <c r="O1339" s="577"/>
      <c r="P1339" s="577"/>
      <c r="Q1339" s="577"/>
      <c r="R1339" s="578"/>
      <c r="S1339" s="142">
        <f t="shared" si="153"/>
        <v>0</v>
      </c>
      <c r="T1339" s="142">
        <f t="shared" si="154"/>
        <v>0</v>
      </c>
      <c r="U1339" s="142">
        <f t="shared" si="155"/>
        <v>0</v>
      </c>
      <c r="W1339" s="601"/>
      <c r="X1339" s="601"/>
      <c r="Y1339" s="123"/>
      <c r="Z1339" s="692">
        <f t="shared" si="152"/>
        <v>0</v>
      </c>
    </row>
    <row r="1340" spans="1:26" customFormat="1" ht="12.75" thickBot="1">
      <c r="A1340" s="57" t="s">
        <v>1272</v>
      </c>
      <c r="B1340" s="25" t="s">
        <v>329</v>
      </c>
      <c r="C1340" s="25" t="s">
        <v>962</v>
      </c>
      <c r="D1340" s="694" t="s">
        <v>606</v>
      </c>
      <c r="E1340" s="579"/>
      <c r="F1340" s="577"/>
      <c r="G1340" s="578"/>
      <c r="H1340" s="577"/>
      <c r="I1340" s="577"/>
      <c r="J1340" s="577"/>
      <c r="K1340" s="577"/>
      <c r="L1340" s="577"/>
      <c r="M1340" s="578"/>
      <c r="N1340" s="578"/>
      <c r="O1340" s="577"/>
      <c r="P1340" s="577"/>
      <c r="Q1340" s="578"/>
      <c r="R1340" s="578"/>
      <c r="S1340" s="142">
        <f t="shared" si="153"/>
        <v>0</v>
      </c>
      <c r="T1340" s="142">
        <f t="shared" si="154"/>
        <v>0</v>
      </c>
      <c r="U1340" s="142">
        <f t="shared" si="155"/>
        <v>0</v>
      </c>
      <c r="W1340" s="601"/>
      <c r="X1340" s="601"/>
      <c r="Y1340" s="123"/>
      <c r="Z1340" s="692">
        <f t="shared" si="152"/>
        <v>0</v>
      </c>
    </row>
    <row r="1341" spans="1:26" customFormat="1" ht="12.75" thickBot="1">
      <c r="A1341" s="57" t="s">
        <v>1272</v>
      </c>
      <c r="B1341" s="25" t="s">
        <v>330</v>
      </c>
      <c r="C1341" s="25" t="s">
        <v>963</v>
      </c>
      <c r="D1341" s="694" t="s">
        <v>606</v>
      </c>
      <c r="E1341" s="579"/>
      <c r="F1341" s="577"/>
      <c r="G1341" s="578"/>
      <c r="H1341" s="577"/>
      <c r="I1341" s="577"/>
      <c r="J1341" s="577"/>
      <c r="K1341" s="577"/>
      <c r="L1341" s="577"/>
      <c r="M1341" s="578"/>
      <c r="N1341" s="578"/>
      <c r="O1341" s="577"/>
      <c r="P1341" s="577"/>
      <c r="Q1341" s="578"/>
      <c r="R1341" s="578"/>
      <c r="S1341" s="142">
        <f t="shared" si="153"/>
        <v>0</v>
      </c>
      <c r="T1341" s="142">
        <f t="shared" si="154"/>
        <v>0</v>
      </c>
      <c r="U1341" s="142">
        <f t="shared" si="155"/>
        <v>0</v>
      </c>
      <c r="W1341" s="601"/>
      <c r="X1341" s="601"/>
      <c r="Y1341" s="123"/>
      <c r="Z1341" s="692">
        <f t="shared" si="152"/>
        <v>0</v>
      </c>
    </row>
    <row r="1342" spans="1:26" customFormat="1" ht="12.75" thickBot="1">
      <c r="A1342" s="57" t="s">
        <v>1272</v>
      </c>
      <c r="B1342" s="25" t="s">
        <v>332</v>
      </c>
      <c r="C1342" s="25" t="s">
        <v>964</v>
      </c>
      <c r="D1342" s="694" t="s">
        <v>606</v>
      </c>
      <c r="E1342" s="579"/>
      <c r="F1342" s="577"/>
      <c r="G1342" s="578"/>
      <c r="H1342" s="577"/>
      <c r="I1342" s="577"/>
      <c r="J1342" s="577"/>
      <c r="K1342" s="577"/>
      <c r="L1342" s="577"/>
      <c r="M1342" s="578"/>
      <c r="N1342" s="578"/>
      <c r="O1342" s="577"/>
      <c r="P1342" s="577"/>
      <c r="Q1342" s="578"/>
      <c r="R1342" s="578"/>
      <c r="S1342" s="142">
        <f t="shared" si="153"/>
        <v>0</v>
      </c>
      <c r="T1342" s="142">
        <f t="shared" si="154"/>
        <v>0</v>
      </c>
      <c r="U1342" s="142">
        <f t="shared" si="155"/>
        <v>0</v>
      </c>
      <c r="W1342" s="601"/>
      <c r="X1342" s="601"/>
      <c r="Y1342" s="123"/>
      <c r="Z1342" s="692">
        <f t="shared" si="152"/>
        <v>0</v>
      </c>
    </row>
    <row r="1343" spans="1:26" customFormat="1" ht="12.75" thickBot="1">
      <c r="A1343" s="57" t="s">
        <v>1272</v>
      </c>
      <c r="B1343" s="25" t="s">
        <v>333</v>
      </c>
      <c r="C1343" s="25" t="s">
        <v>965</v>
      </c>
      <c r="D1343" s="694" t="s">
        <v>606</v>
      </c>
      <c r="E1343" s="579"/>
      <c r="F1343" s="577"/>
      <c r="G1343" s="578"/>
      <c r="H1343" s="577"/>
      <c r="I1343" s="577"/>
      <c r="J1343" s="577"/>
      <c r="K1343" s="577"/>
      <c r="L1343" s="577"/>
      <c r="M1343" s="578"/>
      <c r="N1343" s="578"/>
      <c r="O1343" s="577"/>
      <c r="P1343" s="577"/>
      <c r="Q1343" s="578"/>
      <c r="R1343" s="578"/>
      <c r="S1343" s="142">
        <f t="shared" si="153"/>
        <v>0</v>
      </c>
      <c r="T1343" s="142">
        <f t="shared" si="154"/>
        <v>0</v>
      </c>
      <c r="U1343" s="142">
        <f t="shared" si="155"/>
        <v>0</v>
      </c>
      <c r="W1343" s="601"/>
      <c r="X1343" s="601"/>
      <c r="Y1343" s="123"/>
      <c r="Z1343" s="692">
        <f t="shared" si="152"/>
        <v>0</v>
      </c>
    </row>
    <row r="1344" spans="1:26" customFormat="1" ht="12.75" thickBot="1">
      <c r="A1344" s="57" t="s">
        <v>1272</v>
      </c>
      <c r="B1344" s="25" t="s">
        <v>334</v>
      </c>
      <c r="C1344" s="25" t="s">
        <v>966</v>
      </c>
      <c r="D1344" s="694" t="s">
        <v>498</v>
      </c>
      <c r="E1344" s="579"/>
      <c r="F1344" s="577"/>
      <c r="G1344" s="578"/>
      <c r="H1344" s="577"/>
      <c r="I1344" s="577"/>
      <c r="J1344" s="577"/>
      <c r="K1344" s="577"/>
      <c r="L1344" s="577"/>
      <c r="M1344" s="578"/>
      <c r="N1344" s="578"/>
      <c r="O1344" s="577"/>
      <c r="P1344" s="577"/>
      <c r="Q1344" s="578"/>
      <c r="R1344" s="578"/>
      <c r="S1344" s="142">
        <f t="shared" si="153"/>
        <v>0</v>
      </c>
      <c r="T1344" s="142">
        <f t="shared" si="154"/>
        <v>0</v>
      </c>
      <c r="U1344" s="142">
        <f t="shared" si="155"/>
        <v>0</v>
      </c>
      <c r="W1344" s="601"/>
      <c r="X1344" s="601"/>
      <c r="Y1344" s="123"/>
      <c r="Z1344" s="692">
        <f t="shared" si="152"/>
        <v>0</v>
      </c>
    </row>
    <row r="1345" spans="1:26" customFormat="1" ht="12.75" thickBot="1">
      <c r="A1345" s="57" t="s">
        <v>1272</v>
      </c>
      <c r="B1345" s="25" t="s">
        <v>336</v>
      </c>
      <c r="C1345" s="25" t="s">
        <v>967</v>
      </c>
      <c r="D1345" s="694" t="s">
        <v>498</v>
      </c>
      <c r="E1345" s="579"/>
      <c r="F1345" s="577"/>
      <c r="G1345" s="578"/>
      <c r="H1345" s="577"/>
      <c r="I1345" s="577"/>
      <c r="J1345" s="577"/>
      <c r="K1345" s="577"/>
      <c r="L1345" s="577"/>
      <c r="M1345" s="578"/>
      <c r="N1345" s="578"/>
      <c r="O1345" s="577"/>
      <c r="P1345" s="577"/>
      <c r="Q1345" s="578"/>
      <c r="R1345" s="578"/>
      <c r="S1345" s="142">
        <f t="shared" si="153"/>
        <v>0</v>
      </c>
      <c r="T1345" s="142">
        <f t="shared" si="154"/>
        <v>0</v>
      </c>
      <c r="U1345" s="142">
        <f t="shared" si="155"/>
        <v>0</v>
      </c>
      <c r="W1345" s="601"/>
      <c r="X1345" s="601"/>
      <c r="Y1345" s="123"/>
      <c r="Z1345" s="692">
        <f t="shared" si="152"/>
        <v>0</v>
      </c>
    </row>
    <row r="1346" spans="1:26" customFormat="1" ht="12.75" thickBot="1">
      <c r="A1346" s="57" t="s">
        <v>1272</v>
      </c>
      <c r="B1346" s="25" t="s">
        <v>337</v>
      </c>
      <c r="C1346" s="25" t="s">
        <v>968</v>
      </c>
      <c r="D1346" s="694" t="s">
        <v>606</v>
      </c>
      <c r="E1346" s="579"/>
      <c r="F1346" s="577"/>
      <c r="G1346" s="578"/>
      <c r="H1346" s="577"/>
      <c r="I1346" s="577"/>
      <c r="J1346" s="577"/>
      <c r="K1346" s="577"/>
      <c r="L1346" s="577"/>
      <c r="M1346" s="578"/>
      <c r="N1346" s="578"/>
      <c r="O1346" s="577"/>
      <c r="P1346" s="577"/>
      <c r="Q1346" s="578"/>
      <c r="R1346" s="578"/>
      <c r="S1346" s="142">
        <f t="shared" si="153"/>
        <v>0</v>
      </c>
      <c r="T1346" s="142">
        <f t="shared" si="154"/>
        <v>0</v>
      </c>
      <c r="U1346" s="142">
        <f t="shared" si="155"/>
        <v>0</v>
      </c>
      <c r="W1346" s="601"/>
      <c r="X1346" s="601"/>
      <c r="Y1346" s="123"/>
      <c r="Z1346" s="692">
        <f t="shared" si="152"/>
        <v>0</v>
      </c>
    </row>
    <row r="1347" spans="1:26" customFormat="1" ht="12.75" thickBot="1">
      <c r="A1347" s="57" t="s">
        <v>1272</v>
      </c>
      <c r="B1347" s="25" t="s">
        <v>338</v>
      </c>
      <c r="C1347" s="25" t="s">
        <v>969</v>
      </c>
      <c r="D1347" s="694" t="s">
        <v>606</v>
      </c>
      <c r="E1347" s="579"/>
      <c r="F1347" s="577"/>
      <c r="G1347" s="578"/>
      <c r="H1347" s="577"/>
      <c r="I1347" s="577"/>
      <c r="J1347" s="577"/>
      <c r="K1347" s="577"/>
      <c r="L1347" s="577"/>
      <c r="M1347" s="578"/>
      <c r="N1347" s="578"/>
      <c r="O1347" s="577"/>
      <c r="P1347" s="577"/>
      <c r="Q1347" s="578"/>
      <c r="R1347" s="578"/>
      <c r="S1347" s="142">
        <f t="shared" si="153"/>
        <v>0</v>
      </c>
      <c r="T1347" s="142">
        <f t="shared" si="154"/>
        <v>0</v>
      </c>
      <c r="U1347" s="142">
        <f t="shared" si="155"/>
        <v>0</v>
      </c>
      <c r="W1347" s="601"/>
      <c r="X1347" s="601"/>
      <c r="Y1347" s="123"/>
      <c r="Z1347" s="692">
        <f t="shared" si="152"/>
        <v>0</v>
      </c>
    </row>
    <row r="1348" spans="1:26" customFormat="1" ht="12.75" thickBot="1">
      <c r="A1348" s="57" t="s">
        <v>1272</v>
      </c>
      <c r="B1348" s="25" t="s">
        <v>339</v>
      </c>
      <c r="C1348" s="25" t="s">
        <v>970</v>
      </c>
      <c r="D1348" s="694" t="s">
        <v>606</v>
      </c>
      <c r="E1348" s="579"/>
      <c r="F1348" s="577"/>
      <c r="G1348" s="578"/>
      <c r="H1348" s="577"/>
      <c r="I1348" s="577"/>
      <c r="J1348" s="577"/>
      <c r="K1348" s="577"/>
      <c r="L1348" s="577"/>
      <c r="M1348" s="578"/>
      <c r="N1348" s="578"/>
      <c r="O1348" s="577"/>
      <c r="P1348" s="577"/>
      <c r="Q1348" s="578"/>
      <c r="R1348" s="578"/>
      <c r="S1348" s="142">
        <f t="shared" si="153"/>
        <v>0</v>
      </c>
      <c r="T1348" s="142">
        <f t="shared" si="154"/>
        <v>0</v>
      </c>
      <c r="U1348" s="142">
        <f t="shared" si="155"/>
        <v>0</v>
      </c>
      <c r="W1348" s="601"/>
      <c r="X1348" s="601"/>
      <c r="Y1348" s="123"/>
      <c r="Z1348" s="692">
        <f t="shared" ref="Z1348:Z1382" si="158">SUM(F1348:K1348)</f>
        <v>0</v>
      </c>
    </row>
    <row r="1349" spans="1:26" customFormat="1" ht="12.75" thickBot="1">
      <c r="A1349" s="57" t="s">
        <v>1272</v>
      </c>
      <c r="B1349" s="25" t="s">
        <v>340</v>
      </c>
      <c r="C1349" s="25" t="s">
        <v>971</v>
      </c>
      <c r="D1349" s="694" t="s">
        <v>606</v>
      </c>
      <c r="E1349" s="579"/>
      <c r="F1349" s="577"/>
      <c r="G1349" s="578"/>
      <c r="H1349" s="577"/>
      <c r="I1349" s="577"/>
      <c r="J1349" s="577"/>
      <c r="K1349" s="577"/>
      <c r="L1349" s="577"/>
      <c r="M1349" s="578"/>
      <c r="N1349" s="578"/>
      <c r="O1349" s="577"/>
      <c r="P1349" s="577"/>
      <c r="Q1349" s="578"/>
      <c r="R1349" s="578"/>
      <c r="S1349" s="142">
        <f t="shared" si="153"/>
        <v>0</v>
      </c>
      <c r="T1349" s="142">
        <f t="shared" si="154"/>
        <v>0</v>
      </c>
      <c r="U1349" s="142">
        <f t="shared" si="155"/>
        <v>0</v>
      </c>
      <c r="W1349" s="601"/>
      <c r="X1349" s="601"/>
      <c r="Y1349" s="123"/>
      <c r="Z1349" s="692">
        <f t="shared" si="158"/>
        <v>0</v>
      </c>
    </row>
    <row r="1350" spans="1:26" customFormat="1" ht="12.75" thickBot="1">
      <c r="A1350" s="57" t="s">
        <v>1272</v>
      </c>
      <c r="B1350" s="25" t="s">
        <v>341</v>
      </c>
      <c r="C1350" s="25" t="s">
        <v>972</v>
      </c>
      <c r="D1350" s="694" t="s">
        <v>606</v>
      </c>
      <c r="E1350" s="579"/>
      <c r="F1350" s="577"/>
      <c r="G1350" s="578"/>
      <c r="H1350" s="577"/>
      <c r="I1350" s="577"/>
      <c r="J1350" s="577"/>
      <c r="K1350" s="577"/>
      <c r="L1350" s="577"/>
      <c r="M1350" s="578"/>
      <c r="N1350" s="578"/>
      <c r="O1350" s="577"/>
      <c r="P1350" s="577"/>
      <c r="Q1350" s="578"/>
      <c r="R1350" s="578"/>
      <c r="S1350" s="142">
        <f t="shared" si="153"/>
        <v>0</v>
      </c>
      <c r="T1350" s="142">
        <f t="shared" si="154"/>
        <v>0</v>
      </c>
      <c r="U1350" s="142">
        <f t="shared" si="155"/>
        <v>0</v>
      </c>
      <c r="W1350" s="601"/>
      <c r="X1350" s="601"/>
      <c r="Y1350" s="123"/>
      <c r="Z1350" s="692">
        <f t="shared" si="158"/>
        <v>0</v>
      </c>
    </row>
    <row r="1351" spans="1:26" customFormat="1" ht="12.75" thickBot="1">
      <c r="A1351" s="57" t="s">
        <v>1272</v>
      </c>
      <c r="B1351" s="25" t="s">
        <v>342</v>
      </c>
      <c r="C1351" s="25" t="s">
        <v>973</v>
      </c>
      <c r="D1351" s="694" t="s">
        <v>606</v>
      </c>
      <c r="E1351" s="579"/>
      <c r="F1351" s="577"/>
      <c r="G1351" s="578"/>
      <c r="H1351" s="577"/>
      <c r="I1351" s="577"/>
      <c r="J1351" s="577"/>
      <c r="K1351" s="577"/>
      <c r="L1351" s="577"/>
      <c r="M1351" s="578"/>
      <c r="N1351" s="578"/>
      <c r="O1351" s="577"/>
      <c r="P1351" s="577"/>
      <c r="Q1351" s="578"/>
      <c r="R1351" s="578"/>
      <c r="S1351" s="142">
        <f t="shared" si="153"/>
        <v>0</v>
      </c>
      <c r="T1351" s="142">
        <f t="shared" si="154"/>
        <v>0</v>
      </c>
      <c r="U1351" s="142">
        <f t="shared" si="155"/>
        <v>0</v>
      </c>
      <c r="W1351" s="601"/>
      <c r="X1351" s="601"/>
      <c r="Y1351" s="123"/>
      <c r="Z1351" s="692">
        <f t="shared" si="158"/>
        <v>0</v>
      </c>
    </row>
    <row r="1352" spans="1:26" customFormat="1" ht="12.75" thickBot="1">
      <c r="A1352" s="57" t="s">
        <v>1272</v>
      </c>
      <c r="B1352" s="25" t="s">
        <v>343</v>
      </c>
      <c r="C1352" s="25" t="s">
        <v>974</v>
      </c>
      <c r="D1352" s="694" t="s">
        <v>498</v>
      </c>
      <c r="E1352" s="579"/>
      <c r="F1352" s="577"/>
      <c r="G1352" s="578"/>
      <c r="H1352" s="577"/>
      <c r="I1352" s="577"/>
      <c r="J1352" s="577"/>
      <c r="K1352" s="577"/>
      <c r="L1352" s="577"/>
      <c r="M1352" s="578"/>
      <c r="N1352" s="578"/>
      <c r="O1352" s="577"/>
      <c r="P1352" s="577"/>
      <c r="Q1352" s="578"/>
      <c r="R1352" s="578"/>
      <c r="S1352" s="142">
        <f t="shared" si="153"/>
        <v>0</v>
      </c>
      <c r="T1352" s="142">
        <f t="shared" si="154"/>
        <v>0</v>
      </c>
      <c r="U1352" s="142">
        <f t="shared" si="155"/>
        <v>0</v>
      </c>
      <c r="W1352" s="601"/>
      <c r="X1352" s="601"/>
      <c r="Y1352" s="123"/>
      <c r="Z1352" s="692">
        <f t="shared" si="158"/>
        <v>0</v>
      </c>
    </row>
    <row r="1353" spans="1:26" customFormat="1" ht="12.75" thickBot="1">
      <c r="A1353" s="57" t="s">
        <v>1272</v>
      </c>
      <c r="B1353" s="25" t="s">
        <v>344</v>
      </c>
      <c r="C1353" s="25" t="s">
        <v>975</v>
      </c>
      <c r="D1353" s="694" t="s">
        <v>606</v>
      </c>
      <c r="E1353" s="579"/>
      <c r="F1353" s="577"/>
      <c r="G1353" s="578"/>
      <c r="H1353" s="577"/>
      <c r="I1353" s="577"/>
      <c r="J1353" s="577"/>
      <c r="K1353" s="577"/>
      <c r="L1353" s="577"/>
      <c r="M1353" s="578"/>
      <c r="N1353" s="578"/>
      <c r="O1353" s="577"/>
      <c r="P1353" s="577"/>
      <c r="Q1353" s="578"/>
      <c r="R1353" s="578"/>
      <c r="S1353" s="142">
        <f t="shared" si="153"/>
        <v>0</v>
      </c>
      <c r="T1353" s="142">
        <f t="shared" si="154"/>
        <v>0</v>
      </c>
      <c r="U1353" s="142">
        <f t="shared" si="155"/>
        <v>0</v>
      </c>
      <c r="W1353" s="601"/>
      <c r="X1353" s="601"/>
      <c r="Y1353" s="123"/>
      <c r="Z1353" s="692">
        <f t="shared" si="158"/>
        <v>0</v>
      </c>
    </row>
    <row r="1354" spans="1:26" customFormat="1" ht="12.75" thickBot="1">
      <c r="A1354" s="57" t="s">
        <v>1272</v>
      </c>
      <c r="B1354" s="25" t="s">
        <v>345</v>
      </c>
      <c r="C1354" s="25" t="s">
        <v>976</v>
      </c>
      <c r="D1354" s="694" t="s">
        <v>498</v>
      </c>
      <c r="E1354" s="579"/>
      <c r="F1354" s="577"/>
      <c r="G1354" s="578"/>
      <c r="H1354" s="577"/>
      <c r="I1354" s="577"/>
      <c r="J1354" s="577"/>
      <c r="K1354" s="577"/>
      <c r="L1354" s="577"/>
      <c r="M1354" s="578"/>
      <c r="N1354" s="578"/>
      <c r="O1354" s="577"/>
      <c r="P1354" s="577"/>
      <c r="Q1354" s="578"/>
      <c r="R1354" s="578"/>
      <c r="S1354" s="142">
        <f t="shared" si="153"/>
        <v>0</v>
      </c>
      <c r="T1354" s="142">
        <f t="shared" si="154"/>
        <v>0</v>
      </c>
      <c r="U1354" s="142">
        <f t="shared" si="155"/>
        <v>0</v>
      </c>
      <c r="W1354" s="601"/>
      <c r="X1354" s="601"/>
      <c r="Y1354" s="123"/>
      <c r="Z1354" s="692">
        <f t="shared" si="158"/>
        <v>0</v>
      </c>
    </row>
    <row r="1355" spans="1:26" customFormat="1" ht="12.75" thickBot="1">
      <c r="A1355" s="57" t="s">
        <v>1272</v>
      </c>
      <c r="B1355" s="25" t="s">
        <v>346</v>
      </c>
      <c r="C1355" s="25" t="s">
        <v>977</v>
      </c>
      <c r="D1355" s="694" t="s">
        <v>606</v>
      </c>
      <c r="E1355" s="579"/>
      <c r="F1355" s="577"/>
      <c r="G1355" s="578"/>
      <c r="H1355" s="577"/>
      <c r="I1355" s="577"/>
      <c r="J1355" s="577"/>
      <c r="K1355" s="577"/>
      <c r="L1355" s="577"/>
      <c r="M1355" s="578"/>
      <c r="N1355" s="578"/>
      <c r="O1355" s="577"/>
      <c r="P1355" s="577"/>
      <c r="Q1355" s="578"/>
      <c r="R1355" s="578"/>
      <c r="S1355" s="142">
        <f t="shared" si="153"/>
        <v>0</v>
      </c>
      <c r="T1355" s="142">
        <f t="shared" si="154"/>
        <v>0</v>
      </c>
      <c r="U1355" s="142">
        <f t="shared" si="155"/>
        <v>0</v>
      </c>
      <c r="W1355" s="601"/>
      <c r="X1355" s="601"/>
      <c r="Y1355" s="123"/>
      <c r="Z1355" s="692">
        <f t="shared" si="158"/>
        <v>0</v>
      </c>
    </row>
    <row r="1356" spans="1:26" customFormat="1" ht="12.75" thickBot="1">
      <c r="A1356" s="57" t="s">
        <v>1272</v>
      </c>
      <c r="B1356" s="25" t="s">
        <v>347</v>
      </c>
      <c r="C1356" s="25" t="s">
        <v>978</v>
      </c>
      <c r="D1356" s="694" t="s">
        <v>498</v>
      </c>
      <c r="E1356" s="579"/>
      <c r="F1356" s="577"/>
      <c r="G1356" s="578"/>
      <c r="H1356" s="577"/>
      <c r="I1356" s="577"/>
      <c r="J1356" s="577"/>
      <c r="K1356" s="577"/>
      <c r="L1356" s="577"/>
      <c r="M1356" s="578"/>
      <c r="N1356" s="578"/>
      <c r="O1356" s="577"/>
      <c r="P1356" s="577"/>
      <c r="Q1356" s="578"/>
      <c r="R1356" s="578"/>
      <c r="S1356" s="142">
        <f t="shared" si="153"/>
        <v>0</v>
      </c>
      <c r="T1356" s="142">
        <f t="shared" si="154"/>
        <v>0</v>
      </c>
      <c r="U1356" s="142">
        <f t="shared" si="155"/>
        <v>0</v>
      </c>
      <c r="W1356" s="601"/>
      <c r="X1356" s="601"/>
      <c r="Y1356" s="123"/>
      <c r="Z1356" s="692">
        <f t="shared" si="158"/>
        <v>0</v>
      </c>
    </row>
    <row r="1357" spans="1:26" customFormat="1" ht="12.75" thickBot="1">
      <c r="A1357" s="57" t="s">
        <v>1272</v>
      </c>
      <c r="B1357" s="25" t="s">
        <v>348</v>
      </c>
      <c r="C1357" s="25" t="s">
        <v>979</v>
      </c>
      <c r="D1357" s="694" t="s">
        <v>606</v>
      </c>
      <c r="E1357" s="579"/>
      <c r="F1357" s="577"/>
      <c r="G1357" s="578"/>
      <c r="H1357" s="577"/>
      <c r="I1357" s="577"/>
      <c r="J1357" s="577"/>
      <c r="K1357" s="577"/>
      <c r="L1357" s="577"/>
      <c r="M1357" s="578"/>
      <c r="N1357" s="578"/>
      <c r="O1357" s="577"/>
      <c r="P1357" s="577"/>
      <c r="Q1357" s="578"/>
      <c r="R1357" s="578"/>
      <c r="S1357" s="142">
        <f t="shared" si="153"/>
        <v>0</v>
      </c>
      <c r="T1357" s="142">
        <f t="shared" si="154"/>
        <v>0</v>
      </c>
      <c r="U1357" s="142">
        <f t="shared" si="155"/>
        <v>0</v>
      </c>
      <c r="W1357" s="601"/>
      <c r="X1357" s="601"/>
      <c r="Y1357" s="123"/>
      <c r="Z1357" s="692">
        <f t="shared" si="158"/>
        <v>0</v>
      </c>
    </row>
    <row r="1358" spans="1:26" customFormat="1" ht="12.75" thickBot="1">
      <c r="A1358" s="57" t="s">
        <v>1272</v>
      </c>
      <c r="B1358" s="25" t="s">
        <v>376</v>
      </c>
      <c r="C1358" s="25" t="s">
        <v>980</v>
      </c>
      <c r="D1358" s="694" t="s">
        <v>498</v>
      </c>
      <c r="E1358" s="579"/>
      <c r="F1358" s="577"/>
      <c r="G1358" s="578"/>
      <c r="H1358" s="577"/>
      <c r="I1358" s="577"/>
      <c r="J1358" s="577"/>
      <c r="K1358" s="577"/>
      <c r="L1358" s="577"/>
      <c r="M1358" s="578"/>
      <c r="N1358" s="578"/>
      <c r="O1358" s="577"/>
      <c r="P1358" s="577"/>
      <c r="Q1358" s="578"/>
      <c r="R1358" s="578"/>
      <c r="S1358" s="142">
        <f t="shared" ref="S1358:S1382" si="159">G1358+H1358+I1358</f>
        <v>0</v>
      </c>
      <c r="T1358" s="142">
        <f t="shared" ref="T1358:T1382" si="160">J1358+K1358</f>
        <v>0</v>
      </c>
      <c r="U1358" s="142">
        <f t="shared" ref="U1358:U1382" si="161">N1358+O1358</f>
        <v>0</v>
      </c>
      <c r="W1358" s="601"/>
      <c r="X1358" s="601"/>
      <c r="Y1358" s="123"/>
      <c r="Z1358" s="692">
        <f t="shared" si="158"/>
        <v>0</v>
      </c>
    </row>
    <row r="1359" spans="1:26" customFormat="1" ht="12.75" thickBot="1">
      <c r="A1359" s="57" t="s">
        <v>1272</v>
      </c>
      <c r="B1359" s="25" t="s">
        <v>349</v>
      </c>
      <c r="C1359" s="25" t="s">
        <v>981</v>
      </c>
      <c r="D1359" s="694" t="s">
        <v>606</v>
      </c>
      <c r="E1359" s="579"/>
      <c r="F1359" s="577"/>
      <c r="G1359" s="578"/>
      <c r="H1359" s="577"/>
      <c r="I1359" s="577"/>
      <c r="J1359" s="577"/>
      <c r="K1359" s="577"/>
      <c r="L1359" s="577"/>
      <c r="M1359" s="578"/>
      <c r="N1359" s="578"/>
      <c r="O1359" s="577"/>
      <c r="P1359" s="577"/>
      <c r="Q1359" s="578"/>
      <c r="R1359" s="578"/>
      <c r="S1359" s="142">
        <f t="shared" si="159"/>
        <v>0</v>
      </c>
      <c r="T1359" s="142">
        <f t="shared" si="160"/>
        <v>0</v>
      </c>
      <c r="U1359" s="142">
        <f t="shared" si="161"/>
        <v>0</v>
      </c>
      <c r="W1359" s="601"/>
      <c r="X1359" s="601"/>
      <c r="Y1359" s="123"/>
      <c r="Z1359" s="692">
        <f t="shared" si="158"/>
        <v>0</v>
      </c>
    </row>
    <row r="1360" spans="1:26" customFormat="1" ht="12.75" thickBot="1">
      <c r="A1360" s="57" t="s">
        <v>1272</v>
      </c>
      <c r="B1360" s="25" t="s">
        <v>730</v>
      </c>
      <c r="C1360" s="25" t="s">
        <v>982</v>
      </c>
      <c r="D1360" s="694" t="s">
        <v>606</v>
      </c>
      <c r="E1360" s="579"/>
      <c r="F1360" s="577"/>
      <c r="G1360" s="578"/>
      <c r="H1360" s="577"/>
      <c r="I1360" s="577"/>
      <c r="J1360" s="577"/>
      <c r="K1360" s="577"/>
      <c r="L1360" s="577"/>
      <c r="M1360" s="578"/>
      <c r="N1360" s="578"/>
      <c r="O1360" s="577"/>
      <c r="P1360" s="577"/>
      <c r="Q1360" s="577"/>
      <c r="R1360" s="578"/>
      <c r="S1360" s="142">
        <f t="shared" si="159"/>
        <v>0</v>
      </c>
      <c r="T1360" s="142">
        <f t="shared" si="160"/>
        <v>0</v>
      </c>
      <c r="U1360" s="142">
        <f t="shared" si="161"/>
        <v>0</v>
      </c>
      <c r="W1360" s="601"/>
      <c r="X1360" s="601"/>
      <c r="Y1360" s="123"/>
      <c r="Z1360" s="692">
        <f t="shared" si="158"/>
        <v>0</v>
      </c>
    </row>
    <row r="1361" spans="1:26" customFormat="1" ht="12.75" thickBot="1">
      <c r="A1361" s="57" t="s">
        <v>1272</v>
      </c>
      <c r="B1361" s="25" t="s">
        <v>378</v>
      </c>
      <c r="C1361" s="25" t="s">
        <v>983</v>
      </c>
      <c r="D1361" s="694" t="s">
        <v>606</v>
      </c>
      <c r="E1361" s="579"/>
      <c r="F1361" s="577"/>
      <c r="G1361" s="578"/>
      <c r="H1361" s="577"/>
      <c r="I1361" s="577"/>
      <c r="J1361" s="577"/>
      <c r="K1361" s="577"/>
      <c r="L1361" s="577"/>
      <c r="M1361" s="578"/>
      <c r="N1361" s="578"/>
      <c r="O1361" s="577"/>
      <c r="P1361" s="577"/>
      <c r="Q1361" s="577"/>
      <c r="R1361" s="578"/>
      <c r="S1361" s="142">
        <f t="shared" si="159"/>
        <v>0</v>
      </c>
      <c r="T1361" s="142">
        <f t="shared" si="160"/>
        <v>0</v>
      </c>
      <c r="U1361" s="142">
        <f t="shared" si="161"/>
        <v>0</v>
      </c>
      <c r="W1361" s="601"/>
      <c r="X1361" s="601"/>
      <c r="Y1361" s="123"/>
      <c r="Z1361" s="692">
        <f t="shared" si="158"/>
        <v>0</v>
      </c>
    </row>
    <row r="1362" spans="1:26" customFormat="1" ht="12.75" thickBot="1">
      <c r="A1362" s="57" t="s">
        <v>1272</v>
      </c>
      <c r="B1362" s="25" t="s">
        <v>354</v>
      </c>
      <c r="C1362" s="25" t="s">
        <v>984</v>
      </c>
      <c r="D1362" s="694" t="s">
        <v>606</v>
      </c>
      <c r="E1362" s="579"/>
      <c r="F1362" s="577"/>
      <c r="G1362" s="578"/>
      <c r="H1362" s="577"/>
      <c r="I1362" s="577"/>
      <c r="J1362" s="577"/>
      <c r="K1362" s="577"/>
      <c r="L1362" s="577"/>
      <c r="M1362" s="578"/>
      <c r="N1362" s="578"/>
      <c r="O1362" s="577"/>
      <c r="P1362" s="577"/>
      <c r="Q1362" s="578"/>
      <c r="R1362" s="578"/>
      <c r="S1362" s="142">
        <f t="shared" si="159"/>
        <v>0</v>
      </c>
      <c r="T1362" s="142">
        <f t="shared" si="160"/>
        <v>0</v>
      </c>
      <c r="U1362" s="142">
        <f t="shared" si="161"/>
        <v>0</v>
      </c>
      <c r="W1362" s="601"/>
      <c r="X1362" s="601"/>
      <c r="Y1362" s="123"/>
      <c r="Z1362" s="692">
        <f t="shared" si="158"/>
        <v>0</v>
      </c>
    </row>
    <row r="1363" spans="1:26" customFormat="1" ht="12.75" thickBot="1">
      <c r="A1363" s="57" t="s">
        <v>1272</v>
      </c>
      <c r="B1363" s="25" t="s">
        <v>355</v>
      </c>
      <c r="C1363" s="25" t="s">
        <v>985</v>
      </c>
      <c r="D1363" s="694" t="s">
        <v>606</v>
      </c>
      <c r="E1363" s="579"/>
      <c r="F1363" s="577"/>
      <c r="G1363" s="578"/>
      <c r="H1363" s="577"/>
      <c r="I1363" s="577"/>
      <c r="J1363" s="577"/>
      <c r="K1363" s="577"/>
      <c r="L1363" s="577"/>
      <c r="M1363" s="578"/>
      <c r="N1363" s="578"/>
      <c r="O1363" s="577"/>
      <c r="P1363" s="577"/>
      <c r="Q1363" s="578"/>
      <c r="R1363" s="578"/>
      <c r="S1363" s="142">
        <f t="shared" si="159"/>
        <v>0</v>
      </c>
      <c r="T1363" s="142">
        <f t="shared" si="160"/>
        <v>0</v>
      </c>
      <c r="U1363" s="142">
        <f t="shared" si="161"/>
        <v>0</v>
      </c>
      <c r="W1363" s="601"/>
      <c r="X1363" s="601"/>
      <c r="Y1363" s="123"/>
      <c r="Z1363" s="692">
        <f t="shared" si="158"/>
        <v>0</v>
      </c>
    </row>
    <row r="1364" spans="1:26" customFormat="1" ht="12.75" thickBot="1">
      <c r="A1364" s="57" t="s">
        <v>1272</v>
      </c>
      <c r="B1364" s="25" t="s">
        <v>356</v>
      </c>
      <c r="C1364" s="25" t="s">
        <v>986</v>
      </c>
      <c r="D1364" s="694" t="s">
        <v>606</v>
      </c>
      <c r="E1364" s="579"/>
      <c r="F1364" s="577"/>
      <c r="G1364" s="578"/>
      <c r="H1364" s="577"/>
      <c r="I1364" s="577"/>
      <c r="J1364" s="577"/>
      <c r="K1364" s="577"/>
      <c r="L1364" s="577"/>
      <c r="M1364" s="578"/>
      <c r="N1364" s="578"/>
      <c r="O1364" s="577"/>
      <c r="P1364" s="577"/>
      <c r="Q1364" s="578"/>
      <c r="R1364" s="578"/>
      <c r="S1364" s="142">
        <f t="shared" si="159"/>
        <v>0</v>
      </c>
      <c r="T1364" s="142">
        <f t="shared" si="160"/>
        <v>0</v>
      </c>
      <c r="U1364" s="142">
        <f t="shared" si="161"/>
        <v>0</v>
      </c>
      <c r="W1364" s="601"/>
      <c r="X1364" s="601"/>
      <c r="Y1364" s="123"/>
      <c r="Z1364" s="692">
        <f t="shared" si="158"/>
        <v>0</v>
      </c>
    </row>
    <row r="1365" spans="1:26" customFormat="1" ht="12.75" thickBot="1">
      <c r="A1365" s="57" t="s">
        <v>1272</v>
      </c>
      <c r="B1365" s="25" t="s">
        <v>357</v>
      </c>
      <c r="C1365" s="25" t="s">
        <v>987</v>
      </c>
      <c r="D1365" s="694" t="s">
        <v>606</v>
      </c>
      <c r="E1365" s="579"/>
      <c r="F1365" s="577"/>
      <c r="G1365" s="578"/>
      <c r="H1365" s="577"/>
      <c r="I1365" s="577"/>
      <c r="J1365" s="577"/>
      <c r="K1365" s="577"/>
      <c r="L1365" s="577"/>
      <c r="M1365" s="578"/>
      <c r="N1365" s="578"/>
      <c r="O1365" s="577"/>
      <c r="P1365" s="577"/>
      <c r="Q1365" s="578"/>
      <c r="R1365" s="578"/>
      <c r="S1365" s="142">
        <f t="shared" si="159"/>
        <v>0</v>
      </c>
      <c r="T1365" s="142">
        <f t="shared" si="160"/>
        <v>0</v>
      </c>
      <c r="U1365" s="142">
        <f t="shared" si="161"/>
        <v>0</v>
      </c>
      <c r="W1365" s="601"/>
      <c r="X1365" s="601"/>
      <c r="Y1365" s="123"/>
      <c r="Z1365" s="692">
        <f t="shared" si="158"/>
        <v>0</v>
      </c>
    </row>
    <row r="1366" spans="1:26" customFormat="1" ht="12.75" thickBot="1">
      <c r="A1366" s="57" t="s">
        <v>1272</v>
      </c>
      <c r="B1366" s="25" t="s">
        <v>358</v>
      </c>
      <c r="C1366" s="25" t="s">
        <v>988</v>
      </c>
      <c r="D1366" s="694" t="s">
        <v>606</v>
      </c>
      <c r="E1366" s="579"/>
      <c r="F1366" s="577"/>
      <c r="G1366" s="578"/>
      <c r="H1366" s="577"/>
      <c r="I1366" s="577"/>
      <c r="J1366" s="577"/>
      <c r="K1366" s="577"/>
      <c r="L1366" s="577"/>
      <c r="M1366" s="578"/>
      <c r="N1366" s="578"/>
      <c r="O1366" s="577"/>
      <c r="P1366" s="577"/>
      <c r="Q1366" s="578"/>
      <c r="R1366" s="578"/>
      <c r="S1366" s="142">
        <f t="shared" si="159"/>
        <v>0</v>
      </c>
      <c r="T1366" s="142">
        <f t="shared" si="160"/>
        <v>0</v>
      </c>
      <c r="U1366" s="142">
        <f t="shared" si="161"/>
        <v>0</v>
      </c>
      <c r="W1366" s="601"/>
      <c r="X1366" s="601"/>
      <c r="Y1366" s="123"/>
      <c r="Z1366" s="692">
        <f t="shared" si="158"/>
        <v>0</v>
      </c>
    </row>
    <row r="1367" spans="1:26" customFormat="1" ht="12.75" thickBot="1">
      <c r="A1367" s="57" t="s">
        <v>1272</v>
      </c>
      <c r="B1367" s="25" t="s">
        <v>359</v>
      </c>
      <c r="C1367" s="25" t="s">
        <v>989</v>
      </c>
      <c r="D1367" s="694" t="s">
        <v>606</v>
      </c>
      <c r="E1367" s="579"/>
      <c r="F1367" s="577"/>
      <c r="G1367" s="578"/>
      <c r="H1367" s="577"/>
      <c r="I1367" s="577"/>
      <c r="J1367" s="577"/>
      <c r="K1367" s="577"/>
      <c r="L1367" s="577"/>
      <c r="M1367" s="578"/>
      <c r="N1367" s="578"/>
      <c r="O1367" s="577"/>
      <c r="P1367" s="577"/>
      <c r="Q1367" s="578"/>
      <c r="R1367" s="578"/>
      <c r="S1367" s="142">
        <f t="shared" si="159"/>
        <v>0</v>
      </c>
      <c r="T1367" s="142">
        <f t="shared" si="160"/>
        <v>0</v>
      </c>
      <c r="U1367" s="142">
        <f t="shared" si="161"/>
        <v>0</v>
      </c>
      <c r="W1367" s="601"/>
      <c r="X1367" s="601"/>
      <c r="Y1367" s="123"/>
      <c r="Z1367" s="692">
        <f t="shared" si="158"/>
        <v>0</v>
      </c>
    </row>
    <row r="1368" spans="1:26" customFormat="1" ht="12.75" thickBot="1">
      <c r="A1368" s="57" t="s">
        <v>1272</v>
      </c>
      <c r="B1368" s="25" t="s">
        <v>360</v>
      </c>
      <c r="C1368" s="25" t="s">
        <v>990</v>
      </c>
      <c r="D1368" s="694" t="s">
        <v>498</v>
      </c>
      <c r="E1368" s="579"/>
      <c r="F1368" s="577"/>
      <c r="G1368" s="578"/>
      <c r="H1368" s="577"/>
      <c r="I1368" s="577"/>
      <c r="J1368" s="577"/>
      <c r="K1368" s="577"/>
      <c r="L1368" s="577"/>
      <c r="M1368" s="578"/>
      <c r="N1368" s="578"/>
      <c r="O1368" s="577"/>
      <c r="P1368" s="577"/>
      <c r="Q1368" s="578"/>
      <c r="R1368" s="578"/>
      <c r="S1368" s="142">
        <f t="shared" si="159"/>
        <v>0</v>
      </c>
      <c r="T1368" s="142">
        <f t="shared" si="160"/>
        <v>0</v>
      </c>
      <c r="U1368" s="142">
        <f t="shared" si="161"/>
        <v>0</v>
      </c>
      <c r="W1368" s="601"/>
      <c r="X1368" s="601"/>
      <c r="Y1368" s="123"/>
      <c r="Z1368" s="692">
        <f t="shared" si="158"/>
        <v>0</v>
      </c>
    </row>
    <row r="1369" spans="1:26" customFormat="1" ht="12.75" thickBot="1">
      <c r="A1369" s="57" t="s">
        <v>1272</v>
      </c>
      <c r="B1369" s="25" t="s">
        <v>365</v>
      </c>
      <c r="C1369" s="25" t="s">
        <v>991</v>
      </c>
      <c r="D1369" s="694" t="s">
        <v>606</v>
      </c>
      <c r="E1369" s="579"/>
      <c r="F1369" s="577"/>
      <c r="G1369" s="578"/>
      <c r="H1369" s="577"/>
      <c r="I1369" s="577"/>
      <c r="J1369" s="577"/>
      <c r="K1369" s="577"/>
      <c r="L1369" s="577"/>
      <c r="M1369" s="578"/>
      <c r="N1369" s="578"/>
      <c r="O1369" s="577"/>
      <c r="P1369" s="577"/>
      <c r="Q1369" s="578"/>
      <c r="R1369" s="578"/>
      <c r="S1369" s="142">
        <f t="shared" si="159"/>
        <v>0</v>
      </c>
      <c r="T1369" s="142">
        <f t="shared" si="160"/>
        <v>0</v>
      </c>
      <c r="U1369" s="142">
        <f t="shared" si="161"/>
        <v>0</v>
      </c>
      <c r="W1369" s="601"/>
      <c r="X1369" s="601"/>
      <c r="Y1369" s="123"/>
      <c r="Z1369" s="692">
        <f t="shared" si="158"/>
        <v>0</v>
      </c>
    </row>
    <row r="1370" spans="1:26" customFormat="1" ht="12.75" thickBot="1">
      <c r="A1370" s="57" t="s">
        <v>1272</v>
      </c>
      <c r="B1370" s="25" t="s">
        <v>366</v>
      </c>
      <c r="C1370" s="25" t="s">
        <v>992</v>
      </c>
      <c r="D1370" s="694" t="s">
        <v>498</v>
      </c>
      <c r="E1370" s="579"/>
      <c r="F1370" s="577"/>
      <c r="G1370" s="578"/>
      <c r="H1370" s="577"/>
      <c r="I1370" s="577"/>
      <c r="J1370" s="577"/>
      <c r="K1370" s="577"/>
      <c r="L1370" s="577"/>
      <c r="M1370" s="578"/>
      <c r="N1370" s="578"/>
      <c r="O1370" s="577"/>
      <c r="P1370" s="577"/>
      <c r="Q1370" s="578"/>
      <c r="R1370" s="578"/>
      <c r="S1370" s="142">
        <f t="shared" si="159"/>
        <v>0</v>
      </c>
      <c r="T1370" s="142">
        <f t="shared" si="160"/>
        <v>0</v>
      </c>
      <c r="U1370" s="142">
        <f t="shared" si="161"/>
        <v>0</v>
      </c>
      <c r="W1370" s="601"/>
      <c r="X1370" s="601"/>
      <c r="Y1370" s="123"/>
      <c r="Z1370" s="692">
        <f t="shared" si="158"/>
        <v>0</v>
      </c>
    </row>
    <row r="1371" spans="1:26" customFormat="1" ht="12.75" thickBot="1">
      <c r="A1371" s="57" t="s">
        <v>1272</v>
      </c>
      <c r="B1371" s="25" t="s">
        <v>367</v>
      </c>
      <c r="C1371" s="25" t="s">
        <v>993</v>
      </c>
      <c r="D1371" s="694" t="s">
        <v>606</v>
      </c>
      <c r="E1371" s="579"/>
      <c r="F1371" s="577"/>
      <c r="G1371" s="578"/>
      <c r="H1371" s="577"/>
      <c r="I1371" s="577"/>
      <c r="J1371" s="577"/>
      <c r="K1371" s="577"/>
      <c r="L1371" s="577"/>
      <c r="M1371" s="578"/>
      <c r="N1371" s="578"/>
      <c r="O1371" s="577"/>
      <c r="P1371" s="577"/>
      <c r="Q1371" s="578"/>
      <c r="R1371" s="578"/>
      <c r="S1371" s="142">
        <f t="shared" si="159"/>
        <v>0</v>
      </c>
      <c r="T1371" s="142">
        <f t="shared" si="160"/>
        <v>0</v>
      </c>
      <c r="U1371" s="142">
        <f t="shared" si="161"/>
        <v>0</v>
      </c>
      <c r="W1371" s="601"/>
      <c r="X1371" s="601"/>
      <c r="Y1371" s="123"/>
      <c r="Z1371" s="692">
        <f t="shared" si="158"/>
        <v>0</v>
      </c>
    </row>
    <row r="1372" spans="1:26" customFormat="1" ht="12.75" thickBot="1">
      <c r="A1372" s="57" t="s">
        <v>1272</v>
      </c>
      <c r="B1372" s="25" t="s">
        <v>368</v>
      </c>
      <c r="C1372" s="25" t="s">
        <v>994</v>
      </c>
      <c r="D1372" s="694" t="s">
        <v>498</v>
      </c>
      <c r="E1372" s="579"/>
      <c r="F1372" s="577"/>
      <c r="G1372" s="578"/>
      <c r="H1372" s="577"/>
      <c r="I1372" s="577"/>
      <c r="J1372" s="577"/>
      <c r="K1372" s="577"/>
      <c r="L1372" s="577"/>
      <c r="M1372" s="578"/>
      <c r="N1372" s="578"/>
      <c r="O1372" s="577"/>
      <c r="P1372" s="577"/>
      <c r="Q1372" s="578"/>
      <c r="R1372" s="578"/>
      <c r="S1372" s="142">
        <f t="shared" si="159"/>
        <v>0</v>
      </c>
      <c r="T1372" s="142">
        <f t="shared" si="160"/>
        <v>0</v>
      </c>
      <c r="U1372" s="142">
        <f t="shared" si="161"/>
        <v>0</v>
      </c>
      <c r="W1372" s="601"/>
      <c r="X1372" s="601"/>
      <c r="Y1372" s="123"/>
      <c r="Z1372" s="692">
        <f t="shared" si="158"/>
        <v>0</v>
      </c>
    </row>
    <row r="1373" spans="1:26" customFormat="1" ht="12.75" thickBot="1">
      <c r="A1373" s="57" t="s">
        <v>1272</v>
      </c>
      <c r="B1373" s="25" t="s">
        <v>369</v>
      </c>
      <c r="C1373" s="25" t="s">
        <v>995</v>
      </c>
      <c r="D1373" s="694" t="s">
        <v>498</v>
      </c>
      <c r="E1373" s="579"/>
      <c r="F1373" s="577"/>
      <c r="G1373" s="578"/>
      <c r="H1373" s="577"/>
      <c r="I1373" s="577"/>
      <c r="J1373" s="577"/>
      <c r="K1373" s="577"/>
      <c r="L1373" s="577"/>
      <c r="M1373" s="578"/>
      <c r="N1373" s="578"/>
      <c r="O1373" s="577"/>
      <c r="P1373" s="577"/>
      <c r="Q1373" s="578"/>
      <c r="R1373" s="578"/>
      <c r="S1373" s="142">
        <f t="shared" si="159"/>
        <v>0</v>
      </c>
      <c r="T1373" s="142">
        <f t="shared" si="160"/>
        <v>0</v>
      </c>
      <c r="U1373" s="142">
        <f t="shared" si="161"/>
        <v>0</v>
      </c>
      <c r="W1373" s="601"/>
      <c r="X1373" s="601"/>
      <c r="Y1373" s="123"/>
      <c r="Z1373" s="692">
        <f t="shared" si="158"/>
        <v>0</v>
      </c>
    </row>
    <row r="1374" spans="1:26" customFormat="1" ht="12.75" thickBot="1">
      <c r="A1374" s="57" t="s">
        <v>1272</v>
      </c>
      <c r="B1374" s="25" t="s">
        <v>370</v>
      </c>
      <c r="C1374" s="25" t="s">
        <v>996</v>
      </c>
      <c r="D1374" s="694" t="s">
        <v>606</v>
      </c>
      <c r="E1374" s="579"/>
      <c r="F1374" s="577"/>
      <c r="G1374" s="578"/>
      <c r="H1374" s="577"/>
      <c r="I1374" s="577"/>
      <c r="J1374" s="577"/>
      <c r="K1374" s="577"/>
      <c r="L1374" s="577"/>
      <c r="M1374" s="578"/>
      <c r="N1374" s="578"/>
      <c r="O1374" s="577"/>
      <c r="P1374" s="577"/>
      <c r="Q1374" s="578"/>
      <c r="R1374" s="578"/>
      <c r="S1374" s="142">
        <f t="shared" si="159"/>
        <v>0</v>
      </c>
      <c r="T1374" s="142">
        <f t="shared" si="160"/>
        <v>0</v>
      </c>
      <c r="U1374" s="142">
        <f t="shared" si="161"/>
        <v>0</v>
      </c>
      <c r="W1374" s="601"/>
      <c r="X1374" s="601"/>
      <c r="Y1374" s="123"/>
      <c r="Z1374" s="692">
        <f t="shared" si="158"/>
        <v>0</v>
      </c>
    </row>
    <row r="1375" spans="1:26" customFormat="1" ht="12.75" thickBot="1">
      <c r="A1375" s="57" t="s">
        <v>1272</v>
      </c>
      <c r="B1375" s="25" t="s">
        <v>371</v>
      </c>
      <c r="C1375" s="25" t="s">
        <v>997</v>
      </c>
      <c r="D1375" s="694" t="s">
        <v>498</v>
      </c>
      <c r="E1375" s="579"/>
      <c r="F1375" s="577"/>
      <c r="G1375" s="578"/>
      <c r="H1375" s="577"/>
      <c r="I1375" s="577"/>
      <c r="J1375" s="577"/>
      <c r="K1375" s="577"/>
      <c r="L1375" s="577"/>
      <c r="M1375" s="578"/>
      <c r="N1375" s="578"/>
      <c r="O1375" s="577"/>
      <c r="P1375" s="577"/>
      <c r="Q1375" s="578"/>
      <c r="R1375" s="578"/>
      <c r="S1375" s="142">
        <f t="shared" si="159"/>
        <v>0</v>
      </c>
      <c r="T1375" s="142">
        <f t="shared" si="160"/>
        <v>0</v>
      </c>
      <c r="U1375" s="142">
        <f t="shared" si="161"/>
        <v>0</v>
      </c>
      <c r="W1375" s="601"/>
      <c r="X1375" s="601"/>
      <c r="Y1375" s="123"/>
      <c r="Z1375" s="692">
        <f t="shared" si="158"/>
        <v>0</v>
      </c>
    </row>
    <row r="1376" spans="1:26" customFormat="1" ht="12.75" thickBot="1">
      <c r="A1376" s="57" t="s">
        <v>1272</v>
      </c>
      <c r="B1376" s="25" t="s">
        <v>659</v>
      </c>
      <c r="C1376" s="25" t="s">
        <v>998</v>
      </c>
      <c r="D1376" s="694" t="s">
        <v>606</v>
      </c>
      <c r="E1376" s="579"/>
      <c r="F1376" s="577"/>
      <c r="G1376" s="578"/>
      <c r="H1376" s="577"/>
      <c r="I1376" s="577"/>
      <c r="J1376" s="577"/>
      <c r="K1376" s="577"/>
      <c r="L1376" s="577"/>
      <c r="M1376" s="578"/>
      <c r="N1376" s="578"/>
      <c r="O1376" s="577"/>
      <c r="P1376" s="577"/>
      <c r="Q1376" s="578"/>
      <c r="R1376" s="578"/>
      <c r="S1376" s="142">
        <f t="shared" si="159"/>
        <v>0</v>
      </c>
      <c r="T1376" s="142">
        <f t="shared" si="160"/>
        <v>0</v>
      </c>
      <c r="U1376" s="142">
        <f t="shared" si="161"/>
        <v>0</v>
      </c>
      <c r="W1376" s="601"/>
      <c r="X1376" s="601"/>
      <c r="Y1376" s="123"/>
      <c r="Z1376" s="692">
        <f t="shared" si="158"/>
        <v>0</v>
      </c>
    </row>
    <row r="1377" spans="1:26" customFormat="1" ht="12.75" thickBot="1">
      <c r="A1377" s="57" t="s">
        <v>1272</v>
      </c>
      <c r="B1377" s="25" t="s">
        <v>399</v>
      </c>
      <c r="C1377" s="25" t="s">
        <v>999</v>
      </c>
      <c r="D1377" s="694" t="s">
        <v>606</v>
      </c>
      <c r="E1377" s="579"/>
      <c r="F1377" s="577"/>
      <c r="G1377" s="578"/>
      <c r="H1377" s="577"/>
      <c r="I1377" s="577"/>
      <c r="J1377" s="577"/>
      <c r="K1377" s="577"/>
      <c r="L1377" s="577"/>
      <c r="M1377" s="578"/>
      <c r="N1377" s="578"/>
      <c r="O1377" s="577"/>
      <c r="P1377" s="577"/>
      <c r="Q1377" s="578"/>
      <c r="R1377" s="578"/>
      <c r="S1377" s="142">
        <f t="shared" si="159"/>
        <v>0</v>
      </c>
      <c r="T1377" s="142">
        <f t="shared" si="160"/>
        <v>0</v>
      </c>
      <c r="U1377" s="142">
        <f t="shared" si="161"/>
        <v>0</v>
      </c>
      <c r="W1377" s="601"/>
      <c r="X1377" s="601"/>
      <c r="Y1377" s="123"/>
      <c r="Z1377" s="692">
        <f t="shared" si="158"/>
        <v>0</v>
      </c>
    </row>
    <row r="1378" spans="1:26" customFormat="1" ht="12.75" thickBot="1">
      <c r="A1378" s="57" t="s">
        <v>1272</v>
      </c>
      <c r="B1378" s="25" t="s">
        <v>372</v>
      </c>
      <c r="C1378" s="25" t="s">
        <v>1000</v>
      </c>
      <c r="D1378" s="694" t="s">
        <v>606</v>
      </c>
      <c r="E1378" s="579"/>
      <c r="F1378" s="577"/>
      <c r="G1378" s="578"/>
      <c r="H1378" s="577"/>
      <c r="I1378" s="577"/>
      <c r="J1378" s="577"/>
      <c r="K1378" s="577"/>
      <c r="L1378" s="577"/>
      <c r="M1378" s="578"/>
      <c r="N1378" s="578"/>
      <c r="O1378" s="577"/>
      <c r="P1378" s="577"/>
      <c r="Q1378" s="578"/>
      <c r="R1378" s="578"/>
      <c r="S1378" s="142">
        <f t="shared" si="159"/>
        <v>0</v>
      </c>
      <c r="T1378" s="142">
        <f t="shared" si="160"/>
        <v>0</v>
      </c>
      <c r="U1378" s="142">
        <f t="shared" si="161"/>
        <v>0</v>
      </c>
      <c r="W1378" s="601"/>
      <c r="X1378" s="601"/>
      <c r="Y1378" s="123"/>
      <c r="Z1378" s="692">
        <f t="shared" si="158"/>
        <v>0</v>
      </c>
    </row>
    <row r="1379" spans="1:26" customFormat="1" ht="12.75" thickBot="1">
      <c r="A1379" s="57" t="s">
        <v>1272</v>
      </c>
      <c r="B1379" s="25" t="s">
        <v>373</v>
      </c>
      <c r="C1379" s="25" t="s">
        <v>1001</v>
      </c>
      <c r="D1379" s="694" t="s">
        <v>606</v>
      </c>
      <c r="E1379" s="579"/>
      <c r="F1379" s="577"/>
      <c r="G1379" s="578"/>
      <c r="H1379" s="577"/>
      <c r="I1379" s="577"/>
      <c r="J1379" s="577"/>
      <c r="K1379" s="577"/>
      <c r="L1379" s="577"/>
      <c r="M1379" s="578"/>
      <c r="N1379" s="578"/>
      <c r="O1379" s="577"/>
      <c r="P1379" s="577"/>
      <c r="Q1379" s="578"/>
      <c r="R1379" s="578"/>
      <c r="S1379" s="142">
        <f t="shared" si="159"/>
        <v>0</v>
      </c>
      <c r="T1379" s="142">
        <f t="shared" si="160"/>
        <v>0</v>
      </c>
      <c r="U1379" s="142">
        <f t="shared" si="161"/>
        <v>0</v>
      </c>
      <c r="W1379" s="601"/>
      <c r="X1379" s="601"/>
      <c r="Y1379" s="123"/>
      <c r="Z1379" s="692">
        <f t="shared" si="158"/>
        <v>0</v>
      </c>
    </row>
    <row r="1380" spans="1:26" customFormat="1" ht="12.75" thickBot="1">
      <c r="A1380" s="57" t="s">
        <v>1272</v>
      </c>
      <c r="B1380" s="25" t="s">
        <v>374</v>
      </c>
      <c r="C1380" s="25" t="s">
        <v>1002</v>
      </c>
      <c r="D1380" s="694" t="s">
        <v>606</v>
      </c>
      <c r="E1380" s="579"/>
      <c r="F1380" s="577"/>
      <c r="G1380" s="578"/>
      <c r="H1380" s="577"/>
      <c r="I1380" s="577"/>
      <c r="J1380" s="577"/>
      <c r="K1380" s="577"/>
      <c r="L1380" s="577"/>
      <c r="M1380" s="578"/>
      <c r="N1380" s="578"/>
      <c r="O1380" s="577"/>
      <c r="P1380" s="577"/>
      <c r="Q1380" s="578"/>
      <c r="R1380" s="578"/>
      <c r="S1380" s="142">
        <f t="shared" si="159"/>
        <v>0</v>
      </c>
      <c r="T1380" s="142">
        <f t="shared" si="160"/>
        <v>0</v>
      </c>
      <c r="U1380" s="142">
        <f t="shared" si="161"/>
        <v>0</v>
      </c>
      <c r="W1380" s="601"/>
      <c r="X1380" s="601"/>
      <c r="Y1380" s="123"/>
      <c r="Z1380" s="692">
        <f t="shared" si="158"/>
        <v>0</v>
      </c>
    </row>
    <row r="1381" spans="1:26" customFormat="1" ht="12.75" thickBot="1">
      <c r="A1381" s="57" t="s">
        <v>1272</v>
      </c>
      <c r="B1381" s="25" t="s">
        <v>843</v>
      </c>
      <c r="C1381" s="25" t="s">
        <v>843</v>
      </c>
      <c r="D1381" s="694" t="s">
        <v>843</v>
      </c>
      <c r="E1381" s="576">
        <f>14380437-E1301-E1303</f>
        <v>13731722</v>
      </c>
      <c r="F1381" s="574"/>
      <c r="G1381" s="575">
        <f>1142386-G1301-F1303-G1303</f>
        <v>1094023</v>
      </c>
      <c r="H1381" s="602">
        <v>391867</v>
      </c>
      <c r="I1381" s="574"/>
      <c r="J1381" s="574"/>
      <c r="K1381" s="574"/>
      <c r="L1381" s="574"/>
      <c r="M1381" s="575">
        <f>-7490-M1301-M1303</f>
        <v>-7153</v>
      </c>
      <c r="N1381" s="575">
        <f>67469-N1301-N1303</f>
        <v>64426</v>
      </c>
      <c r="O1381" s="574"/>
      <c r="P1381" s="574"/>
      <c r="Q1381" s="575"/>
      <c r="R1381" s="575">
        <f>SUM(F1381:N1381)</f>
        <v>1543163</v>
      </c>
      <c r="S1381" s="142">
        <f t="shared" si="159"/>
        <v>1485890</v>
      </c>
      <c r="T1381" s="142">
        <f t="shared" si="160"/>
        <v>0</v>
      </c>
      <c r="U1381" s="142">
        <f t="shared" si="161"/>
        <v>64426</v>
      </c>
      <c r="W1381" s="601">
        <f t="shared" ref="W1381" si="162">SUM(F1381:Q1381)</f>
        <v>1543163</v>
      </c>
      <c r="X1381" s="601">
        <f t="shared" ref="X1381" si="163">W1381-R1381</f>
        <v>0</v>
      </c>
      <c r="Y1381" s="123"/>
      <c r="Z1381" s="692">
        <f t="shared" si="158"/>
        <v>1485890</v>
      </c>
    </row>
    <row r="1382" spans="1:26" customFormat="1" ht="12.75" thickBot="1">
      <c r="A1382" s="57" t="s">
        <v>1272</v>
      </c>
      <c r="B1382" s="32" t="s">
        <v>7</v>
      </c>
      <c r="C1382" s="33"/>
      <c r="D1382" s="79"/>
      <c r="E1382" s="79"/>
      <c r="F1382" s="21"/>
      <c r="G1382" s="21"/>
      <c r="H1382" s="21"/>
      <c r="I1382" s="21"/>
      <c r="J1382" s="21"/>
      <c r="K1382" s="21"/>
      <c r="L1382" s="21"/>
      <c r="M1382" s="21"/>
      <c r="N1382" s="21"/>
      <c r="O1382" s="21"/>
      <c r="P1382" s="21"/>
      <c r="Q1382" s="21"/>
      <c r="R1382" s="21"/>
      <c r="S1382" s="142">
        <f t="shared" si="159"/>
        <v>0</v>
      </c>
      <c r="T1382" s="142">
        <f t="shared" si="160"/>
        <v>0</v>
      </c>
      <c r="U1382" s="142">
        <f t="shared" si="161"/>
        <v>0</v>
      </c>
      <c r="W1382" s="601"/>
      <c r="X1382" s="601"/>
      <c r="Y1382" s="123"/>
      <c r="Z1382" s="692">
        <f t="shared" si="158"/>
        <v>0</v>
      </c>
    </row>
    <row r="1383" spans="1:26">
      <c r="W1383" s="368"/>
      <c r="X1383" s="368"/>
    </row>
    <row r="1384" spans="1:26">
      <c r="W1384" s="368"/>
      <c r="X1384" s="368"/>
    </row>
    <row r="1385" spans="1:26">
      <c r="E1385" s="580">
        <v>5318100</v>
      </c>
      <c r="F1385" s="580"/>
      <c r="G1385" s="580">
        <v>51957.837</v>
      </c>
      <c r="H1385" s="580">
        <v>144918.22500000001</v>
      </c>
      <c r="I1385" s="580"/>
      <c r="J1385" s="580">
        <v>3496.49999999999</v>
      </c>
      <c r="K1385" s="580">
        <v>94310.999999999913</v>
      </c>
      <c r="L1385" s="580"/>
      <c r="M1385" s="580">
        <v>-27138.309215826801</v>
      </c>
      <c r="N1385" s="580"/>
      <c r="O1385" s="580">
        <v>18064.9702359894</v>
      </c>
      <c r="R1385" s="580">
        <v>285610.22302016197</v>
      </c>
      <c r="W1385" s="368"/>
      <c r="X1385" s="368"/>
    </row>
    <row r="1386" spans="1:26">
      <c r="E1386" s="580">
        <v>4450800</v>
      </c>
      <c r="F1386" s="580"/>
      <c r="G1386" s="580">
        <v>43484.315999999999</v>
      </c>
      <c r="H1386" s="580">
        <v>121284.3</v>
      </c>
      <c r="I1386" s="580"/>
      <c r="J1386" s="580">
        <v>3496.49999999999</v>
      </c>
      <c r="K1386" s="580">
        <v>94310.999999999913</v>
      </c>
      <c r="L1386" s="580"/>
      <c r="M1386" s="580">
        <v>-4893.3008406819299</v>
      </c>
      <c r="N1386" s="580"/>
      <c r="O1386" s="580">
        <v>21608.215741784501</v>
      </c>
      <c r="R1386" s="580">
        <v>279291.030901102</v>
      </c>
      <c r="W1386" s="368"/>
      <c r="X1386" s="368"/>
    </row>
    <row r="1387" spans="1:26">
      <c r="E1387" s="580">
        <v>4366800</v>
      </c>
      <c r="F1387" s="580"/>
      <c r="G1387" s="580">
        <v>42663.635999999999</v>
      </c>
      <c r="H1387" s="580">
        <v>118995.3</v>
      </c>
      <c r="I1387" s="580"/>
      <c r="J1387" s="580">
        <v>3496.49999999999</v>
      </c>
      <c r="K1387" s="580">
        <v>94310.999999999913</v>
      </c>
      <c r="L1387" s="580"/>
      <c r="M1387" s="580">
        <v>-1543.0424805739699</v>
      </c>
      <c r="N1387" s="580"/>
      <c r="O1387" s="580">
        <v>22671.586124780701</v>
      </c>
      <c r="R1387" s="580">
        <v>280594.979644206</v>
      </c>
      <c r="W1387" s="368"/>
      <c r="X1387" s="368"/>
    </row>
    <row r="1388" spans="1:26">
      <c r="E1388" s="580">
        <v>4790100</v>
      </c>
      <c r="F1388" s="580"/>
      <c r="G1388" s="580">
        <v>46799.276999999995</v>
      </c>
      <c r="H1388" s="580">
        <v>130530.22500000001</v>
      </c>
      <c r="I1388" s="580"/>
      <c r="J1388" s="580">
        <v>3507.1559999999899</v>
      </c>
      <c r="K1388" s="580">
        <v>94598.423999999912</v>
      </c>
      <c r="L1388" s="580"/>
      <c r="M1388" s="580">
        <v>-2494.96051816713</v>
      </c>
      <c r="N1388" s="580"/>
      <c r="O1388" s="580">
        <v>22473.944801265803</v>
      </c>
      <c r="R1388" s="580">
        <v>295414.06628309801</v>
      </c>
      <c r="W1388" s="368"/>
      <c r="X1388" s="368"/>
    </row>
    <row r="1389" spans="1:26">
      <c r="E1389" s="580"/>
      <c r="F1389" s="580"/>
      <c r="G1389" s="580"/>
      <c r="H1389" s="580"/>
      <c r="I1389" s="580"/>
      <c r="J1389" s="580"/>
      <c r="K1389" s="580"/>
      <c r="L1389" s="580"/>
      <c r="M1389" s="580"/>
      <c r="N1389" s="580"/>
      <c r="O1389" s="580"/>
      <c r="R1389" s="580"/>
      <c r="W1389" s="368"/>
      <c r="X1389" s="368"/>
    </row>
    <row r="1390" spans="1:26">
      <c r="E1390" s="580">
        <v>5498880</v>
      </c>
      <c r="F1390" s="580"/>
      <c r="G1390" s="580">
        <v>53724.0576</v>
      </c>
      <c r="H1390" s="580">
        <v>149844.48000000001</v>
      </c>
      <c r="I1390" s="580"/>
      <c r="J1390" s="580">
        <v>3447.2159999999999</v>
      </c>
      <c r="K1390" s="580">
        <v>92981.664000000004</v>
      </c>
      <c r="L1390" s="580"/>
      <c r="M1390" s="580">
        <v>-7180.7752514060603</v>
      </c>
      <c r="N1390" s="580"/>
      <c r="O1390" s="580">
        <v>25322.942025195898</v>
      </c>
      <c r="R1390" s="580">
        <v>318139.58437378897</v>
      </c>
      <c r="W1390" s="368"/>
      <c r="X1390" s="368"/>
    </row>
    <row r="1391" spans="1:26">
      <c r="E1391" s="580">
        <v>4744800</v>
      </c>
      <c r="F1391" s="580"/>
      <c r="G1391" s="580">
        <v>46356.695999999996</v>
      </c>
      <c r="H1391" s="580">
        <v>129295.80000000002</v>
      </c>
      <c r="I1391" s="580"/>
      <c r="J1391" s="580">
        <v>3447.2159999999999</v>
      </c>
      <c r="K1391" s="580">
        <v>92981.664000000004</v>
      </c>
      <c r="L1391" s="580"/>
      <c r="M1391" s="580">
        <v>-9286.8262222841804</v>
      </c>
      <c r="N1391" s="580"/>
      <c r="O1391" s="580">
        <v>25431.782845863199</v>
      </c>
      <c r="R1391" s="580">
        <v>288226.33262357902</v>
      </c>
      <c r="W1391" s="368"/>
      <c r="X1391" s="368"/>
    </row>
    <row r="1392" spans="1:26">
      <c r="W1392" s="368"/>
      <c r="X1392" s="368"/>
    </row>
    <row r="1393" spans="1:24">
      <c r="A1393" s="648"/>
      <c r="B1393" s="648"/>
      <c r="C1393" s="648"/>
      <c r="D1393" s="648"/>
      <c r="E1393" s="649">
        <f>SUM(E1385:E1391)</f>
        <v>29169480</v>
      </c>
      <c r="F1393" s="649">
        <f t="shared" ref="F1393:R1393" si="164">SUM(F1385:F1391)</f>
        <v>0</v>
      </c>
      <c r="G1393" s="649">
        <f t="shared" si="164"/>
        <v>284985.81959999999</v>
      </c>
      <c r="H1393" s="649">
        <f t="shared" si="164"/>
        <v>794868.33000000007</v>
      </c>
      <c r="I1393" s="649">
        <f t="shared" si="164"/>
        <v>0</v>
      </c>
      <c r="J1393" s="649">
        <f t="shared" si="164"/>
        <v>20891.08799999996</v>
      </c>
      <c r="K1393" s="649">
        <f t="shared" si="164"/>
        <v>563494.75199999963</v>
      </c>
      <c r="L1393" s="649">
        <f t="shared" si="164"/>
        <v>0</v>
      </c>
      <c r="M1393" s="649">
        <f t="shared" si="164"/>
        <v>-52537.214528940072</v>
      </c>
      <c r="N1393" s="649">
        <f t="shared" si="164"/>
        <v>0</v>
      </c>
      <c r="O1393" s="649">
        <f t="shared" si="164"/>
        <v>135573.44177487949</v>
      </c>
      <c r="P1393" s="649">
        <f t="shared" si="164"/>
        <v>0</v>
      </c>
      <c r="Q1393" s="649"/>
      <c r="R1393" s="649">
        <f t="shared" si="164"/>
        <v>1747276.2168459359</v>
      </c>
      <c r="W1393" s="368"/>
      <c r="X1393" s="368"/>
    </row>
    <row r="1394" spans="1:24">
      <c r="A1394" s="648"/>
      <c r="B1394" s="648"/>
      <c r="C1394" s="648"/>
      <c r="D1394" s="648"/>
      <c r="E1394" s="648"/>
      <c r="F1394" s="648"/>
      <c r="G1394" s="648"/>
      <c r="H1394" s="648"/>
      <c r="I1394" s="648"/>
      <c r="J1394" s="648"/>
      <c r="K1394" s="648"/>
      <c r="L1394" s="648"/>
      <c r="M1394" s="648"/>
      <c r="N1394" s="648"/>
      <c r="O1394" s="648"/>
      <c r="P1394" s="648"/>
      <c r="Q1394" s="648"/>
      <c r="R1394" s="648"/>
      <c r="W1394" s="368"/>
      <c r="X1394" s="368"/>
    </row>
    <row r="1395" spans="1:24" ht="12.75" thickBot="1">
      <c r="A1395" s="648"/>
      <c r="B1395" s="648"/>
      <c r="C1395" s="648"/>
      <c r="D1395" s="648"/>
      <c r="E1395" s="648"/>
      <c r="F1395" s="648"/>
      <c r="G1395" s="648"/>
      <c r="H1395" s="648"/>
      <c r="I1395" s="648"/>
      <c r="J1395" s="648"/>
      <c r="K1395" s="648"/>
      <c r="L1395" s="648"/>
      <c r="M1395" s="648"/>
      <c r="N1395" s="648"/>
      <c r="O1395" s="648"/>
      <c r="P1395" s="648"/>
      <c r="Q1395" s="648"/>
      <c r="R1395" s="648"/>
      <c r="W1395" s="368"/>
      <c r="X1395" s="368"/>
    </row>
    <row r="1396" spans="1:24" ht="12.75" thickBot="1">
      <c r="A1396" s="146" t="s">
        <v>1269</v>
      </c>
      <c r="B1396" s="25" t="s">
        <v>424</v>
      </c>
      <c r="C1396" s="648"/>
      <c r="D1396" s="648"/>
      <c r="E1396" s="650">
        <f t="shared" ref="E1396:P1396" si="165">E1385-SUMIFS(E$2:E$1382,$A$2:$A$1382,$A1396,$B$2:$B$1382,$B$1396)</f>
        <v>0</v>
      </c>
      <c r="F1396" s="650">
        <f t="shared" si="165"/>
        <v>0</v>
      </c>
      <c r="G1396" s="650">
        <f t="shared" si="165"/>
        <v>-0.16300000000046566</v>
      </c>
      <c r="H1396" s="650">
        <f t="shared" si="165"/>
        <v>0.22500000000582077</v>
      </c>
      <c r="I1396" s="650">
        <f t="shared" si="165"/>
        <v>0</v>
      </c>
      <c r="J1396" s="650">
        <f t="shared" si="165"/>
        <v>0.49999999998999556</v>
      </c>
      <c r="K1396" s="650">
        <f t="shared" si="165"/>
        <v>0</v>
      </c>
      <c r="L1396" s="650">
        <f t="shared" si="165"/>
        <v>0</v>
      </c>
      <c r="M1396" s="650">
        <f t="shared" si="165"/>
        <v>-0.30921582680093707</v>
      </c>
      <c r="N1396" s="650">
        <f t="shared" si="165"/>
        <v>0</v>
      </c>
      <c r="O1396" s="650">
        <f t="shared" si="165"/>
        <v>-2.9764010600047186E-2</v>
      </c>
      <c r="P1396" s="650">
        <f t="shared" si="165"/>
        <v>0</v>
      </c>
      <c r="Q1396" s="648"/>
      <c r="R1396" s="650">
        <f>R1385-SUMIFS(R$2:R$1382,$A$2:$A$1382,$A1396,$B$2:$B$1382,$B$1396)</f>
        <v>0.22302016196772456</v>
      </c>
      <c r="W1396" s="368"/>
      <c r="X1396" s="368"/>
    </row>
    <row r="1397" spans="1:24" ht="12.75" thickBot="1">
      <c r="A1397" s="146" t="s">
        <v>1270</v>
      </c>
      <c r="B1397" s="648"/>
      <c r="C1397" s="648"/>
      <c r="D1397" s="648"/>
      <c r="E1397" s="650">
        <f t="shared" ref="E1397:P1397" si="166">E1386-SUMIFS(E$2:E$1382,$A$2:$A$1382,$A1397,$B$2:$B$1382,$B$1396)</f>
        <v>0</v>
      </c>
      <c r="F1397" s="650">
        <f t="shared" si="166"/>
        <v>0</v>
      </c>
      <c r="G1397" s="650">
        <f t="shared" si="166"/>
        <v>0.31599999999889405</v>
      </c>
      <c r="H1397" s="650">
        <f t="shared" si="166"/>
        <v>0.30000000000291038</v>
      </c>
      <c r="I1397" s="650">
        <f t="shared" si="166"/>
        <v>0</v>
      </c>
      <c r="J1397" s="650">
        <f t="shared" si="166"/>
        <v>0.49999999998999556</v>
      </c>
      <c r="K1397" s="650">
        <f t="shared" si="166"/>
        <v>0</v>
      </c>
      <c r="L1397" s="650">
        <f t="shared" si="166"/>
        <v>0</v>
      </c>
      <c r="M1397" s="650">
        <f t="shared" si="166"/>
        <v>-0.30084068192991253</v>
      </c>
      <c r="N1397" s="650">
        <f t="shared" si="166"/>
        <v>0</v>
      </c>
      <c r="O1397" s="650">
        <f t="shared" si="166"/>
        <v>0.2157417845010059</v>
      </c>
      <c r="P1397" s="650">
        <f t="shared" si="166"/>
        <v>0</v>
      </c>
      <c r="Q1397" s="648"/>
      <c r="R1397" s="650">
        <f>R1386-SUMIFS(R$2:R$1382,$A$2:$A$1382,$A1397,$B$2:$B$1382,$B$1396)</f>
        <v>3.0901101999916136E-2</v>
      </c>
      <c r="W1397" s="368"/>
      <c r="X1397" s="368"/>
    </row>
    <row r="1398" spans="1:24" ht="12.75" thickBot="1">
      <c r="A1398" s="146" t="s">
        <v>1271</v>
      </c>
      <c r="B1398" s="648"/>
      <c r="C1398" s="648"/>
      <c r="D1398" s="648"/>
      <c r="E1398" s="650">
        <f t="shared" ref="E1398:P1398" si="167">E1387-SUMIFS(E$2:E$1382,$A$2:$A$1382,$A1398,$B$2:$B$1382,$B$1396)</f>
        <v>0</v>
      </c>
      <c r="F1398" s="650">
        <f t="shared" si="167"/>
        <v>0</v>
      </c>
      <c r="G1398" s="650">
        <f t="shared" si="167"/>
        <v>-0.36400000000139698</v>
      </c>
      <c r="H1398" s="650">
        <f t="shared" si="167"/>
        <v>0.30000000000291038</v>
      </c>
      <c r="I1398" s="650">
        <f t="shared" si="167"/>
        <v>0</v>
      </c>
      <c r="J1398" s="650">
        <f t="shared" si="167"/>
        <v>0.49999999998999556</v>
      </c>
      <c r="K1398" s="650">
        <f t="shared" si="167"/>
        <v>0</v>
      </c>
      <c r="L1398" s="650">
        <f t="shared" si="167"/>
        <v>0</v>
      </c>
      <c r="M1398" s="650">
        <f t="shared" si="167"/>
        <v>-4.2480573969896795E-2</v>
      </c>
      <c r="N1398" s="650">
        <f t="shared" si="167"/>
        <v>0</v>
      </c>
      <c r="O1398" s="650">
        <f t="shared" si="167"/>
        <v>-0.41387521929937066</v>
      </c>
      <c r="P1398" s="650">
        <f t="shared" si="167"/>
        <v>0</v>
      </c>
      <c r="Q1398" s="648"/>
      <c r="R1398" s="650">
        <f>R1387-SUMIFS(R$2:R$1382,$A$2:$A$1382,$A1398,$B$2:$B$1382,$B$1396)</f>
        <v>-2.0355793996714056E-2</v>
      </c>
      <c r="W1398" s="368"/>
      <c r="X1398" s="368"/>
    </row>
    <row r="1399" spans="1:24" ht="12.75" thickBot="1">
      <c r="A1399" s="146" t="s">
        <v>1272</v>
      </c>
      <c r="B1399" s="648"/>
      <c r="C1399" s="648"/>
      <c r="D1399" s="648"/>
      <c r="E1399" s="650">
        <f t="shared" ref="E1399:P1399" si="168">E1388-SUMIFS(E$2:E$1382,$A$2:$A$1382,$A1399,$B$2:$B$1382,$B$1396)</f>
        <v>0</v>
      </c>
      <c r="F1399" s="650">
        <f t="shared" si="168"/>
        <v>0</v>
      </c>
      <c r="G1399" s="650">
        <f t="shared" si="168"/>
        <v>0.27699999999458669</v>
      </c>
      <c r="H1399" s="650">
        <f t="shared" si="168"/>
        <v>0.22500000000582077</v>
      </c>
      <c r="I1399" s="650">
        <f t="shared" si="168"/>
        <v>0</v>
      </c>
      <c r="J1399" s="650">
        <f t="shared" si="168"/>
        <v>0.15599999998994463</v>
      </c>
      <c r="K1399" s="650">
        <f t="shared" si="168"/>
        <v>0.42399999991175719</v>
      </c>
      <c r="L1399" s="650">
        <f t="shared" si="168"/>
        <v>0</v>
      </c>
      <c r="M1399" s="650">
        <f t="shared" si="168"/>
        <v>3.9481832870023936E-2</v>
      </c>
      <c r="N1399" s="650">
        <f t="shared" si="168"/>
        <v>0</v>
      </c>
      <c r="O1399" s="650">
        <f t="shared" si="168"/>
        <v>-5.5198734196892474E-2</v>
      </c>
      <c r="P1399" s="650">
        <f t="shared" si="168"/>
        <v>0</v>
      </c>
      <c r="Q1399" s="648"/>
      <c r="R1399" s="650">
        <f>R1388-SUMIFS(R$2:R$1382,$A$2:$A$1382,$A1399,$B$2:$B$1382,$B$1396)</f>
        <v>6.6283098014537245E-2</v>
      </c>
      <c r="W1399" s="368"/>
      <c r="X1399" s="368"/>
    </row>
    <row r="1400" spans="1:24" ht="12.75" thickBot="1">
      <c r="A1400" s="648"/>
      <c r="B1400" s="648"/>
      <c r="C1400" s="648"/>
      <c r="D1400" s="648"/>
      <c r="E1400" s="648"/>
      <c r="F1400" s="648"/>
      <c r="G1400" s="648"/>
      <c r="H1400" s="648"/>
      <c r="I1400" s="648"/>
      <c r="J1400" s="648"/>
      <c r="K1400" s="648"/>
      <c r="L1400" s="648"/>
      <c r="M1400" s="648"/>
      <c r="N1400" s="648"/>
      <c r="O1400" s="648"/>
      <c r="P1400" s="648"/>
      <c r="Q1400" s="648"/>
      <c r="R1400" s="648"/>
      <c r="W1400" s="368"/>
      <c r="X1400" s="368"/>
    </row>
    <row r="1401" spans="1:24" ht="12.75" thickBot="1">
      <c r="A1401" s="146" t="s">
        <v>1273</v>
      </c>
      <c r="B1401" s="648"/>
      <c r="C1401" s="648"/>
      <c r="D1401" s="648"/>
      <c r="E1401" s="650">
        <f t="shared" ref="E1401:P1401" si="169">E1390-SUMIFS(E$2:E$1382,$A$2:$A$1382,$A1401,$B$2:$B$1382,$B$1396)</f>
        <v>0</v>
      </c>
      <c r="F1401" s="650">
        <f t="shared" si="169"/>
        <v>0</v>
      </c>
      <c r="G1401" s="650">
        <f t="shared" si="169"/>
        <v>5.7600000000093132E-2</v>
      </c>
      <c r="H1401" s="650">
        <f t="shared" si="169"/>
        <v>0.48000000001047738</v>
      </c>
      <c r="I1401" s="650">
        <f t="shared" si="169"/>
        <v>0</v>
      </c>
      <c r="J1401" s="650">
        <f t="shared" si="169"/>
        <v>0.2159999999998945</v>
      </c>
      <c r="K1401" s="650">
        <f t="shared" si="169"/>
        <v>-0.33599999999569263</v>
      </c>
      <c r="L1401" s="650">
        <f t="shared" si="169"/>
        <v>0</v>
      </c>
      <c r="M1401" s="650">
        <f t="shared" si="169"/>
        <v>0.22474859393969382</v>
      </c>
      <c r="N1401" s="650">
        <f t="shared" si="169"/>
        <v>0</v>
      </c>
      <c r="O1401" s="650">
        <f t="shared" si="169"/>
        <v>-5.7974804101831978E-2</v>
      </c>
      <c r="P1401" s="650">
        <f t="shared" si="169"/>
        <v>0</v>
      </c>
      <c r="Q1401" s="648"/>
      <c r="R1401" s="650">
        <f>R1390-SUMIFS(R$2:R$1382,$A$2:$A$1382,$A1401,$B$2:$B$1382,$B$1396)</f>
        <v>-0.41562621103366837</v>
      </c>
      <c r="W1401" s="368"/>
      <c r="X1401" s="368"/>
    </row>
    <row r="1402" spans="1:24" ht="12.75" thickBot="1">
      <c r="A1402" s="146" t="s">
        <v>1274</v>
      </c>
      <c r="B1402" s="648"/>
      <c r="C1402" s="648"/>
      <c r="D1402" s="648"/>
      <c r="E1402" s="650">
        <f t="shared" ref="E1402:P1402" si="170">E1391-SUMIFS(E$2:E$1382,$A$2:$A$1382,$A1402,$B$2:$B$1382,$B$1396)</f>
        <v>0</v>
      </c>
      <c r="F1402" s="650">
        <f t="shared" si="170"/>
        <v>0</v>
      </c>
      <c r="G1402" s="650">
        <f t="shared" si="170"/>
        <v>-0.30400000000372529</v>
      </c>
      <c r="H1402" s="650">
        <f t="shared" si="170"/>
        <v>-0.1999999999825377</v>
      </c>
      <c r="I1402" s="650">
        <f t="shared" si="170"/>
        <v>0</v>
      </c>
      <c r="J1402" s="650">
        <f t="shared" si="170"/>
        <v>0.2159999999998945</v>
      </c>
      <c r="K1402" s="650">
        <f t="shared" si="170"/>
        <v>-0.33599999999569263</v>
      </c>
      <c r="L1402" s="650">
        <f t="shared" si="170"/>
        <v>0</v>
      </c>
      <c r="M1402" s="650">
        <f t="shared" si="170"/>
        <v>0.17377771581959678</v>
      </c>
      <c r="N1402" s="650">
        <f t="shared" si="170"/>
        <v>0</v>
      </c>
      <c r="O1402" s="650">
        <f t="shared" si="170"/>
        <v>-0.21715413680067286</v>
      </c>
      <c r="P1402" s="650">
        <f t="shared" si="170"/>
        <v>0</v>
      </c>
      <c r="Q1402" s="648"/>
      <c r="R1402" s="650">
        <f>R1391-SUMIFS(R$2:R$1382,$A$2:$A$1382,$A1402,$B$2:$B$1382,$B$1396)</f>
        <v>0.33262357901548967</v>
      </c>
      <c r="W1402" s="368"/>
      <c r="X1402" s="368"/>
    </row>
    <row r="1403" spans="1:24">
      <c r="W1403" s="368"/>
      <c r="X1403" s="368"/>
    </row>
    <row r="1404" spans="1:24">
      <c r="W1404" s="368"/>
      <c r="X1404" s="368"/>
    </row>
    <row r="1405" spans="1:24">
      <c r="W1405" s="368"/>
      <c r="X1405" s="368"/>
    </row>
    <row r="1406" spans="1:24">
      <c r="W1406" s="368"/>
      <c r="X1406" s="368"/>
    </row>
    <row r="1407" spans="1:24">
      <c r="W1407" s="368"/>
      <c r="X1407" s="368"/>
    </row>
    <row r="1408" spans="1:24">
      <c r="W1408" s="368"/>
      <c r="X1408" s="368"/>
    </row>
    <row r="1409" spans="23:24">
      <c r="W1409" s="368"/>
      <c r="X1409" s="368"/>
    </row>
    <row r="1410" spans="23:24">
      <c r="W1410" s="368"/>
      <c r="X1410" s="368"/>
    </row>
    <row r="1411" spans="23:24">
      <c r="W1411" s="368"/>
      <c r="X1411" s="368"/>
    </row>
    <row r="1412" spans="23:24">
      <c r="W1412" s="368"/>
      <c r="X1412" s="368"/>
    </row>
    <row r="1413" spans="23:24">
      <c r="W1413" s="368"/>
      <c r="X1413" s="368"/>
    </row>
    <row r="1414" spans="23:24">
      <c r="W1414" s="368"/>
      <c r="X1414" s="368"/>
    </row>
    <row r="1415" spans="23:24">
      <c r="W1415" s="368"/>
      <c r="X1415" s="368"/>
    </row>
    <row r="1416" spans="23:24">
      <c r="W1416" s="368"/>
      <c r="X1416" s="368"/>
    </row>
    <row r="1417" spans="23:24">
      <c r="W1417" s="368"/>
      <c r="X1417" s="368"/>
    </row>
    <row r="1418" spans="23:24">
      <c r="W1418" s="368"/>
      <c r="X1418" s="368"/>
    </row>
    <row r="1419" spans="23:24">
      <c r="W1419" s="368"/>
      <c r="X1419" s="368"/>
    </row>
    <row r="1420" spans="23:24">
      <c r="W1420" s="368"/>
      <c r="X1420" s="368"/>
    </row>
    <row r="1421" spans="23:24">
      <c r="W1421" s="368"/>
      <c r="X1421" s="368"/>
    </row>
    <row r="1422" spans="23:24">
      <c r="W1422" s="368"/>
      <c r="X1422" s="368"/>
    </row>
    <row r="1423" spans="23:24">
      <c r="W1423" s="368"/>
      <c r="X1423" s="368"/>
    </row>
    <row r="1424" spans="23:24">
      <c r="W1424" s="368"/>
      <c r="X1424" s="368"/>
    </row>
    <row r="1425" spans="23:24">
      <c r="W1425" s="368"/>
      <c r="X1425" s="368"/>
    </row>
    <row r="1426" spans="23:24">
      <c r="W1426" s="368"/>
      <c r="X1426" s="368"/>
    </row>
    <row r="1427" spans="23:24">
      <c r="W1427" s="368"/>
      <c r="X1427" s="368"/>
    </row>
    <row r="1428" spans="23:24">
      <c r="W1428" s="368"/>
      <c r="X1428" s="368"/>
    </row>
    <row r="1429" spans="23:24">
      <c r="W1429" s="368"/>
      <c r="X1429" s="368"/>
    </row>
    <row r="1430" spans="23:24">
      <c r="W1430" s="368"/>
      <c r="X1430" s="368"/>
    </row>
    <row r="1431" spans="23:24">
      <c r="W1431" s="368"/>
      <c r="X1431" s="368"/>
    </row>
    <row r="1432" spans="23:24">
      <c r="W1432" s="368"/>
      <c r="X1432" s="368"/>
    </row>
    <row r="1433" spans="23:24">
      <c r="W1433" s="368"/>
      <c r="X1433" s="368"/>
    </row>
    <row r="1434" spans="23:24">
      <c r="W1434" s="368"/>
      <c r="X1434" s="368"/>
    </row>
    <row r="1435" spans="23:24">
      <c r="W1435" s="368"/>
      <c r="X1435" s="368"/>
    </row>
    <row r="1436" spans="23:24">
      <c r="W1436" s="368"/>
      <c r="X1436" s="368"/>
    </row>
    <row r="1437" spans="23:24">
      <c r="W1437" s="368"/>
      <c r="X1437" s="368"/>
    </row>
    <row r="1438" spans="23:24">
      <c r="W1438" s="368"/>
      <c r="X1438" s="368"/>
    </row>
    <row r="1439" spans="23:24">
      <c r="W1439" s="368"/>
      <c r="X1439" s="368"/>
    </row>
    <row r="1440" spans="23:24">
      <c r="W1440" s="368"/>
      <c r="X1440" s="368"/>
    </row>
    <row r="1441" spans="23:24">
      <c r="W1441" s="368"/>
      <c r="X1441" s="368"/>
    </row>
    <row r="1442" spans="23:24">
      <c r="W1442" s="368"/>
      <c r="X1442" s="368"/>
    </row>
    <row r="1443" spans="23:24">
      <c r="W1443" s="368"/>
      <c r="X1443" s="368"/>
    </row>
    <row r="1444" spans="23:24">
      <c r="W1444" s="368"/>
      <c r="X1444" s="368"/>
    </row>
    <row r="1445" spans="23:24">
      <c r="W1445" s="368"/>
      <c r="X1445" s="368"/>
    </row>
    <row r="1446" spans="23:24">
      <c r="W1446" s="368"/>
      <c r="X1446" s="368"/>
    </row>
    <row r="1447" spans="23:24">
      <c r="W1447" s="368"/>
      <c r="X1447" s="368"/>
    </row>
    <row r="1448" spans="23:24">
      <c r="W1448" s="368"/>
      <c r="X1448" s="368"/>
    </row>
    <row r="1449" spans="23:24">
      <c r="W1449" s="368"/>
      <c r="X1449" s="368"/>
    </row>
    <row r="1450" spans="23:24">
      <c r="W1450" s="368"/>
      <c r="X1450" s="368"/>
    </row>
    <row r="1451" spans="23:24">
      <c r="W1451" s="368"/>
      <c r="X1451" s="368"/>
    </row>
    <row r="1452" spans="23:24">
      <c r="W1452" s="368"/>
      <c r="X1452" s="368"/>
    </row>
    <row r="1453" spans="23:24">
      <c r="W1453" s="368"/>
      <c r="X1453" s="368"/>
    </row>
    <row r="1454" spans="23:24">
      <c r="W1454" s="368"/>
      <c r="X1454" s="368"/>
    </row>
    <row r="1455" spans="23:24">
      <c r="W1455" s="368"/>
      <c r="X1455" s="368"/>
    </row>
    <row r="1456" spans="23:24">
      <c r="W1456" s="368"/>
      <c r="X1456" s="368"/>
    </row>
    <row r="1457" spans="23:24">
      <c r="W1457" s="368"/>
      <c r="X1457" s="368"/>
    </row>
    <row r="1458" spans="23:24">
      <c r="W1458" s="368"/>
      <c r="X1458" s="368"/>
    </row>
    <row r="1459" spans="23:24">
      <c r="W1459" s="368"/>
      <c r="X1459" s="368"/>
    </row>
    <row r="1460" spans="23:24">
      <c r="W1460" s="368"/>
      <c r="X1460" s="368"/>
    </row>
    <row r="1461" spans="23:24">
      <c r="W1461" s="368"/>
      <c r="X1461" s="368"/>
    </row>
    <row r="1462" spans="23:24">
      <c r="W1462" s="368"/>
      <c r="X1462" s="368"/>
    </row>
    <row r="1463" spans="23:24">
      <c r="W1463" s="368"/>
      <c r="X1463" s="368"/>
    </row>
    <row r="1464" spans="23:24">
      <c r="W1464" s="368"/>
      <c r="X1464" s="368"/>
    </row>
    <row r="1465" spans="23:24">
      <c r="W1465" s="368"/>
      <c r="X1465" s="368"/>
    </row>
    <row r="1466" spans="23:24">
      <c r="W1466" s="368"/>
      <c r="X1466" s="368"/>
    </row>
    <row r="1467" spans="23:24">
      <c r="W1467" s="368"/>
      <c r="X1467" s="368"/>
    </row>
    <row r="1468" spans="23:24">
      <c r="W1468" s="368"/>
      <c r="X1468" s="368"/>
    </row>
    <row r="1469" spans="23:24">
      <c r="W1469" s="368"/>
      <c r="X1469" s="368"/>
    </row>
    <row r="1470" spans="23:24">
      <c r="W1470" s="368"/>
      <c r="X1470" s="368"/>
    </row>
    <row r="1471" spans="23:24">
      <c r="W1471" s="368"/>
      <c r="X1471" s="368"/>
    </row>
    <row r="1472" spans="23:24">
      <c r="W1472" s="368"/>
      <c r="X1472" s="368"/>
    </row>
    <row r="1473" spans="23:24">
      <c r="W1473" s="368"/>
      <c r="X1473" s="368"/>
    </row>
    <row r="1474" spans="23:24">
      <c r="W1474" s="368"/>
      <c r="X1474" s="368"/>
    </row>
    <row r="1475" spans="23:24">
      <c r="W1475" s="368"/>
      <c r="X1475" s="368"/>
    </row>
    <row r="1476" spans="23:24">
      <c r="W1476" s="368"/>
      <c r="X1476" s="368"/>
    </row>
    <row r="1477" spans="23:24">
      <c r="W1477" s="368"/>
      <c r="X1477" s="368"/>
    </row>
    <row r="1478" spans="23:24">
      <c r="W1478" s="368"/>
      <c r="X1478" s="368"/>
    </row>
    <row r="1479" spans="23:24">
      <c r="W1479" s="368"/>
      <c r="X1479" s="368"/>
    </row>
    <row r="1480" spans="23:24">
      <c r="W1480" s="368"/>
      <c r="X1480" s="368"/>
    </row>
    <row r="1481" spans="23:24">
      <c r="W1481" s="368"/>
      <c r="X1481" s="368"/>
    </row>
    <row r="1482" spans="23:24">
      <c r="W1482" s="368"/>
      <c r="X1482" s="368"/>
    </row>
    <row r="1483" spans="23:24">
      <c r="W1483" s="368"/>
      <c r="X1483" s="368"/>
    </row>
    <row r="1484" spans="23:24">
      <c r="W1484" s="368"/>
      <c r="X1484" s="368"/>
    </row>
    <row r="1485" spans="23:24">
      <c r="W1485" s="368"/>
      <c r="X1485" s="368"/>
    </row>
    <row r="1486" spans="23:24">
      <c r="W1486" s="368"/>
      <c r="X1486" s="368"/>
    </row>
    <row r="1487" spans="23:24">
      <c r="W1487" s="368"/>
      <c r="X1487" s="368"/>
    </row>
    <row r="1488" spans="23:24">
      <c r="W1488" s="368"/>
      <c r="X1488" s="368"/>
    </row>
    <row r="1489" spans="23:24">
      <c r="W1489" s="368"/>
      <c r="X1489" s="368"/>
    </row>
    <row r="1490" spans="23:24">
      <c r="W1490" s="368"/>
      <c r="X1490" s="368"/>
    </row>
    <row r="1491" spans="23:24">
      <c r="W1491" s="368"/>
      <c r="X1491" s="368"/>
    </row>
    <row r="1492" spans="23:24">
      <c r="W1492" s="368"/>
      <c r="X1492" s="368"/>
    </row>
    <row r="1493" spans="23:24">
      <c r="W1493" s="368"/>
      <c r="X1493" s="368"/>
    </row>
    <row r="1494" spans="23:24">
      <c r="W1494" s="368"/>
      <c r="X1494" s="368"/>
    </row>
    <row r="1495" spans="23:24">
      <c r="W1495" s="368"/>
      <c r="X1495" s="368"/>
    </row>
    <row r="1496" spans="23:24">
      <c r="W1496" s="368"/>
      <c r="X1496" s="368"/>
    </row>
    <row r="1497" spans="23:24">
      <c r="W1497" s="368"/>
      <c r="X1497" s="368"/>
    </row>
    <row r="1498" spans="23:24">
      <c r="W1498" s="368"/>
      <c r="X1498" s="368"/>
    </row>
    <row r="1499" spans="23:24">
      <c r="W1499" s="368"/>
      <c r="X1499" s="368"/>
    </row>
    <row r="1500" spans="23:24">
      <c r="W1500" s="368"/>
      <c r="X1500" s="368"/>
    </row>
    <row r="1501" spans="23:24">
      <c r="W1501" s="368"/>
      <c r="X1501" s="368"/>
    </row>
    <row r="1502" spans="23:24">
      <c r="W1502" s="368"/>
      <c r="X1502" s="368"/>
    </row>
    <row r="1503" spans="23:24">
      <c r="W1503" s="368"/>
      <c r="X1503" s="368"/>
    </row>
    <row r="1504" spans="23:24">
      <c r="W1504" s="368"/>
      <c r="X1504" s="368"/>
    </row>
    <row r="1505" spans="23:24">
      <c r="W1505" s="368"/>
      <c r="X1505" s="368"/>
    </row>
    <row r="1506" spans="23:24">
      <c r="W1506" s="368"/>
      <c r="X1506" s="368"/>
    </row>
    <row r="1507" spans="23:24">
      <c r="W1507" s="368"/>
      <c r="X1507" s="368"/>
    </row>
    <row r="1508" spans="23:24">
      <c r="W1508" s="368"/>
      <c r="X1508" s="368"/>
    </row>
    <row r="1509" spans="23:24">
      <c r="W1509" s="368"/>
      <c r="X1509" s="368"/>
    </row>
    <row r="1510" spans="23:24">
      <c r="W1510" s="368"/>
      <c r="X1510" s="368"/>
    </row>
    <row r="1511" spans="23:24">
      <c r="W1511" s="368"/>
      <c r="X1511" s="368"/>
    </row>
    <row r="1512" spans="23:24">
      <c r="W1512" s="368"/>
      <c r="X1512" s="368"/>
    </row>
    <row r="1513" spans="23:24">
      <c r="W1513" s="368"/>
      <c r="X1513" s="368"/>
    </row>
    <row r="1514" spans="23:24">
      <c r="W1514" s="368"/>
      <c r="X1514" s="368"/>
    </row>
    <row r="1515" spans="23:24">
      <c r="W1515" s="368"/>
      <c r="X1515" s="368"/>
    </row>
    <row r="1516" spans="23:24">
      <c r="W1516" s="368"/>
      <c r="X1516" s="368"/>
    </row>
    <row r="1517" spans="23:24">
      <c r="W1517" s="368"/>
      <c r="X1517" s="368"/>
    </row>
    <row r="1518" spans="23:24">
      <c r="W1518" s="368"/>
      <c r="X1518" s="368"/>
    </row>
    <row r="1519" spans="23:24">
      <c r="W1519" s="368"/>
      <c r="X1519" s="368"/>
    </row>
    <row r="1520" spans="23:24">
      <c r="W1520" s="368"/>
      <c r="X1520" s="368"/>
    </row>
    <row r="1521" spans="23:24">
      <c r="W1521" s="368"/>
      <c r="X1521" s="368"/>
    </row>
    <row r="1522" spans="23:24">
      <c r="W1522" s="368"/>
      <c r="X1522" s="368"/>
    </row>
    <row r="1523" spans="23:24">
      <c r="W1523" s="368"/>
      <c r="X1523" s="368"/>
    </row>
    <row r="1524" spans="23:24">
      <c r="W1524" s="368"/>
      <c r="X1524" s="368"/>
    </row>
    <row r="1525" spans="23:24">
      <c r="W1525" s="368"/>
      <c r="X1525" s="368"/>
    </row>
    <row r="1526" spans="23:24">
      <c r="W1526" s="368"/>
      <c r="X1526" s="368"/>
    </row>
    <row r="1527" spans="23:24">
      <c r="W1527" s="368"/>
      <c r="X1527" s="368"/>
    </row>
    <row r="1528" spans="23:24">
      <c r="W1528" s="368"/>
      <c r="X1528" s="368"/>
    </row>
    <row r="1529" spans="23:24">
      <c r="W1529" s="368"/>
      <c r="X1529" s="368"/>
    </row>
    <row r="1530" spans="23:24">
      <c r="W1530" s="368"/>
      <c r="X1530" s="368"/>
    </row>
    <row r="1531" spans="23:24">
      <c r="W1531" s="368"/>
      <c r="X1531" s="368"/>
    </row>
    <row r="1532" spans="23:24">
      <c r="W1532" s="368"/>
      <c r="X1532" s="368"/>
    </row>
    <row r="1533" spans="23:24">
      <c r="W1533" s="368"/>
      <c r="X1533" s="368"/>
    </row>
    <row r="1534" spans="23:24">
      <c r="W1534" s="368"/>
      <c r="X1534" s="368"/>
    </row>
    <row r="1535" spans="23:24">
      <c r="W1535" s="368"/>
      <c r="X1535" s="368"/>
    </row>
    <row r="1536" spans="23:24">
      <c r="W1536" s="368"/>
      <c r="X1536" s="368"/>
    </row>
    <row r="1537" spans="23:24">
      <c r="W1537" s="368"/>
      <c r="X1537" s="368"/>
    </row>
    <row r="1538" spans="23:24">
      <c r="W1538" s="368"/>
      <c r="X1538" s="368"/>
    </row>
    <row r="1539" spans="23:24">
      <c r="W1539" s="368"/>
      <c r="X1539" s="368"/>
    </row>
    <row r="1540" spans="23:24">
      <c r="W1540" s="368"/>
      <c r="X1540" s="368"/>
    </row>
    <row r="1541" spans="23:24">
      <c r="W1541" s="368"/>
      <c r="X1541" s="368"/>
    </row>
    <row r="1542" spans="23:24">
      <c r="W1542" s="368"/>
      <c r="X1542" s="368"/>
    </row>
    <row r="1543" spans="23:24">
      <c r="W1543" s="368"/>
      <c r="X1543" s="368"/>
    </row>
    <row r="1544" spans="23:24">
      <c r="W1544" s="368"/>
      <c r="X1544" s="368"/>
    </row>
    <row r="1545" spans="23:24">
      <c r="W1545" s="368"/>
      <c r="X1545" s="368"/>
    </row>
    <row r="1546" spans="23:24">
      <c r="W1546" s="368"/>
      <c r="X1546" s="368"/>
    </row>
    <row r="1547" spans="23:24">
      <c r="W1547" s="368"/>
      <c r="X1547" s="368"/>
    </row>
    <row r="1548" spans="23:24">
      <c r="W1548" s="368"/>
      <c r="X1548" s="368"/>
    </row>
    <row r="1549" spans="23:24">
      <c r="W1549" s="368"/>
      <c r="X1549" s="368"/>
    </row>
    <row r="1550" spans="23:24">
      <c r="W1550" s="368"/>
      <c r="X1550" s="368"/>
    </row>
    <row r="1551" spans="23:24">
      <c r="W1551" s="368"/>
      <c r="X1551" s="368"/>
    </row>
    <row r="1552" spans="23:24">
      <c r="W1552" s="368"/>
      <c r="X1552" s="368"/>
    </row>
    <row r="1553" spans="23:24">
      <c r="W1553" s="368"/>
      <c r="X1553" s="368"/>
    </row>
    <row r="1554" spans="23:24">
      <c r="W1554" s="368"/>
      <c r="X1554" s="368"/>
    </row>
    <row r="1555" spans="23:24">
      <c r="W1555" s="368"/>
      <c r="X1555" s="368"/>
    </row>
    <row r="1556" spans="23:24">
      <c r="W1556" s="368"/>
      <c r="X1556" s="368"/>
    </row>
    <row r="1557" spans="23:24">
      <c r="W1557" s="368"/>
      <c r="X1557" s="368"/>
    </row>
    <row r="1558" spans="23:24">
      <c r="W1558" s="368"/>
      <c r="X1558" s="368"/>
    </row>
    <row r="1559" spans="23:24">
      <c r="W1559" s="368"/>
      <c r="X1559" s="368"/>
    </row>
    <row r="1560" spans="23:24">
      <c r="W1560" s="368"/>
      <c r="X1560" s="368"/>
    </row>
    <row r="1561" spans="23:24">
      <c r="W1561" s="368"/>
      <c r="X1561" s="368"/>
    </row>
    <row r="1562" spans="23:24">
      <c r="W1562" s="368"/>
      <c r="X1562" s="368"/>
    </row>
    <row r="1563" spans="23:24">
      <c r="W1563" s="368"/>
      <c r="X1563" s="368"/>
    </row>
    <row r="1564" spans="23:24">
      <c r="W1564" s="368"/>
      <c r="X1564" s="368"/>
    </row>
    <row r="1565" spans="23:24">
      <c r="W1565" s="368"/>
      <c r="X1565" s="368"/>
    </row>
    <row r="1566" spans="23:24">
      <c r="W1566" s="368"/>
      <c r="X1566" s="368"/>
    </row>
    <row r="1567" spans="23:24">
      <c r="W1567" s="368"/>
      <c r="X1567" s="368"/>
    </row>
    <row r="1568" spans="23:24">
      <c r="W1568" s="368"/>
      <c r="X1568" s="368"/>
    </row>
    <row r="1569" spans="23:24">
      <c r="W1569" s="368"/>
      <c r="X1569" s="368"/>
    </row>
    <row r="1570" spans="23:24">
      <c r="W1570" s="368"/>
      <c r="X1570" s="368"/>
    </row>
    <row r="1571" spans="23:24">
      <c r="W1571" s="368"/>
      <c r="X1571" s="368"/>
    </row>
    <row r="1572" spans="23:24">
      <c r="W1572" s="368"/>
      <c r="X1572" s="368"/>
    </row>
    <row r="1573" spans="23:24">
      <c r="W1573" s="368"/>
      <c r="X1573" s="368"/>
    </row>
    <row r="1574" spans="23:24">
      <c r="W1574" s="368"/>
      <c r="X1574" s="368"/>
    </row>
    <row r="1575" spans="23:24">
      <c r="W1575" s="368"/>
      <c r="X1575" s="368"/>
    </row>
    <row r="1576" spans="23:24">
      <c r="W1576" s="368"/>
      <c r="X1576" s="368"/>
    </row>
    <row r="1577" spans="23:24">
      <c r="W1577" s="368"/>
      <c r="X1577" s="368"/>
    </row>
    <row r="1578" spans="23:24">
      <c r="W1578" s="368"/>
      <c r="X1578" s="368"/>
    </row>
    <row r="1579" spans="23:24">
      <c r="W1579" s="368"/>
      <c r="X1579" s="368"/>
    </row>
    <row r="1580" spans="23:24">
      <c r="W1580" s="368"/>
      <c r="X1580" s="368"/>
    </row>
    <row r="1581" spans="23:24">
      <c r="W1581" s="368"/>
      <c r="X1581" s="368"/>
    </row>
    <row r="1582" spans="23:24">
      <c r="W1582" s="368"/>
      <c r="X1582" s="368"/>
    </row>
    <row r="1583" spans="23:24">
      <c r="W1583" s="368"/>
      <c r="X1583" s="368"/>
    </row>
    <row r="1584" spans="23:24">
      <c r="W1584" s="368"/>
      <c r="X1584" s="368"/>
    </row>
    <row r="1585" spans="23:24">
      <c r="W1585" s="368"/>
      <c r="X1585" s="368"/>
    </row>
    <row r="1586" spans="23:24">
      <c r="W1586" s="368"/>
      <c r="X1586" s="368"/>
    </row>
    <row r="1587" spans="23:24">
      <c r="W1587" s="368"/>
      <c r="X1587" s="368"/>
    </row>
    <row r="1588" spans="23:24">
      <c r="W1588" s="368"/>
      <c r="X1588" s="368"/>
    </row>
    <row r="1589" spans="23:24">
      <c r="W1589" s="368"/>
      <c r="X1589" s="368"/>
    </row>
    <row r="1590" spans="23:24">
      <c r="W1590" s="368"/>
      <c r="X1590" s="368"/>
    </row>
    <row r="1591" spans="23:24">
      <c r="W1591" s="368"/>
      <c r="X1591" s="368"/>
    </row>
    <row r="1592" spans="23:24">
      <c r="W1592" s="368"/>
      <c r="X1592" s="368"/>
    </row>
    <row r="1593" spans="23:24">
      <c r="W1593" s="368"/>
      <c r="X1593" s="368"/>
    </row>
    <row r="1594" spans="23:24">
      <c r="W1594" s="368"/>
      <c r="X1594" s="368"/>
    </row>
    <row r="1595" spans="23:24">
      <c r="W1595" s="368"/>
      <c r="X1595" s="368"/>
    </row>
    <row r="1596" spans="23:24">
      <c r="W1596" s="368"/>
      <c r="X1596" s="368"/>
    </row>
    <row r="1597" spans="23:24">
      <c r="W1597" s="368"/>
      <c r="X1597" s="368"/>
    </row>
    <row r="1598" spans="23:24">
      <c r="W1598" s="368"/>
      <c r="X1598" s="368"/>
    </row>
    <row r="1599" spans="23:24">
      <c r="W1599" s="368"/>
      <c r="X1599" s="368"/>
    </row>
    <row r="1600" spans="23:24">
      <c r="W1600" s="368"/>
      <c r="X1600" s="368"/>
    </row>
    <row r="1601" spans="23:24">
      <c r="W1601" s="368"/>
      <c r="X1601" s="368"/>
    </row>
    <row r="1602" spans="23:24">
      <c r="W1602" s="368"/>
      <c r="X1602" s="368"/>
    </row>
    <row r="1603" spans="23:24">
      <c r="W1603" s="368"/>
      <c r="X1603" s="368"/>
    </row>
    <row r="1604" spans="23:24">
      <c r="W1604" s="368"/>
      <c r="X1604" s="368"/>
    </row>
    <row r="1605" spans="23:24">
      <c r="W1605" s="368"/>
      <c r="X1605" s="368"/>
    </row>
    <row r="1606" spans="23:24">
      <c r="W1606" s="368"/>
      <c r="X1606" s="368"/>
    </row>
    <row r="1607" spans="23:24">
      <c r="W1607" s="368"/>
      <c r="X1607" s="368"/>
    </row>
    <row r="1608" spans="23:24">
      <c r="W1608" s="368"/>
      <c r="X1608" s="368"/>
    </row>
    <row r="1609" spans="23:24">
      <c r="W1609" s="368"/>
      <c r="X1609" s="368"/>
    </row>
    <row r="1610" spans="23:24">
      <c r="W1610" s="368"/>
      <c r="X1610" s="368"/>
    </row>
    <row r="1611" spans="23:24">
      <c r="W1611" s="368"/>
      <c r="X1611" s="368"/>
    </row>
    <row r="1612" spans="23:24">
      <c r="W1612" s="368"/>
      <c r="X1612" s="368"/>
    </row>
    <row r="1613" spans="23:24">
      <c r="W1613" s="368"/>
      <c r="X1613" s="368"/>
    </row>
    <row r="1614" spans="23:24">
      <c r="W1614" s="368"/>
      <c r="X1614" s="368"/>
    </row>
    <row r="1615" spans="23:24">
      <c r="W1615" s="368"/>
      <c r="X1615" s="368"/>
    </row>
    <row r="1616" spans="23:24">
      <c r="W1616" s="368"/>
      <c r="X1616" s="368"/>
    </row>
    <row r="1617" spans="23:24">
      <c r="W1617" s="368"/>
      <c r="X1617" s="368"/>
    </row>
    <row r="1618" spans="23:24">
      <c r="W1618" s="368"/>
      <c r="X1618" s="368"/>
    </row>
    <row r="1619" spans="23:24">
      <c r="W1619" s="368"/>
      <c r="X1619" s="368"/>
    </row>
    <row r="1620" spans="23:24">
      <c r="W1620" s="368"/>
      <c r="X1620" s="368"/>
    </row>
    <row r="1621" spans="23:24">
      <c r="W1621" s="368"/>
      <c r="X1621" s="368"/>
    </row>
    <row r="1622" spans="23:24">
      <c r="W1622" s="368"/>
      <c r="X1622" s="368"/>
    </row>
    <row r="1623" spans="23:24">
      <c r="W1623" s="368"/>
      <c r="X1623" s="368"/>
    </row>
    <row r="1624" spans="23:24">
      <c r="W1624" s="368"/>
      <c r="X1624" s="368"/>
    </row>
    <row r="1625" spans="23:24">
      <c r="W1625" s="368"/>
      <c r="X1625" s="368"/>
    </row>
    <row r="1626" spans="23:24">
      <c r="W1626" s="368"/>
      <c r="X1626" s="368"/>
    </row>
    <row r="1627" spans="23:24">
      <c r="W1627" s="368"/>
      <c r="X1627" s="368"/>
    </row>
    <row r="1628" spans="23:24">
      <c r="W1628" s="368"/>
      <c r="X1628" s="368"/>
    </row>
    <row r="1629" spans="23:24">
      <c r="W1629" s="368"/>
      <c r="X1629" s="368"/>
    </row>
    <row r="1630" spans="23:24">
      <c r="W1630" s="368"/>
      <c r="X1630" s="368"/>
    </row>
    <row r="1631" spans="23:24">
      <c r="W1631" s="368"/>
      <c r="X1631" s="368"/>
    </row>
    <row r="1632" spans="23:24">
      <c r="W1632" s="368"/>
      <c r="X1632" s="368"/>
    </row>
    <row r="1633" spans="23:24">
      <c r="W1633" s="368"/>
      <c r="X1633" s="368"/>
    </row>
    <row r="1634" spans="23:24">
      <c r="W1634" s="368"/>
      <c r="X1634" s="368"/>
    </row>
    <row r="1635" spans="23:24">
      <c r="W1635" s="368"/>
      <c r="X1635" s="368"/>
    </row>
    <row r="1636" spans="23:24">
      <c r="W1636" s="368"/>
      <c r="X1636" s="368"/>
    </row>
    <row r="1637" spans="23:24">
      <c r="W1637" s="368"/>
      <c r="X1637" s="368"/>
    </row>
    <row r="1638" spans="23:24">
      <c r="W1638" s="368"/>
      <c r="X1638" s="368"/>
    </row>
    <row r="1639" spans="23:24">
      <c r="W1639" s="368"/>
      <c r="X1639" s="368"/>
    </row>
    <row r="1640" spans="23:24">
      <c r="W1640" s="368"/>
      <c r="X1640" s="368"/>
    </row>
    <row r="1641" spans="23:24">
      <c r="W1641" s="368"/>
      <c r="X1641" s="368"/>
    </row>
    <row r="1642" spans="23:24">
      <c r="W1642" s="368"/>
      <c r="X1642" s="368"/>
    </row>
    <row r="1643" spans="23:24">
      <c r="W1643" s="368"/>
      <c r="X1643" s="368"/>
    </row>
    <row r="1644" spans="23:24">
      <c r="W1644" s="368"/>
      <c r="X1644" s="368"/>
    </row>
    <row r="1645" spans="23:24">
      <c r="W1645" s="368"/>
      <c r="X1645" s="368"/>
    </row>
    <row r="1646" spans="23:24">
      <c r="W1646" s="368"/>
      <c r="X1646" s="368"/>
    </row>
    <row r="1647" spans="23:24">
      <c r="W1647" s="368"/>
      <c r="X1647" s="368"/>
    </row>
    <row r="1648" spans="23:24">
      <c r="W1648" s="368"/>
      <c r="X1648" s="368"/>
    </row>
    <row r="1649" spans="23:24">
      <c r="W1649" s="368"/>
      <c r="X1649" s="368"/>
    </row>
    <row r="1650" spans="23:24">
      <c r="W1650" s="368"/>
      <c r="X1650" s="368"/>
    </row>
    <row r="1651" spans="23:24">
      <c r="W1651" s="368"/>
      <c r="X1651" s="368"/>
    </row>
    <row r="1652" spans="23:24">
      <c r="W1652" s="368"/>
      <c r="X1652" s="368"/>
    </row>
    <row r="1653" spans="23:24">
      <c r="W1653" s="368"/>
      <c r="X1653" s="368"/>
    </row>
    <row r="1654" spans="23:24">
      <c r="W1654" s="368"/>
      <c r="X1654" s="368"/>
    </row>
    <row r="1655" spans="23:24">
      <c r="W1655" s="368"/>
      <c r="X1655" s="368"/>
    </row>
    <row r="1656" spans="23:24">
      <c r="W1656" s="368"/>
      <c r="X1656" s="368"/>
    </row>
    <row r="1657" spans="23:24">
      <c r="W1657" s="368"/>
      <c r="X1657" s="368"/>
    </row>
    <row r="1658" spans="23:24">
      <c r="W1658" s="368"/>
      <c r="X1658" s="368"/>
    </row>
    <row r="1659" spans="23:24">
      <c r="W1659" s="368"/>
      <c r="X1659" s="368"/>
    </row>
    <row r="1660" spans="23:24">
      <c r="W1660" s="368"/>
      <c r="X1660" s="368"/>
    </row>
    <row r="1661" spans="23:24">
      <c r="W1661" s="368"/>
      <c r="X1661" s="368"/>
    </row>
    <row r="1662" spans="23:24">
      <c r="W1662" s="368"/>
      <c r="X1662" s="368"/>
    </row>
    <row r="1663" spans="23:24">
      <c r="W1663" s="368"/>
      <c r="X1663" s="368"/>
    </row>
    <row r="1664" spans="23:24">
      <c r="W1664" s="368"/>
      <c r="X1664" s="368"/>
    </row>
    <row r="1665" spans="23:24">
      <c r="W1665" s="368"/>
      <c r="X1665" s="368"/>
    </row>
    <row r="1666" spans="23:24">
      <c r="W1666" s="368"/>
      <c r="X1666" s="368"/>
    </row>
    <row r="1667" spans="23:24">
      <c r="W1667" s="368"/>
      <c r="X1667" s="368"/>
    </row>
    <row r="1668" spans="23:24">
      <c r="W1668" s="368"/>
      <c r="X1668" s="368"/>
    </row>
    <row r="1669" spans="23:24">
      <c r="W1669" s="368"/>
      <c r="X1669" s="368"/>
    </row>
    <row r="1670" spans="23:24">
      <c r="W1670" s="368"/>
      <c r="X1670" s="368"/>
    </row>
    <row r="1671" spans="23:24">
      <c r="W1671" s="368"/>
      <c r="X1671" s="368"/>
    </row>
    <row r="1672" spans="23:24">
      <c r="W1672" s="368"/>
      <c r="X1672" s="368"/>
    </row>
    <row r="1673" spans="23:24">
      <c r="W1673" s="368"/>
      <c r="X1673" s="368"/>
    </row>
    <row r="1674" spans="23:24">
      <c r="W1674" s="368"/>
      <c r="X1674" s="368"/>
    </row>
    <row r="1675" spans="23:24">
      <c r="W1675" s="368"/>
      <c r="X1675" s="368"/>
    </row>
    <row r="1676" spans="23:24">
      <c r="W1676" s="368"/>
      <c r="X1676" s="368"/>
    </row>
    <row r="1677" spans="23:24">
      <c r="W1677" s="368"/>
      <c r="X1677" s="368"/>
    </row>
    <row r="1678" spans="23:24">
      <c r="W1678" s="368"/>
      <c r="X1678" s="368"/>
    </row>
    <row r="1679" spans="23:24">
      <c r="W1679" s="368"/>
      <c r="X1679" s="368"/>
    </row>
    <row r="1680" spans="23:24">
      <c r="W1680" s="368"/>
      <c r="X1680" s="368"/>
    </row>
    <row r="1681" spans="23:24">
      <c r="W1681" s="368"/>
      <c r="X1681" s="368"/>
    </row>
    <row r="1682" spans="23:24">
      <c r="W1682" s="368"/>
      <c r="X1682" s="368"/>
    </row>
    <row r="1683" spans="23:24">
      <c r="W1683" s="368"/>
      <c r="X1683" s="368"/>
    </row>
    <row r="1684" spans="23:24">
      <c r="W1684" s="368"/>
      <c r="X1684" s="368"/>
    </row>
    <row r="1685" spans="23:24">
      <c r="W1685" s="368"/>
      <c r="X1685" s="368"/>
    </row>
    <row r="1686" spans="23:24">
      <c r="W1686" s="368"/>
      <c r="X1686" s="368"/>
    </row>
    <row r="1687" spans="23:24">
      <c r="W1687" s="368"/>
      <c r="X1687" s="368"/>
    </row>
    <row r="1688" spans="23:24">
      <c r="W1688" s="368"/>
      <c r="X1688" s="368"/>
    </row>
    <row r="1689" spans="23:24">
      <c r="W1689" s="368"/>
      <c r="X1689" s="368"/>
    </row>
    <row r="1690" spans="23:24">
      <c r="W1690" s="368"/>
      <c r="X1690" s="368"/>
    </row>
    <row r="1691" spans="23:24">
      <c r="W1691" s="368"/>
      <c r="X1691" s="368"/>
    </row>
    <row r="1692" spans="23:24">
      <c r="W1692" s="368"/>
      <c r="X1692" s="368"/>
    </row>
    <row r="1693" spans="23:24">
      <c r="W1693" s="368"/>
      <c r="X1693" s="368"/>
    </row>
    <row r="1694" spans="23:24">
      <c r="W1694" s="368"/>
      <c r="X1694" s="368"/>
    </row>
    <row r="1695" spans="23:24">
      <c r="W1695" s="368"/>
      <c r="X1695" s="368"/>
    </row>
    <row r="1696" spans="23:24">
      <c r="W1696" s="368"/>
      <c r="X1696" s="368"/>
    </row>
    <row r="1697" spans="23:24">
      <c r="W1697" s="368"/>
      <c r="X1697" s="368"/>
    </row>
    <row r="1698" spans="23:24">
      <c r="W1698" s="368"/>
      <c r="X1698" s="368"/>
    </row>
    <row r="1699" spans="23:24">
      <c r="W1699" s="368"/>
      <c r="X1699" s="368"/>
    </row>
    <row r="1700" spans="23:24">
      <c r="W1700" s="368"/>
      <c r="X1700" s="368"/>
    </row>
    <row r="1701" spans="23:24">
      <c r="W1701" s="368"/>
      <c r="X1701" s="368"/>
    </row>
    <row r="1702" spans="23:24">
      <c r="W1702" s="368"/>
      <c r="X1702" s="368"/>
    </row>
  </sheetData>
  <autoFilter ref="A1:U1382">
    <filterColumn colId="0">
      <filters blank="1">
        <filter val="DEC 2014"/>
        <filter val="FEB 2015"/>
        <filter val="JAN 2015"/>
        <filter val="NOV 2014"/>
        <filter val="OCT 2014"/>
        <filter val="Revenue Period"/>
        <filter val="SEP 2014"/>
      </filters>
    </filterColumn>
  </autoFilter>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K111"/>
  <sheetViews>
    <sheetView topLeftCell="P10" workbookViewId="0">
      <selection activeCell="AE38" sqref="AE38"/>
    </sheetView>
  </sheetViews>
  <sheetFormatPr defaultRowHeight="12"/>
  <cols>
    <col min="1" max="1" width="17.6640625" customWidth="1"/>
    <col min="2" max="2" width="16.1640625" bestFit="1" customWidth="1"/>
    <col min="4" max="4" width="10.1640625" bestFit="1" customWidth="1"/>
    <col min="6" max="6" width="23.83203125" bestFit="1" customWidth="1"/>
    <col min="8" max="9" width="12.5" bestFit="1" customWidth="1"/>
    <col min="10" max="10" width="11.5" bestFit="1" customWidth="1"/>
    <col min="11" max="11" width="12.5" bestFit="1" customWidth="1"/>
    <col min="26" max="26" width="9.33203125" style="265"/>
    <col min="27" max="27" width="15" style="265" bestFit="1" customWidth="1"/>
    <col min="28" max="29" width="9.33203125" style="265"/>
    <col min="30" max="30" width="11.33203125" style="265" bestFit="1" customWidth="1"/>
    <col min="31" max="37" width="9.33203125" style="265"/>
  </cols>
  <sheetData>
    <row r="1" spans="1:37">
      <c r="A1" t="s">
        <v>65</v>
      </c>
      <c r="C1" t="s">
        <v>66</v>
      </c>
      <c r="D1" s="6">
        <f>EOMONTH(F1,-12)+1</f>
        <v>41699</v>
      </c>
      <c r="E1" t="s">
        <v>25</v>
      </c>
      <c r="F1" s="53">
        <v>42063</v>
      </c>
    </row>
    <row r="2" spans="1:37">
      <c r="J2" s="22"/>
    </row>
    <row r="3" spans="1:37">
      <c r="A3" s="22" t="s">
        <v>72</v>
      </c>
      <c r="C3" s="49"/>
      <c r="D3" s="49"/>
      <c r="E3" s="49"/>
      <c r="F3" s="99"/>
      <c r="G3" s="49"/>
      <c r="H3" s="49"/>
      <c r="I3" s="99"/>
      <c r="J3" s="49"/>
      <c r="K3" s="49"/>
      <c r="L3" s="99"/>
      <c r="M3" s="49"/>
      <c r="N3" s="49"/>
      <c r="O3" s="99"/>
      <c r="P3" s="49"/>
      <c r="Q3" s="49"/>
      <c r="R3" s="2"/>
      <c r="S3" s="2"/>
      <c r="T3" s="2"/>
      <c r="U3" s="2"/>
      <c r="V3" s="2"/>
      <c r="W3" s="2"/>
      <c r="X3" s="2"/>
      <c r="Y3" s="2"/>
      <c r="Z3" s="405"/>
    </row>
    <row r="4" spans="1:37" ht="24.75" thickBot="1">
      <c r="C4" s="48" t="s">
        <v>862</v>
      </c>
      <c r="D4" s="48" t="s">
        <v>863</v>
      </c>
      <c r="E4" s="100" t="s">
        <v>864</v>
      </c>
      <c r="F4" s="48"/>
      <c r="G4" s="100"/>
      <c r="H4" s="100"/>
      <c r="I4" s="100"/>
      <c r="J4" s="48"/>
      <c r="K4" s="100"/>
      <c r="L4" s="48"/>
      <c r="M4" s="48"/>
      <c r="N4" s="100"/>
      <c r="O4" s="48"/>
      <c r="P4" s="48"/>
      <c r="Q4" s="100"/>
      <c r="AA4" s="405" t="s">
        <v>860</v>
      </c>
      <c r="AD4" s="405" t="s">
        <v>861</v>
      </c>
      <c r="AG4" s="265" t="s">
        <v>1004</v>
      </c>
      <c r="AJ4" s="265" t="s">
        <v>1041</v>
      </c>
      <c r="AK4" s="265" t="s">
        <v>919</v>
      </c>
    </row>
    <row r="5" spans="1:37" ht="12.75" thickBot="1">
      <c r="A5" s="54">
        <f>IF(A64=MONTH($F$1),$F$1,IF(A64&lt;MONTH($F$1),EOMONTH(A6,-1),IF(A64=MONTH($F$1)+1,EOMONTH(A4,-11),EOMONTH(A4,1))))</f>
        <v>42035</v>
      </c>
      <c r="B5" s="1" t="str">
        <f>TEXT(A5,"mmm yyyy")</f>
        <v>Jan 2015</v>
      </c>
      <c r="C5" s="49"/>
      <c r="D5" s="49">
        <v>2.7519999999999999E-2</v>
      </c>
      <c r="E5" s="49">
        <f>C5+D5-0.02215</f>
        <v>5.3699999999999998E-3</v>
      </c>
      <c r="F5" s="49"/>
      <c r="G5" s="49"/>
      <c r="H5" s="49"/>
      <c r="I5" s="49"/>
      <c r="J5" s="49"/>
      <c r="K5" s="49"/>
      <c r="L5" s="49"/>
      <c r="M5" s="49"/>
      <c r="N5" s="49"/>
      <c r="O5" s="49"/>
      <c r="P5" s="49"/>
      <c r="Q5" s="49"/>
      <c r="X5">
        <v>20140101</v>
      </c>
      <c r="Y5" t="s">
        <v>63</v>
      </c>
      <c r="Z5" s="265">
        <v>1</v>
      </c>
      <c r="AA5" s="406" t="s">
        <v>867</v>
      </c>
      <c r="AB5" s="265" t="s">
        <v>22</v>
      </c>
      <c r="AC5" s="265">
        <v>1</v>
      </c>
      <c r="AD5" s="407" t="s">
        <v>379</v>
      </c>
      <c r="AE5" s="408" t="s">
        <v>498</v>
      </c>
      <c r="AF5" s="265">
        <v>1</v>
      </c>
      <c r="AG5" s="147" t="s">
        <v>152</v>
      </c>
      <c r="AH5" s="409" t="s">
        <v>498</v>
      </c>
      <c r="AJ5" s="265">
        <v>910</v>
      </c>
      <c r="AK5" s="265">
        <v>958</v>
      </c>
    </row>
    <row r="6" spans="1:37" ht="12.75" thickBot="1">
      <c r="A6" s="54">
        <f t="shared" ref="A6:A16" si="0">IF(A65=MONTH($F$1),$F$1,IF(A65&lt;MONTH($F$1),EOMONTH(A7,-1),IF(A65=MONTH($F$1)+1,EOMONTH(A5,-11),EOMONTH(A5,1))))</f>
        <v>42063</v>
      </c>
      <c r="B6" s="1" t="str">
        <f t="shared" ref="B6:B18" si="1">TEXT(A6,"mmm yyyy")</f>
        <v>Feb 2015</v>
      </c>
      <c r="C6" s="49"/>
      <c r="D6" s="49">
        <v>2.7519999999999999E-2</v>
      </c>
      <c r="E6" s="49">
        <f t="shared" ref="E6:E16" si="2">C6+D6-0.02215</f>
        <v>5.3699999999999998E-3</v>
      </c>
      <c r="F6" s="49"/>
      <c r="G6" s="49"/>
      <c r="H6" s="49"/>
      <c r="I6" s="49"/>
      <c r="J6" s="49"/>
      <c r="K6" s="49"/>
      <c r="L6" s="49"/>
      <c r="M6" s="49"/>
      <c r="N6" s="49"/>
      <c r="O6" s="49"/>
      <c r="P6" s="49"/>
      <c r="Q6" s="49"/>
      <c r="Y6" t="s">
        <v>448</v>
      </c>
      <c r="Z6" s="265">
        <f>Z5+1</f>
        <v>2</v>
      </c>
      <c r="AA6" s="406" t="s">
        <v>868</v>
      </c>
      <c r="AB6" s="265" t="s">
        <v>23</v>
      </c>
      <c r="AC6" s="265">
        <f t="shared" ref="AC6:AC68" si="3">AC5+1</f>
        <v>2</v>
      </c>
      <c r="AD6" s="407" t="s">
        <v>241</v>
      </c>
      <c r="AE6" s="277" t="s">
        <v>498</v>
      </c>
      <c r="AF6" s="265">
        <f t="shared" ref="AF6:AF28" si="4">AF5+1</f>
        <v>2</v>
      </c>
      <c r="AG6" s="146" t="s">
        <v>152</v>
      </c>
      <c r="AH6" s="409" t="s">
        <v>1117</v>
      </c>
      <c r="AJ6" s="265">
        <v>911</v>
      </c>
      <c r="AK6" s="265">
        <v>901</v>
      </c>
    </row>
    <row r="7" spans="1:37" ht="12.75" thickBot="1">
      <c r="A7" s="54">
        <f t="shared" si="0"/>
        <v>41729</v>
      </c>
      <c r="B7" s="1" t="str">
        <f t="shared" si="1"/>
        <v>Mar 2014</v>
      </c>
      <c r="C7" s="49"/>
      <c r="D7" s="49">
        <v>2.7519999999999999E-2</v>
      </c>
      <c r="E7" s="49">
        <f t="shared" si="2"/>
        <v>5.3699999999999998E-3</v>
      </c>
      <c r="F7" s="49"/>
      <c r="G7" s="49"/>
      <c r="H7" s="49"/>
      <c r="I7" s="49"/>
      <c r="J7" s="49"/>
      <c r="K7" s="49"/>
      <c r="L7" s="49"/>
      <c r="M7" s="49"/>
      <c r="N7" s="49"/>
      <c r="O7" s="49"/>
      <c r="P7" s="49"/>
      <c r="Q7" s="49"/>
      <c r="Y7" t="s">
        <v>451</v>
      </c>
      <c r="Z7" s="265">
        <f t="shared" ref="Z7:Z42" si="5">Z6+1</f>
        <v>3</v>
      </c>
      <c r="AA7" s="277" t="s">
        <v>407</v>
      </c>
      <c r="AB7" s="265" t="s">
        <v>453</v>
      </c>
      <c r="AC7" s="265">
        <f t="shared" si="3"/>
        <v>3</v>
      </c>
      <c r="AD7" s="407" t="s">
        <v>242</v>
      </c>
      <c r="AE7" s="277" t="s">
        <v>498</v>
      </c>
      <c r="AF7" s="265">
        <f t="shared" si="4"/>
        <v>3</v>
      </c>
      <c r="AG7" s="147" t="s">
        <v>153</v>
      </c>
      <c r="AH7" s="409" t="s">
        <v>498</v>
      </c>
      <c r="AJ7" s="265">
        <v>912</v>
      </c>
      <c r="AK7" s="265">
        <v>902</v>
      </c>
    </row>
    <row r="8" spans="1:37" ht="12.75" thickBot="1">
      <c r="A8" s="54">
        <f t="shared" si="0"/>
        <v>41759</v>
      </c>
      <c r="B8" s="1" t="str">
        <f t="shared" si="1"/>
        <v>Apr 2014</v>
      </c>
      <c r="C8" s="49">
        <v>5.8199999999999988E-3</v>
      </c>
      <c r="D8" s="49">
        <v>2.215E-2</v>
      </c>
      <c r="E8" s="49">
        <f t="shared" si="2"/>
        <v>5.8199999999999988E-3</v>
      </c>
      <c r="F8" s="49"/>
      <c r="G8" s="126"/>
      <c r="H8" s="127"/>
      <c r="I8" s="127"/>
      <c r="J8" s="128"/>
      <c r="K8" s="128"/>
      <c r="L8" s="49"/>
      <c r="M8" s="49"/>
      <c r="N8" s="49"/>
      <c r="O8" s="49"/>
      <c r="P8" s="49"/>
      <c r="Q8" s="49"/>
      <c r="Y8" t="s">
        <v>22</v>
      </c>
      <c r="Z8" s="265">
        <f t="shared" si="5"/>
        <v>4</v>
      </c>
      <c r="AA8" s="277" t="s">
        <v>408</v>
      </c>
      <c r="AB8" s="265" t="s">
        <v>453</v>
      </c>
      <c r="AC8" s="265">
        <f t="shared" si="3"/>
        <v>4</v>
      </c>
      <c r="AD8" s="407" t="s">
        <v>243</v>
      </c>
      <c r="AE8" s="277" t="s">
        <v>498</v>
      </c>
      <c r="AF8" s="265">
        <f t="shared" si="4"/>
        <v>4</v>
      </c>
      <c r="AG8" s="147" t="s">
        <v>153</v>
      </c>
      <c r="AH8" s="409" t="s">
        <v>1117</v>
      </c>
      <c r="AJ8" s="265">
        <v>952</v>
      </c>
      <c r="AK8" s="265">
        <v>956</v>
      </c>
    </row>
    <row r="9" spans="1:37" ht="12.75" thickBot="1">
      <c r="A9" s="54">
        <f t="shared" si="0"/>
        <v>41790</v>
      </c>
      <c r="B9" s="1" t="str">
        <f t="shared" si="1"/>
        <v>May 2014</v>
      </c>
      <c r="C9" s="49">
        <v>5.62E-3</v>
      </c>
      <c r="D9" s="49">
        <v>2.215E-2</v>
      </c>
      <c r="E9" s="49">
        <f t="shared" si="2"/>
        <v>5.62E-3</v>
      </c>
      <c r="F9" s="49"/>
      <c r="G9" s="49"/>
      <c r="H9" s="49"/>
      <c r="I9" s="49"/>
      <c r="J9" s="49"/>
      <c r="K9" s="49"/>
      <c r="L9" s="49"/>
      <c r="M9" s="49"/>
      <c r="N9" s="49"/>
      <c r="O9" s="49"/>
      <c r="P9" s="49"/>
      <c r="Q9" s="49"/>
      <c r="Y9" t="s">
        <v>23</v>
      </c>
      <c r="Z9" s="265">
        <f t="shared" si="5"/>
        <v>5</v>
      </c>
      <c r="AA9" s="277" t="s">
        <v>409</v>
      </c>
      <c r="AB9" s="265" t="s">
        <v>453</v>
      </c>
      <c r="AC9" s="265">
        <f t="shared" si="3"/>
        <v>5</v>
      </c>
      <c r="AD9" s="407" t="s">
        <v>244</v>
      </c>
      <c r="AE9" s="277" t="s">
        <v>498</v>
      </c>
      <c r="AF9" s="265">
        <f t="shared" si="4"/>
        <v>5</v>
      </c>
      <c r="AG9" s="147" t="s">
        <v>154</v>
      </c>
      <c r="AH9" s="409" t="s">
        <v>498</v>
      </c>
      <c r="AJ9" s="265">
        <v>953</v>
      </c>
      <c r="AK9" s="265">
        <v>956</v>
      </c>
    </row>
    <row r="10" spans="1:37" ht="12.75" thickBot="1">
      <c r="A10" s="54">
        <f t="shared" si="0"/>
        <v>41820</v>
      </c>
      <c r="B10" s="1" t="str">
        <f t="shared" si="1"/>
        <v>Jun 2014</v>
      </c>
      <c r="C10" s="49">
        <v>4.1999999999999989E-3</v>
      </c>
      <c r="D10" s="49">
        <v>2.215E-2</v>
      </c>
      <c r="E10" s="49">
        <f t="shared" si="2"/>
        <v>4.1999999999999989E-3</v>
      </c>
      <c r="F10" s="49"/>
      <c r="G10" s="49"/>
      <c r="H10" s="49"/>
      <c r="I10" s="49"/>
      <c r="J10" s="49"/>
      <c r="K10" s="49"/>
      <c r="L10" s="49"/>
      <c r="M10" s="49"/>
      <c r="N10" s="49"/>
      <c r="O10" s="49"/>
      <c r="P10" s="49"/>
      <c r="Q10" s="49"/>
      <c r="Y10" t="s">
        <v>14</v>
      </c>
      <c r="Z10" s="265">
        <f t="shared" si="5"/>
        <v>6</v>
      </c>
      <c r="AA10" s="277" t="s">
        <v>410</v>
      </c>
      <c r="AB10" s="265" t="s">
        <v>453</v>
      </c>
      <c r="AC10" s="265">
        <f t="shared" si="3"/>
        <v>6</v>
      </c>
      <c r="AD10" s="407" t="s">
        <v>245</v>
      </c>
      <c r="AE10" s="277" t="s">
        <v>498</v>
      </c>
      <c r="AF10" s="265">
        <f t="shared" si="4"/>
        <v>6</v>
      </c>
      <c r="AG10" s="147" t="s">
        <v>154</v>
      </c>
      <c r="AH10" s="409" t="s">
        <v>1117</v>
      </c>
      <c r="AJ10" s="265">
        <v>954</v>
      </c>
      <c r="AK10" s="265">
        <v>950</v>
      </c>
    </row>
    <row r="11" spans="1:37" ht="12.75" thickBot="1">
      <c r="A11" s="54">
        <f t="shared" si="0"/>
        <v>41851</v>
      </c>
      <c r="B11" s="1" t="str">
        <f t="shared" si="1"/>
        <v>Jul 2014</v>
      </c>
      <c r="C11" s="49">
        <v>7.4000000000000107E-4</v>
      </c>
      <c r="D11" s="49">
        <v>2.7519999999999999E-2</v>
      </c>
      <c r="E11" s="49">
        <f t="shared" si="2"/>
        <v>6.1100000000000008E-3</v>
      </c>
      <c r="F11" s="49"/>
      <c r="G11" s="49"/>
      <c r="H11" s="49"/>
      <c r="I11" s="49"/>
      <c r="J11" s="49"/>
      <c r="K11" s="49"/>
      <c r="L11" s="49"/>
      <c r="M11" s="49"/>
      <c r="N11" s="49"/>
      <c r="O11" s="49"/>
      <c r="P11" s="49"/>
      <c r="Q11" s="49"/>
      <c r="Y11" s="302" t="s">
        <v>892</v>
      </c>
      <c r="Z11" s="265">
        <f t="shared" si="5"/>
        <v>7</v>
      </c>
      <c r="AA11" s="277" t="s">
        <v>411</v>
      </c>
      <c r="AB11" s="265" t="s">
        <v>453</v>
      </c>
      <c r="AC11" s="265">
        <f t="shared" si="3"/>
        <v>7</v>
      </c>
      <c r="AD11" s="407" t="s">
        <v>381</v>
      </c>
      <c r="AE11" s="277" t="s">
        <v>498</v>
      </c>
      <c r="AF11" s="265">
        <f t="shared" si="4"/>
        <v>7</v>
      </c>
      <c r="AG11" s="147" t="s">
        <v>155</v>
      </c>
      <c r="AH11" s="409" t="s">
        <v>498</v>
      </c>
      <c r="AJ11" s="265">
        <v>955</v>
      </c>
      <c r="AK11" s="265">
        <v>951</v>
      </c>
    </row>
    <row r="12" spans="1:37" ht="12.75" thickBot="1">
      <c r="A12" s="54">
        <f t="shared" si="0"/>
        <v>41882</v>
      </c>
      <c r="B12" s="1" t="str">
        <f t="shared" si="1"/>
        <v>Aug 2014</v>
      </c>
      <c r="C12" s="49">
        <v>-1.9999999999999879E-4</v>
      </c>
      <c r="D12" s="49">
        <v>2.7519999999999999E-2</v>
      </c>
      <c r="E12" s="49">
        <f t="shared" si="2"/>
        <v>5.170000000000001E-3</v>
      </c>
      <c r="F12" s="49"/>
      <c r="G12" s="49"/>
      <c r="H12" s="49"/>
      <c r="I12" s="49"/>
      <c r="J12" s="49"/>
      <c r="K12" s="49"/>
      <c r="L12" s="49"/>
      <c r="M12" s="49"/>
      <c r="N12" s="49"/>
      <c r="O12" s="49"/>
      <c r="P12" s="49"/>
      <c r="Q12" s="49"/>
      <c r="Y12" t="s">
        <v>460</v>
      </c>
      <c r="Z12" s="265">
        <f t="shared" si="5"/>
        <v>8</v>
      </c>
      <c r="AA12" s="277" t="s">
        <v>413</v>
      </c>
      <c r="AB12" s="265" t="s">
        <v>453</v>
      </c>
      <c r="AC12" s="265">
        <f t="shared" si="3"/>
        <v>8</v>
      </c>
      <c r="AD12" s="407" t="s">
        <v>246</v>
      </c>
      <c r="AE12" s="277" t="s">
        <v>498</v>
      </c>
      <c r="AF12" s="265">
        <f t="shared" si="4"/>
        <v>8</v>
      </c>
      <c r="AG12" s="147" t="s">
        <v>155</v>
      </c>
      <c r="AH12" s="409" t="s">
        <v>1117</v>
      </c>
      <c r="AJ12" s="265">
        <v>957</v>
      </c>
      <c r="AK12" s="265">
        <v>956</v>
      </c>
    </row>
    <row r="13" spans="1:37" ht="12.75" thickBot="1">
      <c r="A13" s="54">
        <f t="shared" si="0"/>
        <v>41912</v>
      </c>
      <c r="B13" s="1" t="str">
        <f t="shared" si="1"/>
        <v>Sep 2014</v>
      </c>
      <c r="C13" s="49">
        <v>4.1000000000000064E-4</v>
      </c>
      <c r="D13" s="49">
        <v>2.7519999999999999E-2</v>
      </c>
      <c r="E13" s="49">
        <f t="shared" si="2"/>
        <v>5.7800000000000004E-3</v>
      </c>
      <c r="F13" s="49"/>
      <c r="G13" s="49"/>
      <c r="H13" s="49"/>
      <c r="I13" s="49"/>
      <c r="J13" s="49"/>
      <c r="K13" s="49"/>
      <c r="L13" s="49"/>
      <c r="M13" s="49"/>
      <c r="N13" s="49"/>
      <c r="O13" s="49"/>
      <c r="P13" s="49"/>
      <c r="Q13" s="49"/>
      <c r="Y13" t="s">
        <v>17</v>
      </c>
      <c r="Z13" s="265">
        <f t="shared" si="5"/>
        <v>9</v>
      </c>
      <c r="AA13" s="277" t="s">
        <v>414</v>
      </c>
      <c r="AB13" s="265" t="s">
        <v>20</v>
      </c>
      <c r="AC13" s="265">
        <f t="shared" si="3"/>
        <v>9</v>
      </c>
      <c r="AD13" s="407" t="s">
        <v>252</v>
      </c>
      <c r="AE13" s="277" t="s">
        <v>498</v>
      </c>
      <c r="AF13" s="265">
        <f t="shared" si="4"/>
        <v>9</v>
      </c>
      <c r="AG13" s="147" t="s">
        <v>156</v>
      </c>
      <c r="AH13" s="409" t="s">
        <v>498</v>
      </c>
      <c r="AJ13" s="265">
        <v>960</v>
      </c>
      <c r="AK13" s="265">
        <v>950</v>
      </c>
    </row>
    <row r="14" spans="1:37" ht="12.75" thickBot="1">
      <c r="A14" s="54">
        <f t="shared" si="0"/>
        <v>41943</v>
      </c>
      <c r="B14" s="1" t="str">
        <f t="shared" si="1"/>
        <v>Oct 2014</v>
      </c>
      <c r="C14" s="49"/>
      <c r="D14" s="49">
        <v>2.7519999999999999E-2</v>
      </c>
      <c r="E14" s="49">
        <f t="shared" si="2"/>
        <v>5.3699999999999998E-3</v>
      </c>
      <c r="F14" s="49"/>
      <c r="G14" s="49"/>
      <c r="H14" s="49"/>
      <c r="I14" s="49"/>
      <c r="J14" s="49"/>
      <c r="K14" s="49"/>
      <c r="L14" s="49"/>
      <c r="M14" s="49"/>
      <c r="N14" s="49"/>
      <c r="O14" s="49"/>
      <c r="P14" s="49"/>
      <c r="Q14" s="49"/>
      <c r="Y14" s="265" t="s">
        <v>680</v>
      </c>
      <c r="Z14" s="265">
        <f t="shared" si="5"/>
        <v>10</v>
      </c>
      <c r="AA14" s="277" t="s">
        <v>415</v>
      </c>
      <c r="AB14" s="265" t="s">
        <v>21</v>
      </c>
      <c r="AC14" s="265">
        <f t="shared" si="3"/>
        <v>10</v>
      </c>
      <c r="AD14" s="407" t="s">
        <v>263</v>
      </c>
      <c r="AE14" s="277" t="s">
        <v>498</v>
      </c>
      <c r="AF14" s="265">
        <f t="shared" si="4"/>
        <v>10</v>
      </c>
      <c r="AG14" s="147" t="s">
        <v>156</v>
      </c>
      <c r="AH14" s="409" t="s">
        <v>1117</v>
      </c>
      <c r="AJ14" s="265">
        <v>961</v>
      </c>
      <c r="AK14" s="265">
        <v>951</v>
      </c>
    </row>
    <row r="15" spans="1:37" ht="12.75" thickBot="1">
      <c r="A15" s="54">
        <f t="shared" si="0"/>
        <v>41973</v>
      </c>
      <c r="B15" s="1" t="str">
        <f t="shared" si="1"/>
        <v>Nov 2014</v>
      </c>
      <c r="C15" s="49"/>
      <c r="D15" s="49">
        <v>2.7519999999999999E-2</v>
      </c>
      <c r="E15" s="49">
        <f t="shared" si="2"/>
        <v>5.3699999999999998E-3</v>
      </c>
      <c r="F15" s="49"/>
      <c r="G15" s="49"/>
      <c r="H15" s="49"/>
      <c r="I15" s="49"/>
      <c r="J15" s="49"/>
      <c r="K15" s="49"/>
      <c r="L15" s="49"/>
      <c r="M15" s="49"/>
      <c r="N15" s="49"/>
      <c r="O15" s="49"/>
      <c r="P15" s="49"/>
      <c r="Q15" s="49"/>
      <c r="Y15" t="s">
        <v>464</v>
      </c>
      <c r="Z15" s="265">
        <f t="shared" si="5"/>
        <v>11</v>
      </c>
      <c r="AA15" s="277" t="s">
        <v>416</v>
      </c>
      <c r="AB15" s="265" t="s">
        <v>20</v>
      </c>
      <c r="AC15" s="265">
        <f t="shared" si="3"/>
        <v>11</v>
      </c>
      <c r="AD15" s="407" t="s">
        <v>264</v>
      </c>
      <c r="AE15" s="277" t="s">
        <v>498</v>
      </c>
      <c r="AF15" s="265">
        <f t="shared" si="4"/>
        <v>11</v>
      </c>
      <c r="AG15" s="146" t="s">
        <v>157</v>
      </c>
      <c r="AH15" s="409" t="s">
        <v>498</v>
      </c>
      <c r="AJ15" s="265">
        <v>962</v>
      </c>
      <c r="AK15" s="265">
        <v>951</v>
      </c>
    </row>
    <row r="16" spans="1:37" ht="12.75" thickBot="1">
      <c r="A16" s="54">
        <f t="shared" si="0"/>
        <v>42004</v>
      </c>
      <c r="B16" s="1" t="str">
        <f t="shared" si="1"/>
        <v>Dec 2014</v>
      </c>
      <c r="C16" s="49"/>
      <c r="D16" s="49">
        <v>2.7519999999999999E-2</v>
      </c>
      <c r="E16" s="49">
        <f t="shared" si="2"/>
        <v>5.3699999999999998E-3</v>
      </c>
      <c r="F16" s="49"/>
      <c r="G16" s="49"/>
      <c r="H16" s="49"/>
      <c r="I16" s="49"/>
      <c r="J16" s="49"/>
      <c r="K16" s="49"/>
      <c r="L16" s="49"/>
      <c r="M16" s="49"/>
      <c r="N16" s="49"/>
      <c r="O16" s="49"/>
      <c r="P16" s="49"/>
      <c r="Q16" s="49"/>
      <c r="Y16" t="s">
        <v>21</v>
      </c>
      <c r="Z16" s="265">
        <f t="shared" si="5"/>
        <v>12</v>
      </c>
      <c r="AA16" s="277" t="s">
        <v>417</v>
      </c>
      <c r="AB16" s="302" t="s">
        <v>920</v>
      </c>
      <c r="AC16" s="265">
        <f t="shared" si="3"/>
        <v>12</v>
      </c>
      <c r="AD16" s="407" t="s">
        <v>267</v>
      </c>
      <c r="AE16" s="277" t="s">
        <v>498</v>
      </c>
      <c r="AF16" s="265">
        <f t="shared" si="4"/>
        <v>12</v>
      </c>
      <c r="AG16" s="146" t="s">
        <v>157</v>
      </c>
      <c r="AH16" s="410" t="s">
        <v>1117</v>
      </c>
      <c r="AJ16" s="265">
        <v>963</v>
      </c>
      <c r="AK16" s="265">
        <v>956</v>
      </c>
    </row>
    <row r="17" spans="1:34" ht="12.75" thickBot="1">
      <c r="C17" s="49"/>
      <c r="D17" s="49"/>
      <c r="E17" s="49"/>
      <c r="F17" s="49"/>
      <c r="G17" s="49"/>
      <c r="H17" s="49"/>
      <c r="I17" s="49"/>
      <c r="J17" s="49"/>
      <c r="K17" s="49"/>
      <c r="L17" s="49"/>
      <c r="M17" s="49"/>
      <c r="N17" s="49"/>
      <c r="O17" s="49"/>
      <c r="P17" s="49"/>
      <c r="Q17" s="49"/>
      <c r="Y17" t="s">
        <v>20</v>
      </c>
      <c r="Z17" s="265">
        <f t="shared" si="5"/>
        <v>13</v>
      </c>
      <c r="AA17" s="277" t="s">
        <v>418</v>
      </c>
      <c r="AB17" s="265" t="s">
        <v>448</v>
      </c>
      <c r="AC17" s="265">
        <f t="shared" si="3"/>
        <v>13</v>
      </c>
      <c r="AD17" s="407" t="s">
        <v>392</v>
      </c>
      <c r="AE17" s="277" t="s">
        <v>498</v>
      </c>
      <c r="AF17" s="265">
        <f t="shared" si="4"/>
        <v>13</v>
      </c>
      <c r="AG17" s="146" t="s">
        <v>158</v>
      </c>
      <c r="AH17" s="409" t="s">
        <v>498</v>
      </c>
    </row>
    <row r="18" spans="1:34" ht="12.75" thickBot="1">
      <c r="A18" s="6">
        <f>EOMONTH(MIN(A5:A16),-1)</f>
        <v>41698</v>
      </c>
      <c r="B18" s="1" t="str">
        <f t="shared" si="1"/>
        <v>Feb 2014</v>
      </c>
      <c r="C18" s="101"/>
      <c r="D18" s="101"/>
      <c r="E18" s="101"/>
      <c r="F18" s="101"/>
      <c r="G18" s="101"/>
      <c r="H18" s="101"/>
      <c r="I18" s="101"/>
      <c r="J18" s="101"/>
      <c r="K18" s="101"/>
      <c r="L18" s="101"/>
      <c r="M18" s="101"/>
      <c r="N18" s="101"/>
      <c r="O18" s="101"/>
      <c r="P18" s="101"/>
      <c r="Q18" s="101"/>
      <c r="Y18" s="265" t="s">
        <v>13</v>
      </c>
      <c r="Z18" s="265">
        <f t="shared" si="5"/>
        <v>14</v>
      </c>
      <c r="AA18" s="277" t="s">
        <v>419</v>
      </c>
      <c r="AB18" s="265" t="s">
        <v>14</v>
      </c>
      <c r="AC18" s="265">
        <f t="shared" si="3"/>
        <v>14</v>
      </c>
      <c r="AD18" s="407" t="s">
        <v>268</v>
      </c>
      <c r="AE18" s="277" t="s">
        <v>498</v>
      </c>
      <c r="AF18" s="265">
        <f t="shared" si="4"/>
        <v>14</v>
      </c>
      <c r="AG18" s="146" t="s">
        <v>158</v>
      </c>
      <c r="AH18" s="409" t="s">
        <v>1117</v>
      </c>
    </row>
    <row r="19" spans="1:34" ht="12.75" thickBot="1">
      <c r="B19">
        <v>1</v>
      </c>
      <c r="C19" s="49"/>
      <c r="D19" s="49"/>
      <c r="E19" s="49"/>
      <c r="F19" s="49"/>
      <c r="G19" s="49"/>
      <c r="H19" s="49"/>
      <c r="I19" s="49"/>
      <c r="J19" s="49"/>
      <c r="K19" s="49"/>
      <c r="L19" s="49"/>
      <c r="M19" s="49"/>
      <c r="N19" s="49"/>
      <c r="O19" s="49"/>
      <c r="P19" s="49"/>
      <c r="Q19" s="49"/>
      <c r="Y19" t="s">
        <v>15</v>
      </c>
      <c r="Z19" s="265">
        <f t="shared" si="5"/>
        <v>15</v>
      </c>
      <c r="AA19" s="277" t="s">
        <v>420</v>
      </c>
      <c r="AB19" s="265" t="s">
        <v>14</v>
      </c>
      <c r="AC19" s="265">
        <f t="shared" si="3"/>
        <v>15</v>
      </c>
      <c r="AD19" s="407" t="s">
        <v>269</v>
      </c>
      <c r="AE19" s="277" t="s">
        <v>498</v>
      </c>
      <c r="AF19" s="265">
        <f t="shared" si="4"/>
        <v>15</v>
      </c>
      <c r="AG19" s="146" t="s">
        <v>1207</v>
      </c>
      <c r="AH19" s="409" t="s">
        <v>498</v>
      </c>
    </row>
    <row r="20" spans="1:34" ht="12.75" thickBot="1">
      <c r="Y20" t="s">
        <v>18</v>
      </c>
      <c r="Z20" s="265">
        <f t="shared" si="5"/>
        <v>16</v>
      </c>
      <c r="AA20" s="277" t="s">
        <v>421</v>
      </c>
      <c r="AB20" s="265" t="s">
        <v>14</v>
      </c>
      <c r="AC20" s="265">
        <f t="shared" si="3"/>
        <v>16</v>
      </c>
      <c r="AD20" s="407" t="s">
        <v>393</v>
      </c>
      <c r="AE20" s="277" t="s">
        <v>498</v>
      </c>
      <c r="AF20" s="265">
        <f t="shared" si="4"/>
        <v>16</v>
      </c>
      <c r="AG20" s="146" t="s">
        <v>1207</v>
      </c>
      <c r="AH20" s="409" t="s">
        <v>1117</v>
      </c>
    </row>
    <row r="21" spans="1:34" ht="12.75" thickBot="1">
      <c r="A21" t="s">
        <v>29</v>
      </c>
      <c r="Y21" t="s">
        <v>920</v>
      </c>
      <c r="Z21" s="265">
        <f t="shared" si="5"/>
        <v>17</v>
      </c>
      <c r="AA21" s="277" t="s">
        <v>423</v>
      </c>
      <c r="AB21" s="265" t="s">
        <v>14</v>
      </c>
      <c r="AC21" s="265">
        <f t="shared" si="3"/>
        <v>17</v>
      </c>
      <c r="AD21" s="407" t="s">
        <v>394</v>
      </c>
      <c r="AE21" s="277" t="s">
        <v>498</v>
      </c>
      <c r="AF21" s="265">
        <f t="shared" si="4"/>
        <v>17</v>
      </c>
      <c r="AG21" s="146" t="s">
        <v>159</v>
      </c>
      <c r="AH21" s="409" t="s">
        <v>498</v>
      </c>
    </row>
    <row r="22" spans="1:34" ht="12.75" thickBot="1">
      <c r="A22" t="s">
        <v>30</v>
      </c>
      <c r="B22" t="s">
        <v>31</v>
      </c>
      <c r="K22" s="6"/>
      <c r="R22" t="s">
        <v>73</v>
      </c>
      <c r="S22" t="s">
        <v>74</v>
      </c>
      <c r="T22" t="s">
        <v>75</v>
      </c>
      <c r="U22" t="s">
        <v>76</v>
      </c>
      <c r="V22" t="s">
        <v>57</v>
      </c>
      <c r="Y22" t="s">
        <v>745</v>
      </c>
      <c r="Z22" s="265">
        <f t="shared" si="5"/>
        <v>18</v>
      </c>
      <c r="AA22" s="277" t="s">
        <v>424</v>
      </c>
      <c r="AB22" s="265" t="s">
        <v>464</v>
      </c>
      <c r="AC22" s="265">
        <f t="shared" si="3"/>
        <v>18</v>
      </c>
      <c r="AD22" s="407" t="s">
        <v>398</v>
      </c>
      <c r="AE22" s="277" t="s">
        <v>498</v>
      </c>
      <c r="AF22" s="265">
        <f t="shared" si="4"/>
        <v>18</v>
      </c>
      <c r="AG22" s="146" t="s">
        <v>159</v>
      </c>
      <c r="AH22" s="409" t="s">
        <v>1117</v>
      </c>
    </row>
    <row r="23" spans="1:34" ht="12.75" thickBot="1">
      <c r="A23" s="6">
        <f>D1</f>
        <v>41699</v>
      </c>
      <c r="B23" s="74">
        <v>41882</v>
      </c>
      <c r="C23" s="75">
        <v>20140101</v>
      </c>
      <c r="D23" s="52" t="s">
        <v>1044</v>
      </c>
      <c r="K23" s="6"/>
      <c r="R23" t="s">
        <v>26</v>
      </c>
      <c r="S23" t="s">
        <v>27</v>
      </c>
      <c r="T23" t="s">
        <v>28</v>
      </c>
      <c r="U23" t="s">
        <v>77</v>
      </c>
      <c r="V23" t="s">
        <v>78</v>
      </c>
      <c r="Z23" s="265">
        <f t="shared" si="5"/>
        <v>19</v>
      </c>
      <c r="AA23" s="408" t="s">
        <v>1204</v>
      </c>
      <c r="AB23" s="265" t="s">
        <v>63</v>
      </c>
      <c r="AC23" s="265">
        <f t="shared" si="3"/>
        <v>19</v>
      </c>
      <c r="AD23" s="407" t="s">
        <v>395</v>
      </c>
      <c r="AE23" s="408" t="s">
        <v>498</v>
      </c>
      <c r="AF23" s="265">
        <f t="shared" si="4"/>
        <v>19</v>
      </c>
      <c r="AG23" s="147" t="s">
        <v>160</v>
      </c>
      <c r="AH23" s="409" t="s">
        <v>498</v>
      </c>
    </row>
    <row r="24" spans="1:34" ht="12.75" thickBot="1">
      <c r="A24" s="6">
        <f>B23+1</f>
        <v>41883</v>
      </c>
      <c r="B24" s="74"/>
      <c r="C24" s="75"/>
      <c r="D24" s="52" t="s">
        <v>1044</v>
      </c>
      <c r="K24" s="6"/>
      <c r="Z24" s="265">
        <f t="shared" si="5"/>
        <v>20</v>
      </c>
      <c r="AA24" s="277" t="s">
        <v>425</v>
      </c>
      <c r="AB24" s="265" t="s">
        <v>63</v>
      </c>
      <c r="AC24" s="265">
        <f t="shared" si="3"/>
        <v>20</v>
      </c>
      <c r="AD24" s="407" t="s">
        <v>396</v>
      </c>
      <c r="AE24" s="277" t="s">
        <v>498</v>
      </c>
      <c r="AF24" s="265">
        <f t="shared" si="4"/>
        <v>20</v>
      </c>
      <c r="AG24" s="147" t="s">
        <v>160</v>
      </c>
      <c r="AH24" s="409" t="s">
        <v>1117</v>
      </c>
    </row>
    <row r="25" spans="1:34" ht="12.75" thickBot="1">
      <c r="A25" s="6">
        <f>B24+1</f>
        <v>1</v>
      </c>
      <c r="B25" s="6">
        <f>F1</f>
        <v>42063</v>
      </c>
      <c r="C25" s="75"/>
      <c r="D25" s="52" t="s">
        <v>1044</v>
      </c>
      <c r="K25" s="6"/>
      <c r="Z25" s="265">
        <f t="shared" si="5"/>
        <v>21</v>
      </c>
      <c r="AA25" s="277" t="s">
        <v>426</v>
      </c>
      <c r="AB25" s="265" t="s">
        <v>451</v>
      </c>
      <c r="AC25" s="265">
        <f t="shared" si="3"/>
        <v>21</v>
      </c>
      <c r="AD25" s="407" t="s">
        <v>397</v>
      </c>
      <c r="AE25" s="277" t="s">
        <v>498</v>
      </c>
      <c r="AF25" s="265">
        <f t="shared" si="4"/>
        <v>21</v>
      </c>
      <c r="AG25" s="146" t="s">
        <v>161</v>
      </c>
      <c r="AH25" s="409" t="s">
        <v>498</v>
      </c>
    </row>
    <row r="26" spans="1:34" ht="12.75" thickBot="1">
      <c r="K26" s="6"/>
      <c r="Z26" s="265">
        <f t="shared" si="5"/>
        <v>22</v>
      </c>
      <c r="AA26" s="277" t="s">
        <v>427</v>
      </c>
      <c r="AB26" s="265" t="s">
        <v>15</v>
      </c>
      <c r="AC26" s="265">
        <f t="shared" si="3"/>
        <v>22</v>
      </c>
      <c r="AD26" s="407" t="s">
        <v>287</v>
      </c>
      <c r="AE26" s="277" t="s">
        <v>498</v>
      </c>
      <c r="AF26" s="265">
        <f t="shared" si="4"/>
        <v>22</v>
      </c>
      <c r="AG26" s="146" t="s">
        <v>161</v>
      </c>
      <c r="AH26" s="409" t="s">
        <v>1117</v>
      </c>
    </row>
    <row r="27" spans="1:34" ht="12.75" thickBot="1">
      <c r="K27" s="6"/>
      <c r="Z27" s="265">
        <f t="shared" si="5"/>
        <v>23</v>
      </c>
      <c r="AA27" s="277" t="s">
        <v>428</v>
      </c>
      <c r="AB27" s="265" t="s">
        <v>20</v>
      </c>
      <c r="AC27" s="265">
        <f t="shared" si="3"/>
        <v>23</v>
      </c>
      <c r="AD27" s="407" t="s">
        <v>288</v>
      </c>
      <c r="AE27" s="277" t="s">
        <v>498</v>
      </c>
      <c r="AF27" s="265">
        <f t="shared" si="4"/>
        <v>23</v>
      </c>
      <c r="AG27" s="147" t="s">
        <v>162</v>
      </c>
      <c r="AH27" s="409" t="s">
        <v>498</v>
      </c>
    </row>
    <row r="28" spans="1:34" ht="12.75" thickBot="1">
      <c r="K28" s="6"/>
      <c r="Z28" s="265">
        <f t="shared" si="5"/>
        <v>24</v>
      </c>
      <c r="AA28" s="277" t="s">
        <v>429</v>
      </c>
      <c r="AB28" s="265" t="s">
        <v>21</v>
      </c>
      <c r="AC28" s="265">
        <f t="shared" si="3"/>
        <v>24</v>
      </c>
      <c r="AD28" s="407" t="s">
        <v>291</v>
      </c>
      <c r="AE28" s="277" t="s">
        <v>498</v>
      </c>
      <c r="AF28" s="265">
        <f t="shared" si="4"/>
        <v>24</v>
      </c>
      <c r="AG28" s="147" t="s">
        <v>162</v>
      </c>
      <c r="AH28" s="409" t="s">
        <v>1117</v>
      </c>
    </row>
    <row r="29" spans="1:34">
      <c r="K29" s="6"/>
      <c r="Z29" s="265">
        <f t="shared" si="5"/>
        <v>25</v>
      </c>
      <c r="AA29" s="277" t="s">
        <v>430</v>
      </c>
      <c r="AB29" s="302" t="s">
        <v>920</v>
      </c>
      <c r="AC29" s="265">
        <f t="shared" si="3"/>
        <v>25</v>
      </c>
      <c r="AD29" s="407" t="s">
        <v>581</v>
      </c>
      <c r="AE29" s="277" t="s">
        <v>498</v>
      </c>
      <c r="AG29" s="265">
        <v>222</v>
      </c>
      <c r="AH29" s="265">
        <v>452</v>
      </c>
    </row>
    <row r="30" spans="1:34">
      <c r="K30" s="6"/>
      <c r="Z30" s="265">
        <f t="shared" si="5"/>
        <v>26</v>
      </c>
      <c r="AA30" s="277" t="s">
        <v>431</v>
      </c>
      <c r="AB30" s="265" t="s">
        <v>460</v>
      </c>
      <c r="AC30" s="265">
        <f t="shared" si="3"/>
        <v>26</v>
      </c>
      <c r="AD30" s="407" t="s">
        <v>297</v>
      </c>
      <c r="AE30" s="277" t="s">
        <v>498</v>
      </c>
      <c r="AG30" s="265">
        <v>223</v>
      </c>
      <c r="AH30" s="265">
        <v>455</v>
      </c>
    </row>
    <row r="31" spans="1:34">
      <c r="A31" s="97" t="s">
        <v>1029</v>
      </c>
      <c r="B31" s="97" t="s">
        <v>1032</v>
      </c>
      <c r="C31" s="23"/>
      <c r="D31" s="23"/>
      <c r="E31" s="23"/>
      <c r="G31" s="89" t="s">
        <v>5</v>
      </c>
      <c r="K31" s="6"/>
      <c r="Z31" s="265">
        <f t="shared" si="5"/>
        <v>27</v>
      </c>
      <c r="AA31" s="277" t="s">
        <v>432</v>
      </c>
      <c r="AB31" s="265" t="s">
        <v>460</v>
      </c>
      <c r="AC31" s="265">
        <f t="shared" si="3"/>
        <v>27</v>
      </c>
      <c r="AD31" s="407" t="s">
        <v>299</v>
      </c>
      <c r="AE31" s="277" t="s">
        <v>498</v>
      </c>
      <c r="AG31" s="265">
        <v>224</v>
      </c>
      <c r="AH31" s="265">
        <v>274</v>
      </c>
    </row>
    <row r="32" spans="1:34">
      <c r="A32" s="23"/>
      <c r="B32" s="23" t="s">
        <v>1030</v>
      </c>
      <c r="C32" s="23"/>
      <c r="D32" s="23"/>
      <c r="E32" s="23"/>
      <c r="G32" s="89" t="s">
        <v>851</v>
      </c>
      <c r="K32" s="6"/>
      <c r="Z32" s="265">
        <f t="shared" si="5"/>
        <v>28</v>
      </c>
      <c r="AA32" s="277" t="s">
        <v>433</v>
      </c>
      <c r="AB32" s="265" t="s">
        <v>17</v>
      </c>
      <c r="AC32" s="265">
        <f t="shared" si="3"/>
        <v>28</v>
      </c>
      <c r="AD32" s="411" t="s">
        <v>377</v>
      </c>
      <c r="AE32" s="408" t="s">
        <v>1117</v>
      </c>
      <c r="AG32" s="265">
        <v>225</v>
      </c>
      <c r="AH32" s="265">
        <v>275</v>
      </c>
    </row>
    <row r="33" spans="1:34">
      <c r="A33" s="23"/>
      <c r="B33" s="23" t="s">
        <v>1031</v>
      </c>
      <c r="C33" s="23"/>
      <c r="D33" s="23"/>
      <c r="E33" s="23"/>
      <c r="G33" s="89" t="s">
        <v>922</v>
      </c>
      <c r="K33" s="6"/>
      <c r="Z33" s="265">
        <f t="shared" si="5"/>
        <v>29</v>
      </c>
      <c r="AA33" s="277" t="s">
        <v>434</v>
      </c>
      <c r="AB33" s="265" t="s">
        <v>17</v>
      </c>
      <c r="AC33" s="265">
        <f t="shared" si="3"/>
        <v>29</v>
      </c>
      <c r="AD33" s="411" t="s">
        <v>737</v>
      </c>
      <c r="AE33" s="277" t="s">
        <v>1117</v>
      </c>
      <c r="AG33" s="265">
        <v>226</v>
      </c>
      <c r="AH33" s="265">
        <v>276</v>
      </c>
    </row>
    <row r="34" spans="1:34">
      <c r="A34" s="23"/>
      <c r="B34" s="23"/>
      <c r="C34" s="23"/>
      <c r="D34" s="23"/>
      <c r="E34" s="23"/>
      <c r="G34" s="89" t="s">
        <v>923</v>
      </c>
      <c r="Z34" s="265">
        <f t="shared" si="5"/>
        <v>30</v>
      </c>
      <c r="AA34" s="277" t="s">
        <v>435</v>
      </c>
      <c r="AB34" s="265" t="s">
        <v>17</v>
      </c>
      <c r="AC34" s="265">
        <f t="shared" si="3"/>
        <v>30</v>
      </c>
      <c r="AD34" s="407" t="s">
        <v>329</v>
      </c>
      <c r="AE34" s="277" t="s">
        <v>1117</v>
      </c>
      <c r="AG34" s="265">
        <v>253</v>
      </c>
      <c r="AH34" s="265">
        <v>203</v>
      </c>
    </row>
    <row r="35" spans="1:34">
      <c r="A35" s="23"/>
      <c r="B35" s="23"/>
      <c r="C35" s="23"/>
      <c r="D35" s="23"/>
      <c r="E35" s="23"/>
      <c r="G35" s="89" t="s">
        <v>924</v>
      </c>
      <c r="H35" s="23"/>
      <c r="Z35" s="265">
        <f t="shared" si="5"/>
        <v>31</v>
      </c>
      <c r="AA35" s="277" t="s">
        <v>436</v>
      </c>
      <c r="AB35" s="265" t="s">
        <v>18</v>
      </c>
      <c r="AC35" s="265">
        <f t="shared" si="3"/>
        <v>31</v>
      </c>
      <c r="AD35" s="407" t="s">
        <v>330</v>
      </c>
      <c r="AE35" s="277" t="s">
        <v>1117</v>
      </c>
      <c r="AG35" s="265">
        <v>254</v>
      </c>
      <c r="AH35" s="265">
        <v>204</v>
      </c>
    </row>
    <row r="36" spans="1:34">
      <c r="A36" s="23"/>
      <c r="B36" s="23"/>
      <c r="C36" s="23"/>
      <c r="D36" s="23"/>
      <c r="E36" s="23"/>
      <c r="G36" s="89" t="s">
        <v>925</v>
      </c>
      <c r="Z36" s="265">
        <f t="shared" si="5"/>
        <v>32</v>
      </c>
      <c r="AA36" s="277" t="s">
        <v>437</v>
      </c>
      <c r="AB36" s="265" t="s">
        <v>18</v>
      </c>
      <c r="AC36" s="265">
        <f t="shared" si="3"/>
        <v>32</v>
      </c>
      <c r="AD36" s="407" t="s">
        <v>332</v>
      </c>
      <c r="AE36" s="277" t="s">
        <v>1117</v>
      </c>
      <c r="AG36" s="265">
        <v>255</v>
      </c>
      <c r="AH36" s="265">
        <v>457</v>
      </c>
    </row>
    <row r="37" spans="1:34">
      <c r="A37" s="97"/>
      <c r="B37" s="23"/>
      <c r="C37" s="23"/>
      <c r="D37" s="23"/>
      <c r="E37" s="23"/>
      <c r="G37" s="89" t="s">
        <v>926</v>
      </c>
      <c r="Z37" s="265">
        <f t="shared" si="5"/>
        <v>33</v>
      </c>
      <c r="AA37" s="277" t="s">
        <v>438</v>
      </c>
      <c r="AB37" s="265" t="s">
        <v>13</v>
      </c>
      <c r="AC37" s="265">
        <f t="shared" si="3"/>
        <v>33</v>
      </c>
      <c r="AD37" s="407" t="s">
        <v>333</v>
      </c>
      <c r="AE37" s="408" t="s">
        <v>1117</v>
      </c>
      <c r="AG37" s="265">
        <v>256</v>
      </c>
      <c r="AH37" s="265">
        <v>206</v>
      </c>
    </row>
    <row r="38" spans="1:34">
      <c r="A38" s="23"/>
      <c r="B38" s="23"/>
      <c r="C38" s="23"/>
      <c r="D38" s="23"/>
      <c r="E38" s="23"/>
      <c r="G38" s="89" t="s">
        <v>838</v>
      </c>
      <c r="Z38" s="265">
        <f t="shared" si="5"/>
        <v>34</v>
      </c>
      <c r="AA38" s="277" t="s">
        <v>439</v>
      </c>
      <c r="AB38" s="265" t="s">
        <v>13</v>
      </c>
      <c r="AC38" s="265">
        <f t="shared" si="3"/>
        <v>34</v>
      </c>
      <c r="AD38" s="407" t="s">
        <v>334</v>
      </c>
      <c r="AE38" s="277" t="s">
        <v>498</v>
      </c>
      <c r="AG38" s="265">
        <v>257</v>
      </c>
      <c r="AH38" s="265">
        <v>207</v>
      </c>
    </row>
    <row r="39" spans="1:34">
      <c r="G39" s="89" t="s">
        <v>57</v>
      </c>
      <c r="Z39" s="265">
        <f t="shared" si="5"/>
        <v>35</v>
      </c>
      <c r="AA39" s="277" t="s">
        <v>440</v>
      </c>
      <c r="AB39" s="265" t="s">
        <v>13</v>
      </c>
      <c r="AC39" s="265">
        <f t="shared" si="3"/>
        <v>35</v>
      </c>
      <c r="AD39" s="407" t="s">
        <v>336</v>
      </c>
      <c r="AE39" s="277" t="s">
        <v>498</v>
      </c>
      <c r="AG39" s="265">
        <v>258</v>
      </c>
      <c r="AH39" s="265">
        <v>208</v>
      </c>
    </row>
    <row r="40" spans="1:34">
      <c r="G40" s="89" t="s">
        <v>58</v>
      </c>
      <c r="Z40" s="265">
        <f t="shared" si="5"/>
        <v>36</v>
      </c>
      <c r="AA40" s="277" t="s">
        <v>441</v>
      </c>
      <c r="AB40" s="265" t="s">
        <v>745</v>
      </c>
      <c r="AC40" s="265">
        <f t="shared" si="3"/>
        <v>36</v>
      </c>
      <c r="AD40" s="407" t="s">
        <v>337</v>
      </c>
      <c r="AE40" s="277" t="s">
        <v>1117</v>
      </c>
      <c r="AG40" s="265">
        <v>259</v>
      </c>
      <c r="AH40" s="265">
        <v>209</v>
      </c>
    </row>
    <row r="41" spans="1:34">
      <c r="B41" s="47"/>
      <c r="C41" s="47"/>
      <c r="G41" s="89" t="s">
        <v>762</v>
      </c>
      <c r="Z41" s="265">
        <f t="shared" si="5"/>
        <v>37</v>
      </c>
      <c r="AA41" s="408" t="s">
        <v>755</v>
      </c>
      <c r="AB41" s="265" t="s">
        <v>680</v>
      </c>
      <c r="AC41" s="265">
        <f t="shared" si="3"/>
        <v>37</v>
      </c>
      <c r="AD41" s="407" t="s">
        <v>338</v>
      </c>
      <c r="AE41" s="277" t="s">
        <v>1117</v>
      </c>
      <c r="AG41" s="265">
        <v>260</v>
      </c>
      <c r="AH41" s="265">
        <v>210</v>
      </c>
    </row>
    <row r="42" spans="1:34">
      <c r="G42" s="89" t="s">
        <v>839</v>
      </c>
      <c r="Z42" s="265">
        <f t="shared" si="5"/>
        <v>38</v>
      </c>
      <c r="AA42" s="408" t="s">
        <v>1208</v>
      </c>
      <c r="AB42" s="265" t="s">
        <v>680</v>
      </c>
      <c r="AC42" s="265">
        <f t="shared" si="3"/>
        <v>38</v>
      </c>
      <c r="AD42" s="407" t="s">
        <v>339</v>
      </c>
      <c r="AE42" s="277" t="s">
        <v>1117</v>
      </c>
      <c r="AG42" s="265">
        <v>261</v>
      </c>
      <c r="AH42" s="265">
        <v>453</v>
      </c>
    </row>
    <row r="43" spans="1:34">
      <c r="G43" s="89" t="s">
        <v>840</v>
      </c>
      <c r="AC43" s="265">
        <f t="shared" si="3"/>
        <v>39</v>
      </c>
      <c r="AD43" s="407" t="s">
        <v>340</v>
      </c>
      <c r="AE43" s="277" t="s">
        <v>1117</v>
      </c>
      <c r="AG43" s="265">
        <v>262</v>
      </c>
      <c r="AH43" s="265">
        <v>454</v>
      </c>
    </row>
    <row r="44" spans="1:34">
      <c r="A44" s="50"/>
      <c r="G44" s="89" t="s">
        <v>927</v>
      </c>
      <c r="AC44" s="265">
        <f t="shared" si="3"/>
        <v>40</v>
      </c>
      <c r="AD44" s="407" t="s">
        <v>341</v>
      </c>
      <c r="AE44" s="277" t="s">
        <v>1117</v>
      </c>
      <c r="AG44" s="265">
        <v>263</v>
      </c>
      <c r="AH44" s="265">
        <v>456</v>
      </c>
    </row>
    <row r="45" spans="1:34">
      <c r="A45" s="50"/>
      <c r="AC45" s="265">
        <f t="shared" si="3"/>
        <v>41</v>
      </c>
      <c r="AD45" s="407" t="s">
        <v>342</v>
      </c>
      <c r="AE45" s="277" t="s">
        <v>1117</v>
      </c>
      <c r="AG45" s="265">
        <v>272</v>
      </c>
      <c r="AH45" s="265">
        <v>452</v>
      </c>
    </row>
    <row r="46" spans="1:34">
      <c r="A46" s="47"/>
      <c r="AC46" s="265">
        <f t="shared" si="3"/>
        <v>42</v>
      </c>
      <c r="AD46" s="407" t="s">
        <v>343</v>
      </c>
      <c r="AE46" s="277" t="s">
        <v>498</v>
      </c>
      <c r="AG46" s="265">
        <v>273</v>
      </c>
      <c r="AH46" s="265">
        <v>455</v>
      </c>
    </row>
    <row r="47" spans="1:34">
      <c r="A47" s="22"/>
      <c r="AC47" s="265">
        <f t="shared" si="3"/>
        <v>43</v>
      </c>
      <c r="AD47" s="407" t="s">
        <v>344</v>
      </c>
      <c r="AE47" s="277" t="s">
        <v>1117</v>
      </c>
      <c r="AG47" s="265">
        <v>301</v>
      </c>
      <c r="AH47" s="265">
        <v>201</v>
      </c>
    </row>
    <row r="48" spans="1:34">
      <c r="AC48" s="265">
        <f t="shared" si="3"/>
        <v>44</v>
      </c>
      <c r="AD48" s="407" t="s">
        <v>345</v>
      </c>
      <c r="AE48" s="277" t="s">
        <v>498</v>
      </c>
      <c r="AG48" s="265">
        <v>302</v>
      </c>
      <c r="AH48" s="265">
        <v>252</v>
      </c>
    </row>
    <row r="49" spans="1:34">
      <c r="AC49" s="265">
        <f t="shared" si="3"/>
        <v>45</v>
      </c>
      <c r="AD49" s="407" t="s">
        <v>346</v>
      </c>
      <c r="AE49" s="277" t="s">
        <v>1117</v>
      </c>
      <c r="AG49" s="265">
        <v>303</v>
      </c>
      <c r="AH49" s="265">
        <v>203</v>
      </c>
    </row>
    <row r="50" spans="1:34">
      <c r="AC50" s="265">
        <f t="shared" si="3"/>
        <v>46</v>
      </c>
      <c r="AD50" s="407" t="s">
        <v>347</v>
      </c>
      <c r="AE50" s="277" t="s">
        <v>498</v>
      </c>
      <c r="AG50" s="265">
        <v>304</v>
      </c>
      <c r="AH50" s="265">
        <v>204</v>
      </c>
    </row>
    <row r="51" spans="1:34">
      <c r="AC51" s="265">
        <f t="shared" si="3"/>
        <v>47</v>
      </c>
      <c r="AD51" s="407" t="s">
        <v>348</v>
      </c>
      <c r="AE51" s="277" t="s">
        <v>1117</v>
      </c>
      <c r="AG51" s="265">
        <v>305</v>
      </c>
      <c r="AH51" s="265">
        <v>457</v>
      </c>
    </row>
    <row r="52" spans="1:34">
      <c r="AC52" s="265">
        <f t="shared" si="3"/>
        <v>48</v>
      </c>
      <c r="AD52" s="407" t="s">
        <v>376</v>
      </c>
      <c r="AE52" s="277" t="s">
        <v>498</v>
      </c>
      <c r="AG52" s="265">
        <v>306</v>
      </c>
      <c r="AH52" s="265">
        <v>206</v>
      </c>
    </row>
    <row r="53" spans="1:34">
      <c r="AC53" s="265">
        <f t="shared" si="3"/>
        <v>49</v>
      </c>
      <c r="AD53" s="407" t="s">
        <v>349</v>
      </c>
      <c r="AE53" s="277" t="s">
        <v>1117</v>
      </c>
      <c r="AG53" s="265">
        <v>307</v>
      </c>
      <c r="AH53" s="265">
        <v>207</v>
      </c>
    </row>
    <row r="54" spans="1:34">
      <c r="AC54" s="265">
        <f t="shared" si="3"/>
        <v>50</v>
      </c>
      <c r="AD54" s="411" t="s">
        <v>729</v>
      </c>
      <c r="AE54" s="277" t="s">
        <v>1117</v>
      </c>
      <c r="AG54" s="265">
        <v>308</v>
      </c>
      <c r="AH54" s="265">
        <v>208</v>
      </c>
    </row>
    <row r="55" spans="1:34">
      <c r="AC55" s="265">
        <f t="shared" si="3"/>
        <v>51</v>
      </c>
      <c r="AD55" s="411" t="s">
        <v>730</v>
      </c>
      <c r="AE55" s="277" t="s">
        <v>1117</v>
      </c>
      <c r="AG55" s="265">
        <v>309</v>
      </c>
      <c r="AH55" s="265">
        <v>209</v>
      </c>
    </row>
    <row r="56" spans="1:34">
      <c r="AC56" s="265">
        <f t="shared" si="3"/>
        <v>52</v>
      </c>
      <c r="AD56" s="411" t="s">
        <v>378</v>
      </c>
      <c r="AE56" s="277" t="s">
        <v>1117</v>
      </c>
      <c r="AG56" s="265">
        <v>310</v>
      </c>
      <c r="AH56" s="265">
        <v>210</v>
      </c>
    </row>
    <row r="57" spans="1:34">
      <c r="AC57" s="265">
        <f t="shared" si="3"/>
        <v>53</v>
      </c>
      <c r="AD57" s="407" t="s">
        <v>354</v>
      </c>
      <c r="AE57" s="277" t="s">
        <v>1117</v>
      </c>
      <c r="AG57" s="265">
        <v>311</v>
      </c>
      <c r="AH57" s="265">
        <v>453</v>
      </c>
    </row>
    <row r="58" spans="1:34">
      <c r="AC58" s="265">
        <f t="shared" si="3"/>
        <v>54</v>
      </c>
      <c r="AD58" s="407" t="s">
        <v>355</v>
      </c>
      <c r="AE58" s="277" t="s">
        <v>1117</v>
      </c>
      <c r="AG58" s="265">
        <v>312</v>
      </c>
      <c r="AH58" s="265">
        <v>454</v>
      </c>
    </row>
    <row r="59" spans="1:34">
      <c r="AC59" s="265">
        <f t="shared" si="3"/>
        <v>55</v>
      </c>
      <c r="AD59" s="407" t="s">
        <v>356</v>
      </c>
      <c r="AE59" s="277" t="s">
        <v>1117</v>
      </c>
      <c r="AG59" s="265">
        <v>313</v>
      </c>
      <c r="AH59" s="265">
        <v>456</v>
      </c>
    </row>
    <row r="60" spans="1:34">
      <c r="AC60" s="265">
        <f t="shared" si="3"/>
        <v>56</v>
      </c>
      <c r="AD60" s="407" t="s">
        <v>357</v>
      </c>
      <c r="AE60" s="277" t="s">
        <v>1117</v>
      </c>
      <c r="AG60" s="265">
        <v>316</v>
      </c>
      <c r="AH60" s="265">
        <v>266</v>
      </c>
    </row>
    <row r="61" spans="1:34">
      <c r="AC61" s="265">
        <f t="shared" si="3"/>
        <v>57</v>
      </c>
      <c r="AD61" s="407" t="s">
        <v>358</v>
      </c>
      <c r="AE61" s="277" t="s">
        <v>1117</v>
      </c>
      <c r="AG61" s="265">
        <v>317</v>
      </c>
      <c r="AH61" s="265">
        <v>267</v>
      </c>
    </row>
    <row r="62" spans="1:34">
      <c r="AC62" s="265">
        <f t="shared" si="3"/>
        <v>58</v>
      </c>
      <c r="AD62" s="407" t="s">
        <v>359</v>
      </c>
      <c r="AE62" s="277" t="s">
        <v>1117</v>
      </c>
      <c r="AG62" s="265">
        <v>320</v>
      </c>
      <c r="AH62" s="265">
        <v>266</v>
      </c>
    </row>
    <row r="63" spans="1:34">
      <c r="AC63" s="265">
        <f t="shared" si="3"/>
        <v>59</v>
      </c>
      <c r="AD63" s="407" t="s">
        <v>360</v>
      </c>
      <c r="AE63" s="277" t="s">
        <v>498</v>
      </c>
      <c r="AG63" s="265">
        <v>321</v>
      </c>
      <c r="AH63" s="265">
        <v>267</v>
      </c>
    </row>
    <row r="64" spans="1:34">
      <c r="A64">
        <v>1</v>
      </c>
      <c r="AC64" s="265">
        <f t="shared" si="3"/>
        <v>60</v>
      </c>
      <c r="AD64" s="407" t="s">
        <v>365</v>
      </c>
      <c r="AE64" s="277" t="s">
        <v>1117</v>
      </c>
      <c r="AG64" s="265">
        <v>322</v>
      </c>
      <c r="AH64" s="265">
        <v>452</v>
      </c>
    </row>
    <row r="65" spans="1:34">
      <c r="A65">
        <v>2</v>
      </c>
      <c r="AC65" s="265">
        <f t="shared" si="3"/>
        <v>61</v>
      </c>
      <c r="AD65" s="407" t="s">
        <v>366</v>
      </c>
      <c r="AE65" s="277" t="s">
        <v>498</v>
      </c>
      <c r="AG65" s="265">
        <v>323</v>
      </c>
      <c r="AH65" s="265">
        <v>455</v>
      </c>
    </row>
    <row r="66" spans="1:34">
      <c r="A66">
        <v>3</v>
      </c>
      <c r="AC66" s="265">
        <f t="shared" si="3"/>
        <v>62</v>
      </c>
      <c r="AD66" s="407" t="s">
        <v>367</v>
      </c>
      <c r="AE66" s="277" t="s">
        <v>1117</v>
      </c>
      <c r="AG66" s="265">
        <v>324</v>
      </c>
      <c r="AH66" s="265">
        <v>274</v>
      </c>
    </row>
    <row r="67" spans="1:34">
      <c r="A67">
        <v>4</v>
      </c>
      <c r="AC67" s="265">
        <f t="shared" si="3"/>
        <v>63</v>
      </c>
      <c r="AD67" s="407" t="s">
        <v>368</v>
      </c>
      <c r="AE67" s="277" t="s">
        <v>498</v>
      </c>
      <c r="AG67" s="265">
        <v>325</v>
      </c>
      <c r="AH67" s="265">
        <v>275</v>
      </c>
    </row>
    <row r="68" spans="1:34">
      <c r="A68">
        <v>5</v>
      </c>
      <c r="AC68" s="265">
        <f t="shared" si="3"/>
        <v>64</v>
      </c>
      <c r="AD68" s="407" t="s">
        <v>369</v>
      </c>
      <c r="AE68" s="277" t="s">
        <v>498</v>
      </c>
      <c r="AG68" s="265">
        <v>339</v>
      </c>
      <c r="AH68" s="265">
        <v>347</v>
      </c>
    </row>
    <row r="69" spans="1:34">
      <c r="A69">
        <v>6</v>
      </c>
      <c r="AC69" s="265">
        <f t="shared" ref="AC69:AC77" si="6">AC68+1</f>
        <v>65</v>
      </c>
      <c r="AD69" s="407" t="s">
        <v>370</v>
      </c>
      <c r="AE69" s="277" t="s">
        <v>1117</v>
      </c>
      <c r="AG69" s="265">
        <v>346</v>
      </c>
      <c r="AH69" s="265">
        <v>266</v>
      </c>
    </row>
    <row r="70" spans="1:34">
      <c r="A70">
        <v>7</v>
      </c>
      <c r="AC70" s="265">
        <f t="shared" si="6"/>
        <v>66</v>
      </c>
      <c r="AD70" s="407" t="s">
        <v>371</v>
      </c>
      <c r="AE70" s="277" t="s">
        <v>498</v>
      </c>
      <c r="AG70" s="265">
        <v>352</v>
      </c>
      <c r="AH70" s="265">
        <v>252</v>
      </c>
    </row>
    <row r="71" spans="1:34">
      <c r="A71">
        <v>8</v>
      </c>
      <c r="AC71" s="265">
        <f t="shared" si="6"/>
        <v>67</v>
      </c>
      <c r="AD71" s="407" t="s">
        <v>657</v>
      </c>
      <c r="AE71" s="277" t="s">
        <v>1117</v>
      </c>
      <c r="AG71" s="265">
        <v>353</v>
      </c>
      <c r="AH71" s="265">
        <v>203</v>
      </c>
    </row>
    <row r="72" spans="1:34">
      <c r="A72">
        <v>9</v>
      </c>
      <c r="AC72" s="265">
        <f t="shared" si="6"/>
        <v>68</v>
      </c>
      <c r="AD72" s="407" t="s">
        <v>659</v>
      </c>
      <c r="AE72" s="277" t="s">
        <v>1117</v>
      </c>
      <c r="AG72" s="265">
        <v>354</v>
      </c>
      <c r="AH72" s="265">
        <v>204</v>
      </c>
    </row>
    <row r="73" spans="1:34">
      <c r="A73">
        <v>10</v>
      </c>
      <c r="AC73" s="265">
        <f t="shared" si="6"/>
        <v>69</v>
      </c>
      <c r="AD73" s="407" t="s">
        <v>399</v>
      </c>
      <c r="AE73" s="277" t="s">
        <v>1117</v>
      </c>
      <c r="AG73" s="265">
        <v>355</v>
      </c>
      <c r="AH73" s="265">
        <v>457</v>
      </c>
    </row>
    <row r="74" spans="1:34">
      <c r="A74">
        <v>11</v>
      </c>
      <c r="AC74" s="265">
        <f t="shared" si="6"/>
        <v>70</v>
      </c>
      <c r="AD74" s="407" t="s">
        <v>372</v>
      </c>
      <c r="AE74" s="277" t="s">
        <v>1117</v>
      </c>
      <c r="AG74" s="265">
        <v>356</v>
      </c>
      <c r="AH74" s="265">
        <v>206</v>
      </c>
    </row>
    <row r="75" spans="1:34">
      <c r="A75">
        <v>12</v>
      </c>
      <c r="AC75" s="265">
        <f t="shared" si="6"/>
        <v>71</v>
      </c>
      <c r="AD75" s="407" t="s">
        <v>373</v>
      </c>
      <c r="AE75" s="277" t="s">
        <v>1117</v>
      </c>
      <c r="AG75" s="265">
        <v>357</v>
      </c>
      <c r="AH75" s="265">
        <v>207</v>
      </c>
    </row>
    <row r="76" spans="1:34">
      <c r="AC76" s="265">
        <f t="shared" si="6"/>
        <v>72</v>
      </c>
      <c r="AD76" s="407" t="s">
        <v>374</v>
      </c>
      <c r="AE76" s="277" t="s">
        <v>1117</v>
      </c>
      <c r="AG76" s="265">
        <v>358</v>
      </c>
      <c r="AH76" s="265">
        <v>208</v>
      </c>
    </row>
    <row r="77" spans="1:34">
      <c r="AC77" s="265">
        <f t="shared" si="6"/>
        <v>73</v>
      </c>
      <c r="AD77" s="407" t="s">
        <v>843</v>
      </c>
      <c r="AE77" s="277" t="s">
        <v>843</v>
      </c>
      <c r="AG77" s="265">
        <v>360</v>
      </c>
      <c r="AH77" s="265">
        <v>210</v>
      </c>
    </row>
    <row r="78" spans="1:34">
      <c r="AG78" s="265">
        <v>361</v>
      </c>
      <c r="AH78" s="265">
        <v>453</v>
      </c>
    </row>
    <row r="79" spans="1:34">
      <c r="AG79" s="265">
        <v>362</v>
      </c>
      <c r="AH79" s="265">
        <v>454</v>
      </c>
    </row>
    <row r="80" spans="1:34">
      <c r="AG80" s="265">
        <v>363</v>
      </c>
      <c r="AH80" s="265">
        <v>456</v>
      </c>
    </row>
    <row r="81" spans="33:34">
      <c r="AG81" s="265">
        <v>364</v>
      </c>
      <c r="AH81" s="265">
        <v>314</v>
      </c>
    </row>
    <row r="82" spans="33:34">
      <c r="AG82" s="265">
        <v>365</v>
      </c>
      <c r="AH82" s="265">
        <v>315</v>
      </c>
    </row>
    <row r="83" spans="33:34">
      <c r="AG83" s="265">
        <v>366</v>
      </c>
      <c r="AH83" s="265">
        <v>266</v>
      </c>
    </row>
    <row r="84" spans="33:34">
      <c r="AG84" s="265">
        <v>367</v>
      </c>
      <c r="AH84" s="265">
        <v>267</v>
      </c>
    </row>
    <row r="85" spans="33:34">
      <c r="AG85" s="265">
        <v>368</v>
      </c>
      <c r="AH85" s="265">
        <v>318</v>
      </c>
    </row>
    <row r="86" spans="33:34">
      <c r="AG86" s="265">
        <v>369</v>
      </c>
      <c r="AH86" s="265">
        <v>315</v>
      </c>
    </row>
    <row r="87" spans="33:34">
      <c r="AG87" s="265">
        <v>370</v>
      </c>
      <c r="AH87" s="265">
        <v>266</v>
      </c>
    </row>
    <row r="88" spans="33:34">
      <c r="AG88" s="265">
        <v>371</v>
      </c>
      <c r="AH88" s="265">
        <v>267</v>
      </c>
    </row>
    <row r="89" spans="33:34">
      <c r="AG89" s="265">
        <v>372</v>
      </c>
      <c r="AH89" s="265">
        <v>452</v>
      </c>
    </row>
    <row r="90" spans="33:34">
      <c r="AG90" s="265">
        <v>373</v>
      </c>
      <c r="AH90" s="265">
        <v>455</v>
      </c>
    </row>
    <row r="91" spans="33:34">
      <c r="AG91" s="265">
        <v>374</v>
      </c>
      <c r="AH91" s="265">
        <v>274</v>
      </c>
    </row>
    <row r="92" spans="33:34">
      <c r="AG92" s="265">
        <v>375</v>
      </c>
      <c r="AH92" s="265">
        <v>275</v>
      </c>
    </row>
    <row r="93" spans="33:34">
      <c r="AG93" s="265">
        <v>376</v>
      </c>
      <c r="AH93" s="265">
        <v>276</v>
      </c>
    </row>
    <row r="94" spans="33:34">
      <c r="AG94" s="265">
        <v>377</v>
      </c>
      <c r="AH94" s="265">
        <v>277</v>
      </c>
    </row>
    <row r="95" spans="33:34">
      <c r="AG95" s="265">
        <v>378</v>
      </c>
      <c r="AH95" s="265">
        <v>278</v>
      </c>
    </row>
    <row r="96" spans="33:34">
      <c r="AG96" s="265">
        <v>379</v>
      </c>
      <c r="AH96" s="265">
        <v>279</v>
      </c>
    </row>
    <row r="97" spans="33:34">
      <c r="AG97" s="265">
        <v>380</v>
      </c>
      <c r="AH97" s="265">
        <v>280</v>
      </c>
    </row>
    <row r="98" spans="33:34">
      <c r="AG98" s="265">
        <v>381</v>
      </c>
      <c r="AH98" s="265">
        <v>281</v>
      </c>
    </row>
    <row r="99" spans="33:34">
      <c r="AG99" s="265">
        <v>382</v>
      </c>
      <c r="AH99" s="265">
        <v>282</v>
      </c>
    </row>
    <row r="100" spans="33:34">
      <c r="AG100" s="265">
        <v>383</v>
      </c>
      <c r="AH100" s="265">
        <v>283</v>
      </c>
    </row>
    <row r="101" spans="33:34">
      <c r="AG101" s="265">
        <v>414</v>
      </c>
      <c r="AH101" s="265">
        <v>277</v>
      </c>
    </row>
    <row r="102" spans="33:34">
      <c r="AG102" s="265">
        <v>418</v>
      </c>
      <c r="AH102" s="265">
        <v>277</v>
      </c>
    </row>
    <row r="103" spans="33:34">
      <c r="AG103" s="265">
        <v>434</v>
      </c>
      <c r="AH103" s="265">
        <v>206</v>
      </c>
    </row>
    <row r="104" spans="33:34">
      <c r="AG104" s="265">
        <v>436</v>
      </c>
      <c r="AH104" s="265">
        <v>318</v>
      </c>
    </row>
    <row r="105" spans="33:34">
      <c r="AG105" s="265">
        <v>437</v>
      </c>
      <c r="AH105" s="265">
        <v>314</v>
      </c>
    </row>
    <row r="106" spans="33:34">
      <c r="AG106" s="265">
        <v>438</v>
      </c>
      <c r="AH106" s="265">
        <v>315</v>
      </c>
    </row>
    <row r="107" spans="33:34">
      <c r="AG107" s="265">
        <v>459</v>
      </c>
      <c r="AH107" s="265">
        <v>203</v>
      </c>
    </row>
    <row r="108" spans="33:34">
      <c r="AG108" s="265">
        <v>460</v>
      </c>
      <c r="AH108" s="265">
        <v>204</v>
      </c>
    </row>
    <row r="109" spans="33:34">
      <c r="AG109" s="265">
        <v>461</v>
      </c>
      <c r="AH109" s="265">
        <v>207</v>
      </c>
    </row>
    <row r="110" spans="33:34">
      <c r="AG110" s="265">
        <v>462</v>
      </c>
      <c r="AH110" s="265">
        <v>252</v>
      </c>
    </row>
    <row r="111" spans="33:34">
      <c r="AG111" s="265">
        <v>493</v>
      </c>
      <c r="AH111" s="265">
        <v>348</v>
      </c>
    </row>
  </sheetData>
  <sortState ref="Y5:Y22">
    <sortCondition ref="Y5:Y22"/>
  </sortState>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27"/>
  <sheetViews>
    <sheetView tabSelected="1" workbookViewId="0">
      <selection activeCell="A4" sqref="A4"/>
    </sheetView>
  </sheetViews>
  <sheetFormatPr defaultRowHeight="12"/>
  <cols>
    <col min="1" max="1" width="62.6640625" style="265" bestFit="1" customWidth="1"/>
    <col min="2" max="2" width="3.83203125" style="265" customWidth="1"/>
    <col min="3" max="3" width="21.5" style="265" customWidth="1"/>
    <col min="4" max="4" width="9.33203125" style="265"/>
    <col min="5" max="5" width="17.83203125" style="265" bestFit="1" customWidth="1"/>
    <col min="6" max="16384" width="9.33203125" style="265"/>
  </cols>
  <sheetData>
    <row r="1" spans="1:7" ht="12.75">
      <c r="A1" s="500" t="s">
        <v>1230</v>
      </c>
      <c r="C1" s="237"/>
      <c r="D1" s="237"/>
      <c r="E1" s="703" t="s">
        <v>1354</v>
      </c>
      <c r="F1" s="237"/>
      <c r="G1" s="237"/>
    </row>
    <row r="2" spans="1:7" ht="12.75">
      <c r="A2" s="500" t="s">
        <v>1231</v>
      </c>
      <c r="C2" s="237"/>
      <c r="D2" s="237"/>
      <c r="E2" s="703" t="s">
        <v>1324</v>
      </c>
      <c r="F2" s="237"/>
      <c r="G2" s="237"/>
    </row>
    <row r="3" spans="1:7" ht="12.75">
      <c r="A3" s="332" t="s">
        <v>1223</v>
      </c>
      <c r="C3" s="237"/>
      <c r="D3" s="237"/>
      <c r="E3" s="331" t="s">
        <v>1325</v>
      </c>
      <c r="F3" s="237"/>
      <c r="G3" s="237"/>
    </row>
    <row r="5" spans="1:7" ht="24">
      <c r="A5" s="696" t="s">
        <v>73</v>
      </c>
      <c r="C5" s="405" t="s">
        <v>1326</v>
      </c>
    </row>
    <row r="7" spans="1:7" ht="12.75">
      <c r="A7" s="704" t="s">
        <v>82</v>
      </c>
      <c r="C7" s="705">
        <f>'Sch M-1.2'!G9</f>
        <v>407766218</v>
      </c>
    </row>
    <row r="8" spans="1:7" ht="12.75">
      <c r="A8" s="704" t="s">
        <v>1353</v>
      </c>
      <c r="C8" s="705">
        <f>'Sch M-1.2'!G11</f>
        <v>16376</v>
      </c>
    </row>
    <row r="9" spans="1:7" ht="12.75">
      <c r="A9" s="704" t="s">
        <v>84</v>
      </c>
      <c r="C9" s="705">
        <f>'Sch M-1.2'!G13</f>
        <v>146397229</v>
      </c>
    </row>
    <row r="10" spans="1:7" ht="12.75">
      <c r="A10" s="704" t="s">
        <v>1226</v>
      </c>
      <c r="C10" s="705">
        <f>'Sch M-1.2'!G15</f>
        <v>173269715</v>
      </c>
    </row>
    <row r="11" spans="1:7" ht="12.75">
      <c r="A11" s="704" t="s">
        <v>1227</v>
      </c>
      <c r="C11" s="705">
        <f>'Sch M-1.2'!G17</f>
        <v>12780159</v>
      </c>
    </row>
    <row r="12" spans="1:7" ht="12.75">
      <c r="A12" s="704" t="s">
        <v>1228</v>
      </c>
      <c r="C12" s="705">
        <f>'Sch M-1.2'!G19</f>
        <v>73362749</v>
      </c>
    </row>
    <row r="13" spans="1:7" ht="12.75">
      <c r="A13" s="704" t="s">
        <v>1343</v>
      </c>
      <c r="C13" s="705">
        <f>'Sch M-1.2'!G21</f>
        <v>27923601</v>
      </c>
    </row>
    <row r="14" spans="1:7" ht="12.75">
      <c r="A14" s="704" t="s">
        <v>1344</v>
      </c>
      <c r="C14" s="705">
        <f>'Sch M-1.2'!G23</f>
        <v>105991536</v>
      </c>
    </row>
    <row r="15" spans="1:7" ht="12.75">
      <c r="A15" s="704" t="s">
        <v>54</v>
      </c>
      <c r="C15" s="705">
        <f>'Sch M-1.2'!G25</f>
        <v>45862032</v>
      </c>
    </row>
    <row r="16" spans="1:7" ht="12.75">
      <c r="A16" s="704" t="s">
        <v>893</v>
      </c>
      <c r="C16" s="705">
        <f>'Sch M-1.2'!G27</f>
        <v>12465005</v>
      </c>
    </row>
    <row r="17" spans="1:5" ht="12.75">
      <c r="A17" s="704" t="s">
        <v>1229</v>
      </c>
      <c r="C17" s="705">
        <f>'Sch M-1.2'!G29</f>
        <v>-3371685</v>
      </c>
    </row>
    <row r="18" spans="1:5" ht="12.75">
      <c r="A18" s="704" t="s">
        <v>462</v>
      </c>
      <c r="C18" s="705">
        <f>'Sch M-1.2'!G31</f>
        <v>221981</v>
      </c>
    </row>
    <row r="19" spans="1:5" ht="12.75">
      <c r="A19" s="704" t="s">
        <v>55</v>
      </c>
      <c r="C19" s="705">
        <f>'Sch M-1.2'!G33</f>
        <v>286389</v>
      </c>
    </row>
    <row r="20" spans="1:5" ht="12.75">
      <c r="A20" s="704" t="s">
        <v>1327</v>
      </c>
      <c r="C20" s="706">
        <f>'Sch M-1.2'!G35</f>
        <v>18725198.128827002</v>
      </c>
    </row>
    <row r="21" spans="1:5">
      <c r="A21" s="707" t="s">
        <v>1328</v>
      </c>
      <c r="C21" s="705">
        <f>SUM(C7:C20)</f>
        <v>1021696503.128827</v>
      </c>
      <c r="E21" s="170"/>
    </row>
    <row r="22" spans="1:5">
      <c r="A22" s="708" t="s">
        <v>1329</v>
      </c>
    </row>
    <row r="23" spans="1:5">
      <c r="A23" s="709" t="s">
        <v>1330</v>
      </c>
      <c r="C23" s="705">
        <v>2392133.6423368421</v>
      </c>
    </row>
    <row r="24" spans="1:5">
      <c r="A24" s="709" t="s">
        <v>887</v>
      </c>
      <c r="C24" s="705">
        <v>2857189.7849814864</v>
      </c>
    </row>
    <row r="25" spans="1:5">
      <c r="A25" s="709" t="s">
        <v>1331</v>
      </c>
      <c r="C25" s="705">
        <v>3587954.6102549676</v>
      </c>
    </row>
    <row r="26" spans="1:5" ht="14.25">
      <c r="A26" s="709" t="s">
        <v>1332</v>
      </c>
      <c r="C26" s="710">
        <v>7376602.8834715914</v>
      </c>
    </row>
    <row r="27" spans="1:5">
      <c r="A27" s="711" t="s">
        <v>1333</v>
      </c>
      <c r="C27" s="695">
        <f>SUM(C21:C26)</f>
        <v>1037910384.0498719</v>
      </c>
    </row>
  </sheetData>
  <printOptions horizontalCentered="1"/>
  <pageMargins left="0.7" right="0.7" top="2.0099999999999998" bottom="0.75" header="0.95" footer="0.3"/>
  <pageSetup orientation="landscape" r:id="rId1"/>
  <headerFooter>
    <oddHeader>&amp;C&amp;"-,Bold"&amp;11Louisville Gas and Electric  Company
Case No. 2014-00372
Base Period Revenue at Present Rates
Twelve Months Ending February 28, 2015
Electric Operations</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D155"/>
  <sheetViews>
    <sheetView workbookViewId="0">
      <selection activeCell="G5" sqref="G5"/>
    </sheetView>
  </sheetViews>
  <sheetFormatPr defaultColWidth="9.33203125" defaultRowHeight="12.75"/>
  <cols>
    <col min="1" max="1" width="9.5" style="481" bestFit="1" customWidth="1"/>
    <col min="2" max="2" width="58.1640625" style="237" customWidth="1"/>
    <col min="3" max="3" width="17.5" style="237" customWidth="1"/>
    <col min="4" max="4" width="21.1640625" style="237" customWidth="1"/>
    <col min="5" max="5" width="14.1640625" style="237" customWidth="1"/>
    <col min="6" max="6" width="12.33203125" style="237" customWidth="1"/>
    <col min="7" max="7" width="15" style="237" customWidth="1"/>
    <col min="8" max="8" width="21.1640625" style="237" customWidth="1"/>
    <col min="9" max="9" width="23.1640625" style="237" customWidth="1"/>
    <col min="10" max="11" width="18.5" style="237" customWidth="1"/>
    <col min="12" max="12" width="19.5" style="237" customWidth="1"/>
    <col min="13" max="13" width="19.6640625" style="237" customWidth="1"/>
    <col min="14" max="14" width="19.1640625" style="237" customWidth="1"/>
    <col min="15" max="15" width="24" style="237" customWidth="1"/>
    <col min="16" max="17" width="10.1640625" style="237" bestFit="1" customWidth="1"/>
    <col min="18" max="21" width="9.83203125" style="237" bestFit="1" customWidth="1"/>
    <col min="22" max="25" width="10.83203125" style="237" bestFit="1" customWidth="1"/>
    <col min="26" max="29" width="9.5" style="237" bestFit="1" customWidth="1"/>
    <col min="30" max="16384" width="9.33203125" style="237"/>
  </cols>
  <sheetData>
    <row r="1" spans="1:30">
      <c r="A1" s="441">
        <v>-1</v>
      </c>
      <c r="B1" s="441">
        <f t="shared" ref="B1:G1" si="0">A1-1</f>
        <v>-2</v>
      </c>
      <c r="C1" s="441">
        <f t="shared" si="0"/>
        <v>-3</v>
      </c>
      <c r="D1" s="441">
        <f t="shared" si="0"/>
        <v>-4</v>
      </c>
      <c r="E1" s="441">
        <f t="shared" si="0"/>
        <v>-5</v>
      </c>
      <c r="F1" s="441">
        <f t="shared" si="0"/>
        <v>-6</v>
      </c>
      <c r="G1" s="441">
        <f t="shared" si="0"/>
        <v>-7</v>
      </c>
      <c r="H1" s="441"/>
      <c r="I1" s="441"/>
      <c r="J1" s="441"/>
      <c r="K1" s="441"/>
      <c r="L1" s="441"/>
      <c r="M1" s="441"/>
      <c r="N1" s="441"/>
      <c r="O1" s="441"/>
    </row>
    <row r="2" spans="1:30" s="339" customFormat="1" ht="48">
      <c r="A2" s="442" t="s">
        <v>763</v>
      </c>
      <c r="B2" s="443" t="s">
        <v>73</v>
      </c>
      <c r="C2" s="444" t="s">
        <v>764</v>
      </c>
      <c r="D2" s="405" t="s">
        <v>897</v>
      </c>
      <c r="E2" s="405" t="s">
        <v>898</v>
      </c>
      <c r="F2" s="445" t="s">
        <v>896</v>
      </c>
      <c r="G2" s="445" t="s">
        <v>899</v>
      </c>
      <c r="H2" s="405"/>
      <c r="I2" s="446"/>
      <c r="J2" s="447"/>
      <c r="K2" s="447"/>
      <c r="L2" s="448"/>
      <c r="M2" s="449"/>
      <c r="N2" s="449"/>
    </row>
    <row r="3" spans="1:30" s="451" customFormat="1" ht="22.5" customHeight="1">
      <c r="A3" s="450"/>
      <c r="C3" s="722"/>
      <c r="D3" s="723"/>
      <c r="E3" s="723"/>
      <c r="F3" s="452"/>
      <c r="G3" s="453"/>
      <c r="H3" s="453"/>
      <c r="I3" s="454"/>
      <c r="J3" s="453"/>
      <c r="K3" s="453"/>
      <c r="L3" s="453"/>
      <c r="M3" s="453"/>
      <c r="N3" s="453"/>
      <c r="P3" s="237"/>
      <c r="Q3" s="236"/>
      <c r="R3" s="238"/>
      <c r="S3" s="238"/>
      <c r="T3" s="238"/>
      <c r="U3" s="238"/>
      <c r="V3" s="238"/>
      <c r="W3" s="238"/>
      <c r="X3" s="238"/>
      <c r="Y3" s="238"/>
      <c r="Z3" s="238"/>
      <c r="AA3" s="238"/>
      <c r="AB3" s="238"/>
      <c r="AC3" s="238"/>
      <c r="AD3" s="486"/>
    </row>
    <row r="4" spans="1:30" s="461" customFormat="1" ht="22.5" customHeight="1">
      <c r="A4" s="455"/>
      <c r="B4" s="456" t="s">
        <v>80</v>
      </c>
      <c r="C4" s="457"/>
      <c r="D4" s="458"/>
      <c r="E4" s="458"/>
      <c r="F4" s="457"/>
      <c r="G4" s="459"/>
      <c r="H4" s="459"/>
      <c r="I4" s="460"/>
      <c r="J4" s="459"/>
      <c r="K4" s="459"/>
      <c r="L4" s="459"/>
      <c r="M4" s="459"/>
      <c r="N4" s="459"/>
      <c r="P4" s="237"/>
      <c r="Q4" s="236"/>
      <c r="R4" s="238"/>
      <c r="S4" s="238"/>
      <c r="T4" s="238"/>
      <c r="U4" s="238"/>
      <c r="V4" s="238"/>
      <c r="W4" s="238"/>
      <c r="X4" s="238"/>
      <c r="Y4" s="238"/>
      <c r="Z4" s="238"/>
      <c r="AA4" s="238"/>
      <c r="AB4" s="238"/>
      <c r="AC4" s="238"/>
      <c r="AD4" s="487"/>
    </row>
    <row r="5" spans="1:30">
      <c r="A5" s="462" t="s">
        <v>13</v>
      </c>
      <c r="B5" s="463" t="s">
        <v>1255</v>
      </c>
      <c r="D5" s="238">
        <f>SUMIF(L_12MonResults_RateClass,$A5,L_12MonResults_KWH_Total)+SUMIF(L_12MonResults_RateClass,$A5,L_12MonResults_KWH_OutOfPeriod)</f>
        <v>4115398387</v>
      </c>
      <c r="E5" s="237">
        <v>0</v>
      </c>
      <c r="F5" s="464">
        <f>Rates!$K$242</f>
        <v>1.34E-3</v>
      </c>
      <c r="G5" s="240">
        <f>ROUND(D5*F5,0)</f>
        <v>5514634</v>
      </c>
      <c r="H5" s="465"/>
      <c r="I5" s="465"/>
      <c r="L5" s="465"/>
      <c r="M5" s="465"/>
      <c r="N5" s="464"/>
      <c r="Q5" s="238"/>
      <c r="R5" s="238"/>
      <c r="S5" s="238"/>
      <c r="T5" s="238"/>
      <c r="U5" s="238"/>
      <c r="V5" s="238"/>
      <c r="W5" s="238"/>
      <c r="X5" s="238"/>
      <c r="Y5" s="238"/>
      <c r="Z5" s="238"/>
      <c r="AA5" s="238"/>
      <c r="AB5" s="238"/>
      <c r="AC5" s="238"/>
      <c r="AD5" s="238"/>
    </row>
    <row r="6" spans="1:30" ht="15">
      <c r="A6" s="466" t="s">
        <v>680</v>
      </c>
      <c r="B6" s="467" t="s">
        <v>900</v>
      </c>
      <c r="D6" s="468">
        <f>SUMIF(L_12MonResults_RateClass,$A6,L_12MonResults_KWH_Total)+SUMIF(L_12MonResults_RateClass,$A6,L_12MonResults_KWH_OutOfPeriod)</f>
        <v>169528</v>
      </c>
      <c r="F6" s="464">
        <f>Rates!$K$277</f>
        <v>1.34E-3</v>
      </c>
      <c r="G6" s="241">
        <f>ROUND(D6*F6,0)</f>
        <v>227</v>
      </c>
      <c r="H6" s="465"/>
      <c r="I6" s="465"/>
      <c r="L6" s="465"/>
      <c r="M6" s="465"/>
      <c r="N6" s="464"/>
      <c r="Q6" s="261"/>
      <c r="R6" s="488"/>
      <c r="S6" s="488"/>
      <c r="T6" s="488"/>
      <c r="U6" s="488"/>
      <c r="V6" s="488"/>
      <c r="W6" s="488"/>
      <c r="X6" s="488"/>
      <c r="Y6" s="488"/>
      <c r="Z6" s="488"/>
      <c r="AA6" s="488"/>
      <c r="AB6" s="488"/>
      <c r="AC6" s="488"/>
      <c r="AD6" s="238"/>
    </row>
    <row r="7" spans="1:30">
      <c r="A7" s="466"/>
      <c r="B7" s="340" t="s">
        <v>81</v>
      </c>
      <c r="D7" s="238">
        <f>D5+D6</f>
        <v>4115567915</v>
      </c>
      <c r="F7" s="464"/>
      <c r="G7" s="238">
        <f>G5+G6</f>
        <v>5514861</v>
      </c>
      <c r="H7" s="465"/>
      <c r="I7" s="465"/>
      <c r="L7" s="465"/>
      <c r="M7" s="465"/>
      <c r="N7" s="464"/>
      <c r="Q7" s="261"/>
      <c r="R7" s="261"/>
      <c r="S7" s="261"/>
      <c r="T7" s="261"/>
      <c r="U7" s="261"/>
      <c r="V7" s="261"/>
      <c r="W7" s="261"/>
      <c r="X7" s="261"/>
      <c r="Y7" s="261"/>
      <c r="Z7" s="261"/>
      <c r="AA7" s="261"/>
      <c r="AB7" s="261"/>
      <c r="AC7" s="261"/>
      <c r="AD7" s="238"/>
    </row>
    <row r="8" spans="1:30">
      <c r="A8" s="469"/>
      <c r="D8" s="238"/>
      <c r="F8" s="464"/>
      <c r="G8" s="465"/>
      <c r="H8" s="465"/>
      <c r="I8" s="465"/>
      <c r="L8" s="465"/>
      <c r="M8" s="465"/>
      <c r="N8" s="464"/>
      <c r="Q8" s="266"/>
      <c r="R8" s="261"/>
      <c r="S8" s="261"/>
      <c r="T8" s="261"/>
      <c r="U8" s="261"/>
      <c r="V8" s="261"/>
      <c r="W8" s="261"/>
      <c r="X8" s="261"/>
      <c r="Y8" s="261"/>
      <c r="Z8" s="261"/>
      <c r="AA8" s="261"/>
      <c r="AB8" s="261"/>
      <c r="AC8" s="261"/>
      <c r="AD8" s="238"/>
    </row>
    <row r="9" spans="1:30">
      <c r="A9" s="462"/>
      <c r="B9" s="333" t="s">
        <v>83</v>
      </c>
      <c r="D9" s="238"/>
      <c r="F9" s="464"/>
      <c r="G9" s="240"/>
      <c r="H9" s="465"/>
      <c r="I9" s="465"/>
      <c r="L9" s="465"/>
      <c r="M9" s="465"/>
      <c r="N9" s="464"/>
      <c r="Q9" s="261"/>
      <c r="R9" s="488"/>
      <c r="S9" s="488"/>
      <c r="T9" s="488"/>
      <c r="U9" s="488"/>
      <c r="V9" s="488"/>
      <c r="W9" s="261"/>
      <c r="X9" s="261"/>
      <c r="Y9" s="261"/>
      <c r="Z9" s="261"/>
      <c r="AA9" s="261"/>
      <c r="AB9" s="261"/>
      <c r="AC9" s="261"/>
      <c r="AD9" s="238"/>
    </row>
    <row r="10" spans="1:30">
      <c r="A10" s="469" t="s">
        <v>892</v>
      </c>
      <c r="B10" s="467" t="s">
        <v>84</v>
      </c>
      <c r="D10" s="238">
        <f>SUMIF(L_12MonResults_RateClass,$A10,L_12MonResults_KWH_Total)+SUMIF(L_12MonResults_RateClass,A10,L_12MonResults_KWH_OutOfPeriod)</f>
        <v>397529808</v>
      </c>
      <c r="E10" s="237">
        <v>0</v>
      </c>
      <c r="F10" s="464">
        <f>Rates!$K$245</f>
        <v>1.67E-3</v>
      </c>
      <c r="G10" s="240">
        <f>ROUND(D10*F10,0)</f>
        <v>663875</v>
      </c>
      <c r="H10" s="465"/>
      <c r="I10" s="465"/>
      <c r="L10" s="465"/>
      <c r="M10" s="465"/>
      <c r="N10" s="464"/>
      <c r="Q10" s="261"/>
      <c r="R10" s="261"/>
      <c r="S10" s="261"/>
      <c r="T10" s="261"/>
      <c r="U10" s="261"/>
      <c r="V10" s="261"/>
      <c r="W10" s="261"/>
      <c r="X10" s="261"/>
      <c r="Y10" s="261"/>
      <c r="Z10" s="261"/>
      <c r="AA10" s="261"/>
      <c r="AB10" s="261"/>
      <c r="AC10" s="261"/>
      <c r="AD10" s="238"/>
    </row>
    <row r="11" spans="1:30" ht="15">
      <c r="A11" s="469" t="s">
        <v>14</v>
      </c>
      <c r="B11" s="467" t="s">
        <v>59</v>
      </c>
      <c r="D11" s="468">
        <f>SUMIF(L_12MonResults_RateClass,$A11,L_12MonResults_KWH_Total)+SUMIF(L_12MonResults_RateClass,A11,L_12MonResults_KWH_OutOfPeriod)</f>
        <v>963010272</v>
      </c>
      <c r="E11" s="237">
        <v>0</v>
      </c>
      <c r="F11" s="464">
        <f>Rates!$K$251</f>
        <v>1.67E-3</v>
      </c>
      <c r="G11" s="241">
        <f>ROUND(D11*F11,0)</f>
        <v>1608227</v>
      </c>
      <c r="H11" s="465"/>
      <c r="I11" s="465"/>
      <c r="L11" s="465"/>
      <c r="M11" s="465"/>
      <c r="N11" s="464"/>
      <c r="Q11" s="261"/>
      <c r="R11" s="488"/>
      <c r="S11" s="488"/>
      <c r="T11" s="488"/>
      <c r="U11" s="488"/>
      <c r="V11" s="488"/>
      <c r="W11" s="488"/>
      <c r="X11" s="488"/>
      <c r="Y11" s="261"/>
      <c r="Z11" s="261"/>
      <c r="AA11" s="261"/>
      <c r="AB11" s="261"/>
      <c r="AC11" s="261"/>
      <c r="AD11" s="238"/>
    </row>
    <row r="12" spans="1:30">
      <c r="A12" s="462"/>
      <c r="B12" s="237" t="s">
        <v>901</v>
      </c>
      <c r="D12" s="238">
        <f>D10+D11</f>
        <v>1360540080</v>
      </c>
      <c r="F12" s="464"/>
      <c r="G12" s="243">
        <f>G10+G11</f>
        <v>2272102</v>
      </c>
      <c r="H12" s="465"/>
      <c r="I12" s="465"/>
      <c r="L12" s="465"/>
      <c r="M12" s="465"/>
      <c r="N12" s="464"/>
      <c r="Q12" s="261"/>
      <c r="R12" s="261"/>
      <c r="S12" s="261"/>
      <c r="T12" s="261"/>
      <c r="U12" s="261"/>
      <c r="V12" s="261"/>
      <c r="W12" s="261"/>
      <c r="X12" s="261"/>
      <c r="Y12" s="261"/>
      <c r="Z12" s="261"/>
      <c r="AA12" s="261"/>
      <c r="AB12" s="261"/>
      <c r="AC12" s="261"/>
      <c r="AD12" s="238"/>
    </row>
    <row r="13" spans="1:30">
      <c r="A13" s="462"/>
      <c r="D13" s="238"/>
      <c r="F13" s="464"/>
      <c r="G13" s="465"/>
      <c r="H13" s="465"/>
      <c r="I13" s="465"/>
      <c r="L13" s="465"/>
      <c r="M13" s="465"/>
      <c r="N13" s="464"/>
      <c r="Q13" s="261"/>
      <c r="R13" s="488"/>
      <c r="S13" s="488"/>
      <c r="T13" s="488"/>
      <c r="U13" s="488"/>
      <c r="V13" s="261"/>
      <c r="W13" s="261"/>
      <c r="X13" s="261"/>
      <c r="Y13" s="261"/>
      <c r="Z13" s="261"/>
      <c r="AA13" s="261"/>
      <c r="AB13" s="261"/>
      <c r="AC13" s="261"/>
      <c r="AD13" s="238"/>
    </row>
    <row r="14" spans="1:30">
      <c r="A14" s="237"/>
      <c r="H14" s="465"/>
      <c r="I14" s="465"/>
      <c r="L14" s="465"/>
      <c r="M14" s="465"/>
      <c r="N14" s="464"/>
      <c r="Q14" s="261"/>
      <c r="R14" s="261"/>
      <c r="S14" s="261"/>
      <c r="T14" s="261"/>
      <c r="U14" s="261"/>
      <c r="V14" s="261"/>
      <c r="W14" s="261"/>
      <c r="X14" s="261"/>
      <c r="Y14" s="261"/>
      <c r="Z14" s="261"/>
      <c r="AA14" s="261"/>
      <c r="AB14" s="261"/>
      <c r="AC14" s="261"/>
      <c r="AD14" s="238"/>
    </row>
    <row r="15" spans="1:30">
      <c r="A15" s="469"/>
      <c r="B15" s="333" t="s">
        <v>86</v>
      </c>
      <c r="F15" s="464"/>
      <c r="G15" s="465"/>
      <c r="H15" s="465"/>
      <c r="I15" s="465"/>
      <c r="L15" s="465"/>
      <c r="M15" s="465"/>
      <c r="N15" s="464"/>
      <c r="Q15" s="261"/>
      <c r="R15" s="488"/>
      <c r="S15" s="488"/>
      <c r="T15" s="488"/>
      <c r="U15" s="488"/>
      <c r="V15" s="488"/>
      <c r="W15" s="488"/>
      <c r="X15" s="488"/>
      <c r="Y15" s="488"/>
      <c r="Z15" s="261"/>
      <c r="AA15" s="261"/>
      <c r="AB15" s="261"/>
      <c r="AC15" s="261"/>
      <c r="AD15" s="238"/>
    </row>
    <row r="16" spans="1:30">
      <c r="A16" s="469" t="s">
        <v>20</v>
      </c>
      <c r="B16" s="333" t="s">
        <v>897</v>
      </c>
      <c r="D16" s="238">
        <f>SUMIF(L_12MonResults_RateClass,$A16,L_12MonResults_KWH_Total)+SUMIF(L_12MonResults_RateClass,$A16,L_12MonResults_KWH_OutOfPeriod)</f>
        <v>1993259032</v>
      </c>
      <c r="H16" s="465"/>
      <c r="I16" s="465"/>
      <c r="L16" s="465"/>
      <c r="M16" s="465"/>
      <c r="N16" s="464"/>
      <c r="Q16" s="261"/>
      <c r="R16" s="488"/>
      <c r="S16" s="488"/>
      <c r="T16" s="488"/>
      <c r="U16" s="488"/>
      <c r="V16" s="488"/>
      <c r="W16" s="488"/>
      <c r="X16" s="488"/>
      <c r="Y16" s="488"/>
      <c r="Z16" s="261"/>
      <c r="AA16" s="261"/>
      <c r="AB16" s="261"/>
      <c r="AC16" s="261"/>
      <c r="AD16" s="238"/>
    </row>
    <row r="17" spans="1:30">
      <c r="A17" s="469" t="s">
        <v>20</v>
      </c>
      <c r="B17" s="333" t="s">
        <v>890</v>
      </c>
      <c r="D17" s="238"/>
      <c r="E17" s="237">
        <f>SUMIF(L_12MonResults_RateClass,$A17,L_12MonResults_Demand_Measured_Inter)+SUMIF(L_12MonResults_RateClass,$A17,L_12MonResults_Demand_Minimum_Inter)</f>
        <v>2850809.3299999996</v>
      </c>
      <c r="F17" s="465">
        <f>Rates!$U$260</f>
        <v>0.48</v>
      </c>
      <c r="G17" s="240">
        <f>ROUND(E17*F17,0)</f>
        <v>1368388</v>
      </c>
      <c r="H17" s="465"/>
      <c r="I17" s="465"/>
      <c r="L17" s="465"/>
      <c r="M17" s="465"/>
      <c r="N17" s="464"/>
      <c r="Q17" s="238"/>
      <c r="R17" s="238"/>
      <c r="S17" s="238"/>
      <c r="T17" s="238"/>
      <c r="U17" s="238"/>
      <c r="V17" s="238"/>
      <c r="W17" s="238"/>
      <c r="X17" s="238"/>
      <c r="Y17" s="238"/>
      <c r="Z17" s="238"/>
      <c r="AA17" s="238"/>
      <c r="AB17" s="238"/>
      <c r="AC17" s="238"/>
      <c r="AD17" s="238"/>
    </row>
    <row r="18" spans="1:30" ht="15">
      <c r="A18" s="469" t="s">
        <v>20</v>
      </c>
      <c r="B18" s="333" t="s">
        <v>889</v>
      </c>
      <c r="D18" s="238"/>
      <c r="E18" s="470">
        <f>SUMIF(L_12MonResults_RateClass,$A18,L_12MonResults_Demand_Measured_Peak)+SUMIF(L_12MonResults_RateClass,$A18,L_12MonResults_Demand_Minimum_Peak)</f>
        <v>2365483.6800000002</v>
      </c>
      <c r="F18" s="465">
        <f>Rates!$V$260</f>
        <v>0.48</v>
      </c>
      <c r="G18" s="470">
        <f>ROUND(E18*F18,0)</f>
        <v>1135432</v>
      </c>
      <c r="H18" s="465"/>
      <c r="I18" s="465"/>
      <c r="L18" s="465"/>
      <c r="M18" s="465"/>
      <c r="N18" s="464"/>
      <c r="Q18" s="238"/>
      <c r="R18" s="261"/>
      <c r="S18" s="261"/>
      <c r="T18" s="261"/>
      <c r="U18" s="261"/>
      <c r="V18" s="261"/>
      <c r="W18" s="261"/>
      <c r="X18" s="261"/>
      <c r="Y18" s="238"/>
      <c r="Z18" s="238"/>
      <c r="AA18" s="238"/>
      <c r="AB18" s="238"/>
      <c r="AC18" s="238"/>
      <c r="AD18" s="238"/>
    </row>
    <row r="19" spans="1:30">
      <c r="A19" s="469"/>
      <c r="B19" s="333" t="s">
        <v>67</v>
      </c>
      <c r="D19" s="238"/>
      <c r="E19" s="237">
        <f>E17+E18</f>
        <v>5216293.01</v>
      </c>
      <c r="F19" s="465"/>
      <c r="G19" s="240">
        <f>G17+G18</f>
        <v>2503820</v>
      </c>
      <c r="H19" s="465"/>
      <c r="I19" s="465"/>
      <c r="L19" s="465"/>
      <c r="M19" s="465"/>
      <c r="N19" s="464"/>
      <c r="Q19" s="238"/>
      <c r="R19" s="261"/>
      <c r="S19" s="261"/>
      <c r="T19" s="261"/>
      <c r="U19" s="261"/>
      <c r="V19" s="261"/>
      <c r="W19" s="261"/>
      <c r="X19" s="261"/>
      <c r="Y19" s="238"/>
      <c r="Z19" s="238"/>
      <c r="AA19" s="238"/>
      <c r="AB19" s="238"/>
      <c r="AC19" s="238"/>
      <c r="AD19" s="238"/>
    </row>
    <row r="20" spans="1:30" ht="15">
      <c r="A20" s="469"/>
      <c r="B20" s="340"/>
      <c r="D20" s="468"/>
      <c r="F20" s="464"/>
      <c r="G20" s="241"/>
      <c r="H20" s="465"/>
      <c r="I20" s="465"/>
      <c r="L20" s="465"/>
      <c r="M20" s="465"/>
      <c r="N20" s="464"/>
      <c r="Q20" s="238"/>
      <c r="R20" s="261"/>
      <c r="S20" s="261"/>
      <c r="T20" s="261"/>
      <c r="U20" s="261"/>
      <c r="V20" s="261"/>
      <c r="W20" s="261"/>
      <c r="X20" s="261"/>
      <c r="Y20" s="238"/>
      <c r="Z20" s="238"/>
      <c r="AA20" s="238"/>
      <c r="AB20" s="238"/>
      <c r="AC20" s="238"/>
      <c r="AD20" s="238"/>
    </row>
    <row r="21" spans="1:30">
      <c r="A21" s="469" t="s">
        <v>21</v>
      </c>
      <c r="B21" s="333" t="s">
        <v>897</v>
      </c>
      <c r="D21" s="238">
        <f>SUMIF(L_12MonResults_RateClass,$A21,L_12MonResults_KWH_Total)</f>
        <v>165209295</v>
      </c>
      <c r="F21" s="464"/>
      <c r="G21" s="465"/>
      <c r="H21" s="465"/>
      <c r="I21" s="465"/>
      <c r="L21" s="465"/>
      <c r="M21" s="465"/>
      <c r="N21" s="464"/>
      <c r="Q21" s="238"/>
      <c r="R21" s="261"/>
      <c r="S21" s="261"/>
      <c r="T21" s="261"/>
      <c r="U21" s="261"/>
      <c r="V21" s="261"/>
      <c r="W21" s="261"/>
      <c r="X21" s="261"/>
      <c r="Y21" s="238"/>
      <c r="Z21" s="238"/>
      <c r="AA21" s="238"/>
      <c r="AB21" s="238"/>
      <c r="AC21" s="238"/>
      <c r="AD21" s="238"/>
    </row>
    <row r="22" spans="1:30">
      <c r="A22" s="469" t="s">
        <v>21</v>
      </c>
      <c r="B22" s="333" t="s">
        <v>890</v>
      </c>
      <c r="D22" s="238"/>
      <c r="E22" s="237">
        <f>SUMIF(L_12MonResults_RateClass,$A22,L_12MonResults_Demand_Measured_Inter)+SUMIF(L_12MonResults_RateClass,$A22,L_12MonResults_Demand_Minimum_Inter)</f>
        <v>220091.90999999997</v>
      </c>
      <c r="F22" s="465">
        <f>Rates!$U$261</f>
        <v>0.48</v>
      </c>
      <c r="G22" s="471">
        <f>ROUND(E22*F22,0)</f>
        <v>105644</v>
      </c>
      <c r="H22" s="465"/>
      <c r="I22" s="465"/>
      <c r="L22" s="465"/>
      <c r="M22" s="465"/>
      <c r="N22" s="464"/>
      <c r="Q22" s="238"/>
      <c r="R22" s="261"/>
      <c r="S22" s="261"/>
      <c r="T22" s="261"/>
      <c r="U22" s="261"/>
      <c r="V22" s="261"/>
      <c r="W22" s="261"/>
      <c r="X22" s="261"/>
      <c r="Y22" s="238"/>
      <c r="Z22" s="238"/>
      <c r="AA22" s="238"/>
      <c r="AB22" s="238"/>
      <c r="AC22" s="238"/>
      <c r="AD22" s="238"/>
    </row>
    <row r="23" spans="1:30" ht="15">
      <c r="A23" s="469" t="s">
        <v>21</v>
      </c>
      <c r="B23" s="333" t="s">
        <v>889</v>
      </c>
      <c r="D23" s="238"/>
      <c r="E23" s="470">
        <f>SUMIF(L_12MonResults_RateClass,$A23,L_12MonResults_Demand_Measured_Peak)+SUMIF(L_12MonResults_RateClass,$A23,L_12MonResults_Demand_Minimum_Peak)</f>
        <v>193766.15</v>
      </c>
      <c r="F23" s="465">
        <f>Rates!$V$261</f>
        <v>0.48</v>
      </c>
      <c r="G23" s="472">
        <f>ROUND(E23*F23,0)</f>
        <v>93008</v>
      </c>
      <c r="H23" s="465"/>
      <c r="I23" s="465"/>
      <c r="L23" s="465"/>
      <c r="M23" s="465"/>
      <c r="N23" s="464"/>
      <c r="Q23" s="238"/>
      <c r="R23" s="261"/>
      <c r="S23" s="261"/>
      <c r="T23" s="261"/>
      <c r="U23" s="261"/>
      <c r="V23" s="261"/>
      <c r="W23" s="261"/>
      <c r="X23" s="261"/>
      <c r="Y23" s="238"/>
      <c r="Z23" s="238"/>
      <c r="AA23" s="238"/>
      <c r="AB23" s="238"/>
      <c r="AC23" s="238"/>
      <c r="AD23" s="238"/>
    </row>
    <row r="24" spans="1:30">
      <c r="A24" s="469"/>
      <c r="B24" s="340"/>
      <c r="D24" s="238"/>
      <c r="E24" s="237">
        <f>E22+E23</f>
        <v>413858.05999999994</v>
      </c>
      <c r="F24" s="464"/>
      <c r="G24" s="240">
        <f>G22+G23</f>
        <v>198652</v>
      </c>
      <c r="H24" s="465"/>
      <c r="I24" s="465"/>
      <c r="L24" s="465"/>
      <c r="M24" s="465"/>
      <c r="N24" s="464"/>
      <c r="Q24" s="238"/>
      <c r="R24" s="238"/>
      <c r="S24" s="238"/>
      <c r="T24" s="238"/>
      <c r="U24" s="238"/>
      <c r="V24" s="238"/>
      <c r="W24" s="238"/>
      <c r="X24" s="238"/>
      <c r="Y24" s="238"/>
      <c r="Z24" s="238"/>
      <c r="AA24" s="238"/>
      <c r="AB24" s="238"/>
      <c r="AC24" s="238"/>
      <c r="AD24" s="238"/>
    </row>
    <row r="25" spans="1:30" ht="15">
      <c r="A25" s="469"/>
      <c r="B25" s="340"/>
      <c r="D25" s="468"/>
      <c r="F25" s="464"/>
      <c r="G25" s="473"/>
      <c r="H25" s="465"/>
      <c r="I25" s="465"/>
      <c r="L25" s="465"/>
      <c r="M25" s="465"/>
      <c r="N25" s="464"/>
      <c r="Q25" s="238"/>
      <c r="R25" s="238"/>
      <c r="S25" s="238"/>
      <c r="T25" s="238"/>
      <c r="U25" s="238"/>
      <c r="V25" s="238"/>
      <c r="W25" s="238"/>
      <c r="X25" s="238"/>
      <c r="Y25" s="238"/>
      <c r="Z25" s="238"/>
      <c r="AA25" s="238"/>
      <c r="AB25" s="238"/>
      <c r="AC25" s="238"/>
      <c r="AD25" s="238"/>
    </row>
    <row r="26" spans="1:30">
      <c r="A26" s="469"/>
      <c r="B26" s="340" t="s">
        <v>1126</v>
      </c>
      <c r="F26" s="464"/>
      <c r="G26" s="465"/>
      <c r="H26" s="465"/>
      <c r="I26" s="465"/>
      <c r="J26" s="464"/>
      <c r="L26" s="465"/>
      <c r="M26" s="465"/>
      <c r="N26" s="464"/>
      <c r="Q26" s="238"/>
      <c r="R26" s="238"/>
      <c r="S26" s="238"/>
      <c r="T26" s="238"/>
      <c r="U26" s="238"/>
      <c r="V26" s="238"/>
      <c r="W26" s="238"/>
      <c r="X26" s="238"/>
      <c r="Y26" s="238"/>
      <c r="Z26" s="238"/>
      <c r="AA26" s="238"/>
      <c r="AB26" s="238"/>
      <c r="AC26" s="238"/>
      <c r="AD26" s="238"/>
    </row>
    <row r="27" spans="1:30">
      <c r="A27" s="469" t="s">
        <v>920</v>
      </c>
      <c r="B27" s="265" t="s">
        <v>897</v>
      </c>
      <c r="D27" s="237">
        <f>SUMIF(L_12MonResults_RateClass,$A27,L_12MonResults_KWH_Total)</f>
        <v>949158047</v>
      </c>
      <c r="H27" s="465"/>
      <c r="I27" s="465"/>
      <c r="J27" s="464"/>
      <c r="L27" s="465"/>
      <c r="M27" s="465"/>
      <c r="N27" s="464"/>
    </row>
    <row r="28" spans="1:30">
      <c r="A28" s="469" t="s">
        <v>920</v>
      </c>
      <c r="B28" s="265" t="s">
        <v>902</v>
      </c>
      <c r="E28" s="237">
        <f>SUMIF(L_12MonResults_RateClass,$A28,L_12MonResults_Demand_Measured_Base)+SUMIF(L_12MonResults_RateClass,$A28,L_12MonResults_Demand_Minimum_Base)</f>
        <v>2160425.73</v>
      </c>
      <c r="F28" s="465">
        <f>Rates!$T$258</f>
        <v>0.16</v>
      </c>
      <c r="G28" s="240">
        <f>ROUND(E28*F28,0)</f>
        <v>345668</v>
      </c>
      <c r="H28" s="465"/>
      <c r="I28" s="465"/>
      <c r="L28" s="465"/>
      <c r="M28" s="465"/>
      <c r="N28" s="474"/>
    </row>
    <row r="29" spans="1:30">
      <c r="A29" s="469" t="s">
        <v>920</v>
      </c>
      <c r="B29" s="265" t="s">
        <v>903</v>
      </c>
      <c r="E29" s="237">
        <f>SUMIF(L_12MonResults_RateClass,$A29,L_12MonResults_Demand_Measured_Inter)+SUMIF(L_12MonResults_RateClass,$A29,L_12MonResults_Demand_Minimum_Inter)</f>
        <v>2029819.9200000002</v>
      </c>
      <c r="F29" s="465">
        <f>Rates!$U$258</f>
        <v>0.16</v>
      </c>
      <c r="G29" s="240">
        <f>ROUND(E29*F29,0)</f>
        <v>324771</v>
      </c>
      <c r="H29" s="465"/>
      <c r="I29" s="465"/>
      <c r="L29" s="465"/>
      <c r="M29" s="465"/>
      <c r="N29" s="474"/>
    </row>
    <row r="30" spans="1:30" ht="15">
      <c r="A30" s="469" t="s">
        <v>920</v>
      </c>
      <c r="B30" s="265" t="s">
        <v>19</v>
      </c>
      <c r="E30" s="470">
        <f>SUMIF(L_12MonResults_RateClass,$A30,L_12MonResults_Demand_Measured_Peak)+SUMIF(L_12MonResults_RateClass,$A30,L_12MonResults_Demand_Minimum_Peak)</f>
        <v>1988716.65</v>
      </c>
      <c r="F30" s="465">
        <f>Rates!$V$258</f>
        <v>0.16</v>
      </c>
      <c r="G30" s="241">
        <f>ROUND(E30*F30,0)</f>
        <v>318195</v>
      </c>
      <c r="H30" s="465"/>
      <c r="I30" s="465"/>
      <c r="L30" s="465"/>
      <c r="M30" s="465"/>
      <c r="N30" s="474"/>
    </row>
    <row r="31" spans="1:30">
      <c r="A31" s="237"/>
      <c r="B31" s="475" t="s">
        <v>67</v>
      </c>
      <c r="E31" s="237">
        <f>SUM(E28:E30)</f>
        <v>6178962.3000000007</v>
      </c>
      <c r="G31" s="240">
        <f>SUM(G28:G30)</f>
        <v>988634</v>
      </c>
      <c r="H31" s="465"/>
      <c r="I31" s="465"/>
      <c r="L31" s="465"/>
      <c r="M31" s="465"/>
      <c r="N31" s="474"/>
    </row>
    <row r="32" spans="1:30">
      <c r="A32" s="469"/>
      <c r="B32" s="340"/>
      <c r="D32" s="238"/>
      <c r="F32" s="465"/>
      <c r="H32" s="465"/>
      <c r="I32" s="465"/>
      <c r="L32" s="465"/>
      <c r="M32" s="465"/>
      <c r="N32" s="474"/>
    </row>
    <row r="33" spans="1:25">
      <c r="A33" s="469"/>
      <c r="B33" s="340" t="s">
        <v>1127</v>
      </c>
      <c r="D33" s="238"/>
      <c r="F33" s="465"/>
      <c r="H33" s="465"/>
      <c r="I33" s="465"/>
      <c r="L33" s="465"/>
      <c r="M33" s="465"/>
      <c r="N33" s="474"/>
    </row>
    <row r="34" spans="1:25">
      <c r="A34" s="469" t="s">
        <v>448</v>
      </c>
      <c r="B34" s="265" t="s">
        <v>897</v>
      </c>
      <c r="D34" s="237">
        <f>SUMIF(L_12MonResults_RateClass,$A34,L_12MonResults_KWH_Total)</f>
        <v>379039383</v>
      </c>
      <c r="F34" s="465"/>
      <c r="H34" s="465"/>
      <c r="I34" s="465"/>
      <c r="L34" s="465"/>
      <c r="M34" s="465"/>
      <c r="N34" s="474"/>
    </row>
    <row r="35" spans="1:25">
      <c r="A35" s="469" t="s">
        <v>448</v>
      </c>
      <c r="B35" s="265" t="s">
        <v>902</v>
      </c>
      <c r="E35" s="237">
        <f>SUMIF(L_12MonResults_RateClass,$A35,L_12MonResults_Demand_Measured_Base)+SUMIF(L_12MonResults_RateClass,$A35,L_12MonResults_Demand_Minimum_Base)</f>
        <v>883702.58999999985</v>
      </c>
      <c r="F35" s="465">
        <f>Rates!$T$259</f>
        <v>0.14000000000000001</v>
      </c>
      <c r="G35" s="240">
        <f>ROUND(E35*F35,0)</f>
        <v>123718</v>
      </c>
      <c r="H35" s="465"/>
      <c r="I35" s="465"/>
      <c r="L35" s="465"/>
      <c r="M35" s="465"/>
      <c r="N35" s="474"/>
    </row>
    <row r="36" spans="1:25">
      <c r="A36" s="469" t="s">
        <v>448</v>
      </c>
      <c r="B36" s="265" t="s">
        <v>903</v>
      </c>
      <c r="E36" s="237">
        <f>SUMIF(L_12MonResults_RateClass,$A36,L_12MonResults_Demand_Measured_Inter)+SUMIF(L_12MonResults_RateClass,$A36,L_12MonResults_Demand_Minimum_Inter)</f>
        <v>822654.49999999988</v>
      </c>
      <c r="F36" s="465">
        <f>Rates!$U$259</f>
        <v>0.14000000000000001</v>
      </c>
      <c r="G36" s="240">
        <f>ROUND(E36*F36,0)</f>
        <v>115172</v>
      </c>
      <c r="H36" s="465"/>
      <c r="I36" s="465"/>
      <c r="L36" s="465"/>
      <c r="M36" s="465"/>
      <c r="N36" s="474"/>
      <c r="R36" s="265"/>
      <c r="S36" s="265"/>
      <c r="T36" s="265"/>
      <c r="U36" s="265"/>
      <c r="V36" s="265"/>
      <c r="W36" s="265"/>
      <c r="X36" s="265"/>
      <c r="Y36" s="265"/>
    </row>
    <row r="37" spans="1:25" ht="15">
      <c r="A37" s="469" t="s">
        <v>448</v>
      </c>
      <c r="B37" s="265" t="s">
        <v>19</v>
      </c>
      <c r="E37" s="470">
        <f>SUMIF(L_12MonResults_RateClass,$A37,L_12MonResults_Demand_Measured_Peak)+SUMIF(L_12MonResults_RateClass,$A37,L_12MonResults_Demand_Minimum_Peak)</f>
        <v>805166.28</v>
      </c>
      <c r="F37" s="465">
        <f>Rates!$V$259</f>
        <v>0.14000000000000001</v>
      </c>
      <c r="G37" s="241">
        <f>ROUND(E37*F37,0)</f>
        <v>112723</v>
      </c>
      <c r="H37" s="465"/>
      <c r="I37" s="465"/>
      <c r="L37" s="465"/>
      <c r="M37" s="465"/>
      <c r="N37" s="474"/>
      <c r="R37" s="265"/>
      <c r="S37" s="265"/>
      <c r="T37" s="265"/>
      <c r="U37" s="265"/>
      <c r="V37" s="265"/>
      <c r="W37" s="265"/>
      <c r="X37" s="265"/>
      <c r="Y37" s="265"/>
    </row>
    <row r="38" spans="1:25">
      <c r="A38" s="462"/>
      <c r="B38" s="475" t="s">
        <v>717</v>
      </c>
      <c r="E38" s="237">
        <f>SUM(E35:E37)</f>
        <v>2511523.37</v>
      </c>
      <c r="F38" s="465"/>
      <c r="G38" s="240">
        <f>SUM(G35:G37)</f>
        <v>351613</v>
      </c>
      <c r="H38" s="465"/>
      <c r="I38" s="465"/>
      <c r="L38" s="465"/>
      <c r="M38" s="465"/>
      <c r="N38" s="474"/>
    </row>
    <row r="39" spans="1:25">
      <c r="A39" s="462"/>
      <c r="F39" s="465"/>
      <c r="H39" s="465"/>
      <c r="I39" s="465"/>
      <c r="L39" s="465"/>
      <c r="M39" s="465"/>
      <c r="N39" s="474"/>
    </row>
    <row r="40" spans="1:25">
      <c r="A40" s="462"/>
      <c r="B40" s="237" t="s">
        <v>1128</v>
      </c>
      <c r="F40" s="465"/>
      <c r="H40" s="465"/>
      <c r="I40" s="465"/>
      <c r="L40" s="465"/>
      <c r="M40" s="465"/>
      <c r="N40" s="474"/>
    </row>
    <row r="41" spans="1:25">
      <c r="A41" s="462" t="s">
        <v>460</v>
      </c>
      <c r="B41" s="265" t="s">
        <v>897</v>
      </c>
      <c r="D41" s="238">
        <f>SUMIF(L_12MonResults_RateClass,$A41,L_12MonResults_KWH_Total)</f>
        <v>1580744282</v>
      </c>
      <c r="F41" s="465"/>
      <c r="H41" s="465"/>
      <c r="I41" s="465"/>
      <c r="L41" s="465"/>
      <c r="M41" s="465"/>
      <c r="N41" s="474"/>
    </row>
    <row r="42" spans="1:25">
      <c r="A42" s="462" t="s">
        <v>460</v>
      </c>
      <c r="B42" s="265" t="s">
        <v>902</v>
      </c>
      <c r="E42" s="237">
        <f>SUMIF(L_12MonResults_RateClass,$A42,L_12MonResults_Demand_Measured_Base)+SUMIF(L_12MonResults_RateClass,$A42,L_12MonResults_Demand_Minimum_Base)</f>
        <v>3781126.4099999992</v>
      </c>
      <c r="F42" s="465">
        <f>Rates!$T$263</f>
        <v>0.14000000000000001</v>
      </c>
      <c r="G42" s="240">
        <f>ROUND(E42*F42,0)</f>
        <v>529358</v>
      </c>
      <c r="H42" s="465"/>
      <c r="I42" s="465"/>
      <c r="L42" s="465"/>
      <c r="M42" s="465"/>
      <c r="N42" s="474"/>
    </row>
    <row r="43" spans="1:25">
      <c r="A43" s="462" t="s">
        <v>460</v>
      </c>
      <c r="B43" s="265" t="s">
        <v>903</v>
      </c>
      <c r="E43" s="237">
        <f>SUMIF(L_12MonResults_RateClass,$A43,L_12MonResults_Demand_Measured_Inter)+SUMIF(L_12MonResults_RateClass,$A43,L_12MonResults_Demand_Minimum_Inter)</f>
        <v>3537175.68</v>
      </c>
      <c r="F43" s="465">
        <f>Rates!$U$263</f>
        <v>0.14000000000000001</v>
      </c>
      <c r="G43" s="240">
        <f>ROUND(E43*F43,0)</f>
        <v>495205</v>
      </c>
      <c r="H43" s="465"/>
      <c r="I43" s="465"/>
      <c r="L43" s="465"/>
      <c r="M43" s="465"/>
      <c r="N43" s="474"/>
    </row>
    <row r="44" spans="1:25" ht="15">
      <c r="A44" s="462" t="s">
        <v>460</v>
      </c>
      <c r="B44" s="265" t="s">
        <v>19</v>
      </c>
      <c r="E44" s="470">
        <f>SUMIF(L_12MonResults_RateClass,$A44,L_12MonResults_Demand_Measured_Peak)+SUMIF(L_12MonResults_RateClass,$A44,L_12MonResults_Demand_Minimum_Peak)</f>
        <v>3483195.3300000005</v>
      </c>
      <c r="F44" s="465">
        <f>Rates!$V$263</f>
        <v>0.14000000000000001</v>
      </c>
      <c r="G44" s="241">
        <f>ROUND(E44*F44,0)</f>
        <v>487647</v>
      </c>
      <c r="H44" s="465"/>
      <c r="I44" s="465"/>
      <c r="L44" s="465"/>
      <c r="M44" s="465"/>
      <c r="N44" s="474"/>
    </row>
    <row r="45" spans="1:25">
      <c r="A45" s="462"/>
      <c r="B45" s="475" t="s">
        <v>718</v>
      </c>
      <c r="E45" s="237">
        <f>SUM(E42:E44)</f>
        <v>10801497.42</v>
      </c>
      <c r="F45" s="465"/>
      <c r="G45" s="240">
        <f>SUM(G42:G44)</f>
        <v>1512210</v>
      </c>
      <c r="H45" s="465"/>
      <c r="I45" s="465"/>
      <c r="L45" s="465"/>
      <c r="M45" s="465"/>
      <c r="N45" s="474"/>
    </row>
    <row r="46" spans="1:25">
      <c r="A46" s="462"/>
      <c r="B46" s="340"/>
      <c r="F46" s="465"/>
      <c r="H46" s="465"/>
      <c r="I46" s="465"/>
      <c r="L46" s="465"/>
      <c r="M46" s="465"/>
      <c r="N46" s="474"/>
    </row>
    <row r="47" spans="1:25">
      <c r="A47" s="469"/>
      <c r="B47" s="333" t="s">
        <v>68</v>
      </c>
      <c r="F47" s="465"/>
      <c r="H47" s="465"/>
      <c r="I47" s="465"/>
      <c r="L47" s="465"/>
      <c r="M47" s="465"/>
      <c r="N47" s="474"/>
    </row>
    <row r="48" spans="1:25">
      <c r="A48" s="462" t="s">
        <v>15</v>
      </c>
      <c r="B48" s="265" t="s">
        <v>897</v>
      </c>
      <c r="D48" s="238">
        <f>SUMIF(L_12MonResults_RateClass,$A48,L_12MonResults_KWH_Total)</f>
        <v>788562348</v>
      </c>
      <c r="F48" s="465"/>
      <c r="H48" s="465"/>
      <c r="I48" s="465"/>
      <c r="L48" s="465"/>
      <c r="M48" s="465"/>
      <c r="N48" s="474"/>
    </row>
    <row r="49" spans="1:25">
      <c r="A49" s="462" t="s">
        <v>15</v>
      </c>
      <c r="B49" s="265" t="s">
        <v>902</v>
      </c>
      <c r="D49" s="238"/>
      <c r="E49" s="237">
        <f>SUMIF(L_12MonResults_RateClass,$A49,L_12MonResults_Demand_Measured_Base)+SUMIF(L_12MonResults_RateClass,$A49,L_12MonResults_Demand_Minimum_Base)</f>
        <v>1733048.58</v>
      </c>
      <c r="F49" s="465">
        <f>Rates!$T$265</f>
        <v>0.11</v>
      </c>
      <c r="G49" s="240">
        <f>ROUND(E49*F49,0)</f>
        <v>190635</v>
      </c>
      <c r="H49" s="465"/>
      <c r="I49" s="465"/>
      <c r="L49" s="465"/>
      <c r="M49" s="465"/>
      <c r="N49" s="474"/>
    </row>
    <row r="50" spans="1:25">
      <c r="A50" s="462" t="s">
        <v>15</v>
      </c>
      <c r="B50" s="265" t="s">
        <v>903</v>
      </c>
      <c r="E50" s="237">
        <f>SUMIF(L_12MonResults_RateClass,$A50,L_12MonResults_Demand_Measured_Inter)+SUMIF(L_12MonResults_RateClass,$A50,L_12MonResults_Demand_Minimum_Inter)</f>
        <v>1662024.78</v>
      </c>
      <c r="F50" s="465">
        <f>Rates!$U$265</f>
        <v>0.11</v>
      </c>
      <c r="G50" s="240">
        <f>ROUND(E50*F50,0)</f>
        <v>182823</v>
      </c>
      <c r="H50" s="465"/>
      <c r="I50" s="465"/>
      <c r="L50" s="465"/>
      <c r="M50" s="465"/>
      <c r="N50" s="474"/>
    </row>
    <row r="51" spans="1:25" ht="15">
      <c r="A51" s="462" t="s">
        <v>15</v>
      </c>
      <c r="B51" s="265" t="s">
        <v>19</v>
      </c>
      <c r="E51" s="470">
        <f>SUMIF(L_12MonResults_RateClass,$A51,L_12MonResults_Demand_Measured_Peak)+SUMIF(L_12MonResults_RateClass,$A51,L_12MonResults_Demand_Minimum_Peak)</f>
        <v>1142981.77</v>
      </c>
      <c r="F51" s="465">
        <f>Rates!$V$265</f>
        <v>0.11</v>
      </c>
      <c r="G51" s="241">
        <f>ROUND(E51*F51,0)</f>
        <v>125728</v>
      </c>
      <c r="H51" s="465"/>
      <c r="I51" s="465"/>
      <c r="L51" s="465"/>
      <c r="M51" s="465"/>
      <c r="N51" s="474"/>
    </row>
    <row r="52" spans="1:25">
      <c r="A52" s="462"/>
      <c r="B52" s="237" t="s">
        <v>904</v>
      </c>
      <c r="E52" s="237">
        <f>SUM(E49:E51)</f>
        <v>4538055.1300000008</v>
      </c>
      <c r="F52" s="465"/>
      <c r="G52" s="240">
        <f>SUM(G49:G51)</f>
        <v>499186</v>
      </c>
      <c r="H52" s="465"/>
      <c r="I52" s="465"/>
      <c r="L52" s="465"/>
      <c r="M52" s="465"/>
      <c r="N52" s="474"/>
    </row>
    <row r="53" spans="1:25">
      <c r="A53" s="462"/>
      <c r="F53" s="465"/>
      <c r="G53" s="240"/>
      <c r="H53" s="465"/>
      <c r="I53" s="465"/>
      <c r="L53" s="465"/>
      <c r="M53" s="465"/>
      <c r="N53" s="474"/>
    </row>
    <row r="54" spans="1:25">
      <c r="A54" s="462"/>
      <c r="B54" s="237" t="s">
        <v>835</v>
      </c>
      <c r="H54" s="465"/>
      <c r="I54" s="465"/>
      <c r="L54" s="465"/>
      <c r="M54" s="465"/>
      <c r="N54" s="464"/>
      <c r="O54" s="476"/>
    </row>
    <row r="55" spans="1:25">
      <c r="A55" s="477" t="s">
        <v>451</v>
      </c>
      <c r="B55" s="333" t="s">
        <v>897</v>
      </c>
      <c r="D55" s="238">
        <f>SUMIF(L_12MonResults_RateClass,$A55,L_12MonResults_KWH_Total)</f>
        <v>141699400</v>
      </c>
      <c r="H55" s="465"/>
      <c r="I55" s="465"/>
      <c r="L55" s="465"/>
      <c r="M55" s="465"/>
      <c r="N55" s="464"/>
      <c r="O55" s="476"/>
    </row>
    <row r="56" spans="1:25">
      <c r="A56" s="477" t="s">
        <v>451</v>
      </c>
      <c r="B56" s="333" t="s">
        <v>890</v>
      </c>
      <c r="D56" s="238"/>
      <c r="E56" s="237">
        <f>SUMIF(L_12MonResults_RateClass,$A56,L_12MonResults_Demand_Measured_Inter)+SUMIF(L_12MonResults_RateClass,$A56,L_12MonResults_Demand_Minimum_Inter)</f>
        <v>158566</v>
      </c>
      <c r="F56" s="465">
        <f>Rates!$U$275</f>
        <v>0.39</v>
      </c>
      <c r="G56" s="240">
        <f>ROUND(E56*F56,0)</f>
        <v>61841</v>
      </c>
      <c r="H56" s="465"/>
      <c r="I56" s="465"/>
      <c r="L56" s="465"/>
      <c r="M56" s="465"/>
      <c r="N56" s="474"/>
      <c r="O56" s="476"/>
      <c r="R56" s="265">
        <f t="shared" ref="R56:X56" si="1">SUMIFS(L_12MonResults_Demand_Measured_Inter,L_12MonResults_Revenue_Month,TEXT(R$11,"mmm yyyy"),L_12MonResults_RateClass,$A57)+SUMIFS(L_12MonResults_Demand_Minimum_Inter,L_12MonResults_Revenue_Month,TEXT(R$11,"mmm yyyy"),L_12MonResults_RateClass,$A57)</f>
        <v>0</v>
      </c>
      <c r="S56" s="265">
        <f t="shared" si="1"/>
        <v>0</v>
      </c>
      <c r="T56" s="265">
        <f t="shared" si="1"/>
        <v>0</v>
      </c>
      <c r="U56" s="265">
        <f t="shared" si="1"/>
        <v>0</v>
      </c>
      <c r="V56" s="265">
        <f t="shared" si="1"/>
        <v>0</v>
      </c>
      <c r="W56" s="265">
        <f t="shared" si="1"/>
        <v>0</v>
      </c>
      <c r="X56" s="265">
        <f t="shared" si="1"/>
        <v>0</v>
      </c>
      <c r="Y56" s="265"/>
    </row>
    <row r="57" spans="1:25" ht="15">
      <c r="A57" s="477" t="s">
        <v>451</v>
      </c>
      <c r="B57" s="333" t="s">
        <v>889</v>
      </c>
      <c r="D57" s="238"/>
      <c r="E57" s="470">
        <f>SUMIF(L_12MonResults_RateClass,$A57,L_12MonResults_Demand_Measured_Peak)+SUMIF(L_12MonResults_RateClass,$A57,L_12MonResults_Demand_Minimum_Peak)</f>
        <v>91250</v>
      </c>
      <c r="F57" s="465">
        <f>Rates!$V$275</f>
        <v>0.39</v>
      </c>
      <c r="G57" s="470">
        <f>ROUND(E57*F57,0)</f>
        <v>35588</v>
      </c>
      <c r="H57" s="465"/>
      <c r="I57" s="465"/>
      <c r="L57" s="465"/>
      <c r="M57" s="465"/>
      <c r="N57" s="474"/>
      <c r="O57" s="476"/>
      <c r="R57" s="265">
        <f>SUMIFS(L_12MonResults_Demand_Measured_Peak,L_12MonResults_Revenue_Month,TEXT(R$9,"mmm yyyy"),L_12MonResults_RateClass,$A56)+SUMIFS(L_12MonResults_Demand_Minimum_Peak,L_12MonResults_Revenue_Month,TEXT(R$9,"mmm yyyy"),L_12MonResults_RateClass,$A56)</f>
        <v>0</v>
      </c>
      <c r="S57" s="265">
        <f>SUMIFS(L_12MonResults_Demand_Measured_Peak,L_12MonResults_Revenue_Month,TEXT(S$9,"mmm yyyy"),L_12MonResults_RateClass,$A56)+SUMIFS(L_12MonResults_Demand_Minimum_Peak,L_12MonResults_Revenue_Month,TEXT(S$9,"mmm yyyy"),L_12MonResults_RateClass,$A56)</f>
        <v>0</v>
      </c>
      <c r="T57" s="265">
        <f>SUMIFS(L_12MonResults_Demand_Measured_Peak,L_12MonResults_Revenue_Month,TEXT(T$9,"mmm yyyy"),L_12MonResults_RateClass,$A56)+SUMIFS(L_12MonResults_Demand_Minimum_Peak,L_12MonResults_Revenue_Month,TEXT(T$9,"mmm yyyy"),L_12MonResults_RateClass,$A56)</f>
        <v>0</v>
      </c>
      <c r="U57" s="265">
        <f>SUMIFS(L_12MonResults_Demand_Measured_Peak,L_12MonResults_Revenue_Month,TEXT(U$9,"mmm yyyy"),L_12MonResults_RateClass,$A56)+SUMIFS(L_12MonResults_Demand_Minimum_Peak,L_12MonResults_Revenue_Month,TEXT(U$9,"mmm yyyy"),L_12MonResults_RateClass,$A56)</f>
        <v>0</v>
      </c>
      <c r="V57" s="265">
        <f>SUMIFS(L_12MonResults_Demand_Measured_Peak,L_12MonResults_Revenue_Month,TEXT(V$9,"mmm yyyy"),L_12MonResults_RateClass,$A56)+SUMIFS(L_12MonResults_Demand_Minimum_Peak,L_12MonResults_Revenue_Month,TEXT(V$9,"mmm yyyy"),L_12MonResults_RateClass,$A56)</f>
        <v>0</v>
      </c>
      <c r="W57" s="265"/>
      <c r="X57" s="265"/>
      <c r="Y57" s="265"/>
    </row>
    <row r="58" spans="1:25">
      <c r="A58" s="477"/>
      <c r="B58" s="333" t="s">
        <v>905</v>
      </c>
      <c r="D58" s="238"/>
      <c r="E58" s="237">
        <f>E56+E57</f>
        <v>249816</v>
      </c>
      <c r="F58" s="465"/>
      <c r="G58" s="240">
        <f>G56+G57</f>
        <v>97429</v>
      </c>
      <c r="H58" s="465"/>
      <c r="I58" s="465"/>
      <c r="L58" s="465"/>
      <c r="M58" s="465"/>
      <c r="N58" s="474"/>
      <c r="O58" s="476"/>
      <c r="R58" s="265"/>
      <c r="S58" s="265"/>
      <c r="T58" s="265"/>
      <c r="U58" s="265"/>
      <c r="V58" s="265"/>
      <c r="W58" s="265"/>
      <c r="X58" s="265"/>
      <c r="Y58" s="265"/>
    </row>
    <row r="59" spans="1:25">
      <c r="A59" s="477"/>
      <c r="F59" s="465"/>
      <c r="H59" s="465"/>
      <c r="I59" s="465"/>
      <c r="L59" s="465"/>
      <c r="M59" s="465"/>
      <c r="N59" s="474"/>
      <c r="O59" s="476"/>
    </row>
    <row r="60" spans="1:25">
      <c r="A60" s="237"/>
      <c r="B60" s="237" t="s">
        <v>766</v>
      </c>
      <c r="D60" s="238"/>
      <c r="F60" s="465"/>
      <c r="H60" s="465"/>
      <c r="I60" s="465"/>
      <c r="L60" s="465"/>
      <c r="M60" s="465"/>
      <c r="N60" s="474"/>
      <c r="O60" s="476"/>
    </row>
    <row r="61" spans="1:25">
      <c r="A61" s="462" t="s">
        <v>464</v>
      </c>
      <c r="B61" s="237" t="s">
        <v>897</v>
      </c>
      <c r="D61" s="238">
        <f>SUMIF(L_12MonResults_RateClass,$A61,L_12MonResults_KWH_Total)</f>
        <v>57403080</v>
      </c>
      <c r="F61" s="465"/>
      <c r="H61" s="465"/>
      <c r="I61" s="465"/>
      <c r="L61" s="465"/>
      <c r="M61" s="465"/>
      <c r="N61" s="474"/>
      <c r="O61" s="476"/>
    </row>
    <row r="62" spans="1:25">
      <c r="A62" s="462" t="s">
        <v>464</v>
      </c>
      <c r="B62" s="237" t="s">
        <v>116</v>
      </c>
      <c r="D62" s="238"/>
      <c r="E62" s="237">
        <f>SUMIF(L_12MonResults_RateClass,$A62,L_12MonResults_Demand_Measured_Peak)+SUMIF(L_12MonResults_RateClass,$A62,L_12MonResults_Demand_Minimum_Peak)</f>
        <v>47907.600000000006</v>
      </c>
      <c r="F62" s="465">
        <f>Rates!$U$276</f>
        <v>0.37</v>
      </c>
      <c r="G62" s="240">
        <f>ROUND(E62*F62,0)</f>
        <v>17726</v>
      </c>
      <c r="H62" s="465"/>
      <c r="I62" s="465"/>
      <c r="L62" s="465"/>
      <c r="M62" s="465"/>
      <c r="N62" s="474"/>
      <c r="O62" s="476"/>
    </row>
    <row r="63" spans="1:25">
      <c r="A63" s="462"/>
      <c r="H63" s="465"/>
      <c r="I63" s="465"/>
      <c r="K63" s="465"/>
      <c r="L63" s="465"/>
      <c r="M63" s="465"/>
      <c r="N63" s="474"/>
      <c r="O63" s="476"/>
    </row>
    <row r="64" spans="1:25">
      <c r="A64" s="462" t="s">
        <v>17</v>
      </c>
      <c r="B64" s="237" t="s">
        <v>70</v>
      </c>
      <c r="D64" s="238">
        <f>SUMIF(L_12MonResults_RateClass,$A64,L_12MonResults_KWH_Total)</f>
        <v>3274415</v>
      </c>
      <c r="F64" s="464">
        <f>Rates!$K$268</f>
        <v>1.1000000000000001E-3</v>
      </c>
      <c r="G64" s="240">
        <f>ROUND(D64*F64,0)</f>
        <v>3602</v>
      </c>
      <c r="H64" s="465"/>
      <c r="I64" s="465"/>
      <c r="L64" s="465"/>
      <c r="M64" s="465"/>
      <c r="N64" s="464"/>
      <c r="O64" s="476"/>
    </row>
    <row r="65" spans="1:15">
      <c r="A65" s="462" t="s">
        <v>18</v>
      </c>
      <c r="B65" s="238" t="s">
        <v>767</v>
      </c>
      <c r="D65" s="238">
        <f>SUMIF(L_12MonResults_RateClass,$A65,L_12MonResults_KWH_Total)</f>
        <v>3105171</v>
      </c>
      <c r="F65" s="464">
        <f>Rates!$K$271</f>
        <v>1.1000000000000001E-3</v>
      </c>
      <c r="G65" s="240">
        <f>ROUND(D65*F65,0)</f>
        <v>3416</v>
      </c>
      <c r="H65" s="465"/>
      <c r="I65" s="465"/>
      <c r="L65" s="465"/>
      <c r="M65" s="465"/>
      <c r="N65" s="464"/>
      <c r="O65" s="476"/>
    </row>
    <row r="66" spans="1:15">
      <c r="A66" s="462"/>
      <c r="B66" s="238"/>
      <c r="F66" s="464"/>
      <c r="G66" s="465"/>
      <c r="H66" s="465"/>
      <c r="I66" s="465"/>
      <c r="L66" s="465"/>
      <c r="M66" s="465"/>
      <c r="N66" s="464"/>
      <c r="O66" s="476"/>
    </row>
    <row r="67" spans="1:15">
      <c r="A67" s="478">
        <v>201</v>
      </c>
      <c r="B67" s="238" t="s">
        <v>768</v>
      </c>
      <c r="C67" s="237">
        <f t="shared" ref="C67:C77" si="2">SUMIF(L_12MonthLights_3_Digit_Code,$A67,L_12MonLights_Count_Total)+SUMIF(L_12MonthLights_3_Digit_Code,$A67,L_12MonLights_Count_OutOfPeriod)</f>
        <v>914</v>
      </c>
      <c r="D67" s="237">
        <f t="shared" ref="D67:D77" si="3">SUMIF(L_12MonthLights_3_Digit_Code,$A67,L_12MonLights_KWH_Total)+SUMIF(L_12MonthLights_3_Digit_Code,$A67,L_12MonLights_KWH_OutOfPeriod)</f>
        <v>16170</v>
      </c>
      <c r="F67" s="465">
        <f>SUMIF(LightingRates!$D$1375:$D$1446,"LGUM_"&amp;A67,LightingRates!$G$1375:$G$1446)</f>
        <v>0.16</v>
      </c>
      <c r="G67" s="471">
        <f>ROUND(C67*F67,0)</f>
        <v>146</v>
      </c>
      <c r="H67" s="465"/>
      <c r="I67" s="465"/>
      <c r="L67" s="465"/>
      <c r="M67" s="465"/>
      <c r="N67" s="465"/>
      <c r="O67" s="476"/>
    </row>
    <row r="68" spans="1:15">
      <c r="A68" s="478">
        <v>203</v>
      </c>
      <c r="B68" s="238" t="s">
        <v>770</v>
      </c>
      <c r="C68" s="237">
        <f t="shared" si="2"/>
        <v>46028</v>
      </c>
      <c r="D68" s="237">
        <f t="shared" si="3"/>
        <v>1971285</v>
      </c>
      <c r="F68" s="465">
        <f>SUMIF(LightingRates!$D$1375:$D$1446,"LGUM_"&amp;A68,LightingRates!$G$1375:$G$1446)</f>
        <v>0.18</v>
      </c>
      <c r="G68" s="471">
        <f t="shared" ref="G68:G90" si="4">ROUND(C68*F68,0)</f>
        <v>8285</v>
      </c>
      <c r="H68" s="465"/>
      <c r="I68" s="465"/>
      <c r="L68" s="465"/>
      <c r="M68" s="465"/>
      <c r="N68" s="465"/>
      <c r="O68" s="476"/>
    </row>
    <row r="69" spans="1:15">
      <c r="A69" s="478">
        <v>204</v>
      </c>
      <c r="B69" s="238" t="s">
        <v>771</v>
      </c>
      <c r="C69" s="237">
        <f t="shared" si="2"/>
        <v>45360</v>
      </c>
      <c r="D69" s="237">
        <f t="shared" si="3"/>
        <v>3059164</v>
      </c>
      <c r="F69" s="465">
        <f>SUMIF(LightingRates!$D$1375:$D$1446,"LGUM_"&amp;A69,LightingRates!$G$1375:$G$1446)</f>
        <v>0.22</v>
      </c>
      <c r="G69" s="471">
        <f t="shared" si="4"/>
        <v>9979</v>
      </c>
      <c r="H69" s="465"/>
      <c r="I69" s="465"/>
      <c r="L69" s="465"/>
      <c r="M69" s="465"/>
      <c r="N69" s="465"/>
      <c r="O69" s="476"/>
    </row>
    <row r="70" spans="1:15">
      <c r="A70" s="478">
        <v>206</v>
      </c>
      <c r="B70" s="238" t="s">
        <v>772</v>
      </c>
      <c r="C70" s="237">
        <f t="shared" si="2"/>
        <v>1144</v>
      </c>
      <c r="D70" s="237">
        <f t="shared" si="3"/>
        <v>21226</v>
      </c>
      <c r="F70" s="465">
        <f>SUMIF(LightingRates!$D$1375:$D$1446,"LGUM_"&amp;A70,LightingRates!$G$1375:$G$1446)</f>
        <v>0.16</v>
      </c>
      <c r="G70" s="471">
        <f t="shared" si="4"/>
        <v>183</v>
      </c>
      <c r="H70" s="465"/>
      <c r="I70" s="465"/>
      <c r="L70" s="465"/>
      <c r="M70" s="465"/>
      <c r="N70" s="465"/>
      <c r="O70" s="465"/>
    </row>
    <row r="71" spans="1:15">
      <c r="A71" s="478">
        <v>207</v>
      </c>
      <c r="B71" s="238" t="s">
        <v>773</v>
      </c>
      <c r="C71" s="237">
        <f t="shared" si="2"/>
        <v>9052</v>
      </c>
      <c r="D71" s="237">
        <f t="shared" si="3"/>
        <v>624940</v>
      </c>
      <c r="F71" s="465">
        <f>SUMIF(LightingRates!$D$1375:$D$1446,"LGUM_"&amp;A71,LightingRates!$G$1375:$G$1446)</f>
        <v>0.22</v>
      </c>
      <c r="G71" s="471">
        <f t="shared" si="4"/>
        <v>1991</v>
      </c>
      <c r="H71" s="465"/>
      <c r="I71" s="465"/>
      <c r="L71" s="465"/>
      <c r="M71" s="465"/>
      <c r="N71" s="465"/>
      <c r="O71" s="465"/>
    </row>
    <row r="72" spans="1:15">
      <c r="A72" s="478">
        <v>208</v>
      </c>
      <c r="B72" s="238" t="s">
        <v>774</v>
      </c>
      <c r="C72" s="237">
        <f t="shared" si="2"/>
        <v>16808</v>
      </c>
      <c r="D72" s="237">
        <f t="shared" si="3"/>
        <v>523334</v>
      </c>
      <c r="F72" s="465">
        <f>SUMIF(LightingRates!$D$1375:$D$1446,"LGUM_"&amp;A72,LightingRates!$G$1375:$G$1446)</f>
        <v>0.16</v>
      </c>
      <c r="G72" s="471">
        <f t="shared" si="4"/>
        <v>2689</v>
      </c>
      <c r="H72" s="465"/>
      <c r="I72" s="465"/>
      <c r="L72" s="465"/>
      <c r="M72" s="465"/>
      <c r="N72" s="465"/>
      <c r="O72" s="465"/>
    </row>
    <row r="73" spans="1:15">
      <c r="A73" s="478">
        <v>209</v>
      </c>
      <c r="B73" s="238" t="s">
        <v>775</v>
      </c>
      <c r="C73" s="237">
        <f t="shared" si="2"/>
        <v>529</v>
      </c>
      <c r="D73" s="237">
        <f t="shared" si="3"/>
        <v>86454</v>
      </c>
      <c r="F73" s="465">
        <f>SUMIF(LightingRates!$D$1375:$D$1446,"LGUM_"&amp;A73,LightingRates!$G$1375:$G$1446)</f>
        <v>0.41</v>
      </c>
      <c r="G73" s="471">
        <f t="shared" si="4"/>
        <v>217</v>
      </c>
      <c r="H73" s="465"/>
      <c r="I73" s="465"/>
      <c r="L73" s="465"/>
      <c r="M73" s="465"/>
      <c r="N73" s="465"/>
      <c r="O73" s="465"/>
    </row>
    <row r="74" spans="1:15">
      <c r="A74" s="478">
        <v>210</v>
      </c>
      <c r="B74" s="238" t="s">
        <v>776</v>
      </c>
      <c r="C74" s="237">
        <f t="shared" si="2"/>
        <v>4227</v>
      </c>
      <c r="D74" s="237">
        <f t="shared" si="3"/>
        <v>678759</v>
      </c>
      <c r="F74" s="465">
        <f>SUMIF(LightingRates!$D$1375:$D$1446,"LGUM_"&amp;A74,LightingRates!$G$1375:$G$1446)</f>
        <v>0.41</v>
      </c>
      <c r="G74" s="471">
        <f t="shared" si="4"/>
        <v>1733</v>
      </c>
      <c r="H74" s="465"/>
      <c r="I74" s="465"/>
      <c r="L74" s="465"/>
      <c r="M74" s="465"/>
      <c r="N74" s="465"/>
      <c r="O74" s="465"/>
    </row>
    <row r="75" spans="1:15">
      <c r="A75" s="478">
        <v>252</v>
      </c>
      <c r="B75" s="238" t="s">
        <v>769</v>
      </c>
      <c r="C75" s="237">
        <f t="shared" si="2"/>
        <v>47352</v>
      </c>
      <c r="D75" s="237">
        <f t="shared" si="3"/>
        <v>1489790</v>
      </c>
      <c r="F75" s="465">
        <f>SUMIF(LightingRates!$D$1375:$D$1446,"LGUM_"&amp;A75,LightingRates!$G$1375:$G$1446)</f>
        <v>0.16</v>
      </c>
      <c r="G75" s="471">
        <f t="shared" si="4"/>
        <v>7576</v>
      </c>
      <c r="H75" s="465"/>
      <c r="I75" s="465"/>
      <c r="L75" s="465"/>
      <c r="M75" s="465"/>
      <c r="N75" s="465"/>
      <c r="O75" s="465"/>
    </row>
    <row r="76" spans="1:15">
      <c r="A76" s="478">
        <v>266</v>
      </c>
      <c r="B76" s="238" t="s">
        <v>777</v>
      </c>
      <c r="C76" s="237">
        <f t="shared" si="2"/>
        <v>24108</v>
      </c>
      <c r="D76" s="237">
        <f t="shared" si="3"/>
        <v>1128812</v>
      </c>
      <c r="F76" s="465">
        <f>SUMIF(LightingRates!$D$1375:$D$1446,"LGUM_"&amp;A76,LightingRates!$G$1375:$G$1446)</f>
        <v>0.27</v>
      </c>
      <c r="G76" s="471">
        <f t="shared" si="4"/>
        <v>6509</v>
      </c>
      <c r="H76" s="465"/>
      <c r="I76" s="465"/>
      <c r="L76" s="465"/>
      <c r="M76" s="465"/>
      <c r="N76" s="465"/>
      <c r="O76" s="465"/>
    </row>
    <row r="77" spans="1:15">
      <c r="A77" s="478">
        <v>267</v>
      </c>
      <c r="B77" s="238" t="s">
        <v>778</v>
      </c>
      <c r="C77" s="237">
        <f t="shared" si="2"/>
        <v>26869</v>
      </c>
      <c r="D77" s="237">
        <f t="shared" si="3"/>
        <v>1989033</v>
      </c>
      <c r="F77" s="465">
        <f>SUMIF(LightingRates!$D$1375:$D$1446,"LGUM_"&amp;A77,LightingRates!$G$1375:$G$1446)</f>
        <v>0.28999999999999998</v>
      </c>
      <c r="G77" s="471">
        <f t="shared" si="4"/>
        <v>7792</v>
      </c>
      <c r="H77" s="465"/>
      <c r="I77" s="465"/>
      <c r="L77" s="465"/>
      <c r="M77" s="465"/>
      <c r="N77" s="465"/>
      <c r="O77" s="465"/>
    </row>
    <row r="78" spans="1:15">
      <c r="A78" s="478">
        <v>274</v>
      </c>
      <c r="B78" s="238" t="s">
        <v>780</v>
      </c>
      <c r="C78" s="237">
        <f t="shared" ref="C78:C90" si="5">SUMIF(L_12MonthLights_3_Digit_Code,$A78,L_12MonLights_Count_Total)+SUMIF(L_12MonthLights_3_Digit_Code,$A78,L_12MonLights_Count_OutOfPeriod)</f>
        <v>200731</v>
      </c>
      <c r="D78" s="237">
        <f t="shared" ref="D78:D90" si="6">SUMIF(L_12MonthLights_3_Digit_Code,$A78,L_12MonLights_KWH_Total)+SUMIF(L_12MonthLights_3_Digit_Code,$A78,L_12MonLights_KWH_OutOfPeriod)</f>
        <v>4398382</v>
      </c>
      <c r="F78" s="465">
        <f>SUMIF(LightingRates!$D$1375:$D$1446,"LGUM_"&amp;A78,LightingRates!$G$1375:$G$1446)</f>
        <v>0.27</v>
      </c>
      <c r="G78" s="471">
        <f t="shared" si="4"/>
        <v>54197</v>
      </c>
      <c r="H78" s="465"/>
      <c r="I78" s="465"/>
      <c r="L78" s="465"/>
      <c r="M78" s="465"/>
      <c r="N78" s="465"/>
      <c r="O78" s="465"/>
    </row>
    <row r="79" spans="1:15">
      <c r="A79" s="478">
        <v>275</v>
      </c>
      <c r="B79" s="238" t="s">
        <v>779</v>
      </c>
      <c r="C79" s="237">
        <f t="shared" si="5"/>
        <v>6123</v>
      </c>
      <c r="D79" s="237">
        <f t="shared" si="6"/>
        <v>188572</v>
      </c>
      <c r="F79" s="465">
        <f>SUMIF(LightingRates!$D$1375:$D$1446,"LGUM_"&amp;A79,LightingRates!$G$1375:$G$1446)</f>
        <v>0.24</v>
      </c>
      <c r="G79" s="471">
        <f t="shared" si="4"/>
        <v>1470</v>
      </c>
      <c r="H79" s="465"/>
      <c r="I79" s="465"/>
      <c r="L79" s="465"/>
      <c r="M79" s="465"/>
      <c r="N79" s="465"/>
      <c r="O79" s="465"/>
    </row>
    <row r="80" spans="1:15">
      <c r="A80" s="478">
        <v>276</v>
      </c>
      <c r="B80" s="238" t="s">
        <v>781</v>
      </c>
      <c r="C80" s="237">
        <f t="shared" si="5"/>
        <v>15797</v>
      </c>
      <c r="D80" s="237">
        <f t="shared" si="6"/>
        <v>261489</v>
      </c>
      <c r="F80" s="465">
        <f>SUMIF(LightingRates!$D$1375:$D$1446,"LGUM_"&amp;A80,LightingRates!$G$1375:$G$1446)</f>
        <v>0.26</v>
      </c>
      <c r="G80" s="471">
        <f t="shared" si="4"/>
        <v>4107</v>
      </c>
      <c r="H80" s="465"/>
      <c r="I80" s="465"/>
      <c r="L80" s="465"/>
      <c r="M80" s="465"/>
      <c r="N80" s="465"/>
      <c r="O80" s="465"/>
    </row>
    <row r="81" spans="1:15">
      <c r="A81" s="478">
        <v>277</v>
      </c>
      <c r="B81" s="238" t="s">
        <v>782</v>
      </c>
      <c r="C81" s="237">
        <f t="shared" si="5"/>
        <v>27130</v>
      </c>
      <c r="D81" s="237">
        <f t="shared" si="6"/>
        <v>814596</v>
      </c>
      <c r="F81" s="465">
        <f>SUMIF(LightingRates!$D$1375:$D$1446,"LGUM_"&amp;A81,LightingRates!$G$1375:$G$1446)</f>
        <v>0.24</v>
      </c>
      <c r="G81" s="471">
        <f t="shared" si="4"/>
        <v>6511</v>
      </c>
      <c r="H81" s="465"/>
      <c r="I81" s="465"/>
      <c r="L81" s="465"/>
      <c r="M81" s="465"/>
      <c r="N81" s="465"/>
      <c r="O81" s="465"/>
    </row>
    <row r="82" spans="1:15">
      <c r="A82" s="478">
        <v>278</v>
      </c>
      <c r="B82" s="238" t="s">
        <v>783</v>
      </c>
      <c r="C82" s="237">
        <f t="shared" si="5"/>
        <v>199</v>
      </c>
      <c r="D82" s="237">
        <f t="shared" si="6"/>
        <v>33328</v>
      </c>
      <c r="F82" s="465">
        <f>SUMIF(LightingRates!$D$1375:$D$1446,"LGUM_"&amp;A82,LightingRates!$G$1375:$G$1446)</f>
        <v>0.9</v>
      </c>
      <c r="G82" s="471">
        <f t="shared" si="4"/>
        <v>179</v>
      </c>
      <c r="H82" s="465"/>
      <c r="I82" s="465"/>
      <c r="L82" s="465"/>
      <c r="M82" s="465"/>
      <c r="N82" s="465"/>
      <c r="O82" s="465"/>
    </row>
    <row r="83" spans="1:15">
      <c r="A83" s="478">
        <v>279</v>
      </c>
      <c r="B83" s="238" t="s">
        <v>784</v>
      </c>
      <c r="C83" s="237">
        <f t="shared" si="5"/>
        <v>132</v>
      </c>
      <c r="D83" s="237">
        <f t="shared" si="6"/>
        <v>21531</v>
      </c>
      <c r="F83" s="465">
        <f>SUMIF(LightingRates!$D$1375:$D$1446,"LGUM_"&amp;A83,LightingRates!$G$1375:$G$1446)</f>
        <v>0.9</v>
      </c>
      <c r="G83" s="471">
        <f t="shared" si="4"/>
        <v>119</v>
      </c>
      <c r="H83" s="465"/>
      <c r="I83" s="465"/>
      <c r="L83" s="465"/>
      <c r="M83" s="465"/>
      <c r="N83" s="465"/>
      <c r="O83" s="465"/>
    </row>
    <row r="84" spans="1:15">
      <c r="A84" s="478">
        <v>280</v>
      </c>
      <c r="B84" s="238" t="s">
        <v>785</v>
      </c>
      <c r="C84" s="237">
        <f t="shared" si="5"/>
        <v>542</v>
      </c>
      <c r="D84" s="237">
        <f t="shared" si="6"/>
        <v>9054</v>
      </c>
      <c r="F84" s="465">
        <f>SUMIF(LightingRates!$D$1375:$D$1446,"LGUM_"&amp;A84,LightingRates!$G$1375:$G$1446)</f>
        <v>0.26</v>
      </c>
      <c r="G84" s="471">
        <f t="shared" si="4"/>
        <v>141</v>
      </c>
      <c r="H84" s="465"/>
      <c r="I84" s="465"/>
      <c r="L84" s="465"/>
      <c r="M84" s="465"/>
      <c r="N84" s="465"/>
      <c r="O84" s="465"/>
    </row>
    <row r="85" spans="1:15">
      <c r="A85" s="478">
        <v>281</v>
      </c>
      <c r="B85" s="238" t="s">
        <v>786</v>
      </c>
      <c r="C85" s="237">
        <f t="shared" si="5"/>
        <v>2889</v>
      </c>
      <c r="D85" s="237">
        <f t="shared" si="6"/>
        <v>62877</v>
      </c>
      <c r="F85" s="465">
        <f>SUMIF(LightingRates!$D$1375:$D$1446,"LGUM_"&amp;A85,LightingRates!$G$1375:$G$1446)</f>
        <v>0.27</v>
      </c>
      <c r="G85" s="471">
        <f t="shared" si="4"/>
        <v>780</v>
      </c>
      <c r="H85" s="465"/>
      <c r="I85" s="465"/>
      <c r="L85" s="465"/>
      <c r="M85" s="465"/>
      <c r="N85" s="465"/>
      <c r="O85" s="465"/>
    </row>
    <row r="86" spans="1:15">
      <c r="A86" s="478">
        <v>282</v>
      </c>
      <c r="B86" s="238" t="s">
        <v>787</v>
      </c>
      <c r="C86" s="237">
        <f t="shared" si="5"/>
        <v>1244</v>
      </c>
      <c r="D86" s="237">
        <f t="shared" si="6"/>
        <v>20658</v>
      </c>
      <c r="F86" s="465">
        <f>SUMIF(LightingRates!$D$1375:$D$1446,"LGUM_"&amp;A86,LightingRates!$G$1375:$G$1446)</f>
        <v>0.26</v>
      </c>
      <c r="G86" s="471">
        <f t="shared" si="4"/>
        <v>323</v>
      </c>
      <c r="H86" s="465"/>
      <c r="I86" s="465"/>
      <c r="L86" s="465"/>
      <c r="M86" s="465"/>
      <c r="N86" s="465"/>
      <c r="O86" s="465"/>
    </row>
    <row r="87" spans="1:15">
      <c r="A87" s="478">
        <v>283</v>
      </c>
      <c r="B87" s="238" t="s">
        <v>788</v>
      </c>
      <c r="C87" s="237">
        <f t="shared" si="5"/>
        <v>971</v>
      </c>
      <c r="D87" s="237">
        <f t="shared" si="6"/>
        <v>20760</v>
      </c>
      <c r="F87" s="465">
        <f>SUMIF(LightingRates!$D$1375:$D$1446,"LGUM_"&amp;A87,LightingRates!$G$1375:$G$1446)</f>
        <v>0.27</v>
      </c>
      <c r="G87" s="471">
        <f t="shared" si="4"/>
        <v>262</v>
      </c>
      <c r="H87" s="465"/>
      <c r="I87" s="465"/>
      <c r="L87" s="465"/>
      <c r="M87" s="465"/>
      <c r="N87" s="465"/>
      <c r="O87" s="465"/>
    </row>
    <row r="88" spans="1:15">
      <c r="A88" s="478">
        <v>314</v>
      </c>
      <c r="B88" s="238" t="s">
        <v>789</v>
      </c>
      <c r="C88" s="237">
        <f t="shared" si="5"/>
        <v>6398</v>
      </c>
      <c r="D88" s="237">
        <f t="shared" si="6"/>
        <v>273221</v>
      </c>
      <c r="F88" s="465">
        <f>SUMIF(LightingRates!$D$1375:$D$1446,"LGUM_"&amp;A88,LightingRates!$G$1375:$G$1446)</f>
        <v>0.18</v>
      </c>
      <c r="G88" s="471">
        <f t="shared" si="4"/>
        <v>1152</v>
      </c>
      <c r="H88" s="465"/>
      <c r="I88" s="465"/>
      <c r="L88" s="465"/>
      <c r="M88" s="465"/>
      <c r="N88" s="465"/>
      <c r="O88" s="465"/>
    </row>
    <row r="89" spans="1:15">
      <c r="A89" s="478">
        <v>315</v>
      </c>
      <c r="B89" s="238" t="s">
        <v>790</v>
      </c>
      <c r="C89" s="237">
        <f t="shared" si="5"/>
        <v>6172</v>
      </c>
      <c r="D89" s="237">
        <f t="shared" si="6"/>
        <v>410425</v>
      </c>
      <c r="F89" s="465">
        <f>SUMIF(LightingRates!$D$1375:$D$1446,"LGUM_"&amp;A89,LightingRates!$G$1375:$G$1446)</f>
        <v>0.22</v>
      </c>
      <c r="G89" s="471">
        <f t="shared" si="4"/>
        <v>1358</v>
      </c>
      <c r="H89" s="465"/>
      <c r="I89" s="465"/>
      <c r="L89" s="465"/>
      <c r="M89" s="465"/>
      <c r="N89" s="465"/>
      <c r="O89" s="465"/>
    </row>
    <row r="90" spans="1:15">
      <c r="A90" s="478">
        <v>318</v>
      </c>
      <c r="B90" s="238" t="s">
        <v>791</v>
      </c>
      <c r="C90" s="237">
        <f t="shared" si="5"/>
        <v>639</v>
      </c>
      <c r="D90" s="237">
        <f t="shared" si="6"/>
        <v>19631</v>
      </c>
      <c r="F90" s="465">
        <f>SUMIF(LightingRates!$D$1375:$D$1446,"LGUM_"&amp;A90,LightingRates!$G$1375:$G$1446)</f>
        <v>0.16</v>
      </c>
      <c r="G90" s="471">
        <f t="shared" si="4"/>
        <v>102</v>
      </c>
      <c r="H90" s="465"/>
      <c r="I90" s="465"/>
      <c r="L90" s="465"/>
      <c r="M90" s="465"/>
      <c r="N90" s="465"/>
      <c r="O90" s="465"/>
    </row>
    <row r="91" spans="1:15">
      <c r="A91" s="478">
        <v>347</v>
      </c>
      <c r="B91" s="238" t="s">
        <v>792</v>
      </c>
      <c r="C91" s="237">
        <f t="shared" ref="C91:C93" si="7">SUMIF(L_12MonthLights_3_Digit_Code,$A91,L_12MonLights_Count_Total)+SUMIF(L_12MonthLights_3_Digit_Code,$A91,L_12MonLights_Count_OutOfPeriod)</f>
        <v>0</v>
      </c>
      <c r="D91" s="237">
        <f t="shared" ref="D91:D93" si="8">SUMIF(L_12MonthLights_3_Digit_Code,$A91,L_12MonLights_KWH_Total)+SUMIF(L_12MonthLights_3_Digit_Code,$A91,L_12MonLights_KWH_OutOfPeriod)</f>
        <v>0</v>
      </c>
      <c r="F91" s="465">
        <f>SUMIF(LightingRates!$D$1375:$D$1446,"LGUM_"&amp;A91,LightingRates!$G$1375:$G$1446)</f>
        <v>0.22</v>
      </c>
      <c r="G91" s="471">
        <f t="shared" ref="G91:G117" si="9">ROUND(C91*F91,0)</f>
        <v>0</v>
      </c>
      <c r="H91" s="465"/>
      <c r="I91" s="465"/>
      <c r="L91" s="465"/>
      <c r="M91" s="465"/>
      <c r="N91" s="465"/>
      <c r="O91" s="465"/>
    </row>
    <row r="92" spans="1:15">
      <c r="A92" s="478">
        <v>348</v>
      </c>
      <c r="B92" s="238" t="s">
        <v>298</v>
      </c>
      <c r="C92" s="237">
        <f t="shared" si="7"/>
        <v>470</v>
      </c>
      <c r="D92" s="237">
        <f t="shared" si="8"/>
        <v>20784</v>
      </c>
      <c r="F92" s="465">
        <f>SUMIF(LightingRates!$D$1375:$D$1446,"LGUM_"&amp;A92,LightingRates!$G$1375:$G$1446)</f>
        <v>0.19</v>
      </c>
      <c r="G92" s="471">
        <f t="shared" si="9"/>
        <v>89</v>
      </c>
      <c r="H92" s="465"/>
      <c r="I92" s="465"/>
      <c r="L92" s="465"/>
      <c r="M92" s="465"/>
      <c r="N92" s="465"/>
      <c r="O92" s="465"/>
    </row>
    <row r="93" spans="1:15">
      <c r="A93" s="478">
        <v>349</v>
      </c>
      <c r="B93" s="238" t="s">
        <v>300</v>
      </c>
      <c r="C93" s="237">
        <f t="shared" si="7"/>
        <v>199</v>
      </c>
      <c r="D93" s="237">
        <f t="shared" si="8"/>
        <v>2945</v>
      </c>
      <c r="F93" s="465">
        <f>SUMIF(LightingRates!$D$1375:$D$1446,"LGUM_"&amp;A93,LightingRates!$G$1375:$G$1446)</f>
        <v>0.14000000000000001</v>
      </c>
      <c r="G93" s="471">
        <f t="shared" si="9"/>
        <v>28</v>
      </c>
      <c r="H93" s="465"/>
      <c r="I93" s="465"/>
      <c r="L93" s="465"/>
      <c r="M93" s="465"/>
      <c r="N93" s="465"/>
      <c r="O93" s="465"/>
    </row>
    <row r="94" spans="1:15">
      <c r="A94" s="478">
        <v>400</v>
      </c>
      <c r="B94" s="479" t="s">
        <v>726</v>
      </c>
      <c r="C94" s="237">
        <f t="shared" ref="C94:C116" si="10">SUMIF(L_12MonthLights_3_Digit_Code,$A94,L_12MonLights_Count_Total)+SUMIF(L_12MonthLights_3_Digit_Code,$A94,L_12MonLights_Count_OutOfPeriod)</f>
        <v>417</v>
      </c>
      <c r="D94" s="237">
        <f t="shared" ref="D94:D116" si="11">SUMIF(L_12MonthLights_3_Digit_Code,$A94,L_12MonLights_KWH_Total)+SUMIF(L_12MonthLights_3_Digit_Code,$A94,L_12MonLights_KWH_OutOfPeriod)</f>
        <v>3140</v>
      </c>
      <c r="F94" s="465">
        <f>SUMIF(LightingRates!$D$1375:$D$1446,"LGUM_"&amp;A94,LightingRates!$G$1375:$G$1446)</f>
        <v>0.37</v>
      </c>
      <c r="G94" s="471">
        <f t="shared" si="9"/>
        <v>154</v>
      </c>
      <c r="H94" s="465"/>
      <c r="I94" s="465"/>
      <c r="L94" s="465"/>
      <c r="M94" s="465"/>
      <c r="N94" s="465"/>
      <c r="O94" s="465"/>
    </row>
    <row r="95" spans="1:15">
      <c r="A95" s="478">
        <v>401</v>
      </c>
      <c r="B95" s="479" t="s">
        <v>738</v>
      </c>
      <c r="C95" s="237">
        <f t="shared" si="10"/>
        <v>48</v>
      </c>
      <c r="D95" s="237">
        <f t="shared" si="11"/>
        <v>712</v>
      </c>
      <c r="F95" s="465">
        <f>SUMIF(LightingRates!$D$1375:$D$1446,"LGUM_"&amp;A95,LightingRates!$G$1375:$G$1446)</f>
        <v>0.27</v>
      </c>
      <c r="G95" s="471">
        <f t="shared" si="9"/>
        <v>13</v>
      </c>
      <c r="H95" s="465"/>
      <c r="I95" s="465"/>
      <c r="L95" s="465"/>
      <c r="M95" s="465"/>
      <c r="N95" s="465"/>
      <c r="O95" s="465"/>
    </row>
    <row r="96" spans="1:15">
      <c r="A96" s="478">
        <v>412</v>
      </c>
      <c r="B96" s="238" t="s">
        <v>793</v>
      </c>
      <c r="C96" s="237">
        <f t="shared" si="10"/>
        <v>2654</v>
      </c>
      <c r="D96" s="237">
        <f t="shared" si="11"/>
        <v>33453</v>
      </c>
      <c r="F96" s="465">
        <f>SUMIF(LightingRates!$D$1375:$D$1446,"LGUM_"&amp;A96,LightingRates!$G$1375:$G$1446)</f>
        <v>0.26</v>
      </c>
      <c r="G96" s="471">
        <f t="shared" si="9"/>
        <v>690</v>
      </c>
      <c r="H96" s="465"/>
      <c r="I96" s="465"/>
      <c r="L96" s="465"/>
      <c r="M96" s="465"/>
      <c r="N96" s="465"/>
      <c r="O96" s="465"/>
    </row>
    <row r="97" spans="1:15">
      <c r="A97" s="478">
        <v>413</v>
      </c>
      <c r="B97" s="238" t="s">
        <v>794</v>
      </c>
      <c r="C97" s="237">
        <f t="shared" si="10"/>
        <v>24705</v>
      </c>
      <c r="D97" s="237">
        <f t="shared" si="11"/>
        <v>438159</v>
      </c>
      <c r="F97" s="465">
        <f>SUMIF(LightingRates!$D$1375:$D$1446,"LGUM_"&amp;A97,LightingRates!$G$1375:$G$1446)</f>
        <v>0.27</v>
      </c>
      <c r="G97" s="471">
        <f t="shared" si="9"/>
        <v>6670</v>
      </c>
      <c r="H97" s="465"/>
      <c r="I97" s="465"/>
      <c r="L97" s="465"/>
      <c r="M97" s="465"/>
      <c r="N97" s="465"/>
      <c r="O97" s="465"/>
    </row>
    <row r="98" spans="1:15">
      <c r="A98" s="478">
        <v>414</v>
      </c>
      <c r="B98" s="238" t="s">
        <v>795</v>
      </c>
      <c r="C98" s="237">
        <f t="shared" si="10"/>
        <v>0</v>
      </c>
      <c r="D98" s="237">
        <f t="shared" si="11"/>
        <v>0</v>
      </c>
      <c r="F98" s="465">
        <f>SUMIF(LightingRates!$D$1375:$D$1446,"LGUM_"&amp;A98,LightingRates!$G$1375:$G$1446)</f>
        <v>0</v>
      </c>
      <c r="G98" s="471">
        <f t="shared" si="9"/>
        <v>0</v>
      </c>
      <c r="H98" s="465"/>
      <c r="I98" s="465"/>
      <c r="L98" s="465"/>
      <c r="M98" s="465"/>
      <c r="N98" s="465"/>
      <c r="O98" s="465"/>
    </row>
    <row r="99" spans="1:15">
      <c r="A99" s="478">
        <v>415</v>
      </c>
      <c r="B99" s="238" t="s">
        <v>796</v>
      </c>
      <c r="C99" s="237">
        <f t="shared" si="10"/>
        <v>398</v>
      </c>
      <c r="D99" s="237">
        <f t="shared" si="11"/>
        <v>5379</v>
      </c>
      <c r="F99" s="465">
        <f>SUMIF(LightingRates!$D$1375:$D$1446,"LGUM_"&amp;A99,LightingRates!$G$1375:$G$1446)</f>
        <v>0.26</v>
      </c>
      <c r="G99" s="471">
        <f t="shared" si="9"/>
        <v>103</v>
      </c>
      <c r="H99" s="465"/>
      <c r="I99" s="465"/>
      <c r="L99" s="465"/>
      <c r="M99" s="465"/>
      <c r="N99" s="465"/>
      <c r="O99" s="465"/>
    </row>
    <row r="100" spans="1:15">
      <c r="A100" s="478">
        <v>416</v>
      </c>
      <c r="B100" s="238" t="s">
        <v>797</v>
      </c>
      <c r="C100" s="237">
        <f t="shared" si="10"/>
        <v>21723</v>
      </c>
      <c r="D100" s="237">
        <f t="shared" si="11"/>
        <v>388208</v>
      </c>
      <c r="F100" s="465">
        <f>SUMIF(LightingRates!$D$1375:$D$1446,"LGUM_"&amp;A100,LightingRates!$G$1375:$G$1446)</f>
        <v>0.27</v>
      </c>
      <c r="G100" s="471">
        <f t="shared" si="9"/>
        <v>5865</v>
      </c>
      <c r="H100" s="465"/>
      <c r="I100" s="465"/>
      <c r="L100" s="465"/>
      <c r="M100" s="465"/>
      <c r="N100" s="465"/>
      <c r="O100" s="465"/>
    </row>
    <row r="101" spans="1:15">
      <c r="A101" s="478">
        <v>417</v>
      </c>
      <c r="B101" s="238" t="s">
        <v>798</v>
      </c>
      <c r="C101" s="237">
        <f t="shared" si="10"/>
        <v>442</v>
      </c>
      <c r="D101" s="237">
        <f t="shared" si="11"/>
        <v>8074</v>
      </c>
      <c r="F101" s="465">
        <f>SUMIF(LightingRates!$D$1375:$D$1446,"LGUM_"&amp;A101,LightingRates!$G$1375:$G$1446)</f>
        <v>0.27</v>
      </c>
      <c r="G101" s="471">
        <f t="shared" si="9"/>
        <v>119</v>
      </c>
      <c r="H101" s="465"/>
      <c r="I101" s="465"/>
      <c r="L101" s="465"/>
      <c r="M101" s="465"/>
      <c r="N101" s="465"/>
      <c r="O101" s="465"/>
    </row>
    <row r="102" spans="1:15">
      <c r="A102" s="478">
        <v>418</v>
      </c>
      <c r="B102" s="238" t="s">
        <v>799</v>
      </c>
      <c r="C102" s="237">
        <f t="shared" si="10"/>
        <v>0</v>
      </c>
      <c r="D102" s="237">
        <f t="shared" si="11"/>
        <v>0</v>
      </c>
      <c r="F102" s="465">
        <f>SUMIF(LightingRates!$D$1375:$D$1446,"LGUM_"&amp;A102,LightingRates!$G$1375:$G$1446)</f>
        <v>0</v>
      </c>
      <c r="G102" s="471">
        <f t="shared" si="9"/>
        <v>0</v>
      </c>
      <c r="H102" s="465"/>
      <c r="I102" s="465"/>
      <c r="L102" s="465"/>
      <c r="M102" s="465"/>
      <c r="N102" s="465"/>
      <c r="O102" s="465"/>
    </row>
    <row r="103" spans="1:15">
      <c r="A103" s="478">
        <v>419</v>
      </c>
      <c r="B103" s="238" t="s">
        <v>800</v>
      </c>
      <c r="C103" s="237">
        <f t="shared" si="10"/>
        <v>1326</v>
      </c>
      <c r="D103" s="237">
        <f t="shared" si="11"/>
        <v>36535</v>
      </c>
      <c r="F103" s="465">
        <f>SUMIF(LightingRates!$D$1375:$D$1446,"LGUM_"&amp;A103,LightingRates!$G$1375:$G$1446)</f>
        <v>0.37</v>
      </c>
      <c r="G103" s="471">
        <f t="shared" si="9"/>
        <v>491</v>
      </c>
      <c r="H103" s="465"/>
      <c r="I103" s="465"/>
      <c r="L103" s="465"/>
      <c r="M103" s="465"/>
      <c r="N103" s="465"/>
      <c r="O103" s="465"/>
    </row>
    <row r="104" spans="1:15">
      <c r="A104" s="478">
        <v>420</v>
      </c>
      <c r="B104" s="238" t="s">
        <v>801</v>
      </c>
      <c r="C104" s="237">
        <f t="shared" si="10"/>
        <v>637</v>
      </c>
      <c r="D104" s="237">
        <f t="shared" si="11"/>
        <v>17852</v>
      </c>
      <c r="F104" s="465">
        <f>SUMIF(LightingRates!$D$1375:$D$1446,"LGUM_"&amp;A104,LightingRates!$G$1375:$G$1446)</f>
        <v>0.24</v>
      </c>
      <c r="G104" s="471">
        <f t="shared" si="9"/>
        <v>153</v>
      </c>
      <c r="H104" s="465"/>
      <c r="I104" s="465"/>
      <c r="L104" s="465"/>
      <c r="M104" s="465"/>
      <c r="N104" s="465"/>
      <c r="O104" s="465"/>
    </row>
    <row r="105" spans="1:15">
      <c r="A105" s="478">
        <v>421</v>
      </c>
      <c r="B105" s="238" t="s">
        <v>802</v>
      </c>
      <c r="C105" s="237">
        <f t="shared" si="10"/>
        <v>2114</v>
      </c>
      <c r="D105" s="237">
        <f t="shared" si="11"/>
        <v>94099</v>
      </c>
      <c r="F105" s="465">
        <f>SUMIF(LightingRates!$D$1375:$D$1446,"LGUM_"&amp;A105,LightingRates!$G$1375:$G$1446)</f>
        <v>0.27</v>
      </c>
      <c r="G105" s="471">
        <f t="shared" si="9"/>
        <v>571</v>
      </c>
      <c r="H105" s="465"/>
      <c r="I105" s="465"/>
      <c r="L105" s="465"/>
      <c r="M105" s="465"/>
      <c r="N105" s="465"/>
      <c r="O105" s="465"/>
    </row>
    <row r="106" spans="1:15">
      <c r="A106" s="478">
        <v>422</v>
      </c>
      <c r="B106" s="238" t="s">
        <v>803</v>
      </c>
      <c r="C106" s="237">
        <f t="shared" si="10"/>
        <v>4470</v>
      </c>
      <c r="D106" s="237">
        <f t="shared" si="11"/>
        <v>332836</v>
      </c>
      <c r="F106" s="465">
        <f>SUMIF(LightingRates!$D$1375:$D$1446,"LGUM_"&amp;A106,LightingRates!$G$1375:$G$1446)</f>
        <v>0.28999999999999998</v>
      </c>
      <c r="G106" s="471">
        <f t="shared" si="9"/>
        <v>1296</v>
      </c>
      <c r="H106" s="465"/>
      <c r="I106" s="465"/>
      <c r="L106" s="465"/>
      <c r="M106" s="465"/>
      <c r="N106" s="465"/>
      <c r="O106" s="465"/>
    </row>
    <row r="107" spans="1:15">
      <c r="A107" s="478">
        <v>423</v>
      </c>
      <c r="B107" s="238" t="s">
        <v>804</v>
      </c>
      <c r="C107" s="237">
        <f t="shared" si="10"/>
        <v>221</v>
      </c>
      <c r="D107" s="237">
        <f t="shared" si="11"/>
        <v>6270</v>
      </c>
      <c r="F107" s="465">
        <f>SUMIF(LightingRates!$D$1375:$D$1446,"LGUM_"&amp;A107,LightingRates!$G$1375:$G$1446)</f>
        <v>0.24</v>
      </c>
      <c r="G107" s="471">
        <f t="shared" si="9"/>
        <v>53</v>
      </c>
      <c r="H107" s="465"/>
      <c r="I107" s="465"/>
      <c r="L107" s="465"/>
      <c r="M107" s="465"/>
      <c r="N107" s="465"/>
      <c r="O107" s="465"/>
    </row>
    <row r="108" spans="1:15">
      <c r="A108" s="478">
        <v>424</v>
      </c>
      <c r="B108" s="238" t="s">
        <v>805</v>
      </c>
      <c r="C108" s="237">
        <f t="shared" si="10"/>
        <v>4870</v>
      </c>
      <c r="D108" s="237">
        <f t="shared" si="11"/>
        <v>230085</v>
      </c>
      <c r="F108" s="465">
        <f>SUMIF(LightingRates!$D$1375:$D$1446,"LGUM_"&amp;A108,LightingRates!$G$1375:$G$1446)</f>
        <v>0.27</v>
      </c>
      <c r="G108" s="471">
        <f t="shared" si="9"/>
        <v>1315</v>
      </c>
      <c r="H108" s="465"/>
      <c r="I108" s="465"/>
      <c r="L108" s="465"/>
      <c r="M108" s="465"/>
      <c r="N108" s="465"/>
      <c r="O108" s="465"/>
    </row>
    <row r="109" spans="1:15">
      <c r="A109" s="478">
        <v>425</v>
      </c>
      <c r="B109" s="238" t="s">
        <v>806</v>
      </c>
      <c r="C109" s="237">
        <f t="shared" si="10"/>
        <v>400</v>
      </c>
      <c r="D109" s="237">
        <f t="shared" si="11"/>
        <v>29093</v>
      </c>
      <c r="F109" s="465">
        <f>SUMIF(LightingRates!$D$1375:$D$1446,"LGUM_"&amp;A109,LightingRates!$G$1375:$G$1446)</f>
        <v>0.28999999999999998</v>
      </c>
      <c r="G109" s="471">
        <f t="shared" si="9"/>
        <v>116</v>
      </c>
      <c r="H109" s="465"/>
      <c r="I109" s="465"/>
      <c r="L109" s="465"/>
      <c r="M109" s="465"/>
      <c r="N109" s="465"/>
      <c r="O109" s="465"/>
    </row>
    <row r="110" spans="1:15">
      <c r="A110" s="478">
        <v>426</v>
      </c>
      <c r="B110" s="238" t="s">
        <v>807</v>
      </c>
      <c r="C110" s="237">
        <f t="shared" si="10"/>
        <v>482</v>
      </c>
      <c r="D110" s="237">
        <f t="shared" si="11"/>
        <v>6079</v>
      </c>
      <c r="F110" s="465">
        <f>SUMIF(LightingRates!$D$1375:$D$1446,"LGUM_"&amp;A110,LightingRates!$G$1375:$G$1446)</f>
        <v>0.26</v>
      </c>
      <c r="G110" s="471">
        <f t="shared" si="9"/>
        <v>125</v>
      </c>
      <c r="H110" s="465"/>
      <c r="I110" s="465"/>
      <c r="L110" s="465"/>
      <c r="M110" s="465"/>
      <c r="N110" s="465"/>
      <c r="O110" s="465"/>
    </row>
    <row r="111" spans="1:15">
      <c r="A111" s="478">
        <v>427</v>
      </c>
      <c r="B111" s="238" t="s">
        <v>808</v>
      </c>
      <c r="C111" s="237">
        <f t="shared" si="10"/>
        <v>625</v>
      </c>
      <c r="D111" s="237">
        <f t="shared" si="11"/>
        <v>7832</v>
      </c>
      <c r="F111" s="465">
        <f>SUMIF(LightingRates!$D$1375:$D$1446,"LGUM_"&amp;A111,LightingRates!$G$1375:$G$1446)</f>
        <v>0.26</v>
      </c>
      <c r="G111" s="471">
        <f t="shared" si="9"/>
        <v>163</v>
      </c>
      <c r="H111" s="465"/>
      <c r="I111" s="465"/>
      <c r="L111" s="465"/>
      <c r="M111" s="465"/>
      <c r="N111" s="465"/>
      <c r="O111" s="465"/>
    </row>
    <row r="112" spans="1:15">
      <c r="A112" s="478">
        <v>428</v>
      </c>
      <c r="B112" s="238" t="s">
        <v>809</v>
      </c>
      <c r="C112" s="237">
        <f t="shared" si="10"/>
        <v>2533</v>
      </c>
      <c r="D112" s="237">
        <f t="shared" si="11"/>
        <v>47707</v>
      </c>
      <c r="F112" s="465">
        <f>SUMIF(LightingRates!$D$1375:$D$1446,"LGUM_"&amp;A112,LightingRates!$G$1375:$G$1446)</f>
        <v>0.27</v>
      </c>
      <c r="G112" s="471">
        <f t="shared" si="9"/>
        <v>684</v>
      </c>
      <c r="H112" s="465"/>
      <c r="I112" s="465"/>
      <c r="L112" s="465"/>
      <c r="M112" s="465"/>
      <c r="N112" s="465"/>
      <c r="O112" s="465"/>
    </row>
    <row r="113" spans="1:15">
      <c r="A113" s="478">
        <v>429</v>
      </c>
      <c r="B113" s="238" t="s">
        <v>810</v>
      </c>
      <c r="C113" s="237">
        <f t="shared" si="10"/>
        <v>2306</v>
      </c>
      <c r="D113" s="237">
        <f t="shared" si="11"/>
        <v>40613</v>
      </c>
      <c r="F113" s="465">
        <f>SUMIF(LightingRates!$D$1375:$D$1446,"LGUM_"&amp;A113,LightingRates!$G$1375:$G$1446)</f>
        <v>0.27</v>
      </c>
      <c r="G113" s="471">
        <f t="shared" si="9"/>
        <v>623</v>
      </c>
      <c r="H113" s="465"/>
      <c r="I113" s="465"/>
      <c r="L113" s="465"/>
      <c r="M113" s="465"/>
      <c r="N113" s="465"/>
      <c r="O113" s="465"/>
    </row>
    <row r="114" spans="1:15">
      <c r="A114" s="478">
        <v>430</v>
      </c>
      <c r="B114" s="238" t="s">
        <v>811</v>
      </c>
      <c r="C114" s="237">
        <f t="shared" si="10"/>
        <v>155</v>
      </c>
      <c r="D114" s="237">
        <f t="shared" si="11"/>
        <v>1873</v>
      </c>
      <c r="F114" s="465">
        <f>SUMIF(LightingRates!$D$1375:$D$1446,"LGUM_"&amp;A114,LightingRates!$G$1375:$G$1446)</f>
        <v>0.26</v>
      </c>
      <c r="G114" s="471">
        <f t="shared" si="9"/>
        <v>40</v>
      </c>
      <c r="H114" s="465"/>
      <c r="I114" s="465"/>
      <c r="L114" s="465"/>
      <c r="M114" s="465"/>
      <c r="N114" s="465"/>
      <c r="O114" s="465"/>
    </row>
    <row r="115" spans="1:15">
      <c r="A115" s="478">
        <v>431</v>
      </c>
      <c r="B115" s="238" t="s">
        <v>812</v>
      </c>
      <c r="C115" s="237">
        <f t="shared" si="10"/>
        <v>530</v>
      </c>
      <c r="D115" s="237">
        <f t="shared" si="11"/>
        <v>6670</v>
      </c>
      <c r="F115" s="465">
        <f>SUMIF(LightingRates!$D$1375:$D$1446,"LGUM_"&amp;A115,LightingRates!$G$1375:$G$1446)</f>
        <v>0.26</v>
      </c>
      <c r="G115" s="471">
        <f t="shared" si="9"/>
        <v>138</v>
      </c>
      <c r="H115" s="465"/>
      <c r="I115" s="465"/>
      <c r="L115" s="465"/>
      <c r="M115" s="465"/>
      <c r="N115" s="465"/>
      <c r="O115" s="465"/>
    </row>
    <row r="116" spans="1:15">
      <c r="A116" s="478">
        <v>432</v>
      </c>
      <c r="B116" s="238" t="s">
        <v>813</v>
      </c>
      <c r="C116" s="237">
        <f t="shared" si="10"/>
        <v>120</v>
      </c>
      <c r="D116" s="237">
        <f t="shared" si="11"/>
        <v>2100</v>
      </c>
      <c r="F116" s="465">
        <f>SUMIF(LightingRates!$D$1375:$D$1446,"LGUM_"&amp;A116,LightingRates!$G$1375:$G$1446)</f>
        <v>0.27</v>
      </c>
      <c r="G116" s="471">
        <f t="shared" si="9"/>
        <v>32</v>
      </c>
      <c r="H116" s="465"/>
      <c r="I116" s="465"/>
      <c r="L116" s="465"/>
      <c r="M116" s="465"/>
      <c r="N116" s="465"/>
      <c r="O116" s="465"/>
    </row>
    <row r="117" spans="1:15">
      <c r="A117" s="478">
        <v>433</v>
      </c>
      <c r="B117" s="238" t="s">
        <v>814</v>
      </c>
      <c r="C117" s="237">
        <f t="shared" ref="C117:C140" si="12">SUMIF(L_12MonthLights_3_Digit_Code,$A117,L_12MonLights_Count_Total)+SUMIF(L_12MonthLights_3_Digit_Code,$A117,L_12MonLights_Count_OutOfPeriod)</f>
        <v>2285</v>
      </c>
      <c r="D117" s="237">
        <f t="shared" ref="D117:D140" si="13">SUMIF(L_12MonthLights_3_Digit_Code,$A117,L_12MonLights_KWH_Total)+SUMIF(L_12MonthLights_3_Digit_Code,$A117,L_12MonLights_KWH_OutOfPeriod)</f>
        <v>39948</v>
      </c>
      <c r="F117" s="465">
        <f>SUMIF(LightingRates!$D$1375:$D$1446,"LGUM_"&amp;A117,LightingRates!$G$1375:$G$1446)</f>
        <v>0.27</v>
      </c>
      <c r="G117" s="471">
        <f t="shared" si="9"/>
        <v>617</v>
      </c>
      <c r="H117" s="465"/>
      <c r="I117" s="465"/>
      <c r="L117" s="465"/>
      <c r="M117" s="465"/>
      <c r="N117" s="465"/>
      <c r="O117" s="465"/>
    </row>
    <row r="118" spans="1:15">
      <c r="A118" s="478">
        <v>439</v>
      </c>
      <c r="B118" s="358" t="s">
        <v>700</v>
      </c>
      <c r="C118" s="237">
        <f t="shared" si="12"/>
        <v>0</v>
      </c>
      <c r="D118" s="237">
        <f t="shared" si="13"/>
        <v>0</v>
      </c>
      <c r="F118" s="465">
        <f>SUMIF(LightingRates!$D$1375:$D$1446,"LGUM_"&amp;A118,LightingRates!$G$1375:$G$1446)</f>
        <v>0.24</v>
      </c>
      <c r="G118" s="471">
        <f t="shared" ref="G118:G140" si="14">ROUND(C118*F118,0)</f>
        <v>0</v>
      </c>
      <c r="H118" s="465"/>
      <c r="I118" s="465"/>
      <c r="L118" s="465"/>
      <c r="M118" s="465"/>
      <c r="N118" s="465"/>
      <c r="O118" s="465"/>
    </row>
    <row r="119" spans="1:15">
      <c r="A119" s="478">
        <v>440</v>
      </c>
      <c r="B119" s="358" t="s">
        <v>701</v>
      </c>
      <c r="C119" s="237">
        <f t="shared" si="12"/>
        <v>24</v>
      </c>
      <c r="D119" s="237">
        <f t="shared" si="13"/>
        <v>1037</v>
      </c>
      <c r="F119" s="465">
        <f>SUMIF(LightingRates!$D$1375:$D$1446,"LGUM_"&amp;A119,LightingRates!$G$1375:$G$1446)</f>
        <v>0.27</v>
      </c>
      <c r="G119" s="471">
        <f t="shared" si="14"/>
        <v>6</v>
      </c>
      <c r="H119" s="465"/>
      <c r="I119" s="465"/>
      <c r="L119" s="465"/>
      <c r="M119" s="465"/>
      <c r="N119" s="465"/>
      <c r="O119" s="465"/>
    </row>
    <row r="120" spans="1:15">
      <c r="A120" s="478">
        <v>441</v>
      </c>
      <c r="B120" s="358" t="s">
        <v>742</v>
      </c>
      <c r="C120" s="237">
        <f t="shared" si="12"/>
        <v>173</v>
      </c>
      <c r="D120" s="237">
        <f t="shared" si="13"/>
        <v>13239</v>
      </c>
      <c r="F120" s="465">
        <f>SUMIF(LightingRates!$D$1375:$D$1446,"LGUM_"&amp;A120,LightingRates!$G$1375:$G$1446)</f>
        <v>0.28999999999999998</v>
      </c>
      <c r="G120" s="471">
        <f t="shared" si="14"/>
        <v>50</v>
      </c>
      <c r="H120" s="465"/>
      <c r="I120" s="465"/>
      <c r="L120" s="465"/>
      <c r="M120" s="465"/>
      <c r="N120" s="465"/>
      <c r="O120" s="465"/>
    </row>
    <row r="121" spans="1:15">
      <c r="A121" s="478">
        <v>452</v>
      </c>
      <c r="B121" s="238" t="s">
        <v>815</v>
      </c>
      <c r="C121" s="237">
        <f t="shared" si="12"/>
        <v>76130</v>
      </c>
      <c r="D121" s="237">
        <f t="shared" si="13"/>
        <v>2080730</v>
      </c>
      <c r="F121" s="465">
        <f>SUMIF(LightingRates!$D$1375:$D$1446,"LGUM_"&amp;A121,LightingRates!$G$1375:$G$1446)</f>
        <v>0.24</v>
      </c>
      <c r="G121" s="471">
        <f t="shared" si="14"/>
        <v>18271</v>
      </c>
      <c r="H121" s="465"/>
      <c r="I121" s="465"/>
      <c r="L121" s="465"/>
      <c r="M121" s="465"/>
      <c r="N121" s="465"/>
      <c r="O121" s="465"/>
    </row>
    <row r="122" spans="1:15">
      <c r="A122" s="478">
        <v>453</v>
      </c>
      <c r="B122" s="238" t="s">
        <v>816</v>
      </c>
      <c r="C122" s="237">
        <f t="shared" si="12"/>
        <v>107150</v>
      </c>
      <c r="D122" s="237">
        <f t="shared" si="13"/>
        <v>4783999</v>
      </c>
      <c r="F122" s="465">
        <f>SUMIF(LightingRates!$D$1375:$D$1446,"LGUM_"&amp;A122,LightingRates!$G$1375:$G$1446)</f>
        <v>0.27</v>
      </c>
      <c r="G122" s="471">
        <f t="shared" si="14"/>
        <v>28931</v>
      </c>
      <c r="H122" s="465"/>
      <c r="I122" s="465"/>
      <c r="L122" s="465"/>
      <c r="M122" s="465"/>
      <c r="N122" s="465"/>
      <c r="O122" s="465"/>
    </row>
    <row r="123" spans="1:15">
      <c r="A123" s="478">
        <v>454</v>
      </c>
      <c r="B123" s="238" t="s">
        <v>817</v>
      </c>
      <c r="C123" s="237">
        <f t="shared" si="12"/>
        <v>66091</v>
      </c>
      <c r="D123" s="237">
        <f t="shared" si="13"/>
        <v>4628145</v>
      </c>
      <c r="F123" s="465">
        <f>SUMIF(LightingRates!$D$1375:$D$1446,"LGUM_"&amp;A123,LightingRates!$G$1375:$G$1446)</f>
        <v>0.28999999999999998</v>
      </c>
      <c r="G123" s="471">
        <f t="shared" si="14"/>
        <v>19166</v>
      </c>
      <c r="H123" s="465"/>
      <c r="I123" s="465"/>
      <c r="L123" s="465"/>
      <c r="M123" s="465"/>
      <c r="N123" s="465"/>
      <c r="O123" s="465"/>
    </row>
    <row r="124" spans="1:15">
      <c r="A124" s="478">
        <v>455</v>
      </c>
      <c r="B124" s="238" t="s">
        <v>818</v>
      </c>
      <c r="C124" s="237">
        <f t="shared" si="12"/>
        <v>4834</v>
      </c>
      <c r="D124" s="237">
        <f t="shared" si="13"/>
        <v>132409</v>
      </c>
      <c r="F124" s="465">
        <f>SUMIF(LightingRates!$D$1375:$D$1446,"LGUM_"&amp;A124,LightingRates!$G$1375:$G$1446)</f>
        <v>0.24</v>
      </c>
      <c r="G124" s="471">
        <f t="shared" si="14"/>
        <v>1160</v>
      </c>
      <c r="H124" s="465"/>
      <c r="I124" s="465"/>
      <c r="L124" s="465"/>
      <c r="M124" s="465"/>
      <c r="N124" s="465"/>
      <c r="O124" s="465"/>
    </row>
    <row r="125" spans="1:15">
      <c r="A125" s="478">
        <v>456</v>
      </c>
      <c r="B125" s="238" t="s">
        <v>819</v>
      </c>
      <c r="C125" s="237">
        <f t="shared" si="12"/>
        <v>153726</v>
      </c>
      <c r="D125" s="237">
        <f t="shared" si="13"/>
        <v>10958913</v>
      </c>
      <c r="F125" s="465">
        <f>SUMIF(LightingRates!$D$1375:$D$1446,"LGUM_"&amp;A125,LightingRates!$G$1375:$G$1446)</f>
        <v>0.28999999999999998</v>
      </c>
      <c r="G125" s="471">
        <f t="shared" si="14"/>
        <v>44581</v>
      </c>
      <c r="H125" s="465"/>
      <c r="I125" s="465"/>
      <c r="L125" s="465"/>
      <c r="M125" s="465"/>
      <c r="N125" s="465"/>
      <c r="O125" s="465"/>
    </row>
    <row r="126" spans="1:15">
      <c r="A126" s="478">
        <v>457</v>
      </c>
      <c r="B126" s="238" t="s">
        <v>820</v>
      </c>
      <c r="C126" s="237">
        <f t="shared" si="12"/>
        <v>39140</v>
      </c>
      <c r="D126" s="237">
        <f t="shared" si="13"/>
        <v>699583</v>
      </c>
      <c r="F126" s="465">
        <f>SUMIF(LightingRates!$D$1375:$D$1446,"LGUM_"&amp;A126,LightingRates!$G$1375:$G$1446)</f>
        <v>0.27</v>
      </c>
      <c r="G126" s="471">
        <f t="shared" si="14"/>
        <v>10568</v>
      </c>
      <c r="H126" s="465"/>
      <c r="I126" s="465"/>
      <c r="L126" s="465"/>
      <c r="M126" s="465"/>
      <c r="N126" s="465"/>
      <c r="O126" s="465"/>
    </row>
    <row r="127" spans="1:15">
      <c r="A127" s="478">
        <v>458</v>
      </c>
      <c r="B127" s="238" t="s">
        <v>821</v>
      </c>
      <c r="C127" s="237">
        <f t="shared" si="12"/>
        <v>59</v>
      </c>
      <c r="D127" s="237">
        <f t="shared" si="13"/>
        <v>1847</v>
      </c>
      <c r="F127" s="465">
        <f>SUMIF(LightingRates!$D$1375:$D$1446,"LGUM_"&amp;A127,LightingRates!$G$1375:$G$1446)</f>
        <v>0.16</v>
      </c>
      <c r="G127" s="471">
        <f t="shared" si="14"/>
        <v>9</v>
      </c>
      <c r="H127" s="465"/>
      <c r="I127" s="465"/>
      <c r="L127" s="465"/>
      <c r="M127" s="465"/>
      <c r="N127" s="465"/>
      <c r="O127" s="465"/>
    </row>
    <row r="128" spans="1:15">
      <c r="A128" s="478">
        <v>470</v>
      </c>
      <c r="B128" s="480" t="s">
        <v>822</v>
      </c>
      <c r="C128" s="237">
        <f t="shared" si="12"/>
        <v>251</v>
      </c>
      <c r="D128" s="237">
        <f t="shared" si="13"/>
        <v>6199</v>
      </c>
      <c r="F128" s="465">
        <f>SUMIF(LightingRates!$D$1375:$D$1446,"LGUM_"&amp;A128,LightingRates!$G$1375:$G$1446)</f>
        <v>0.27</v>
      </c>
      <c r="G128" s="471">
        <f t="shared" si="14"/>
        <v>68</v>
      </c>
      <c r="H128" s="465"/>
      <c r="I128" s="465"/>
      <c r="L128" s="465"/>
      <c r="M128" s="465"/>
      <c r="N128" s="465"/>
      <c r="O128" s="465"/>
    </row>
    <row r="129" spans="1:15">
      <c r="A129" s="478">
        <v>471</v>
      </c>
      <c r="B129" s="480" t="s">
        <v>823</v>
      </c>
      <c r="C129" s="237">
        <f t="shared" si="12"/>
        <v>24</v>
      </c>
      <c r="D129" s="237">
        <f t="shared" si="13"/>
        <v>538</v>
      </c>
      <c r="F129" s="465">
        <f>SUMIF(LightingRates!$D$1375:$D$1446,"LGUM_"&amp;A129,LightingRates!$G$1375:$G$1446)</f>
        <v>0.27</v>
      </c>
      <c r="G129" s="471">
        <f t="shared" si="14"/>
        <v>6</v>
      </c>
      <c r="H129" s="465"/>
      <c r="I129" s="465"/>
      <c r="L129" s="465"/>
      <c r="M129" s="465"/>
      <c r="N129" s="465"/>
      <c r="O129" s="465"/>
    </row>
    <row r="130" spans="1:15">
      <c r="A130" s="478">
        <v>473</v>
      </c>
      <c r="B130" s="480" t="s">
        <v>824</v>
      </c>
      <c r="C130" s="237">
        <f t="shared" si="12"/>
        <v>4185</v>
      </c>
      <c r="D130" s="237">
        <f t="shared" si="13"/>
        <v>263019</v>
      </c>
      <c r="F130" s="465">
        <f>SUMIF(LightingRates!$D$1375:$D$1446,"LGUM_"&amp;A130,LightingRates!$G$1375:$G$1446)</f>
        <v>0.3</v>
      </c>
      <c r="G130" s="471">
        <f t="shared" si="14"/>
        <v>1256</v>
      </c>
      <c r="H130" s="465"/>
      <c r="I130" s="465"/>
      <c r="L130" s="465"/>
      <c r="M130" s="465"/>
      <c r="N130" s="465"/>
      <c r="O130" s="465"/>
    </row>
    <row r="131" spans="1:15">
      <c r="A131" s="478">
        <v>474</v>
      </c>
      <c r="B131" s="480" t="s">
        <v>825</v>
      </c>
      <c r="C131" s="237">
        <f t="shared" si="12"/>
        <v>636</v>
      </c>
      <c r="D131" s="237">
        <f t="shared" si="13"/>
        <v>33478</v>
      </c>
      <c r="F131" s="465">
        <f>SUMIF(LightingRates!$D$1375:$D$1446,"LGUM_"&amp;A131,LightingRates!$G$1375:$G$1446)</f>
        <v>0.3</v>
      </c>
      <c r="G131" s="471">
        <f t="shared" si="14"/>
        <v>191</v>
      </c>
      <c r="H131" s="465"/>
      <c r="I131" s="465"/>
      <c r="L131" s="465"/>
      <c r="M131" s="465"/>
      <c r="N131" s="465"/>
      <c r="O131" s="465"/>
    </row>
    <row r="132" spans="1:15">
      <c r="A132" s="478">
        <v>475</v>
      </c>
      <c r="B132" s="480" t="s">
        <v>826</v>
      </c>
      <c r="C132" s="237">
        <f t="shared" si="12"/>
        <v>24</v>
      </c>
      <c r="D132" s="237">
        <f t="shared" si="13"/>
        <v>1224</v>
      </c>
      <c r="F132" s="465">
        <f>SUMIF(LightingRates!$D$1375:$D$1446,"LGUM_"&amp;A132,LightingRates!$G$1375:$G$1446)</f>
        <v>0.3</v>
      </c>
      <c r="G132" s="471">
        <f t="shared" si="14"/>
        <v>7</v>
      </c>
      <c r="H132" s="465"/>
      <c r="I132" s="465"/>
      <c r="L132" s="465"/>
      <c r="M132" s="465"/>
      <c r="N132" s="465"/>
      <c r="O132" s="465"/>
    </row>
    <row r="133" spans="1:15">
      <c r="A133" s="478">
        <v>476</v>
      </c>
      <c r="B133" s="480" t="s">
        <v>827</v>
      </c>
      <c r="C133" s="237">
        <f t="shared" si="12"/>
        <v>4521</v>
      </c>
      <c r="D133" s="237">
        <f t="shared" si="13"/>
        <v>789009</v>
      </c>
      <c r="F133" s="465">
        <f>SUMIF(LightingRates!$D$1375:$D$1446,"LGUM_"&amp;A133,LightingRates!$G$1375:$G$1446)</f>
        <v>0.61</v>
      </c>
      <c r="G133" s="471">
        <f t="shared" si="14"/>
        <v>2758</v>
      </c>
      <c r="H133" s="465"/>
      <c r="I133" s="465"/>
      <c r="L133" s="465"/>
      <c r="M133" s="465"/>
      <c r="N133" s="465"/>
      <c r="O133" s="465"/>
    </row>
    <row r="134" spans="1:15">
      <c r="A134" s="478">
        <v>477</v>
      </c>
      <c r="B134" s="480" t="s">
        <v>828</v>
      </c>
      <c r="C134" s="237">
        <f t="shared" si="12"/>
        <v>714</v>
      </c>
      <c r="D134" s="237">
        <f t="shared" si="13"/>
        <v>116573</v>
      </c>
      <c r="F134" s="465">
        <f>SUMIF(LightingRates!$D$1375:$D$1446,"LGUM_"&amp;A134,LightingRates!$G$1375:$G$1446)</f>
        <v>0.61</v>
      </c>
      <c r="G134" s="471">
        <f t="shared" si="14"/>
        <v>436</v>
      </c>
      <c r="H134" s="465"/>
      <c r="I134" s="465"/>
      <c r="L134" s="465"/>
      <c r="M134" s="465"/>
      <c r="N134" s="465"/>
      <c r="O134" s="465"/>
    </row>
    <row r="135" spans="1:15">
      <c r="A135" s="478">
        <v>479</v>
      </c>
      <c r="B135" s="480" t="s">
        <v>829</v>
      </c>
      <c r="C135" s="237">
        <f t="shared" si="12"/>
        <v>0</v>
      </c>
      <c r="D135" s="237">
        <f t="shared" si="13"/>
        <v>0</v>
      </c>
      <c r="F135" s="465">
        <f>SUMIF(LightingRates!$D$1375:$D$1446,"LGUM_"&amp;A135,LightingRates!$G$1375:$G$1446)</f>
        <v>0.27</v>
      </c>
      <c r="G135" s="471">
        <f t="shared" si="14"/>
        <v>0</v>
      </c>
      <c r="H135" s="465"/>
      <c r="I135" s="465"/>
      <c r="L135" s="465"/>
      <c r="M135" s="465"/>
      <c r="N135" s="465"/>
      <c r="O135" s="465"/>
    </row>
    <row r="136" spans="1:15">
      <c r="A136" s="478">
        <v>480</v>
      </c>
      <c r="B136" s="480" t="s">
        <v>830</v>
      </c>
      <c r="C136" s="237">
        <f t="shared" si="12"/>
        <v>211</v>
      </c>
      <c r="D136" s="237">
        <f t="shared" si="13"/>
        <v>4644</v>
      </c>
      <c r="F136" s="465">
        <f>SUMIF(LightingRates!$D$1375:$D$1446,"LGUM_"&amp;A136,LightingRates!$G$1375:$G$1446)</f>
        <v>0.27</v>
      </c>
      <c r="G136" s="471">
        <f t="shared" si="14"/>
        <v>57</v>
      </c>
      <c r="H136" s="465"/>
      <c r="I136" s="465"/>
      <c r="L136" s="465"/>
      <c r="M136" s="465"/>
      <c r="N136" s="465"/>
      <c r="O136" s="465"/>
    </row>
    <row r="137" spans="1:15">
      <c r="A137" s="478">
        <v>481</v>
      </c>
      <c r="B137" s="480" t="s">
        <v>831</v>
      </c>
      <c r="C137" s="237">
        <f t="shared" si="12"/>
        <v>48</v>
      </c>
      <c r="D137" s="237">
        <f t="shared" si="13"/>
        <v>2522</v>
      </c>
      <c r="F137" s="465">
        <f>SUMIF(LightingRates!$D$1375:$D$1446,"LGUM_"&amp;A137,LightingRates!$G$1375:$G$1446)</f>
        <v>0.3</v>
      </c>
      <c r="G137" s="471">
        <f t="shared" si="14"/>
        <v>14</v>
      </c>
      <c r="H137" s="465"/>
      <c r="I137" s="465"/>
      <c r="L137" s="465"/>
      <c r="M137" s="465"/>
      <c r="N137" s="465"/>
      <c r="O137" s="465"/>
    </row>
    <row r="138" spans="1:15">
      <c r="A138" s="478">
        <v>482</v>
      </c>
      <c r="B138" s="480" t="s">
        <v>832</v>
      </c>
      <c r="C138" s="237">
        <f t="shared" si="12"/>
        <v>488</v>
      </c>
      <c r="D138" s="237">
        <f t="shared" si="13"/>
        <v>26630</v>
      </c>
      <c r="F138" s="465">
        <f>SUMIF(LightingRates!$D$1375:$D$1446,"LGUM_"&amp;A138,LightingRates!$G$1375:$G$1446)</f>
        <v>0.3</v>
      </c>
      <c r="G138" s="471">
        <f t="shared" si="14"/>
        <v>146</v>
      </c>
      <c r="H138" s="465"/>
      <c r="I138" s="465"/>
      <c r="L138" s="465"/>
      <c r="M138" s="465"/>
      <c r="N138" s="465"/>
      <c r="O138" s="465"/>
    </row>
    <row r="139" spans="1:15">
      <c r="A139" s="478">
        <v>483</v>
      </c>
      <c r="B139" s="480" t="s">
        <v>833</v>
      </c>
      <c r="C139" s="237">
        <f t="shared" si="12"/>
        <v>24</v>
      </c>
      <c r="D139" s="237">
        <f t="shared" si="13"/>
        <v>3853</v>
      </c>
      <c r="F139" s="465">
        <f>SUMIF(LightingRates!$D$1375:$D$1446,"LGUM_"&amp;A139,LightingRates!$G$1375:$G$1446)</f>
        <v>0.61</v>
      </c>
      <c r="G139" s="471">
        <f t="shared" si="14"/>
        <v>15</v>
      </c>
      <c r="H139" s="465"/>
      <c r="I139" s="465"/>
      <c r="L139" s="465"/>
      <c r="M139" s="465"/>
      <c r="N139" s="465"/>
      <c r="O139" s="465"/>
    </row>
    <row r="140" spans="1:15" ht="25.5">
      <c r="A140" s="478">
        <v>484</v>
      </c>
      <c r="B140" s="480" t="s">
        <v>834</v>
      </c>
      <c r="C140" s="237">
        <f t="shared" si="12"/>
        <v>156</v>
      </c>
      <c r="D140" s="237">
        <f t="shared" si="13"/>
        <v>24968</v>
      </c>
      <c r="F140" s="465">
        <f>SUMIF(LightingRates!$D$1375:$D$1446,"LGUM_"&amp;A140,LightingRates!$G$1375:$G$1446)</f>
        <v>0.61</v>
      </c>
      <c r="G140" s="471">
        <f t="shared" si="14"/>
        <v>95</v>
      </c>
      <c r="H140" s="465"/>
      <c r="I140" s="465"/>
      <c r="L140" s="465"/>
      <c r="M140" s="465"/>
      <c r="N140" s="465"/>
      <c r="O140" s="465"/>
    </row>
    <row r="141" spans="1:15">
      <c r="A141" s="481" t="s">
        <v>843</v>
      </c>
      <c r="B141" s="237" t="s">
        <v>1322</v>
      </c>
    </row>
    <row r="142" spans="1:15">
      <c r="G142" s="237">
        <f>SUM(G7,G12,G19,G24,G31,G38,G45,G52,G58,G62:G140)</f>
        <v>14228991</v>
      </c>
    </row>
    <row r="143" spans="1:15">
      <c r="D143" s="482"/>
      <c r="E143" s="482"/>
      <c r="H143" s="465"/>
      <c r="I143" s="465"/>
      <c r="L143" s="465"/>
      <c r="M143" s="465"/>
    </row>
    <row r="144" spans="1:15">
      <c r="H144" s="483"/>
    </row>
    <row r="145" spans="1:9">
      <c r="H145" s="484"/>
      <c r="I145" s="465"/>
    </row>
    <row r="148" spans="1:9">
      <c r="A148" s="237"/>
      <c r="F148" s="340"/>
    </row>
    <row r="149" spans="1:9">
      <c r="A149" s="237"/>
      <c r="B149" s="340"/>
    </row>
    <row r="151" spans="1:9" ht="15">
      <c r="A151" s="237"/>
      <c r="H151" s="470"/>
    </row>
    <row r="154" spans="1:9">
      <c r="A154" s="237"/>
    </row>
    <row r="155" spans="1:9">
      <c r="A155" s="237"/>
    </row>
  </sheetData>
  <autoFilter ref="B66:B140"/>
  <mergeCells count="1">
    <mergeCell ref="C3:E3"/>
  </mergeCells>
  <printOptions headings="1"/>
  <pageMargins left="0.7" right="0.7" top="1" bottom="0.75" header="0.3" footer="0.3"/>
  <pageSetup scale="78" fitToWidth="2" fitToHeight="0" pageOrder="overThenDown" orientation="landscape" r:id="rId1"/>
  <headerFooter>
    <oddFooter>&amp;RPage &amp;P of &amp;N</oddFooter>
  </headerFooter>
  <rowBreaks count="3" manualBreakCount="3">
    <brk id="32" max="6" man="1"/>
    <brk id="66" max="6" man="1"/>
    <brk id="101"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J42"/>
  <sheetViews>
    <sheetView zoomScaleNormal="100" workbookViewId="0">
      <selection activeCell="H2" sqref="H2"/>
    </sheetView>
  </sheetViews>
  <sheetFormatPr defaultRowHeight="12.75"/>
  <cols>
    <col min="1" max="1" width="8.1640625" style="339" customWidth="1"/>
    <col min="2" max="2" width="9.6640625" style="237" customWidth="1"/>
    <col min="3" max="3" width="45.6640625" style="237" customWidth="1"/>
    <col min="4" max="4" width="15.1640625" style="237" customWidth="1"/>
    <col min="5" max="5" width="18.33203125" style="237" customWidth="1"/>
    <col min="6" max="6" width="19.33203125" style="237" customWidth="1"/>
    <col min="7" max="7" width="17.1640625" style="237" customWidth="1"/>
    <col min="8" max="8" width="15.5" style="237" customWidth="1"/>
    <col min="9" max="16384" width="9.33203125" style="237"/>
  </cols>
  <sheetData>
    <row r="1" spans="1:10">
      <c r="A1" s="500" t="s">
        <v>1230</v>
      </c>
      <c r="H1" s="703" t="s">
        <v>1355</v>
      </c>
    </row>
    <row r="2" spans="1:10">
      <c r="A2" s="500" t="s">
        <v>1231</v>
      </c>
      <c r="H2" s="703" t="s">
        <v>1324</v>
      </c>
    </row>
    <row r="3" spans="1:10">
      <c r="A3" s="332" t="s">
        <v>1223</v>
      </c>
      <c r="H3" s="331" t="s">
        <v>1325</v>
      </c>
    </row>
    <row r="4" spans="1:10">
      <c r="A4" s="333"/>
    </row>
    <row r="5" spans="1:10">
      <c r="A5" s="334" t="s">
        <v>1225</v>
      </c>
      <c r="B5" s="335"/>
      <c r="C5" s="335"/>
      <c r="D5" s="335"/>
      <c r="E5" s="335"/>
      <c r="F5" s="335"/>
      <c r="G5" s="335"/>
      <c r="H5" s="335"/>
    </row>
    <row r="7" spans="1:10" s="714" customFormat="1" ht="39">
      <c r="A7" s="339"/>
      <c r="B7" s="339"/>
      <c r="C7" s="712" t="s">
        <v>73</v>
      </c>
      <c r="D7" s="712" t="s">
        <v>74</v>
      </c>
      <c r="E7" s="712" t="s">
        <v>1334</v>
      </c>
      <c r="F7" s="713" t="s">
        <v>1335</v>
      </c>
      <c r="G7" s="713" t="s">
        <v>1336</v>
      </c>
      <c r="H7" s="713" t="s">
        <v>1337</v>
      </c>
    </row>
    <row r="8" spans="1:10" s="714" customFormat="1" ht="15">
      <c r="A8" s="339"/>
      <c r="B8" s="715"/>
      <c r="C8" s="715"/>
      <c r="D8" s="715"/>
      <c r="E8" s="715"/>
      <c r="F8" s="715"/>
      <c r="G8" s="715"/>
      <c r="H8" s="715"/>
    </row>
    <row r="9" spans="1:10" ht="15" customHeight="1">
      <c r="A9" s="336"/>
      <c r="B9" s="239"/>
      <c r="C9" s="340" t="s">
        <v>82</v>
      </c>
      <c r="D9" s="338">
        <f>'Sch M-1.3 pgs 2-13'!$C$14</f>
        <v>4277922</v>
      </c>
      <c r="E9" s="338">
        <f>'Sch M-1.3 pgs 2-13'!$E$14</f>
        <v>4115398387</v>
      </c>
      <c r="F9" s="338">
        <f>ROUND(E9/D9,0)</f>
        <v>962</v>
      </c>
      <c r="G9" s="243">
        <f>'Sch M-1.3-pg 1'!$C$10</f>
        <v>407766218</v>
      </c>
      <c r="H9" s="716">
        <f>ROUND(G9/D9,2)</f>
        <v>95.32</v>
      </c>
      <c r="J9" s="339"/>
    </row>
    <row r="10" spans="1:10" ht="15" customHeight="1">
      <c r="A10" s="336"/>
      <c r="B10" s="239"/>
      <c r="C10" s="340"/>
      <c r="D10" s="338"/>
      <c r="E10" s="338"/>
      <c r="F10" s="338"/>
      <c r="G10" s="243"/>
      <c r="H10" s="716"/>
      <c r="J10" s="339"/>
    </row>
    <row r="11" spans="1:10" ht="15" customHeight="1">
      <c r="A11" s="336"/>
      <c r="B11" s="337"/>
      <c r="C11" s="340" t="s">
        <v>1353</v>
      </c>
      <c r="D11" s="338">
        <f>'Sch M-1.3 pgs 2-13'!$C$23</f>
        <v>117</v>
      </c>
      <c r="E11" s="338">
        <f>'Sch M-1.3 pgs 2-13'!$E$23</f>
        <v>169528</v>
      </c>
      <c r="F11" s="338">
        <f t="shared" ref="F11:F21" si="0">ROUND(E11/D11,0)</f>
        <v>1449</v>
      </c>
      <c r="G11" s="243">
        <f>'Sch M-1.3-pg 1'!$C$11</f>
        <v>16376</v>
      </c>
      <c r="H11" s="716">
        <f t="shared" ref="H11:H27" si="1">ROUND(G11/D11,2)</f>
        <v>139.97</v>
      </c>
    </row>
    <row r="12" spans="1:10" ht="15" customHeight="1">
      <c r="A12" s="336"/>
      <c r="B12" s="337"/>
      <c r="C12" s="340"/>
      <c r="D12" s="338"/>
      <c r="E12" s="338"/>
      <c r="F12" s="338"/>
      <c r="G12" s="243"/>
      <c r="H12" s="716"/>
    </row>
    <row r="13" spans="1:10" ht="15" customHeight="1">
      <c r="A13" s="336"/>
      <c r="B13" s="239"/>
      <c r="C13" s="340" t="s">
        <v>84</v>
      </c>
      <c r="D13" s="338">
        <f>'Sch M-1.3 pgs 2-13'!$C$58</f>
        <v>528508</v>
      </c>
      <c r="E13" s="338">
        <f>'Sch M-1.3 pgs 2-13'!$E$58</f>
        <v>1360540080</v>
      </c>
      <c r="F13" s="338">
        <f t="shared" si="0"/>
        <v>2574</v>
      </c>
      <c r="G13" s="243">
        <f>'Sch M-1.3-pg 1'!$C$17</f>
        <v>146397229</v>
      </c>
      <c r="H13" s="716">
        <f t="shared" si="1"/>
        <v>277</v>
      </c>
      <c r="J13" s="339"/>
    </row>
    <row r="14" spans="1:10" ht="15" customHeight="1">
      <c r="A14" s="336"/>
      <c r="B14" s="239"/>
      <c r="C14" s="340"/>
      <c r="D14" s="338"/>
      <c r="E14" s="338"/>
      <c r="F14" s="338"/>
      <c r="G14" s="243"/>
      <c r="H14" s="716"/>
      <c r="J14" s="339"/>
    </row>
    <row r="15" spans="1:10" ht="15" customHeight="1">
      <c r="A15" s="336"/>
      <c r="B15" s="239"/>
      <c r="C15" s="340" t="s">
        <v>1226</v>
      </c>
      <c r="D15" s="338">
        <f>'Sch M-1.3 pgs 2-13'!$C$92</f>
        <v>33819</v>
      </c>
      <c r="E15" s="338">
        <f>'Sch M-1.3 pgs 2-13'!$E$92</f>
        <v>1993259032</v>
      </c>
      <c r="F15" s="338">
        <f t="shared" si="0"/>
        <v>58939</v>
      </c>
      <c r="G15" s="243">
        <f>'Sch M-1.3-pg 1'!$C$20</f>
        <v>173269715</v>
      </c>
      <c r="H15" s="716">
        <f t="shared" si="1"/>
        <v>5123.4399999999996</v>
      </c>
      <c r="J15" s="339"/>
    </row>
    <row r="16" spans="1:10" ht="15" customHeight="1">
      <c r="A16" s="336"/>
      <c r="B16" s="239"/>
      <c r="C16" s="340"/>
      <c r="D16" s="338"/>
      <c r="E16" s="338"/>
      <c r="F16" s="338"/>
      <c r="G16" s="243"/>
      <c r="H16" s="716"/>
      <c r="J16" s="339"/>
    </row>
    <row r="17" spans="1:8" ht="15" customHeight="1">
      <c r="A17" s="336"/>
      <c r="B17" s="239"/>
      <c r="C17" s="340" t="s">
        <v>1227</v>
      </c>
      <c r="D17" s="338">
        <f>'Sch M-1.3 pgs 2-13'!$C$126</f>
        <v>914</v>
      </c>
      <c r="E17" s="338">
        <f>'Sch M-1.3 pgs 2-13'!$E$126</f>
        <v>165209295</v>
      </c>
      <c r="F17" s="338">
        <f t="shared" si="0"/>
        <v>180754</v>
      </c>
      <c r="G17" s="243">
        <f>'Sch M-1.3-pg 1'!$C$22</f>
        <v>12780159</v>
      </c>
      <c r="H17" s="716">
        <f t="shared" si="1"/>
        <v>13982.67</v>
      </c>
    </row>
    <row r="18" spans="1:8" ht="15" customHeight="1">
      <c r="A18" s="336"/>
      <c r="B18" s="239"/>
      <c r="C18" s="463"/>
      <c r="D18" s="338"/>
      <c r="E18" s="338"/>
      <c r="F18" s="338"/>
      <c r="G18" s="338"/>
      <c r="H18" s="716"/>
    </row>
    <row r="19" spans="1:8" ht="15" customHeight="1">
      <c r="A19" s="336"/>
      <c r="B19" s="239"/>
      <c r="C19" s="340" t="s">
        <v>1228</v>
      </c>
      <c r="D19" s="338">
        <f>'Sch M-1.3 pgs 2-13'!$C$164</f>
        <v>3522</v>
      </c>
      <c r="E19" s="338">
        <f>'Sch M-1.3 pgs 2-13'!$E$164</f>
        <v>949158047</v>
      </c>
      <c r="F19" s="338">
        <f t="shared" si="0"/>
        <v>269494</v>
      </c>
      <c r="G19" s="243">
        <f>'Sch M-1.3-pg 1'!$C$26</f>
        <v>73362749</v>
      </c>
      <c r="H19" s="716">
        <f t="shared" si="1"/>
        <v>20829.849999999999</v>
      </c>
    </row>
    <row r="20" spans="1:8" ht="15" customHeight="1">
      <c r="A20" s="336"/>
      <c r="B20" s="239"/>
      <c r="C20" s="340"/>
      <c r="D20" s="338"/>
      <c r="E20" s="338"/>
      <c r="F20" s="338"/>
      <c r="G20" s="338"/>
      <c r="H20" s="716"/>
    </row>
    <row r="21" spans="1:8" ht="15" customHeight="1">
      <c r="A21" s="336"/>
      <c r="B21" s="239"/>
      <c r="C21" s="340" t="s">
        <v>1351</v>
      </c>
      <c r="D21" s="338">
        <f>'Sch M-1.3 pgs 2-13'!$C$201</f>
        <v>422</v>
      </c>
      <c r="E21" s="338">
        <f>'Sch M-1.3 pgs 2-13'!$E$201</f>
        <v>379039383</v>
      </c>
      <c r="F21" s="338">
        <f t="shared" si="0"/>
        <v>898198</v>
      </c>
      <c r="G21" s="243">
        <f>'Sch M-1.3-pg 1'!$C$28</f>
        <v>27923601</v>
      </c>
      <c r="H21" s="716">
        <f>ROUND(G21/D21,2)</f>
        <v>66169.67</v>
      </c>
    </row>
    <row r="22" spans="1:8" ht="15" customHeight="1">
      <c r="A22" s="336"/>
      <c r="B22" s="239"/>
      <c r="C22" s="340"/>
      <c r="D22" s="338"/>
      <c r="E22" s="338"/>
      <c r="F22" s="338"/>
      <c r="G22" s="243"/>
      <c r="H22" s="716"/>
    </row>
    <row r="23" spans="1:8" ht="15" customHeight="1">
      <c r="A23" s="336"/>
      <c r="B23" s="239"/>
      <c r="C23" s="340" t="s">
        <v>1344</v>
      </c>
      <c r="D23" s="338">
        <f>'Sch M-1.3 pgs 2-13'!$C$238</f>
        <v>785</v>
      </c>
      <c r="E23" s="338">
        <f>'Sch M-1.3 pgs 2-13'!$E$238</f>
        <v>1580744282</v>
      </c>
      <c r="F23" s="338">
        <f t="shared" ref="F23" si="2">ROUND(E23/D23,0)</f>
        <v>2013687</v>
      </c>
      <c r="G23" s="243">
        <f>'Sch M-1.3-pg 1'!$C$30</f>
        <v>105991536</v>
      </c>
      <c r="H23" s="716">
        <f>ROUND(G23/D23,2)</f>
        <v>135021.06</v>
      </c>
    </row>
    <row r="24" spans="1:8" ht="15" customHeight="1">
      <c r="A24" s="336"/>
      <c r="B24" s="239"/>
      <c r="C24" s="340"/>
      <c r="D24" s="338"/>
      <c r="E24" s="338"/>
      <c r="F24" s="338"/>
      <c r="G24" s="243"/>
      <c r="H24" s="716"/>
    </row>
    <row r="25" spans="1:8" ht="15" customHeight="1">
      <c r="A25" s="336"/>
      <c r="B25" s="239"/>
      <c r="C25" s="340" t="s">
        <v>54</v>
      </c>
      <c r="D25" s="338">
        <f>'Sch M-1.3 pgs 2-13'!$C$274</f>
        <v>142</v>
      </c>
      <c r="E25" s="338">
        <f>'Sch M-1.3 pgs 2-13'!$E$274</f>
        <v>788562348</v>
      </c>
      <c r="F25" s="338">
        <f>ROUND(E25/D25,0)</f>
        <v>5553256</v>
      </c>
      <c r="G25" s="243">
        <f>'Sch M-1.3-pg 1'!$C$33</f>
        <v>45862032</v>
      </c>
      <c r="H25" s="716">
        <f t="shared" si="1"/>
        <v>322972.06</v>
      </c>
    </row>
    <row r="26" spans="1:8" ht="15" customHeight="1">
      <c r="A26" s="336"/>
      <c r="B26" s="239"/>
      <c r="C26" s="340"/>
      <c r="D26" s="338"/>
      <c r="E26" s="338"/>
      <c r="F26" s="338"/>
      <c r="G26" s="338"/>
      <c r="H26" s="716"/>
    </row>
    <row r="27" spans="1:8" ht="15" customHeight="1">
      <c r="A27" s="336"/>
      <c r="B27" s="239"/>
      <c r="C27" s="340" t="s">
        <v>893</v>
      </c>
      <c r="D27" s="338">
        <f>'Sch M-1.3 pgs 2-13'!C309+'Sch M-1.3 pgs 2-13'!C344</f>
        <v>35</v>
      </c>
      <c r="E27" s="338">
        <f>'Sch M-1.3 pgs 2-13'!E309+'Sch M-1.3 pgs 2-13'!E344</f>
        <v>199102480</v>
      </c>
      <c r="F27" s="338">
        <f>ROUND(E27/D27,0)</f>
        <v>5688642</v>
      </c>
      <c r="G27" s="243">
        <f>'Sch M-1.3-pg 1'!$C$47</f>
        <v>12465005</v>
      </c>
      <c r="H27" s="716">
        <f t="shared" si="1"/>
        <v>356143</v>
      </c>
    </row>
    <row r="28" spans="1:8" ht="15" customHeight="1">
      <c r="A28" s="336"/>
      <c r="B28" s="239"/>
      <c r="C28" s="340"/>
      <c r="D28" s="338"/>
      <c r="E28" s="338"/>
      <c r="F28" s="338"/>
      <c r="G28" s="243"/>
      <c r="H28" s="716"/>
    </row>
    <row r="29" spans="1:8" ht="15" customHeight="1">
      <c r="A29" s="336"/>
      <c r="B29" s="337"/>
      <c r="C29" s="340" t="s">
        <v>1229</v>
      </c>
      <c r="D29" s="338">
        <v>24</v>
      </c>
      <c r="E29" s="338">
        <v>0</v>
      </c>
      <c r="F29" s="338">
        <v>0</v>
      </c>
      <c r="G29" s="243">
        <f>'Sch M-1.3-pg 1'!$C$42</f>
        <v>-3371685</v>
      </c>
      <c r="H29" s="716">
        <f>ROUND(G29/D29,2)</f>
        <v>-140486.88</v>
      </c>
    </row>
    <row r="30" spans="1:8" ht="15" customHeight="1">
      <c r="A30" s="336"/>
      <c r="B30" s="337"/>
      <c r="C30" s="340"/>
      <c r="D30" s="338"/>
      <c r="E30" s="338"/>
      <c r="F30" s="338"/>
      <c r="G30" s="338"/>
      <c r="H30" s="716"/>
    </row>
    <row r="31" spans="1:8" ht="15" customHeight="1">
      <c r="A31" s="336"/>
      <c r="B31" s="239"/>
      <c r="C31" s="340" t="s">
        <v>462</v>
      </c>
      <c r="D31" s="338">
        <f>'Sch M-1.3 pgs 2-13'!$C$373</f>
        <v>1961</v>
      </c>
      <c r="E31" s="338">
        <f>'Sch M-1.3 pgs 2-13'!$E$373</f>
        <v>3274415</v>
      </c>
      <c r="F31" s="338">
        <f>ROUND(E31/D31,0)</f>
        <v>1670</v>
      </c>
      <c r="G31" s="243">
        <f>'Sch M-1.3-pg 1'!$C$49</f>
        <v>221981</v>
      </c>
      <c r="H31" s="716">
        <f>ROUND(G31/D31,2)</f>
        <v>113.2</v>
      </c>
    </row>
    <row r="32" spans="1:8" ht="15" customHeight="1">
      <c r="A32" s="336"/>
      <c r="B32" s="239"/>
      <c r="C32" s="340"/>
      <c r="D32" s="338"/>
      <c r="E32" s="338"/>
      <c r="F32" s="338"/>
      <c r="G32" s="338"/>
      <c r="H32" s="716"/>
    </row>
    <row r="33" spans="1:8" ht="15" customHeight="1">
      <c r="A33" s="336"/>
      <c r="B33" s="337"/>
      <c r="C33" s="340" t="s">
        <v>55</v>
      </c>
      <c r="D33" s="338">
        <f>'Sch M-1.3 pgs 2-13'!$C$402</f>
        <v>11558</v>
      </c>
      <c r="E33" s="338">
        <f>'Sch M-1.3 pgs 2-13'!$E$402</f>
        <v>3105171</v>
      </c>
      <c r="F33" s="338">
        <f>ROUND(E33/D33,0)</f>
        <v>269</v>
      </c>
      <c r="G33" s="243">
        <f>'Sch M-1.3-pg 1'!$C$51</f>
        <v>286389</v>
      </c>
      <c r="H33" s="716">
        <f>ROUND(G33/D33,2)</f>
        <v>24.78</v>
      </c>
    </row>
    <row r="34" spans="1:8" ht="15" customHeight="1">
      <c r="A34" s="336"/>
      <c r="B34" s="239"/>
      <c r="C34" s="340"/>
      <c r="D34" s="338"/>
      <c r="E34" s="338"/>
      <c r="F34" s="338"/>
      <c r="G34" s="338"/>
      <c r="H34" s="716"/>
    </row>
    <row r="35" spans="1:8" ht="15" customHeight="1">
      <c r="A35" s="336"/>
      <c r="B35" s="239"/>
      <c r="C35" s="340" t="s">
        <v>1327</v>
      </c>
      <c r="D35" s="338">
        <f>'Sch M-1.3 pgs 14-19'!$C$95+'Sch M-1.3 pgs 14-19'!$C$215</f>
        <v>1027922</v>
      </c>
      <c r="E35" s="338">
        <f>'12MonLights'!$G$895</f>
        <v>113628188</v>
      </c>
      <c r="F35" s="338">
        <f>ROUND(E35/D35,0)</f>
        <v>111</v>
      </c>
      <c r="G35" s="338">
        <f>'Sch M-1.3 pgs 14-19'!$E$224</f>
        <v>18725198.128827002</v>
      </c>
      <c r="H35" s="716">
        <f>ROUND(G35/D35,2)</f>
        <v>18.22</v>
      </c>
    </row>
    <row r="36" spans="1:8">
      <c r="B36" s="341"/>
      <c r="D36" s="240"/>
      <c r="E36" s="240"/>
      <c r="F36" s="240"/>
      <c r="G36" s="240"/>
    </row>
    <row r="37" spans="1:8">
      <c r="C37" s="341"/>
      <c r="D37" s="240"/>
      <c r="E37" s="240"/>
      <c r="F37" s="240"/>
      <c r="G37" s="240"/>
    </row>
    <row r="38" spans="1:8">
      <c r="F38" s="342"/>
      <c r="G38" s="342"/>
    </row>
    <row r="40" spans="1:8" ht="15" customHeight="1">
      <c r="F40" s="342"/>
      <c r="G40" s="342"/>
    </row>
    <row r="42" spans="1:8">
      <c r="F42" s="342"/>
      <c r="G42" s="342"/>
    </row>
  </sheetData>
  <printOptions horizontalCentered="1"/>
  <pageMargins left="0.75" right="0.45" top="1.53" bottom="0.51" header="0.75" footer="0.5"/>
  <pageSetup scale="85" orientation="landscape" r:id="rId1"/>
  <headerFooter scaleWithDoc="0" alignWithMargins="0">
    <oddHeader>&amp;C&amp;"Calibri,Bold"&amp;10Louisville Gas and Electric Company
Case No. 2014-00372
Base Period Average Bill Calculation At Present Rates
Electric Operations</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sheetPr>
  <dimension ref="A1:N60"/>
  <sheetViews>
    <sheetView zoomScaleNormal="100" workbookViewId="0">
      <selection activeCell="J1" sqref="J1"/>
    </sheetView>
  </sheetViews>
  <sheetFormatPr defaultRowHeight="12.75"/>
  <cols>
    <col min="1" max="1" width="48.83203125" style="344" customWidth="1"/>
    <col min="2" max="2" width="26.33203125" style="344" hidden="1" customWidth="1"/>
    <col min="3" max="3" width="18.6640625" style="344" customWidth="1"/>
    <col min="4" max="4" width="15.1640625" style="344" customWidth="1"/>
    <col min="5" max="5" width="18.5" style="344" customWidth="1"/>
    <col min="6" max="6" width="16.5" style="344" bestFit="1" customWidth="1"/>
    <col min="7" max="7" width="15.1640625" style="344" customWidth="1"/>
    <col min="8" max="9" width="18.5" style="344" bestFit="1" customWidth="1"/>
    <col min="10" max="10" width="11.5" style="344" bestFit="1" customWidth="1"/>
    <col min="11" max="11" width="9.33203125" style="344"/>
    <col min="12" max="12" width="18.5" style="344" bestFit="1" customWidth="1"/>
    <col min="13" max="13" width="14.5" style="344" bestFit="1" customWidth="1"/>
    <col min="14" max="14" width="17.1640625" style="344" customWidth="1"/>
    <col min="15" max="16384" width="9.33203125" style="344"/>
  </cols>
  <sheetData>
    <row r="1" spans="1:14">
      <c r="A1" s="343" t="s">
        <v>1230</v>
      </c>
      <c r="J1" s="345" t="s">
        <v>1356</v>
      </c>
    </row>
    <row r="2" spans="1:14">
      <c r="A2" s="346" t="s">
        <v>1231</v>
      </c>
      <c r="J2" s="345" t="s">
        <v>1352</v>
      </c>
    </row>
    <row r="3" spans="1:14">
      <c r="A3" s="346" t="s">
        <v>1223</v>
      </c>
      <c r="J3" s="345" t="s">
        <v>1325</v>
      </c>
    </row>
    <row r="4" spans="1:14">
      <c r="A4" s="242" t="s">
        <v>1224</v>
      </c>
    </row>
    <row r="6" spans="1:14">
      <c r="A6" s="347"/>
      <c r="B6" s="347"/>
      <c r="C6" s="348">
        <v>-1</v>
      </c>
      <c r="D6" s="348">
        <f t="shared" ref="D6:I6" si="0">C6-1</f>
        <v>-2</v>
      </c>
      <c r="E6" s="348">
        <f t="shared" si="0"/>
        <v>-3</v>
      </c>
      <c r="F6" s="348">
        <f t="shared" si="0"/>
        <v>-4</v>
      </c>
      <c r="G6" s="348">
        <f>E6-1</f>
        <v>-4</v>
      </c>
      <c r="H6" s="348">
        <f>F6-1</f>
        <v>-5</v>
      </c>
      <c r="I6" s="348">
        <f t="shared" si="0"/>
        <v>-6</v>
      </c>
    </row>
    <row r="7" spans="1:14" ht="48.75" customHeight="1">
      <c r="B7" s="349" t="s">
        <v>1232</v>
      </c>
      <c r="C7" s="350" t="s">
        <v>89</v>
      </c>
      <c r="D7" s="350" t="s">
        <v>90</v>
      </c>
      <c r="E7" s="350" t="s">
        <v>91</v>
      </c>
      <c r="F7" s="351" t="s">
        <v>92</v>
      </c>
      <c r="G7" s="350" t="s">
        <v>93</v>
      </c>
      <c r="H7" s="350" t="s">
        <v>94</v>
      </c>
      <c r="I7" s="350" t="s">
        <v>95</v>
      </c>
      <c r="J7" s="350" t="s">
        <v>96</v>
      </c>
    </row>
    <row r="8" spans="1:14">
      <c r="C8" s="350"/>
      <c r="D8" s="350"/>
      <c r="E8" s="352"/>
      <c r="G8" s="352"/>
      <c r="H8" s="352"/>
      <c r="I8" s="352"/>
    </row>
    <row r="9" spans="1:14" hidden="1">
      <c r="A9" s="344" t="s">
        <v>80</v>
      </c>
      <c r="C9" s="350"/>
      <c r="D9" s="350"/>
      <c r="E9" s="352"/>
      <c r="G9" s="353"/>
      <c r="H9" s="352"/>
      <c r="I9" s="352"/>
    </row>
    <row r="10" spans="1:14">
      <c r="A10" s="362" t="s">
        <v>82</v>
      </c>
      <c r="B10" s="344" t="s">
        <v>13</v>
      </c>
      <c r="C10" s="355">
        <f>ROUND(SUMIF(L_12MonResults_RateClass,$B10,L_12MonResults_Revenue_Total),0)</f>
        <v>407766218</v>
      </c>
      <c r="D10" s="355">
        <f>ROUND(SUMIF(L_12MonResults_RateClass,$B10,L_12MonResults_Revenue_FAC),0)</f>
        <v>-730837</v>
      </c>
      <c r="E10" s="355">
        <f>ROUND(SUMIF(L_12MonResults_RateClass,$B10,L_12MonResults_Revenue_DSM),0)</f>
        <v>15426749</v>
      </c>
      <c r="F10" s="355">
        <f>ROUND(SUMIF(L_12MonResults_RateClass,$B10,L_12MonResults_Revenue_ECR),0)+2</f>
        <v>14886949</v>
      </c>
      <c r="G10" s="355">
        <f>ROUND(SUMIF(L_12MonResults_RateClass,$B10,L_12MonResults_Revenue_CSR),0)</f>
        <v>0</v>
      </c>
      <c r="H10" s="355">
        <f>ROUND(SUMIF(L_12MonResults_RateClass,$B10,L_12MonResults_Revenue_Actual_Base),0)</f>
        <v>378183357</v>
      </c>
      <c r="I10" s="355">
        <f>ROUND(SUMIF(L_12MonResults_RateClass,$B10,L_12MonResults_Revenue_Base_Calculated),0)</f>
        <v>378183357</v>
      </c>
      <c r="J10" s="344">
        <f>I10/H10</f>
        <v>1</v>
      </c>
      <c r="L10" s="357">
        <f>C10-SUM(D10:G10)</f>
        <v>378183357</v>
      </c>
      <c r="M10" s="357">
        <f>H10-L10</f>
        <v>0</v>
      </c>
      <c r="N10" s="357"/>
    </row>
    <row r="11" spans="1:14" ht="15">
      <c r="A11" s="362" t="s">
        <v>1233</v>
      </c>
      <c r="B11" s="358" t="s">
        <v>680</v>
      </c>
      <c r="C11" s="359">
        <f>ROUND(SUMIF(L_12MonResults_RateClass,$B11,L_12MonResults_Revenue_Total),0)-1</f>
        <v>16376</v>
      </c>
      <c r="D11" s="359">
        <f>ROUND(SUMIF(L_12MonResults_RateClass,$B11,L_12MonResults_Revenue_FAC),0)</f>
        <v>267</v>
      </c>
      <c r="E11" s="359">
        <f>ROUND(SUMIF(L_12MonResults_RateClass,$B11,L_12MonResults_Revenue_DSM),0)</f>
        <v>891</v>
      </c>
      <c r="F11" s="359">
        <f>ROUND(SUMIF(L_12MonResults_RateClass,$B11,L_12MonResults_Revenue_ECR),0)</f>
        <v>429</v>
      </c>
      <c r="G11" s="359">
        <f>ROUND(SUMIF(L_12MonResults_RateClass,$B11,L_12MonResults_Revenue_CSR),0)</f>
        <v>0</v>
      </c>
      <c r="H11" s="359">
        <f>ROUND(SUMIF(L_12MonResults_RateClass,$B11,L_12MonResults_Revenue_Actual_Base),0)</f>
        <v>14789</v>
      </c>
      <c r="I11" s="359">
        <f>ROUND(SUMIF(L_12MonResults_RateClass,$B11,L_12MonResults_Revenue_Base_Calculated),0)</f>
        <v>14789</v>
      </c>
      <c r="J11" s="344">
        <f>I11/H11</f>
        <v>1</v>
      </c>
      <c r="L11" s="357">
        <f>C11-SUM(D11:G11)</f>
        <v>14789</v>
      </c>
      <c r="M11" s="357">
        <f>H11-L11</f>
        <v>0</v>
      </c>
    </row>
    <row r="12" spans="1:14">
      <c r="A12" s="354" t="s">
        <v>81</v>
      </c>
      <c r="C12" s="356">
        <f t="shared" ref="C12" si="1">SUM(C10:C11)</f>
        <v>407782594</v>
      </c>
      <c r="D12" s="356">
        <f>SUM(D10:D11)</f>
        <v>-730570</v>
      </c>
      <c r="E12" s="356">
        <f t="shared" ref="E12:I12" si="2">SUM(E10:E11)</f>
        <v>15427640</v>
      </c>
      <c r="F12" s="356">
        <f t="shared" si="2"/>
        <v>14887378</v>
      </c>
      <c r="G12" s="356">
        <f t="shared" si="2"/>
        <v>0</v>
      </c>
      <c r="H12" s="356">
        <f t="shared" si="2"/>
        <v>378198146</v>
      </c>
      <c r="I12" s="356">
        <f t="shared" si="2"/>
        <v>378198146</v>
      </c>
      <c r="J12" s="344">
        <f>I12/H12</f>
        <v>1</v>
      </c>
    </row>
    <row r="13" spans="1:14">
      <c r="C13" s="360"/>
      <c r="D13" s="360"/>
      <c r="E13" s="360"/>
      <c r="F13" s="360"/>
      <c r="G13" s="360"/>
      <c r="H13" s="360"/>
      <c r="I13" s="360"/>
    </row>
    <row r="14" spans="1:14" hidden="1">
      <c r="A14" s="344" t="s">
        <v>83</v>
      </c>
      <c r="C14" s="360"/>
      <c r="D14" s="360"/>
      <c r="E14" s="360"/>
      <c r="F14" s="360"/>
      <c r="G14" s="360"/>
      <c r="H14" s="360"/>
      <c r="I14" s="360"/>
    </row>
    <row r="15" spans="1:14" hidden="1">
      <c r="A15" s="354" t="s">
        <v>84</v>
      </c>
      <c r="B15" s="344" t="s">
        <v>892</v>
      </c>
      <c r="C15" s="355">
        <f>ROUND(SUMIF(L_12MonResults_RateClass,$B15,L_12MonResults_Revenue_Total),0)</f>
        <v>45735016</v>
      </c>
      <c r="D15" s="355">
        <f>ROUND(SUMIF(L_12MonResults_RateClass,$B15,L_12MonResults_Revenue_FAC),0)</f>
        <v>-18225</v>
      </c>
      <c r="E15" s="355">
        <f>ROUND(SUMIF(L_12MonResults_RateClass,$B15,L_12MonResults_Revenue_DSM),0)</f>
        <v>1047051</v>
      </c>
      <c r="F15" s="355">
        <f>ROUND(SUMIF(L_12MonResults_RateClass,$B15,L_12MonResults_Revenue_ECR),0)</f>
        <v>1605497</v>
      </c>
      <c r="G15" s="355">
        <f>ROUND(SUMIF(L_12MonResults_RateClass,$B15,L_12MonResults_Revenue_CSR),0)</f>
        <v>0</v>
      </c>
      <c r="H15" s="355">
        <f>ROUND(SUMIF(L_12MonResults_RateClass,$B15,L_12MonResults_Revenue_Actual_Base),0)</f>
        <v>43100693</v>
      </c>
      <c r="I15" s="355">
        <f>ROUND(SUMIF(L_12MonResults_RateClass,$B15,L_12MonResults_Revenue_Base_Calculated),0)</f>
        <v>43100685</v>
      </c>
      <c r="J15" s="344">
        <f>I15/H15</f>
        <v>0.99999981438813523</v>
      </c>
      <c r="L15" s="357">
        <f>C15-SUM(D15:G15)</f>
        <v>43100693</v>
      </c>
      <c r="M15" s="357">
        <f>H15-L15</f>
        <v>0</v>
      </c>
    </row>
    <row r="16" spans="1:14" ht="15" hidden="1">
      <c r="A16" s="354" t="s">
        <v>59</v>
      </c>
      <c r="B16" s="344" t="s">
        <v>14</v>
      </c>
      <c r="C16" s="359">
        <f>ROUND(SUMIF(L_12MonResults_RateClass,$B16,L_12MonResults_Revenue_Total),0)</f>
        <v>100662213</v>
      </c>
      <c r="D16" s="359">
        <f>ROUND(SUMIF(L_12MonResults_RateClass,$B16,L_12MonResults_Revenue_FAC),0)+1</f>
        <v>-141989</v>
      </c>
      <c r="E16" s="359">
        <f>ROUND(SUMIF(L_12MonResults_RateClass,$B16,L_12MonResults_Revenue_DSM),0)</f>
        <v>2494315</v>
      </c>
      <c r="F16" s="359">
        <f>ROUND(SUMIF(L_12MonResults_RateClass,$B16,L_12MonResults_Revenue_ECR),0)</f>
        <v>3759581</v>
      </c>
      <c r="G16" s="359">
        <f>ROUND(SUMIF(L_12MonResults_RateClass,$B16,L_12MonResults_Revenue_CSR),0)</f>
        <v>0</v>
      </c>
      <c r="H16" s="359">
        <f>ROUND(SUMIF(L_12MonResults_RateClass,$B16,L_12MonResults_Revenue_Actual_Base),0)</f>
        <v>94550306</v>
      </c>
      <c r="I16" s="359">
        <f>ROUND(SUMIF(L_12MonResults_RateClass,$B16,L_12MonResults_Revenue_Base_Calculated),0)</f>
        <v>94550318</v>
      </c>
      <c r="J16" s="344">
        <f>I16/H16</f>
        <v>1.0000001269165644</v>
      </c>
      <c r="L16" s="357">
        <f>C16-SUM(D16:G16)</f>
        <v>94550306</v>
      </c>
      <c r="M16" s="357">
        <f>H16-L16</f>
        <v>0</v>
      </c>
    </row>
    <row r="17" spans="1:13">
      <c r="A17" s="344" t="s">
        <v>85</v>
      </c>
      <c r="C17" s="356">
        <f t="shared" ref="C17" si="3">SUM(C15:C16)</f>
        <v>146397229</v>
      </c>
      <c r="D17" s="356">
        <f>SUM(D15:D16)</f>
        <v>-160214</v>
      </c>
      <c r="E17" s="356">
        <f t="shared" ref="E17:I17" si="4">SUM(E15:E16)</f>
        <v>3541366</v>
      </c>
      <c r="F17" s="356">
        <f t="shared" si="4"/>
        <v>5365078</v>
      </c>
      <c r="G17" s="356">
        <f t="shared" si="4"/>
        <v>0</v>
      </c>
      <c r="H17" s="356">
        <f t="shared" si="4"/>
        <v>137650999</v>
      </c>
      <c r="I17" s="356">
        <f t="shared" si="4"/>
        <v>137651003</v>
      </c>
      <c r="J17" s="344">
        <f>I17/H17</f>
        <v>1.0000000290589972</v>
      </c>
    </row>
    <row r="18" spans="1:13">
      <c r="C18" s="361"/>
      <c r="D18" s="361"/>
      <c r="E18" s="361"/>
      <c r="F18" s="361"/>
      <c r="G18" s="361"/>
      <c r="H18" s="361"/>
      <c r="I18" s="361"/>
    </row>
    <row r="19" spans="1:13" hidden="1">
      <c r="A19" s="358" t="s">
        <v>86</v>
      </c>
      <c r="C19" s="361"/>
      <c r="D19" s="361"/>
      <c r="E19" s="361"/>
      <c r="F19" s="361"/>
      <c r="G19" s="361"/>
      <c r="H19" s="361"/>
      <c r="I19" s="361"/>
    </row>
    <row r="20" spans="1:13">
      <c r="A20" s="362" t="s">
        <v>1345</v>
      </c>
      <c r="B20" s="360" t="s">
        <v>20</v>
      </c>
      <c r="C20" s="356">
        <f>ROUND(SUMIF(L_12MonResults_RateClass,$B20,L_12MonResults_Revenue_Total),0)+1</f>
        <v>173269715</v>
      </c>
      <c r="D20" s="355">
        <f>ROUND(SUMIF(L_12MonResults_RateClass,$B20,L_12MonResults_Revenue_FAC),0)</f>
        <v>-158808</v>
      </c>
      <c r="E20" s="361">
        <f>ROUND(SUMIF(L_12MonResults_RateClass,$B20,L_12MonResults_Revenue_DSM),0)</f>
        <v>3348234</v>
      </c>
      <c r="F20" s="355">
        <f>ROUND(SUMIF(L_12MonResults_RateClass,$B20,L_12MonResults_Revenue_ECR),0)</f>
        <v>7038395</v>
      </c>
      <c r="G20" s="355">
        <f>ROUND(SUMIF(L_12MonResults_RateClass,$B20,L_12MonResults_Revenue_CSR),0)</f>
        <v>0</v>
      </c>
      <c r="H20" s="355">
        <f>ROUND(SUMIF(L_12MonResults_RateClass,$B20,L_12MonResults_Revenue_Actual_Base),0)</f>
        <v>163041894</v>
      </c>
      <c r="I20" s="355">
        <f>ROUND(SUMIF(L_12MonResults_RateClass,$B20,L_12MonResults_Revenue_Base_Calculated),0)</f>
        <v>163041893</v>
      </c>
      <c r="J20" s="344">
        <f>I20/H20</f>
        <v>0.9999999938666071</v>
      </c>
      <c r="L20" s="357">
        <f>C20-SUM(D20:G20)</f>
        <v>163041894</v>
      </c>
      <c r="M20" s="357">
        <f>H20-L20</f>
        <v>0</v>
      </c>
    </row>
    <row r="21" spans="1:13">
      <c r="A21" s="354"/>
      <c r="B21" s="360"/>
      <c r="C21" s="355"/>
      <c r="D21" s="355"/>
      <c r="E21" s="355"/>
      <c r="F21" s="355"/>
      <c r="G21" s="355"/>
      <c r="H21" s="355"/>
      <c r="I21" s="355"/>
      <c r="L21" s="357"/>
      <c r="M21" s="357"/>
    </row>
    <row r="22" spans="1:13">
      <c r="A22" s="362" t="s">
        <v>1346</v>
      </c>
      <c r="B22" s="360" t="s">
        <v>21</v>
      </c>
      <c r="C22" s="356">
        <f>ROUND(SUMIF(L_12MonResults_RateClass,$B22,L_12MonResults_Revenue_Total),0)+1</f>
        <v>12780159</v>
      </c>
      <c r="D22" s="356">
        <f>ROUND(SUMIF(L_12MonResults_RateClass,$B22,L_12MonResults_Revenue_FAC),0)</f>
        <v>-8657</v>
      </c>
      <c r="E22" s="356">
        <f>ROUND(SUMIF(L_12MonResults_RateClass,$B22,L_12MonResults_Revenue_DSM),0)</f>
        <v>274843</v>
      </c>
      <c r="F22" s="356">
        <f>ROUND(SUMIF(L_12MonResults_RateClass,$B22,L_12MonResults_Revenue_ECR),0)</f>
        <v>544286</v>
      </c>
      <c r="G22" s="356">
        <f>ROUND(SUMIF(L_12MonResults_RateClass,$B22,L_12MonResults_Revenue_CSR),0)</f>
        <v>0</v>
      </c>
      <c r="H22" s="356">
        <f>ROUND(SUMIF(L_12MonResults_RateClass,$B22,L_12MonResults_Revenue_Actual_Base),0)</f>
        <v>11969687</v>
      </c>
      <c r="I22" s="356">
        <f>ROUND(SUMIF(L_12MonResults_RateClass,$B22,L_12MonResults_Revenue_Base_Calculated),0)</f>
        <v>11969687</v>
      </c>
      <c r="J22" s="344">
        <f>I22/H22</f>
        <v>1</v>
      </c>
      <c r="L22" s="357">
        <f>C22-SUM(D22:G22)</f>
        <v>11969687</v>
      </c>
      <c r="M22" s="357">
        <f>H22-L22</f>
        <v>0</v>
      </c>
    </row>
    <row r="23" spans="1:13" hidden="1">
      <c r="A23" s="362" t="s">
        <v>87</v>
      </c>
      <c r="C23" s="356">
        <f t="shared" ref="C23" si="5">SUM(C20:C22)</f>
        <v>186049874</v>
      </c>
      <c r="D23" s="356">
        <f>SUM(D20:D22)</f>
        <v>-167465</v>
      </c>
      <c r="E23" s="356">
        <f t="shared" ref="E23:I23" si="6">SUM(E20:E22)</f>
        <v>3623077</v>
      </c>
      <c r="F23" s="356">
        <f t="shared" si="6"/>
        <v>7582681</v>
      </c>
      <c r="G23" s="356">
        <f t="shared" si="6"/>
        <v>0</v>
      </c>
      <c r="H23" s="356">
        <f t="shared" si="6"/>
        <v>175011581</v>
      </c>
      <c r="I23" s="356">
        <f t="shared" si="6"/>
        <v>175011580</v>
      </c>
      <c r="J23" s="344">
        <f>I23/H23</f>
        <v>0.99999999428609243</v>
      </c>
    </row>
    <row r="24" spans="1:13">
      <c r="C24" s="361"/>
      <c r="D24" s="361"/>
      <c r="E24" s="361"/>
      <c r="F24" s="361"/>
      <c r="G24" s="361"/>
      <c r="H24" s="361"/>
      <c r="I24" s="361"/>
    </row>
    <row r="25" spans="1:13" hidden="1">
      <c r="A25" s="358" t="s">
        <v>1234</v>
      </c>
      <c r="C25" s="361"/>
      <c r="D25" s="361"/>
      <c r="E25" s="361"/>
      <c r="F25" s="361"/>
      <c r="G25" s="361"/>
      <c r="H25" s="361"/>
      <c r="I25" s="361"/>
    </row>
    <row r="26" spans="1:13">
      <c r="A26" s="362" t="s">
        <v>1347</v>
      </c>
      <c r="B26" s="363" t="s">
        <v>920</v>
      </c>
      <c r="C26" s="355">
        <f>ROUND(SUMIF(L_12MonResults_RateClass,$B26,L_12MonResults_Revenue_Total),0)</f>
        <v>73362749</v>
      </c>
      <c r="D26" s="355">
        <f>ROUND(SUMIF(L_12MonResults_RateClass,$B26,L_12MonResults_Revenue_FAC),0)+1</f>
        <v>-122476</v>
      </c>
      <c r="E26" s="355">
        <f>ROUND(SUMIF(L_12MonResults_RateClass,$B26,L_12MonResults_Revenue_DSM),0)</f>
        <v>1336123</v>
      </c>
      <c r="F26" s="355">
        <f>ROUND(SUMIF(L_12MonResults_RateClass,$B26,L_12MonResults_Revenue_ECR),0)</f>
        <v>3159454</v>
      </c>
      <c r="G26" s="355">
        <f>ROUND(SUMIF(L_12MonResults_RateClass,$B26,L_12MonResults_Revenue_CSR),0)</f>
        <v>0</v>
      </c>
      <c r="H26" s="355">
        <f>ROUND(SUMIF(L_12MonResults_RateClass,$B26,L_12MonResults_Revenue_Actual_Base),0)</f>
        <v>68989648</v>
      </c>
      <c r="I26" s="355">
        <f>ROUND(SUMIF(L_12MonResults_RateClass,$B26,L_12MonResults_Revenue_Base_Calculated),0)</f>
        <v>68989649</v>
      </c>
      <c r="J26" s="344">
        <f>I26/H26</f>
        <v>1.0000000144949284</v>
      </c>
      <c r="L26" s="357">
        <f>C26-SUM(D26:G26)</f>
        <v>68989648</v>
      </c>
      <c r="M26" s="357">
        <f>H26-L26</f>
        <v>0</v>
      </c>
    </row>
    <row r="27" spans="1:13">
      <c r="A27" s="354"/>
      <c r="B27" s="363"/>
      <c r="C27" s="355"/>
      <c r="D27" s="355"/>
      <c r="E27" s="355"/>
      <c r="F27" s="355"/>
      <c r="G27" s="355"/>
      <c r="H27" s="355"/>
      <c r="I27" s="355"/>
      <c r="L27" s="357"/>
      <c r="M27" s="357"/>
    </row>
    <row r="28" spans="1:13">
      <c r="A28" s="358" t="s">
        <v>1348</v>
      </c>
      <c r="B28" s="363" t="s">
        <v>448</v>
      </c>
      <c r="C28" s="240">
        <f>ROUND(SUMIF(L_12MonResults_RateClass,$B28,L_12MonResults_Revenue_Total),0)</f>
        <v>27923601</v>
      </c>
      <c r="D28" s="240">
        <f>ROUND(SUMIF(L_12MonResults_RateClass,$B28,L_12MonResults_Revenue_FAC),0)</f>
        <v>-14990</v>
      </c>
      <c r="E28" s="240">
        <f>ROUND(SUMIF(L_12MonResults_RateClass,$B28,L_12MonResults_Revenue_DSM),0)</f>
        <v>559720</v>
      </c>
      <c r="F28" s="240">
        <f>ROUND(SUMIF(L_12MonResults_RateClass,$B28,L_12MonResults_Revenue_ECR),0)-1</f>
        <v>1196304</v>
      </c>
      <c r="G28" s="240">
        <f>ROUND(SUMIF(L_12MonResults_RateClass,$B28,L_12MonResults_Revenue_CSR),0)</f>
        <v>0</v>
      </c>
      <c r="H28" s="240">
        <f>ROUND(SUMIF(L_12MonResults_RateClass,$B28,L_12MonResults_Revenue_Actual_Base),0)</f>
        <v>26182567</v>
      </c>
      <c r="I28" s="240">
        <f>ROUND(SUMIF(L_12MonResults_RateClass,$B28,L_12MonResults_Revenue_Base_Calculated),0)</f>
        <v>26182568</v>
      </c>
      <c r="J28" s="344">
        <f>I28/H28</f>
        <v>1.000000038193352</v>
      </c>
      <c r="L28" s="357">
        <f>C28-SUM(D28:G28)</f>
        <v>26182567</v>
      </c>
      <c r="M28" s="357">
        <f>H28-L28</f>
        <v>0</v>
      </c>
    </row>
    <row r="29" spans="1:13">
      <c r="A29" s="364"/>
      <c r="B29" s="363"/>
      <c r="C29" s="367"/>
      <c r="D29" s="367"/>
      <c r="E29" s="367"/>
      <c r="F29" s="367"/>
      <c r="G29" s="367"/>
      <c r="H29" s="367"/>
      <c r="I29" s="367"/>
      <c r="L29" s="357"/>
      <c r="M29" s="357"/>
    </row>
    <row r="30" spans="1:13">
      <c r="A30" s="358" t="s">
        <v>1349</v>
      </c>
      <c r="B30" s="363" t="s">
        <v>460</v>
      </c>
      <c r="C30" s="356">
        <f>ROUND(SUMIF(L_12MonResults_RateClass,$B30,L_12MonResults_Revenue_Total),0)</f>
        <v>105991536</v>
      </c>
      <c r="D30" s="356">
        <f>ROUND(SUMIF(L_12MonResults_RateClass,$B30,L_12MonResults_Revenue_FAC),0)</f>
        <v>-24607</v>
      </c>
      <c r="E30" s="356">
        <f>ROUND(SUMIF(L_12MonResults_RateClass,$B30,L_12MonResults_Revenue_DSM),0)</f>
        <v>1762403</v>
      </c>
      <c r="F30" s="356">
        <f>ROUND(SUMIF(L_12MonResults_RateClass,$B30,L_12MonResults_Revenue_ECR),0)</f>
        <v>4833760</v>
      </c>
      <c r="G30" s="356">
        <f>ROUND(SUMIF(L_12MonResults_RateClass,$B30,L_12MonResults_Revenue_CSR),0)</f>
        <v>0</v>
      </c>
      <c r="H30" s="356">
        <f>ROUND(SUMIF(L_12MonResults_RateClass,$B30,L_12MonResults_Revenue_Actual_Base),0)</f>
        <v>99419980</v>
      </c>
      <c r="I30" s="356">
        <f>ROUND(SUMIF(L_12MonResults_RateClass,$B30,L_12MonResults_Revenue_Base_Calculated),0)</f>
        <v>99419980</v>
      </c>
      <c r="J30" s="344">
        <f>I30/H30</f>
        <v>1</v>
      </c>
      <c r="L30" s="357">
        <f>C30-SUM(D30:G30)</f>
        <v>99419980</v>
      </c>
      <c r="M30" s="357">
        <f>H30-L30</f>
        <v>0</v>
      </c>
    </row>
    <row r="31" spans="1:13" hidden="1">
      <c r="A31" s="358" t="s">
        <v>720</v>
      </c>
      <c r="B31" s="363"/>
      <c r="C31" s="356">
        <f t="shared" ref="C31" si="7">SUM(C26:C30)</f>
        <v>207277886</v>
      </c>
      <c r="D31" s="356">
        <f>SUM(D26:D30)</f>
        <v>-162073</v>
      </c>
      <c r="E31" s="356">
        <f t="shared" ref="E31:I31" si="8">SUM(E26:E30)</f>
        <v>3658246</v>
      </c>
      <c r="F31" s="356">
        <f t="shared" si="8"/>
        <v>9189518</v>
      </c>
      <c r="G31" s="356">
        <f t="shared" si="8"/>
        <v>0</v>
      </c>
      <c r="H31" s="356">
        <f t="shared" si="8"/>
        <v>194592195</v>
      </c>
      <c r="I31" s="356">
        <f t="shared" si="8"/>
        <v>194592197</v>
      </c>
      <c r="J31" s="344">
        <f>I31/H31</f>
        <v>1.0000000102779045</v>
      </c>
    </row>
    <row r="32" spans="1:13">
      <c r="C32" s="361"/>
      <c r="D32" s="361"/>
      <c r="E32" s="361"/>
      <c r="F32" s="361"/>
      <c r="G32" s="361"/>
      <c r="H32" s="361"/>
      <c r="I32" s="361"/>
    </row>
    <row r="33" spans="1:13">
      <c r="A33" s="344" t="s">
        <v>68</v>
      </c>
      <c r="B33" s="360" t="s">
        <v>15</v>
      </c>
      <c r="C33" s="355">
        <f>ROUND(SUMIF(L_12MonResults_RateClass,$B33,L_12MonResults_Revenue_Total),0)</f>
        <v>45862032</v>
      </c>
      <c r="D33" s="355">
        <f>ROUND(SUMIF(L_12MonResults_RateClass,$B33,L_12MonResults_Revenue_FAC),0)</f>
        <v>-6835</v>
      </c>
      <c r="E33" s="355">
        <f>ROUND(SUMIF(L_12MonResults_RateClass,$B33,L_12MonResults_Revenue_DSM),0)</f>
        <v>0</v>
      </c>
      <c r="F33" s="355">
        <f>ROUND(SUMIF(L_12MonResults_RateClass,$B33,L_12MonResults_Revenue_ECR),0)</f>
        <v>2342743</v>
      </c>
      <c r="G33" s="355">
        <f>ROUND(SUMIF(L_12MonResults_RateClass,$B33,L_12MonResults_Revenue_CSR),0)</f>
        <v>0</v>
      </c>
      <c r="H33" s="355">
        <f>ROUND(SUMIF(L_12MonResults_RateClass,$B33,L_12MonResults_Revenue_Actual_Base),0)</f>
        <v>43526124</v>
      </c>
      <c r="I33" s="355">
        <f>ROUND(SUMIF(L_12MonResults_RateClass,$B33,L_12MonResults_Revenue_Base_Calculated),0)</f>
        <v>43526126</v>
      </c>
      <c r="J33" s="344">
        <f>I33/H33</f>
        <v>1.0000000459494165</v>
      </c>
      <c r="L33" s="357">
        <f>C33-SUM(D33:G33)</f>
        <v>43526124</v>
      </c>
      <c r="M33" s="357">
        <f>H33-L33</f>
        <v>0</v>
      </c>
    </row>
    <row r="34" spans="1:13" ht="18" customHeight="1">
      <c r="C34" s="361"/>
      <c r="D34" s="361"/>
      <c r="E34" s="361"/>
      <c r="F34" s="361"/>
      <c r="G34" s="361"/>
      <c r="H34" s="361"/>
      <c r="I34" s="361"/>
    </row>
    <row r="35" spans="1:13" hidden="1">
      <c r="B35" s="358" t="s">
        <v>22</v>
      </c>
      <c r="C35" s="355">
        <f>ROUND(SUMIF(L_12MonResults_RateClass,$B35,L_12MonResults_Revenue_Total),0)</f>
        <v>0</v>
      </c>
      <c r="D35" s="355">
        <f>ROUND(SUMIF(L_12MonResults_RateClass,$B35,L_12MonResults_Revenue_FAC),0)</f>
        <v>0</v>
      </c>
      <c r="E35" s="355">
        <f>ROUND(SUMIF(L_12MonResults_RateClass,$B35,L_12MonResults_Revenue_DSM),0)</f>
        <v>0</v>
      </c>
      <c r="F35" s="355">
        <f>ROUND(SUMIF(L_12MonResults_RateClass,$B35,L_12MonResults_Revenue_ECR),0)</f>
        <v>0</v>
      </c>
      <c r="G35" s="355">
        <f>ROUND(SUMIF(L_12MonResults_RateClass,$B35,L_12MonResults_Revenue_CSR),0)</f>
        <v>0</v>
      </c>
      <c r="H35" s="355">
        <f>ROUND(SUMIF(L_12MonResults_RateClass,$B35,L_12MonResults_Revenue_Actual_Base),0)</f>
        <v>0</v>
      </c>
      <c r="I35" s="355">
        <f>ROUND(SUMIF(L_12MonResults_RateClass,$B35,L_12MonResults_Revenue_Base_Calculated),0)</f>
        <v>0</v>
      </c>
      <c r="J35" s="344">
        <f>IF(H35=0,0,I35/H35)</f>
        <v>0</v>
      </c>
      <c r="L35" s="357">
        <f>C35-SUM(D35:G35)</f>
        <v>0</v>
      </c>
      <c r="M35" s="357">
        <f>H35-L35</f>
        <v>0</v>
      </c>
    </row>
    <row r="36" spans="1:13" ht="15" hidden="1">
      <c r="B36" s="363" t="s">
        <v>23</v>
      </c>
      <c r="C36" s="359">
        <f>ROUND(SUMIF(L_12MonResults_RateClass,$B36,L_12MonResults_Revenue_Total),0)</f>
        <v>0</v>
      </c>
      <c r="D36" s="359">
        <f>ROUND(SUMIF(L_12MonResults_RateClass,$B36,L_12MonResults_Revenue_FAC),0)</f>
        <v>0</v>
      </c>
      <c r="E36" s="359">
        <f>ROUND(SUMIF(L_12MonResults_RateClass,$B36,L_12MonResults_Revenue_DSM),0)</f>
        <v>0</v>
      </c>
      <c r="F36" s="359">
        <f>ROUND(SUMIF(L_12MonResults_RateClass,$B36,L_12MonResults_Revenue_ECR),0)</f>
        <v>0</v>
      </c>
      <c r="G36" s="359">
        <f>ROUND(SUMIF(L_12MonResults_RateClass,$B36,L_12MonResults_Revenue_CSR),0)</f>
        <v>0</v>
      </c>
      <c r="H36" s="359">
        <f>ROUND(SUMIF(L_12MonResults_RateClass,$B36,L_12MonResults_Revenue_Actual_Base),0)</f>
        <v>0</v>
      </c>
      <c r="I36" s="359">
        <f>ROUND(SUMIF(L_12MonResults_RateClass,$B36,L_12MonResults_Revenue_Base_Calculated),0)</f>
        <v>0</v>
      </c>
      <c r="J36" s="344">
        <f>IF(H36=0,0,I36/H36)</f>
        <v>0</v>
      </c>
      <c r="L36" s="357">
        <f>C36-SUM(D36:G36)</f>
        <v>0</v>
      </c>
      <c r="M36" s="357">
        <f>H36-L36</f>
        <v>0</v>
      </c>
    </row>
    <row r="37" spans="1:13">
      <c r="A37" s="344" t="s">
        <v>88</v>
      </c>
      <c r="C37" s="356">
        <f t="shared" ref="C37" si="9">SUM(C35:C36)</f>
        <v>0</v>
      </c>
      <c r="D37" s="356">
        <f>SUM(D35:D36)</f>
        <v>0</v>
      </c>
      <c r="E37" s="356">
        <f t="shared" ref="E37:I37" si="10">SUM(E35:E36)</f>
        <v>0</v>
      </c>
      <c r="F37" s="356">
        <f t="shared" si="10"/>
        <v>0</v>
      </c>
      <c r="G37" s="356">
        <f t="shared" si="10"/>
        <v>0</v>
      </c>
      <c r="H37" s="356">
        <f t="shared" si="10"/>
        <v>0</v>
      </c>
      <c r="I37" s="356">
        <f t="shared" si="10"/>
        <v>0</v>
      </c>
      <c r="J37" s="344">
        <f>IF(H37=0,0,I37/H37)</f>
        <v>0</v>
      </c>
    </row>
    <row r="38" spans="1:13">
      <c r="C38" s="361"/>
      <c r="D38" s="361"/>
      <c r="E38" s="361"/>
      <c r="F38" s="361"/>
      <c r="G38" s="361"/>
      <c r="H38" s="361"/>
      <c r="I38" s="361"/>
    </row>
    <row r="39" spans="1:13" hidden="1">
      <c r="A39" s="344" t="s">
        <v>719</v>
      </c>
      <c r="C39" s="361"/>
      <c r="D39" s="361"/>
      <c r="E39" s="361"/>
      <c r="F39" s="361"/>
      <c r="G39" s="361"/>
      <c r="H39" s="361"/>
      <c r="I39" s="361"/>
    </row>
    <row r="40" spans="1:13" hidden="1">
      <c r="A40" s="364" t="s">
        <v>1235</v>
      </c>
      <c r="B40" s="358" t="s">
        <v>1204</v>
      </c>
      <c r="C40" s="355">
        <f>ROUND(SUMIF(L_12MonResults_RateCategory,$B40,L_12MonResults_Revenue_Total),0)</f>
        <v>-2946503</v>
      </c>
      <c r="D40" s="355">
        <f>ROUND(SUMIF(L_12MonResults_RateCategory,$B40,L_12MonResults_Revenue_FAC),0)</f>
        <v>0</v>
      </c>
      <c r="E40" s="355">
        <f>ROUND(SUMIF(L_12MonResults_RateCategory,$B40,L_12MonResults_Revenue_DSM),0)</f>
        <v>0</v>
      </c>
      <c r="F40" s="355">
        <f>ROUND(SUMIF(L_12MonResults_RateCategory,$B40,L_12MonResults_Revenue_ECR),0)</f>
        <v>0</v>
      </c>
      <c r="G40" s="355">
        <f>ROUND(SUMIF(L_12MonResults_RateCategory,$B40,L_12MonResults_Revenue_CSR),0)</f>
        <v>-2946503</v>
      </c>
      <c r="H40" s="355">
        <f>ROUND(SUMIF(L_12MonResults_RateCategory,$B40,L_12MonResults_Revenue_Actual_Base),0)</f>
        <v>0</v>
      </c>
      <c r="I40" s="355">
        <f>ROUND(SUMIF(L_12MonResults_RateCategory,$B40,L_12MonResults_Revenue_Base_Calculated),0)</f>
        <v>0</v>
      </c>
      <c r="J40" s="344">
        <f>IF(H40=0,0,I40/H40)</f>
        <v>0</v>
      </c>
      <c r="L40" s="357">
        <f>C40-SUM(D40:G40)</f>
        <v>0</v>
      </c>
      <c r="M40" s="357">
        <f>H40-L40</f>
        <v>0</v>
      </c>
    </row>
    <row r="41" spans="1:13" ht="15" hidden="1">
      <c r="A41" s="364" t="s">
        <v>1236</v>
      </c>
      <c r="B41" s="358" t="s">
        <v>425</v>
      </c>
      <c r="C41" s="359">
        <f>ROUND(SUMIF(L_12MonResults_RateCategory,$B41,L_12MonResults_Revenue_Total),0)</f>
        <v>-425182</v>
      </c>
      <c r="D41" s="359">
        <f>ROUND(SUMIF(L_12MonResults_RateCategory,$B41,L_12MonResults_Revenue_FAC),0)</f>
        <v>0</v>
      </c>
      <c r="E41" s="359">
        <f>ROUND(SUMIF(L_12MonResults_RateCategory,$B41,L_12MonResults_Revenue_DSM),0)</f>
        <v>0</v>
      </c>
      <c r="F41" s="359">
        <f>ROUND(SUMIF(L_12MonResults_RateCategory,$B41,L_12MonResults_Revenue_ECR),0)</f>
        <v>0</v>
      </c>
      <c r="G41" s="359">
        <f>ROUND(SUMIF(L_12MonResults_RateCategory,$B41,L_12MonResults_Revenue_CSR),0)</f>
        <v>-425182</v>
      </c>
      <c r="H41" s="359">
        <f>ROUND(SUMIF(L_12MonResults_RateCategory,$B41,L_12MonResults_Revenue_Actual_Base),0)</f>
        <v>0</v>
      </c>
      <c r="I41" s="359">
        <f>ROUND(SUMIF(L_12MonResults_RateCategory,$B41,L_12MonResults_Revenue_Base_Calculated),0)</f>
        <v>0</v>
      </c>
      <c r="J41" s="344">
        <f>IF(H41=0,0,I41/H41)</f>
        <v>0</v>
      </c>
      <c r="L41" s="357">
        <f>C41-SUM(D41:G41)</f>
        <v>0</v>
      </c>
      <c r="M41" s="357">
        <f>H41-L41</f>
        <v>0</v>
      </c>
    </row>
    <row r="42" spans="1:13">
      <c r="A42" s="358" t="s">
        <v>1237</v>
      </c>
      <c r="B42" s="358"/>
      <c r="C42" s="355">
        <f t="shared" ref="C42:I42" si="11">SUM(C40:C41)</f>
        <v>-3371685</v>
      </c>
      <c r="D42" s="355">
        <f t="shared" si="11"/>
        <v>0</v>
      </c>
      <c r="E42" s="355">
        <f t="shared" si="11"/>
        <v>0</v>
      </c>
      <c r="F42" s="355">
        <f t="shared" si="11"/>
        <v>0</v>
      </c>
      <c r="G42" s="355">
        <f t="shared" si="11"/>
        <v>-3371685</v>
      </c>
      <c r="H42" s="355">
        <f t="shared" si="11"/>
        <v>0</v>
      </c>
      <c r="I42" s="355">
        <f t="shared" si="11"/>
        <v>0</v>
      </c>
      <c r="J42" s="344">
        <f>IF(H42=0,0,I42/H42)</f>
        <v>0</v>
      </c>
      <c r="L42" s="357"/>
      <c r="M42" s="357"/>
    </row>
    <row r="43" spans="1:13">
      <c r="C43" s="361"/>
      <c r="D43" s="361"/>
      <c r="E43" s="361"/>
      <c r="F43" s="361"/>
      <c r="G43" s="361"/>
      <c r="H43" s="361"/>
      <c r="I43" s="361"/>
    </row>
    <row r="44" spans="1:13" hidden="1">
      <c r="A44" s="344" t="s">
        <v>893</v>
      </c>
      <c r="C44" s="361"/>
      <c r="D44" s="361"/>
      <c r="E44" s="361"/>
      <c r="F44" s="361"/>
      <c r="G44" s="361"/>
      <c r="H44" s="361"/>
      <c r="I44" s="361"/>
    </row>
    <row r="45" spans="1:13" hidden="1">
      <c r="A45" s="354" t="s">
        <v>835</v>
      </c>
      <c r="B45" s="344" t="s">
        <v>451</v>
      </c>
      <c r="C45" s="355">
        <f>ROUND(SUMIF(L_12MonResults_RateClass,$B45,L_12MonResults_Revenue_Total),0)</f>
        <v>8993261</v>
      </c>
      <c r="D45" s="355">
        <f>ROUND(SUMIF(L_12MonResults_RateClass,$B45,L_12MonResults_Revenue_FAC),0)-1</f>
        <v>59854</v>
      </c>
      <c r="E45" s="355">
        <f>ROUND(SUMIF(L_12MonResults_RateClass,$B45,L_12MonResults_Revenue_DSM),0)</f>
        <v>0</v>
      </c>
      <c r="F45" s="355">
        <f>ROUND(SUMIF(L_12MonResults_RateClass,$B45,L_12MonResults_Revenue_ECR),0)</f>
        <v>386618</v>
      </c>
      <c r="G45" s="355">
        <f>ROUND(SUMIF(L_12MonResults_RateClass,$B45,L_12MonResults_Revenue_CSR),0)</f>
        <v>0</v>
      </c>
      <c r="H45" s="355">
        <f>ROUND(SUMIF(L_12MonResults_RateClass,$B45,L_12MonResults_Revenue_Actual_Base),0)</f>
        <v>8546789</v>
      </c>
      <c r="I45" s="355">
        <f>ROUND(SUMIF(L_12MonResults_RateClass,$B45,L_12MonResults_Revenue_Base_Calculated),0)</f>
        <v>8546791</v>
      </c>
      <c r="J45" s="344">
        <f>I45/H45</f>
        <v>1.000000234006011</v>
      </c>
      <c r="L45" s="357">
        <f>C45-SUM(D45:G45)</f>
        <v>8546789</v>
      </c>
      <c r="M45" s="357">
        <f>H45-L45</f>
        <v>0</v>
      </c>
    </row>
    <row r="46" spans="1:13" ht="15" hidden="1">
      <c r="A46" s="354" t="s">
        <v>921</v>
      </c>
      <c r="B46" s="344" t="s">
        <v>464</v>
      </c>
      <c r="C46" s="359">
        <f>ROUND(SUMIF(L_12MonResults_RateClass,$B46,L_12MonResults_Revenue_Total),0)</f>
        <v>3471744</v>
      </c>
      <c r="D46" s="359">
        <f>ROUND(SUMIF(L_12MonResults_RateClass,$B46,L_12MonResults_Revenue_FAC),0)</f>
        <v>-6858</v>
      </c>
      <c r="E46" s="359">
        <f>ROUND(SUMIF(L_12MonResults_RateClass,$B46,L_12MonResults_Revenue_DSM),0)</f>
        <v>0</v>
      </c>
      <c r="F46" s="359">
        <f>ROUND(SUMIF(L_12MonResults_RateClass,$B46,L_12MonResults_Revenue_ECR),0)-1</f>
        <v>172100</v>
      </c>
      <c r="G46" s="359">
        <f>ROUND(SUMIF(L_12MonResults_RateClass,$B46,L_12MonResults_Revenue_CSR),0)</f>
        <v>0</v>
      </c>
      <c r="H46" s="359">
        <f>ROUND(SUMIF(L_12MonResults_RateClass,$B46,L_12MonResults_Revenue_Actual_Base),0)</f>
        <v>3306502</v>
      </c>
      <c r="I46" s="359">
        <f>ROUND(SUMIF(L_12MonResults_RateClass,$B46,L_12MonResults_Revenue_Base_Calculated),0)</f>
        <v>3306502</v>
      </c>
      <c r="J46" s="344">
        <f>I46/H46</f>
        <v>1</v>
      </c>
      <c r="L46" s="357">
        <f>C46-SUM(D46:G46)</f>
        <v>3306502</v>
      </c>
      <c r="M46" s="357">
        <f>H46-L46</f>
        <v>0</v>
      </c>
    </row>
    <row r="47" spans="1:13">
      <c r="A47" s="362" t="s">
        <v>1238</v>
      </c>
      <c r="C47" s="356">
        <f t="shared" ref="C47:I47" si="12">SUM(C45:C46)</f>
        <v>12465005</v>
      </c>
      <c r="D47" s="356">
        <f t="shared" si="12"/>
        <v>52996</v>
      </c>
      <c r="E47" s="356">
        <f t="shared" si="12"/>
        <v>0</v>
      </c>
      <c r="F47" s="356">
        <f t="shared" si="12"/>
        <v>558718</v>
      </c>
      <c r="G47" s="356">
        <f t="shared" si="12"/>
        <v>0</v>
      </c>
      <c r="H47" s="356">
        <f t="shared" si="12"/>
        <v>11853291</v>
      </c>
      <c r="I47" s="356">
        <f t="shared" si="12"/>
        <v>11853293</v>
      </c>
      <c r="J47" s="344">
        <f>I47/H47</f>
        <v>1.0000001687295115</v>
      </c>
    </row>
    <row r="48" spans="1:13">
      <c r="C48" s="361"/>
      <c r="D48" s="361"/>
      <c r="E48" s="361"/>
      <c r="F48" s="361"/>
      <c r="G48" s="361"/>
      <c r="H48" s="361"/>
      <c r="I48" s="361"/>
    </row>
    <row r="49" spans="1:14">
      <c r="A49" s="344" t="s">
        <v>71</v>
      </c>
      <c r="B49" s="360" t="s">
        <v>17</v>
      </c>
      <c r="C49" s="355">
        <f>ROUND(SUMIF(L_12MonResults_RateClass,$B49,L_12MonResults_Revenue_Total),0)</f>
        <v>221981</v>
      </c>
      <c r="D49" s="355">
        <f>ROUND(SUMIF(L_12MonResults_RateClass,$B49,L_12MonResults_Revenue_FAC),0)+1</f>
        <v>-739</v>
      </c>
      <c r="E49" s="355">
        <f>ROUND(SUMIF(L_12MonResults_RateClass,$B49,L_12MonResults_Revenue_DSM),0)</f>
        <v>0</v>
      </c>
      <c r="F49" s="355">
        <f>ROUND(SUMIF(L_12MonResults_RateClass,$B49,L_12MonResults_Revenue_ECR),0)</f>
        <v>11161</v>
      </c>
      <c r="G49" s="355">
        <f>ROUND(SUMIF(L_12MonResults_RateClass,$B49,L_12MonResults_Revenue_CSR),0)</f>
        <v>0</v>
      </c>
      <c r="H49" s="355">
        <f>ROUND(SUMIF(L_12MonResults_RateClass,$B49,L_12MonResults_Revenue_Actual_Base),0)</f>
        <v>211559</v>
      </c>
      <c r="I49" s="355">
        <f>ROUND(SUMIF(L_12MonResults_RateClass,$B49,L_12MonResults_Revenue_Base_Calculated),0)</f>
        <v>211560</v>
      </c>
      <c r="J49" s="344">
        <f>I49/H49</f>
        <v>1.0000047268137966</v>
      </c>
      <c r="L49" s="357">
        <f>C49-SUM(D49:G49)</f>
        <v>211559</v>
      </c>
      <c r="M49" s="357">
        <f>H49-L49</f>
        <v>0</v>
      </c>
    </row>
    <row r="50" spans="1:14">
      <c r="C50" s="356"/>
      <c r="D50" s="356"/>
      <c r="E50" s="356"/>
      <c r="F50" s="356"/>
      <c r="G50" s="356"/>
      <c r="H50" s="356"/>
      <c r="I50" s="356"/>
      <c r="M50" s="357"/>
    </row>
    <row r="51" spans="1:14">
      <c r="A51" s="344" t="s">
        <v>69</v>
      </c>
      <c r="B51" s="360" t="s">
        <v>18</v>
      </c>
      <c r="C51" s="355">
        <f>ROUND(SUMIF(L_12MonResults_RateClass,$B51,L_12MonResults_Revenue_Total),0)</f>
        <v>286389</v>
      </c>
      <c r="D51" s="355">
        <f>ROUND(SUMIF(L_12MonResults_RateClass,$B51,L_12MonResults_Revenue_FAC),0)</f>
        <v>-259</v>
      </c>
      <c r="E51" s="355">
        <f>ROUND(SUMIF(L_12MonResults_RateClass,$B51,L_12MonResults_Revenue_DSM),0)</f>
        <v>0</v>
      </c>
      <c r="F51" s="355">
        <f>ROUND(SUMIF(L_12MonResults_RateClass,$B51,L_12MonResults_Revenue_ECR),0)</f>
        <v>11113</v>
      </c>
      <c r="G51" s="355">
        <f>ROUND(SUMIF(L_12MonResults_RateClass,$B51,L_12MonResults_Revenue_CSR),0)</f>
        <v>0</v>
      </c>
      <c r="H51" s="355">
        <f>ROUND(SUMIF(L_12MonResults_RateClass,$B51,L_12MonResults_Revenue_Actual_Base),0)</f>
        <v>275535</v>
      </c>
      <c r="I51" s="355">
        <f>ROUND(SUMIF(L_12MonResults_RateClass,$B51,L_12MonResults_Revenue_Base_Calculated),0)</f>
        <v>275537</v>
      </c>
      <c r="J51" s="344">
        <f>I51/H51</f>
        <v>1.0000072586059847</v>
      </c>
      <c r="L51" s="357">
        <f>C51-SUM(D51:G51)</f>
        <v>275535</v>
      </c>
      <c r="M51" s="357">
        <f>H51-L51</f>
        <v>0</v>
      </c>
    </row>
    <row r="52" spans="1:14">
      <c r="C52" s="356"/>
      <c r="D52" s="356"/>
      <c r="E52" s="356"/>
      <c r="F52" s="356"/>
      <c r="G52" s="356"/>
      <c r="H52" s="356"/>
      <c r="I52" s="356"/>
      <c r="M52" s="357"/>
    </row>
    <row r="53" spans="1:14" hidden="1">
      <c r="B53" s="358" t="s">
        <v>1117</v>
      </c>
      <c r="C53" s="355">
        <f>ROUND(SUMIF(L_12MonLights_RateClass,$B53,L_12MonLights_SBR),0)</f>
        <v>4933549</v>
      </c>
      <c r="D53" s="355">
        <f>'12MonLights'!$Q$900</f>
        <v>-14841.36891250026</v>
      </c>
      <c r="E53" s="355">
        <v>0</v>
      </c>
      <c r="F53" s="355">
        <f>'12MonLights'!$R$900</f>
        <v>275870.9737943465</v>
      </c>
      <c r="G53" s="355">
        <v>0</v>
      </c>
      <c r="H53" s="355">
        <f>ROUND('12MonLights'!$O$888,0)</f>
        <v>4765712</v>
      </c>
      <c r="I53" s="355">
        <f>'12MonLights'!$N$888</f>
        <v>9222313.7099999953</v>
      </c>
      <c r="L53" s="356">
        <f>C53-SUM(D53:G53)</f>
        <v>4672519.3951181537</v>
      </c>
      <c r="M53" s="357">
        <f>H53-L53</f>
        <v>93192.604881846346</v>
      </c>
      <c r="N53" s="361"/>
    </row>
    <row r="54" spans="1:14" hidden="1">
      <c r="B54" s="360" t="s">
        <v>498</v>
      </c>
      <c r="C54" s="355">
        <f>ROUND(SUMIF(L_12MonLights_RateClass,$B54,L_12MonLights_SBR),0)</f>
        <v>4622497</v>
      </c>
      <c r="D54" s="355">
        <f>'12MonLights'!$Q$901</f>
        <v>-21029.831087499704</v>
      </c>
      <c r="E54" s="355">
        <v>0</v>
      </c>
      <c r="F54" s="355">
        <f>'12MonLights'!$R$901-1</f>
        <v>294681.87620565359</v>
      </c>
      <c r="G54" s="355">
        <v>0</v>
      </c>
      <c r="H54" s="355">
        <f>ROUND('12MonLights'!$O$885,0)</f>
        <v>4475150</v>
      </c>
      <c r="I54" s="355">
        <f>'12MonLights'!$N$885</f>
        <v>8797635.9099999964</v>
      </c>
      <c r="L54" s="356">
        <f>C54-SUM(D54:G54)</f>
        <v>4348844.954881846</v>
      </c>
      <c r="M54" s="357">
        <f>H54-L54</f>
        <v>126305.04511815403</v>
      </c>
      <c r="N54" s="361"/>
    </row>
    <row r="55" spans="1:14" hidden="1">
      <c r="B55" s="360" t="s">
        <v>843</v>
      </c>
      <c r="C55" s="365">
        <f>ROUND(SUMIF(L_12MonLights_RateClass,$B55,L_12MonLights_SBR),0)</f>
        <v>9169151</v>
      </c>
      <c r="D55" s="365">
        <v>0</v>
      </c>
      <c r="E55" s="365">
        <v>0</v>
      </c>
      <c r="F55" s="365">
        <v>0</v>
      </c>
      <c r="G55" s="365">
        <v>0</v>
      </c>
      <c r="H55" s="365">
        <f>ROUND('12MonLights'!$O$894,0)</f>
        <v>8949653</v>
      </c>
      <c r="I55" s="365">
        <f>ROUND('12MonLights'!$N$894,0)</f>
        <v>0</v>
      </c>
      <c r="L55" s="357">
        <f>C55-SUM(D55:G55)</f>
        <v>9169151</v>
      </c>
      <c r="M55" s="357">
        <f>H55-L55</f>
        <v>-219498</v>
      </c>
    </row>
    <row r="56" spans="1:14">
      <c r="A56" s="358" t="s">
        <v>1341</v>
      </c>
      <c r="C56" s="356">
        <f>SUM(C53:C55)+1</f>
        <v>18725198</v>
      </c>
      <c r="D56" s="356">
        <f t="shared" ref="D56:I56" si="13">SUM(D53:D55)</f>
        <v>-35871.199999999968</v>
      </c>
      <c r="E56" s="356">
        <f t="shared" si="13"/>
        <v>0</v>
      </c>
      <c r="F56" s="356">
        <f t="shared" si="13"/>
        <v>570552.85000000009</v>
      </c>
      <c r="G56" s="356">
        <f t="shared" si="13"/>
        <v>0</v>
      </c>
      <c r="H56" s="356">
        <f t="shared" si="13"/>
        <v>18190515</v>
      </c>
      <c r="I56" s="356">
        <f t="shared" si="13"/>
        <v>18019949.61999999</v>
      </c>
      <c r="J56" s="344">
        <f>I56/H56</f>
        <v>0.99062338916737591</v>
      </c>
    </row>
    <row r="58" spans="1:14" ht="15">
      <c r="A58" s="344" t="s">
        <v>56</v>
      </c>
      <c r="C58" s="366">
        <f>SUM(C12,C17,C20,C22,C26,C28,C30,C33,C37,C42,C47,C49,C51,C56)</f>
        <v>1021696503</v>
      </c>
      <c r="D58" s="366">
        <f t="shared" ref="D58:I58" si="14">SUM(D12,D17,D20,D22,D26,D28,D30,D33,D37,D42,D47,D49,D51,D56)</f>
        <v>-1211030.2</v>
      </c>
      <c r="E58" s="366">
        <f t="shared" si="14"/>
        <v>26250329</v>
      </c>
      <c r="F58" s="366">
        <f t="shared" si="14"/>
        <v>40518942.850000001</v>
      </c>
      <c r="G58" s="366">
        <f t="shared" si="14"/>
        <v>-3371685</v>
      </c>
      <c r="H58" s="366">
        <f t="shared" si="14"/>
        <v>959509945</v>
      </c>
      <c r="I58" s="366">
        <f t="shared" si="14"/>
        <v>959339391.62</v>
      </c>
    </row>
    <row r="60" spans="1:14">
      <c r="C60" s="357"/>
    </row>
  </sheetData>
  <printOptions horizontalCentered="1"/>
  <pageMargins left="0.5" right="0.22" top="1.39" bottom="0.4" header="0.6" footer="0.3"/>
  <pageSetup scale="85" orientation="landscape" r:id="rId1"/>
  <headerFooter scaleWithDoc="0">
    <oddHeader>&amp;C&amp;"Calibri,Bold"&amp;11Louisville Gas and Electric Company
&amp;10Case No. 2014-00372
Base Period Revenues at Present Rates for the Twelve Months Ended February 28, 2015
Electric Operations</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1:AJ415"/>
  <sheetViews>
    <sheetView topLeftCell="A379" workbookViewId="0">
      <selection activeCell="I1" sqref="I1"/>
    </sheetView>
  </sheetViews>
  <sheetFormatPr defaultRowHeight="12"/>
  <cols>
    <col min="1" max="1" width="52.6640625" style="329" customWidth="1"/>
    <col min="2" max="2" width="9.33203125" style="329"/>
    <col min="3" max="3" width="15.33203125" style="329" bestFit="1" customWidth="1"/>
    <col min="4" max="4" width="14.33203125" style="329" bestFit="1" customWidth="1"/>
    <col min="5" max="5" width="18" style="329" bestFit="1" customWidth="1"/>
    <col min="6" max="6" width="9.33203125" style="329"/>
    <col min="7" max="7" width="16.5" style="329" customWidth="1"/>
    <col min="8" max="8" width="23" style="244" bestFit="1" customWidth="1"/>
    <col min="9" max="9" width="3.83203125" style="439" customWidth="1"/>
    <col min="10" max="10" width="10" style="415" bestFit="1" customWidth="1"/>
    <col min="11" max="11" width="19.83203125" style="415" customWidth="1"/>
    <col min="12" max="21" width="9.33203125" style="329"/>
    <col min="22" max="22" width="19.6640625" style="329" bestFit="1" customWidth="1"/>
    <col min="23" max="25" width="18.6640625" style="329" bestFit="1" customWidth="1"/>
    <col min="26" max="27" width="19.1640625" style="329" bestFit="1" customWidth="1"/>
    <col min="28" max="28" width="12.33203125" style="329" bestFit="1" customWidth="1"/>
    <col min="29" max="29" width="10.1640625" style="329" bestFit="1" customWidth="1"/>
    <col min="30" max="30" width="10" style="329" bestFit="1" customWidth="1"/>
    <col min="31" max="33" width="10.1640625" style="329" bestFit="1" customWidth="1"/>
    <col min="34" max="16384" width="9.33203125" style="329"/>
  </cols>
  <sheetData>
    <row r="1" spans="1:36" ht="12.75">
      <c r="A1" s="498" t="s">
        <v>1230</v>
      </c>
      <c r="I1" s="499" t="str">
        <f>'Sch M-1.3-pg 1'!$J$1</f>
        <v>Schedule M-1.3-E</v>
      </c>
      <c r="W1" s="515"/>
      <c r="Y1" s="515"/>
      <c r="Z1" s="515"/>
      <c r="AA1" s="515"/>
      <c r="AB1" s="515"/>
      <c r="AC1" s="515"/>
      <c r="AD1" s="515"/>
      <c r="AE1" s="515"/>
      <c r="AF1" s="515"/>
      <c r="AG1" s="515"/>
      <c r="AH1" s="515"/>
      <c r="AI1" s="515"/>
      <c r="AJ1" s="515"/>
    </row>
    <row r="2" spans="1:36" ht="12.75">
      <c r="A2" s="500" t="s">
        <v>1231</v>
      </c>
      <c r="I2" s="499" t="str">
        <f>"Page "&amp;M2&amp;" of "&amp;N2</f>
        <v>Page 2 of 19</v>
      </c>
      <c r="M2" s="329">
        <v>2</v>
      </c>
      <c r="N2" s="329">
        <f>'Sch M-1.3 pgs 14-19'!$K$178</f>
        <v>19</v>
      </c>
      <c r="W2" s="515"/>
    </row>
    <row r="3" spans="1:36" ht="12.75">
      <c r="A3" s="500" t="s">
        <v>1223</v>
      </c>
      <c r="I3" s="501" t="str">
        <f>'Sch M-1.3-pg 1'!$J$3</f>
        <v>Witness:  M.J. Blake</v>
      </c>
      <c r="T3" s="507"/>
      <c r="W3" s="515"/>
      <c r="X3" s="507"/>
    </row>
    <row r="4" spans="1:36" ht="12.75">
      <c r="A4" s="502"/>
      <c r="B4" s="378"/>
      <c r="C4" s="400"/>
      <c r="D4" s="416"/>
      <c r="E4" s="378"/>
      <c r="F4" s="378"/>
      <c r="G4" s="719"/>
      <c r="H4" s="720"/>
      <c r="I4" s="400"/>
      <c r="J4" s="417"/>
      <c r="K4" s="417"/>
      <c r="W4" s="507"/>
      <c r="Y4" s="515"/>
      <c r="Z4" s="515"/>
      <c r="AA4" s="515"/>
      <c r="AB4" s="515"/>
      <c r="AC4" s="515"/>
    </row>
    <row r="5" spans="1:36" ht="12.75">
      <c r="A5" s="511"/>
      <c r="B5" s="388"/>
      <c r="C5" s="417"/>
      <c r="D5" s="538"/>
      <c r="E5" s="417"/>
      <c r="F5" s="388"/>
      <c r="G5" s="417" t="s">
        <v>114</v>
      </c>
      <c r="H5" s="417" t="s">
        <v>115</v>
      </c>
      <c r="I5" s="539"/>
      <c r="J5" s="417"/>
      <c r="K5" s="417"/>
      <c r="Y5" s="515"/>
      <c r="Z5" s="515"/>
      <c r="AA5" s="515"/>
      <c r="AB5" s="515"/>
      <c r="AC5" s="515"/>
      <c r="AD5" s="515"/>
      <c r="AE5" s="515"/>
    </row>
    <row r="6" spans="1:36" ht="12.75">
      <c r="A6" s="513"/>
      <c r="B6" s="540"/>
      <c r="C6" s="541" t="s">
        <v>74</v>
      </c>
      <c r="D6" s="542" t="s">
        <v>116</v>
      </c>
      <c r="E6" s="543" t="s">
        <v>117</v>
      </c>
      <c r="F6" s="544"/>
      <c r="G6" s="543" t="s">
        <v>118</v>
      </c>
      <c r="H6" s="543" t="s">
        <v>119</v>
      </c>
      <c r="I6" s="544"/>
      <c r="J6" s="417"/>
      <c r="K6" s="417"/>
      <c r="W6" s="507"/>
    </row>
    <row r="7" spans="1:36" ht="12.75">
      <c r="A7" s="421" t="s">
        <v>1239</v>
      </c>
      <c r="B7" s="378"/>
      <c r="C7" s="379"/>
      <c r="D7" s="378"/>
      <c r="E7" s="379"/>
      <c r="F7" s="379"/>
      <c r="G7" s="378"/>
      <c r="H7" s="380"/>
      <c r="I7" s="379"/>
      <c r="J7" s="517"/>
      <c r="K7" s="517"/>
    </row>
    <row r="8" spans="1:36" ht="12.75">
      <c r="A8" s="518" t="s">
        <v>1240</v>
      </c>
      <c r="B8" s="378"/>
      <c r="C8" s="379"/>
      <c r="D8" s="378"/>
      <c r="E8" s="379"/>
      <c r="F8" s="379"/>
      <c r="G8" s="378"/>
      <c r="H8" s="380"/>
      <c r="I8" s="379"/>
      <c r="J8" s="517"/>
      <c r="K8" s="517"/>
    </row>
    <row r="9" spans="1:36" ht="12.75">
      <c r="A9" s="519" t="s">
        <v>74</v>
      </c>
      <c r="B9" s="378"/>
      <c r="C9" s="381">
        <f>SUMIF(L_12MonResults_RateClass,MiscData!$Y$18,L_12MonResults_Contract_Cnt)+SUMIF(L_12MonResults_RateClass,MiscData!$Y$18,L_12MonResults_Contract_Cnt_Adj)</f>
        <v>4277922</v>
      </c>
      <c r="D9" s="378"/>
      <c r="E9" s="378"/>
      <c r="F9" s="378"/>
      <c r="G9" s="382">
        <f>SUMIF(L_Rates_Tariff_Rate_Category,MiscData!$X$5&amp;MiscData!$AA$38,L_Rates_BSC)</f>
        <v>10.75</v>
      </c>
      <c r="H9" s="380">
        <f>ROUND($C9*G9,0)</f>
        <v>45987662</v>
      </c>
      <c r="I9" s="400"/>
      <c r="J9" s="382"/>
      <c r="K9" s="389"/>
      <c r="V9" s="507"/>
      <c r="W9" s="378"/>
      <c r="X9" s="378"/>
      <c r="Y9" s="378"/>
      <c r="Z9" s="378"/>
      <c r="AA9" s="378"/>
      <c r="AB9" s="520"/>
      <c r="AD9" s="520"/>
    </row>
    <row r="10" spans="1:36" ht="12.75">
      <c r="A10" s="490" t="s">
        <v>1129</v>
      </c>
      <c r="B10" s="378"/>
      <c r="C10" s="381"/>
      <c r="D10" s="378"/>
      <c r="E10" s="378"/>
      <c r="F10" s="378"/>
      <c r="G10" s="383"/>
      <c r="H10" s="380">
        <f>SUMIF(L_12MonResults_RateClass,MiscData!$Y$18,L_12MonResults_Revenue_Customer_Adj)-1</f>
        <v>-161763.90999999997</v>
      </c>
      <c r="I10" s="400"/>
      <c r="J10" s="384"/>
      <c r="K10" s="385"/>
      <c r="AB10" s="520"/>
      <c r="AD10" s="520"/>
    </row>
    <row r="11" spans="1:36" ht="12.75">
      <c r="A11" s="519" t="s">
        <v>75</v>
      </c>
      <c r="B11" s="378"/>
      <c r="D11" s="378"/>
      <c r="E11" s="381">
        <f>SUMIF(L_12MonResults_RateClass,MiscData!$Y$18,L_12MonResults_KWH_Total)+SUMIF(L_12MonResults_RateClass,MiscData!$Y$18,L_12MonResults_KWH_OutOfPeriod)</f>
        <v>4115398387</v>
      </c>
      <c r="F11" s="378"/>
      <c r="G11" s="386">
        <f>SUMIF(L_Rates_Tariff_Rate_Category,MiscData!$X$5&amp;MiscData!$AA$38,L_Rates_Energy)</f>
        <v>8.0760000000000012E-2</v>
      </c>
      <c r="H11" s="380">
        <f>ROUND($E11*G11,0)</f>
        <v>332359574</v>
      </c>
      <c r="I11" s="400"/>
      <c r="J11" s="386"/>
      <c r="K11" s="389"/>
      <c r="W11" s="378"/>
      <c r="X11" s="378"/>
      <c r="Y11" s="378"/>
      <c r="Z11" s="378"/>
      <c r="AA11" s="378"/>
      <c r="AB11" s="520"/>
      <c r="AD11" s="520"/>
    </row>
    <row r="12" spans="1:36" ht="12.75">
      <c r="A12" s="495" t="s">
        <v>121</v>
      </c>
      <c r="B12" s="378"/>
      <c r="C12" s="387"/>
      <c r="D12" s="387"/>
      <c r="E12" s="387"/>
      <c r="F12" s="378"/>
      <c r="G12" s="383"/>
      <c r="H12" s="380">
        <f>SUMIF(L_12MonResults_RateClass,MiscData!$Y$18,L_12MonResults_Revenue_Energy_Adj)</f>
        <v>-2115.31</v>
      </c>
      <c r="I12" s="400"/>
      <c r="J12" s="388"/>
      <c r="K12" s="389"/>
      <c r="AB12" s="520"/>
    </row>
    <row r="13" spans="1:36" ht="12.75">
      <c r="A13" s="495"/>
      <c r="B13" s="378"/>
      <c r="C13" s="381"/>
      <c r="D13" s="378"/>
      <c r="E13" s="387"/>
      <c r="F13" s="378"/>
      <c r="G13" s="383"/>
      <c r="H13" s="380"/>
      <c r="I13" s="400"/>
      <c r="J13" s="384"/>
      <c r="K13" s="385"/>
      <c r="AB13" s="520"/>
      <c r="AD13" s="520"/>
    </row>
    <row r="14" spans="1:36" ht="15">
      <c r="A14" s="435" t="s">
        <v>122</v>
      </c>
      <c r="B14" s="378"/>
      <c r="C14" s="390">
        <f>C9</f>
        <v>4277922</v>
      </c>
      <c r="D14" s="378"/>
      <c r="E14" s="390">
        <f>E11</f>
        <v>4115398387</v>
      </c>
      <c r="F14" s="381"/>
      <c r="G14" s="378"/>
      <c r="H14" s="391">
        <f>SUM(H9:H13)</f>
        <v>378183356.78000003</v>
      </c>
      <c r="I14" s="379"/>
      <c r="J14" s="392"/>
      <c r="K14" s="393"/>
      <c r="AB14" s="520"/>
    </row>
    <row r="15" spans="1:36" ht="12.75">
      <c r="A15" s="378"/>
      <c r="B15" s="378"/>
      <c r="C15" s="387"/>
      <c r="D15" s="378"/>
      <c r="E15" s="381"/>
      <c r="F15" s="378"/>
      <c r="G15" s="378"/>
      <c r="H15" s="380"/>
      <c r="I15" s="400"/>
      <c r="J15" s="388"/>
      <c r="K15" s="385"/>
      <c r="AB15" s="520"/>
    </row>
    <row r="16" spans="1:36" ht="12.75">
      <c r="A16" s="518" t="s">
        <v>141</v>
      </c>
      <c r="B16" s="378"/>
      <c r="C16" s="379"/>
      <c r="D16" s="378"/>
      <c r="E16" s="379"/>
      <c r="F16" s="379"/>
      <c r="G16" s="378"/>
      <c r="H16" s="380"/>
      <c r="I16" s="379"/>
      <c r="J16" s="517"/>
      <c r="K16" s="517"/>
      <c r="Z16" s="521"/>
      <c r="AB16" s="520"/>
    </row>
    <row r="17" spans="1:30" ht="12.75">
      <c r="A17" s="519" t="s">
        <v>74</v>
      </c>
      <c r="B17" s="378"/>
      <c r="C17" s="381">
        <f>SUMIF(L_12MonResults_RateClass,MiscData!$Y$14,L_12MonResults_Contract_Cnt)+SUMIF(L_12MonResults_RateClass,MiscData!$Y$14,L_12MonResults_Contract_Cnt_Adj)</f>
        <v>117</v>
      </c>
      <c r="D17" s="378"/>
      <c r="E17" s="378"/>
      <c r="F17" s="378"/>
      <c r="G17" s="382">
        <f>SUMIF(L_Rates_Tariff_Rate_Category,MiscData!$X$5&amp;MiscData!$AA$41,L_Rates_BSC)</f>
        <v>10.75</v>
      </c>
      <c r="H17" s="380">
        <f>ROUND($C17*G17,0)</f>
        <v>1258</v>
      </c>
      <c r="I17" s="400"/>
      <c r="J17" s="382"/>
      <c r="K17" s="389"/>
      <c r="N17" s="415"/>
      <c r="O17" s="415"/>
      <c r="P17" s="415"/>
      <c r="Q17" s="415"/>
      <c r="R17" s="415"/>
      <c r="W17" s="378"/>
      <c r="Z17" s="521"/>
      <c r="AB17" s="520"/>
    </row>
    <row r="18" spans="1:30" ht="12.75">
      <c r="A18" s="490" t="s">
        <v>1129</v>
      </c>
      <c r="B18" s="378"/>
      <c r="C18" s="381"/>
      <c r="D18" s="378"/>
      <c r="E18" s="378"/>
      <c r="F18" s="378"/>
      <c r="G18" s="383"/>
      <c r="H18" s="380">
        <f>SUMIF(L_12MonResults_RateClass,MiscData!$Y$14,L_12MonResults_Revenue_Customer_Adj)</f>
        <v>-8.93</v>
      </c>
      <c r="I18" s="400"/>
      <c r="J18" s="382"/>
      <c r="K18" s="389"/>
      <c r="N18" s="415"/>
      <c r="O18" s="415"/>
      <c r="P18" s="415"/>
      <c r="Q18" s="415"/>
      <c r="R18" s="415"/>
      <c r="W18" s="378"/>
      <c r="Z18" s="521"/>
      <c r="AB18" s="520"/>
    </row>
    <row r="19" spans="1:30" ht="12.75">
      <c r="A19" s="522" t="s">
        <v>1241</v>
      </c>
      <c r="B19" s="378"/>
      <c r="D19" s="378"/>
      <c r="E19" s="381">
        <f>SUMIF(L_12MonResults_RateClass,MiscData!$Y$14,L_12MonResults_KWH_P1)</f>
        <v>96476</v>
      </c>
      <c r="F19" s="378"/>
      <c r="G19" s="386">
        <f>SUMIF(L_Rates_Tariff_Rate_Category,MiscData!$X$5&amp;MiscData!$AA$41,L_Rates_Energy)</f>
        <v>5.8200000000000002E-2</v>
      </c>
      <c r="H19" s="380">
        <f>ROUND($E19*G19,0)</f>
        <v>5615</v>
      </c>
      <c r="I19" s="400"/>
      <c r="J19" s="384"/>
      <c r="K19" s="385"/>
      <c r="AB19" s="520"/>
      <c r="AD19" s="520"/>
    </row>
    <row r="20" spans="1:30" ht="12.75">
      <c r="A20" s="522" t="s">
        <v>1242</v>
      </c>
      <c r="B20" s="378"/>
      <c r="D20" s="378"/>
      <c r="E20" s="381">
        <f>SUMIF(L_12MonResults_RateClass,MiscData!$Y$14,L_12MonResults_KWH_P2)</f>
        <v>40168</v>
      </c>
      <c r="F20" s="378"/>
      <c r="G20" s="386">
        <f>SUMIF(L_Rates_Tariff_Rate_Category,MiscData!$X$5&amp;MiscData!$AA$41,L_Rates_Energy_P2)</f>
        <v>7.8990000000000005E-2</v>
      </c>
      <c r="H20" s="380">
        <f>ROUND($E20*G20,0)</f>
        <v>3173</v>
      </c>
      <c r="I20" s="400"/>
      <c r="J20" s="384"/>
      <c r="K20" s="385"/>
      <c r="AB20" s="520"/>
      <c r="AD20" s="520"/>
    </row>
    <row r="21" spans="1:30" ht="12.75">
      <c r="A21" s="522" t="s">
        <v>1243</v>
      </c>
      <c r="B21" s="378"/>
      <c r="C21" s="503">
        <f>SUM(C7:C20)</f>
        <v>8555961</v>
      </c>
      <c r="D21" s="378"/>
      <c r="E21" s="381">
        <f>SUMIF(L_12MonResults_RateClass,MiscData!$Y$14,L_12MonResults_KWH_P3)</f>
        <v>32884</v>
      </c>
      <c r="F21" s="378"/>
      <c r="G21" s="386">
        <f>SUMIF(L_Rates_Tariff_Rate_Category,MiscData!$X$5&amp;MiscData!$AA$41,L_Rates_Energy_P3)</f>
        <v>0.14451000000000003</v>
      </c>
      <c r="H21" s="380">
        <f>ROUND($E21*G21,0)</f>
        <v>4752</v>
      </c>
      <c r="I21" s="400"/>
      <c r="J21" s="384"/>
      <c r="K21" s="385"/>
      <c r="AB21" s="520"/>
      <c r="AD21" s="520"/>
    </row>
    <row r="22" spans="1:30" ht="12.75">
      <c r="A22" s="495" t="s">
        <v>121</v>
      </c>
      <c r="B22" s="378"/>
      <c r="C22" s="387"/>
      <c r="D22" s="387"/>
      <c r="E22" s="387"/>
      <c r="F22" s="378"/>
      <c r="G22" s="383"/>
      <c r="H22" s="380">
        <f>SUMIF(L_12MonResults_RateClass,MiscData!$Y$14,L_12MonResults_Revenue_Energy_Adj)</f>
        <v>2.0000000000000004E-2</v>
      </c>
      <c r="I22" s="400"/>
      <c r="J22" s="386"/>
      <c r="K22" s="389"/>
      <c r="N22" s="415"/>
      <c r="O22" s="415"/>
      <c r="P22" s="415"/>
      <c r="Q22" s="415"/>
      <c r="R22" s="415"/>
      <c r="W22" s="378"/>
      <c r="Z22" s="521"/>
      <c r="AB22" s="520"/>
    </row>
    <row r="23" spans="1:30" ht="15">
      <c r="A23" s="435" t="s">
        <v>122</v>
      </c>
      <c r="B23" s="378"/>
      <c r="C23" s="390">
        <f>C17</f>
        <v>117</v>
      </c>
      <c r="D23" s="378"/>
      <c r="E23" s="390">
        <f>SUM(E19:E21)</f>
        <v>169528</v>
      </c>
      <c r="F23" s="381"/>
      <c r="G23" s="378"/>
      <c r="H23" s="391">
        <f>SUM(H17:H22)</f>
        <v>14789.09</v>
      </c>
      <c r="I23" s="400"/>
      <c r="J23" s="386"/>
      <c r="K23" s="389"/>
      <c r="N23" s="415"/>
      <c r="O23" s="415"/>
      <c r="P23" s="415"/>
      <c r="Q23" s="415"/>
      <c r="R23" s="415"/>
      <c r="W23" s="378"/>
      <c r="Z23" s="521"/>
      <c r="AB23" s="520"/>
    </row>
    <row r="24" spans="1:30" ht="12.75">
      <c r="A24" s="378"/>
      <c r="B24" s="378"/>
      <c r="C24" s="387"/>
      <c r="D24" s="378"/>
      <c r="E24" s="381"/>
      <c r="F24" s="378"/>
      <c r="G24" s="378"/>
      <c r="H24" s="380"/>
      <c r="I24" s="400"/>
      <c r="J24" s="388"/>
      <c r="K24" s="385"/>
      <c r="AB24" s="520"/>
    </row>
    <row r="25" spans="1:30" ht="15">
      <c r="A25" s="523" t="s">
        <v>124</v>
      </c>
      <c r="B25" s="378"/>
      <c r="C25" s="394">
        <f>C14+C23</f>
        <v>4278039</v>
      </c>
      <c r="D25" s="387"/>
      <c r="E25" s="394">
        <f>E14+E23</f>
        <v>4115567915</v>
      </c>
      <c r="F25" s="380"/>
      <c r="G25" s="391"/>
      <c r="H25" s="395">
        <f>H14+H23</f>
        <v>378198145.87</v>
      </c>
      <c r="I25" s="524"/>
      <c r="J25" s="393"/>
      <c r="K25" s="393"/>
      <c r="N25" s="415"/>
      <c r="O25" s="415"/>
      <c r="P25" s="415"/>
      <c r="Q25" s="415"/>
      <c r="R25" s="415"/>
      <c r="Z25" s="521"/>
      <c r="AB25" s="520"/>
    </row>
    <row r="26" spans="1:30" ht="12.75">
      <c r="A26" s="435"/>
      <c r="B26" s="378"/>
      <c r="C26" s="387"/>
      <c r="D26" s="387"/>
      <c r="E26" s="387"/>
      <c r="F26" s="378"/>
      <c r="G26" s="378"/>
      <c r="H26" s="380"/>
      <c r="I26" s="400"/>
      <c r="J26" s="388"/>
      <c r="K26" s="385"/>
      <c r="N26" s="415"/>
      <c r="O26" s="415"/>
      <c r="P26" s="415"/>
      <c r="Q26" s="415"/>
      <c r="R26" s="415"/>
      <c r="Z26" s="521"/>
      <c r="AB26" s="520"/>
    </row>
    <row r="27" spans="1:30" ht="12.75">
      <c r="A27" s="435"/>
      <c r="B27" s="378"/>
      <c r="C27" s="381"/>
      <c r="D27" s="396"/>
      <c r="E27" s="381"/>
      <c r="F27" s="381"/>
      <c r="G27" s="397"/>
      <c r="H27" s="398">
        <f>'Sch M-1.3-pg 1'!$J$12</f>
        <v>1</v>
      </c>
      <c r="I27" s="397"/>
      <c r="J27" s="399"/>
      <c r="K27" s="399"/>
      <c r="Z27" s="521"/>
      <c r="AB27" s="520"/>
    </row>
    <row r="28" spans="1:30" ht="12.75">
      <c r="A28" s="435"/>
      <c r="B28" s="378"/>
      <c r="C28" s="381"/>
      <c r="D28" s="378"/>
      <c r="E28" s="381"/>
      <c r="F28" s="381"/>
      <c r="G28" s="400"/>
      <c r="H28" s="380"/>
      <c r="I28" s="400"/>
      <c r="J28" s="388"/>
      <c r="K28" s="401"/>
      <c r="Z28" s="521"/>
      <c r="AB28" s="520"/>
    </row>
    <row r="29" spans="1:30" ht="15">
      <c r="A29" s="525" t="s">
        <v>125</v>
      </c>
      <c r="B29" s="378"/>
      <c r="C29" s="381"/>
      <c r="D29" s="381"/>
      <c r="E29" s="378"/>
      <c r="F29" s="378"/>
      <c r="G29" s="400"/>
      <c r="H29" s="402">
        <f>ROUND(H25/H27,0)</f>
        <v>378198146</v>
      </c>
      <c r="I29" s="400"/>
      <c r="J29" s="388"/>
      <c r="K29" s="403"/>
      <c r="Z29" s="521"/>
      <c r="AB29" s="520"/>
    </row>
    <row r="30" spans="1:30" ht="12.75">
      <c r="A30" s="525"/>
      <c r="B30" s="378"/>
      <c r="C30" s="381"/>
      <c r="D30" s="378"/>
      <c r="E30" s="378"/>
      <c r="F30" s="378"/>
      <c r="G30" s="400"/>
      <c r="H30" s="380"/>
      <c r="I30" s="400"/>
      <c r="J30" s="388"/>
      <c r="K30" s="389"/>
      <c r="Z30" s="521"/>
      <c r="AB30" s="520"/>
    </row>
    <row r="31" spans="1:30" ht="15">
      <c r="A31" s="525" t="s">
        <v>895</v>
      </c>
      <c r="B31" s="378"/>
      <c r="C31" s="381"/>
      <c r="D31" s="378"/>
      <c r="E31" s="381"/>
      <c r="F31" s="378"/>
      <c r="G31" s="400"/>
      <c r="H31" s="402"/>
      <c r="I31" s="400"/>
      <c r="Z31" s="521"/>
    </row>
    <row r="32" spans="1:30" ht="12.75">
      <c r="A32" s="525" t="s">
        <v>127</v>
      </c>
      <c r="B32" s="378"/>
      <c r="C32" s="381"/>
      <c r="D32" s="378"/>
      <c r="E32" s="381"/>
      <c r="F32" s="378"/>
      <c r="G32" s="400"/>
      <c r="H32" s="380">
        <f>'Sch M-1.3-pg 1'!$D$12</f>
        <v>-730570</v>
      </c>
      <c r="I32" s="400"/>
      <c r="W32" s="526"/>
      <c r="Z32" s="521"/>
    </row>
    <row r="33" spans="1:36" ht="12.75">
      <c r="A33" s="525" t="s">
        <v>128</v>
      </c>
      <c r="B33" s="378"/>
      <c r="C33" s="381"/>
      <c r="D33" s="378"/>
      <c r="E33" s="381"/>
      <c r="F33" s="378"/>
      <c r="G33" s="400"/>
      <c r="H33" s="380">
        <f>'Sch M-1.3-pg 1'!$E$12</f>
        <v>15427640</v>
      </c>
      <c r="I33" s="400"/>
      <c r="W33" s="526"/>
      <c r="Z33" s="521"/>
    </row>
    <row r="34" spans="1:36" ht="15">
      <c r="A34" s="525" t="s">
        <v>129</v>
      </c>
      <c r="B34" s="378"/>
      <c r="C34" s="381"/>
      <c r="D34" s="378"/>
      <c r="E34" s="381"/>
      <c r="F34" s="378"/>
      <c r="G34" s="400"/>
      <c r="H34" s="391">
        <f>'Sch M-1.3-pg 1'!$F$12</f>
        <v>14887378</v>
      </c>
      <c r="I34" s="400"/>
      <c r="W34" s="526"/>
      <c r="Z34" s="521"/>
    </row>
    <row r="35" spans="1:36" ht="15">
      <c r="A35" s="527" t="s">
        <v>894</v>
      </c>
      <c r="B35" s="378"/>
      <c r="C35" s="381"/>
      <c r="D35" s="378"/>
      <c r="E35" s="381"/>
      <c r="F35" s="378"/>
      <c r="G35" s="400"/>
      <c r="H35" s="402">
        <f>SUM(H32:H34)</f>
        <v>29584448</v>
      </c>
      <c r="I35" s="400"/>
      <c r="Z35" s="521"/>
    </row>
    <row r="36" spans="1:36" ht="15">
      <c r="A36" s="527"/>
      <c r="B36" s="378"/>
      <c r="C36" s="381"/>
      <c r="D36" s="378"/>
      <c r="E36" s="381"/>
      <c r="F36" s="378"/>
      <c r="G36" s="400"/>
      <c r="H36" s="402"/>
      <c r="I36" s="400"/>
      <c r="Z36" s="521"/>
    </row>
    <row r="37" spans="1:36" ht="15">
      <c r="A37" s="527" t="s">
        <v>131</v>
      </c>
      <c r="B37" s="378"/>
      <c r="C37" s="381"/>
      <c r="D37" s="378"/>
      <c r="E37" s="381"/>
      <c r="F37" s="378"/>
      <c r="G37" s="400"/>
      <c r="H37" s="404">
        <f>H35+H29</f>
        <v>407782594</v>
      </c>
      <c r="I37" s="400"/>
      <c r="Z37" s="521"/>
    </row>
    <row r="38" spans="1:36" ht="15">
      <c r="A38" s="421"/>
      <c r="B38" s="378"/>
      <c r="C38" s="381"/>
      <c r="D38" s="378"/>
      <c r="E38" s="381"/>
      <c r="F38" s="378"/>
      <c r="G38" s="400"/>
      <c r="H38" s="402"/>
      <c r="I38" s="400"/>
      <c r="Z38" s="521"/>
    </row>
    <row r="39" spans="1:36" ht="15">
      <c r="A39" s="421"/>
      <c r="B39" s="378"/>
      <c r="C39" s="381"/>
      <c r="D39" s="378"/>
      <c r="E39" s="381"/>
      <c r="F39" s="378"/>
      <c r="G39" s="400"/>
      <c r="H39" s="402"/>
      <c r="I39" s="400"/>
      <c r="Z39" s="521"/>
    </row>
    <row r="40" spans="1:36" ht="12.75">
      <c r="A40" s="498" t="s">
        <v>1230</v>
      </c>
      <c r="I40" s="499" t="str">
        <f>'Sch M-1.3-pg 1'!$J$1</f>
        <v>Schedule M-1.3-E</v>
      </c>
      <c r="W40" s="515"/>
      <c r="Y40" s="515"/>
      <c r="Z40" s="515"/>
      <c r="AA40" s="515"/>
      <c r="AB40" s="515"/>
      <c r="AC40" s="515"/>
      <c r="AD40" s="515"/>
      <c r="AE40" s="515"/>
      <c r="AF40" s="515"/>
      <c r="AG40" s="515"/>
      <c r="AH40" s="515"/>
      <c r="AI40" s="515"/>
      <c r="AJ40" s="515"/>
    </row>
    <row r="41" spans="1:36" ht="12.75">
      <c r="A41" s="500" t="s">
        <v>1231</v>
      </c>
      <c r="I41" s="499" t="str">
        <f>"Page "&amp;M41&amp;" of "&amp;N41</f>
        <v>Page 3 of 19</v>
      </c>
      <c r="M41" s="329">
        <f>M2+1</f>
        <v>3</v>
      </c>
      <c r="N41" s="329">
        <f>'Sch M-1.3 pgs 14-19'!$K$178</f>
        <v>19</v>
      </c>
      <c r="W41" s="515"/>
    </row>
    <row r="42" spans="1:36" ht="12.75">
      <c r="A42" s="500" t="s">
        <v>1223</v>
      </c>
      <c r="I42" s="501" t="str">
        <f>'Sch M-1.3-pg 1'!$J$3</f>
        <v>Witness:  M.J. Blake</v>
      </c>
      <c r="T42" s="507"/>
      <c r="W42" s="515"/>
      <c r="X42" s="507"/>
    </row>
    <row r="43" spans="1:36" ht="12.75">
      <c r="A43" s="502"/>
      <c r="B43" s="378"/>
      <c r="C43" s="400"/>
      <c r="D43" s="416"/>
      <c r="E43" s="378"/>
      <c r="F43" s="378"/>
      <c r="G43" s="719"/>
      <c r="H43" s="720"/>
      <c r="I43" s="400"/>
      <c r="J43" s="417"/>
      <c r="K43" s="417"/>
      <c r="W43" s="507"/>
      <c r="Y43" s="515"/>
      <c r="Z43" s="515"/>
      <c r="AA43" s="515"/>
      <c r="AB43" s="515"/>
      <c r="AC43" s="515"/>
    </row>
    <row r="44" spans="1:36" ht="12.75">
      <c r="A44" s="511"/>
      <c r="B44" s="388"/>
      <c r="C44" s="417"/>
      <c r="D44" s="538"/>
      <c r="E44" s="417"/>
      <c r="F44" s="388"/>
      <c r="G44" s="417" t="s">
        <v>114</v>
      </c>
      <c r="H44" s="417" t="s">
        <v>115</v>
      </c>
      <c r="I44" s="539"/>
      <c r="J44" s="417"/>
      <c r="K44" s="417"/>
      <c r="Y44" s="515"/>
      <c r="Z44" s="515"/>
      <c r="AA44" s="515"/>
      <c r="AB44" s="515"/>
      <c r="AC44" s="515"/>
      <c r="AD44" s="515"/>
      <c r="AE44" s="515"/>
    </row>
    <row r="45" spans="1:36" ht="12.75">
      <c r="A45" s="513"/>
      <c r="B45" s="540"/>
      <c r="C45" s="541" t="s">
        <v>74</v>
      </c>
      <c r="D45" s="542"/>
      <c r="E45" s="543" t="s">
        <v>117</v>
      </c>
      <c r="F45" s="544"/>
      <c r="G45" s="543" t="s">
        <v>118</v>
      </c>
      <c r="H45" s="543" t="s">
        <v>119</v>
      </c>
      <c r="I45" s="544"/>
      <c r="J45" s="417"/>
      <c r="K45" s="417"/>
      <c r="W45" s="507"/>
    </row>
    <row r="46" spans="1:36" ht="12.75">
      <c r="A46" s="516"/>
      <c r="B46" s="378"/>
      <c r="C46" s="414"/>
      <c r="D46" s="412"/>
      <c r="E46" s="440"/>
      <c r="F46" s="400"/>
      <c r="G46" s="440"/>
      <c r="H46" s="413"/>
      <c r="I46" s="400"/>
      <c r="J46" s="417"/>
      <c r="K46" s="417"/>
      <c r="Y46" s="515"/>
      <c r="Z46" s="515"/>
      <c r="AA46" s="515"/>
      <c r="AB46" s="515"/>
    </row>
    <row r="47" spans="1:36" ht="12.75">
      <c r="A47" s="421" t="s">
        <v>1338</v>
      </c>
      <c r="B47" s="378"/>
      <c r="C47" s="379"/>
      <c r="D47" s="378"/>
      <c r="E47" s="379"/>
      <c r="F47" s="379"/>
      <c r="G47" s="378"/>
      <c r="H47" s="380"/>
      <c r="I47" s="379"/>
      <c r="Z47" s="521"/>
      <c r="AB47" s="520"/>
    </row>
    <row r="48" spans="1:36" ht="12.75">
      <c r="A48" s="528" t="s">
        <v>917</v>
      </c>
      <c r="B48" s="378"/>
      <c r="C48" s="379"/>
      <c r="D48" s="378"/>
      <c r="E48" s="379"/>
      <c r="F48" s="379"/>
      <c r="G48" s="378"/>
      <c r="H48" s="380"/>
      <c r="I48" s="379"/>
      <c r="Z48" s="521"/>
      <c r="AB48" s="520"/>
    </row>
    <row r="49" spans="1:28" ht="12.75">
      <c r="A49" s="519" t="s">
        <v>74</v>
      </c>
      <c r="B49" s="378"/>
      <c r="C49" s="381">
        <f>SUMIF(L_12MonResults_RateClass,MiscData!$Y$11,L_12MonResults_Contract_Cnt)+SUMIF(L_12MonResults_RateClass,MiscData!$Y$11,L_12MonResults_Contract_Cnt_Adj)</f>
        <v>339849</v>
      </c>
      <c r="D49" s="378"/>
      <c r="E49" s="378"/>
      <c r="F49" s="378"/>
      <c r="G49" s="382">
        <f>SUMIF(L_Rates_Tariff_Rate_Category,MiscData!$X$5&amp;MiscData!$AA$9,L_Rates_BSC)</f>
        <v>20</v>
      </c>
      <c r="H49" s="380">
        <f>ROUND($C49*G49,0)</f>
        <v>6796980</v>
      </c>
      <c r="I49" s="400"/>
      <c r="J49" s="382"/>
      <c r="K49" s="389"/>
      <c r="W49" s="378"/>
      <c r="AB49" s="520"/>
    </row>
    <row r="50" spans="1:28" ht="12.75">
      <c r="A50" s="495" t="s">
        <v>121</v>
      </c>
      <c r="B50" s="378"/>
      <c r="C50" s="381"/>
      <c r="D50" s="378"/>
      <c r="E50" s="378"/>
      <c r="F50" s="378"/>
      <c r="G50" s="383"/>
      <c r="H50" s="380">
        <f>SUMIF(L_12MonResults_RateClass,MiscData!$Y$11,L_12MonResults_Revenue_Customer_Adj)</f>
        <v>-8096.98</v>
      </c>
      <c r="I50" s="400"/>
      <c r="J50" s="382"/>
      <c r="K50" s="389"/>
      <c r="W50" s="378"/>
      <c r="AB50" s="520"/>
    </row>
    <row r="51" spans="1:28" ht="12.75">
      <c r="A51" s="519" t="s">
        <v>75</v>
      </c>
      <c r="B51" s="378"/>
      <c r="D51" s="378"/>
      <c r="E51" s="381">
        <f>SUMIF(L_12MonResults_RateClass,MiscData!$Y$11,L_12MonResults_KWH_Total)+SUMIF(L_12MonResults_RateClass,MiscData!$Y$11,L_12MonResults_KWH_OutOfPeriod)</f>
        <v>397529808</v>
      </c>
      <c r="F51" s="378"/>
      <c r="G51" s="386">
        <f>SUMIF(L_Rates_Tariff_Rate_Category,MiscData!$X$5&amp;MiscData!$AA$9,L_Rates_Energy)</f>
        <v>9.1340000000000005E-2</v>
      </c>
      <c r="H51" s="380">
        <f>ROUND($E51*G51,0)</f>
        <v>36310373</v>
      </c>
      <c r="I51" s="400"/>
      <c r="J51" s="382"/>
      <c r="K51" s="389"/>
      <c r="W51" s="378"/>
      <c r="AB51" s="520"/>
    </row>
    <row r="52" spans="1:28" ht="12.75">
      <c r="A52" s="495" t="s">
        <v>121</v>
      </c>
      <c r="B52" s="378"/>
      <c r="C52" s="387"/>
      <c r="D52" s="387"/>
      <c r="E52" s="387"/>
      <c r="F52" s="378"/>
      <c r="G52" s="383"/>
      <c r="H52" s="380">
        <f>SUMIF(L_12MonResults_RateClass,MiscData!$Y$11,L_12MonResults_Revenue_Energy_Adj)</f>
        <v>1428.93</v>
      </c>
      <c r="I52" s="400"/>
      <c r="J52" s="382"/>
      <c r="K52" s="389"/>
      <c r="W52" s="378"/>
      <c r="AB52" s="520"/>
    </row>
    <row r="53" spans="1:28" ht="12.75">
      <c r="A53" s="378" t="s">
        <v>918</v>
      </c>
      <c r="B53" s="378"/>
      <c r="C53" s="387"/>
      <c r="D53" s="378"/>
      <c r="E53" s="381"/>
      <c r="F53" s="378"/>
      <c r="G53" s="378"/>
      <c r="H53" s="380"/>
      <c r="I53" s="400"/>
      <c r="J53" s="388"/>
      <c r="K53" s="385"/>
      <c r="Z53" s="521"/>
      <c r="AB53" s="520"/>
    </row>
    <row r="54" spans="1:28" ht="12.75">
      <c r="A54" s="519" t="s">
        <v>74</v>
      </c>
      <c r="B54" s="378"/>
      <c r="C54" s="381">
        <f>SUMIF(L_12MonResults_RateClass,MiscData!$Y$10,L_12MonResults_Contract_Cnt)+SUMIF(L_12MonResults_RateClass,MiscData!$Y$10,L_12MonResults_Contract_Cnt_Adj)</f>
        <v>188659</v>
      </c>
      <c r="D54" s="378"/>
      <c r="E54" s="378"/>
      <c r="F54" s="378"/>
      <c r="G54" s="382">
        <f>SUMIF(L_Rates_Tariff_Rate_Category,MiscData!$X$5&amp;MiscData!$AA$19,L_Rates_BSC)</f>
        <v>35</v>
      </c>
      <c r="H54" s="380">
        <f>ROUND($C54*G54,0)</f>
        <v>6603065</v>
      </c>
      <c r="I54" s="379"/>
      <c r="X54" s="378"/>
      <c r="Y54" s="378"/>
      <c r="Z54" s="521"/>
      <c r="AB54" s="520"/>
    </row>
    <row r="55" spans="1:28" ht="12.75">
      <c r="A55" s="495" t="s">
        <v>121</v>
      </c>
      <c r="B55" s="378"/>
      <c r="C55" s="381"/>
      <c r="D55" s="378"/>
      <c r="E55" s="378"/>
      <c r="F55" s="378"/>
      <c r="G55" s="383"/>
      <c r="H55" s="380">
        <f>SUMIF(L_12MonResults_RateClass,MiscData!$Y$10,L_12MonResults_Revenue_Customer_Adj)</f>
        <v>-14553.960000000001</v>
      </c>
      <c r="I55" s="400"/>
      <c r="W55" s="378"/>
      <c r="X55" s="507"/>
      <c r="Y55" s="378"/>
      <c r="Z55" s="521"/>
      <c r="AB55" s="520"/>
    </row>
    <row r="56" spans="1:28" ht="12.75">
      <c r="A56" s="519" t="s">
        <v>75</v>
      </c>
      <c r="B56" s="378"/>
      <c r="D56" s="378"/>
      <c r="E56" s="381">
        <f>SUMIF(L_12MonResults_RateClass,MiscData!$Y$10,L_12MonResults_KWH_Total)+SUMIF(L_12MonResults_RateClass,MiscData!$Y$10,L_12MonResults_KWH_OutOfPeriod)</f>
        <v>963010272</v>
      </c>
      <c r="F56" s="378"/>
      <c r="G56" s="386">
        <f>SUMIF(L_Rates_Tariff_Rate_Category,MiscData!$X$5&amp;MiscData!$AA$19,L_Rates_Energy)</f>
        <v>9.1340000000000005E-2</v>
      </c>
      <c r="H56" s="380">
        <f>ROUND($E56*G56,0)</f>
        <v>87961358</v>
      </c>
      <c r="I56" s="400"/>
      <c r="W56" s="378"/>
      <c r="X56" s="507"/>
      <c r="Y56" s="378"/>
      <c r="Z56" s="521"/>
      <c r="AB56" s="520"/>
    </row>
    <row r="57" spans="1:28" ht="12.75">
      <c r="A57" s="495" t="s">
        <v>121</v>
      </c>
      <c r="B57" s="378"/>
      <c r="C57" s="387"/>
      <c r="D57" s="387"/>
      <c r="E57" s="387"/>
      <c r="F57" s="378"/>
      <c r="G57" s="383"/>
      <c r="H57" s="380">
        <f>SUMIF(L_12MonResults_RateClass,MiscData!$Y$10,L_12MonResults_Revenue_Energy_Adj)</f>
        <v>448.86000000000007</v>
      </c>
      <c r="I57" s="400"/>
      <c r="W57" s="378"/>
      <c r="X57" s="507"/>
      <c r="Z57" s="521"/>
      <c r="AB57" s="520"/>
    </row>
    <row r="58" spans="1:28" ht="15">
      <c r="A58" s="523" t="s">
        <v>122</v>
      </c>
      <c r="B58" s="378"/>
      <c r="C58" s="390">
        <f>SUM(C49:C57)</f>
        <v>528508</v>
      </c>
      <c r="D58" s="378"/>
      <c r="E58" s="390">
        <f>SUM(E49:E57)</f>
        <v>1360540080</v>
      </c>
      <c r="F58" s="381"/>
      <c r="G58" s="378"/>
      <c r="H58" s="391">
        <f>SUM(H49:H57)</f>
        <v>137651002.85000002</v>
      </c>
      <c r="I58" s="379"/>
      <c r="J58" s="392"/>
      <c r="K58" s="393"/>
      <c r="Z58" s="521"/>
      <c r="AB58" s="520"/>
    </row>
    <row r="59" spans="1:28" ht="12.75">
      <c r="A59" s="378"/>
      <c r="B59" s="378"/>
      <c r="C59" s="387"/>
      <c r="D59" s="378"/>
      <c r="E59" s="381"/>
      <c r="F59" s="378"/>
      <c r="G59" s="378"/>
      <c r="H59" s="380"/>
      <c r="I59" s="400"/>
      <c r="J59" s="388"/>
      <c r="K59" s="385"/>
      <c r="Z59" s="521"/>
      <c r="AB59" s="520"/>
    </row>
    <row r="60" spans="1:28" ht="12.75">
      <c r="A60" s="435"/>
      <c r="B60" s="378"/>
      <c r="C60" s="381"/>
      <c r="D60" s="396"/>
      <c r="E60" s="381"/>
      <c r="F60" s="381"/>
      <c r="G60" s="397"/>
      <c r="H60" s="398">
        <f>'Sch M-1.3-pg 1'!$J$17</f>
        <v>1.0000000290589972</v>
      </c>
      <c r="I60" s="397"/>
      <c r="Z60" s="521"/>
    </row>
    <row r="61" spans="1:28" ht="12.75">
      <c r="A61" s="435"/>
      <c r="B61" s="378"/>
      <c r="C61" s="381"/>
      <c r="D61" s="378"/>
      <c r="E61" s="381"/>
      <c r="F61" s="381"/>
      <c r="G61" s="400"/>
      <c r="H61" s="380"/>
      <c r="I61" s="400"/>
      <c r="Z61" s="521"/>
    </row>
    <row r="62" spans="1:28" ht="15">
      <c r="A62" s="525" t="s">
        <v>125</v>
      </c>
      <c r="B62" s="378"/>
      <c r="C62" s="381"/>
      <c r="D62" s="381"/>
      <c r="E62" s="378"/>
      <c r="F62" s="378"/>
      <c r="G62" s="400"/>
      <c r="H62" s="402">
        <f>ROUND(H58/H60,0)</f>
        <v>137650999</v>
      </c>
      <c r="I62" s="400"/>
      <c r="Z62" s="521"/>
    </row>
    <row r="63" spans="1:28" ht="12.75">
      <c r="A63" s="525"/>
      <c r="B63" s="378"/>
      <c r="C63" s="381"/>
      <c r="D63" s="378"/>
      <c r="E63" s="378"/>
      <c r="F63" s="378"/>
      <c r="G63" s="400"/>
      <c r="H63" s="380"/>
      <c r="I63" s="400"/>
      <c r="Z63" s="521"/>
    </row>
    <row r="64" spans="1:28" ht="15">
      <c r="A64" s="525" t="s">
        <v>895</v>
      </c>
      <c r="B64" s="378"/>
      <c r="C64" s="381"/>
      <c r="D64" s="378"/>
      <c r="E64" s="381"/>
      <c r="F64" s="378"/>
      <c r="G64" s="400"/>
      <c r="H64" s="402"/>
      <c r="I64" s="400"/>
      <c r="Z64" s="521"/>
    </row>
    <row r="65" spans="1:36" ht="12.75">
      <c r="A65" s="525" t="s">
        <v>127</v>
      </c>
      <c r="B65" s="378"/>
      <c r="C65" s="381"/>
      <c r="D65" s="378"/>
      <c r="E65" s="381"/>
      <c r="F65" s="378"/>
      <c r="G65" s="400"/>
      <c r="H65" s="380">
        <f>'Sch M-1.3-pg 1'!D17</f>
        <v>-160214</v>
      </c>
      <c r="I65" s="400"/>
      <c r="W65" s="507"/>
      <c r="Z65" s="521"/>
    </row>
    <row r="66" spans="1:36" ht="12.75">
      <c r="A66" s="525" t="s">
        <v>128</v>
      </c>
      <c r="B66" s="378"/>
      <c r="C66" s="381"/>
      <c r="D66" s="378"/>
      <c r="E66" s="381"/>
      <c r="F66" s="378"/>
      <c r="G66" s="400"/>
      <c r="H66" s="380">
        <f>'Sch M-1.3-pg 1'!E17</f>
        <v>3541366</v>
      </c>
      <c r="I66" s="400"/>
      <c r="W66" s="507"/>
      <c r="Z66" s="521"/>
    </row>
    <row r="67" spans="1:36" ht="15">
      <c r="A67" s="525" t="s">
        <v>129</v>
      </c>
      <c r="B67" s="378"/>
      <c r="C67" s="381"/>
      <c r="D67" s="378"/>
      <c r="E67" s="381"/>
      <c r="F67" s="378"/>
      <c r="G67" s="400"/>
      <c r="H67" s="391">
        <f>'Sch M-1.3-pg 1'!F17</f>
        <v>5365078</v>
      </c>
      <c r="I67" s="400"/>
      <c r="W67" s="507"/>
      <c r="Z67" s="521"/>
    </row>
    <row r="68" spans="1:36" ht="15">
      <c r="A68" s="527" t="s">
        <v>894</v>
      </c>
      <c r="B68" s="378"/>
      <c r="C68" s="381"/>
      <c r="D68" s="378"/>
      <c r="E68" s="381"/>
      <c r="F68" s="378"/>
      <c r="G68" s="400"/>
      <c r="H68" s="402">
        <f>SUM(H65:H67)</f>
        <v>8746230</v>
      </c>
      <c r="I68" s="400"/>
      <c r="Z68" s="521"/>
    </row>
    <row r="69" spans="1:36" ht="15">
      <c r="A69" s="527"/>
      <c r="B69" s="378"/>
      <c r="C69" s="381"/>
      <c r="D69" s="378"/>
      <c r="E69" s="381"/>
      <c r="F69" s="378"/>
      <c r="G69" s="400"/>
      <c r="H69" s="402"/>
      <c r="I69" s="400"/>
      <c r="Z69" s="521"/>
    </row>
    <row r="70" spans="1:36" ht="15">
      <c r="A70" s="527" t="s">
        <v>131</v>
      </c>
      <c r="B70" s="378"/>
      <c r="C70" s="381"/>
      <c r="D70" s="378"/>
      <c r="E70" s="381"/>
      <c r="F70" s="378"/>
      <c r="G70" s="400"/>
      <c r="H70" s="404">
        <f>H68+H62</f>
        <v>146397229</v>
      </c>
      <c r="I70" s="400"/>
      <c r="Z70" s="521"/>
    </row>
    <row r="71" spans="1:36" ht="15">
      <c r="A71" s="421"/>
      <c r="B71" s="378"/>
      <c r="C71" s="381"/>
      <c r="D71" s="378"/>
      <c r="E71" s="381"/>
      <c r="F71" s="378"/>
      <c r="G71" s="400"/>
      <c r="H71" s="402"/>
      <c r="I71" s="400"/>
      <c r="Z71" s="521"/>
    </row>
    <row r="72" spans="1:36" ht="15">
      <c r="A72" s="421"/>
      <c r="B72" s="378"/>
      <c r="C72" s="381"/>
      <c r="D72" s="378"/>
      <c r="E72" s="381"/>
      <c r="F72" s="378"/>
      <c r="G72" s="400"/>
      <c r="H72" s="402"/>
      <c r="I72" s="400"/>
      <c r="Z72" s="521"/>
    </row>
    <row r="73" spans="1:36" ht="12.75">
      <c r="A73" s="498" t="s">
        <v>1230</v>
      </c>
      <c r="I73" s="499" t="str">
        <f>'Sch M-1.3-pg 1'!$J$1</f>
        <v>Schedule M-1.3-E</v>
      </c>
      <c r="W73" s="515"/>
      <c r="Y73" s="515"/>
      <c r="Z73" s="515"/>
      <c r="AA73" s="515"/>
      <c r="AB73" s="515"/>
      <c r="AC73" s="515"/>
      <c r="AD73" s="515"/>
      <c r="AE73" s="515"/>
      <c r="AF73" s="515"/>
      <c r="AG73" s="515"/>
      <c r="AH73" s="515"/>
      <c r="AI73" s="515"/>
      <c r="AJ73" s="515"/>
    </row>
    <row r="74" spans="1:36" ht="12.75">
      <c r="A74" s="500" t="s">
        <v>1231</v>
      </c>
      <c r="I74" s="499" t="str">
        <f>"Page "&amp;M74&amp;" of "&amp;N74</f>
        <v>Page 4 of 19</v>
      </c>
      <c r="M74" s="329">
        <f>M41+1</f>
        <v>4</v>
      </c>
      <c r="N74" s="329">
        <f>'Sch M-1.3 pgs 14-19'!$K$178</f>
        <v>19</v>
      </c>
      <c r="W74" s="515"/>
    </row>
    <row r="75" spans="1:36" ht="12.75">
      <c r="A75" s="500" t="s">
        <v>1223</v>
      </c>
      <c r="I75" s="501" t="str">
        <f>'Sch M-1.3-pg 1'!$J$3</f>
        <v>Witness:  M.J. Blake</v>
      </c>
      <c r="T75" s="507"/>
      <c r="W75" s="515"/>
      <c r="X75" s="507"/>
    </row>
    <row r="76" spans="1:36" ht="12.75">
      <c r="A76" s="502"/>
      <c r="B76" s="378"/>
      <c r="C76" s="400"/>
      <c r="D76" s="416"/>
      <c r="E76" s="378"/>
      <c r="F76" s="378"/>
      <c r="G76" s="719"/>
      <c r="H76" s="720"/>
      <c r="I76" s="400"/>
      <c r="J76" s="417"/>
      <c r="K76" s="417"/>
      <c r="W76" s="507"/>
      <c r="Y76" s="515"/>
      <c r="Z76" s="515"/>
      <c r="AA76" s="515"/>
      <c r="AB76" s="515"/>
      <c r="AC76" s="515"/>
    </row>
    <row r="77" spans="1:36" ht="12.75">
      <c r="A77" s="511"/>
      <c r="B77" s="388"/>
      <c r="C77" s="417"/>
      <c r="D77" s="538"/>
      <c r="E77" s="417"/>
      <c r="F77" s="388"/>
      <c r="G77" s="417" t="s">
        <v>114</v>
      </c>
      <c r="H77" s="417" t="s">
        <v>115</v>
      </c>
      <c r="I77" s="539"/>
      <c r="J77" s="417"/>
      <c r="K77" s="417"/>
      <c r="Y77" s="515"/>
      <c r="Z77" s="515"/>
      <c r="AA77" s="515"/>
      <c r="AB77" s="515"/>
      <c r="AC77" s="515"/>
      <c r="AD77" s="515"/>
      <c r="AE77" s="515"/>
    </row>
    <row r="78" spans="1:36" ht="12.75">
      <c r="A78" s="513"/>
      <c r="B78" s="540"/>
      <c r="C78" s="541" t="s">
        <v>74</v>
      </c>
      <c r="D78" s="542"/>
      <c r="E78" s="543" t="s">
        <v>117</v>
      </c>
      <c r="F78" s="544"/>
      <c r="G78" s="543" t="s">
        <v>118</v>
      </c>
      <c r="H78" s="543" t="s">
        <v>119</v>
      </c>
      <c r="I78" s="544"/>
      <c r="J78" s="417"/>
      <c r="K78" s="417"/>
      <c r="W78" s="507"/>
    </row>
    <row r="79" spans="1:36" ht="12.75">
      <c r="A79" s="516"/>
      <c r="B79" s="378"/>
      <c r="C79" s="414"/>
      <c r="D79" s="412"/>
      <c r="E79" s="440"/>
      <c r="F79" s="400"/>
      <c r="G79" s="440"/>
      <c r="H79" s="413"/>
      <c r="I79" s="400"/>
      <c r="J79" s="417"/>
      <c r="K79" s="417"/>
      <c r="Y79" s="515"/>
      <c r="Z79" s="515"/>
      <c r="AA79" s="515"/>
      <c r="AB79" s="515"/>
    </row>
    <row r="80" spans="1:36" ht="12.75">
      <c r="A80" s="421" t="s">
        <v>909</v>
      </c>
      <c r="B80" s="378"/>
      <c r="C80" s="379"/>
      <c r="D80" s="378"/>
      <c r="E80" s="379"/>
      <c r="F80" s="379"/>
      <c r="G80" s="378"/>
      <c r="H80" s="380"/>
      <c r="I80" s="379"/>
      <c r="Z80" s="521"/>
    </row>
    <row r="81" spans="1:26" ht="12.75">
      <c r="A81" s="519" t="s">
        <v>74</v>
      </c>
      <c r="B81" s="378"/>
      <c r="C81" s="381">
        <f>SUMIF(L_12MonResults_RateClass,MiscData!$Y$17,L_12MonResults_Contract_Cnt)+SUMIF(L_12MonResults_RateClass,MiscData!$Y$17,L_12MonResults_Contract_Cnt_Adj)</f>
        <v>33819</v>
      </c>
      <c r="D81" s="378"/>
      <c r="E81" s="378"/>
      <c r="F81" s="378"/>
      <c r="G81" s="382">
        <f>SUMIF(L_Rates_Tariff_Rate_Category,MiscData!$X$5&amp;MiscData!$AA$15,L_Rates_BSC)</f>
        <v>90</v>
      </c>
      <c r="H81" s="380">
        <f>ROUND($C81*G81,0)</f>
        <v>3043710</v>
      </c>
      <c r="I81" s="379"/>
      <c r="Z81" s="521"/>
    </row>
    <row r="82" spans="1:26" ht="12.75">
      <c r="A82" s="495" t="s">
        <v>121</v>
      </c>
      <c r="B82" s="378"/>
      <c r="C82" s="381"/>
      <c r="D82" s="378"/>
      <c r="E82" s="378"/>
      <c r="F82" s="378"/>
      <c r="G82" s="383"/>
      <c r="H82" s="380">
        <f>SUMIF(L_12MonResults_RateClass,MiscData!$Y$17,L_12MonResults_Revenue_Customer_Adj)</f>
        <v>49.790000000000873</v>
      </c>
      <c r="I82" s="400"/>
      <c r="J82" s="382"/>
      <c r="K82" s="389"/>
      <c r="T82" s="526"/>
      <c r="W82" s="378"/>
      <c r="X82" s="378"/>
      <c r="Z82" s="521"/>
    </row>
    <row r="83" spans="1:26" ht="12.75">
      <c r="A83" s="519" t="s">
        <v>75</v>
      </c>
      <c r="B83" s="378"/>
      <c r="D83" s="378"/>
      <c r="E83" s="381">
        <f>SUMIF(L_12MonResults_RateClass,MiscData!$Y$17,L_12MonResults_KWH_Total)+SUMIF(L_12MonResults_RateClass,MiscData!$Y$17,L_12MonResults_KWH_OutOfPeriod)</f>
        <v>1993259032</v>
      </c>
      <c r="F83" s="378"/>
      <c r="G83" s="386">
        <f>SUMIF(L_Rates_Tariff_Rate_Category,MiscData!$X$5&amp;MiscData!$AA$15,L_Rates_Energy)</f>
        <v>4.0599999999999997E-2</v>
      </c>
      <c r="H83" s="380">
        <f>ROUND($E83*G83,0)</f>
        <v>80926317</v>
      </c>
      <c r="I83" s="400"/>
      <c r="J83" s="382"/>
      <c r="K83" s="389"/>
      <c r="T83" s="526"/>
      <c r="W83" s="378"/>
      <c r="X83" s="378"/>
      <c r="Z83" s="521"/>
    </row>
    <row r="84" spans="1:26" ht="12.75">
      <c r="A84" s="495" t="s">
        <v>121</v>
      </c>
      <c r="B84" s="378"/>
      <c r="C84" s="387"/>
      <c r="D84" s="381"/>
      <c r="E84" s="387"/>
      <c r="F84" s="378"/>
      <c r="G84" s="382"/>
      <c r="H84" s="380">
        <f>SUMIF(L_12MonResults_RateClass,MiscData!$Y$17,L_12MonResults_Revenue_Energy_Adj)</f>
        <v>-4215.1099999999997</v>
      </c>
      <c r="I84" s="400"/>
      <c r="J84" s="382"/>
      <c r="K84" s="389"/>
      <c r="T84" s="526"/>
      <c r="W84" s="378"/>
      <c r="X84" s="378"/>
      <c r="Z84" s="521"/>
    </row>
    <row r="85" spans="1:26" ht="12.75">
      <c r="A85" s="489" t="s">
        <v>1263</v>
      </c>
      <c r="B85" s="378"/>
      <c r="C85" s="387"/>
      <c r="D85" s="381"/>
      <c r="E85" s="387"/>
      <c r="F85" s="378"/>
      <c r="G85" s="382"/>
      <c r="H85" s="380"/>
      <c r="I85" s="400"/>
      <c r="J85" s="382"/>
      <c r="K85" s="389"/>
      <c r="T85" s="526"/>
      <c r="W85" s="378"/>
      <c r="X85" s="378"/>
      <c r="Z85" s="521"/>
    </row>
    <row r="86" spans="1:26" ht="12.75">
      <c r="A86" s="545" t="s">
        <v>1264</v>
      </c>
      <c r="B86" s="378"/>
      <c r="C86" s="381"/>
      <c r="D86" s="381">
        <f>SUMIF(L_12MonResults_RateClass,MiscData!$Y$17,L_12MonResults_Demand_Measured_Peak)</f>
        <v>2319908.6800000002</v>
      </c>
      <c r="E86" s="387"/>
      <c r="F86" s="378"/>
      <c r="G86" s="382">
        <f>SUMIF(L_Rates_Tariff_Rate_Category,MiscData!$X$5&amp;MiscData!$AA$15,L_Rates_Demand_Peak)</f>
        <v>16.399999999999999</v>
      </c>
      <c r="H86" s="380">
        <f>ROUND($D86*G86,0)</f>
        <v>38046502</v>
      </c>
      <c r="I86" s="400"/>
      <c r="J86" s="384"/>
      <c r="K86" s="385"/>
      <c r="T86" s="526"/>
      <c r="Z86" s="521"/>
    </row>
    <row r="87" spans="1:26" ht="12.75">
      <c r="A87" s="545" t="s">
        <v>1265</v>
      </c>
      <c r="B87" s="378"/>
      <c r="C87" s="381"/>
      <c r="D87" s="381">
        <f>SUMIF(L_12MonResults_RateClass,MiscData!$Y$17,L_12MonResults_Demand_Minimum_Peak)</f>
        <v>45575</v>
      </c>
      <c r="E87" s="387"/>
      <c r="F87" s="378"/>
      <c r="G87" s="382">
        <f>SUMIF(L_Rates_Tariff_Rate_Category,MiscData!$X$5&amp;MiscData!$AA$15,L_Rates_Demand_Peak)</f>
        <v>16.399999999999999</v>
      </c>
      <c r="H87" s="380">
        <f>ROUND($D87*G87,0)</f>
        <v>747430</v>
      </c>
      <c r="I87" s="400"/>
      <c r="J87" s="384"/>
      <c r="K87" s="385"/>
      <c r="T87" s="526"/>
      <c r="Z87" s="521"/>
    </row>
    <row r="88" spans="1:26" ht="12.75">
      <c r="A88" s="545" t="s">
        <v>1266</v>
      </c>
      <c r="B88" s="378"/>
      <c r="C88" s="381"/>
      <c r="D88" s="381">
        <f>SUMIF(L_12MonResults_RateClass,MiscData!$Y$17,L_12MonResults_Demand_Measured_Inter)</f>
        <v>2824538.53</v>
      </c>
      <c r="E88" s="378"/>
      <c r="F88" s="378"/>
      <c r="G88" s="382">
        <f>SUMIF(L_Rates_Tariff_Rate_Category,MiscData!$X$5&amp;MiscData!$AA$15,L_Rates_Demand_Intermediate)</f>
        <v>14.010000000000002</v>
      </c>
      <c r="H88" s="380">
        <f>ROUND($D88*G88,0)</f>
        <v>39571785</v>
      </c>
      <c r="I88" s="400"/>
      <c r="J88" s="384"/>
      <c r="K88" s="385"/>
      <c r="T88" s="526"/>
      <c r="Z88" s="521"/>
    </row>
    <row r="89" spans="1:26" ht="12.75">
      <c r="A89" s="545" t="s">
        <v>1267</v>
      </c>
      <c r="B89" s="378"/>
      <c r="D89" s="381">
        <f>SUMIF(L_12MonResults_RateClass,MiscData!$Y$17,L_12MonResults_Demand_Minimum_Inter)</f>
        <v>26270.799999999999</v>
      </c>
      <c r="E89" s="381"/>
      <c r="F89" s="378"/>
      <c r="G89" s="382">
        <f>SUMIF(L_Rates_Tariff_Rate_Category,MiscData!$X$5&amp;MiscData!$AA$15,L_Rates_Demand_Intermediate)</f>
        <v>14.010000000000002</v>
      </c>
      <c r="H89" s="380">
        <f>ROUND($D89*G89,0)</f>
        <v>368054</v>
      </c>
      <c r="I89" s="400"/>
      <c r="J89" s="386"/>
      <c r="K89" s="389"/>
      <c r="T89" s="526"/>
      <c r="W89" s="378"/>
      <c r="X89" s="378"/>
      <c r="Z89" s="521"/>
    </row>
    <row r="90" spans="1:26" ht="12.75">
      <c r="A90" s="490" t="s">
        <v>1244</v>
      </c>
      <c r="B90" s="378"/>
      <c r="C90" s="378"/>
      <c r="D90" s="378"/>
      <c r="E90" s="381"/>
      <c r="F90" s="378"/>
      <c r="G90" s="386"/>
      <c r="H90" s="380">
        <f>SUMIF(L_12MonResults_RateClass,MiscData!$Y$17,L_12MonResults_Revenue_Demand_Adj)-1</f>
        <v>-182460.09000000003</v>
      </c>
      <c r="I90" s="400"/>
      <c r="J90" s="386"/>
      <c r="K90" s="389"/>
      <c r="T90" s="526"/>
      <c r="W90" s="378"/>
      <c r="X90" s="378"/>
      <c r="Z90" s="521"/>
    </row>
    <row r="91" spans="1:26" ht="12.75">
      <c r="A91" s="490" t="s">
        <v>1245</v>
      </c>
      <c r="B91" s="378"/>
      <c r="C91" s="378"/>
      <c r="D91" s="378"/>
      <c r="E91" s="381"/>
      <c r="F91" s="378"/>
      <c r="G91" s="386"/>
      <c r="H91" s="380">
        <f>SUMIF(L_12MonResults_RateClass,MiscData!$Y$17,L_12MonResults_Revenue_PwrFctr)</f>
        <v>524720.13000000012</v>
      </c>
      <c r="I91" s="400"/>
      <c r="J91" s="386"/>
      <c r="K91" s="389"/>
      <c r="T91" s="526"/>
      <c r="W91" s="378"/>
      <c r="X91" s="378"/>
    </row>
    <row r="92" spans="1:26" ht="15">
      <c r="A92" s="435" t="s">
        <v>122</v>
      </c>
      <c r="B92" s="378"/>
      <c r="C92" s="390">
        <f>C81</f>
        <v>33819</v>
      </c>
      <c r="D92" s="390">
        <f>SUM(D86:D89)</f>
        <v>5216293.01</v>
      </c>
      <c r="E92" s="390">
        <f>E83</f>
        <v>1993259032</v>
      </c>
      <c r="F92" s="381"/>
      <c r="G92" s="378"/>
      <c r="H92" s="391">
        <f>SUM(H81:H91)</f>
        <v>163041892.72</v>
      </c>
      <c r="I92" s="379"/>
      <c r="Z92" s="521"/>
    </row>
    <row r="93" spans="1:26" ht="12.75">
      <c r="A93" s="378"/>
      <c r="B93" s="378"/>
      <c r="C93" s="387"/>
      <c r="D93" s="378"/>
      <c r="E93" s="381" t="str">
        <f>IF(SUMIF(L_12MonResults_RateClass,MiscData!$Y$17,L_12MonResults_KWH_Total)=E92,"",SUMIF(L_12MonResults_RateClass,MiscData!$Y$17,L_12MonResults_KWH_Total))</f>
        <v/>
      </c>
      <c r="F93" s="378"/>
      <c r="G93" s="378"/>
      <c r="H93" s="380" t="str">
        <f>IF(ABS(SUMIF(L_12MonResults_RateClass,MiscData!$Y$17,L_12MonResults_Revenue_Actual_Base)-H92)&lt;1,"",SUMIF(L_12MonResults_RateClass,MiscData!$Y$17,L_12MonResults_Revenue_Actual_Base))</f>
        <v/>
      </c>
      <c r="I93" s="400"/>
      <c r="T93" s="526"/>
      <c r="Z93" s="521"/>
    </row>
    <row r="94" spans="1:26" ht="12.75">
      <c r="A94" s="435"/>
      <c r="B94" s="378"/>
      <c r="C94" s="381"/>
      <c r="D94" s="396"/>
      <c r="E94" s="381"/>
      <c r="F94" s="381"/>
      <c r="G94" s="419"/>
      <c r="H94" s="420">
        <f>'Sch M-1.3-pg 1'!$J$20</f>
        <v>0.9999999938666071</v>
      </c>
      <c r="I94" s="400"/>
      <c r="Z94" s="521"/>
    </row>
    <row r="95" spans="1:26" ht="12.75">
      <c r="A95" s="435"/>
      <c r="B95" s="378"/>
      <c r="C95" s="381"/>
      <c r="D95" s="378"/>
      <c r="E95" s="381"/>
      <c r="F95" s="381"/>
      <c r="G95" s="400"/>
      <c r="H95" s="380"/>
      <c r="I95" s="400"/>
      <c r="Z95" s="521"/>
    </row>
    <row r="96" spans="1:26" ht="15">
      <c r="A96" s="525" t="s">
        <v>125</v>
      </c>
      <c r="B96" s="378"/>
      <c r="C96" s="381"/>
      <c r="D96" s="381"/>
      <c r="E96" s="378"/>
      <c r="F96" s="378"/>
      <c r="G96" s="400"/>
      <c r="H96" s="402">
        <f>ROUND(H92/H94,0)</f>
        <v>163041894</v>
      </c>
      <c r="I96" s="400"/>
      <c r="Z96" s="521"/>
    </row>
    <row r="97" spans="1:36" ht="12.75">
      <c r="A97" s="525"/>
      <c r="B97" s="378"/>
      <c r="C97" s="381"/>
      <c r="D97" s="378"/>
      <c r="E97" s="378"/>
      <c r="F97" s="378"/>
      <c r="G97" s="400"/>
      <c r="H97" s="380"/>
      <c r="I97" s="400"/>
      <c r="Z97" s="521"/>
    </row>
    <row r="98" spans="1:36" ht="15">
      <c r="A98" s="525" t="s">
        <v>126</v>
      </c>
      <c r="B98" s="378"/>
      <c r="C98" s="381"/>
      <c r="D98" s="378"/>
      <c r="E98" s="381"/>
      <c r="F98" s="378"/>
      <c r="G98" s="400"/>
      <c r="H98" s="402"/>
      <c r="I98" s="400"/>
      <c r="Z98" s="521"/>
    </row>
    <row r="99" spans="1:36" ht="12.75">
      <c r="A99" s="525" t="s">
        <v>127</v>
      </c>
      <c r="B99" s="378"/>
      <c r="C99" s="381"/>
      <c r="D99" s="378"/>
      <c r="E99" s="381"/>
      <c r="F99" s="378"/>
      <c r="G99" s="400"/>
      <c r="H99" s="380">
        <f>SUMIF(L_12MonResults_RateClass,MiscData!$Y$17,L_12MonResults_Revenue_FAC)</f>
        <v>-158807.71999999997</v>
      </c>
      <c r="I99" s="400"/>
      <c r="T99" s="526"/>
      <c r="Z99" s="521"/>
    </row>
    <row r="100" spans="1:36" ht="12.75">
      <c r="A100" s="525" t="s">
        <v>128</v>
      </c>
      <c r="B100" s="378"/>
      <c r="C100" s="381"/>
      <c r="D100" s="378"/>
      <c r="E100" s="381"/>
      <c r="F100" s="378"/>
      <c r="G100" s="400"/>
      <c r="H100" s="380">
        <f>SUMIF(L_12MonResults_RateClass,MiscData!$Y$17,L_12MonResults_Revenue_DSM)-1</f>
        <v>3348232.6399999997</v>
      </c>
      <c r="I100" s="400"/>
      <c r="T100" s="526"/>
      <c r="Z100" s="521"/>
    </row>
    <row r="101" spans="1:36" ht="15">
      <c r="A101" s="525" t="s">
        <v>129</v>
      </c>
      <c r="B101" s="378"/>
      <c r="C101" s="381"/>
      <c r="D101" s="378"/>
      <c r="E101" s="381"/>
      <c r="F101" s="378"/>
      <c r="G101" s="400"/>
      <c r="H101" s="391">
        <f>SUMIF(L_12MonResults_RateClass,MiscData!$Y$17,L_12MonResults_Revenue_ECR)</f>
        <v>7038394.75</v>
      </c>
      <c r="I101" s="400"/>
      <c r="T101" s="526"/>
      <c r="Z101" s="521"/>
    </row>
    <row r="102" spans="1:36" ht="15">
      <c r="A102" s="527" t="s">
        <v>894</v>
      </c>
      <c r="B102" s="378"/>
      <c r="C102" s="381"/>
      <c r="D102" s="378"/>
      <c r="E102" s="381"/>
      <c r="F102" s="378"/>
      <c r="G102" s="400"/>
      <c r="H102" s="402">
        <f>SUM(H99:H101)</f>
        <v>10227819.67</v>
      </c>
      <c r="I102" s="400"/>
      <c r="Z102" s="521"/>
    </row>
    <row r="103" spans="1:36" ht="15">
      <c r="A103" s="527"/>
      <c r="B103" s="378"/>
      <c r="C103" s="381"/>
      <c r="D103" s="378"/>
      <c r="E103" s="381"/>
      <c r="F103" s="378"/>
      <c r="G103" s="400"/>
      <c r="H103" s="402"/>
      <c r="I103" s="400"/>
      <c r="Z103" s="521"/>
    </row>
    <row r="104" spans="1:36" ht="15">
      <c r="A104" s="527" t="s">
        <v>131</v>
      </c>
      <c r="B104" s="378"/>
      <c r="C104" s="381"/>
      <c r="D104" s="378"/>
      <c r="E104" s="381"/>
      <c r="F104" s="378"/>
      <c r="G104" s="400"/>
      <c r="H104" s="404">
        <f>H102+H96</f>
        <v>173269713.66999999</v>
      </c>
      <c r="I104" s="400"/>
      <c r="Z104" s="521"/>
    </row>
    <row r="105" spans="1:36" ht="15">
      <c r="A105" s="421"/>
      <c r="B105" s="378"/>
      <c r="C105" s="381"/>
      <c r="D105" s="378"/>
      <c r="E105" s="381"/>
      <c r="F105" s="378"/>
      <c r="G105" s="400"/>
      <c r="H105" s="402"/>
      <c r="I105" s="400"/>
      <c r="Z105" s="521"/>
    </row>
    <row r="106" spans="1:36">
      <c r="Z106" s="521"/>
    </row>
    <row r="107" spans="1:36" ht="12.75">
      <c r="A107" s="498" t="s">
        <v>1230</v>
      </c>
      <c r="I107" s="499" t="str">
        <f>'Sch M-1.3-pg 1'!$J$1</f>
        <v>Schedule M-1.3-E</v>
      </c>
      <c r="W107" s="515"/>
      <c r="Y107" s="515"/>
      <c r="Z107" s="515"/>
      <c r="AA107" s="515"/>
      <c r="AB107" s="515"/>
      <c r="AC107" s="515"/>
      <c r="AD107" s="515"/>
      <c r="AE107" s="515"/>
      <c r="AF107" s="515"/>
      <c r="AG107" s="515"/>
      <c r="AH107" s="515"/>
      <c r="AI107" s="515"/>
      <c r="AJ107" s="515"/>
    </row>
    <row r="108" spans="1:36" ht="12.75">
      <c r="A108" s="500" t="s">
        <v>1231</v>
      </c>
      <c r="I108" s="499" t="str">
        <f>"Page "&amp;M108&amp;" of "&amp;N108</f>
        <v>Page 5 of 19</v>
      </c>
      <c r="M108" s="329">
        <f>M74+1</f>
        <v>5</v>
      </c>
      <c r="N108" s="329">
        <f>'Sch M-1.3 pgs 14-19'!$K$178</f>
        <v>19</v>
      </c>
      <c r="W108" s="515"/>
    </row>
    <row r="109" spans="1:36" ht="12.75">
      <c r="A109" s="500" t="s">
        <v>1223</v>
      </c>
      <c r="I109" s="501" t="str">
        <f>'Sch M-1.3-pg 1'!$J$3</f>
        <v>Witness:  M.J. Blake</v>
      </c>
      <c r="T109" s="507"/>
      <c r="W109" s="515"/>
      <c r="X109" s="507"/>
    </row>
    <row r="110" spans="1:36" ht="12.75">
      <c r="A110" s="502"/>
      <c r="B110" s="378"/>
      <c r="C110" s="400"/>
      <c r="D110" s="416"/>
      <c r="E110" s="378"/>
      <c r="F110" s="378"/>
      <c r="G110" s="719"/>
      <c r="H110" s="720"/>
      <c r="I110" s="400"/>
      <c r="J110" s="417"/>
      <c r="K110" s="417"/>
      <c r="W110" s="507"/>
      <c r="Y110" s="515"/>
      <c r="Z110" s="515"/>
      <c r="AA110" s="515"/>
      <c r="AB110" s="515"/>
      <c r="AC110" s="515"/>
    </row>
    <row r="111" spans="1:36" ht="12.75">
      <c r="A111" s="511"/>
      <c r="B111" s="388"/>
      <c r="C111" s="417"/>
      <c r="D111" s="538"/>
      <c r="E111" s="417"/>
      <c r="F111" s="388"/>
      <c r="G111" s="417" t="s">
        <v>114</v>
      </c>
      <c r="H111" s="417" t="s">
        <v>115</v>
      </c>
      <c r="I111" s="539"/>
      <c r="J111" s="417"/>
      <c r="K111" s="417"/>
      <c r="Y111" s="515"/>
      <c r="Z111" s="515"/>
      <c r="AA111" s="515"/>
      <c r="AB111" s="515"/>
      <c r="AC111" s="515"/>
      <c r="AD111" s="515"/>
      <c r="AE111" s="515"/>
    </row>
    <row r="112" spans="1:36" ht="12.75">
      <c r="A112" s="513"/>
      <c r="B112" s="540"/>
      <c r="C112" s="541" t="s">
        <v>74</v>
      </c>
      <c r="D112" s="542" t="s">
        <v>116</v>
      </c>
      <c r="E112" s="543" t="s">
        <v>117</v>
      </c>
      <c r="F112" s="544"/>
      <c r="G112" s="543" t="s">
        <v>118</v>
      </c>
      <c r="H112" s="543" t="s">
        <v>119</v>
      </c>
      <c r="I112" s="544"/>
      <c r="J112" s="417"/>
      <c r="K112" s="417"/>
      <c r="W112" s="507"/>
    </row>
    <row r="113" spans="1:29" ht="12.75">
      <c r="A113" s="516"/>
      <c r="B113" s="378"/>
      <c r="C113" s="414"/>
      <c r="D113" s="412"/>
      <c r="E113" s="440"/>
      <c r="F113" s="400"/>
      <c r="G113" s="440"/>
      <c r="H113" s="413"/>
      <c r="I113" s="400"/>
      <c r="J113" s="417"/>
      <c r="K113" s="417"/>
      <c r="Y113" s="515"/>
      <c r="Z113" s="515"/>
      <c r="AA113" s="515"/>
      <c r="AB113" s="515"/>
    </row>
    <row r="114" spans="1:29" ht="12.75">
      <c r="A114" s="421" t="s">
        <v>910</v>
      </c>
      <c r="Z114" s="521"/>
    </row>
    <row r="115" spans="1:29" ht="12.75">
      <c r="A115" s="519" t="s">
        <v>74</v>
      </c>
      <c r="B115" s="378"/>
      <c r="C115" s="381">
        <f>SUMIF(L_12MonResults_RateClass,MiscData!$Y$16,L_12MonResults_Contract_Cnt)+SUMIF(L_12MonResults_RateClass,MiscData!$Y$16,L_12MonResults_Contract_Cnt_Adj)</f>
        <v>914</v>
      </c>
      <c r="D115" s="378"/>
      <c r="E115" s="378"/>
      <c r="F115" s="378"/>
      <c r="G115" s="382">
        <f>SUMIF(L_Rates_Tariff_Rate_Category,MiscData!$X$5&amp;MiscData!$AA$14,L_Rates_BSC)</f>
        <v>170</v>
      </c>
      <c r="H115" s="380">
        <f>ROUND($C115*G115,0)</f>
        <v>155380</v>
      </c>
      <c r="I115" s="379"/>
      <c r="Z115" s="521"/>
    </row>
    <row r="116" spans="1:29" ht="12.75">
      <c r="A116" s="495" t="s">
        <v>121</v>
      </c>
      <c r="B116" s="378"/>
      <c r="C116" s="381"/>
      <c r="D116" s="378"/>
      <c r="E116" s="378"/>
      <c r="F116" s="378"/>
      <c r="G116" s="383"/>
      <c r="H116" s="380">
        <f>SUMIF(L_12MonResults_RateClass,MiscData!$Y$16,L_12MonResults_Revenue_Customer_Adj)</f>
        <v>-589.32999999999993</v>
      </c>
      <c r="I116" s="400"/>
      <c r="J116" s="382"/>
      <c r="K116" s="389"/>
      <c r="T116" s="526"/>
      <c r="W116" s="378"/>
      <c r="X116" s="378"/>
      <c r="Z116" s="521"/>
    </row>
    <row r="117" spans="1:29" ht="12.75">
      <c r="A117" s="519" t="s">
        <v>75</v>
      </c>
      <c r="B117" s="378"/>
      <c r="D117" s="378"/>
      <c r="E117" s="381">
        <f>SUMIF(L_12MonResults_RateClass,MiscData!$Y$16,L_12MonResults_KWH_Total)</f>
        <v>165209295</v>
      </c>
      <c r="F117" s="378"/>
      <c r="G117" s="386">
        <f>SUMIF(L_Rates_Tariff_Rate_Category,MiscData!$X$5&amp;MiscData!$AA$14,L_Rates_Energy)</f>
        <v>3.9260000000000003E-2</v>
      </c>
      <c r="H117" s="380">
        <f>ROUND($E117*G117,0)</f>
        <v>6486117</v>
      </c>
      <c r="I117" s="400"/>
      <c r="J117" s="382"/>
      <c r="K117" s="389"/>
      <c r="T117" s="526"/>
      <c r="W117" s="378"/>
      <c r="X117" s="378"/>
      <c r="Z117" s="521"/>
    </row>
    <row r="118" spans="1:29" ht="12.75">
      <c r="A118" s="495" t="s">
        <v>121</v>
      </c>
      <c r="B118" s="378"/>
      <c r="C118" s="387"/>
      <c r="D118" s="381"/>
      <c r="E118" s="387"/>
      <c r="F118" s="378"/>
      <c r="G118" s="382"/>
      <c r="H118" s="380">
        <f>SUMIF(L_12MonResults_RateClass,MiscData!$Y$16,L_12MonResults_Revenue_Energy_Adj)</f>
        <v>0.15000000000189173</v>
      </c>
      <c r="I118" s="400"/>
      <c r="J118" s="382"/>
      <c r="K118" s="389"/>
      <c r="T118" s="526"/>
      <c r="W118" s="378"/>
      <c r="X118" s="378"/>
      <c r="Z118" s="521"/>
    </row>
    <row r="119" spans="1:29" ht="12.75">
      <c r="A119" s="489" t="s">
        <v>1263</v>
      </c>
      <c r="B119" s="378"/>
      <c r="C119" s="387"/>
      <c r="D119" s="381"/>
      <c r="E119" s="387"/>
      <c r="F119" s="378"/>
      <c r="G119" s="382"/>
      <c r="H119" s="380"/>
      <c r="I119" s="400"/>
      <c r="J119" s="382"/>
      <c r="K119" s="389"/>
      <c r="T119" s="526"/>
      <c r="W119" s="378"/>
      <c r="X119" s="378"/>
      <c r="Z119" s="521"/>
    </row>
    <row r="120" spans="1:29" ht="12.75">
      <c r="A120" s="545" t="s">
        <v>1264</v>
      </c>
      <c r="B120" s="378"/>
      <c r="C120" s="381"/>
      <c r="D120" s="381">
        <f>SUMIF(L_12MonResults_RateClass,MiscData!$Y$16,L_12MonResults_Demand_Measured_Peak)</f>
        <v>185780.35</v>
      </c>
      <c r="E120" s="387"/>
      <c r="F120" s="378"/>
      <c r="G120" s="382">
        <f>SUMIF(L_Rates_Tariff_Rate_Category,MiscData!$X$5&amp;MiscData!$AA$14,L_Rates_Demand_Peak)</f>
        <v>13.950000000000001</v>
      </c>
      <c r="H120" s="380">
        <f>ROUND($D120*G120,0)</f>
        <v>2591636</v>
      </c>
      <c r="I120" s="400"/>
      <c r="J120" s="384"/>
      <c r="K120" s="385"/>
      <c r="T120" s="526"/>
      <c r="Z120" s="521"/>
    </row>
    <row r="121" spans="1:29" ht="12.75">
      <c r="A121" s="545" t="s">
        <v>1265</v>
      </c>
      <c r="B121" s="378"/>
      <c r="C121" s="381"/>
      <c r="D121" s="381">
        <f>SUMIF(L_12MonResults_RateClass,MiscData!$Y$16,L_12MonResults_Demand_Minimum_Peak)</f>
        <v>7985.7999999999993</v>
      </c>
      <c r="E121" s="387"/>
      <c r="F121" s="378"/>
      <c r="G121" s="382">
        <f>SUMIF(L_Rates_Tariff_Rate_Category,MiscData!$X$5&amp;MiscData!$AA$14,L_Rates_Demand_Peak)</f>
        <v>13.950000000000001</v>
      </c>
      <c r="H121" s="380">
        <f>ROUND($D121*G121,0)</f>
        <v>111402</v>
      </c>
      <c r="I121" s="400"/>
      <c r="J121" s="384"/>
      <c r="K121" s="385"/>
      <c r="T121" s="526"/>
      <c r="Z121" s="521"/>
    </row>
    <row r="122" spans="1:29" ht="12.75">
      <c r="A122" s="545" t="s">
        <v>1266</v>
      </c>
      <c r="B122" s="378"/>
      <c r="C122" s="381"/>
      <c r="D122" s="381">
        <f>SUMIF(L_12MonResults_RateClass,MiscData!$Y$16,L_12MonResults_Demand_Measured_Inter)</f>
        <v>219652.25999999998</v>
      </c>
      <c r="E122" s="378"/>
      <c r="F122" s="378"/>
      <c r="G122" s="382">
        <f>SUMIF(L_Rates_Tariff_Rate_Category,MiscData!$X$5&amp;MiscData!$AA$14,L_Rates_Demand_Intermediate)</f>
        <v>11.660000000000002</v>
      </c>
      <c r="H122" s="380">
        <f>ROUND($D122*G122,0)</f>
        <v>2561145</v>
      </c>
      <c r="I122" s="400"/>
      <c r="J122" s="386"/>
      <c r="K122" s="389"/>
      <c r="T122" s="526"/>
      <c r="W122" s="378"/>
      <c r="X122" s="378"/>
      <c r="Z122" s="521"/>
    </row>
    <row r="123" spans="1:29" ht="12.75">
      <c r="A123" s="545" t="s">
        <v>1267</v>
      </c>
      <c r="B123" s="378"/>
      <c r="D123" s="381">
        <f>SUMIF(L_12MonResults_RateClass,MiscData!$Y$16,L_12MonResults_Demand_Minimum_Inter)</f>
        <v>439.65</v>
      </c>
      <c r="E123" s="381"/>
      <c r="F123" s="378"/>
      <c r="G123" s="382">
        <f>SUMIF(L_Rates_Tariff_Rate_Category,MiscData!$X$5&amp;MiscData!$AA$14,L_Rates_Demand_Intermediate)</f>
        <v>11.660000000000002</v>
      </c>
      <c r="H123" s="380">
        <f>ROUND($D123*G123,0)</f>
        <v>5126</v>
      </c>
      <c r="I123" s="400"/>
      <c r="J123" s="386"/>
      <c r="K123" s="389"/>
      <c r="T123" s="526"/>
      <c r="W123" s="378"/>
      <c r="X123" s="378"/>
      <c r="Z123" s="521"/>
    </row>
    <row r="124" spans="1:29" ht="12.75">
      <c r="A124" s="490" t="s">
        <v>1244</v>
      </c>
      <c r="B124" s="378"/>
      <c r="C124" s="378"/>
      <c r="D124" s="378"/>
      <c r="E124" s="381"/>
      <c r="F124" s="378"/>
      <c r="G124" s="386"/>
      <c r="H124" s="380">
        <f>SUMIF(L_12MonResults_RateClass,MiscData!$Y$16,L_12MonResults_Revenue_Demand_Adj)</f>
        <v>-24432.37</v>
      </c>
      <c r="I124" s="400"/>
      <c r="J124" s="386"/>
      <c r="K124" s="389"/>
      <c r="T124" s="526"/>
      <c r="W124" s="378"/>
      <c r="X124" s="378"/>
    </row>
    <row r="125" spans="1:29" ht="12.75">
      <c r="A125" s="490" t="s">
        <v>1245</v>
      </c>
      <c r="B125" s="378"/>
      <c r="C125" s="378"/>
      <c r="D125" s="378"/>
      <c r="E125" s="381"/>
      <c r="F125" s="378"/>
      <c r="G125" s="386"/>
      <c r="H125" s="380">
        <f>SUMIF(L_12MonResults_RateClass,MiscData!$Y$16,L_12MonResults_Revenue_PwrFctr)</f>
        <v>83902.199999999983</v>
      </c>
      <c r="I125" s="400"/>
      <c r="J125" s="388"/>
      <c r="K125" s="389"/>
      <c r="T125" s="526"/>
      <c r="Y125" s="515"/>
      <c r="Z125" s="515"/>
      <c r="AA125" s="515"/>
      <c r="AB125" s="515"/>
      <c r="AC125" s="515"/>
    </row>
    <row r="126" spans="1:29" ht="15">
      <c r="A126" s="435" t="s">
        <v>122</v>
      </c>
      <c r="B126" s="378"/>
      <c r="C126" s="390">
        <f>C115</f>
        <v>914</v>
      </c>
      <c r="D126" s="390">
        <f>SUM(D120:D123)</f>
        <v>413858.06</v>
      </c>
      <c r="E126" s="390">
        <f>E117</f>
        <v>165209295</v>
      </c>
      <c r="F126" s="381"/>
      <c r="G126" s="378"/>
      <c r="H126" s="391">
        <f>SUM(H115:H125)</f>
        <v>11969686.65</v>
      </c>
      <c r="I126" s="400"/>
      <c r="J126" s="388"/>
      <c r="K126" s="389"/>
      <c r="T126" s="526"/>
      <c r="Y126" s="515"/>
      <c r="Z126" s="515"/>
      <c r="AA126" s="515"/>
      <c r="AB126" s="515"/>
      <c r="AC126" s="515"/>
    </row>
    <row r="127" spans="1:29" ht="15">
      <c r="A127" s="378"/>
      <c r="B127" s="378"/>
      <c r="C127" s="387"/>
      <c r="D127" s="378"/>
      <c r="E127" s="381" t="str">
        <f>IF(SUMIF(L_12MonResults_RateClass,MiscData!$Y$16,L_12MonResults_KWH_Total)=E126,"",SUMIF(L_12MonResults_RateClass,MiscData!$Y$16,L_12MonResults_KWH_Total))</f>
        <v/>
      </c>
      <c r="F127" s="378"/>
      <c r="G127" s="378"/>
      <c r="H127" s="380" t="str">
        <f>IF(ABS(SUMIF(L_12MonResults_RateClass,MiscData!$Y$16,L_12MonResults_Revenue_Actual_Base)-H126)&lt;1,"",SUMIF(L_12MonResults_RateClass,MiscData!$Y$16,L_12MonResults_Revenue_Actual_Base))</f>
        <v/>
      </c>
      <c r="I127" s="379"/>
      <c r="J127" s="392"/>
      <c r="K127" s="393"/>
      <c r="T127" s="526"/>
      <c r="W127" s="378"/>
      <c r="X127" s="378"/>
    </row>
    <row r="128" spans="1:29" ht="12.75">
      <c r="A128" s="435"/>
      <c r="B128" s="378"/>
      <c r="C128" s="381"/>
      <c r="D128" s="396"/>
      <c r="E128" s="381"/>
      <c r="F128" s="381"/>
      <c r="G128" s="419"/>
      <c r="H128" s="420">
        <f>'Sch M-1.3-pg 1'!$J$22</f>
        <v>1</v>
      </c>
      <c r="I128" s="400"/>
      <c r="Z128" s="521"/>
    </row>
    <row r="129" spans="1:36" ht="12.75">
      <c r="A129" s="435"/>
      <c r="B129" s="378"/>
      <c r="C129" s="381"/>
      <c r="D129" s="378"/>
      <c r="E129" s="381"/>
      <c r="F129" s="381"/>
      <c r="G129" s="400"/>
      <c r="H129" s="380"/>
      <c r="I129" s="400"/>
      <c r="Z129" s="521"/>
    </row>
    <row r="130" spans="1:36" ht="15">
      <c r="A130" s="525" t="s">
        <v>125</v>
      </c>
      <c r="B130" s="378"/>
      <c r="C130" s="381"/>
      <c r="D130" s="381"/>
      <c r="E130" s="378"/>
      <c r="F130" s="378"/>
      <c r="G130" s="400"/>
      <c r="H130" s="402">
        <f>ROUND(H126/H128,0)</f>
        <v>11969687</v>
      </c>
      <c r="I130" s="400"/>
      <c r="Z130" s="521"/>
    </row>
    <row r="131" spans="1:36" ht="12.75">
      <c r="A131" s="525"/>
      <c r="B131" s="378"/>
      <c r="C131" s="381"/>
      <c r="D131" s="378"/>
      <c r="E131" s="378"/>
      <c r="F131" s="378"/>
      <c r="G131" s="400"/>
      <c r="H131" s="380"/>
      <c r="I131" s="400"/>
      <c r="Z131" s="521"/>
    </row>
    <row r="132" spans="1:36" ht="15">
      <c r="A132" s="525" t="s">
        <v>126</v>
      </c>
      <c r="B132" s="378"/>
      <c r="C132" s="381"/>
      <c r="D132" s="378"/>
      <c r="E132" s="381"/>
      <c r="F132" s="378"/>
      <c r="G132" s="400"/>
      <c r="H132" s="402"/>
      <c r="I132" s="400"/>
      <c r="Z132" s="521"/>
    </row>
    <row r="133" spans="1:36" ht="12.75">
      <c r="A133" s="525" t="s">
        <v>127</v>
      </c>
      <c r="B133" s="378"/>
      <c r="C133" s="381"/>
      <c r="D133" s="378"/>
      <c r="E133" s="381"/>
      <c r="F133" s="378"/>
      <c r="G133" s="400"/>
      <c r="H133" s="380">
        <f>SUMIF(L_12MonResults_RateClass,MiscData!$Y$16,L_12MonResults_Revenue_FAC)</f>
        <v>-8657.2400000000052</v>
      </c>
      <c r="I133" s="400"/>
      <c r="Z133" s="521"/>
    </row>
    <row r="134" spans="1:36" ht="12.75">
      <c r="A134" s="525" t="s">
        <v>128</v>
      </c>
      <c r="B134" s="378"/>
      <c r="C134" s="381"/>
      <c r="D134" s="378"/>
      <c r="E134" s="381"/>
      <c r="F134" s="378"/>
      <c r="G134" s="400"/>
      <c r="H134" s="380">
        <f>SUMIF(L_12MonResults_RateClass,MiscData!$Y$16,L_12MonResults_Revenue_DSM)</f>
        <v>274842.8</v>
      </c>
      <c r="I134" s="400"/>
      <c r="Z134" s="521"/>
    </row>
    <row r="135" spans="1:36" ht="15">
      <c r="A135" s="525" t="s">
        <v>129</v>
      </c>
      <c r="B135" s="378"/>
      <c r="C135" s="381"/>
      <c r="D135" s="378"/>
      <c r="E135" s="381"/>
      <c r="F135" s="378"/>
      <c r="G135" s="400"/>
      <c r="H135" s="391">
        <f>SUMIF(L_12MonResults_RateClass,MiscData!$Y$16,L_12MonResults_Revenue_ECR)</f>
        <v>544286.34000000008</v>
      </c>
      <c r="I135" s="400"/>
      <c r="Z135" s="521"/>
    </row>
    <row r="136" spans="1:36" ht="15">
      <c r="A136" s="527" t="s">
        <v>894</v>
      </c>
      <c r="B136" s="378"/>
      <c r="C136" s="381"/>
      <c r="D136" s="378"/>
      <c r="E136" s="381"/>
      <c r="F136" s="378"/>
      <c r="G136" s="400"/>
      <c r="H136" s="402">
        <f>SUM(H133:H135)</f>
        <v>810471.90000000014</v>
      </c>
      <c r="I136" s="400"/>
      <c r="Z136" s="521"/>
    </row>
    <row r="137" spans="1:36" ht="15">
      <c r="A137" s="527"/>
      <c r="B137" s="378"/>
      <c r="C137" s="381"/>
      <c r="D137" s="378"/>
      <c r="E137" s="381"/>
      <c r="F137" s="378"/>
      <c r="G137" s="400"/>
      <c r="H137" s="402"/>
      <c r="I137" s="400"/>
      <c r="Z137" s="521"/>
    </row>
    <row r="138" spans="1:36" ht="15">
      <c r="A138" s="527" t="s">
        <v>131</v>
      </c>
      <c r="B138" s="378"/>
      <c r="C138" s="381"/>
      <c r="D138" s="378"/>
      <c r="E138" s="381"/>
      <c r="F138" s="378"/>
      <c r="G138" s="400"/>
      <c r="H138" s="404">
        <f>H136+H130</f>
        <v>12780158.9</v>
      </c>
      <c r="I138" s="400"/>
      <c r="Z138" s="521"/>
    </row>
    <row r="139" spans="1:36" ht="15">
      <c r="A139" s="421"/>
      <c r="B139" s="378"/>
      <c r="C139" s="381"/>
      <c r="D139" s="378"/>
      <c r="E139" s="381"/>
      <c r="F139" s="378"/>
      <c r="G139" s="400"/>
      <c r="H139" s="402"/>
      <c r="I139" s="400"/>
      <c r="Z139" s="521"/>
    </row>
    <row r="140" spans="1:36" ht="15">
      <c r="A140" s="421"/>
      <c r="B140" s="378"/>
      <c r="C140" s="381"/>
      <c r="D140" s="378"/>
      <c r="E140" s="381"/>
      <c r="F140" s="378"/>
      <c r="G140" s="400"/>
      <c r="H140" s="402"/>
      <c r="I140" s="400"/>
      <c r="Z140" s="521"/>
    </row>
    <row r="141" spans="1:36" ht="12.75">
      <c r="A141" s="498" t="s">
        <v>1230</v>
      </c>
      <c r="I141" s="499" t="str">
        <f>'Sch M-1.3-pg 1'!$J$1</f>
        <v>Schedule M-1.3-E</v>
      </c>
      <c r="W141" s="515"/>
      <c r="Y141" s="515"/>
      <c r="Z141" s="515"/>
      <c r="AA141" s="515"/>
      <c r="AB141" s="515"/>
      <c r="AC141" s="515"/>
      <c r="AD141" s="515"/>
      <c r="AE141" s="515"/>
      <c r="AF141" s="515"/>
      <c r="AG141" s="515"/>
      <c r="AH141" s="515"/>
      <c r="AI141" s="515"/>
      <c r="AJ141" s="515"/>
    </row>
    <row r="142" spans="1:36" ht="12.75">
      <c r="A142" s="500" t="s">
        <v>1231</v>
      </c>
      <c r="I142" s="499" t="str">
        <f>"Page "&amp;M142&amp;" of "&amp;N142</f>
        <v>Page 6 of 19</v>
      </c>
      <c r="M142" s="329">
        <f>M108+1</f>
        <v>6</v>
      </c>
      <c r="N142" s="329">
        <f>'Sch M-1.3 pgs 14-19'!$K$178</f>
        <v>19</v>
      </c>
      <c r="W142" s="515"/>
    </row>
    <row r="143" spans="1:36" ht="12.75">
      <c r="A143" s="500" t="s">
        <v>1223</v>
      </c>
      <c r="I143" s="501" t="str">
        <f>'Sch M-1.3-pg 1'!$J$3</f>
        <v>Witness:  M.J. Blake</v>
      </c>
      <c r="T143" s="507"/>
      <c r="W143" s="515"/>
      <c r="X143" s="507"/>
    </row>
    <row r="144" spans="1:36" ht="12.75">
      <c r="A144" s="502"/>
      <c r="B144" s="378"/>
      <c r="C144" s="400"/>
      <c r="D144" s="416"/>
      <c r="E144" s="378"/>
      <c r="F144" s="378"/>
      <c r="G144" s="719"/>
      <c r="H144" s="720"/>
      <c r="I144" s="400"/>
      <c r="J144" s="417"/>
      <c r="K144" s="417"/>
      <c r="W144" s="507"/>
      <c r="Y144" s="515"/>
      <c r="Z144" s="515"/>
      <c r="AA144" s="515"/>
      <c r="AB144" s="515"/>
      <c r="AC144" s="515"/>
    </row>
    <row r="145" spans="1:31" ht="12.75">
      <c r="A145" s="530" t="str">
        <f>"Including the "&amp;MiscData!D181&amp;" effective on "&amp;TEXT(MiscData!$A$24,"mmmm dd, yyyy")</f>
        <v>Including the  effective on September 01, 2014</v>
      </c>
      <c r="B145" s="531"/>
      <c r="C145" s="532"/>
      <c r="D145" s="533"/>
      <c r="E145" s="534"/>
      <c r="F145" s="535"/>
      <c r="G145" s="536" t="s">
        <v>886</v>
      </c>
      <c r="H145" s="534"/>
      <c r="I145" s="537"/>
      <c r="J145" s="418"/>
      <c r="K145" s="417"/>
    </row>
    <row r="146" spans="1:31" ht="12.75">
      <c r="A146" s="511"/>
      <c r="B146" s="388"/>
      <c r="C146" s="417"/>
      <c r="D146" s="538"/>
      <c r="E146" s="417"/>
      <c r="F146" s="388"/>
      <c r="G146" s="417" t="s">
        <v>114</v>
      </c>
      <c r="H146" s="417" t="s">
        <v>115</v>
      </c>
      <c r="I146" s="539"/>
      <c r="J146" s="417"/>
      <c r="K146" s="417"/>
      <c r="Y146" s="515"/>
      <c r="Z146" s="515"/>
      <c r="AA146" s="515"/>
      <c r="AB146" s="515"/>
      <c r="AC146" s="515"/>
      <c r="AD146" s="515"/>
      <c r="AE146" s="515"/>
    </row>
    <row r="147" spans="1:31" ht="12.75">
      <c r="A147" s="513"/>
      <c r="B147" s="540"/>
      <c r="C147" s="541" t="s">
        <v>74</v>
      </c>
      <c r="D147" s="542" t="s">
        <v>116</v>
      </c>
      <c r="E147" s="543" t="s">
        <v>117</v>
      </c>
      <c r="F147" s="544"/>
      <c r="G147" s="543" t="s">
        <v>118</v>
      </c>
      <c r="H147" s="543" t="s">
        <v>119</v>
      </c>
      <c r="I147" s="544"/>
      <c r="J147" s="417"/>
      <c r="K147" s="417"/>
      <c r="W147" s="507"/>
    </row>
    <row r="148" spans="1:31" ht="12.75">
      <c r="A148" s="516"/>
      <c r="B148" s="378"/>
      <c r="C148" s="414"/>
      <c r="D148" s="412"/>
      <c r="E148" s="440"/>
      <c r="F148" s="400"/>
      <c r="G148" s="440"/>
      <c r="H148" s="413"/>
      <c r="I148" s="400"/>
      <c r="J148" s="417"/>
      <c r="K148" s="417"/>
      <c r="Y148" s="515"/>
      <c r="Z148" s="515"/>
      <c r="AA148" s="515"/>
      <c r="AB148" s="515"/>
    </row>
    <row r="149" spans="1:31" ht="12.75">
      <c r="A149" s="421" t="s">
        <v>1130</v>
      </c>
      <c r="B149" s="378"/>
      <c r="C149" s="379"/>
      <c r="D149" s="378"/>
      <c r="E149" s="379"/>
      <c r="F149" s="379"/>
      <c r="G149" s="378"/>
      <c r="H149" s="380"/>
      <c r="I149" s="379"/>
      <c r="Z149" s="521"/>
    </row>
    <row r="150" spans="1:31" ht="12.75">
      <c r="A150" s="519" t="s">
        <v>74</v>
      </c>
      <c r="B150" s="378"/>
      <c r="C150" s="381">
        <f>SUMIF(L_12MonResults_RateClass,MiscData!$Y$21,L_12MonResults_Contract_Cnt)+SUMIF(L_12MonResults_RateClass,MiscData!$Y$21,L_12MonResults_Contract_Cnt_Adj)</f>
        <v>3522</v>
      </c>
      <c r="D150" s="378"/>
      <c r="E150" s="378"/>
      <c r="F150" s="378"/>
      <c r="G150" s="382">
        <f>SUMIF(L_Rates_Tariff_Rate_Category,MiscData!$X$5&amp;MiscData!$AA$16,L_Rates_BSC)</f>
        <v>200</v>
      </c>
      <c r="H150" s="380">
        <f>ROUND($C150*G150,0)</f>
        <v>704400</v>
      </c>
      <c r="I150" s="379"/>
      <c r="Z150" s="521"/>
    </row>
    <row r="151" spans="1:31" ht="12.75">
      <c r="A151" s="495" t="s">
        <v>121</v>
      </c>
      <c r="B151" s="378"/>
      <c r="C151" s="381"/>
      <c r="D151" s="378"/>
      <c r="E151" s="378"/>
      <c r="F151" s="378"/>
      <c r="G151" s="383"/>
      <c r="H151" s="380">
        <f>SUMIF(L_12MonResults_RateClass,MiscData!$Y$21,L_12MonResults_Revenue_Customer_Adj)</f>
        <v>-3241.9399999999996</v>
      </c>
      <c r="I151" s="400"/>
      <c r="J151" s="496"/>
      <c r="K151" s="496"/>
      <c r="T151" s="507"/>
      <c r="V151" s="378"/>
      <c r="W151" s="378"/>
      <c r="Z151" s="521"/>
    </row>
    <row r="152" spans="1:31" ht="12.75">
      <c r="A152" s="519" t="s">
        <v>75</v>
      </c>
      <c r="B152" s="378"/>
      <c r="D152" s="378"/>
      <c r="E152" s="381">
        <f>SUMIF(L_12MonResults_RateClass,MiscData!$Y$21,L_12MonResults_KWH_Total)</f>
        <v>949158047</v>
      </c>
      <c r="F152" s="378"/>
      <c r="G152" s="386">
        <f>SUMIF(L_Rates_Tariff_Rate_Category,MiscData!$X$5&amp;MiscData!$AA$16,L_Rates_Energy)</f>
        <v>3.9899999999999998E-2</v>
      </c>
      <c r="H152" s="380">
        <f>ROUND($E152*G152,0)+1</f>
        <v>37871407</v>
      </c>
      <c r="I152" s="400"/>
      <c r="J152" s="496"/>
      <c r="T152" s="507"/>
      <c r="V152" s="378"/>
      <c r="W152" s="378"/>
      <c r="Z152" s="521"/>
    </row>
    <row r="153" spans="1:31" ht="12.75">
      <c r="A153" s="495" t="s">
        <v>121</v>
      </c>
      <c r="B153" s="378"/>
      <c r="C153" s="387"/>
      <c r="D153" s="381"/>
      <c r="E153" s="387"/>
      <c r="F153" s="378"/>
      <c r="G153" s="382"/>
      <c r="H153" s="380">
        <f>SUMIF(L_12MonResults_RateClass,MiscData!$Y$21,L_12MonResults_Revenue_Energy_Adj)</f>
        <v>4.9999999999999989E-2</v>
      </c>
      <c r="I153" s="400"/>
      <c r="J153" s="496"/>
      <c r="T153" s="507"/>
      <c r="V153" s="378"/>
      <c r="W153" s="378"/>
      <c r="Z153" s="521"/>
    </row>
    <row r="154" spans="1:31" ht="12.75">
      <c r="A154" s="489" t="s">
        <v>1256</v>
      </c>
      <c r="B154" s="378"/>
      <c r="C154" s="387"/>
      <c r="D154" s="381"/>
      <c r="E154" s="387"/>
      <c r="F154" s="378"/>
      <c r="G154" s="382"/>
      <c r="H154" s="380"/>
      <c r="I154" s="400"/>
      <c r="J154" s="496"/>
      <c r="T154" s="507"/>
      <c r="V154" s="378"/>
      <c r="W154" s="378"/>
      <c r="Z154" s="521"/>
    </row>
    <row r="155" spans="1:31" ht="12.75">
      <c r="A155" s="545" t="s">
        <v>1257</v>
      </c>
      <c r="B155" s="378"/>
      <c r="C155" s="381"/>
      <c r="D155" s="381">
        <f>SUMIF(L_12MonResults_RateClass,MiscData!$Y$21,L_12MonResults_Demand_Measured_Base)</f>
        <v>2103838.19</v>
      </c>
      <c r="E155" s="387"/>
      <c r="F155" s="378"/>
      <c r="G155" s="382">
        <f>SUMIF(L_Rates_Tariff_Rate_Category,MiscData!$X$5&amp;MiscData!$AA$16,L_Rates_Demand_Base)</f>
        <v>4</v>
      </c>
      <c r="H155" s="380">
        <f t="shared" ref="H155:H160" si="0">ROUND($D155*G155,0)</f>
        <v>8415353</v>
      </c>
      <c r="I155" s="400"/>
      <c r="J155" s="496"/>
      <c r="T155" s="507"/>
      <c r="Z155" s="521"/>
    </row>
    <row r="156" spans="1:31" ht="12.75">
      <c r="A156" s="545" t="s">
        <v>1258</v>
      </c>
      <c r="B156" s="378"/>
      <c r="C156" s="381"/>
      <c r="D156" s="381">
        <f>SUMIF(L_12MonResults_RateClass,MiscData!$Y$21,L_12MonResults_Demand_Minimum_Base)</f>
        <v>56587.54</v>
      </c>
      <c r="E156" s="387"/>
      <c r="F156" s="378"/>
      <c r="G156" s="382">
        <f>SUMIF(L_Rates_Tariff_Rate_Category,MiscData!$X$5&amp;MiscData!$AA$16,L_Rates_Demand_Base)</f>
        <v>4</v>
      </c>
      <c r="H156" s="380">
        <f t="shared" si="0"/>
        <v>226350</v>
      </c>
      <c r="I156" s="400"/>
      <c r="J156" s="496"/>
      <c r="T156" s="507"/>
      <c r="Z156" s="521"/>
    </row>
    <row r="157" spans="1:31" ht="12.75">
      <c r="A157" s="545" t="s">
        <v>1259</v>
      </c>
      <c r="B157" s="378"/>
      <c r="C157" s="381"/>
      <c r="D157" s="381">
        <f>SUMIF(L_12MonResults_RateClass,MiscData!$Y$21,L_12MonResults_Demand_Measured_Inter)</f>
        <v>2024700.57</v>
      </c>
      <c r="E157" s="378"/>
      <c r="F157" s="378"/>
      <c r="G157" s="382">
        <f>SUMIF(L_Rates_Tariff_Rate_Category,MiscData!$X$5&amp;MiscData!$AA$16,L_Rates_Demand_Intermediate)</f>
        <v>4.5100000000000007</v>
      </c>
      <c r="H157" s="380">
        <f t="shared" si="0"/>
        <v>9131400</v>
      </c>
      <c r="I157" s="400"/>
      <c r="J157" s="496"/>
      <c r="T157" s="507"/>
      <c r="V157" s="378"/>
      <c r="W157" s="378"/>
      <c r="Z157" s="521"/>
    </row>
    <row r="158" spans="1:31" ht="12.75">
      <c r="A158" s="545" t="s">
        <v>1260</v>
      </c>
      <c r="B158" s="378"/>
      <c r="D158" s="381">
        <f>SUMIF(L_12MonResults_RateClass,MiscData!$Y$21,L_12MonResults_Demand_Minimum_Inter)</f>
        <v>5119.3499999999776</v>
      </c>
      <c r="E158" s="381"/>
      <c r="F158" s="378"/>
      <c r="G158" s="382">
        <f>SUMIF(L_Rates_Tariff_Rate_Category,MiscData!$X$5&amp;MiscData!$AA$16,L_Rates_Demand_Intermediate)</f>
        <v>4.5100000000000007</v>
      </c>
      <c r="H158" s="380">
        <f t="shared" si="0"/>
        <v>23088</v>
      </c>
      <c r="I158" s="400"/>
      <c r="J158" s="496"/>
      <c r="T158" s="507"/>
      <c r="V158" s="378"/>
      <c r="W158" s="378"/>
      <c r="Z158" s="521"/>
    </row>
    <row r="159" spans="1:31" ht="12.75">
      <c r="A159" s="545" t="s">
        <v>1261</v>
      </c>
      <c r="B159" s="378"/>
      <c r="C159" s="381"/>
      <c r="D159" s="381">
        <f>SUMIF(L_12MonResults_RateClass,MiscData!$Y$21,L_12MonResults_Demand_Measured_Peak)</f>
        <v>1982539.8499999999</v>
      </c>
      <c r="E159" s="378"/>
      <c r="F159" s="378"/>
      <c r="G159" s="382">
        <f>SUMIF(L_Rates_Tariff_Rate_Category,MiscData!$X$5&amp;MiscData!$AA$16,L_Rates_Demand_Peak)</f>
        <v>6.11</v>
      </c>
      <c r="H159" s="380">
        <f t="shared" si="0"/>
        <v>12113318</v>
      </c>
      <c r="I159" s="400"/>
      <c r="J159" s="496"/>
      <c r="T159" s="507"/>
      <c r="V159" s="378"/>
      <c r="W159" s="378"/>
      <c r="Z159" s="521"/>
    </row>
    <row r="160" spans="1:31" ht="12.75">
      <c r="A160" s="545" t="s">
        <v>1262</v>
      </c>
      <c r="B160" s="378"/>
      <c r="D160" s="381">
        <f>SUMIF(L_12MonResults_RateClass,MiscData!$Y$21,L_12MonResults_Demand_Minimum_Peak)</f>
        <v>6176.8000000000411</v>
      </c>
      <c r="E160" s="381"/>
      <c r="F160" s="378"/>
      <c r="G160" s="382">
        <f>SUMIF(L_Rates_Tariff_Rate_Category,MiscData!$X$5&amp;MiscData!$AA$16,L_Rates_Demand_Peak)</f>
        <v>6.11</v>
      </c>
      <c r="H160" s="380">
        <f t="shared" si="0"/>
        <v>37740</v>
      </c>
      <c r="I160" s="400"/>
      <c r="J160" s="496"/>
      <c r="T160" s="507"/>
      <c r="V160" s="378"/>
      <c r="W160" s="378"/>
      <c r="Z160" s="521"/>
    </row>
    <row r="161" spans="1:26" ht="12.75">
      <c r="A161" s="490" t="s">
        <v>1244</v>
      </c>
      <c r="B161" s="378"/>
      <c r="C161" s="378"/>
      <c r="D161" s="378"/>
      <c r="E161" s="381"/>
      <c r="F161" s="378"/>
      <c r="G161" s="386"/>
      <c r="H161" s="380">
        <f>SUMIF(L_12MonResults_RateClass,MiscData!$Y$21,L_12MonResults_Revenue_Demand_Adj)</f>
        <v>52007.68</v>
      </c>
      <c r="I161" s="400"/>
      <c r="J161" s="496"/>
      <c r="T161" s="507"/>
      <c r="V161" s="378"/>
      <c r="W161" s="378"/>
      <c r="Z161" s="521"/>
    </row>
    <row r="162" spans="1:26" ht="12.75">
      <c r="A162" s="490" t="s">
        <v>1245</v>
      </c>
      <c r="B162" s="378"/>
      <c r="C162" s="378"/>
      <c r="D162" s="378"/>
      <c r="E162" s="381"/>
      <c r="F162" s="378"/>
      <c r="G162" s="386"/>
      <c r="H162" s="380">
        <f>SUMIF(L_12MonResults_RateClass,MiscData!$Y$21,L_12MonResults_Revenue_PwrFctr)</f>
        <v>407297.12000000005</v>
      </c>
      <c r="I162" s="400"/>
      <c r="J162" s="496"/>
      <c r="T162" s="507"/>
      <c r="Z162" s="521"/>
    </row>
    <row r="163" spans="1:26" ht="12.75">
      <c r="A163" s="490" t="s">
        <v>1246</v>
      </c>
      <c r="B163" s="378"/>
      <c r="C163" s="387"/>
      <c r="D163" s="387">
        <f>H163/G163</f>
        <v>9000</v>
      </c>
      <c r="E163" s="387"/>
      <c r="F163" s="378"/>
      <c r="G163" s="422">
        <v>1.17</v>
      </c>
      <c r="H163" s="380">
        <f>SUMIF(L_12MonResults_RateClass,MiscData!$Y$21,L_12MonResults_Revenue_Red_Cap)</f>
        <v>10530</v>
      </c>
      <c r="I163" s="400"/>
      <c r="J163" s="496"/>
      <c r="K163" s="529"/>
      <c r="T163" s="507"/>
      <c r="Z163" s="521"/>
    </row>
    <row r="164" spans="1:26" ht="15">
      <c r="A164" s="435" t="s">
        <v>122</v>
      </c>
      <c r="B164" s="378"/>
      <c r="C164" s="423">
        <f>C150</f>
        <v>3522</v>
      </c>
      <c r="D164" s="423">
        <f>SUM(D155:D163)</f>
        <v>6187962.2999999998</v>
      </c>
      <c r="E164" s="423">
        <f>E152</f>
        <v>949158047</v>
      </c>
      <c r="F164" s="381"/>
      <c r="G164" s="378"/>
      <c r="H164" s="402">
        <f>ROUND(SUM(H150:H163),0)</f>
        <v>68989649</v>
      </c>
      <c r="I164" s="379"/>
      <c r="Z164" s="521"/>
    </row>
    <row r="165" spans="1:26" ht="15">
      <c r="A165" s="435"/>
      <c r="B165" s="378"/>
      <c r="C165" s="390"/>
      <c r="D165" s="390"/>
      <c r="E165" s="381" t="str">
        <f>IF(SUMIF(L_12MonResults_RateClass,MiscData!$Y$21,L_12MonResults_KWH_Total)=E164,"",SUMIF(L_12MonResults_RateClass,MiscData!$Y$21,L_12MonResults_KWH_Total))</f>
        <v/>
      </c>
      <c r="F165" s="378"/>
      <c r="G165" s="378"/>
      <c r="H165" s="380" t="str">
        <f>IF(ABS(SUMIF(L_12MonResults_RateClass,MiscData!$Y$21,L_12MonResults_Revenue_Actual_Base)-H164)&lt;1,"",SUMIF(L_12MonResults_RateClass,MiscData!$Y$21,L_12MonResults_Revenue_Actual_Base))</f>
        <v/>
      </c>
      <c r="I165" s="379"/>
      <c r="T165" s="507"/>
      <c r="Z165" s="521"/>
    </row>
    <row r="166" spans="1:26" ht="12.75">
      <c r="A166" s="435"/>
      <c r="B166" s="378"/>
      <c r="C166" s="381"/>
      <c r="D166" s="396"/>
      <c r="E166" s="381"/>
      <c r="F166" s="381"/>
      <c r="G166" s="424"/>
      <c r="H166" s="425">
        <f>'Sch M-1.3-pg 1'!$J$26</f>
        <v>1.0000000144949284</v>
      </c>
      <c r="I166" s="400"/>
    </row>
    <row r="167" spans="1:26" ht="12.75">
      <c r="A167" s="435"/>
      <c r="B167" s="378"/>
      <c r="C167" s="381"/>
      <c r="D167" s="378"/>
      <c r="E167" s="381"/>
      <c r="F167" s="381"/>
      <c r="G167" s="400"/>
      <c r="H167" s="380"/>
      <c r="I167" s="400"/>
    </row>
    <row r="168" spans="1:26" ht="15">
      <c r="A168" s="525" t="s">
        <v>125</v>
      </c>
      <c r="B168" s="378"/>
      <c r="C168" s="381"/>
      <c r="D168" s="381"/>
      <c r="E168" s="378"/>
      <c r="F168" s="378"/>
      <c r="G168" s="400"/>
      <c r="H168" s="402">
        <f>ROUND(H164/H166,0)</f>
        <v>68989648</v>
      </c>
      <c r="I168" s="400"/>
    </row>
    <row r="169" spans="1:26" ht="12.75">
      <c r="A169" s="525"/>
      <c r="B169" s="378"/>
      <c r="C169" s="381"/>
      <c r="D169" s="378"/>
      <c r="E169" s="378"/>
      <c r="F169" s="378"/>
      <c r="G169" s="400"/>
      <c r="H169" s="380"/>
      <c r="I169" s="400"/>
    </row>
    <row r="170" spans="1:26" ht="15">
      <c r="A170" s="525" t="s">
        <v>126</v>
      </c>
      <c r="B170" s="378"/>
      <c r="C170" s="381"/>
      <c r="D170" s="378"/>
      <c r="E170" s="381"/>
      <c r="F170" s="378"/>
      <c r="G170" s="400"/>
      <c r="H170" s="402"/>
      <c r="I170" s="400"/>
    </row>
    <row r="171" spans="1:26" ht="12.75">
      <c r="A171" s="525" t="s">
        <v>127</v>
      </c>
      <c r="B171" s="378"/>
      <c r="C171" s="381"/>
      <c r="D171" s="378"/>
      <c r="E171" s="381"/>
      <c r="F171" s="378"/>
      <c r="G171" s="400"/>
      <c r="H171" s="380">
        <f>'Sch M-1.3-pg 1'!$D$26</f>
        <v>-122476</v>
      </c>
      <c r="I171" s="400"/>
      <c r="T171" s="507"/>
    </row>
    <row r="172" spans="1:26" ht="12.75">
      <c r="A172" s="525" t="s">
        <v>128</v>
      </c>
      <c r="B172" s="378"/>
      <c r="C172" s="381"/>
      <c r="D172" s="378"/>
      <c r="E172" s="381"/>
      <c r="F172" s="378"/>
      <c r="G172" s="400"/>
      <c r="H172" s="380">
        <f>'Sch M-1.3-pg 1'!$E$26</f>
        <v>1336123</v>
      </c>
      <c r="I172" s="400"/>
      <c r="T172" s="507"/>
    </row>
    <row r="173" spans="1:26" ht="15">
      <c r="A173" s="525" t="s">
        <v>129</v>
      </c>
      <c r="B173" s="378"/>
      <c r="C173" s="381"/>
      <c r="D173" s="378"/>
      <c r="E173" s="381"/>
      <c r="F173" s="378"/>
      <c r="G173" s="400"/>
      <c r="H173" s="391">
        <f>'Sch M-1.3-pg 1'!$F$26</f>
        <v>3159454</v>
      </c>
      <c r="I173" s="400"/>
      <c r="T173" s="507"/>
    </row>
    <row r="174" spans="1:26" ht="15">
      <c r="A174" s="527" t="s">
        <v>894</v>
      </c>
      <c r="B174" s="378"/>
      <c r="C174" s="381"/>
      <c r="D174" s="378"/>
      <c r="E174" s="381"/>
      <c r="F174" s="378"/>
      <c r="G174" s="400"/>
      <c r="H174" s="402">
        <f>SUM(H171:H173)</f>
        <v>4373101</v>
      </c>
      <c r="I174" s="400"/>
    </row>
    <row r="175" spans="1:26" ht="15">
      <c r="A175" s="527"/>
      <c r="B175" s="378"/>
      <c r="C175" s="381"/>
      <c r="D175" s="378"/>
      <c r="E175" s="381"/>
      <c r="F175" s="378"/>
      <c r="G175" s="400"/>
      <c r="H175" s="402"/>
      <c r="I175" s="400"/>
    </row>
    <row r="176" spans="1:26" ht="15">
      <c r="A176" s="527" t="s">
        <v>131</v>
      </c>
      <c r="B176" s="378"/>
      <c r="C176" s="381"/>
      <c r="D176" s="378"/>
      <c r="E176" s="381"/>
      <c r="F176" s="378"/>
      <c r="G176" s="400"/>
      <c r="H176" s="404">
        <f>H174+H168</f>
        <v>73362749</v>
      </c>
      <c r="I176" s="400"/>
    </row>
    <row r="177" spans="1:36" ht="15">
      <c r="A177" s="421"/>
      <c r="B177" s="378"/>
      <c r="C177" s="381"/>
      <c r="D177" s="378"/>
      <c r="E177" s="381"/>
      <c r="F177" s="378"/>
      <c r="G177" s="400"/>
      <c r="H177" s="402"/>
      <c r="I177" s="400"/>
    </row>
    <row r="178" spans="1:36" ht="15">
      <c r="A178" s="421"/>
      <c r="B178" s="378"/>
      <c r="C178" s="381"/>
      <c r="D178" s="378"/>
      <c r="E178" s="381"/>
      <c r="F178" s="378"/>
      <c r="G178" s="400"/>
      <c r="H178" s="402"/>
      <c r="I178" s="400"/>
    </row>
    <row r="179" spans="1:36" ht="15">
      <c r="A179" s="421"/>
      <c r="B179" s="378"/>
      <c r="C179" s="381"/>
      <c r="D179" s="378"/>
      <c r="E179" s="381"/>
      <c r="F179" s="378"/>
      <c r="G179" s="400"/>
      <c r="H179" s="402"/>
      <c r="I179" s="400"/>
    </row>
    <row r="180" spans="1:36" ht="12.75">
      <c r="A180" s="498" t="s">
        <v>1230</v>
      </c>
      <c r="I180" s="499" t="str">
        <f>'Sch M-1.3-pg 1'!$J$1</f>
        <v>Schedule M-1.3-E</v>
      </c>
      <c r="W180" s="515"/>
      <c r="Y180" s="515"/>
      <c r="Z180" s="515"/>
      <c r="AA180" s="515"/>
      <c r="AB180" s="515"/>
      <c r="AC180" s="515"/>
      <c r="AD180" s="515"/>
      <c r="AE180" s="515"/>
      <c r="AF180" s="515"/>
      <c r="AG180" s="515"/>
      <c r="AH180" s="515"/>
      <c r="AI180" s="515"/>
      <c r="AJ180" s="515"/>
    </row>
    <row r="181" spans="1:36" ht="12.75">
      <c r="A181" s="500" t="s">
        <v>1231</v>
      </c>
      <c r="I181" s="499" t="str">
        <f>"Page "&amp;M181&amp;" of "&amp;N181</f>
        <v>Page 7 of 19</v>
      </c>
      <c r="M181" s="329">
        <f>M142+1</f>
        <v>7</v>
      </c>
      <c r="N181" s="329">
        <f>'Sch M-1.3 pgs 14-19'!$K$178</f>
        <v>19</v>
      </c>
      <c r="W181" s="515"/>
    </row>
    <row r="182" spans="1:36" ht="12.75">
      <c r="A182" s="500" t="s">
        <v>1223</v>
      </c>
      <c r="I182" s="501" t="str">
        <f>'Sch M-1.3-pg 1'!$J$3</f>
        <v>Witness:  M.J. Blake</v>
      </c>
      <c r="T182" s="507"/>
      <c r="W182" s="515"/>
      <c r="X182" s="507"/>
    </row>
    <row r="183" spans="1:36" ht="12.75">
      <c r="A183" s="502"/>
      <c r="B183" s="378"/>
      <c r="C183" s="400"/>
      <c r="D183" s="416"/>
      <c r="E183" s="378"/>
      <c r="F183" s="378"/>
      <c r="G183" s="719"/>
      <c r="H183" s="720"/>
      <c r="I183" s="400"/>
      <c r="J183" s="417"/>
      <c r="K183" s="417"/>
      <c r="W183" s="507"/>
      <c r="Y183" s="515"/>
      <c r="Z183" s="515"/>
      <c r="AA183" s="515"/>
      <c r="AB183" s="515"/>
      <c r="AC183" s="515"/>
    </row>
    <row r="184" spans="1:36" ht="12.75">
      <c r="A184" s="530" t="str">
        <f>"Including the "&amp;MiscData!D220&amp;" effective on "&amp;TEXT(MiscData!$A$24,"mmmm dd, yyyy")</f>
        <v>Including the  effective on September 01, 2014</v>
      </c>
      <c r="B184" s="531"/>
      <c r="C184" s="532"/>
      <c r="D184" s="533"/>
      <c r="E184" s="534"/>
      <c r="F184" s="535"/>
      <c r="G184" s="536" t="s">
        <v>886</v>
      </c>
      <c r="H184" s="534"/>
      <c r="I184" s="537"/>
      <c r="J184" s="418"/>
      <c r="K184" s="417"/>
    </row>
    <row r="185" spans="1:36" ht="12.75">
      <c r="A185" s="511"/>
      <c r="B185" s="388"/>
      <c r="C185" s="417"/>
      <c r="D185" s="538"/>
      <c r="E185" s="417"/>
      <c r="F185" s="388"/>
      <c r="G185" s="417" t="s">
        <v>114</v>
      </c>
      <c r="H185" s="417" t="s">
        <v>115</v>
      </c>
      <c r="I185" s="539"/>
      <c r="J185" s="417"/>
      <c r="K185" s="417"/>
      <c r="Y185" s="515"/>
      <c r="Z185" s="515"/>
      <c r="AA185" s="515"/>
      <c r="AB185" s="515"/>
      <c r="AC185" s="515"/>
      <c r="AD185" s="515"/>
      <c r="AE185" s="515"/>
    </row>
    <row r="186" spans="1:36" ht="12.75">
      <c r="A186" s="513"/>
      <c r="B186" s="540"/>
      <c r="C186" s="541" t="s">
        <v>74</v>
      </c>
      <c r="D186" s="542" t="s">
        <v>116</v>
      </c>
      <c r="E186" s="543" t="s">
        <v>117</v>
      </c>
      <c r="F186" s="544"/>
      <c r="G186" s="543" t="s">
        <v>118</v>
      </c>
      <c r="H186" s="543" t="s">
        <v>119</v>
      </c>
      <c r="I186" s="544"/>
      <c r="J186" s="417"/>
      <c r="K186" s="417"/>
      <c r="W186" s="507"/>
    </row>
    <row r="187" spans="1:36" ht="12.75">
      <c r="A187" s="516"/>
      <c r="B187" s="378"/>
      <c r="C187" s="414"/>
      <c r="D187" s="412"/>
      <c r="E187" s="440"/>
      <c r="F187" s="400"/>
      <c r="G187" s="440"/>
      <c r="H187" s="413"/>
      <c r="I187" s="400"/>
      <c r="J187" s="417"/>
      <c r="K187" s="417"/>
      <c r="Y187" s="515"/>
      <c r="Z187" s="515"/>
      <c r="AA187" s="515"/>
      <c r="AB187" s="515"/>
    </row>
    <row r="188" spans="1:36" ht="12.75">
      <c r="A188" s="421" t="s">
        <v>911</v>
      </c>
      <c r="B188" s="378"/>
      <c r="C188" s="379"/>
      <c r="D188" s="378"/>
      <c r="E188" s="379"/>
      <c r="F188" s="379"/>
      <c r="G188" s="378"/>
      <c r="H188" s="380"/>
      <c r="I188" s="379"/>
    </row>
    <row r="189" spans="1:36" ht="12.75">
      <c r="A189" s="519" t="s">
        <v>74</v>
      </c>
      <c r="B189" s="378"/>
      <c r="C189" s="381">
        <f>SUMIF(L_12MonResults_RateClass,MiscData!$Y$6,L_12MonResults_Contract_Cnt)+SUMIF(L_12MonResults_RateClass,MiscData!$Y$6,L_12MonResults_Contract_Cnt_Adj)</f>
        <v>422</v>
      </c>
      <c r="D189" s="378"/>
      <c r="E189" s="378"/>
      <c r="F189" s="378"/>
      <c r="G189" s="382">
        <f>SUMIF(L_Rates_Tariff_Rate_Category,MiscData!$X$5&amp;MiscData!$AA$17,L_Rates_BSC)</f>
        <v>300</v>
      </c>
      <c r="H189" s="380">
        <f>ROUND($C189*G189,0)</f>
        <v>126600</v>
      </c>
      <c r="I189" s="379"/>
      <c r="Z189" s="521"/>
    </row>
    <row r="190" spans="1:36" ht="12.75">
      <c r="A190" s="495" t="s">
        <v>121</v>
      </c>
      <c r="B190" s="378"/>
      <c r="C190" s="381"/>
      <c r="D190" s="378"/>
      <c r="E190" s="378"/>
      <c r="F190" s="378"/>
      <c r="G190" s="383"/>
      <c r="H190" s="380">
        <f>SUMIF(L_12MonResults_RateClass,MiscData!$Y$6,L_12MonResults_Revenue_Customer_Adj)</f>
        <v>350</v>
      </c>
      <c r="I190" s="400"/>
      <c r="J190" s="496"/>
      <c r="K190" s="496"/>
      <c r="T190" s="507"/>
      <c r="V190" s="378"/>
      <c r="W190" s="378"/>
      <c r="Z190" s="521"/>
    </row>
    <row r="191" spans="1:36" ht="12.75">
      <c r="A191" s="519" t="s">
        <v>75</v>
      </c>
      <c r="B191" s="378"/>
      <c r="D191" s="378"/>
      <c r="E191" s="381">
        <f>SUMIF(L_12MonResults_RateClass,MiscData!$Y$6,L_12MonResults_KWH_Total)</f>
        <v>379039383</v>
      </c>
      <c r="F191" s="378"/>
      <c r="G191" s="386">
        <f>SUMIF(L_Rates_Tariff_Rate_Category,MiscData!$X$5&amp;MiscData!$AA$17,L_Rates_Energy)</f>
        <v>3.8100000000000002E-2</v>
      </c>
      <c r="H191" s="380">
        <f>ROUND($E191*G191,0)+1</f>
        <v>14441401</v>
      </c>
      <c r="I191" s="400"/>
      <c r="J191" s="496"/>
      <c r="T191" s="507"/>
      <c r="V191" s="378"/>
      <c r="W191" s="378"/>
      <c r="Z191" s="521"/>
    </row>
    <row r="192" spans="1:36" ht="12.75">
      <c r="A192" s="495" t="s">
        <v>121</v>
      </c>
      <c r="B192" s="378"/>
      <c r="C192" s="387"/>
      <c r="D192" s="381"/>
      <c r="E192" s="387"/>
      <c r="F192" s="378"/>
      <c r="G192" s="382"/>
      <c r="H192" s="380">
        <f>SUMIF(L_12MonResults_RateClass,MiscData!$Y$6,L_12MonResults_Revenue_Energy_Adj)</f>
        <v>0</v>
      </c>
      <c r="I192" s="400"/>
      <c r="J192" s="496"/>
      <c r="T192" s="507"/>
      <c r="V192" s="378"/>
      <c r="W192" s="378"/>
      <c r="Z192" s="521"/>
    </row>
    <row r="193" spans="1:26" ht="12.75">
      <c r="A193" s="489" t="s">
        <v>1268</v>
      </c>
      <c r="B193" s="378"/>
      <c r="C193" s="387"/>
      <c r="D193" s="381"/>
      <c r="E193" s="387"/>
      <c r="F193" s="378"/>
      <c r="G193" s="382"/>
      <c r="H193" s="380"/>
      <c r="I193" s="400"/>
      <c r="J193" s="496"/>
      <c r="T193" s="507"/>
      <c r="V193" s="378"/>
      <c r="W193" s="378"/>
      <c r="Z193" s="521"/>
    </row>
    <row r="194" spans="1:26" ht="12.75">
      <c r="A194" s="545" t="s">
        <v>1257</v>
      </c>
      <c r="B194" s="378"/>
      <c r="C194" s="381"/>
      <c r="D194" s="381">
        <f>SUMIF(L_12MonResults_RateClass,MiscData!$Y$6,L_12MonResults_Demand_Measured_Base)</f>
        <v>861436.8899999999</v>
      </c>
      <c r="E194" s="387"/>
      <c r="F194" s="378"/>
      <c r="G194" s="382">
        <f>SUMIF(L_Rates_Tariff_Rate_Category,MiscData!$X$5&amp;MiscData!$AA$17,L_Rates_Demand_Base)</f>
        <v>3.9800000000000004</v>
      </c>
      <c r="H194" s="380">
        <f t="shared" ref="H194:H199" si="1">ROUND($D194*G194,0)</f>
        <v>3428519</v>
      </c>
      <c r="I194" s="400"/>
      <c r="J194" s="496"/>
      <c r="T194" s="507"/>
      <c r="Z194" s="521"/>
    </row>
    <row r="195" spans="1:26" ht="12.75">
      <c r="A195" s="545" t="s">
        <v>1258</v>
      </c>
      <c r="B195" s="378"/>
      <c r="C195" s="381"/>
      <c r="D195" s="381">
        <f>SUMIF(L_12MonResults_RateClass,MiscData!$Y$6,L_12MonResults_Demand_Minimum_Base)</f>
        <v>22265.700000000004</v>
      </c>
      <c r="E195" s="387"/>
      <c r="F195" s="378"/>
      <c r="G195" s="382">
        <f>SUMIF(L_Rates_Tariff_Rate_Category,MiscData!$X$5&amp;MiscData!$AA$17,L_Rates_Demand_Base)</f>
        <v>3.9800000000000004</v>
      </c>
      <c r="H195" s="380">
        <f t="shared" si="1"/>
        <v>88617</v>
      </c>
      <c r="I195" s="400"/>
      <c r="J195" s="496"/>
      <c r="T195" s="507"/>
      <c r="Z195" s="521"/>
    </row>
    <row r="196" spans="1:26" ht="12.75">
      <c r="A196" s="545" t="s">
        <v>1259</v>
      </c>
      <c r="B196" s="378"/>
      <c r="C196" s="381"/>
      <c r="D196" s="381">
        <f>SUMIF(L_12MonResults_RateClass,MiscData!$Y$6,L_12MonResults_Demand_Measured_Inter)</f>
        <v>819210.99999999988</v>
      </c>
      <c r="E196" s="378"/>
      <c r="F196" s="378"/>
      <c r="G196" s="382">
        <f>SUMIF(L_Rates_Tariff_Rate_Category,MiscData!$X$5&amp;MiscData!$AA$17,L_Rates_Demand_Intermediate)</f>
        <v>4.13</v>
      </c>
      <c r="H196" s="380">
        <f t="shared" si="1"/>
        <v>3383341</v>
      </c>
      <c r="I196" s="400"/>
      <c r="J196" s="496"/>
      <c r="T196" s="507"/>
      <c r="V196" s="378"/>
      <c r="W196" s="378"/>
      <c r="Z196" s="521"/>
    </row>
    <row r="197" spans="1:26" ht="12.75">
      <c r="A197" s="545" t="s">
        <v>1260</v>
      </c>
      <c r="B197" s="378"/>
      <c r="D197" s="381">
        <f>SUMIF(L_12MonResults_RateClass,MiscData!$Y$6,L_12MonResults_Demand_Minimum_Inter)</f>
        <v>3443.5</v>
      </c>
      <c r="E197" s="381"/>
      <c r="F197" s="378"/>
      <c r="G197" s="382">
        <f>SUMIF(L_Rates_Tariff_Rate_Category,MiscData!$X$5&amp;MiscData!$AA$17,L_Rates_Demand_Intermediate)</f>
        <v>4.13</v>
      </c>
      <c r="H197" s="380">
        <f t="shared" si="1"/>
        <v>14222</v>
      </c>
      <c r="I197" s="400"/>
      <c r="J197" s="496"/>
      <c r="T197" s="507"/>
      <c r="V197" s="378"/>
      <c r="W197" s="378"/>
      <c r="Z197" s="521"/>
    </row>
    <row r="198" spans="1:26" ht="12.75">
      <c r="A198" s="545" t="s">
        <v>1261</v>
      </c>
      <c r="B198" s="378"/>
      <c r="C198" s="381"/>
      <c r="D198" s="381">
        <f>SUMIF(L_12MonResults_RateClass,MiscData!$Y$6,L_12MonResults_Demand_Measured_Peak)</f>
        <v>801354.58000000007</v>
      </c>
      <c r="E198" s="378"/>
      <c r="F198" s="378"/>
      <c r="G198" s="382">
        <f>SUMIF(L_Rates_Tariff_Rate_Category,MiscData!$X$5&amp;MiscData!$AA$17,L_Rates_Demand_Peak)</f>
        <v>5.83</v>
      </c>
      <c r="H198" s="380">
        <f t="shared" si="1"/>
        <v>4671897</v>
      </c>
      <c r="I198" s="400"/>
      <c r="J198" s="496"/>
      <c r="T198" s="507"/>
      <c r="V198" s="378"/>
      <c r="W198" s="378"/>
      <c r="Z198" s="521"/>
    </row>
    <row r="199" spans="1:26" ht="12.75">
      <c r="A199" s="545" t="s">
        <v>1262</v>
      </c>
      <c r="B199" s="378"/>
      <c r="D199" s="381">
        <f>SUMIF(L_12MonResults_RateClass,MiscData!$Y$6,L_12MonResults_Demand_Minimum_Peak)</f>
        <v>3811.6999999999971</v>
      </c>
      <c r="E199" s="381"/>
      <c r="F199" s="378"/>
      <c r="G199" s="382">
        <f>SUMIF(L_Rates_Tariff_Rate_Category,MiscData!$X$5&amp;MiscData!$AA$17,L_Rates_Demand_Peak)</f>
        <v>5.83</v>
      </c>
      <c r="H199" s="380">
        <f t="shared" si="1"/>
        <v>22222</v>
      </c>
      <c r="I199" s="400"/>
      <c r="J199" s="496"/>
      <c r="T199" s="507"/>
      <c r="V199" s="378"/>
      <c r="W199" s="378"/>
      <c r="Z199" s="521"/>
    </row>
    <row r="200" spans="1:26" ht="12.75">
      <c r="A200" s="490" t="s">
        <v>1244</v>
      </c>
      <c r="B200" s="378"/>
      <c r="C200" s="378"/>
      <c r="D200" s="378"/>
      <c r="E200" s="381"/>
      <c r="F200" s="378"/>
      <c r="G200" s="386"/>
      <c r="H200" s="380">
        <f>ROUND(SUMIF(L_12MonResults_RateClass,MiscData!$Y$6,L_12MonResults_Revenue_Demand_Adj),0)</f>
        <v>5399</v>
      </c>
      <c r="I200" s="400"/>
      <c r="J200" s="496"/>
      <c r="T200" s="507"/>
      <c r="V200" s="378"/>
      <c r="W200" s="378"/>
      <c r="Z200" s="521"/>
    </row>
    <row r="201" spans="1:26" ht="15">
      <c r="A201" s="435" t="s">
        <v>122</v>
      </c>
      <c r="B201" s="378"/>
      <c r="C201" s="423">
        <f>C189</f>
        <v>422</v>
      </c>
      <c r="D201" s="423">
        <f>SUM(D194:D199)</f>
        <v>2511523.37</v>
      </c>
      <c r="E201" s="423">
        <f>E191</f>
        <v>379039383</v>
      </c>
      <c r="F201" s="381"/>
      <c r="G201" s="378"/>
      <c r="H201" s="402">
        <f>SUM(H189:H200)</f>
        <v>26182568</v>
      </c>
      <c r="I201" s="379"/>
    </row>
    <row r="202" spans="1:26" ht="15">
      <c r="A202" s="435"/>
      <c r="B202" s="378"/>
      <c r="C202" s="390"/>
      <c r="D202" s="390"/>
      <c r="E202" s="381" t="str">
        <f>IF(SUMIF(L_12MonResults_RateClass,MiscData!$Y$6,L_12MonResults_KWH_Total)=E201,"",SUMIF(L_12MonResults_RateClass,MiscData!$Y$6,L_12MonResults_KWH_Total))</f>
        <v/>
      </c>
      <c r="F202" s="378"/>
      <c r="G202" s="378"/>
      <c r="H202" s="380"/>
      <c r="I202" s="379"/>
    </row>
    <row r="203" spans="1:26" ht="12.75">
      <c r="A203" s="435"/>
      <c r="B203" s="378"/>
      <c r="C203" s="381"/>
      <c r="D203" s="396"/>
      <c r="E203" s="381"/>
      <c r="F203" s="381"/>
      <c r="G203" s="424"/>
      <c r="H203" s="425">
        <f>'Sch M-1.3-pg 1'!$J$28</f>
        <v>1.000000038193352</v>
      </c>
      <c r="I203" s="400"/>
    </row>
    <row r="204" spans="1:26" ht="12.75">
      <c r="A204" s="435"/>
      <c r="B204" s="378"/>
      <c r="C204" s="381"/>
      <c r="D204" s="378"/>
      <c r="E204" s="381"/>
      <c r="F204" s="381"/>
      <c r="G204" s="400"/>
      <c r="H204" s="380"/>
      <c r="I204" s="400"/>
    </row>
    <row r="205" spans="1:26" ht="15">
      <c r="A205" s="525" t="s">
        <v>125</v>
      </c>
      <c r="B205" s="378"/>
      <c r="C205" s="381"/>
      <c r="D205" s="381"/>
      <c r="E205" s="378"/>
      <c r="F205" s="378"/>
      <c r="G205" s="400"/>
      <c r="H205" s="402">
        <f>ROUND(H201/H203,0)</f>
        <v>26182567</v>
      </c>
      <c r="I205" s="400"/>
    </row>
    <row r="206" spans="1:26" ht="12.75">
      <c r="A206" s="525"/>
      <c r="B206" s="378"/>
      <c r="C206" s="381"/>
      <c r="D206" s="378"/>
      <c r="E206" s="378"/>
      <c r="F206" s="378"/>
      <c r="G206" s="400"/>
      <c r="H206" s="380"/>
      <c r="I206" s="400"/>
    </row>
    <row r="207" spans="1:26" ht="15">
      <c r="A207" s="421" t="s">
        <v>895</v>
      </c>
      <c r="B207" s="378"/>
      <c r="C207" s="381"/>
      <c r="D207" s="378"/>
      <c r="E207" s="381"/>
      <c r="F207" s="378"/>
      <c r="G207" s="400"/>
      <c r="H207" s="402"/>
      <c r="I207" s="400"/>
    </row>
    <row r="208" spans="1:26" ht="12.75">
      <c r="A208" s="525" t="s">
        <v>127</v>
      </c>
      <c r="B208" s="378"/>
      <c r="C208" s="381"/>
      <c r="D208" s="378"/>
      <c r="E208" s="381"/>
      <c r="F208" s="378"/>
      <c r="G208" s="400"/>
      <c r="H208" s="380">
        <f>'Sch M-1.3-pg 1'!$D$28</f>
        <v>-14990</v>
      </c>
      <c r="I208" s="400"/>
      <c r="U208" s="507"/>
    </row>
    <row r="209" spans="1:36" ht="12.75">
      <c r="A209" s="525" t="s">
        <v>128</v>
      </c>
      <c r="B209" s="378"/>
      <c r="C209" s="381"/>
      <c r="D209" s="378"/>
      <c r="E209" s="381"/>
      <c r="F209" s="378"/>
      <c r="G209" s="400"/>
      <c r="H209" s="380">
        <f>'Sch M-1.3-pg 1'!$E$28</f>
        <v>559720</v>
      </c>
      <c r="I209" s="400"/>
      <c r="U209" s="507"/>
    </row>
    <row r="210" spans="1:36" ht="15">
      <c r="A210" s="525" t="s">
        <v>129</v>
      </c>
      <c r="B210" s="378"/>
      <c r="C210" s="381"/>
      <c r="D210" s="378"/>
      <c r="E210" s="381"/>
      <c r="F210" s="378"/>
      <c r="G210" s="400"/>
      <c r="H210" s="391">
        <f>'Sch M-1.3-pg 1'!$F$28</f>
        <v>1196304</v>
      </c>
      <c r="I210" s="400"/>
      <c r="U210" s="507"/>
    </row>
    <row r="211" spans="1:36" ht="15">
      <c r="A211" s="527" t="s">
        <v>130</v>
      </c>
      <c r="B211" s="378"/>
      <c r="C211" s="381"/>
      <c r="D211" s="378"/>
      <c r="E211" s="381"/>
      <c r="F211" s="378"/>
      <c r="G211" s="400"/>
      <c r="H211" s="391">
        <f>SUM(H208:H210)</f>
        <v>1741034</v>
      </c>
      <c r="I211" s="400"/>
    </row>
    <row r="212" spans="1:36" ht="15">
      <c r="A212" s="527"/>
      <c r="B212" s="378"/>
      <c r="C212" s="381"/>
      <c r="D212" s="378"/>
      <c r="E212" s="381"/>
      <c r="F212" s="378"/>
      <c r="G212" s="400"/>
      <c r="H212" s="402"/>
      <c r="I212" s="400"/>
    </row>
    <row r="213" spans="1:36" ht="15">
      <c r="A213" s="527" t="s">
        <v>131</v>
      </c>
      <c r="B213" s="378"/>
      <c r="C213" s="381"/>
      <c r="D213" s="378"/>
      <c r="E213" s="381"/>
      <c r="F213" s="378"/>
      <c r="G213" s="400"/>
      <c r="H213" s="404">
        <f>H211+H205</f>
        <v>27923601</v>
      </c>
      <c r="I213" s="400"/>
    </row>
    <row r="214" spans="1:36" ht="15">
      <c r="A214" s="421"/>
      <c r="B214" s="378"/>
      <c r="C214" s="381"/>
      <c r="D214" s="378"/>
      <c r="E214" s="381"/>
      <c r="F214" s="378"/>
      <c r="G214" s="400"/>
      <c r="H214" s="402"/>
      <c r="I214" s="400"/>
    </row>
    <row r="215" spans="1:36" ht="15">
      <c r="A215" s="421"/>
      <c r="B215" s="378"/>
      <c r="C215" s="381"/>
      <c r="D215" s="378"/>
      <c r="E215" s="381"/>
      <c r="F215" s="378"/>
      <c r="G215" s="400"/>
      <c r="H215" s="402"/>
      <c r="I215" s="400"/>
    </row>
    <row r="216" spans="1:36" ht="15">
      <c r="A216" s="421"/>
      <c r="B216" s="378"/>
      <c r="C216" s="381"/>
      <c r="D216" s="378"/>
      <c r="E216" s="381"/>
      <c r="F216" s="378"/>
      <c r="G216" s="400"/>
      <c r="H216" s="402"/>
      <c r="I216" s="400"/>
    </row>
    <row r="217" spans="1:36" ht="12.75">
      <c r="A217" s="498" t="s">
        <v>1230</v>
      </c>
      <c r="I217" s="499" t="str">
        <f>'Sch M-1.3-pg 1'!$J$1</f>
        <v>Schedule M-1.3-E</v>
      </c>
      <c r="W217" s="515"/>
      <c r="Y217" s="515"/>
      <c r="Z217" s="515"/>
      <c r="AA217" s="515"/>
      <c r="AB217" s="515"/>
      <c r="AC217" s="515"/>
      <c r="AD217" s="515"/>
      <c r="AE217" s="515"/>
      <c r="AF217" s="515"/>
      <c r="AG217" s="515"/>
      <c r="AH217" s="515"/>
      <c r="AI217" s="515"/>
      <c r="AJ217" s="515"/>
    </row>
    <row r="218" spans="1:36" ht="12.75">
      <c r="A218" s="500" t="s">
        <v>1231</v>
      </c>
      <c r="I218" s="499" t="str">
        <f>"Page "&amp;M218&amp;" of "&amp;N218</f>
        <v>Page 8 of 19</v>
      </c>
      <c r="M218" s="329">
        <f>M181+1</f>
        <v>8</v>
      </c>
      <c r="N218" s="329">
        <f>'Sch M-1.3 pgs 14-19'!$K$178</f>
        <v>19</v>
      </c>
      <c r="W218" s="515"/>
    </row>
    <row r="219" spans="1:36" ht="12.75">
      <c r="A219" s="500" t="s">
        <v>1223</v>
      </c>
      <c r="I219" s="501" t="str">
        <f>'Sch M-1.3-pg 1'!$J$3</f>
        <v>Witness:  M.J. Blake</v>
      </c>
      <c r="T219" s="507"/>
      <c r="W219" s="515"/>
      <c r="X219" s="507"/>
    </row>
    <row r="220" spans="1:36" ht="12.75">
      <c r="A220" s="502"/>
      <c r="B220" s="378"/>
      <c r="C220" s="400"/>
      <c r="D220" s="416"/>
      <c r="E220" s="378"/>
      <c r="F220" s="378"/>
      <c r="G220" s="719"/>
      <c r="H220" s="720"/>
      <c r="I220" s="400"/>
      <c r="J220" s="417"/>
      <c r="K220" s="417"/>
      <c r="W220" s="507"/>
      <c r="Y220" s="515"/>
      <c r="Z220" s="515"/>
      <c r="AA220" s="515"/>
      <c r="AB220" s="515"/>
      <c r="AC220" s="515"/>
    </row>
    <row r="221" spans="1:36" ht="12.75">
      <c r="A221" s="530" t="str">
        <f>"Including the "&amp;MiscData!D257&amp;" effective on "&amp;TEXT(MiscData!$A$24,"mmmm dd, yyyy")</f>
        <v>Including the  effective on September 01, 2014</v>
      </c>
      <c r="B221" s="531"/>
      <c r="C221" s="532"/>
      <c r="D221" s="533"/>
      <c r="E221" s="534"/>
      <c r="F221" s="535"/>
      <c r="G221" s="536" t="s">
        <v>886</v>
      </c>
      <c r="H221" s="534"/>
      <c r="I221" s="537"/>
      <c r="J221" s="418"/>
      <c r="K221" s="417"/>
    </row>
    <row r="222" spans="1:36" ht="12.75">
      <c r="A222" s="511"/>
      <c r="B222" s="388"/>
      <c r="C222" s="417"/>
      <c r="D222" s="538"/>
      <c r="E222" s="417"/>
      <c r="F222" s="388"/>
      <c r="G222" s="417" t="s">
        <v>114</v>
      </c>
      <c r="H222" s="417" t="s">
        <v>115</v>
      </c>
      <c r="I222" s="539"/>
      <c r="J222" s="417"/>
      <c r="K222" s="417"/>
      <c r="Y222" s="515"/>
      <c r="Z222" s="515"/>
      <c r="AA222" s="515"/>
      <c r="AB222" s="515"/>
      <c r="AC222" s="515"/>
      <c r="AD222" s="515"/>
      <c r="AE222" s="515"/>
    </row>
    <row r="223" spans="1:36" ht="12.75">
      <c r="A223" s="513"/>
      <c r="B223" s="540"/>
      <c r="C223" s="541" t="s">
        <v>74</v>
      </c>
      <c r="D223" s="542" t="s">
        <v>116</v>
      </c>
      <c r="E223" s="543" t="s">
        <v>117</v>
      </c>
      <c r="F223" s="544"/>
      <c r="G223" s="543" t="s">
        <v>118</v>
      </c>
      <c r="H223" s="543" t="s">
        <v>119</v>
      </c>
      <c r="I223" s="544"/>
      <c r="J223" s="417"/>
      <c r="K223" s="417"/>
      <c r="W223" s="507"/>
    </row>
    <row r="224" spans="1:36" ht="12.75">
      <c r="A224" s="516"/>
      <c r="B224" s="378"/>
      <c r="C224" s="414"/>
      <c r="D224" s="412"/>
      <c r="E224" s="440"/>
      <c r="F224" s="400"/>
      <c r="G224" s="440"/>
      <c r="H224" s="413"/>
      <c r="I224" s="400"/>
      <c r="J224" s="417"/>
      <c r="K224" s="417"/>
      <c r="Y224" s="515"/>
      <c r="Z224" s="515"/>
      <c r="AA224" s="515"/>
      <c r="AB224" s="515"/>
    </row>
    <row r="225" spans="1:23" ht="12.75">
      <c r="A225" s="421" t="s">
        <v>912</v>
      </c>
      <c r="B225" s="378"/>
      <c r="C225" s="387"/>
      <c r="D225" s="378"/>
      <c r="E225" s="381"/>
      <c r="F225" s="378"/>
      <c r="G225" s="378"/>
      <c r="H225" s="380" t="s">
        <v>120</v>
      </c>
      <c r="I225" s="400"/>
      <c r="T225" s="526"/>
    </row>
    <row r="226" spans="1:23" ht="12.75">
      <c r="A226" s="519" t="s">
        <v>74</v>
      </c>
      <c r="B226" s="378"/>
      <c r="C226" s="381">
        <f>SUMIF(L_12MonResults_RateClass,MiscData!$Y$12,L_12MonResults_Contract_Cnt)+SUMIF(L_12MonResults_RateClass,MiscData!$Y$12,L_12MonResults_Contract_Cnt_Adj)</f>
        <v>785</v>
      </c>
      <c r="D226" s="378"/>
      <c r="E226" s="378"/>
      <c r="F226" s="378"/>
      <c r="G226" s="382">
        <f>SUMIF(L_Rates_Tariff_Rate_Category,MiscData!$X$5&amp;MiscData!$AA$30,L_Rates_BSC)</f>
        <v>300</v>
      </c>
      <c r="H226" s="380">
        <f>ROUND($C226*G226,0)</f>
        <v>235500</v>
      </c>
      <c r="I226" s="400"/>
    </row>
    <row r="227" spans="1:23" ht="12.75">
      <c r="A227" s="495" t="s">
        <v>121</v>
      </c>
      <c r="B227" s="378"/>
      <c r="C227" s="381"/>
      <c r="D227" s="378"/>
      <c r="E227" s="378"/>
      <c r="F227" s="378"/>
      <c r="G227" s="383"/>
      <c r="H227" s="380">
        <f>SUMIF(L_12MonResults_RateClass,MiscData!$Y$12,L_12MonResults_Revenue_Customer_Adj)</f>
        <v>100</v>
      </c>
      <c r="I227" s="379"/>
      <c r="T227" s="526"/>
      <c r="V227" s="378"/>
      <c r="W227" s="378"/>
    </row>
    <row r="228" spans="1:23" ht="12.75">
      <c r="A228" s="519" t="s">
        <v>75</v>
      </c>
      <c r="B228" s="378"/>
      <c r="D228" s="378"/>
      <c r="E228" s="381">
        <f>SUMIF(L_12MonResults_RateClass,MiscData!$Y$12,L_12MonResults_KWH_Total)</f>
        <v>1580744282</v>
      </c>
      <c r="F228" s="378"/>
      <c r="G228" s="386">
        <f>SUMIF(L_Rates_Tariff_Rate_Category,MiscData!$X$5&amp;MiscData!$AA$30,L_Rates_Energy)</f>
        <v>3.5380000000000002E-2</v>
      </c>
      <c r="H228" s="380">
        <f>ROUND($E228*G228,0)+1</f>
        <v>55926734</v>
      </c>
      <c r="I228" s="400"/>
      <c r="T228" s="526"/>
      <c r="V228" s="378"/>
      <c r="W228" s="378"/>
    </row>
    <row r="229" spans="1:23" ht="12.75">
      <c r="A229" s="495" t="s">
        <v>121</v>
      </c>
      <c r="B229" s="378"/>
      <c r="C229" s="387"/>
      <c r="D229" s="381"/>
      <c r="E229" s="387"/>
      <c r="F229" s="378"/>
      <c r="G229" s="382"/>
      <c r="H229" s="380">
        <f>SUMIF(L_12MonResults_RateClass,MiscData!$Y$12,L_12MonResults_Revenue_Energy_Adj)</f>
        <v>1.0000000000000002E-2</v>
      </c>
      <c r="I229" s="400"/>
      <c r="T229" s="526"/>
      <c r="V229" s="378"/>
      <c r="W229" s="378"/>
    </row>
    <row r="230" spans="1:23" ht="12.75">
      <c r="A230" s="489" t="s">
        <v>1268</v>
      </c>
      <c r="B230" s="378"/>
      <c r="C230" s="387"/>
      <c r="D230" s="381"/>
      <c r="E230" s="387"/>
      <c r="F230" s="378"/>
      <c r="G230" s="382"/>
      <c r="H230" s="380"/>
      <c r="I230" s="400"/>
      <c r="T230" s="526"/>
      <c r="V230" s="378"/>
      <c r="W230" s="378"/>
    </row>
    <row r="231" spans="1:23" ht="12.75">
      <c r="A231" s="545" t="s">
        <v>1257</v>
      </c>
      <c r="B231" s="378"/>
      <c r="C231" s="381"/>
      <c r="D231" s="381">
        <f>SUMIF(L_12MonResults_RateClass,MiscData!$Y$12,L_12MonResults_Demand_Measured_Base)</f>
        <v>3766716.1099999994</v>
      </c>
      <c r="E231" s="387"/>
      <c r="F231" s="378"/>
      <c r="G231" s="382">
        <f>SUMIF(L_Rates_Tariff_Rate_Category,MiscData!$X$5&amp;MiscData!$AA$30,L_Rates_Demand_Base)</f>
        <v>3.6300000000000003</v>
      </c>
      <c r="H231" s="380">
        <f t="shared" ref="H231:H236" si="2">ROUND($D231*G231,0)</f>
        <v>13673179</v>
      </c>
      <c r="I231" s="400"/>
      <c r="T231" s="526"/>
      <c r="V231" s="378"/>
    </row>
    <row r="232" spans="1:23" ht="12.75">
      <c r="A232" s="545" t="s">
        <v>1258</v>
      </c>
      <c r="B232" s="378"/>
      <c r="C232" s="381"/>
      <c r="D232" s="381">
        <f>SUMIF(L_12MonResults_RateClass,MiscData!$Y$12,L_12MonResults_Demand_Minimum_Base)</f>
        <v>14410.300000000041</v>
      </c>
      <c r="E232" s="387"/>
      <c r="F232" s="378"/>
      <c r="G232" s="382">
        <f>SUMIF(L_Rates_Tariff_Rate_Category,MiscData!$X$5&amp;MiscData!$AA$30,L_Rates_Demand_Base)</f>
        <v>3.6300000000000003</v>
      </c>
      <c r="H232" s="380">
        <f t="shared" si="2"/>
        <v>52309</v>
      </c>
      <c r="I232" s="400"/>
      <c r="T232" s="526"/>
      <c r="V232" s="378"/>
    </row>
    <row r="233" spans="1:23" ht="12.75">
      <c r="A233" s="545" t="s">
        <v>1259</v>
      </c>
      <c r="B233" s="378"/>
      <c r="C233" s="381"/>
      <c r="D233" s="381">
        <f>SUMIF(L_12MonResults_RateClass,MiscData!$Y$12,L_12MonResults_Demand_Measured_Inter)</f>
        <v>3536868.98</v>
      </c>
      <c r="E233" s="378"/>
      <c r="F233" s="378"/>
      <c r="G233" s="382">
        <f>SUMIF(L_Rates_Tariff_Rate_Category,MiscData!$X$5&amp;MiscData!$AA$30,L_Rates_Demand_Intermediate)</f>
        <v>3.7900000000000005</v>
      </c>
      <c r="H233" s="380">
        <f t="shared" si="2"/>
        <v>13404733</v>
      </c>
      <c r="I233" s="400"/>
      <c r="T233" s="526"/>
      <c r="V233" s="378"/>
      <c r="W233" s="378"/>
    </row>
    <row r="234" spans="1:23" ht="12.75">
      <c r="A234" s="545" t="s">
        <v>1260</v>
      </c>
      <c r="B234" s="378"/>
      <c r="D234" s="381">
        <f>SUMIF(L_12MonResults_RateClass,MiscData!$Y$12,L_12MonResults_Demand_Minimum_Inter)</f>
        <v>306.70000000001164</v>
      </c>
      <c r="E234" s="381"/>
      <c r="F234" s="378"/>
      <c r="G234" s="382">
        <f>SUMIF(L_Rates_Tariff_Rate_Category,MiscData!$X$5&amp;MiscData!$AA$30,L_Rates_Demand_Intermediate)</f>
        <v>3.7900000000000005</v>
      </c>
      <c r="H234" s="380">
        <f t="shared" si="2"/>
        <v>1162</v>
      </c>
      <c r="I234" s="400"/>
      <c r="T234" s="526"/>
      <c r="V234" s="378"/>
      <c r="W234" s="378"/>
    </row>
    <row r="235" spans="1:23" ht="12.75">
      <c r="A235" s="545" t="s">
        <v>1261</v>
      </c>
      <c r="B235" s="378"/>
      <c r="C235" s="381"/>
      <c r="D235" s="381">
        <f>SUMIF(L_12MonResults_RateClass,MiscData!$Y$12,L_12MonResults_Demand_Measured_Peak)</f>
        <v>3480487.2300000004</v>
      </c>
      <c r="E235" s="378"/>
      <c r="F235" s="378"/>
      <c r="G235" s="382">
        <f>SUMIF(L_Rates_Tariff_Rate_Category,MiscData!$X$5&amp;MiscData!$AA$30,L_Rates_Demand_Peak)</f>
        <v>4.63</v>
      </c>
      <c r="H235" s="380">
        <f t="shared" si="2"/>
        <v>16114656</v>
      </c>
      <c r="I235" s="400"/>
      <c r="T235" s="526"/>
      <c r="V235" s="378"/>
      <c r="W235" s="378"/>
    </row>
    <row r="236" spans="1:23" ht="12.75">
      <c r="A236" s="545" t="s">
        <v>1262</v>
      </c>
      <c r="B236" s="378"/>
      <c r="D236" s="381">
        <f>SUMIF(L_12MonResults_RateClass,MiscData!$Y$12,L_12MonResults_Demand_Minimum_Peak)</f>
        <v>2708.1000000000467</v>
      </c>
      <c r="E236" s="381"/>
      <c r="F236" s="378"/>
      <c r="G236" s="382">
        <f>SUMIF(L_Rates_Tariff_Rate_Category,MiscData!$X$5&amp;MiscData!$AA$30,L_Rates_Demand_Peak)</f>
        <v>4.63</v>
      </c>
      <c r="H236" s="380">
        <f t="shared" si="2"/>
        <v>12539</v>
      </c>
      <c r="I236" s="400"/>
      <c r="T236" s="526"/>
      <c r="V236" s="378"/>
    </row>
    <row r="237" spans="1:23" ht="12.75">
      <c r="A237" s="490" t="s">
        <v>1244</v>
      </c>
      <c r="B237" s="378"/>
      <c r="C237" s="378"/>
      <c r="D237" s="378"/>
      <c r="E237" s="381"/>
      <c r="F237" s="378"/>
      <c r="G237" s="386"/>
      <c r="H237" s="380">
        <f>SUMIF(L_12MonResults_RateClass,MiscData!$Y$12,L_12MonResults_Revenue_Demand_Adj)</f>
        <v>-932.2399999999999</v>
      </c>
      <c r="I237" s="400"/>
      <c r="T237" s="526"/>
      <c r="V237" s="378"/>
    </row>
    <row r="238" spans="1:23" ht="15">
      <c r="A238" s="435" t="s">
        <v>122</v>
      </c>
      <c r="B238" s="378"/>
      <c r="C238" s="423">
        <f>C226</f>
        <v>785</v>
      </c>
      <c r="D238" s="423">
        <f>SUM(D231:D236)</f>
        <v>10801497.42</v>
      </c>
      <c r="E238" s="423">
        <f>E228</f>
        <v>1580744282</v>
      </c>
      <c r="F238" s="381"/>
      <c r="G238" s="378"/>
      <c r="H238" s="402">
        <f>SUM(H226:H237)</f>
        <v>99419979.769999996</v>
      </c>
      <c r="I238" s="400"/>
      <c r="T238" s="526"/>
      <c r="V238" s="378"/>
    </row>
    <row r="239" spans="1:23" ht="15">
      <c r="A239" s="435"/>
      <c r="B239" s="378"/>
      <c r="C239" s="390"/>
      <c r="D239" s="390"/>
      <c r="E239" s="381"/>
      <c r="F239" s="378"/>
      <c r="G239" s="378"/>
      <c r="H239" s="380"/>
      <c r="I239" s="400"/>
    </row>
    <row r="240" spans="1:23" ht="12.75">
      <c r="A240" s="435"/>
      <c r="B240" s="378"/>
      <c r="C240" s="381"/>
      <c r="D240" s="396"/>
      <c r="E240" s="381"/>
      <c r="F240" s="381"/>
      <c r="G240" s="424"/>
      <c r="H240" s="425">
        <f>'Sch M-1.3-pg 1'!$J$30</f>
        <v>1</v>
      </c>
      <c r="I240" s="379"/>
      <c r="T240" s="526"/>
      <c r="V240" s="378"/>
    </row>
    <row r="241" spans="1:36" ht="12.75">
      <c r="A241" s="435"/>
      <c r="B241" s="378"/>
      <c r="C241" s="381"/>
      <c r="D241" s="378"/>
      <c r="E241" s="381"/>
      <c r="F241" s="381"/>
      <c r="G241" s="400"/>
      <c r="H241" s="380"/>
      <c r="I241" s="400"/>
    </row>
    <row r="242" spans="1:36" ht="15">
      <c r="A242" s="525" t="s">
        <v>125</v>
      </c>
      <c r="B242" s="378"/>
      <c r="C242" s="381"/>
      <c r="D242" s="381"/>
      <c r="E242" s="378"/>
      <c r="F242" s="378"/>
      <c r="G242" s="400"/>
      <c r="H242" s="402">
        <f>ROUND(H238/H240,0)</f>
        <v>99419980</v>
      </c>
      <c r="I242" s="400"/>
    </row>
    <row r="243" spans="1:36" ht="12.75">
      <c r="A243" s="525"/>
      <c r="B243" s="378"/>
      <c r="C243" s="381"/>
      <c r="D243" s="378"/>
      <c r="E243" s="378"/>
      <c r="F243" s="378"/>
      <c r="G243" s="400"/>
      <c r="H243" s="380"/>
      <c r="I243" s="400"/>
    </row>
    <row r="244" spans="1:36" ht="15">
      <c r="A244" s="421" t="s">
        <v>895</v>
      </c>
      <c r="B244" s="378"/>
      <c r="C244" s="381"/>
      <c r="D244" s="378"/>
      <c r="E244" s="381"/>
      <c r="F244" s="378"/>
      <c r="G244" s="400"/>
      <c r="H244" s="402"/>
      <c r="I244" s="400"/>
    </row>
    <row r="245" spans="1:36" ht="12.75">
      <c r="A245" s="525" t="s">
        <v>127</v>
      </c>
      <c r="B245" s="378"/>
      <c r="C245" s="381"/>
      <c r="D245" s="378"/>
      <c r="E245" s="381"/>
      <c r="F245" s="378"/>
      <c r="G245" s="400"/>
      <c r="H245" s="380">
        <f>'Sch M-1.3-pg 1'!$D$30</f>
        <v>-24607</v>
      </c>
      <c r="I245" s="400"/>
    </row>
    <row r="246" spans="1:36" ht="12.75">
      <c r="A246" s="525" t="s">
        <v>128</v>
      </c>
      <c r="B246" s="378"/>
      <c r="C246" s="381"/>
      <c r="D246" s="378"/>
      <c r="E246" s="381"/>
      <c r="F246" s="378"/>
      <c r="G246" s="400"/>
      <c r="H246" s="380">
        <f>'Sch M-1.3-pg 1'!$E$30</f>
        <v>1762403</v>
      </c>
      <c r="I246" s="400"/>
      <c r="U246" s="507"/>
    </row>
    <row r="247" spans="1:36" ht="15">
      <c r="A247" s="525" t="s">
        <v>129</v>
      </c>
      <c r="B247" s="378"/>
      <c r="C247" s="381"/>
      <c r="D247" s="378"/>
      <c r="E247" s="381"/>
      <c r="F247" s="378"/>
      <c r="G247" s="400"/>
      <c r="H247" s="391">
        <f>'Sch M-1.3-pg 1'!$F$30</f>
        <v>4833760</v>
      </c>
      <c r="I247" s="400"/>
      <c r="U247" s="507"/>
    </row>
    <row r="248" spans="1:36" ht="15">
      <c r="A248" s="527" t="s">
        <v>130</v>
      </c>
      <c r="B248" s="378"/>
      <c r="C248" s="381"/>
      <c r="D248" s="378"/>
      <c r="E248" s="381"/>
      <c r="F248" s="378"/>
      <c r="G248" s="400"/>
      <c r="H248" s="391">
        <f>SUM(H245:H247)</f>
        <v>6571556</v>
      </c>
      <c r="I248" s="400"/>
      <c r="U248" s="507"/>
    </row>
    <row r="249" spans="1:36" ht="15">
      <c r="A249" s="527"/>
      <c r="B249" s="378"/>
      <c r="C249" s="381"/>
      <c r="D249" s="378"/>
      <c r="E249" s="381"/>
      <c r="F249" s="378"/>
      <c r="G249" s="400"/>
      <c r="H249" s="402"/>
      <c r="I249" s="400"/>
    </row>
    <row r="250" spans="1:36" ht="15">
      <c r="A250" s="527" t="s">
        <v>131</v>
      </c>
      <c r="B250" s="378"/>
      <c r="C250" s="381"/>
      <c r="D250" s="378"/>
      <c r="E250" s="381"/>
      <c r="F250" s="378"/>
      <c r="G250" s="400"/>
      <c r="H250" s="404">
        <f>H248+H242</f>
        <v>105991536</v>
      </c>
      <c r="I250" s="400"/>
    </row>
    <row r="251" spans="1:36" ht="15">
      <c r="A251" s="421"/>
      <c r="B251" s="378"/>
      <c r="C251" s="381"/>
      <c r="D251" s="378"/>
      <c r="E251" s="381"/>
      <c r="F251" s="378"/>
      <c r="G251" s="400"/>
      <c r="H251" s="402"/>
      <c r="I251" s="400"/>
    </row>
    <row r="253" spans="1:36" ht="12.75">
      <c r="A253" s="498" t="s">
        <v>1230</v>
      </c>
      <c r="I253" s="499" t="str">
        <f>'Sch M-1.3-pg 1'!$J$1</f>
        <v>Schedule M-1.3-E</v>
      </c>
      <c r="W253" s="515"/>
      <c r="Y253" s="515"/>
      <c r="Z253" s="515"/>
      <c r="AA253" s="515"/>
      <c r="AB253" s="515"/>
      <c r="AC253" s="515"/>
      <c r="AD253" s="515"/>
      <c r="AE253" s="515"/>
      <c r="AF253" s="515"/>
      <c r="AG253" s="515"/>
      <c r="AH253" s="515"/>
      <c r="AI253" s="515"/>
      <c r="AJ253" s="515"/>
    </row>
    <row r="254" spans="1:36" ht="12.75">
      <c r="A254" s="500" t="s">
        <v>1231</v>
      </c>
      <c r="I254" s="499" t="str">
        <f>"Page "&amp;M254&amp;" of "&amp;N254</f>
        <v>Page 9 of 19</v>
      </c>
      <c r="M254" s="329">
        <f>M218+1</f>
        <v>9</v>
      </c>
      <c r="N254" s="329">
        <f>'Sch M-1.3 pgs 14-19'!$K$178</f>
        <v>19</v>
      </c>
      <c r="W254" s="515"/>
    </row>
    <row r="255" spans="1:36" ht="12.75">
      <c r="A255" s="500" t="s">
        <v>1223</v>
      </c>
      <c r="I255" s="501" t="str">
        <f>'Sch M-1.3-pg 1'!$J$3</f>
        <v>Witness:  M.J. Blake</v>
      </c>
      <c r="T255" s="507"/>
      <c r="W255" s="515"/>
      <c r="X255" s="507"/>
    </row>
    <row r="256" spans="1:36" ht="12.75">
      <c r="A256" s="502"/>
      <c r="B256" s="378"/>
      <c r="C256" s="400"/>
      <c r="D256" s="416"/>
      <c r="E256" s="378"/>
      <c r="F256" s="378"/>
      <c r="G256" s="719"/>
      <c r="H256" s="720"/>
      <c r="I256" s="400"/>
      <c r="J256" s="417"/>
      <c r="K256" s="417"/>
      <c r="W256" s="507"/>
      <c r="Y256" s="515"/>
      <c r="Z256" s="515"/>
      <c r="AA256" s="515"/>
      <c r="AB256" s="515"/>
      <c r="AC256" s="515"/>
    </row>
    <row r="257" spans="1:31" ht="12.75">
      <c r="A257" s="530" t="str">
        <f>"Including the "&amp;MiscData!D294&amp;" effective on "&amp;TEXT(MiscData!$A$24,"mmmm dd, yyyy")</f>
        <v>Including the  effective on September 01, 2014</v>
      </c>
      <c r="B257" s="531"/>
      <c r="C257" s="532"/>
      <c r="D257" s="533"/>
      <c r="E257" s="534"/>
      <c r="F257" s="535"/>
      <c r="G257" s="536" t="s">
        <v>886</v>
      </c>
      <c r="H257" s="534"/>
      <c r="I257" s="537"/>
      <c r="J257" s="418"/>
      <c r="K257" s="417"/>
    </row>
    <row r="258" spans="1:31" ht="12.75">
      <c r="A258" s="511"/>
      <c r="B258" s="388"/>
      <c r="C258" s="417"/>
      <c r="D258" s="538"/>
      <c r="E258" s="417"/>
      <c r="F258" s="388"/>
      <c r="G258" s="417" t="s">
        <v>114</v>
      </c>
      <c r="H258" s="417" t="s">
        <v>115</v>
      </c>
      <c r="I258" s="539"/>
      <c r="J258" s="417"/>
      <c r="K258" s="417"/>
      <c r="Y258" s="515"/>
      <c r="Z258" s="515"/>
      <c r="AA258" s="515"/>
      <c r="AB258" s="515"/>
      <c r="AC258" s="515"/>
      <c r="AD258" s="515"/>
      <c r="AE258" s="515"/>
    </row>
    <row r="259" spans="1:31" ht="12.75">
      <c r="A259" s="513"/>
      <c r="B259" s="540"/>
      <c r="C259" s="541" t="s">
        <v>74</v>
      </c>
      <c r="D259" s="542" t="s">
        <v>116</v>
      </c>
      <c r="E259" s="543" t="s">
        <v>117</v>
      </c>
      <c r="F259" s="544"/>
      <c r="G259" s="543" t="s">
        <v>118</v>
      </c>
      <c r="H259" s="543" t="s">
        <v>119</v>
      </c>
      <c r="I259" s="544"/>
      <c r="J259" s="417"/>
      <c r="K259" s="417"/>
      <c r="W259" s="507"/>
    </row>
    <row r="260" spans="1:31" ht="12.75">
      <c r="A260" s="516"/>
      <c r="B260" s="378"/>
      <c r="C260" s="414"/>
      <c r="D260" s="412"/>
      <c r="E260" s="440"/>
      <c r="F260" s="400"/>
      <c r="G260" s="440"/>
      <c r="H260" s="413"/>
      <c r="I260" s="400"/>
      <c r="J260" s="417"/>
      <c r="K260" s="417"/>
      <c r="Y260" s="515"/>
      <c r="Z260" s="515"/>
      <c r="AA260" s="515"/>
      <c r="AB260" s="515"/>
    </row>
    <row r="261" spans="1:31" ht="12.75">
      <c r="A261" s="421" t="s">
        <v>142</v>
      </c>
      <c r="B261" s="378"/>
      <c r="C261" s="379"/>
      <c r="D261" s="378"/>
      <c r="E261" s="379"/>
      <c r="F261" s="379"/>
      <c r="G261" s="378"/>
      <c r="H261" s="380"/>
      <c r="I261" s="379"/>
    </row>
    <row r="262" spans="1:31" ht="12.75">
      <c r="A262" s="519" t="s">
        <v>74</v>
      </c>
      <c r="B262" s="378"/>
      <c r="C262" s="381">
        <f>SUMIF(L_12MonResults_RateClass,MiscData!$Y$19,L_12MonResults_Contract_Cnt)+SUMIF(L_12MonResults_RateClass,MiscData!$Y$19,L_12MonResults_Contract_Cnt_Adj)</f>
        <v>142</v>
      </c>
      <c r="D262" s="378"/>
      <c r="E262" s="378"/>
      <c r="F262" s="378"/>
      <c r="G262" s="382">
        <f>SUMIF(L_Rates_Tariff_Rate_Category,MiscData!$X$5&amp;MiscData!$AA$26,L_Rates_BSC)</f>
        <v>750</v>
      </c>
      <c r="H262" s="380">
        <f>ROUND($C262*G262,0)</f>
        <v>106500</v>
      </c>
      <c r="I262" s="400"/>
      <c r="T262" s="526"/>
      <c r="V262" s="378"/>
      <c r="W262" s="378"/>
    </row>
    <row r="263" spans="1:31" ht="12.75">
      <c r="A263" s="495" t="s">
        <v>121</v>
      </c>
      <c r="B263" s="378"/>
      <c r="C263" s="381"/>
      <c r="D263" s="378"/>
      <c r="E263" s="378"/>
      <c r="F263" s="378"/>
      <c r="G263" s="383"/>
      <c r="H263" s="380">
        <f>SUMIF(L_12MonResults_RateClass,MiscData!$Y$19,L_12MonResults_Revenue_Customer_Adj)</f>
        <v>0</v>
      </c>
      <c r="I263" s="400"/>
      <c r="T263" s="526"/>
      <c r="V263" s="378"/>
      <c r="W263" s="378"/>
    </row>
    <row r="264" spans="1:31" ht="12.75">
      <c r="A264" s="519" t="s">
        <v>75</v>
      </c>
      <c r="B264" s="378"/>
      <c r="D264" s="378"/>
      <c r="E264" s="381">
        <f>SUMIF(L_12MonResults_RateClass,MiscData!$Y$19,L_12MonResults_KWH_Total)</f>
        <v>788562348</v>
      </c>
      <c r="F264" s="378"/>
      <c r="G264" s="386">
        <f>SUMIF(L_Rates_Tariff_Rate_Category,MiscData!$X$5&amp;MiscData!$AA$26,L_Rates_Energy)</f>
        <v>3.61E-2</v>
      </c>
      <c r="H264" s="380">
        <f>ROUND($E264*G264,0)</f>
        <v>28467101</v>
      </c>
      <c r="I264" s="400"/>
      <c r="T264" s="526"/>
      <c r="V264" s="378"/>
      <c r="W264" s="378"/>
    </row>
    <row r="265" spans="1:31" ht="12.75">
      <c r="A265" s="495" t="s">
        <v>121</v>
      </c>
      <c r="B265" s="378"/>
      <c r="C265" s="387"/>
      <c r="D265" s="381"/>
      <c r="E265" s="387"/>
      <c r="F265" s="378"/>
      <c r="G265" s="382"/>
      <c r="H265" s="380">
        <f>SUMIF(L_12MonResults_RateClass,MiscData!$Y$19,L_12MonResults_Revenue_Energy_Adj)</f>
        <v>0</v>
      </c>
      <c r="I265" s="400"/>
      <c r="T265" s="526"/>
      <c r="V265" s="378"/>
      <c r="W265" s="378"/>
    </row>
    <row r="266" spans="1:31" ht="12.75">
      <c r="A266" s="489" t="s">
        <v>1268</v>
      </c>
      <c r="B266" s="378"/>
      <c r="C266" s="387"/>
      <c r="D266" s="381"/>
      <c r="E266" s="387"/>
      <c r="F266" s="378"/>
      <c r="G266" s="382"/>
      <c r="H266" s="380"/>
      <c r="I266" s="400"/>
      <c r="T266" s="526"/>
      <c r="V266" s="378"/>
      <c r="W266" s="378"/>
    </row>
    <row r="267" spans="1:31" ht="12.75">
      <c r="A267" s="545" t="s">
        <v>1257</v>
      </c>
      <c r="B267" s="378"/>
      <c r="C267" s="381"/>
      <c r="D267" s="381">
        <f>SUMIF(L_12MonResults_RateClass,MiscData!$Y$19,L_12MonResults_Demand_Measured_Base)</f>
        <v>1722429.1800000002</v>
      </c>
      <c r="E267" s="387"/>
      <c r="F267" s="378"/>
      <c r="G267" s="382">
        <f>SUMIF(L_Rates_Tariff_Rate_Category,MiscData!$X$5&amp;MiscData!$AA$26,L_Rates_Demand_Base)</f>
        <v>2.75</v>
      </c>
      <c r="H267" s="380">
        <f t="shared" ref="H267:H272" si="3">ROUND($D267*G267,0)</f>
        <v>4736680</v>
      </c>
      <c r="I267" s="400"/>
      <c r="T267" s="526"/>
    </row>
    <row r="268" spans="1:31" ht="12.75">
      <c r="A268" s="545" t="s">
        <v>1258</v>
      </c>
      <c r="B268" s="378"/>
      <c r="C268" s="381"/>
      <c r="D268" s="381">
        <f>SUMIF(L_12MonResults_RateClass,MiscData!$Y$19,L_12MonResults_Demand_Minimum_Base)</f>
        <v>10619.399999999969</v>
      </c>
      <c r="E268" s="387"/>
      <c r="F268" s="378"/>
      <c r="G268" s="382">
        <f>SUMIF(L_Rates_Tariff_Rate_Category,MiscData!$X$5&amp;MiscData!$AA$26,L_Rates_Demand_Base)</f>
        <v>2.75</v>
      </c>
      <c r="H268" s="380">
        <f t="shared" si="3"/>
        <v>29203</v>
      </c>
      <c r="I268" s="400"/>
      <c r="T268" s="526"/>
      <c r="V268" s="378"/>
      <c r="W268" s="378"/>
    </row>
    <row r="269" spans="1:31" ht="12.75">
      <c r="A269" s="545" t="s">
        <v>1259</v>
      </c>
      <c r="B269" s="378"/>
      <c r="C269" s="381"/>
      <c r="D269" s="381">
        <f>SUMIF(L_12MonResults_RateClass,MiscData!$Y$19,L_12MonResults_Demand_Measured_Inter)</f>
        <v>1659326.18</v>
      </c>
      <c r="E269" s="378"/>
      <c r="F269" s="378"/>
      <c r="G269" s="382">
        <f>SUMIF(L_Rates_Tariff_Rate_Category,MiscData!$X$5&amp;MiscData!$AA$26,L_Rates_Demand_Intermediate)</f>
        <v>3</v>
      </c>
      <c r="H269" s="380">
        <f t="shared" si="3"/>
        <v>4977979</v>
      </c>
      <c r="I269" s="400"/>
      <c r="T269" s="526"/>
      <c r="V269" s="378"/>
      <c r="W269" s="378"/>
    </row>
    <row r="270" spans="1:31" ht="12.75">
      <c r="A270" s="545" t="s">
        <v>1260</v>
      </c>
      <c r="B270" s="378"/>
      <c r="D270" s="381">
        <f>SUMIF(L_12MonResults_RateClass,MiscData!$Y$19,L_12MonResults_Demand_Minimum_Inter)</f>
        <v>2698.5999999999913</v>
      </c>
      <c r="E270" s="381"/>
      <c r="F270" s="378"/>
      <c r="G270" s="382">
        <f>SUMIF(L_Rates_Tariff_Rate_Category,MiscData!$X$5&amp;MiscData!$AA$26,L_Rates_Demand_Intermediate)</f>
        <v>3</v>
      </c>
      <c r="H270" s="380">
        <f t="shared" si="3"/>
        <v>8096</v>
      </c>
      <c r="I270" s="400"/>
      <c r="T270" s="526"/>
      <c r="V270" s="378"/>
      <c r="W270" s="378"/>
    </row>
    <row r="271" spans="1:31" ht="12.75">
      <c r="A271" s="545" t="s">
        <v>1261</v>
      </c>
      <c r="B271" s="378"/>
      <c r="C271" s="381"/>
      <c r="D271" s="381">
        <f>SUMIF(L_12MonResults_RateClass,MiscData!$Y$19,L_12MonResults_Demand_Measured_Peak)</f>
        <v>1142631.07</v>
      </c>
      <c r="E271" s="378"/>
      <c r="F271" s="378"/>
      <c r="G271" s="382">
        <f>SUMIF(L_Rates_Tariff_Rate_Category,MiscData!$X$5&amp;MiscData!$AA$26,L_Rates_Demand_Peak)</f>
        <v>4.5500000000000007</v>
      </c>
      <c r="H271" s="380">
        <f t="shared" si="3"/>
        <v>5198971</v>
      </c>
      <c r="I271" s="400"/>
      <c r="T271" s="526"/>
      <c r="V271" s="378"/>
      <c r="W271" s="378"/>
    </row>
    <row r="272" spans="1:31" ht="12.75">
      <c r="A272" s="545" t="s">
        <v>1262</v>
      </c>
      <c r="B272" s="378"/>
      <c r="D272" s="381">
        <f>SUMIF(L_12MonResults_RateClass,MiscData!$Y$19,L_12MonResults_Demand_Minimum_Peak)</f>
        <v>350.69999999999709</v>
      </c>
      <c r="E272" s="381"/>
      <c r="F272" s="378"/>
      <c r="G272" s="382">
        <f>SUMIF(L_Rates_Tariff_Rate_Category,MiscData!$X$5&amp;MiscData!$AA$26,L_Rates_Demand_Peak)</f>
        <v>4.5500000000000007</v>
      </c>
      <c r="H272" s="380">
        <f t="shared" si="3"/>
        <v>1596</v>
      </c>
      <c r="I272" s="400"/>
      <c r="T272" s="526"/>
    </row>
    <row r="273" spans="1:20" ht="12.75">
      <c r="A273" s="490" t="s">
        <v>1244</v>
      </c>
      <c r="B273" s="378"/>
      <c r="C273" s="378"/>
      <c r="D273" s="378"/>
      <c r="E273" s="381"/>
      <c r="F273" s="378"/>
      <c r="G273" s="386"/>
      <c r="H273" s="380">
        <f>SUMIF(L_12MonResults_RateClass,MiscData!$Y$19,L_12MonResults_Revenue_Demand_Adj)</f>
        <v>0.22</v>
      </c>
      <c r="I273" s="400"/>
      <c r="T273" s="526"/>
    </row>
    <row r="274" spans="1:20" ht="15">
      <c r="A274" s="435" t="s">
        <v>122</v>
      </c>
      <c r="B274" s="378"/>
      <c r="C274" s="423">
        <f>C262</f>
        <v>142</v>
      </c>
      <c r="D274" s="423">
        <f>SUM(D267:D272)</f>
        <v>4538055.13</v>
      </c>
      <c r="E274" s="423">
        <f>E264</f>
        <v>788562348</v>
      </c>
      <c r="F274" s="381"/>
      <c r="G274" s="378"/>
      <c r="H274" s="402">
        <f>SUM(H262:H273)</f>
        <v>43526126.219999999</v>
      </c>
      <c r="I274" s="379"/>
    </row>
    <row r="275" spans="1:20" ht="15">
      <c r="A275" s="435"/>
      <c r="B275" s="378"/>
      <c r="C275" s="390"/>
      <c r="D275" s="390"/>
      <c r="E275" s="381"/>
      <c r="F275" s="378"/>
      <c r="G275" s="378"/>
      <c r="H275" s="380"/>
      <c r="I275" s="400"/>
    </row>
    <row r="276" spans="1:20" ht="12.75">
      <c r="A276" s="435"/>
      <c r="B276" s="378"/>
      <c r="C276" s="381"/>
      <c r="D276" s="396"/>
      <c r="E276" s="381"/>
      <c r="F276" s="381"/>
      <c r="G276" s="424"/>
      <c r="H276" s="425">
        <f>'Sch M-1.3-pg 1'!$J$33</f>
        <v>1.0000000459494165</v>
      </c>
      <c r="I276" s="400"/>
    </row>
    <row r="277" spans="1:20" ht="12.75">
      <c r="A277" s="435"/>
      <c r="B277" s="378"/>
      <c r="C277" s="381"/>
      <c r="D277" s="378"/>
      <c r="E277" s="381"/>
      <c r="F277" s="381"/>
      <c r="G277" s="400"/>
      <c r="H277" s="380"/>
      <c r="I277" s="400"/>
    </row>
    <row r="278" spans="1:20" ht="15">
      <c r="A278" s="525" t="s">
        <v>125</v>
      </c>
      <c r="B278" s="378"/>
      <c r="C278" s="381"/>
      <c r="D278" s="381"/>
      <c r="E278" s="378"/>
      <c r="F278" s="378"/>
      <c r="G278" s="400"/>
      <c r="H278" s="402">
        <f>ROUND(H274/H276,0)</f>
        <v>43526124</v>
      </c>
      <c r="I278" s="400"/>
    </row>
    <row r="279" spans="1:20" ht="12.75">
      <c r="A279" s="525"/>
      <c r="B279" s="378"/>
      <c r="C279" s="381"/>
      <c r="D279" s="378"/>
      <c r="E279" s="378"/>
      <c r="F279" s="378"/>
      <c r="G279" s="400"/>
      <c r="H279" s="380"/>
      <c r="I279" s="400"/>
    </row>
    <row r="280" spans="1:20" ht="15">
      <c r="A280" s="525" t="s">
        <v>126</v>
      </c>
      <c r="B280" s="378"/>
      <c r="C280" s="381"/>
      <c r="D280" s="378"/>
      <c r="E280" s="381"/>
      <c r="F280" s="378"/>
      <c r="G280" s="400"/>
      <c r="H280" s="402"/>
      <c r="I280" s="400"/>
    </row>
    <row r="281" spans="1:20" ht="12.75">
      <c r="A281" s="525" t="s">
        <v>127</v>
      </c>
      <c r="B281" s="378"/>
      <c r="C281" s="381"/>
      <c r="D281" s="378"/>
      <c r="E281" s="381"/>
      <c r="F281" s="378"/>
      <c r="G281" s="400"/>
      <c r="H281" s="380">
        <f>'Sch M-1.3-pg 1'!$D$33</f>
        <v>-6835</v>
      </c>
      <c r="I281" s="400"/>
    </row>
    <row r="282" spans="1:20" ht="12.75">
      <c r="A282" s="525" t="s">
        <v>128</v>
      </c>
      <c r="B282" s="378"/>
      <c r="C282" s="381"/>
      <c r="D282" s="378"/>
      <c r="E282" s="381"/>
      <c r="F282" s="378"/>
      <c r="G282" s="400"/>
      <c r="H282" s="380">
        <f>'Sch M-1.3-pg 1'!$E$33</f>
        <v>0</v>
      </c>
      <c r="I282" s="400"/>
    </row>
    <row r="283" spans="1:20" ht="15">
      <c r="A283" s="525" t="s">
        <v>129</v>
      </c>
      <c r="B283" s="378"/>
      <c r="C283" s="381"/>
      <c r="D283" s="378"/>
      <c r="E283" s="381"/>
      <c r="F283" s="378"/>
      <c r="G283" s="400"/>
      <c r="H283" s="391">
        <f>'Sch M-1.3-pg 1'!$F$33</f>
        <v>2342743</v>
      </c>
      <c r="I283" s="400"/>
    </row>
    <row r="284" spans="1:20" ht="15">
      <c r="A284" s="527" t="s">
        <v>130</v>
      </c>
      <c r="B284" s="378"/>
      <c r="C284" s="381"/>
      <c r="D284" s="378"/>
      <c r="E284" s="381"/>
      <c r="F284" s="378"/>
      <c r="G284" s="400"/>
      <c r="H284" s="391">
        <f>SUM(H281:H283)</f>
        <v>2335908</v>
      </c>
      <c r="I284" s="400"/>
    </row>
    <row r="285" spans="1:20" ht="15">
      <c r="A285" s="527"/>
      <c r="B285" s="378"/>
      <c r="C285" s="381"/>
      <c r="D285" s="378"/>
      <c r="E285" s="381"/>
      <c r="F285" s="378"/>
      <c r="G285" s="400"/>
      <c r="H285" s="402"/>
      <c r="I285" s="400"/>
    </row>
    <row r="286" spans="1:20" ht="15">
      <c r="A286" s="527" t="s">
        <v>131</v>
      </c>
      <c r="B286" s="378"/>
      <c r="C286" s="381"/>
      <c r="D286" s="378"/>
      <c r="E286" s="381"/>
      <c r="F286" s="378"/>
      <c r="G286" s="400"/>
      <c r="H286" s="404">
        <f>H284+H278</f>
        <v>45862032</v>
      </c>
      <c r="I286" s="400"/>
    </row>
    <row r="287" spans="1:20" ht="15">
      <c r="A287" s="421"/>
      <c r="B287" s="378"/>
      <c r="C287" s="381"/>
      <c r="D287" s="378"/>
      <c r="E287" s="381"/>
      <c r="F287" s="378"/>
      <c r="G287" s="400"/>
      <c r="H287" s="402"/>
      <c r="I287" s="400"/>
    </row>
    <row r="289" spans="1:36" ht="12.75">
      <c r="A289" s="498" t="s">
        <v>1230</v>
      </c>
      <c r="I289" s="499" t="str">
        <f>'Sch M-1.3-pg 1'!$J$1</f>
        <v>Schedule M-1.3-E</v>
      </c>
      <c r="W289" s="515"/>
      <c r="Y289" s="515"/>
      <c r="Z289" s="515"/>
      <c r="AA289" s="515"/>
      <c r="AB289" s="515"/>
      <c r="AC289" s="515"/>
      <c r="AD289" s="515"/>
      <c r="AE289" s="515"/>
      <c r="AF289" s="515"/>
      <c r="AG289" s="515"/>
      <c r="AH289" s="515"/>
      <c r="AI289" s="515"/>
      <c r="AJ289" s="515"/>
    </row>
    <row r="290" spans="1:36" ht="12.75">
      <c r="A290" s="500" t="s">
        <v>1231</v>
      </c>
      <c r="I290" s="499" t="str">
        <f>"Page "&amp;M290&amp;" of "&amp;N290</f>
        <v>Page 10 of 19</v>
      </c>
      <c r="M290" s="329">
        <f>M254+1</f>
        <v>10</v>
      </c>
      <c r="N290" s="329">
        <f>'Sch M-1.3 pgs 14-19'!$K$178</f>
        <v>19</v>
      </c>
      <c r="W290" s="515"/>
    </row>
    <row r="291" spans="1:36" ht="12.75">
      <c r="A291" s="500" t="s">
        <v>1223</v>
      </c>
      <c r="I291" s="501" t="str">
        <f>'Sch M-1.3-pg 1'!$J$3</f>
        <v>Witness:  M.J. Blake</v>
      </c>
      <c r="T291" s="507"/>
      <c r="W291" s="515"/>
      <c r="X291" s="507"/>
    </row>
    <row r="292" spans="1:36" ht="12.75">
      <c r="A292" s="502"/>
      <c r="B292" s="378"/>
      <c r="C292" s="400"/>
      <c r="D292" s="416"/>
      <c r="E292" s="378"/>
      <c r="F292" s="378"/>
      <c r="G292" s="719"/>
      <c r="H292" s="720"/>
      <c r="I292" s="400"/>
      <c r="J292" s="417"/>
      <c r="K292" s="417"/>
      <c r="W292" s="507"/>
      <c r="Y292" s="515"/>
      <c r="Z292" s="515"/>
      <c r="AA292" s="515"/>
      <c r="AB292" s="515"/>
      <c r="AC292" s="515"/>
    </row>
    <row r="293" spans="1:36" ht="12.75">
      <c r="A293" s="530" t="str">
        <f>"Including the "&amp;MiscData!D332&amp;" effective on "&amp;TEXT(MiscData!$A$24,"mmmm dd, yyyy")</f>
        <v>Including the  effective on September 01, 2014</v>
      </c>
      <c r="B293" s="531"/>
      <c r="C293" s="532"/>
      <c r="D293" s="533"/>
      <c r="E293" s="534"/>
      <c r="F293" s="535"/>
      <c r="G293" s="536" t="s">
        <v>886</v>
      </c>
      <c r="H293" s="534"/>
      <c r="I293" s="537"/>
      <c r="J293" s="418"/>
      <c r="K293" s="417"/>
    </row>
    <row r="294" spans="1:36" ht="12.75">
      <c r="A294" s="511"/>
      <c r="B294" s="388"/>
      <c r="C294" s="417"/>
      <c r="D294" s="538"/>
      <c r="E294" s="417"/>
      <c r="F294" s="388"/>
      <c r="G294" s="417" t="s">
        <v>114</v>
      </c>
      <c r="H294" s="417" t="s">
        <v>115</v>
      </c>
      <c r="I294" s="539"/>
      <c r="J294" s="417"/>
      <c r="K294" s="417"/>
      <c r="Y294" s="515"/>
      <c r="Z294" s="515"/>
      <c r="AA294" s="515"/>
      <c r="AB294" s="515"/>
      <c r="AC294" s="515"/>
      <c r="AD294" s="515"/>
      <c r="AE294" s="515"/>
    </row>
    <row r="295" spans="1:36" ht="12.75">
      <c r="A295" s="513"/>
      <c r="B295" s="540"/>
      <c r="C295" s="541" t="s">
        <v>74</v>
      </c>
      <c r="D295" s="542" t="s">
        <v>116</v>
      </c>
      <c r="E295" s="543" t="s">
        <v>117</v>
      </c>
      <c r="F295" s="544"/>
      <c r="G295" s="543" t="s">
        <v>118</v>
      </c>
      <c r="H295" s="543" t="s">
        <v>119</v>
      </c>
      <c r="I295" s="544"/>
      <c r="J295" s="417"/>
      <c r="K295" s="417"/>
      <c r="W295" s="507"/>
    </row>
    <row r="296" spans="1:36" ht="12.75">
      <c r="A296" s="516"/>
      <c r="B296" s="378"/>
      <c r="C296" s="414"/>
      <c r="D296" s="412"/>
      <c r="E296" s="440"/>
      <c r="F296" s="400"/>
      <c r="G296" s="440"/>
      <c r="H296" s="413"/>
      <c r="I296" s="400"/>
      <c r="J296" s="417"/>
      <c r="K296" s="417"/>
      <c r="Y296" s="515"/>
      <c r="Z296" s="515"/>
      <c r="AA296" s="515"/>
      <c r="AB296" s="515"/>
    </row>
    <row r="297" spans="1:36" ht="12.75">
      <c r="A297" s="421" t="s">
        <v>1247</v>
      </c>
      <c r="K297" s="415" t="s">
        <v>913</v>
      </c>
      <c r="Z297" s="521"/>
    </row>
    <row r="298" spans="1:36" ht="12.75">
      <c r="A298" s="519" t="s">
        <v>74</v>
      </c>
      <c r="B298" s="378"/>
      <c r="C298" s="381">
        <f>SUMIF(L_12MonResults_RateClass,MiscData!$Y$7,L_12MonResults_Contract_Cnt)+SUMIF(L_12MonResults_RateClass,MiscData!$Y$7,L_12MonResults_Contract_Cnt_Adj)</f>
        <v>11</v>
      </c>
      <c r="D298" s="378"/>
      <c r="E298" s="378"/>
      <c r="F298" s="378"/>
      <c r="G298" s="382">
        <f>SUMIF(L_Rates_Tariff_Rate_Category,MiscData!$X$5&amp;MiscData!$AA$25,L_Rates_BSC)</f>
        <v>0</v>
      </c>
      <c r="H298" s="380">
        <f>ROUND($C298*G298,0)</f>
        <v>0</v>
      </c>
      <c r="I298" s="379"/>
      <c r="Z298" s="521"/>
    </row>
    <row r="299" spans="1:36" ht="12.75">
      <c r="A299" s="495" t="s">
        <v>121</v>
      </c>
      <c r="B299" s="378"/>
      <c r="C299" s="381"/>
      <c r="D299" s="378"/>
      <c r="E299" s="378"/>
      <c r="F299" s="378"/>
      <c r="G299" s="383"/>
      <c r="H299" s="380">
        <f>SUMIF(L_12MonResults_RateClass,MiscData!$Y$7,L_12MonResults_Revenue_Customer_Adj)</f>
        <v>0</v>
      </c>
      <c r="I299" s="400"/>
      <c r="J299" s="382"/>
      <c r="K299" s="389"/>
      <c r="T299" s="526"/>
      <c r="W299" s="378"/>
      <c r="X299" s="378"/>
      <c r="Z299" s="521"/>
    </row>
    <row r="300" spans="1:36" ht="12.75">
      <c r="A300" s="519" t="s">
        <v>75</v>
      </c>
      <c r="B300" s="378"/>
      <c r="D300" s="378"/>
      <c r="E300" s="381">
        <f>SUMIF(L_12MonResults_RateClass,MiscData!$Y$7,L_12MonResults_KWH_Total)</f>
        <v>141699400</v>
      </c>
      <c r="F300" s="378"/>
      <c r="G300" s="386">
        <f>SUMIF(L_Rates_Tariff_Rate_Category,MiscData!$X$5&amp;MiscData!$AA$25,L_Rates_Energy)</f>
        <v>3.7400000000000003E-2</v>
      </c>
      <c r="H300" s="380">
        <f>ROUND($E300*G300,0)-1</f>
        <v>5299557</v>
      </c>
      <c r="I300" s="400"/>
      <c r="J300" s="382"/>
      <c r="K300" s="389"/>
      <c r="T300" s="526"/>
      <c r="W300" s="378"/>
      <c r="X300" s="378"/>
      <c r="Z300" s="521"/>
    </row>
    <row r="301" spans="1:36" ht="12.75">
      <c r="A301" s="495" t="s">
        <v>121</v>
      </c>
      <c r="B301" s="378"/>
      <c r="C301" s="387"/>
      <c r="D301" s="381"/>
      <c r="E301" s="387"/>
      <c r="F301" s="378"/>
      <c r="G301" s="382"/>
      <c r="H301" s="380">
        <f>SUMIF(L_12MonResults_RateClass,MiscData!$Y$7,L_12MonResults_Revenue_Energy_Adj)</f>
        <v>0</v>
      </c>
      <c r="I301" s="400"/>
      <c r="J301" s="382"/>
      <c r="K301" s="389"/>
      <c r="T301" s="526"/>
      <c r="W301" s="378"/>
      <c r="X301" s="378"/>
      <c r="Z301" s="521"/>
    </row>
    <row r="302" spans="1:36" ht="12.75">
      <c r="A302" s="489" t="s">
        <v>1263</v>
      </c>
      <c r="B302" s="378"/>
      <c r="C302" s="387"/>
      <c r="D302" s="381"/>
      <c r="E302" s="387"/>
      <c r="F302" s="378"/>
      <c r="G302" s="382"/>
      <c r="H302" s="380"/>
      <c r="I302" s="400"/>
      <c r="J302" s="382"/>
      <c r="K302" s="389"/>
      <c r="T302" s="526"/>
      <c r="W302" s="378"/>
      <c r="X302" s="378"/>
      <c r="Z302" s="521"/>
    </row>
    <row r="303" spans="1:36" ht="12.75">
      <c r="A303" s="545" t="s">
        <v>1264</v>
      </c>
      <c r="B303" s="378"/>
      <c r="C303" s="381"/>
      <c r="D303" s="381">
        <f>SUMIF(L_12MonResults_RateClass,MiscData!$Y$7,L_12MonResults_Demand_Measured_Peak)</f>
        <v>91250</v>
      </c>
      <c r="E303" s="387"/>
      <c r="F303" s="378"/>
      <c r="G303" s="382">
        <f>SUMIF(L_Rates_Tariff_Rate_Category,MiscData!$X$5&amp;MiscData!$AA$25,L_Rates_Demand_Peak)</f>
        <v>15.040000000000001</v>
      </c>
      <c r="H303" s="380">
        <f>ROUND($D303*G303,0)</f>
        <v>1372400</v>
      </c>
      <c r="I303" s="400"/>
      <c r="J303" s="384"/>
      <c r="K303" s="385"/>
      <c r="T303" s="526"/>
      <c r="Z303" s="521"/>
    </row>
    <row r="304" spans="1:36" ht="12.75">
      <c r="A304" s="545" t="s">
        <v>1265</v>
      </c>
      <c r="B304" s="378"/>
      <c r="C304" s="381"/>
      <c r="D304" s="381">
        <f>SUMIF(L_12MonResults_RateClass,MiscData!$Y$7,L_12MonResults_Demand_Minimum_Peak)</f>
        <v>0</v>
      </c>
      <c r="E304" s="387"/>
      <c r="F304" s="378"/>
      <c r="G304" s="382">
        <f>SUMIF(L_Rates_Tariff_Rate_Category,MiscData!$X$5&amp;MiscData!$AA$25,L_Rates_Demand_Peak)</f>
        <v>15.040000000000001</v>
      </c>
      <c r="H304" s="380">
        <f>ROUND($D304*G304,0)</f>
        <v>0</v>
      </c>
      <c r="I304" s="400"/>
      <c r="J304" s="384"/>
      <c r="K304" s="385"/>
      <c r="T304" s="526"/>
      <c r="Z304" s="521"/>
    </row>
    <row r="305" spans="1:29" ht="12.75">
      <c r="A305" s="545" t="s">
        <v>1266</v>
      </c>
      <c r="B305" s="378"/>
      <c r="C305" s="381"/>
      <c r="D305" s="381">
        <f>SUMIF(L_12MonResults_RateClass,MiscData!$Y$7,L_12MonResults_Demand_Measured_Inter)</f>
        <v>158566</v>
      </c>
      <c r="E305" s="378"/>
      <c r="F305" s="378"/>
      <c r="G305" s="382">
        <f>SUMIF(L_Rates_Tariff_Rate_Category,MiscData!$X$5&amp;MiscData!$AA$25,L_Rates_Demand_Intermediate)</f>
        <v>12.72</v>
      </c>
      <c r="H305" s="380">
        <f>ROUND($D305*G305,0)</f>
        <v>2016960</v>
      </c>
      <c r="I305" s="400"/>
      <c r="J305" s="386"/>
      <c r="K305" s="389"/>
      <c r="T305" s="526"/>
      <c r="W305" s="378"/>
      <c r="X305" s="378"/>
      <c r="Z305" s="521"/>
    </row>
    <row r="306" spans="1:29" ht="12.75">
      <c r="A306" s="545" t="s">
        <v>1267</v>
      </c>
      <c r="B306" s="378"/>
      <c r="D306" s="381">
        <f>SUMIF(L_12MonResults_RateClass,MiscData!$Y$7,L_12MonResults_Demand_Minimum_Inter)</f>
        <v>0</v>
      </c>
      <c r="E306" s="381"/>
      <c r="F306" s="378"/>
      <c r="G306" s="382">
        <f>SUMIF(L_Rates_Tariff_Rate_Category,MiscData!$X$5&amp;MiscData!$AA$25,L_Rates_Demand_Intermediate)</f>
        <v>12.72</v>
      </c>
      <c r="H306" s="380">
        <f>ROUND($D306*G306,0)</f>
        <v>0</v>
      </c>
      <c r="I306" s="400"/>
      <c r="J306" s="386"/>
      <c r="K306" s="389"/>
      <c r="T306" s="526"/>
      <c r="W306" s="378"/>
      <c r="X306" s="378"/>
      <c r="Z306" s="521"/>
    </row>
    <row r="307" spans="1:29" ht="12.75">
      <c r="A307" s="490" t="s">
        <v>1244</v>
      </c>
      <c r="B307" s="378"/>
      <c r="C307" s="378"/>
      <c r="D307" s="378"/>
      <c r="E307" s="381"/>
      <c r="F307" s="378"/>
      <c r="G307" s="386"/>
      <c r="H307" s="380">
        <f>SUMIF(L_12MonResults_RateClass,MiscData!$Y$7,L_12MonResults_Revenue_Demand_Adj)</f>
        <v>0</v>
      </c>
      <c r="I307" s="400"/>
      <c r="J307" s="386"/>
      <c r="K307" s="389"/>
      <c r="T307" s="526"/>
      <c r="W307" s="378"/>
      <c r="X307" s="378"/>
    </row>
    <row r="308" spans="1:29" ht="12.75">
      <c r="A308" s="490" t="s">
        <v>1245</v>
      </c>
      <c r="B308" s="378"/>
      <c r="C308" s="378"/>
      <c r="D308" s="378"/>
      <c r="E308" s="381"/>
      <c r="F308" s="378"/>
      <c r="G308" s="386"/>
      <c r="H308" s="380">
        <f>SUMIF(L_12MonResults_RateClass,MiscData!$Y$7,L_12MonResults_Revenue_PwrFctr)</f>
        <v>-142126.15</v>
      </c>
      <c r="I308" s="400"/>
      <c r="J308" s="388"/>
      <c r="K308" s="389"/>
      <c r="T308" s="526"/>
      <c r="Y308" s="515"/>
      <c r="Z308" s="515"/>
      <c r="AA308" s="515"/>
      <c r="AB308" s="515"/>
      <c r="AC308" s="515"/>
    </row>
    <row r="309" spans="1:29" ht="15">
      <c r="A309" s="435" t="s">
        <v>122</v>
      </c>
      <c r="B309" s="378"/>
      <c r="C309" s="390">
        <f>C298</f>
        <v>11</v>
      </c>
      <c r="D309" s="390">
        <f>SUM(D303:D306)</f>
        <v>249816</v>
      </c>
      <c r="E309" s="390">
        <f>E300</f>
        <v>141699400</v>
      </c>
      <c r="F309" s="381"/>
      <c r="G309" s="378"/>
      <c r="H309" s="391">
        <f>SUM(H298:H308)</f>
        <v>8546790.8499999996</v>
      </c>
      <c r="I309" s="400"/>
      <c r="J309" s="388"/>
      <c r="K309" s="389"/>
      <c r="T309" s="526"/>
      <c r="Y309" s="515"/>
      <c r="Z309" s="515"/>
      <c r="AA309" s="515"/>
      <c r="AB309" s="515"/>
      <c r="AC309" s="515"/>
    </row>
    <row r="310" spans="1:29" ht="15">
      <c r="A310" s="378"/>
      <c r="B310" s="378"/>
      <c r="C310" s="387"/>
      <c r="D310" s="378"/>
      <c r="E310" s="381"/>
      <c r="F310" s="378"/>
      <c r="G310" s="378"/>
      <c r="H310" s="380"/>
      <c r="I310" s="379"/>
      <c r="J310" s="392"/>
      <c r="K310" s="393"/>
      <c r="T310" s="526"/>
      <c r="W310" s="378"/>
      <c r="X310" s="378"/>
    </row>
    <row r="311" spans="1:29" ht="12.75">
      <c r="A311" s="435"/>
      <c r="B311" s="378"/>
      <c r="C311" s="381"/>
      <c r="D311" s="396"/>
      <c r="E311" s="381"/>
      <c r="F311" s="381"/>
      <c r="G311" s="419"/>
      <c r="H311" s="420">
        <f>'Sch M-1.3-pg 1'!$J$45</f>
        <v>1.000000234006011</v>
      </c>
      <c r="I311" s="400"/>
      <c r="Z311" s="521"/>
    </row>
    <row r="312" spans="1:29" ht="12.75">
      <c r="A312" s="435"/>
      <c r="B312" s="378"/>
      <c r="C312" s="381"/>
      <c r="D312" s="378"/>
      <c r="E312" s="381"/>
      <c r="F312" s="381"/>
      <c r="G312" s="400"/>
      <c r="H312" s="380"/>
      <c r="I312" s="400"/>
      <c r="Z312" s="521"/>
    </row>
    <row r="313" spans="1:29" ht="15">
      <c r="A313" s="525" t="s">
        <v>125</v>
      </c>
      <c r="B313" s="378"/>
      <c r="C313" s="381"/>
      <c r="D313" s="381"/>
      <c r="E313" s="378"/>
      <c r="F313" s="378"/>
      <c r="G313" s="400"/>
      <c r="H313" s="402">
        <f>ROUND(H309/H311,0)</f>
        <v>8546789</v>
      </c>
      <c r="I313" s="400"/>
      <c r="Z313" s="521"/>
    </row>
    <row r="314" spans="1:29" ht="12.75">
      <c r="A314" s="525"/>
      <c r="B314" s="378"/>
      <c r="C314" s="381"/>
      <c r="D314" s="378"/>
      <c r="E314" s="378"/>
      <c r="F314" s="378"/>
      <c r="G314" s="400"/>
      <c r="H314" s="380"/>
      <c r="I314" s="400"/>
      <c r="Z314" s="521"/>
    </row>
    <row r="315" spans="1:29" ht="15">
      <c r="A315" s="525" t="s">
        <v>126</v>
      </c>
      <c r="B315" s="378"/>
      <c r="C315" s="381"/>
      <c r="D315" s="378"/>
      <c r="E315" s="381"/>
      <c r="F315" s="378"/>
      <c r="G315" s="400"/>
      <c r="H315" s="402"/>
      <c r="I315" s="400"/>
      <c r="Z315" s="521"/>
    </row>
    <row r="316" spans="1:29" ht="12.75">
      <c r="A316" s="525" t="s">
        <v>127</v>
      </c>
      <c r="B316" s="378"/>
      <c r="C316" s="381"/>
      <c r="D316" s="378"/>
      <c r="E316" s="381"/>
      <c r="F316" s="378"/>
      <c r="G316" s="400"/>
      <c r="H316" s="380">
        <f>'Sch M-1.3-pg 1'!$D$45</f>
        <v>59854</v>
      </c>
      <c r="I316" s="400"/>
      <c r="Z316" s="521"/>
    </row>
    <row r="317" spans="1:29" ht="12.75">
      <c r="A317" s="525" t="s">
        <v>128</v>
      </c>
      <c r="B317" s="378"/>
      <c r="C317" s="381"/>
      <c r="D317" s="378"/>
      <c r="E317" s="381"/>
      <c r="F317" s="378"/>
      <c r="G317" s="400"/>
      <c r="H317" s="380">
        <f>'Sch M-1.3-pg 1'!$E$45</f>
        <v>0</v>
      </c>
      <c r="I317" s="400"/>
      <c r="Z317" s="521"/>
    </row>
    <row r="318" spans="1:29" ht="15">
      <c r="A318" s="525" t="s">
        <v>129</v>
      </c>
      <c r="B318" s="378"/>
      <c r="C318" s="381"/>
      <c r="D318" s="378"/>
      <c r="E318" s="381"/>
      <c r="F318" s="378"/>
      <c r="G318" s="400"/>
      <c r="H318" s="391">
        <f>'Sch M-1.3-pg 1'!$F$45</f>
        <v>386618</v>
      </c>
      <c r="I318" s="400"/>
      <c r="Z318" s="521"/>
    </row>
    <row r="319" spans="1:29" ht="15">
      <c r="A319" s="527" t="s">
        <v>894</v>
      </c>
      <c r="B319" s="378"/>
      <c r="C319" s="381"/>
      <c r="D319" s="378"/>
      <c r="E319" s="381"/>
      <c r="F319" s="378"/>
      <c r="G319" s="400"/>
      <c r="H319" s="402">
        <f>SUM(H316:H318)</f>
        <v>446472</v>
      </c>
      <c r="I319" s="400"/>
      <c r="Z319" s="521"/>
    </row>
    <row r="320" spans="1:29" ht="15">
      <c r="A320" s="527"/>
      <c r="B320" s="378"/>
      <c r="C320" s="381"/>
      <c r="D320" s="378"/>
      <c r="E320" s="381"/>
      <c r="F320" s="378"/>
      <c r="G320" s="400"/>
      <c r="H320" s="402"/>
      <c r="I320" s="400"/>
      <c r="Z320" s="521"/>
    </row>
    <row r="321" spans="1:29" ht="15">
      <c r="A321" s="527" t="s">
        <v>131</v>
      </c>
      <c r="B321" s="378"/>
      <c r="C321" s="381"/>
      <c r="D321" s="378"/>
      <c r="E321" s="381"/>
      <c r="F321" s="378"/>
      <c r="G321" s="400"/>
      <c r="H321" s="404">
        <f>H319+H313</f>
        <v>8993261</v>
      </c>
      <c r="I321" s="400"/>
      <c r="Z321" s="521"/>
    </row>
    <row r="322" spans="1:29" ht="15">
      <c r="A322" s="421"/>
      <c r="B322" s="378"/>
      <c r="C322" s="381"/>
      <c r="D322" s="378"/>
      <c r="E322" s="381"/>
      <c r="F322" s="378"/>
      <c r="G322" s="400"/>
      <c r="H322" s="402"/>
      <c r="I322" s="400"/>
      <c r="Z322" s="521"/>
    </row>
    <row r="323" spans="1:29" ht="15">
      <c r="A323" s="421"/>
      <c r="B323" s="378"/>
      <c r="C323" s="381"/>
      <c r="D323" s="378"/>
      <c r="E323" s="381"/>
      <c r="F323" s="378"/>
      <c r="G323" s="400"/>
      <c r="H323" s="402"/>
      <c r="I323" s="400"/>
      <c r="Z323" s="521"/>
    </row>
    <row r="324" spans="1:29" ht="12.75">
      <c r="A324" s="498" t="s">
        <v>1230</v>
      </c>
      <c r="I324" s="499" t="str">
        <f>'Sch M-1.3-pg 1'!$J$1</f>
        <v>Schedule M-1.3-E</v>
      </c>
      <c r="Z324" s="521"/>
    </row>
    <row r="325" spans="1:29" ht="12.75">
      <c r="A325" s="500" t="s">
        <v>1231</v>
      </c>
      <c r="I325" s="499" t="str">
        <f>"Page "&amp;M325&amp;" of "&amp;N325</f>
        <v>Page 11 of 19</v>
      </c>
      <c r="M325" s="329">
        <f>M290+1</f>
        <v>11</v>
      </c>
      <c r="N325" s="329">
        <f>'Sch M-1.3 pgs 14-19'!$K$178</f>
        <v>19</v>
      </c>
      <c r="Z325" s="521"/>
    </row>
    <row r="326" spans="1:29" ht="12.75">
      <c r="A326" s="500" t="s">
        <v>1223</v>
      </c>
      <c r="I326" s="501" t="str">
        <f>'Sch M-1.3-pg 1'!$J$3</f>
        <v>Witness:  M.J. Blake</v>
      </c>
      <c r="Z326" s="521"/>
    </row>
    <row r="327" spans="1:29" ht="12.75">
      <c r="A327" s="502"/>
      <c r="B327" s="378"/>
      <c r="C327" s="400"/>
      <c r="D327" s="416"/>
      <c r="E327" s="378"/>
      <c r="F327" s="378"/>
      <c r="G327" s="719"/>
      <c r="H327" s="720"/>
      <c r="I327" s="400"/>
      <c r="J327" s="417"/>
      <c r="K327" s="417"/>
      <c r="X327" s="378"/>
      <c r="Z327" s="521"/>
    </row>
    <row r="328" spans="1:29" ht="12.75">
      <c r="A328" s="530" t="str">
        <f>"Including the "&amp;MiscData!D368&amp;" effective on "&amp;TEXT(MiscData!$A$24,"mmmm dd, yyyy")</f>
        <v>Including the  effective on September 01, 2014</v>
      </c>
      <c r="B328" s="531"/>
      <c r="C328" s="532"/>
      <c r="D328" s="533"/>
      <c r="E328" s="534"/>
      <c r="F328" s="535"/>
      <c r="G328" s="536" t="s">
        <v>886</v>
      </c>
      <c r="H328" s="534"/>
      <c r="I328" s="537"/>
      <c r="J328" s="382"/>
      <c r="K328" s="389"/>
      <c r="T328" s="526"/>
      <c r="W328" s="378"/>
      <c r="X328" s="378"/>
      <c r="Z328" s="521"/>
    </row>
    <row r="329" spans="1:29" ht="12.75">
      <c r="A329" s="511"/>
      <c r="B329" s="388"/>
      <c r="C329" s="417"/>
      <c r="D329" s="538"/>
      <c r="E329" s="417"/>
      <c r="F329" s="388"/>
      <c r="G329" s="417" t="s">
        <v>114</v>
      </c>
      <c r="H329" s="417" t="s">
        <v>115</v>
      </c>
      <c r="I329" s="539"/>
      <c r="J329" s="382"/>
      <c r="K329" s="389"/>
      <c r="T329" s="526"/>
      <c r="W329" s="378"/>
      <c r="X329" s="378"/>
      <c r="Z329" s="521"/>
    </row>
    <row r="330" spans="1:29" ht="12.75">
      <c r="A330" s="513"/>
      <c r="B330" s="540"/>
      <c r="C330" s="541" t="s">
        <v>74</v>
      </c>
      <c r="D330" s="542" t="s">
        <v>116</v>
      </c>
      <c r="E330" s="543" t="s">
        <v>117</v>
      </c>
      <c r="F330" s="544"/>
      <c r="G330" s="543" t="s">
        <v>118</v>
      </c>
      <c r="H330" s="543" t="s">
        <v>119</v>
      </c>
      <c r="I330" s="544"/>
      <c r="J330" s="382"/>
      <c r="K330" s="389"/>
      <c r="T330" s="526"/>
      <c r="W330" s="378"/>
      <c r="Z330" s="521"/>
    </row>
    <row r="331" spans="1:29" ht="12.75">
      <c r="A331" s="516"/>
      <c r="B331" s="378"/>
      <c r="C331" s="414"/>
      <c r="D331" s="412"/>
      <c r="E331" s="440"/>
      <c r="F331" s="400"/>
      <c r="G331" s="440"/>
      <c r="H331" s="413"/>
      <c r="I331" s="400"/>
      <c r="J331" s="384"/>
      <c r="K331" s="385"/>
      <c r="T331" s="526"/>
      <c r="X331" s="378"/>
      <c r="Z331" s="521"/>
    </row>
    <row r="332" spans="1:29" ht="12.75">
      <c r="A332" s="421" t="s">
        <v>1248</v>
      </c>
      <c r="J332" s="386"/>
      <c r="K332" s="389"/>
      <c r="T332" s="526"/>
      <c r="W332" s="378"/>
      <c r="X332" s="378"/>
      <c r="Z332" s="521"/>
    </row>
    <row r="333" spans="1:29" ht="12.75">
      <c r="A333" s="519" t="s">
        <v>74</v>
      </c>
      <c r="B333" s="378"/>
      <c r="C333" s="381">
        <f>SUMIF(L_12MonResults_RateClass,MiscData!$Y$15,L_12MonResults_Contract_Cnt)+SUMIF(L_12MonResults_RateClass,MiscData!$Y$15,L_12MonResults_Contract_Cnt_Adj)</f>
        <v>24</v>
      </c>
      <c r="D333" s="378"/>
      <c r="E333" s="378"/>
      <c r="F333" s="378"/>
      <c r="G333" s="382">
        <f>SUMIF(L_Rates_Tariff_Rate_Category,MiscData!$X$5&amp;MiscData!$AA$22,L_Rates_BSC)</f>
        <v>0</v>
      </c>
      <c r="H333" s="380">
        <f>ROUND($C333*G333,0)</f>
        <v>0</v>
      </c>
      <c r="I333" s="379"/>
      <c r="J333" s="386"/>
      <c r="K333" s="389"/>
      <c r="T333" s="526"/>
      <c r="W333" s="378"/>
      <c r="X333" s="378"/>
    </row>
    <row r="334" spans="1:29" ht="12.75">
      <c r="A334" s="495" t="s">
        <v>121</v>
      </c>
      <c r="B334" s="378"/>
      <c r="C334" s="381"/>
      <c r="D334" s="378"/>
      <c r="E334" s="378"/>
      <c r="F334" s="378"/>
      <c r="G334" s="383"/>
      <c r="H334" s="380">
        <f>SUMIF(L_12MonResults_RateClass,MiscData!$Y$15,L_12MonResults_Revenue_Customer_Adj)</f>
        <v>0</v>
      </c>
      <c r="I334" s="400"/>
      <c r="J334" s="386"/>
      <c r="K334" s="389"/>
      <c r="T334" s="526"/>
      <c r="W334" s="378"/>
      <c r="Y334" s="515"/>
      <c r="Z334" s="515"/>
      <c r="AA334" s="515"/>
      <c r="AB334" s="515"/>
      <c r="AC334" s="515"/>
    </row>
    <row r="335" spans="1:29" ht="12.75">
      <c r="A335" s="519" t="s">
        <v>75</v>
      </c>
      <c r="B335" s="378"/>
      <c r="D335" s="378"/>
      <c r="E335" s="381">
        <f>SUMIF(L_12MonResults_RateClass,MiscData!$Y$15,L_12MonResults_KWH_Total)</f>
        <v>57403080</v>
      </c>
      <c r="F335" s="378"/>
      <c r="G335" s="386">
        <f>SUMIF(L_Rates_Tariff_Rate_Category,MiscData!$X$5&amp;MiscData!$AA$22,L_Rates_Energy)</f>
        <v>3.7019999999999997E-2</v>
      </c>
      <c r="H335" s="380">
        <f>ROUND($E335*G335,0)</f>
        <v>2125062</v>
      </c>
      <c r="I335" s="400"/>
      <c r="J335" s="388"/>
      <c r="K335" s="389"/>
      <c r="T335" s="526"/>
      <c r="Y335" s="515"/>
      <c r="Z335" s="515"/>
      <c r="AA335" s="515"/>
      <c r="AB335" s="515"/>
      <c r="AC335" s="515"/>
    </row>
    <row r="336" spans="1:29" ht="12.75">
      <c r="A336" s="495" t="s">
        <v>121</v>
      </c>
      <c r="B336" s="378"/>
      <c r="C336" s="387"/>
      <c r="D336" s="381"/>
      <c r="E336" s="387"/>
      <c r="F336" s="378"/>
      <c r="G336" s="382"/>
      <c r="H336" s="380">
        <f>SUMIF(L_12MonResults_RateClass,MiscData!$Y$15,L_12MonResults_Revenue_Energy_Adj)</f>
        <v>-0.02</v>
      </c>
      <c r="I336" s="400"/>
      <c r="J336" s="388"/>
      <c r="K336" s="389"/>
      <c r="T336" s="526"/>
      <c r="X336" s="378"/>
    </row>
    <row r="337" spans="1:26" ht="12.75">
      <c r="A337" s="489" t="s">
        <v>1263</v>
      </c>
      <c r="B337" s="378"/>
      <c r="C337" s="387"/>
      <c r="D337" s="381"/>
      <c r="E337" s="387"/>
      <c r="F337" s="378"/>
      <c r="G337" s="382"/>
      <c r="H337" s="380"/>
      <c r="I337" s="400"/>
      <c r="J337" s="388"/>
      <c r="K337" s="389"/>
      <c r="T337" s="526"/>
      <c r="X337" s="378"/>
    </row>
    <row r="338" spans="1:26" ht="12.75">
      <c r="A338" s="545" t="s">
        <v>1264</v>
      </c>
      <c r="B338" s="378"/>
      <c r="C338" s="381"/>
      <c r="D338" s="381">
        <f>SUMIF(L_12MonResults_RateClass,MiscData!$Y$15,L_12MonResults_Demand_Measured_Peak)</f>
        <v>45344.4</v>
      </c>
      <c r="E338" s="387"/>
      <c r="F338" s="378"/>
      <c r="G338" s="382">
        <f>SUMIF(L_Rates_Tariff_Rate_Category,MiscData!$X$5&amp;MiscData!$AA$22,L_Rates_Demand_Peak)</f>
        <v>10.35</v>
      </c>
      <c r="H338" s="380">
        <f>ROUND($D338*G338,0)</f>
        <v>469315</v>
      </c>
      <c r="I338" s="400"/>
      <c r="T338" s="526"/>
      <c r="W338" s="378"/>
      <c r="X338" s="378"/>
    </row>
    <row r="339" spans="1:26" ht="12.75">
      <c r="A339" s="545" t="s">
        <v>1265</v>
      </c>
      <c r="B339" s="378"/>
      <c r="C339" s="381"/>
      <c r="D339" s="381">
        <f>SUMIF(L_12MonResults_RateClass,MiscData!$Y$15,L_12MonResults_Demand_Minimum_Peak)</f>
        <v>2563.2000000000007</v>
      </c>
      <c r="E339" s="387"/>
      <c r="F339" s="378"/>
      <c r="G339" s="382">
        <f>SUMIF(L_Rates_Tariff_Rate_Category,MiscData!$X$5&amp;MiscData!$AA$22,L_Rates_Demand_Peak)</f>
        <v>10.35</v>
      </c>
      <c r="H339" s="380">
        <f>ROUND($D339*G339,0)</f>
        <v>26529</v>
      </c>
      <c r="I339" s="400"/>
      <c r="T339" s="526"/>
      <c r="W339" s="378"/>
      <c r="X339" s="378"/>
    </row>
    <row r="340" spans="1:26" ht="12.75">
      <c r="A340" s="545" t="s">
        <v>1266</v>
      </c>
      <c r="B340" s="378"/>
      <c r="C340" s="381"/>
      <c r="D340" s="381">
        <f>SUMIF(L_12MonResults_RateClass,MiscData!$Y$15,L_12MonResults_Demand_Measured_Inter)</f>
        <v>64815.600000000006</v>
      </c>
      <c r="E340" s="378"/>
      <c r="F340" s="378"/>
      <c r="G340" s="382">
        <f>SUMIF(L_Rates_Tariff_Rate_Category,MiscData!$X$5&amp;MiscData!$AA$22,L_Rates_Demand_Intermediate)</f>
        <v>10.35</v>
      </c>
      <c r="H340" s="380">
        <f>ROUND($D340*G340,0)</f>
        <v>670841</v>
      </c>
      <c r="I340" s="400"/>
      <c r="T340" s="526"/>
      <c r="W340" s="378"/>
      <c r="Z340" s="521"/>
    </row>
    <row r="341" spans="1:26" ht="12.75">
      <c r="A341" s="545" t="s">
        <v>1267</v>
      </c>
      <c r="B341" s="378"/>
      <c r="D341" s="381">
        <f>SUMIF(L_12MonResults_RateClass,MiscData!$Y$15,L_12MonResults_Demand_Minimum_Inter)</f>
        <v>1425.6</v>
      </c>
      <c r="E341" s="381"/>
      <c r="F341" s="378"/>
      <c r="G341" s="382">
        <f>SUMIF(L_Rates_Tariff_Rate_Category,MiscData!$X$5&amp;MiscData!$AA$22,L_Rates_Demand_Intermediate)</f>
        <v>10.35</v>
      </c>
      <c r="H341" s="380">
        <f>ROUND($D341*G341,0)</f>
        <v>14755</v>
      </c>
      <c r="I341" s="400"/>
      <c r="T341" s="526"/>
      <c r="Z341" s="521"/>
    </row>
    <row r="342" spans="1:26" ht="12.75">
      <c r="A342" s="490" t="s">
        <v>1244</v>
      </c>
      <c r="B342" s="378"/>
      <c r="C342" s="378"/>
      <c r="D342" s="378"/>
      <c r="E342" s="381"/>
      <c r="F342" s="378"/>
      <c r="G342" s="386"/>
      <c r="H342" s="380">
        <f>SUMIF(L_12MonResults_RateClass,MiscData!$Y$15,L_12MonResults_Revenue_Demand_Adj)</f>
        <v>0</v>
      </c>
      <c r="I342" s="400"/>
      <c r="T342" s="526"/>
      <c r="Z342" s="521"/>
    </row>
    <row r="343" spans="1:26" ht="12.75">
      <c r="A343" s="490" t="s">
        <v>1245</v>
      </c>
      <c r="B343" s="378"/>
      <c r="C343" s="378"/>
      <c r="D343" s="378"/>
      <c r="E343" s="381"/>
      <c r="F343" s="378"/>
      <c r="G343" s="386"/>
      <c r="H343" s="380">
        <f>SUMIF(L_12MonResults_RateClass,MiscData!$Y$15,L_12MonResults_Revenue_PwrFctr)</f>
        <v>0</v>
      </c>
      <c r="I343" s="400"/>
      <c r="T343" s="526"/>
      <c r="Z343" s="521"/>
    </row>
    <row r="344" spans="1:26" ht="15">
      <c r="A344" s="435" t="s">
        <v>122</v>
      </c>
      <c r="B344" s="378"/>
      <c r="C344" s="390">
        <f>C333</f>
        <v>24</v>
      </c>
      <c r="D344" s="390">
        <f>SUM(D338:D341)</f>
        <v>114148.80000000002</v>
      </c>
      <c r="E344" s="390">
        <f>E335</f>
        <v>57403080</v>
      </c>
      <c r="F344" s="381"/>
      <c r="G344" s="378"/>
      <c r="H344" s="391">
        <f>SUM(H333:H343)</f>
        <v>3306501.98</v>
      </c>
      <c r="I344" s="400"/>
      <c r="Z344" s="521"/>
    </row>
    <row r="345" spans="1:26" ht="12.75">
      <c r="A345" s="378"/>
      <c r="B345" s="378"/>
      <c r="C345" s="387"/>
      <c r="D345" s="378"/>
      <c r="E345" s="381" t="str">
        <f>IF(SUMIF(L_12MonResults_RateClass,MiscData!$Y$15,L_12MonResults_KWH_Total)=E344,"",SUMIF(L_12MonResults_RateClass,MiscData!$Y$15,L_12MonResults_KWH_Total))</f>
        <v/>
      </c>
      <c r="F345" s="378"/>
      <c r="G345" s="378"/>
      <c r="H345" s="380" t="str">
        <f>IF(ABS(SUMIF(L_12MonResults_RateClass,MiscData!$Y$15,L_12MonResults_Revenue_Actual_Base)-H344)&lt;1,"",SUMIF(L_12MonResults_RateClass,MiscData!$Y$15,L_12MonResults_Revenue_Actual_Base))</f>
        <v/>
      </c>
      <c r="I345" s="379"/>
      <c r="T345" s="526"/>
      <c r="Z345" s="521"/>
    </row>
    <row r="346" spans="1:26" ht="12.75">
      <c r="A346" s="435"/>
      <c r="B346" s="378"/>
      <c r="C346" s="381"/>
      <c r="D346" s="396"/>
      <c r="E346" s="381"/>
      <c r="F346" s="381"/>
      <c r="G346" s="419"/>
      <c r="H346" s="420">
        <f>'Sch M-1.3-pg 1'!$J$46</f>
        <v>1</v>
      </c>
      <c r="I346" s="400"/>
      <c r="Z346" s="521"/>
    </row>
    <row r="347" spans="1:26" ht="12.75">
      <c r="A347" s="435"/>
      <c r="B347" s="378"/>
      <c r="C347" s="381"/>
      <c r="D347" s="378"/>
      <c r="E347" s="381"/>
      <c r="F347" s="381"/>
      <c r="G347" s="400"/>
      <c r="H347" s="380"/>
      <c r="I347" s="400"/>
      <c r="Z347" s="521"/>
    </row>
    <row r="348" spans="1:26" ht="15">
      <c r="A348" s="525" t="s">
        <v>125</v>
      </c>
      <c r="B348" s="378"/>
      <c r="C348" s="381"/>
      <c r="D348" s="381"/>
      <c r="E348" s="378"/>
      <c r="F348" s="378"/>
      <c r="G348" s="400"/>
      <c r="H348" s="402">
        <f>ROUND(H344/H346,0)</f>
        <v>3306502</v>
      </c>
      <c r="I348" s="400"/>
      <c r="Z348" s="521"/>
    </row>
    <row r="349" spans="1:26" ht="12.75">
      <c r="A349" s="525"/>
      <c r="B349" s="378"/>
      <c r="C349" s="381"/>
      <c r="D349" s="378"/>
      <c r="E349" s="378"/>
      <c r="F349" s="378"/>
      <c r="G349" s="400"/>
      <c r="H349" s="380"/>
      <c r="I349" s="400"/>
      <c r="Z349" s="521"/>
    </row>
    <row r="350" spans="1:26" ht="15">
      <c r="A350" s="525" t="s">
        <v>126</v>
      </c>
      <c r="B350" s="378"/>
      <c r="C350" s="381"/>
      <c r="D350" s="378"/>
      <c r="E350" s="381"/>
      <c r="F350" s="378"/>
      <c r="G350" s="400"/>
      <c r="H350" s="402"/>
      <c r="I350" s="400"/>
      <c r="Z350" s="521"/>
    </row>
    <row r="351" spans="1:26" ht="12.75">
      <c r="A351" s="525" t="s">
        <v>127</v>
      </c>
      <c r="B351" s="378"/>
      <c r="C351" s="381"/>
      <c r="D351" s="378"/>
      <c r="E351" s="381"/>
      <c r="F351" s="378"/>
      <c r="G351" s="400"/>
      <c r="H351" s="380">
        <f>'Sch M-1.3-pg 1'!$D$46</f>
        <v>-6858</v>
      </c>
      <c r="I351" s="400"/>
      <c r="Z351" s="521"/>
    </row>
    <row r="352" spans="1:26" ht="12.75">
      <c r="A352" s="525" t="s">
        <v>128</v>
      </c>
      <c r="B352" s="378"/>
      <c r="C352" s="381"/>
      <c r="D352" s="378"/>
      <c r="E352" s="381"/>
      <c r="F352" s="378"/>
      <c r="G352" s="400"/>
      <c r="H352" s="380">
        <f>'Sch M-1.3-pg 1'!$E$46</f>
        <v>0</v>
      </c>
      <c r="I352" s="400"/>
      <c r="Z352" s="521"/>
    </row>
    <row r="353" spans="1:26" ht="15">
      <c r="A353" s="525" t="s">
        <v>129</v>
      </c>
      <c r="B353" s="378"/>
      <c r="C353" s="381"/>
      <c r="D353" s="378"/>
      <c r="E353" s="381"/>
      <c r="F353" s="378"/>
      <c r="G353" s="400"/>
      <c r="H353" s="391">
        <f>'Sch M-1.3-pg 1'!$F$46</f>
        <v>172100</v>
      </c>
      <c r="I353" s="400"/>
      <c r="Z353" s="521"/>
    </row>
    <row r="354" spans="1:26" ht="15">
      <c r="A354" s="527" t="s">
        <v>894</v>
      </c>
      <c r="B354" s="378"/>
      <c r="C354" s="381"/>
      <c r="D354" s="378"/>
      <c r="E354" s="381"/>
      <c r="F354" s="378"/>
      <c r="G354" s="400"/>
      <c r="H354" s="402">
        <f>SUM(H351:H353)</f>
        <v>165242</v>
      </c>
      <c r="I354" s="400"/>
      <c r="T354" s="526"/>
      <c r="Z354" s="521"/>
    </row>
    <row r="355" spans="1:26" ht="15">
      <c r="A355" s="527"/>
      <c r="B355" s="378"/>
      <c r="C355" s="381"/>
      <c r="D355" s="378"/>
      <c r="E355" s="381"/>
      <c r="F355" s="378"/>
      <c r="G355" s="400"/>
      <c r="H355" s="402"/>
      <c r="I355" s="400"/>
      <c r="T355" s="526"/>
      <c r="Z355" s="521"/>
    </row>
    <row r="356" spans="1:26" ht="15">
      <c r="A356" s="527" t="s">
        <v>131</v>
      </c>
      <c r="B356" s="378"/>
      <c r="C356" s="381"/>
      <c r="D356" s="378"/>
      <c r="E356" s="381"/>
      <c r="F356" s="378"/>
      <c r="G356" s="400"/>
      <c r="H356" s="404">
        <f>H354+H348</f>
        <v>3471744</v>
      </c>
      <c r="I356" s="400"/>
      <c r="T356" s="526"/>
      <c r="Z356" s="521"/>
    </row>
    <row r="357" spans="1:26" ht="15">
      <c r="A357" s="421"/>
      <c r="B357" s="378"/>
      <c r="C357" s="381"/>
      <c r="D357" s="378"/>
      <c r="E357" s="381"/>
      <c r="F357" s="378"/>
      <c r="G357" s="400"/>
      <c r="H357" s="402"/>
      <c r="I357" s="400"/>
      <c r="Z357" s="521"/>
    </row>
    <row r="358" spans="1:26" ht="15">
      <c r="A358" s="421"/>
      <c r="B358" s="378"/>
      <c r="C358" s="381"/>
      <c r="D358" s="378"/>
      <c r="E358" s="381"/>
      <c r="F358" s="378"/>
      <c r="G358" s="400"/>
      <c r="H358" s="402"/>
      <c r="I358" s="400"/>
      <c r="Z358" s="521"/>
    </row>
    <row r="359" spans="1:26" ht="12.75">
      <c r="A359" s="498" t="s">
        <v>1230</v>
      </c>
      <c r="I359" s="499" t="str">
        <f>'Sch M-1.3-pg 1'!$J$1</f>
        <v>Schedule M-1.3-E</v>
      </c>
      <c r="Z359" s="521"/>
    </row>
    <row r="360" spans="1:26" ht="12.75">
      <c r="A360" s="500" t="s">
        <v>1231</v>
      </c>
      <c r="I360" s="499" t="str">
        <f>"Page "&amp;M360&amp;" of "&amp;N360</f>
        <v>Page 12 of 19</v>
      </c>
      <c r="M360" s="329">
        <f>M325+1</f>
        <v>12</v>
      </c>
      <c r="N360" s="329">
        <f>'Sch M-1.3 pgs 14-19'!$K$178</f>
        <v>19</v>
      </c>
    </row>
    <row r="361" spans="1:26" ht="12.75">
      <c r="A361" s="500" t="s">
        <v>1223</v>
      </c>
      <c r="I361" s="501" t="str">
        <f>'Sch M-1.3-pg 1'!$J$3</f>
        <v>Witness:  M.J. Blake</v>
      </c>
      <c r="X361" s="378"/>
      <c r="Y361" s="378"/>
    </row>
    <row r="362" spans="1:26" ht="12.75">
      <c r="A362" s="502"/>
      <c r="B362" s="378"/>
      <c r="C362" s="400"/>
      <c r="D362" s="416"/>
      <c r="E362" s="378"/>
      <c r="F362" s="378"/>
      <c r="G362" s="719"/>
      <c r="H362" s="720"/>
      <c r="I362" s="400"/>
      <c r="J362" s="417"/>
      <c r="K362" s="417"/>
      <c r="V362" s="378"/>
      <c r="W362" s="378"/>
      <c r="X362" s="378"/>
      <c r="Y362" s="378"/>
    </row>
    <row r="363" spans="1:26" ht="12.75">
      <c r="A363" s="530" t="str">
        <f>"Including the "&amp;MiscData!D404&amp;" effective on "&amp;TEXT(MiscData!$A$24,"mmmm dd, yyyy")</f>
        <v>Including the  effective on September 01, 2014</v>
      </c>
      <c r="B363" s="531"/>
      <c r="C363" s="532"/>
      <c r="D363" s="533"/>
      <c r="E363" s="534"/>
      <c r="F363" s="535"/>
      <c r="G363" s="536" t="s">
        <v>886</v>
      </c>
      <c r="H363" s="534"/>
      <c r="I363" s="537"/>
      <c r="J363" s="382"/>
      <c r="K363" s="389"/>
      <c r="V363" s="378"/>
      <c r="W363" s="378"/>
      <c r="X363" s="378"/>
      <c r="Y363" s="378"/>
    </row>
    <row r="364" spans="1:26" ht="12.75">
      <c r="A364" s="511"/>
      <c r="B364" s="388"/>
      <c r="C364" s="417"/>
      <c r="D364" s="538"/>
      <c r="E364" s="417"/>
      <c r="F364" s="388"/>
      <c r="G364" s="417" t="s">
        <v>114</v>
      </c>
      <c r="H364" s="417" t="s">
        <v>115</v>
      </c>
      <c r="I364" s="539"/>
      <c r="J364" s="382"/>
      <c r="K364" s="389"/>
      <c r="V364" s="378"/>
      <c r="W364" s="378"/>
    </row>
    <row r="365" spans="1:26" ht="12.75">
      <c r="A365" s="513"/>
      <c r="B365" s="540"/>
      <c r="C365" s="541" t="s">
        <v>74</v>
      </c>
      <c r="D365" s="542"/>
      <c r="E365" s="543" t="s">
        <v>117</v>
      </c>
      <c r="F365" s="544"/>
      <c r="G365" s="543" t="s">
        <v>118</v>
      </c>
      <c r="H365" s="543" t="s">
        <v>119</v>
      </c>
      <c r="I365" s="544"/>
      <c r="J365" s="384"/>
      <c r="K365" s="385"/>
      <c r="Z365" s="521"/>
    </row>
    <row r="366" spans="1:26" ht="12.75">
      <c r="A366" s="516"/>
      <c r="B366" s="378"/>
      <c r="C366" s="414"/>
      <c r="D366" s="412"/>
      <c r="E366" s="440"/>
      <c r="F366" s="400"/>
      <c r="G366" s="440"/>
      <c r="H366" s="413"/>
      <c r="I366" s="400"/>
      <c r="J366" s="384"/>
      <c r="K366" s="385"/>
      <c r="X366" s="378"/>
      <c r="Y366" s="378"/>
    </row>
    <row r="367" spans="1:26" ht="12.75">
      <c r="A367" s="421" t="s">
        <v>891</v>
      </c>
      <c r="B367" s="378"/>
      <c r="C367" s="379"/>
      <c r="D367" s="378"/>
      <c r="E367" s="379"/>
      <c r="F367" s="379"/>
      <c r="G367" s="378"/>
      <c r="H367" s="380"/>
      <c r="I367" s="379"/>
      <c r="J367" s="386"/>
      <c r="K367" s="389"/>
      <c r="S367" s="507"/>
      <c r="V367" s="378"/>
      <c r="W367" s="378"/>
      <c r="X367" s="378"/>
      <c r="Y367" s="378"/>
    </row>
    <row r="368" spans="1:26" ht="12.75">
      <c r="A368" s="519" t="s">
        <v>74</v>
      </c>
      <c r="B368" s="378"/>
      <c r="C368" s="381">
        <f>SUMIF(L_12MonResults_RateClass,MiscData!$Y$13,L_12MonResults_Contract_Cnt)+SUMIF(L_12MonResults_RateClass,MiscData!$Y$13,L_12MonResults_Contract_Cnt_Adj)</f>
        <v>1961</v>
      </c>
      <c r="D368" s="378"/>
      <c r="E368" s="378"/>
      <c r="F368" s="378"/>
      <c r="G368" s="382">
        <f>SUMIF(L_Rates_Tariff_Rate_Category,MiscData!$X$5&amp;MiscData!$AA$32,L_Rates_BSC)</f>
        <v>0</v>
      </c>
      <c r="H368" s="380">
        <f>ROUND($C368*G368,0)</f>
        <v>0</v>
      </c>
      <c r="I368" s="400"/>
      <c r="J368" s="386"/>
      <c r="K368" s="389"/>
      <c r="S368" s="507"/>
      <c r="V368" s="378"/>
      <c r="W368" s="378"/>
    </row>
    <row r="369" spans="1:29" ht="12.75">
      <c r="A369" s="495" t="s">
        <v>121</v>
      </c>
      <c r="B369" s="378"/>
      <c r="C369" s="381"/>
      <c r="D369" s="378"/>
      <c r="E369" s="378"/>
      <c r="F369" s="378"/>
      <c r="G369" s="383"/>
      <c r="H369" s="380">
        <f>SUMIF(L_12MonResults_RateClass,MiscData!$Y$13,L_12MonResults_Revenue_Customer_Adj)</f>
        <v>0</v>
      </c>
      <c r="I369" s="400"/>
      <c r="J369" s="388"/>
      <c r="K369" s="389"/>
      <c r="Y369" s="515"/>
      <c r="Z369" s="515"/>
      <c r="AA369" s="515"/>
      <c r="AB369" s="515"/>
      <c r="AC369" s="515"/>
    </row>
    <row r="370" spans="1:29" ht="12.75">
      <c r="A370" s="519" t="s">
        <v>75</v>
      </c>
      <c r="B370" s="378"/>
      <c r="D370" s="378"/>
      <c r="E370" s="381">
        <f>SUMIF(L_12MonResults_RateClass,MiscData!$Y$13,L_12MonResults_KWH_Total)</f>
        <v>3274415</v>
      </c>
      <c r="F370" s="378"/>
      <c r="G370" s="386">
        <f>SUMIF(L_Rates_Tariff_Rate_Category,MiscData!$X$5&amp;MiscData!$AA$32,L_Rates_Energy)</f>
        <v>6.4610000000000001E-2</v>
      </c>
      <c r="H370" s="380">
        <f>ROUND($E370*G370,0)</f>
        <v>211560</v>
      </c>
      <c r="I370" s="400"/>
      <c r="J370" s="388"/>
      <c r="K370" s="389"/>
    </row>
    <row r="371" spans="1:29" ht="15">
      <c r="A371" s="495" t="s">
        <v>121</v>
      </c>
      <c r="B371" s="378"/>
      <c r="C371" s="387"/>
      <c r="D371" s="387"/>
      <c r="E371" s="387"/>
      <c r="F371" s="378"/>
      <c r="G371" s="383"/>
      <c r="H371" s="380">
        <f>SUMIF(L_12MonResults_RateClass,MiscData!$Y$13,L_12MonResults_Revenue_Energy_Adj)</f>
        <v>-0.11</v>
      </c>
      <c r="I371" s="400"/>
      <c r="J371" s="392"/>
      <c r="K371" s="393"/>
    </row>
    <row r="372" spans="1:29" ht="12.75">
      <c r="A372" s="490"/>
      <c r="B372" s="378"/>
      <c r="C372" s="381"/>
      <c r="D372" s="378"/>
      <c r="E372" s="378"/>
      <c r="F372" s="378"/>
      <c r="G372" s="383"/>
      <c r="H372" s="380"/>
      <c r="I372" s="400"/>
      <c r="J372" s="388"/>
      <c r="K372" s="385"/>
    </row>
    <row r="373" spans="1:29" ht="15">
      <c r="A373" s="523" t="s">
        <v>122</v>
      </c>
      <c r="B373" s="378"/>
      <c r="C373" s="390">
        <f>C368</f>
        <v>1961</v>
      </c>
      <c r="D373" s="378"/>
      <c r="E373" s="390">
        <f>E370</f>
        <v>3274415</v>
      </c>
      <c r="F373" s="381"/>
      <c r="G373" s="378"/>
      <c r="H373" s="391">
        <f>SUM(H368:H372)</f>
        <v>211559.89</v>
      </c>
      <c r="I373" s="379"/>
    </row>
    <row r="374" spans="1:29" ht="12.75">
      <c r="A374" s="378"/>
      <c r="B374" s="378"/>
      <c r="C374" s="387"/>
      <c r="D374" s="378"/>
      <c r="E374" s="381" t="str">
        <f>IF(SUMIF(L_12MonResults_RateClass,MiscData!$Y$13,L_12MonResults_KWH_Total)=E373,"",SUMIF(L_12MonResults_RateClass,MiscData!$Y$13,L_12MonResults_KWH_Total))</f>
        <v/>
      </c>
      <c r="F374" s="378"/>
      <c r="G374" s="378"/>
      <c r="H374" s="380" t="str">
        <f>IF(ABS(SUMIF(L_12MonResults_RateClass,MiscData!$Y$13,L_12MonResults_Revenue_Base_Calculated)-H373)&lt;1,"",SUMIF(L_12MonResults_RateClass,MiscData!$Y$13,L_12MonResults_Revenue_Base_Calculated))</f>
        <v/>
      </c>
      <c r="I374" s="400"/>
    </row>
    <row r="375" spans="1:29" ht="12.75">
      <c r="A375" s="435"/>
      <c r="B375" s="378"/>
      <c r="C375" s="381"/>
      <c r="D375" s="396"/>
      <c r="E375" s="381"/>
      <c r="F375" s="381"/>
      <c r="G375" s="397"/>
      <c r="H375" s="398">
        <f>'Sch M-1.3-pg 1'!$J$49</f>
        <v>1.0000047268137966</v>
      </c>
      <c r="I375" s="397"/>
    </row>
    <row r="376" spans="1:29" ht="12.75">
      <c r="A376" s="435"/>
      <c r="B376" s="378"/>
      <c r="C376" s="381"/>
      <c r="D376" s="378"/>
      <c r="E376" s="381"/>
      <c r="F376" s="381"/>
      <c r="G376" s="400"/>
      <c r="H376" s="380"/>
      <c r="I376" s="400"/>
    </row>
    <row r="377" spans="1:29" ht="15">
      <c r="A377" s="525" t="s">
        <v>125</v>
      </c>
      <c r="B377" s="378"/>
      <c r="C377" s="381"/>
      <c r="D377" s="381"/>
      <c r="E377" s="378"/>
      <c r="F377" s="378"/>
      <c r="G377" s="400"/>
      <c r="H377" s="402">
        <f>H373/H375</f>
        <v>211558.89000051995</v>
      </c>
      <c r="I377" s="400"/>
    </row>
    <row r="378" spans="1:29" ht="12.75">
      <c r="A378" s="525"/>
      <c r="B378" s="378"/>
      <c r="C378" s="381"/>
      <c r="D378" s="378"/>
      <c r="E378" s="378"/>
      <c r="F378" s="378"/>
      <c r="G378" s="400"/>
      <c r="H378" s="380"/>
      <c r="I378" s="400"/>
    </row>
    <row r="379" spans="1:29" ht="15">
      <c r="A379" s="525" t="s">
        <v>895</v>
      </c>
      <c r="B379" s="378"/>
      <c r="C379" s="381"/>
      <c r="D379" s="378"/>
      <c r="E379" s="381"/>
      <c r="F379" s="378"/>
      <c r="G379" s="400"/>
      <c r="H379" s="402"/>
      <c r="I379" s="400"/>
      <c r="J379" s="517"/>
      <c r="K379" s="517"/>
      <c r="X379" s="378"/>
      <c r="Y379" s="378"/>
    </row>
    <row r="380" spans="1:29" ht="12.75">
      <c r="A380" s="525" t="s">
        <v>127</v>
      </c>
      <c r="B380" s="378"/>
      <c r="C380" s="381"/>
      <c r="D380" s="378"/>
      <c r="E380" s="381"/>
      <c r="F380" s="378"/>
      <c r="G380" s="400"/>
      <c r="H380" s="380">
        <f>'Sch M-1.3-pg 1'!$D$49</f>
        <v>-739</v>
      </c>
      <c r="I380" s="400"/>
      <c r="J380" s="382"/>
      <c r="K380" s="389"/>
      <c r="S380" s="507"/>
      <c r="T380" s="526"/>
      <c r="U380" s="507"/>
      <c r="V380" s="378"/>
      <c r="W380" s="378"/>
      <c r="X380" s="378"/>
      <c r="Y380" s="378"/>
    </row>
    <row r="381" spans="1:29" ht="12.75">
      <c r="A381" s="525" t="s">
        <v>128</v>
      </c>
      <c r="B381" s="378"/>
      <c r="C381" s="381"/>
      <c r="D381" s="378"/>
      <c r="E381" s="381"/>
      <c r="F381" s="378"/>
      <c r="G381" s="400"/>
      <c r="H381" s="380">
        <f>'Sch M-1.3-pg 1'!$E$49</f>
        <v>0</v>
      </c>
      <c r="I381" s="400"/>
      <c r="J381" s="382"/>
      <c r="K381" s="389"/>
      <c r="S381" s="507"/>
      <c r="T381" s="526"/>
      <c r="U381" s="526"/>
      <c r="V381" s="378"/>
      <c r="W381" s="378"/>
      <c r="X381" s="378"/>
      <c r="Y381" s="378"/>
    </row>
    <row r="382" spans="1:29" ht="15">
      <c r="A382" s="525" t="s">
        <v>129</v>
      </c>
      <c r="B382" s="378"/>
      <c r="C382" s="381"/>
      <c r="D382" s="378"/>
      <c r="E382" s="381"/>
      <c r="F382" s="378"/>
      <c r="G382" s="400"/>
      <c r="H382" s="391">
        <f>'Sch M-1.3-pg 1'!$F$49</f>
        <v>11161</v>
      </c>
      <c r="I382" s="400"/>
      <c r="J382" s="382"/>
      <c r="K382" s="389"/>
      <c r="S382" s="507"/>
      <c r="T382" s="526"/>
      <c r="U382" s="526"/>
      <c r="V382" s="378"/>
      <c r="W382" s="378"/>
    </row>
    <row r="383" spans="1:29" ht="15">
      <c r="A383" s="527" t="s">
        <v>894</v>
      </c>
      <c r="B383" s="378"/>
      <c r="C383" s="381"/>
      <c r="D383" s="378"/>
      <c r="E383" s="381"/>
      <c r="F383" s="378"/>
      <c r="G383" s="400"/>
      <c r="H383" s="402">
        <f>SUM(H380:H382)</f>
        <v>10422</v>
      </c>
      <c r="I383" s="400"/>
      <c r="J383" s="384"/>
      <c r="K383" s="385"/>
      <c r="Z383" s="521"/>
    </row>
    <row r="384" spans="1:29" ht="15">
      <c r="A384" s="527"/>
      <c r="B384" s="378"/>
      <c r="C384" s="381"/>
      <c r="D384" s="378"/>
      <c r="E384" s="381"/>
      <c r="F384" s="378"/>
      <c r="G384" s="400"/>
      <c r="H384" s="402"/>
      <c r="I384" s="400"/>
      <c r="J384" s="384"/>
      <c r="K384" s="385"/>
      <c r="X384" s="378"/>
      <c r="Y384" s="378"/>
    </row>
    <row r="385" spans="1:29" ht="15">
      <c r="A385" s="527" t="s">
        <v>131</v>
      </c>
      <c r="B385" s="378"/>
      <c r="C385" s="381"/>
      <c r="D385" s="378"/>
      <c r="E385" s="381"/>
      <c r="F385" s="378"/>
      <c r="G385" s="400"/>
      <c r="H385" s="404">
        <f>H383+H377</f>
        <v>221980.89000051995</v>
      </c>
      <c r="I385" s="400"/>
      <c r="J385" s="386"/>
      <c r="K385" s="389"/>
      <c r="S385" s="507"/>
      <c r="V385" s="378"/>
      <c r="W385" s="378"/>
      <c r="X385" s="378"/>
      <c r="Y385" s="378"/>
    </row>
    <row r="386" spans="1:29" ht="15">
      <c r="A386" s="421"/>
      <c r="B386" s="378"/>
      <c r="C386" s="381"/>
      <c r="D386" s="378"/>
      <c r="E386" s="381"/>
      <c r="F386" s="378"/>
      <c r="G386" s="400"/>
      <c r="H386" s="402"/>
      <c r="I386" s="400"/>
      <c r="J386" s="386"/>
      <c r="K386" s="389"/>
      <c r="S386" s="507"/>
      <c r="V386" s="378"/>
      <c r="W386" s="378"/>
    </row>
    <row r="387" spans="1:29" ht="15">
      <c r="A387" s="490"/>
      <c r="B387" s="378"/>
      <c r="C387" s="387"/>
      <c r="D387" s="387"/>
      <c r="E387" s="387"/>
      <c r="F387" s="378"/>
      <c r="G387" s="426"/>
      <c r="H387" s="391"/>
      <c r="I387" s="379"/>
      <c r="J387" s="388"/>
      <c r="K387" s="389"/>
      <c r="Y387" s="515"/>
      <c r="Z387" s="515"/>
      <c r="AA387" s="515"/>
      <c r="AB387" s="515"/>
      <c r="AC387" s="515"/>
    </row>
    <row r="388" spans="1:29" ht="12.75">
      <c r="A388" s="498" t="s">
        <v>1230</v>
      </c>
      <c r="I388" s="499" t="str">
        <f>'Sch M-1.3-pg 1'!$J$1</f>
        <v>Schedule M-1.3-E</v>
      </c>
    </row>
    <row r="389" spans="1:29" ht="12.75">
      <c r="A389" s="500" t="s">
        <v>1231</v>
      </c>
      <c r="I389" s="499" t="str">
        <f>"Page "&amp;M389&amp;" of "&amp;N389</f>
        <v>Page 13 of 19</v>
      </c>
      <c r="M389" s="329">
        <f>M360+1</f>
        <v>13</v>
      </c>
      <c r="N389" s="329">
        <f>'Sch M-1.3 pgs 14-19'!$K$178</f>
        <v>19</v>
      </c>
    </row>
    <row r="390" spans="1:29" ht="12.75">
      <c r="A390" s="500" t="s">
        <v>1223</v>
      </c>
      <c r="I390" s="501" t="str">
        <f>'Sch M-1.3-pg 1'!$J$3</f>
        <v>Witness:  M.J. Blake</v>
      </c>
    </row>
    <row r="391" spans="1:29" ht="12.75">
      <c r="A391" s="502"/>
      <c r="B391" s="378"/>
      <c r="C391" s="400"/>
      <c r="D391" s="416"/>
      <c r="E391" s="378"/>
      <c r="F391" s="378"/>
      <c r="G391" s="719"/>
      <c r="H391" s="720"/>
      <c r="I391" s="400"/>
      <c r="J391" s="417"/>
      <c r="K391" s="417"/>
    </row>
    <row r="392" spans="1:29" ht="12.75">
      <c r="A392" s="530" t="str">
        <f>"Including the "&amp;MiscData!D434&amp;" effective on "&amp;TEXT(MiscData!$A$24,"mmmm dd, yyyy")</f>
        <v>Including the  effective on September 01, 2014</v>
      </c>
      <c r="B392" s="531"/>
      <c r="C392" s="532"/>
      <c r="D392" s="533"/>
      <c r="E392" s="534"/>
      <c r="F392" s="535"/>
      <c r="G392" s="536" t="s">
        <v>886</v>
      </c>
      <c r="H392" s="534"/>
      <c r="I392" s="537"/>
    </row>
    <row r="393" spans="1:29" ht="12.75">
      <c r="A393" s="511"/>
      <c r="B393" s="388"/>
      <c r="C393" s="417"/>
      <c r="D393" s="538"/>
      <c r="E393" s="417"/>
      <c r="F393" s="388"/>
      <c r="G393" s="417" t="s">
        <v>114</v>
      </c>
      <c r="H393" s="417" t="s">
        <v>115</v>
      </c>
      <c r="I393" s="539"/>
    </row>
    <row r="394" spans="1:29" ht="12.75">
      <c r="A394" s="513"/>
      <c r="B394" s="540"/>
      <c r="C394" s="541" t="s">
        <v>74</v>
      </c>
      <c r="D394" s="542" t="s">
        <v>116</v>
      </c>
      <c r="E394" s="543" t="s">
        <v>117</v>
      </c>
      <c r="F394" s="544"/>
      <c r="G394" s="543" t="s">
        <v>118</v>
      </c>
      <c r="H394" s="543" t="s">
        <v>119</v>
      </c>
      <c r="I394" s="544"/>
    </row>
    <row r="395" spans="1:29" ht="12.75">
      <c r="A395" s="516"/>
      <c r="B395" s="378"/>
      <c r="C395" s="414"/>
      <c r="D395" s="412"/>
      <c r="E395" s="440"/>
      <c r="F395" s="400"/>
      <c r="G395" s="440"/>
      <c r="H395" s="413"/>
      <c r="I395" s="400"/>
    </row>
    <row r="396" spans="1:29" ht="12.75">
      <c r="A396" s="421" t="s">
        <v>727</v>
      </c>
      <c r="B396" s="378"/>
      <c r="C396" s="379"/>
      <c r="D396" s="378"/>
      <c r="E396" s="379"/>
      <c r="F396" s="379"/>
      <c r="G396" s="378"/>
      <c r="H396" s="380"/>
      <c r="I396" s="379"/>
    </row>
    <row r="397" spans="1:29" ht="12.75">
      <c r="A397" s="519" t="s">
        <v>74</v>
      </c>
      <c r="B397" s="378"/>
      <c r="C397" s="381">
        <f>SUMIF(L_12MonResults_RateClass,MiscData!$Y$20,L_12MonResults_Contract_Cnt)+SUMIF(L_12MonResults_RateClass,MiscData!$Y$20,L_12MonResults_Contract_Cnt_Adj)</f>
        <v>11558</v>
      </c>
      <c r="D397" s="378"/>
      <c r="E397" s="378"/>
      <c r="F397" s="378"/>
      <c r="G397" s="382">
        <f>SUMIF(L_Rates_Tariff_Rate_Category,MiscData!$X$5&amp;MiscData!$AA$35,L_Rates_BSC)</f>
        <v>3.25</v>
      </c>
      <c r="H397" s="380">
        <f>ROUND($C397*G397,0)</f>
        <v>37564</v>
      </c>
      <c r="I397" s="400"/>
    </row>
    <row r="398" spans="1:29" ht="12.75">
      <c r="A398" s="495" t="s">
        <v>121</v>
      </c>
      <c r="B398" s="378"/>
      <c r="C398" s="381"/>
      <c r="D398" s="378"/>
      <c r="E398" s="378"/>
      <c r="F398" s="378"/>
      <c r="G398" s="383"/>
      <c r="H398" s="380">
        <f>ROUND(SUMIF(L_12MonResults_RateClass,MiscData!$Y$20,L_12MonResults_Revenue_Customer_Adj),0)</f>
        <v>179</v>
      </c>
      <c r="I398" s="400"/>
    </row>
    <row r="399" spans="1:29" ht="12.75">
      <c r="A399" s="519" t="s">
        <v>75</v>
      </c>
      <c r="B399" s="378"/>
      <c r="D399" s="378"/>
      <c r="E399" s="381">
        <f>SUMIF(L_12MonResults_RateClass,MiscData!$Y$20,L_12MonResults_KWH_Total)</f>
        <v>3105171</v>
      </c>
      <c r="F399" s="378"/>
      <c r="G399" s="386">
        <f>SUMIF(L_Rates_Tariff_Rate_Category,MiscData!$X$5&amp;MiscData!$AA$35,L_Rates_Energy)</f>
        <v>7.6579999999999995E-2</v>
      </c>
      <c r="H399" s="380">
        <f>ROUND($E399*G399,0)-1</f>
        <v>237793</v>
      </c>
      <c r="I399" s="400"/>
    </row>
    <row r="400" spans="1:29" ht="12.75">
      <c r="A400" s="495" t="s">
        <v>121</v>
      </c>
      <c r="B400" s="378"/>
      <c r="C400" s="387"/>
      <c r="D400" s="387"/>
      <c r="E400" s="387"/>
      <c r="F400" s="378"/>
      <c r="G400" s="383"/>
      <c r="H400" s="380">
        <f>ROUND(SUMIF(L_12MonResults_RateClass,MiscData!$Y$20,L_12MonResults_Revenue_Energy_Adj),0)</f>
        <v>1</v>
      </c>
      <c r="I400" s="400"/>
    </row>
    <row r="401" spans="1:9" ht="12.75">
      <c r="A401" s="490"/>
      <c r="B401" s="378"/>
      <c r="C401" s="381"/>
      <c r="D401" s="378"/>
      <c r="E401" s="378"/>
      <c r="F401" s="378"/>
      <c r="G401" s="383"/>
      <c r="H401" s="380"/>
      <c r="I401" s="400"/>
    </row>
    <row r="402" spans="1:9" ht="15">
      <c r="A402" s="523" t="s">
        <v>122</v>
      </c>
      <c r="B402" s="378"/>
      <c r="C402" s="390">
        <f>C397</f>
        <v>11558</v>
      </c>
      <c r="D402" s="378"/>
      <c r="E402" s="390">
        <f>E399</f>
        <v>3105171</v>
      </c>
      <c r="F402" s="381"/>
      <c r="G402" s="378"/>
      <c r="H402" s="391">
        <f>SUM(H397:H401)</f>
        <v>275537</v>
      </c>
      <c r="I402" s="379"/>
    </row>
    <row r="403" spans="1:9" ht="12.75">
      <c r="A403" s="378"/>
      <c r="B403" s="378"/>
      <c r="C403" s="387"/>
      <c r="D403" s="378"/>
      <c r="E403" s="381" t="str">
        <f>IF(SUMIF(L_12MonResults_RateClass,MiscData!$Y$20,L_12MonResults_KWH_Total)=E402,"",SUMIF(L_12MonResults_RateClass,MiscData!$Y$20,L_12MonResults_KWH_Total))</f>
        <v/>
      </c>
      <c r="F403" s="378"/>
      <c r="G403" s="378"/>
      <c r="H403" s="380" t="str">
        <f>IF(ABS(SUMIF(L_12MonResults_RateClass,MiscData!$Y$20,L_12MonResults_Revenue_Base_Calculated)-H402)&lt;1,"",SUMIF(L_12MonResults_RateClass,MiscData!$Y$20,L_12MonResults_Revenue_Base_Calculated))</f>
        <v/>
      </c>
      <c r="I403" s="400"/>
    </row>
    <row r="404" spans="1:9" ht="12.75">
      <c r="A404" s="435"/>
      <c r="B404" s="378"/>
      <c r="C404" s="381"/>
      <c r="D404" s="396"/>
      <c r="E404" s="381"/>
      <c r="F404" s="381"/>
      <c r="G404" s="397"/>
      <c r="H404" s="398">
        <f>'Sch M-1.3-pg 1'!$J$51</f>
        <v>1.0000072586059847</v>
      </c>
      <c r="I404" s="397"/>
    </row>
    <row r="405" spans="1:9" ht="12.75">
      <c r="A405" s="435"/>
      <c r="B405" s="378"/>
      <c r="C405" s="381"/>
      <c r="D405" s="378"/>
      <c r="E405" s="381"/>
      <c r="F405" s="381"/>
      <c r="G405" s="400"/>
      <c r="H405" s="380"/>
      <c r="I405" s="400"/>
    </row>
    <row r="406" spans="1:9" ht="15">
      <c r="A406" s="525" t="s">
        <v>125</v>
      </c>
      <c r="B406" s="378"/>
      <c r="C406" s="381"/>
      <c r="D406" s="381"/>
      <c r="E406" s="378"/>
      <c r="F406" s="378"/>
      <c r="G406" s="400"/>
      <c r="H406" s="402">
        <f>H402/H404</f>
        <v>275535</v>
      </c>
      <c r="I406" s="400"/>
    </row>
    <row r="407" spans="1:9" ht="12.75">
      <c r="A407" s="525"/>
      <c r="B407" s="378"/>
      <c r="C407" s="381"/>
      <c r="D407" s="378"/>
      <c r="E407" s="378"/>
      <c r="F407" s="378"/>
      <c r="G407" s="400"/>
      <c r="H407" s="380"/>
      <c r="I407" s="400"/>
    </row>
    <row r="408" spans="1:9" ht="15">
      <c r="A408" s="525" t="s">
        <v>895</v>
      </c>
      <c r="B408" s="378"/>
      <c r="C408" s="381"/>
      <c r="D408" s="378"/>
      <c r="E408" s="381"/>
      <c r="F408" s="378"/>
      <c r="G408" s="400"/>
      <c r="H408" s="402"/>
      <c r="I408" s="400"/>
    </row>
    <row r="409" spans="1:9" ht="12.75">
      <c r="A409" s="525" t="s">
        <v>127</v>
      </c>
      <c r="B409" s="378"/>
      <c r="C409" s="381"/>
      <c r="D409" s="378"/>
      <c r="E409" s="381"/>
      <c r="F409" s="378"/>
      <c r="G409" s="400"/>
      <c r="H409" s="380">
        <f>'Sch M-1.3-pg 1'!$D$51</f>
        <v>-259</v>
      </c>
      <c r="I409" s="400"/>
    </row>
    <row r="410" spans="1:9" ht="12.75">
      <c r="A410" s="525" t="s">
        <v>128</v>
      </c>
      <c r="B410" s="378"/>
      <c r="C410" s="381"/>
      <c r="D410" s="378"/>
      <c r="E410" s="381"/>
      <c r="F410" s="378"/>
      <c r="G410" s="400"/>
      <c r="H410" s="380">
        <f>'Sch M-1.3-pg 1'!$E$51</f>
        <v>0</v>
      </c>
      <c r="I410" s="400"/>
    </row>
    <row r="411" spans="1:9" ht="15">
      <c r="A411" s="525" t="s">
        <v>129</v>
      </c>
      <c r="B411" s="378"/>
      <c r="C411" s="381"/>
      <c r="D411" s="378"/>
      <c r="E411" s="381"/>
      <c r="F411" s="378"/>
      <c r="G411" s="400"/>
      <c r="H411" s="391">
        <f>'Sch M-1.3-pg 1'!$F$51</f>
        <v>11113</v>
      </c>
      <c r="I411" s="400"/>
    </row>
    <row r="412" spans="1:9" ht="15">
      <c r="A412" s="527" t="s">
        <v>894</v>
      </c>
      <c r="B412" s="378"/>
      <c r="C412" s="381"/>
      <c r="D412" s="378"/>
      <c r="E412" s="381"/>
      <c r="F412" s="378"/>
      <c r="G412" s="400"/>
      <c r="H412" s="402">
        <f>SUM(H409:H411)</f>
        <v>10854</v>
      </c>
      <c r="I412" s="400"/>
    </row>
    <row r="413" spans="1:9" ht="15">
      <c r="A413" s="527"/>
      <c r="B413" s="378"/>
      <c r="C413" s="381"/>
      <c r="D413" s="378"/>
      <c r="E413" s="381"/>
      <c r="F413" s="378"/>
      <c r="G413" s="400"/>
      <c r="H413" s="402"/>
      <c r="I413" s="400"/>
    </row>
    <row r="414" spans="1:9" ht="15">
      <c r="A414" s="527" t="s">
        <v>131</v>
      </c>
      <c r="B414" s="378"/>
      <c r="C414" s="381"/>
      <c r="D414" s="378"/>
      <c r="E414" s="381"/>
      <c r="F414" s="378"/>
      <c r="G414" s="400"/>
      <c r="H414" s="404">
        <f>H412+H406</f>
        <v>286389</v>
      </c>
      <c r="I414" s="400"/>
    </row>
    <row r="415" spans="1:9" ht="15">
      <c r="A415" s="421"/>
      <c r="B415" s="378"/>
      <c r="C415" s="381"/>
      <c r="D415" s="378"/>
      <c r="E415" s="381"/>
      <c r="F415" s="378"/>
      <c r="G415" s="400"/>
      <c r="H415" s="402"/>
      <c r="I415" s="400"/>
    </row>
  </sheetData>
  <sortState ref="Z16:Z3771">
    <sortCondition ref="Z16:Z3771"/>
  </sortState>
  <mergeCells count="12">
    <mergeCell ref="G76:H76"/>
    <mergeCell ref="G4:H4"/>
    <mergeCell ref="G43:H43"/>
    <mergeCell ref="G183:H183"/>
    <mergeCell ref="G220:H220"/>
    <mergeCell ref="G144:H144"/>
    <mergeCell ref="G110:H110"/>
    <mergeCell ref="G327:H327"/>
    <mergeCell ref="G362:H362"/>
    <mergeCell ref="G391:H391"/>
    <mergeCell ref="G256:H256"/>
    <mergeCell ref="G292:H292"/>
  </mergeCells>
  <printOptions horizontalCentered="1"/>
  <pageMargins left="0.7" right="0.7" top="1.56" bottom="0.75" header="0.56999999999999995" footer="0.3"/>
  <pageSetup scale="88" fitToHeight="13" orientation="landscape" r:id="rId1"/>
  <headerFooter scaleWithDoc="0">
    <oddHeader>&amp;C&amp;"Calibri,Bold"&amp;10Louisville Gas and Electric Company
Case No. 2014-00372
Base Period Revenues by Rate Schedule at Present Rates
for the Twelve Months Ending February 28, 2015
Electric Operations</oddHeader>
  </headerFooter>
  <rowBreaks count="11" manualBreakCount="11">
    <brk id="38" max="8" man="1"/>
    <brk id="71" max="8" man="1"/>
    <brk id="105" max="8" man="1"/>
    <brk id="139" max="8" man="1"/>
    <brk id="177" max="8" man="1"/>
    <brk id="214" max="8" man="1"/>
    <brk id="251" max="8" man="1"/>
    <brk id="287" max="8" man="1"/>
    <brk id="322" max="8" man="1"/>
    <brk id="357" max="8" man="1"/>
    <brk id="386" max="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92D050"/>
  </sheetPr>
  <dimension ref="A1:V226"/>
  <sheetViews>
    <sheetView view="pageBreakPreview" zoomScale="60" zoomScaleNormal="100" workbookViewId="0">
      <selection activeCell="J2" sqref="J2"/>
    </sheetView>
  </sheetViews>
  <sheetFormatPr defaultColWidth="9.33203125" defaultRowHeight="12"/>
  <cols>
    <col min="1" max="1" width="70.6640625" style="431" customWidth="1"/>
    <col min="2" max="2" width="0" style="431" hidden="1" customWidth="1"/>
    <col min="3" max="3" width="18" style="431" bestFit="1" customWidth="1"/>
    <col min="4" max="4" width="15.1640625" style="431" customWidth="1"/>
    <col min="5" max="5" width="19.5" style="431" bestFit="1" customWidth="1"/>
    <col min="6" max="6" width="3.83203125" style="558" customWidth="1"/>
    <col min="7" max="7" width="10" style="504" bestFit="1" customWidth="1"/>
    <col min="8" max="8" width="19.83203125" style="504" customWidth="1"/>
    <col min="9" max="9" width="14.1640625" style="431" bestFit="1" customWidth="1"/>
    <col min="10" max="11" width="9.33203125" style="431"/>
    <col min="12" max="12" width="15.83203125" style="431" customWidth="1"/>
    <col min="13" max="13" width="13" style="431" customWidth="1"/>
    <col min="14" max="14" width="11.33203125" style="431" bestFit="1" customWidth="1"/>
    <col min="15" max="17" width="18.6640625" style="431" bestFit="1" customWidth="1"/>
    <col min="18" max="19" width="19.1640625" style="431" bestFit="1" customWidth="1"/>
    <col min="20" max="20" width="12.33203125" style="431" bestFit="1" customWidth="1"/>
    <col min="21" max="21" width="9.33203125" style="431"/>
    <col min="22" max="22" width="12.5" style="431" customWidth="1"/>
    <col min="23" max="23" width="13.6640625" style="431" customWidth="1"/>
    <col min="24" max="16384" width="9.33203125" style="431"/>
  </cols>
  <sheetData>
    <row r="1" spans="1:22" s="329" customFormat="1" ht="12.75">
      <c r="A1" s="498" t="s">
        <v>1230</v>
      </c>
      <c r="F1" s="499" t="str">
        <f>'Sch M-1.3-pg 1'!$J$1</f>
        <v>Schedule M-1.3-E</v>
      </c>
      <c r="G1" s="415"/>
      <c r="H1" s="415"/>
    </row>
    <row r="2" spans="1:22" s="329" customFormat="1" ht="12.75">
      <c r="A2" s="500" t="s">
        <v>1231</v>
      </c>
      <c r="F2" s="499" t="str">
        <f>"Page "&amp;J2&amp;" of "&amp;K2</f>
        <v>Page 14 of 19</v>
      </c>
      <c r="G2" s="415"/>
      <c r="H2" s="415"/>
      <c r="J2" s="329">
        <f>'Sch M-1.3 pgs 2-13'!M389+1</f>
        <v>14</v>
      </c>
      <c r="K2" s="329">
        <f>'Sch M-1.3 pgs 14-19'!$K$178</f>
        <v>19</v>
      </c>
    </row>
    <row r="3" spans="1:22" s="329" customFormat="1" ht="12.75">
      <c r="A3" s="500" t="s">
        <v>1223</v>
      </c>
      <c r="F3" s="501" t="str">
        <f>'Sch M-1.3-pg 1'!$J$3</f>
        <v>Witness:  M.J. Blake</v>
      </c>
      <c r="G3" s="415"/>
      <c r="H3" s="415"/>
    </row>
    <row r="4" spans="1:22" s="329" customFormat="1" ht="12.75">
      <c r="A4" s="502"/>
      <c r="B4" s="378"/>
      <c r="C4" s="400"/>
      <c r="D4" s="416"/>
      <c r="E4" s="378"/>
      <c r="F4" s="378"/>
      <c r="G4" s="719"/>
      <c r="H4" s="720"/>
      <c r="I4" s="400"/>
      <c r="J4" s="417"/>
      <c r="K4" s="417"/>
    </row>
    <row r="5" spans="1:22" ht="12.75">
      <c r="A5" s="560"/>
      <c r="B5" s="512"/>
      <c r="C5" s="508" t="s">
        <v>885</v>
      </c>
      <c r="D5" s="508" t="s">
        <v>888</v>
      </c>
      <c r="E5" s="508" t="s">
        <v>1250</v>
      </c>
      <c r="F5" s="561"/>
      <c r="G5" s="417"/>
      <c r="H5" s="417"/>
    </row>
    <row r="6" spans="1:22" ht="12.75">
      <c r="A6" s="562"/>
      <c r="B6" s="563"/>
      <c r="C6" s="514" t="s">
        <v>1249</v>
      </c>
      <c r="D6" s="510" t="s">
        <v>101</v>
      </c>
      <c r="E6" s="509" t="s">
        <v>119</v>
      </c>
      <c r="F6" s="564"/>
      <c r="G6" s="417"/>
      <c r="H6" s="417"/>
      <c r="O6" s="506"/>
    </row>
    <row r="7" spans="1:22" ht="12.75">
      <c r="A7" s="525" t="s">
        <v>728</v>
      </c>
      <c r="B7" s="378"/>
      <c r="C7" s="378"/>
      <c r="D7" s="379"/>
      <c r="E7" s="378"/>
      <c r="F7" s="379"/>
      <c r="G7" s="517"/>
      <c r="H7" s="517"/>
    </row>
    <row r="8" spans="1:22" ht="12.75">
      <c r="A8" s="525" t="s">
        <v>907</v>
      </c>
      <c r="B8" s="378"/>
      <c r="C8" s="378"/>
      <c r="D8" s="379"/>
      <c r="E8" s="378"/>
      <c r="F8" s="379"/>
      <c r="G8" s="517"/>
      <c r="H8" s="517"/>
    </row>
    <row r="9" spans="1:22" ht="12.75">
      <c r="A9" s="528" t="s">
        <v>145</v>
      </c>
      <c r="B9" s="378"/>
      <c r="C9" s="378"/>
      <c r="D9" s="379"/>
      <c r="E9" s="378"/>
      <c r="F9" s="379"/>
      <c r="G9" s="517"/>
      <c r="H9" s="517"/>
    </row>
    <row r="10" spans="1:22" ht="12.75">
      <c r="A10" s="546" t="s">
        <v>143</v>
      </c>
      <c r="B10" s="378"/>
      <c r="C10" s="378"/>
      <c r="D10" s="389"/>
      <c r="E10" s="389"/>
      <c r="F10" s="400"/>
      <c r="G10" s="382"/>
      <c r="H10" s="389"/>
      <c r="O10" s="378"/>
      <c r="P10" s="378"/>
      <c r="Q10" s="378"/>
      <c r="R10" s="378"/>
      <c r="S10" s="378"/>
      <c r="T10" s="505"/>
      <c r="V10" s="505"/>
    </row>
    <row r="11" spans="1:22" ht="12.75">
      <c r="A11" s="490" t="s">
        <v>1164</v>
      </c>
      <c r="B11" s="427" t="s">
        <v>354</v>
      </c>
      <c r="C11" s="381">
        <f>SUMIF(L_12MonLightsTariffRateCategory,MiscData!$X$5&amp;$B11,L_12MonLights_Count_Total)+SUMIF(L_12MonLightsTariffRateCategory,MiscData!$X$5&amp;$B11,L_12MonLights_Count_OutOfPeriod)</f>
        <v>76130</v>
      </c>
      <c r="D11" s="422">
        <f>SUMIF(L_LightingRates_Tariff_Rate_Category,MiscData!$X$5&amp;$B11,L_LightingRates_UnitCharge)</f>
        <v>12.82</v>
      </c>
      <c r="E11" s="389">
        <f>ROUND($C11*$D11,0)</f>
        <v>975987</v>
      </c>
      <c r="F11" s="400"/>
      <c r="G11" s="382"/>
      <c r="H11" s="389"/>
      <c r="I11" s="547"/>
      <c r="L11" s="506"/>
      <c r="M11" s="548"/>
      <c r="N11" s="547"/>
      <c r="O11" s="378"/>
      <c r="P11" s="378"/>
      <c r="Q11" s="378"/>
      <c r="R11" s="378"/>
      <c r="S11" s="378"/>
      <c r="T11" s="505"/>
      <c r="V11" s="505"/>
    </row>
    <row r="12" spans="1:22" ht="12.75">
      <c r="A12" s="490" t="s">
        <v>1185</v>
      </c>
      <c r="B12" s="427" t="s">
        <v>355</v>
      </c>
      <c r="C12" s="381">
        <f>SUMIF(L_12MonLightsTariffRateCategory,MiscData!$X$5&amp;$B12,L_12MonLights_Count_Total)+SUMIF(L_12MonLightsTariffRateCategory,MiscData!$X$5&amp;$B12,L_12MonLights_Count_OutOfPeriod)</f>
        <v>107150</v>
      </c>
      <c r="D12" s="422">
        <f>SUMIF(L_LightingRates_Tariff_Rate_Category,MiscData!$X$5&amp;$B12,L_LightingRates_UnitCharge)</f>
        <v>15.08</v>
      </c>
      <c r="E12" s="389">
        <f t="shared" ref="E12:E13" si="0">ROUND($C12*$D12,0)</f>
        <v>1615822</v>
      </c>
      <c r="F12" s="400"/>
      <c r="G12" s="382"/>
      <c r="H12" s="389"/>
      <c r="I12" s="547"/>
      <c r="L12" s="506"/>
      <c r="M12" s="548"/>
      <c r="N12" s="547"/>
      <c r="O12" s="378"/>
      <c r="P12" s="378"/>
      <c r="Q12" s="378"/>
      <c r="R12" s="378"/>
      <c r="S12" s="378"/>
      <c r="T12" s="505"/>
      <c r="V12" s="505"/>
    </row>
    <row r="13" spans="1:22" ht="12.75">
      <c r="A13" s="490" t="s">
        <v>1165</v>
      </c>
      <c r="B13" s="427" t="s">
        <v>356</v>
      </c>
      <c r="C13" s="381">
        <f>SUMIF(L_12MonLightsTariffRateCategory,MiscData!$X$5&amp;$B13,L_12MonLights_Count_Total)+SUMIF(L_12MonLightsTariffRateCategory,MiscData!$X$5&amp;$B13,L_12MonLights_Count_OutOfPeriod)</f>
        <v>66091</v>
      </c>
      <c r="D13" s="422">
        <f>SUMIF(L_LightingRates_Tariff_Rate_Category,MiscData!$X$5&amp;$B13,L_LightingRates_UnitCharge)</f>
        <v>17.38</v>
      </c>
      <c r="E13" s="389">
        <f t="shared" si="0"/>
        <v>1148662</v>
      </c>
      <c r="F13" s="400"/>
      <c r="G13" s="384"/>
      <c r="H13" s="389"/>
      <c r="I13" s="547"/>
      <c r="L13" s="506"/>
      <c r="M13" s="548"/>
      <c r="N13" s="547"/>
      <c r="O13" s="378"/>
      <c r="P13" s="378"/>
      <c r="Q13" s="378"/>
      <c r="T13" s="505"/>
      <c r="V13" s="505"/>
    </row>
    <row r="14" spans="1:22" ht="12.75">
      <c r="A14" s="490"/>
      <c r="B14" s="427"/>
      <c r="C14" s="381"/>
      <c r="D14" s="422"/>
      <c r="E14" s="382"/>
      <c r="F14" s="400"/>
      <c r="G14" s="386"/>
      <c r="H14" s="389"/>
      <c r="I14" s="547"/>
      <c r="L14" s="506"/>
      <c r="O14" s="378"/>
      <c r="P14" s="378"/>
      <c r="Q14" s="378"/>
      <c r="R14" s="378"/>
      <c r="S14" s="378"/>
      <c r="T14" s="505"/>
      <c r="V14" s="505"/>
    </row>
    <row r="15" spans="1:22" ht="12.75">
      <c r="A15" s="490" t="s">
        <v>1188</v>
      </c>
      <c r="B15" s="427" t="s">
        <v>357</v>
      </c>
      <c r="C15" s="381">
        <f>SUMIF(L_12MonLightsTariffRateCategory,MiscData!$X$5&amp;$B15,L_12MonLights_Count_Total)+SUMIF(L_12MonLightsTariffRateCategory,MiscData!$X$5&amp;$B15,L_12MonLights_Count_OutOfPeriod)</f>
        <v>4834</v>
      </c>
      <c r="D15" s="422">
        <f>SUMIF(L_LightingRates_Tariff_Rate_Category,MiscData!$X$5&amp;$B15,L_LightingRates_UnitCharge)</f>
        <v>13.77</v>
      </c>
      <c r="E15" s="389">
        <f t="shared" ref="E15:E16" si="1">ROUND($C15*$D15,0)</f>
        <v>66564</v>
      </c>
      <c r="F15" s="400"/>
      <c r="G15" s="386"/>
      <c r="H15" s="389"/>
      <c r="I15" s="547"/>
      <c r="L15" s="506"/>
      <c r="M15" s="548"/>
      <c r="N15" s="547"/>
      <c r="O15" s="378"/>
      <c r="P15" s="378"/>
      <c r="Q15" s="378"/>
      <c r="R15" s="378"/>
      <c r="S15" s="378"/>
      <c r="T15" s="505"/>
      <c r="V15" s="505"/>
    </row>
    <row r="16" spans="1:22" ht="12.75">
      <c r="A16" s="490" t="s">
        <v>1189</v>
      </c>
      <c r="B16" s="427" t="s">
        <v>358</v>
      </c>
      <c r="C16" s="381">
        <f>SUMIF(L_12MonLightsTariffRateCategory,MiscData!$X$5&amp;$B16,L_12MonLights_Count_Total)+SUMIF(L_12MonLightsTariffRateCategory,MiscData!$X$5&amp;$B16,L_12MonLights_Count_OutOfPeriod)</f>
        <v>153726</v>
      </c>
      <c r="D16" s="422">
        <f>SUMIF(L_LightingRates_Tariff_Rate_Category,MiscData!$X$5&amp;$B16,L_LightingRates_UnitCharge)</f>
        <v>18.21</v>
      </c>
      <c r="E16" s="389">
        <f t="shared" si="1"/>
        <v>2799350</v>
      </c>
      <c r="F16" s="400"/>
      <c r="G16" s="386"/>
      <c r="H16" s="389"/>
      <c r="I16" s="547"/>
      <c r="L16" s="506"/>
      <c r="M16" s="548"/>
      <c r="N16" s="547"/>
      <c r="O16" s="378"/>
      <c r="P16" s="378"/>
      <c r="Q16" s="378"/>
      <c r="R16" s="378"/>
      <c r="S16" s="378"/>
      <c r="T16" s="505"/>
    </row>
    <row r="17" spans="1:20" ht="12.75">
      <c r="A17" s="490"/>
      <c r="B17" s="427"/>
      <c r="C17" s="381"/>
      <c r="D17" s="422"/>
      <c r="E17" s="422"/>
      <c r="F17" s="400"/>
      <c r="G17" s="388"/>
      <c r="H17" s="389"/>
      <c r="I17" s="547"/>
      <c r="L17" s="506"/>
      <c r="O17" s="378"/>
      <c r="P17" s="378"/>
      <c r="Q17" s="378"/>
      <c r="T17" s="505"/>
    </row>
    <row r="18" spans="1:20" ht="12.75">
      <c r="A18" s="490" t="s">
        <v>1190</v>
      </c>
      <c r="B18" s="427" t="s">
        <v>359</v>
      </c>
      <c r="C18" s="381">
        <f>SUMIF(L_12MonLightsTariffRateCategory,MiscData!$X$5&amp;$B18,L_12MonLights_Count_Total)+SUMIF(L_12MonLightsTariffRateCategory,MiscData!$X$5&amp;$B18,L_12MonLights_Count_OutOfPeriod)</f>
        <v>39140</v>
      </c>
      <c r="D18" s="422">
        <f>SUMIF(L_LightingRates_Tariff_Rate_Category,MiscData!$X$5&amp;$B18,L_LightingRates_UnitCharge)</f>
        <v>10.86</v>
      </c>
      <c r="E18" s="389">
        <f>ROUND($C18*$D18,0)</f>
        <v>425060</v>
      </c>
      <c r="F18" s="379"/>
      <c r="G18" s="392"/>
      <c r="H18" s="389"/>
      <c r="I18" s="547"/>
      <c r="L18" s="506"/>
      <c r="M18" s="548"/>
      <c r="N18" s="547"/>
      <c r="O18" s="378"/>
      <c r="P18" s="378"/>
      <c r="Q18" s="378"/>
      <c r="T18" s="505"/>
    </row>
    <row r="19" spans="1:20" ht="12.75">
      <c r="A19" s="490"/>
      <c r="B19" s="427"/>
      <c r="C19" s="392"/>
      <c r="D19" s="422"/>
      <c r="E19" s="382"/>
      <c r="F19" s="400"/>
      <c r="G19" s="388"/>
      <c r="H19" s="389"/>
      <c r="I19" s="547"/>
      <c r="L19" s="506"/>
      <c r="O19" s="378"/>
      <c r="P19" s="378"/>
      <c r="Q19" s="378"/>
      <c r="T19" s="505"/>
    </row>
    <row r="20" spans="1:20" ht="12.75">
      <c r="A20" s="546" t="s">
        <v>914</v>
      </c>
      <c r="B20" s="427"/>
      <c r="C20" s="381"/>
      <c r="D20" s="422"/>
      <c r="E20" s="382"/>
      <c r="F20" s="400"/>
      <c r="G20" s="388"/>
      <c r="H20" s="389"/>
      <c r="I20" s="547"/>
      <c r="L20" s="506"/>
      <c r="O20" s="378"/>
      <c r="P20" s="378"/>
      <c r="Q20" s="378"/>
      <c r="T20" s="505"/>
    </row>
    <row r="21" spans="1:20" ht="12.75">
      <c r="A21" s="490" t="s">
        <v>1191</v>
      </c>
      <c r="B21" s="427" t="s">
        <v>365</v>
      </c>
      <c r="C21" s="381">
        <f>SUMIF(L_12MonLightsTariffRateCategory,MiscData!$X$5&amp;$B21,L_12MonLights_Count_Total)+SUMIF(L_12MonLightsTariffRateCategory,MiscData!$X$5&amp;$B21,L_12MonLights_Count_OutOfPeriod)</f>
        <v>251</v>
      </c>
      <c r="D21" s="422">
        <f>SUMIF(L_LightingRates_Tariff_Rate_Category,MiscData!$X$5&amp;$B21,L_LightingRates_UnitCharge)</f>
        <v>12.79</v>
      </c>
      <c r="E21" s="389">
        <f t="shared" ref="E21:E23" si="2">ROUND($C21*$D21,0)</f>
        <v>3210</v>
      </c>
      <c r="F21" s="379"/>
      <c r="G21" s="517"/>
      <c r="H21" s="389"/>
      <c r="I21" s="547"/>
      <c r="L21" s="506"/>
      <c r="M21" s="548"/>
      <c r="N21" s="547"/>
      <c r="O21" s="378"/>
      <c r="P21" s="378"/>
      <c r="Q21" s="378"/>
      <c r="T21" s="505"/>
    </row>
    <row r="22" spans="1:20" ht="12.75">
      <c r="A22" s="490" t="s">
        <v>1192</v>
      </c>
      <c r="B22" s="427" t="s">
        <v>367</v>
      </c>
      <c r="C22" s="381">
        <f>SUMIF(L_12MonLightsTariffRateCategory,MiscData!$X$5&amp;$B22,L_12MonLights_Count_Total)+SUMIF(L_12MonLightsTariffRateCategory,MiscData!$X$5&amp;$B22,L_12MonLights_Count_OutOfPeriod)</f>
        <v>4185</v>
      </c>
      <c r="D22" s="422">
        <f>SUMIF(L_LightingRates_Tariff_Rate_Category,MiscData!$X$5&amp;$B22,L_LightingRates_UnitCharge)</f>
        <v>18.68</v>
      </c>
      <c r="E22" s="389">
        <f t="shared" si="2"/>
        <v>78176</v>
      </c>
      <c r="F22" s="400"/>
      <c r="G22" s="382"/>
      <c r="H22" s="389"/>
      <c r="I22" s="547"/>
      <c r="L22" s="506"/>
      <c r="M22" s="548"/>
      <c r="N22" s="547"/>
      <c r="O22" s="378"/>
      <c r="P22" s="378"/>
      <c r="Q22" s="378"/>
      <c r="R22" s="378"/>
      <c r="S22" s="378"/>
      <c r="T22" s="505"/>
    </row>
    <row r="23" spans="1:20" ht="12.75">
      <c r="A23" s="490" t="s">
        <v>1193</v>
      </c>
      <c r="B23" s="427" t="s">
        <v>370</v>
      </c>
      <c r="C23" s="381">
        <f>SUMIF(L_12MonLightsTariffRateCategory,MiscData!$X$5&amp;$B23,L_12MonLights_Count_Total)+SUMIF(L_12MonLightsTariffRateCategory,MiscData!$X$5&amp;$B23,L_12MonLights_Count_OutOfPeriod)</f>
        <v>4521</v>
      </c>
      <c r="D23" s="422">
        <f>SUMIF(L_LightingRates_Tariff_Rate_Category,MiscData!$X$5&amp;$B23,L_LightingRates_UnitCharge)</f>
        <v>39.6</v>
      </c>
      <c r="E23" s="389">
        <f t="shared" si="2"/>
        <v>179032</v>
      </c>
      <c r="F23" s="400"/>
      <c r="G23" s="382"/>
      <c r="H23" s="389"/>
      <c r="I23" s="547"/>
      <c r="L23" s="506"/>
      <c r="M23" s="548"/>
      <c r="N23" s="547"/>
      <c r="O23" s="378"/>
      <c r="P23" s="378"/>
      <c r="Q23" s="378"/>
      <c r="R23" s="378"/>
      <c r="S23" s="378"/>
      <c r="T23" s="505"/>
    </row>
    <row r="24" spans="1:20" ht="12.75">
      <c r="A24" s="436"/>
      <c r="B24" s="427"/>
      <c r="C24" s="381"/>
      <c r="D24" s="422"/>
      <c r="E24" s="382"/>
      <c r="F24" s="400"/>
      <c r="G24" s="382"/>
      <c r="H24" s="389"/>
      <c r="I24" s="547"/>
      <c r="L24" s="506"/>
      <c r="O24" s="378"/>
      <c r="P24" s="378"/>
      <c r="Q24" s="378"/>
      <c r="R24" s="378"/>
      <c r="S24" s="378"/>
      <c r="T24" s="505"/>
    </row>
    <row r="25" spans="1:20" ht="12.75">
      <c r="A25" s="436"/>
      <c r="B25" s="427"/>
      <c r="C25" s="381"/>
      <c r="D25" s="422"/>
      <c r="E25" s="382"/>
      <c r="F25" s="400"/>
      <c r="G25" s="382"/>
      <c r="H25" s="389"/>
      <c r="I25" s="547"/>
      <c r="L25" s="506"/>
      <c r="O25" s="378"/>
      <c r="P25" s="378"/>
      <c r="Q25" s="378"/>
      <c r="R25" s="378"/>
      <c r="S25" s="378"/>
      <c r="T25" s="505"/>
    </row>
    <row r="26" spans="1:20" s="329" customFormat="1" ht="12.75">
      <c r="A26" s="498" t="s">
        <v>1230</v>
      </c>
      <c r="F26" s="499" t="str">
        <f>'Sch M-1.3-pg 1'!$J$1</f>
        <v>Schedule M-1.3-E</v>
      </c>
      <c r="G26" s="415"/>
      <c r="H26" s="415"/>
    </row>
    <row r="27" spans="1:20" s="329" customFormat="1" ht="12.75">
      <c r="A27" s="500" t="s">
        <v>1231</v>
      </c>
      <c r="F27" s="499" t="str">
        <f>"Page "&amp;J27&amp;" of "&amp;K27</f>
        <v>Page 15 of 19</v>
      </c>
      <c r="G27" s="415"/>
      <c r="H27" s="415"/>
      <c r="J27" s="329">
        <f>J2+1</f>
        <v>15</v>
      </c>
      <c r="K27" s="329">
        <f>'Sch M-1.3 pgs 14-19'!$K$178</f>
        <v>19</v>
      </c>
    </row>
    <row r="28" spans="1:20" s="329" customFormat="1" ht="12.75">
      <c r="A28" s="500" t="s">
        <v>1223</v>
      </c>
      <c r="F28" s="501" t="str">
        <f>'Sch M-1.3-pg 1'!$J$3</f>
        <v>Witness:  M.J. Blake</v>
      </c>
      <c r="G28" s="415"/>
      <c r="H28" s="415"/>
    </row>
    <row r="29" spans="1:20" s="329" customFormat="1" ht="12.75">
      <c r="A29" s="502"/>
      <c r="B29" s="378"/>
      <c r="C29" s="400"/>
      <c r="D29" s="416"/>
      <c r="E29" s="378"/>
      <c r="F29" s="378"/>
      <c r="G29" s="719"/>
      <c r="H29" s="720"/>
      <c r="I29" s="400"/>
      <c r="J29" s="417"/>
      <c r="K29" s="417"/>
    </row>
    <row r="30" spans="1:20" ht="12.75">
      <c r="A30" s="560"/>
      <c r="B30" s="512"/>
      <c r="C30" s="508" t="s">
        <v>885</v>
      </c>
      <c r="D30" s="508" t="s">
        <v>888</v>
      </c>
      <c r="E30" s="508" t="s">
        <v>1250</v>
      </c>
      <c r="F30" s="561"/>
      <c r="G30" s="417"/>
      <c r="H30" s="417"/>
    </row>
    <row r="31" spans="1:20" ht="12.75">
      <c r="A31" s="562"/>
      <c r="B31" s="563"/>
      <c r="C31" s="514" t="s">
        <v>1249</v>
      </c>
      <c r="D31" s="510" t="s">
        <v>101</v>
      </c>
      <c r="E31" s="509" t="s">
        <v>119</v>
      </c>
      <c r="F31" s="564"/>
      <c r="G31" s="417"/>
      <c r="H31" s="417"/>
      <c r="O31" s="506"/>
    </row>
    <row r="32" spans="1:20" ht="12.75">
      <c r="A32" s="525" t="s">
        <v>728</v>
      </c>
      <c r="B32" s="378"/>
      <c r="C32" s="378"/>
      <c r="D32" s="379"/>
      <c r="E32" s="378"/>
      <c r="F32" s="379"/>
      <c r="G32" s="517"/>
      <c r="H32" s="517"/>
    </row>
    <row r="33" spans="1:20" ht="12.75">
      <c r="A33" s="421" t="s">
        <v>908</v>
      </c>
      <c r="B33" s="378"/>
      <c r="C33" s="378"/>
      <c r="D33" s="379"/>
      <c r="E33" s="378"/>
      <c r="F33" s="379"/>
      <c r="G33" s="517"/>
      <c r="H33" s="517"/>
    </row>
    <row r="34" spans="1:20" ht="12.75">
      <c r="A34" s="518" t="s">
        <v>146</v>
      </c>
      <c r="B34" s="378"/>
      <c r="C34" s="378"/>
      <c r="D34" s="379"/>
      <c r="E34" s="378"/>
      <c r="F34" s="379"/>
      <c r="G34" s="517"/>
      <c r="H34" s="517"/>
    </row>
    <row r="35" spans="1:20" ht="12.75">
      <c r="A35" s="546" t="s">
        <v>143</v>
      </c>
      <c r="B35" s="378"/>
      <c r="C35" s="378"/>
      <c r="D35" s="379"/>
      <c r="E35" s="378"/>
      <c r="F35" s="379"/>
      <c r="G35" s="517"/>
      <c r="H35" s="517"/>
    </row>
    <row r="36" spans="1:20" ht="12.75">
      <c r="A36" s="490" t="s">
        <v>1194</v>
      </c>
      <c r="B36" s="427" t="s">
        <v>329</v>
      </c>
      <c r="C36" s="381">
        <f>SUMIF(L_12MonLightsTariffRateCategory,MiscData!$X$5&amp;$B36,L_12MonLights_Count_Total)+SUMIF(L_12MonLightsTariffRateCategory,MiscData!$X$5&amp;$B36,L_12MonLights_Count_OutOfPeriod)</f>
        <v>2654</v>
      </c>
      <c r="D36" s="422">
        <f>SUMIF(L_LightingRates_Tariff_Rate_Category,MiscData!$X$5&amp;$B36,L_LightingRates_UnitCharge)</f>
        <v>19.79</v>
      </c>
      <c r="E36" s="389">
        <f t="shared" ref="E36:E37" si="3">ROUND($C36*$D36,0)</f>
        <v>52523</v>
      </c>
      <c r="F36" s="379"/>
      <c r="G36" s="392"/>
      <c r="H36" s="389"/>
      <c r="I36" s="547"/>
      <c r="L36" s="506"/>
      <c r="M36" s="548"/>
      <c r="N36" s="547"/>
      <c r="O36" s="378"/>
      <c r="P36" s="378"/>
      <c r="Q36" s="378"/>
      <c r="T36" s="505"/>
    </row>
    <row r="37" spans="1:20" ht="12.75">
      <c r="A37" s="490" t="s">
        <v>1195</v>
      </c>
      <c r="B37" s="427" t="s">
        <v>330</v>
      </c>
      <c r="C37" s="381">
        <f>SUMIF(L_12MonLightsTariffRateCategory,MiscData!$X$5&amp;$B37,L_12MonLights_Count_Total)+SUMIF(L_12MonLightsTariffRateCategory,MiscData!$X$5&amp;$B37,L_12MonLights_Count_OutOfPeriod)</f>
        <v>24705</v>
      </c>
      <c r="D37" s="422">
        <f>SUMIF(L_LightingRates_Tariff_Rate_Category,MiscData!$X$5&amp;$B37,L_LightingRates_UnitCharge)</f>
        <v>20.49</v>
      </c>
      <c r="E37" s="389">
        <f t="shared" si="3"/>
        <v>506205</v>
      </c>
      <c r="F37" s="400"/>
      <c r="G37" s="388"/>
      <c r="H37" s="389"/>
      <c r="I37" s="547"/>
      <c r="L37" s="506"/>
      <c r="M37" s="548"/>
      <c r="N37" s="547"/>
      <c r="O37" s="378"/>
      <c r="P37" s="378"/>
      <c r="Q37" s="378"/>
      <c r="T37" s="505"/>
    </row>
    <row r="38" spans="1:20" ht="12.75">
      <c r="A38" s="490"/>
      <c r="B38" s="427"/>
      <c r="C38" s="381"/>
      <c r="D38" s="422"/>
      <c r="E38" s="382"/>
      <c r="F38" s="400"/>
      <c r="G38" s="388"/>
      <c r="H38" s="389"/>
      <c r="I38" s="547"/>
      <c r="L38" s="506"/>
      <c r="O38" s="378"/>
      <c r="P38" s="378"/>
      <c r="Q38" s="378"/>
      <c r="T38" s="505"/>
    </row>
    <row r="39" spans="1:20" ht="12.75">
      <c r="A39" s="490" t="s">
        <v>1196</v>
      </c>
      <c r="B39" s="427" t="s">
        <v>332</v>
      </c>
      <c r="C39" s="381">
        <f>SUMIF(L_12MonLightsTariffRateCategory,MiscData!$X$5&amp;$B39,L_12MonLights_Count_Total)+SUMIF(L_12MonLightsTariffRateCategory,MiscData!$X$5&amp;$B39,L_12MonLights_Count_OutOfPeriod)</f>
        <v>398</v>
      </c>
      <c r="D39" s="422">
        <f>SUMIF(L_LightingRates_Tariff_Rate_Category,MiscData!$X$5&amp;$B39,L_LightingRates_UnitCharge)</f>
        <v>20.18</v>
      </c>
      <c r="E39" s="389">
        <f t="shared" ref="E39:E40" si="4">ROUND($C39*$D39,0)</f>
        <v>8032</v>
      </c>
      <c r="F39" s="379"/>
      <c r="G39" s="517"/>
      <c r="H39" s="389"/>
      <c r="I39" s="547"/>
      <c r="L39" s="506"/>
      <c r="M39" s="548"/>
      <c r="N39" s="547"/>
      <c r="O39" s="378"/>
      <c r="P39" s="378"/>
      <c r="Q39" s="378"/>
      <c r="T39" s="505"/>
    </row>
    <row r="40" spans="1:20" ht="12.75">
      <c r="A40" s="490" t="s">
        <v>1197</v>
      </c>
      <c r="B40" s="427" t="s">
        <v>333</v>
      </c>
      <c r="C40" s="381">
        <f>SUMIF(L_12MonLightsTariffRateCategory,MiscData!$X$5&amp;$B40,L_12MonLights_Count_Total)+SUMIF(L_12MonLightsTariffRateCategory,MiscData!$X$5&amp;$B40,L_12MonLights_Count_OutOfPeriod)</f>
        <v>21723</v>
      </c>
      <c r="D40" s="422">
        <f>SUMIF(L_LightingRates_Tariff_Rate_Category,MiscData!$X$5&amp;$B40,L_LightingRates_UnitCharge)</f>
        <v>22.56</v>
      </c>
      <c r="E40" s="389">
        <f t="shared" si="4"/>
        <v>490071</v>
      </c>
      <c r="F40" s="400"/>
      <c r="G40" s="382"/>
      <c r="H40" s="389"/>
      <c r="I40" s="547"/>
      <c r="L40" s="506"/>
      <c r="M40" s="548"/>
      <c r="N40" s="547"/>
      <c r="O40" s="378"/>
      <c r="P40" s="378"/>
      <c r="Q40" s="378"/>
      <c r="R40" s="378"/>
      <c r="S40" s="378"/>
      <c r="T40" s="505"/>
    </row>
    <row r="41" spans="1:20" ht="12.75">
      <c r="A41" s="490"/>
      <c r="B41" s="427"/>
      <c r="C41" s="381"/>
      <c r="D41" s="422"/>
      <c r="E41" s="422"/>
      <c r="F41" s="400"/>
      <c r="G41" s="382"/>
      <c r="H41" s="389"/>
      <c r="I41" s="547"/>
      <c r="L41" s="506"/>
      <c r="O41" s="378"/>
      <c r="P41" s="378"/>
      <c r="Q41" s="378"/>
      <c r="R41" s="378"/>
      <c r="S41" s="378"/>
      <c r="T41" s="505"/>
    </row>
    <row r="42" spans="1:20" ht="12.75">
      <c r="A42" s="490" t="s">
        <v>1198</v>
      </c>
      <c r="B42" s="427" t="s">
        <v>344</v>
      </c>
      <c r="C42" s="381">
        <f>SUMIF(L_12MonLightsTariffRateCategory,MiscData!$X$5&amp;$B42,L_12MonLights_Count_Total)+SUMIF(L_12MonLightsTariffRateCategory,MiscData!$X$5&amp;$B42,L_12MonLights_Count_OutOfPeriod)</f>
        <v>625</v>
      </c>
      <c r="D42" s="422">
        <f>SUMIF(L_LightingRates_Tariff_Rate_Category,MiscData!$X$5&amp;$B42,L_LightingRates_UnitCharge)</f>
        <v>35.199999999999996</v>
      </c>
      <c r="E42" s="389">
        <f t="shared" ref="E42:E43" si="5">ROUND($C42*$D42,0)</f>
        <v>22000</v>
      </c>
      <c r="F42" s="379"/>
      <c r="G42" s="517"/>
      <c r="H42" s="389"/>
      <c r="I42" s="547"/>
      <c r="L42" s="506"/>
      <c r="M42" s="548"/>
      <c r="N42" s="547"/>
      <c r="O42" s="378"/>
      <c r="P42" s="378"/>
      <c r="Q42" s="378"/>
      <c r="T42" s="505"/>
    </row>
    <row r="43" spans="1:20" ht="12.75">
      <c r="A43" s="490" t="s">
        <v>1199</v>
      </c>
      <c r="B43" s="427" t="s">
        <v>346</v>
      </c>
      <c r="C43" s="381">
        <f>SUMIF(L_12MonLightsTariffRateCategory,MiscData!$X$5&amp;$B43,L_12MonLights_Count_Total)+SUMIF(L_12MonLightsTariffRateCategory,MiscData!$X$5&amp;$B43,L_12MonLights_Count_OutOfPeriod)</f>
        <v>2306</v>
      </c>
      <c r="D43" s="422">
        <f>SUMIF(L_LightingRates_Tariff_Rate_Category,MiscData!$X$5&amp;$B43,L_LightingRates_UnitCharge)</f>
        <v>36.07</v>
      </c>
      <c r="E43" s="389">
        <f t="shared" si="5"/>
        <v>83177</v>
      </c>
      <c r="F43" s="400"/>
      <c r="G43" s="382"/>
      <c r="H43" s="389"/>
      <c r="I43" s="547"/>
      <c r="L43" s="506"/>
      <c r="M43" s="548"/>
      <c r="N43" s="547"/>
      <c r="O43" s="378"/>
      <c r="P43" s="378"/>
      <c r="Q43" s="378"/>
      <c r="R43" s="378"/>
      <c r="S43" s="378"/>
      <c r="T43" s="505"/>
    </row>
    <row r="44" spans="1:20" ht="12.75">
      <c r="A44" s="546"/>
      <c r="B44" s="378"/>
      <c r="C44" s="378"/>
      <c r="D44" s="389"/>
      <c r="E44" s="389"/>
      <c r="F44" s="400"/>
      <c r="G44" s="386"/>
      <c r="H44" s="389"/>
      <c r="I44" s="547"/>
      <c r="O44" s="378"/>
      <c r="P44" s="378"/>
      <c r="Q44" s="378"/>
      <c r="R44" s="378"/>
      <c r="S44" s="378"/>
      <c r="T44" s="505"/>
    </row>
    <row r="45" spans="1:20" ht="12.75">
      <c r="A45" s="490" t="s">
        <v>1200</v>
      </c>
      <c r="B45" s="427" t="s">
        <v>348</v>
      </c>
      <c r="C45" s="381">
        <f>SUMIF(L_12MonLightsTariffRateCategory,MiscData!$X$5&amp;$B45,L_12MonLights_Count_Total)+SUMIF(L_12MonLightsTariffRateCategory,MiscData!$X$5&amp;$B45,L_12MonLights_Count_OutOfPeriod)</f>
        <v>530</v>
      </c>
      <c r="D45" s="422">
        <f>SUMIF(L_LightingRates_Tariff_Rate_Category,MiscData!$X$5&amp;$B45,L_LightingRates_UnitCharge)</f>
        <v>32.93</v>
      </c>
      <c r="E45" s="389">
        <f t="shared" ref="E45:E48" si="6">ROUND($C45*$D45,0)</f>
        <v>17453</v>
      </c>
      <c r="F45" s="379"/>
      <c r="G45" s="517"/>
      <c r="H45" s="389"/>
      <c r="I45" s="547"/>
      <c r="L45" s="506"/>
      <c r="M45" s="548"/>
      <c r="N45" s="547"/>
      <c r="O45" s="378"/>
      <c r="P45" s="378"/>
      <c r="Q45" s="378"/>
      <c r="T45" s="505"/>
    </row>
    <row r="46" spans="1:20" ht="12.75">
      <c r="A46" s="490" t="s">
        <v>1201</v>
      </c>
      <c r="B46" s="427" t="s">
        <v>349</v>
      </c>
      <c r="C46" s="381">
        <f>SUMIF(L_12MonLightsTariffRateCategory,MiscData!$X$5&amp;$B46,L_12MonLights_Count_Total)+SUMIF(L_12MonLightsTariffRateCategory,MiscData!$X$5&amp;$B46,L_12MonLights_Count_OutOfPeriod)</f>
        <v>2285</v>
      </c>
      <c r="D46" s="422">
        <f>SUMIF(L_LightingRates_Tariff_Rate_Category,MiscData!$X$5&amp;$B46,L_LightingRates_UnitCharge)</f>
        <v>34.99</v>
      </c>
      <c r="E46" s="389">
        <f t="shared" si="6"/>
        <v>79952</v>
      </c>
      <c r="F46" s="400"/>
      <c r="G46" s="382"/>
      <c r="H46" s="389"/>
      <c r="I46" s="547"/>
      <c r="L46" s="506"/>
      <c r="M46" s="548"/>
      <c r="N46" s="547"/>
      <c r="O46" s="378"/>
      <c r="P46" s="378"/>
      <c r="Q46" s="378"/>
      <c r="R46" s="378"/>
      <c r="S46" s="378"/>
      <c r="T46" s="505"/>
    </row>
    <row r="47" spans="1:20" ht="12.75">
      <c r="A47" s="546"/>
      <c r="B47" s="378"/>
      <c r="C47" s="378"/>
      <c r="D47" s="389"/>
      <c r="E47" s="389"/>
      <c r="F47" s="400"/>
      <c r="G47" s="386"/>
      <c r="H47" s="389"/>
      <c r="I47" s="547"/>
      <c r="O47" s="378"/>
      <c r="P47" s="378"/>
      <c r="Q47" s="378"/>
      <c r="R47" s="378"/>
      <c r="S47" s="378"/>
      <c r="T47" s="505"/>
    </row>
    <row r="48" spans="1:20" s="504" customFormat="1" ht="12.75">
      <c r="A48" s="545" t="s">
        <v>1131</v>
      </c>
      <c r="B48" s="437" t="s">
        <v>677</v>
      </c>
      <c r="C48" s="385">
        <f>SUMIFS(L_12MonPoles_Count,L_12MonPoles_RateCategory,B48,L_12MonPoles_RateClass,"LS ")+SUMIFS(L_12MonPoles_Count_Adj,L_12MonPoles_RateCategory,B48,L_12MonPoles_RateClass,"LS ")</f>
        <v>3825</v>
      </c>
      <c r="D48" s="382">
        <f>SUMIF(PoleRates!$E$4:$E$104,MiscData!$X$5&amp;B48,PoleRates!$F$4:$F$104)</f>
        <v>3.56</v>
      </c>
      <c r="E48" s="389">
        <f t="shared" si="6"/>
        <v>13617</v>
      </c>
      <c r="F48" s="539"/>
      <c r="G48" s="386"/>
      <c r="H48" s="389"/>
      <c r="I48" s="547"/>
      <c r="L48" s="389"/>
      <c r="O48" s="388"/>
      <c r="P48" s="388"/>
      <c r="Q48" s="388"/>
      <c r="R48" s="388"/>
      <c r="S48" s="388"/>
      <c r="T48" s="505"/>
    </row>
    <row r="49" spans="1:20" ht="12.75">
      <c r="A49" s="546"/>
      <c r="B49" s="378"/>
      <c r="C49" s="378"/>
      <c r="D49" s="389"/>
      <c r="E49" s="389"/>
      <c r="F49" s="400"/>
      <c r="G49" s="386"/>
      <c r="H49" s="389"/>
      <c r="I49" s="547"/>
      <c r="L49" s="389"/>
      <c r="O49" s="378"/>
      <c r="P49" s="378"/>
      <c r="Q49" s="378"/>
      <c r="R49" s="378"/>
      <c r="S49" s="378"/>
      <c r="T49" s="505"/>
    </row>
    <row r="50" spans="1:20" ht="12.75">
      <c r="A50" s="490" t="s">
        <v>1164</v>
      </c>
      <c r="B50" s="427" t="s">
        <v>340</v>
      </c>
      <c r="C50" s="381">
        <f>SUMIF(L_12MonLightsTariffRateCategory,MiscData!$X$5&amp;$B50,L_12MonLights_Count_Total)+SUMIF(L_12MonLightsTariffRateCategory,MiscData!$X$5&amp;$B50,L_12MonLights_Count_OutOfPeriod)</f>
        <v>221</v>
      </c>
      <c r="D50" s="422">
        <f>SUMIF(L_LightingRates_Tariff_Rate_Category,MiscData!$X$5&amp;$B50,L_LightingRates_UnitCharge)</f>
        <v>26.349999999999998</v>
      </c>
      <c r="E50" s="389">
        <f t="shared" ref="E50:E52" si="7">ROUND($C50*$D50,0)</f>
        <v>5823</v>
      </c>
      <c r="F50" s="400"/>
      <c r="G50" s="384"/>
      <c r="H50" s="389"/>
      <c r="I50" s="547"/>
      <c r="L50" s="506"/>
      <c r="M50" s="548"/>
      <c r="N50" s="547"/>
      <c r="O50" s="378"/>
      <c r="P50" s="378"/>
      <c r="Q50" s="378"/>
      <c r="R50" s="504"/>
      <c r="T50" s="505"/>
    </row>
    <row r="51" spans="1:20" ht="12.75">
      <c r="A51" s="490" t="s">
        <v>1185</v>
      </c>
      <c r="B51" s="427" t="s">
        <v>341</v>
      </c>
      <c r="C51" s="381">
        <f>SUMIF(L_12MonLightsTariffRateCategory,MiscData!$X$5&amp;$B51,L_12MonLights_Count_Total)+SUMIF(L_12MonLightsTariffRateCategory,MiscData!$X$5&amp;$B51,L_12MonLights_Count_OutOfPeriod)</f>
        <v>4870</v>
      </c>
      <c r="D51" s="422">
        <f>SUMIF(L_LightingRates_Tariff_Rate_Category,MiscData!$X$5&amp;$B51,L_LightingRates_UnitCharge)</f>
        <v>28.45</v>
      </c>
      <c r="E51" s="389">
        <f t="shared" si="7"/>
        <v>138552</v>
      </c>
      <c r="F51" s="400"/>
      <c r="G51" s="386"/>
      <c r="H51" s="389"/>
      <c r="I51" s="547"/>
      <c r="L51" s="506"/>
      <c r="M51" s="548"/>
      <c r="N51" s="547"/>
      <c r="O51" s="378"/>
      <c r="P51" s="378"/>
      <c r="Q51" s="378"/>
      <c r="R51" s="504"/>
      <c r="T51" s="505"/>
    </row>
    <row r="52" spans="1:20" ht="12.75">
      <c r="A52" s="490" t="s">
        <v>1165</v>
      </c>
      <c r="B52" s="427" t="s">
        <v>342</v>
      </c>
      <c r="C52" s="381">
        <f>SUMIF(L_12MonLightsTariffRateCategory,MiscData!$X$5&amp;$B52,L_12MonLights_Count_Total)+SUMIF(L_12MonLightsTariffRateCategory,MiscData!$X$5&amp;$B52,L_12MonLights_Count_OutOfPeriod)</f>
        <v>400</v>
      </c>
      <c r="D52" s="422">
        <f>SUMIF(L_LightingRates_Tariff_Rate_Category,MiscData!$X$5&amp;$B52,L_LightingRates_UnitCharge)</f>
        <v>34.029999999999994</v>
      </c>
      <c r="E52" s="389">
        <f t="shared" si="7"/>
        <v>13612</v>
      </c>
      <c r="F52" s="400"/>
      <c r="G52" s="386"/>
      <c r="H52" s="517"/>
      <c r="I52" s="547"/>
      <c r="L52" s="506"/>
      <c r="M52" s="548"/>
      <c r="N52" s="547"/>
      <c r="O52" s="378"/>
      <c r="P52" s="378"/>
      <c r="Q52" s="378"/>
      <c r="R52" s="504"/>
      <c r="T52" s="505"/>
    </row>
    <row r="53" spans="1:20" ht="12.75">
      <c r="A53" s="490"/>
      <c r="B53" s="427"/>
      <c r="C53" s="381"/>
      <c r="D53" s="422"/>
      <c r="E53" s="382"/>
      <c r="F53" s="400"/>
      <c r="G53" s="386"/>
      <c r="H53" s="389"/>
      <c r="I53" s="547"/>
      <c r="L53" s="506"/>
      <c r="O53" s="378"/>
      <c r="P53" s="378"/>
      <c r="Q53" s="378"/>
      <c r="R53" s="504"/>
      <c r="T53" s="505"/>
    </row>
    <row r="54" spans="1:20" ht="12.75">
      <c r="A54" s="490" t="s">
        <v>1166</v>
      </c>
      <c r="B54" s="427" t="s">
        <v>729</v>
      </c>
      <c r="C54" s="381">
        <f>SUMIF(L_12MonLightsTariffRateCategory,MiscData!$X$5&amp;$B54,L_12MonLights_Count_Total)+SUMIF(L_12MonLightsTariffRateCategory,MiscData!$X$5&amp;$B54,L_12MonLights_Count_OutOfPeriod)</f>
        <v>0</v>
      </c>
      <c r="D54" s="422">
        <f>SUMIF(L_LightingRates_Tariff_Rate_Category,MiscData!$X$5&amp;$B54,L_LightingRates_UnitCharge)</f>
        <v>16.459999999999997</v>
      </c>
      <c r="E54" s="389">
        <f t="shared" ref="E54:E56" si="8">ROUND($C54*$D54,0)</f>
        <v>0</v>
      </c>
      <c r="F54" s="400"/>
      <c r="G54" s="386"/>
      <c r="H54" s="389"/>
      <c r="I54" s="547"/>
      <c r="L54" s="506"/>
      <c r="M54" s="548"/>
      <c r="N54" s="547"/>
      <c r="O54" s="378"/>
      <c r="P54" s="378"/>
      <c r="Q54" s="378"/>
      <c r="R54" s="504"/>
      <c r="T54" s="505"/>
    </row>
    <row r="55" spans="1:20" ht="12.75">
      <c r="A55" s="490" t="s">
        <v>1186</v>
      </c>
      <c r="B55" s="427" t="s">
        <v>730</v>
      </c>
      <c r="C55" s="381">
        <f>SUMIF(L_12MonLightsTariffRateCategory,MiscData!$X$5&amp;$B55,L_12MonLights_Count_Total)+SUMIF(L_12MonLightsTariffRateCategory,MiscData!$X$5&amp;$B55,L_12MonLights_Count_OutOfPeriod)</f>
        <v>24</v>
      </c>
      <c r="D55" s="422">
        <f>SUMIF(L_LightingRates_Tariff_Rate_Category,MiscData!$X$5&amp;$B55,L_LightingRates_UnitCharge)</f>
        <v>18.279999999999998</v>
      </c>
      <c r="E55" s="389">
        <f t="shared" si="8"/>
        <v>439</v>
      </c>
      <c r="F55" s="400"/>
      <c r="G55" s="386"/>
      <c r="H55" s="389"/>
      <c r="I55" s="547"/>
      <c r="L55" s="506"/>
      <c r="M55" s="548"/>
      <c r="N55" s="547"/>
      <c r="O55" s="378"/>
      <c r="P55" s="378"/>
      <c r="Q55" s="378"/>
      <c r="R55" s="504"/>
      <c r="T55" s="505"/>
    </row>
    <row r="56" spans="1:20" ht="12.75">
      <c r="A56" s="490" t="s">
        <v>1167</v>
      </c>
      <c r="B56" s="427" t="s">
        <v>378</v>
      </c>
      <c r="C56" s="381">
        <f>SUMIF(L_12MonLightsTariffRateCategory,MiscData!$X$5&amp;$B56,L_12MonLights_Count_Total)+SUMIF(L_12MonLightsTariffRateCategory,MiscData!$X$5&amp;$B56,L_12MonLights_Count_OutOfPeriod)</f>
        <v>173</v>
      </c>
      <c r="D56" s="422">
        <f>SUMIF(L_LightingRates_Tariff_Rate_Category,MiscData!$X$5&amp;$B56,L_LightingRates_UnitCharge)</f>
        <v>22.32</v>
      </c>
      <c r="E56" s="389">
        <f t="shared" si="8"/>
        <v>3861</v>
      </c>
      <c r="F56" s="400"/>
      <c r="G56" s="386"/>
      <c r="H56" s="389"/>
      <c r="I56" s="547"/>
      <c r="L56" s="506"/>
      <c r="M56" s="548"/>
      <c r="N56" s="547"/>
      <c r="O56" s="378"/>
      <c r="P56" s="378"/>
      <c r="Q56" s="378"/>
      <c r="R56" s="504"/>
      <c r="T56" s="505"/>
    </row>
    <row r="57" spans="1:20" ht="12.75">
      <c r="A57" s="421"/>
      <c r="B57" s="378"/>
      <c r="C57" s="378"/>
      <c r="D57" s="379"/>
      <c r="E57" s="378"/>
      <c r="F57" s="379"/>
      <c r="G57" s="517"/>
      <c r="H57" s="389"/>
    </row>
    <row r="58" spans="1:20" ht="12.75">
      <c r="A58" s="490" t="s">
        <v>1168</v>
      </c>
      <c r="B58" s="427" t="s">
        <v>337</v>
      </c>
      <c r="C58" s="381">
        <f>SUMIF(L_12MonLightsTariffRateCategory,MiscData!$X$5&amp;$B58,L_12MonLights_Count_Total)+SUMIF(L_12MonLightsTariffRateCategory,MiscData!$X$5&amp;$B58,L_12MonLights_Count_OutOfPeriod)</f>
        <v>637</v>
      </c>
      <c r="D58" s="422">
        <f>SUMIF(L_LightingRates_Tariff_Rate_Category,MiscData!$X$5&amp;$B58,L_LightingRates_UnitCharge)</f>
        <v>29.889999999999997</v>
      </c>
      <c r="E58" s="389">
        <f>ROUND($C58*$D58,0)</f>
        <v>19040</v>
      </c>
      <c r="F58" s="400"/>
      <c r="G58" s="386"/>
      <c r="H58" s="389"/>
      <c r="I58" s="547"/>
      <c r="L58" s="506"/>
      <c r="M58" s="548"/>
      <c r="N58" s="547"/>
      <c r="O58" s="378"/>
      <c r="P58" s="378"/>
      <c r="Q58" s="378"/>
      <c r="R58" s="504"/>
      <c r="T58" s="505"/>
    </row>
    <row r="59" spans="1:20" ht="12.75">
      <c r="A59" s="490" t="s">
        <v>1187</v>
      </c>
      <c r="B59" s="427" t="s">
        <v>338</v>
      </c>
      <c r="C59" s="381">
        <f>SUMIF(L_12MonLightsTariffRateCategory,MiscData!$X$5&amp;$B59,L_12MonLights_Count_Total)+SUMIF(L_12MonLightsTariffRateCategory,MiscData!$X$5&amp;$B59,L_12MonLights_Count_OutOfPeriod)</f>
        <v>2114</v>
      </c>
      <c r="D59" s="422">
        <f>SUMIF(L_LightingRates_Tariff_Rate_Category,MiscData!$X$5&amp;$B59,L_LightingRates_UnitCharge)</f>
        <v>32.860000000000007</v>
      </c>
      <c r="E59" s="389">
        <f>ROUND($C59*$D59,0)</f>
        <v>69466</v>
      </c>
      <c r="F59" s="400"/>
      <c r="G59" s="386"/>
      <c r="H59" s="389"/>
      <c r="I59" s="547"/>
      <c r="L59" s="506"/>
      <c r="M59" s="548"/>
      <c r="N59" s="547"/>
      <c r="O59" s="378"/>
      <c r="P59" s="378"/>
      <c r="Q59" s="378"/>
      <c r="R59" s="504"/>
      <c r="T59" s="505"/>
    </row>
    <row r="60" spans="1:20" ht="12.75">
      <c r="A60" s="490" t="s">
        <v>1169</v>
      </c>
      <c r="B60" s="427" t="s">
        <v>339</v>
      </c>
      <c r="C60" s="381">
        <f>SUMIF(L_12MonLightsTariffRateCategory,MiscData!$X$5&amp;$B60,L_12MonLights_Count_Total)+SUMIF(L_12MonLightsTariffRateCategory,MiscData!$X$5&amp;$B60,L_12MonLights_Count_OutOfPeriod)</f>
        <v>4470</v>
      </c>
      <c r="D60" s="422">
        <f>SUMIF(L_LightingRates_Tariff_Rate_Category,MiscData!$X$5&amp;$B60,L_LightingRates_UnitCharge)</f>
        <v>38.389999999999993</v>
      </c>
      <c r="E60" s="389">
        <f>ROUND($C60*$D60,0)</f>
        <v>171603</v>
      </c>
      <c r="F60" s="400"/>
      <c r="G60" s="386"/>
      <c r="H60" s="389"/>
      <c r="I60" s="547"/>
      <c r="L60" s="506"/>
      <c r="M60" s="548"/>
      <c r="N60" s="547"/>
      <c r="O60" s="378"/>
      <c r="P60" s="378"/>
      <c r="Q60" s="378"/>
      <c r="R60" s="504"/>
      <c r="T60" s="505"/>
    </row>
    <row r="61" spans="1:20" ht="12.75">
      <c r="A61" s="490"/>
      <c r="B61" s="427"/>
      <c r="C61" s="381"/>
      <c r="D61" s="422"/>
      <c r="E61" s="422"/>
      <c r="F61" s="379"/>
      <c r="G61" s="517"/>
      <c r="H61" s="389"/>
      <c r="I61" s="547"/>
      <c r="L61" s="506"/>
      <c r="O61" s="378"/>
      <c r="P61" s="378"/>
      <c r="Q61" s="378"/>
      <c r="T61" s="505"/>
    </row>
    <row r="62" spans="1:20" ht="12.75">
      <c r="A62" s="490"/>
      <c r="B62" s="427"/>
      <c r="C62" s="381"/>
      <c r="D62" s="422"/>
      <c r="E62" s="422"/>
      <c r="F62" s="379"/>
      <c r="G62" s="517"/>
      <c r="H62" s="389"/>
      <c r="I62" s="547"/>
      <c r="L62" s="506"/>
      <c r="O62" s="378"/>
      <c r="P62" s="378"/>
      <c r="Q62" s="378"/>
      <c r="T62" s="505"/>
    </row>
    <row r="63" spans="1:20" ht="12.75">
      <c r="A63" s="490"/>
      <c r="B63" s="427"/>
      <c r="C63" s="381"/>
      <c r="D63" s="422"/>
      <c r="E63" s="422"/>
      <c r="F63" s="379"/>
      <c r="G63" s="517"/>
      <c r="H63" s="389"/>
      <c r="I63" s="547"/>
      <c r="L63" s="506"/>
      <c r="O63" s="378"/>
      <c r="P63" s="378"/>
      <c r="Q63" s="378"/>
      <c r="T63" s="505"/>
    </row>
    <row r="64" spans="1:20" s="329" customFormat="1" ht="12.75">
      <c r="A64" s="498" t="s">
        <v>1230</v>
      </c>
      <c r="F64" s="499" t="str">
        <f>'Sch M-1.3-pg 1'!$J$1</f>
        <v>Schedule M-1.3-E</v>
      </c>
      <c r="G64" s="415"/>
      <c r="H64" s="415"/>
    </row>
    <row r="65" spans="1:20" s="329" customFormat="1" ht="12.75">
      <c r="A65" s="500" t="s">
        <v>1231</v>
      </c>
      <c r="F65" s="499" t="str">
        <f>"Page "&amp;J65&amp;" of "&amp;K65</f>
        <v>Page 16 of 19</v>
      </c>
      <c r="G65" s="415"/>
      <c r="H65" s="415"/>
      <c r="J65" s="329">
        <f>J27+1</f>
        <v>16</v>
      </c>
      <c r="K65" s="329">
        <f>'Sch M-1.3 pgs 14-19'!$K$178</f>
        <v>19</v>
      </c>
    </row>
    <row r="66" spans="1:20" s="329" customFormat="1" ht="12.75">
      <c r="A66" s="500" t="s">
        <v>1223</v>
      </c>
      <c r="F66" s="501" t="str">
        <f>'Sch M-1.3-pg 1'!$J$3</f>
        <v>Witness:  M.J. Blake</v>
      </c>
      <c r="G66" s="415"/>
      <c r="H66" s="415"/>
    </row>
    <row r="67" spans="1:20" s="329" customFormat="1" ht="12.75">
      <c r="A67" s="502"/>
      <c r="B67" s="378"/>
      <c r="C67" s="400"/>
      <c r="D67" s="416"/>
      <c r="E67" s="378"/>
      <c r="F67" s="378"/>
      <c r="G67" s="719"/>
      <c r="H67" s="720"/>
      <c r="I67" s="400"/>
      <c r="J67" s="417"/>
      <c r="K67" s="417"/>
    </row>
    <row r="68" spans="1:20" ht="12.75">
      <c r="A68" s="560"/>
      <c r="B68" s="512"/>
      <c r="C68" s="508" t="s">
        <v>885</v>
      </c>
      <c r="D68" s="508" t="s">
        <v>888</v>
      </c>
      <c r="E68" s="508" t="s">
        <v>1250</v>
      </c>
      <c r="F68" s="561"/>
      <c r="G68" s="417"/>
      <c r="H68" s="417"/>
    </row>
    <row r="69" spans="1:20" ht="12.75">
      <c r="A69" s="562"/>
      <c r="B69" s="563"/>
      <c r="C69" s="514" t="s">
        <v>1249</v>
      </c>
      <c r="D69" s="510" t="s">
        <v>101</v>
      </c>
      <c r="E69" s="509" t="s">
        <v>119</v>
      </c>
      <c r="F69" s="564"/>
      <c r="G69" s="417"/>
      <c r="H69" s="417"/>
      <c r="O69" s="506"/>
    </row>
    <row r="70" spans="1:20" ht="12.75">
      <c r="A70" s="525" t="s">
        <v>728</v>
      </c>
      <c r="B70" s="378"/>
      <c r="C70" s="378"/>
      <c r="D70" s="379"/>
      <c r="E70" s="378"/>
      <c r="F70" s="379"/>
      <c r="G70" s="517"/>
      <c r="H70" s="517"/>
    </row>
    <row r="71" spans="1:20" ht="12.75">
      <c r="A71" s="421" t="s">
        <v>1350</v>
      </c>
      <c r="B71" s="427"/>
      <c r="C71" s="381"/>
      <c r="D71" s="422"/>
      <c r="E71" s="382"/>
      <c r="F71" s="400"/>
      <c r="G71" s="386"/>
      <c r="H71" s="389"/>
      <c r="I71" s="547"/>
      <c r="L71" s="506"/>
      <c r="O71" s="378"/>
      <c r="P71" s="378"/>
      <c r="Q71" s="378"/>
      <c r="R71" s="504"/>
      <c r="T71" s="505"/>
    </row>
    <row r="72" spans="1:20" ht="12.75">
      <c r="A72" s="549" t="s">
        <v>1203</v>
      </c>
      <c r="B72" s="427"/>
      <c r="C72" s="381"/>
      <c r="D72" s="422"/>
      <c r="E72" s="382"/>
      <c r="F72" s="400"/>
      <c r="G72" s="386"/>
      <c r="H72" s="389"/>
      <c r="I72" s="547"/>
      <c r="L72" s="506"/>
      <c r="O72" s="378"/>
      <c r="P72" s="378"/>
      <c r="Q72" s="378"/>
      <c r="R72" s="504"/>
      <c r="T72" s="505"/>
    </row>
    <row r="73" spans="1:20" ht="12.75">
      <c r="A73" s="493" t="s">
        <v>143</v>
      </c>
      <c r="B73" s="427"/>
      <c r="C73" s="381"/>
      <c r="D73" s="422"/>
      <c r="E73" s="382"/>
      <c r="F73" s="400"/>
      <c r="G73" s="386"/>
      <c r="H73" s="431"/>
      <c r="I73" s="547"/>
      <c r="L73" s="506"/>
      <c r="O73" s="378"/>
      <c r="P73" s="378"/>
      <c r="Q73" s="378"/>
      <c r="R73" s="504"/>
      <c r="T73" s="505"/>
    </row>
    <row r="74" spans="1:20" ht="12.75">
      <c r="A74" s="490" t="s">
        <v>1251</v>
      </c>
      <c r="B74" s="427" t="s">
        <v>377</v>
      </c>
      <c r="C74" s="381">
        <f>SUMIF(L_12MonLightsTariffRateCategory,MiscData!$X$5&amp;$B74,L_12MonLights_Count_Total)+SUMIF(L_12MonLightsTariffRateCategory,MiscData!$X$5&amp;$B74,L_12MonLights_Count_OutOfPeriod)</f>
        <v>417</v>
      </c>
      <c r="D74" s="422">
        <f>SUMIF(L_LightingRates_Tariff_Rate_Category,MiscData!$X$5&amp;$B74,L_LightingRates_UnitCharge)</f>
        <v>23.89</v>
      </c>
      <c r="E74" s="389">
        <f t="shared" ref="E74:E75" si="9">ROUND($C74*$D74,0)</f>
        <v>9962</v>
      </c>
      <c r="F74" s="379"/>
      <c r="G74" s="517"/>
      <c r="H74" s="389"/>
      <c r="I74" s="547"/>
      <c r="L74" s="506"/>
      <c r="M74" s="548"/>
      <c r="N74" s="547"/>
      <c r="O74" s="378"/>
      <c r="P74" s="378"/>
      <c r="Q74" s="378"/>
      <c r="T74" s="505"/>
    </row>
    <row r="75" spans="1:20" ht="12.75">
      <c r="A75" s="490" t="s">
        <v>1252</v>
      </c>
      <c r="B75" s="427" t="s">
        <v>737</v>
      </c>
      <c r="C75" s="381">
        <f>SUMIF(L_12MonLightsTariffRateCategory,MiscData!$X$5&amp;$B75,L_12MonLights_Count_Total)+SUMIF(L_12MonLightsTariffRateCategory,MiscData!$X$5&amp;$B75,L_12MonLights_Count_OutOfPeriod)</f>
        <v>48</v>
      </c>
      <c r="D75" s="422">
        <f>SUMIF(L_LightingRates_Tariff_Rate_Category,MiscData!$X$5&amp;$B75,L_LightingRates_UnitCharge)</f>
        <v>24.9</v>
      </c>
      <c r="E75" s="389">
        <f t="shared" si="9"/>
        <v>1195</v>
      </c>
      <c r="F75" s="400"/>
      <c r="G75" s="382"/>
      <c r="H75" s="389"/>
      <c r="I75" s="547"/>
      <c r="L75" s="506"/>
      <c r="M75" s="548"/>
      <c r="N75" s="547"/>
      <c r="O75" s="378"/>
      <c r="P75" s="378"/>
      <c r="Q75" s="378"/>
      <c r="R75" s="378"/>
      <c r="S75" s="378"/>
      <c r="T75" s="505"/>
    </row>
    <row r="76" spans="1:20" ht="12.75">
      <c r="A76" s="546"/>
      <c r="B76" s="378"/>
      <c r="C76" s="378"/>
      <c r="D76" s="389"/>
      <c r="E76" s="389"/>
      <c r="F76" s="400"/>
      <c r="G76" s="386"/>
      <c r="H76" s="389"/>
      <c r="I76" s="547"/>
      <c r="O76" s="378"/>
      <c r="P76" s="378"/>
      <c r="Q76" s="378"/>
      <c r="R76" s="378"/>
      <c r="S76" s="378"/>
      <c r="T76" s="505"/>
    </row>
    <row r="77" spans="1:20" ht="12.75">
      <c r="A77" s="546" t="s">
        <v>914</v>
      </c>
      <c r="B77" s="378"/>
      <c r="C77" s="378"/>
      <c r="D77" s="387" t="s">
        <v>123</v>
      </c>
      <c r="E77" s="428"/>
      <c r="F77" s="400"/>
      <c r="G77" s="388"/>
      <c r="H77" s="389"/>
      <c r="I77" s="547"/>
      <c r="O77" s="378"/>
      <c r="P77" s="378"/>
      <c r="Q77" s="378"/>
      <c r="R77" s="550"/>
      <c r="T77" s="505"/>
    </row>
    <row r="78" spans="1:20" ht="12.75">
      <c r="A78" s="490" t="s">
        <v>1170</v>
      </c>
      <c r="B78" s="427" t="s">
        <v>657</v>
      </c>
      <c r="C78" s="381">
        <f>SUMIF(L_12MonLightsTariffRateCategory,MiscData!$X$5&amp;$B78,L_12MonLights_Count_Total)+SUMIF(L_12MonLightsTariffRateCategory,MiscData!$X$5&amp;$B78,L_12MonLights_Count_OutOfPeriod)</f>
        <v>0</v>
      </c>
      <c r="D78" s="422">
        <f>SUMIF(L_LightingRates_Tariff_Rate_Category,MiscData!$X$5&amp;$B78,L_LightingRates_UnitCharge)</f>
        <v>14.06</v>
      </c>
      <c r="E78" s="389">
        <f t="shared" ref="E78:E83" si="10">ROUND($C78*$D78,0)</f>
        <v>0</v>
      </c>
      <c r="F78" s="400"/>
      <c r="G78" s="386"/>
      <c r="H78" s="389"/>
      <c r="I78" s="547"/>
      <c r="L78" s="506"/>
      <c r="M78" s="548"/>
      <c r="N78" s="547"/>
      <c r="O78" s="378"/>
      <c r="P78" s="378"/>
      <c r="Q78" s="378"/>
      <c r="R78" s="504"/>
      <c r="T78" s="505"/>
    </row>
    <row r="79" spans="1:20" ht="12.75">
      <c r="A79" s="490" t="s">
        <v>1171</v>
      </c>
      <c r="B79" s="427" t="s">
        <v>659</v>
      </c>
      <c r="C79" s="381">
        <f>SUMIF(L_12MonLightsTariffRateCategory,MiscData!$X$5&amp;$B79,L_12MonLights_Count_Total)+SUMIF(L_12MonLightsTariffRateCategory,MiscData!$X$5&amp;$B79,L_12MonLights_Count_OutOfPeriod)</f>
        <v>211</v>
      </c>
      <c r="D79" s="422">
        <f>SUMIF(L_LightingRates_Tariff_Rate_Category,MiscData!$X$5&amp;$B79,L_LightingRates_UnitCharge)</f>
        <v>23.83</v>
      </c>
      <c r="E79" s="389">
        <f t="shared" si="10"/>
        <v>5028</v>
      </c>
      <c r="F79" s="400"/>
      <c r="G79" s="386"/>
      <c r="H79" s="389"/>
      <c r="I79" s="547"/>
      <c r="L79" s="506"/>
      <c r="M79" s="548"/>
      <c r="N79" s="547"/>
      <c r="O79" s="378"/>
      <c r="P79" s="378"/>
      <c r="Q79" s="378"/>
      <c r="R79" s="504"/>
      <c r="T79" s="505"/>
    </row>
    <row r="80" spans="1:20" ht="12.75">
      <c r="A80" s="490" t="s">
        <v>1172</v>
      </c>
      <c r="B80" s="427" t="s">
        <v>399</v>
      </c>
      <c r="C80" s="381">
        <f>SUMIF(L_12MonLightsTariffRateCategory,MiscData!$X$5&amp;$B80,L_12MonLights_Count_Total)+SUMIF(L_12MonLightsTariffRateCategory,MiscData!$X$5&amp;$B80,L_12MonLights_Count_OutOfPeriod)</f>
        <v>48</v>
      </c>
      <c r="D80" s="422">
        <f>SUMIF(L_LightingRates_Tariff_Rate_Category,MiscData!$X$5&amp;$B80,L_LightingRates_UnitCharge)</f>
        <v>20.46</v>
      </c>
      <c r="E80" s="389">
        <f t="shared" si="10"/>
        <v>982</v>
      </c>
      <c r="F80" s="400"/>
      <c r="G80" s="386"/>
      <c r="H80" s="389"/>
      <c r="I80" s="547"/>
      <c r="L80" s="506"/>
      <c r="M80" s="548"/>
      <c r="N80" s="547"/>
      <c r="O80" s="378"/>
      <c r="P80" s="378"/>
      <c r="Q80" s="378"/>
      <c r="R80" s="504"/>
      <c r="T80" s="505"/>
    </row>
    <row r="81" spans="1:20" ht="12.75">
      <c r="A81" s="490" t="s">
        <v>1173</v>
      </c>
      <c r="B81" s="427" t="s">
        <v>372</v>
      </c>
      <c r="C81" s="381">
        <f>SUMIF(L_12MonLightsTariffRateCategory,MiscData!$X$5&amp;$B81,L_12MonLights_Count_Total)+SUMIF(L_12MonLightsTariffRateCategory,MiscData!$X$5&amp;$B81,L_12MonLights_Count_OutOfPeriod)</f>
        <v>488</v>
      </c>
      <c r="D81" s="422">
        <f>SUMIF(L_LightingRates_Tariff_Rate_Category,MiscData!$X$5&amp;$B81,L_LightingRates_UnitCharge)</f>
        <v>30.21</v>
      </c>
      <c r="E81" s="389">
        <f t="shared" si="10"/>
        <v>14742</v>
      </c>
      <c r="F81" s="400"/>
      <c r="G81" s="386"/>
      <c r="H81" s="389"/>
      <c r="I81" s="547"/>
      <c r="L81" s="506"/>
      <c r="M81" s="548"/>
      <c r="N81" s="547"/>
      <c r="O81" s="378"/>
      <c r="P81" s="378"/>
      <c r="Q81" s="378"/>
      <c r="R81" s="504"/>
      <c r="T81" s="505"/>
    </row>
    <row r="82" spans="1:20" ht="12.75">
      <c r="A82" s="490" t="s">
        <v>1182</v>
      </c>
      <c r="B82" s="427" t="s">
        <v>373</v>
      </c>
      <c r="C82" s="381">
        <f>SUMIF(L_12MonLightsTariffRateCategory,MiscData!$X$5&amp;$B82,L_12MonLights_Count_Total)+SUMIF(L_12MonLightsTariffRateCategory,MiscData!$X$5&amp;$B82,L_12MonLights_Count_OutOfPeriod)</f>
        <v>24</v>
      </c>
      <c r="D82" s="422">
        <f>SUMIF(L_LightingRates_Tariff_Rate_Category,MiscData!$X$5&amp;$B82,L_LightingRates_UnitCharge)</f>
        <v>42.56</v>
      </c>
      <c r="E82" s="389">
        <f t="shared" si="10"/>
        <v>1021</v>
      </c>
      <c r="F82" s="400"/>
      <c r="G82" s="386"/>
      <c r="H82" s="389"/>
      <c r="I82" s="547"/>
      <c r="L82" s="506"/>
      <c r="M82" s="548"/>
      <c r="N82" s="547"/>
      <c r="O82" s="378"/>
      <c r="P82" s="378"/>
      <c r="Q82" s="378"/>
      <c r="R82" s="504"/>
      <c r="T82" s="505"/>
    </row>
    <row r="83" spans="1:20" ht="12.75">
      <c r="A83" s="490" t="s">
        <v>1183</v>
      </c>
      <c r="B83" s="427" t="s">
        <v>374</v>
      </c>
      <c r="C83" s="381">
        <f>SUMIF(L_12MonLightsTariffRateCategory,MiscData!$X$5&amp;$B83,L_12MonLights_Count_Total)+SUMIF(L_12MonLightsTariffRateCategory,MiscData!$X$5&amp;$B83,L_12MonLights_Count_OutOfPeriod)</f>
        <v>156</v>
      </c>
      <c r="D83" s="422">
        <f>SUMIF(L_LightingRates_Tariff_Rate_Category,MiscData!$X$5&amp;$B83,L_LightingRates_UnitCharge)</f>
        <v>52.31</v>
      </c>
      <c r="E83" s="389">
        <f t="shared" si="10"/>
        <v>8160</v>
      </c>
      <c r="F83" s="400"/>
      <c r="G83" s="386"/>
      <c r="H83" s="389"/>
      <c r="I83" s="547"/>
      <c r="L83" s="506"/>
      <c r="M83" s="548"/>
      <c r="N83" s="547"/>
      <c r="O83" s="378"/>
      <c r="P83" s="378"/>
      <c r="Q83" s="378"/>
      <c r="R83" s="504"/>
      <c r="T83" s="505"/>
    </row>
    <row r="84" spans="1:20" ht="12.75">
      <c r="A84" s="490"/>
      <c r="B84" s="427"/>
      <c r="C84" s="381"/>
      <c r="D84" s="422"/>
      <c r="E84" s="382"/>
      <c r="F84" s="400"/>
      <c r="G84" s="386"/>
      <c r="H84" s="389"/>
      <c r="I84" s="547"/>
      <c r="L84" s="506"/>
      <c r="O84" s="378"/>
      <c r="P84" s="378"/>
      <c r="Q84" s="378"/>
      <c r="R84" s="504"/>
      <c r="T84" s="505"/>
    </row>
    <row r="85" spans="1:20" ht="12.75">
      <c r="A85" s="491" t="s">
        <v>1132</v>
      </c>
      <c r="B85" s="427"/>
      <c r="C85" s="381"/>
      <c r="D85" s="422"/>
      <c r="E85" s="382"/>
      <c r="F85" s="400"/>
      <c r="G85" s="386"/>
      <c r="H85" s="389"/>
      <c r="I85" s="547"/>
      <c r="L85" s="506"/>
      <c r="O85" s="551"/>
      <c r="P85" s="551"/>
      <c r="Q85" s="551"/>
      <c r="R85" s="504"/>
      <c r="T85" s="505"/>
    </row>
    <row r="86" spans="1:20" ht="12.75">
      <c r="A86" s="492" t="s">
        <v>1253</v>
      </c>
      <c r="B86" s="438" t="s">
        <v>665</v>
      </c>
      <c r="C86" s="385">
        <f t="shared" ref="C86:C91" si="11">SUMIFS(L_12MonPoles_Count,L_12MonPoles_RateCategory,B86,L_12MonPoles_RateClass,"LS ")+SUMIFS(L_12MonPoles_Count_Adj,L_12MonPoles_RateCategory,B86,L_12MonPoles_RateClass,"LS ")</f>
        <v>62547</v>
      </c>
      <c r="D86" s="422">
        <f>SUMIF(PoleRates!$E$4:$E$104,MiscData!$X$5&amp;B86,PoleRates!$F$4:$F$104)</f>
        <v>2.06</v>
      </c>
      <c r="E86" s="389">
        <f t="shared" ref="E86:E91" si="12">ROUND($C86*$D86,0)</f>
        <v>128847</v>
      </c>
      <c r="F86" s="400"/>
      <c r="G86" s="386"/>
      <c r="H86" s="389"/>
      <c r="I86" s="547"/>
      <c r="L86" s="506"/>
      <c r="O86" s="378"/>
      <c r="P86" s="378"/>
      <c r="Q86" s="378"/>
      <c r="R86" s="504"/>
      <c r="T86" s="505"/>
    </row>
    <row r="87" spans="1:20" ht="12.75">
      <c r="A87" s="492" t="s">
        <v>1254</v>
      </c>
      <c r="B87" s="438" t="s">
        <v>679</v>
      </c>
      <c r="C87" s="385">
        <f t="shared" si="11"/>
        <v>5073</v>
      </c>
      <c r="D87" s="422">
        <f>SUMIF(PoleRates!$E$4:$E$104,MiscData!$X$5&amp;B87,PoleRates!$F$4:$F$104)</f>
        <v>11.31</v>
      </c>
      <c r="E87" s="389">
        <f t="shared" si="12"/>
        <v>57376</v>
      </c>
      <c r="F87" s="400"/>
      <c r="G87" s="386"/>
      <c r="H87" s="389"/>
      <c r="I87" s="547"/>
      <c r="L87" s="506"/>
      <c r="O87" s="378"/>
      <c r="P87" s="378"/>
      <c r="Q87" s="378"/>
      <c r="R87" s="504"/>
      <c r="T87" s="505"/>
    </row>
    <row r="88" spans="1:20" ht="12.75">
      <c r="A88" s="492" t="s">
        <v>1133</v>
      </c>
      <c r="B88" s="438" t="s">
        <v>666</v>
      </c>
      <c r="C88" s="385">
        <f t="shared" si="11"/>
        <v>0</v>
      </c>
      <c r="D88" s="422">
        <f>SUMIF(PoleRates!$E$4:$E$104,MiscData!$X$5&amp;B88,PoleRates!$F$4:$F$104)</f>
        <v>10.81</v>
      </c>
      <c r="E88" s="389">
        <f t="shared" si="12"/>
        <v>0</v>
      </c>
      <c r="F88" s="400"/>
      <c r="G88" s="386"/>
      <c r="H88" s="389"/>
      <c r="I88" s="547"/>
      <c r="L88" s="506"/>
      <c r="O88" s="378"/>
      <c r="P88" s="378"/>
      <c r="Q88" s="378"/>
      <c r="R88" s="504"/>
      <c r="T88" s="505"/>
    </row>
    <row r="89" spans="1:20" ht="12.75">
      <c r="A89" s="492" t="s">
        <v>1134</v>
      </c>
      <c r="B89" s="438" t="s">
        <v>667</v>
      </c>
      <c r="C89" s="385">
        <f t="shared" si="11"/>
        <v>36</v>
      </c>
      <c r="D89" s="422">
        <f>SUMIF(PoleRates!$E$4:$E$104,MiscData!$X$5&amp;B89,PoleRates!$F$4:$F$104)</f>
        <v>12.9</v>
      </c>
      <c r="E89" s="389">
        <f t="shared" si="12"/>
        <v>464</v>
      </c>
      <c r="F89" s="400"/>
      <c r="G89" s="386"/>
      <c r="H89" s="389"/>
      <c r="I89" s="547"/>
      <c r="L89" s="506"/>
      <c r="O89" s="378"/>
      <c r="P89" s="378"/>
      <c r="Q89" s="378"/>
      <c r="R89" s="504"/>
      <c r="T89" s="505"/>
    </row>
    <row r="90" spans="1:20" ht="12.75">
      <c r="A90" s="492" t="s">
        <v>1135</v>
      </c>
      <c r="B90" s="438" t="s">
        <v>671</v>
      </c>
      <c r="C90" s="385">
        <f t="shared" si="11"/>
        <v>156</v>
      </c>
      <c r="D90" s="382">
        <f>SUMIF(PoleRates!$E$4:$E$104,MiscData!$X$5&amp;B90,PoleRates!$F$4:$F$104)</f>
        <v>3.47</v>
      </c>
      <c r="E90" s="389">
        <f t="shared" si="12"/>
        <v>541</v>
      </c>
      <c r="F90" s="400"/>
      <c r="G90" s="386"/>
      <c r="H90" s="389"/>
      <c r="I90" s="547"/>
      <c r="L90" s="506"/>
      <c r="O90" s="378"/>
      <c r="P90" s="378"/>
      <c r="Q90" s="378"/>
      <c r="R90" s="504"/>
      <c r="T90" s="505"/>
    </row>
    <row r="91" spans="1:20" ht="12.75">
      <c r="A91" s="492" t="s">
        <v>1136</v>
      </c>
      <c r="B91" s="438" t="s">
        <v>672</v>
      </c>
      <c r="C91" s="385">
        <f t="shared" si="11"/>
        <v>872</v>
      </c>
      <c r="D91" s="382">
        <f>SUMIF(PoleRates!$E$4:$E$104,MiscData!$X$5&amp;B91,PoleRates!$F$4:$F$104)</f>
        <v>3.73</v>
      </c>
      <c r="E91" s="389">
        <f t="shared" si="12"/>
        <v>3253</v>
      </c>
      <c r="F91" s="400"/>
      <c r="G91" s="386"/>
      <c r="H91" s="389"/>
      <c r="I91" s="547"/>
      <c r="L91" s="506"/>
      <c r="O91" s="378"/>
      <c r="P91" s="378"/>
      <c r="Q91" s="378"/>
      <c r="R91" s="504"/>
      <c r="T91" s="505"/>
    </row>
    <row r="92" spans="1:20" ht="12.75">
      <c r="A92" s="492"/>
      <c r="B92" s="427"/>
      <c r="C92" s="381"/>
      <c r="D92" s="422"/>
      <c r="E92" s="382"/>
      <c r="F92" s="400"/>
      <c r="G92" s="386"/>
      <c r="H92" s="389"/>
      <c r="I92" s="547"/>
      <c r="L92" s="506"/>
      <c r="O92" s="378"/>
      <c r="P92" s="378"/>
      <c r="Q92" s="378"/>
      <c r="R92" s="504"/>
      <c r="T92" s="505"/>
    </row>
    <row r="93" spans="1:20" ht="12.75">
      <c r="A93" s="552" t="s">
        <v>760</v>
      </c>
      <c r="B93" s="429"/>
      <c r="C93" s="381"/>
      <c r="D93" s="422"/>
      <c r="E93" s="380">
        <f>SUM('12MonLights'!L886:L887)-6+5</f>
        <v>3450.9499999999412</v>
      </c>
      <c r="F93" s="400"/>
      <c r="G93" s="386"/>
      <c r="H93" s="389"/>
      <c r="I93" s="547"/>
      <c r="J93" s="504"/>
      <c r="L93" s="506"/>
      <c r="O93" s="378"/>
      <c r="P93" s="378"/>
      <c r="Q93" s="378"/>
      <c r="R93" s="504"/>
      <c r="T93" s="505"/>
    </row>
    <row r="94" spans="1:20" ht="12.75">
      <c r="A94" s="552"/>
      <c r="B94" s="429"/>
      <c r="C94" s="381"/>
      <c r="D94" s="422"/>
      <c r="E94" s="380"/>
      <c r="F94" s="400"/>
      <c r="G94" s="386"/>
      <c r="H94" s="389"/>
      <c r="I94" s="547"/>
      <c r="J94" s="504"/>
      <c r="L94" s="506"/>
      <c r="O94" s="378"/>
      <c r="P94" s="378"/>
      <c r="Q94" s="378"/>
      <c r="R94" s="504"/>
      <c r="T94" s="505"/>
    </row>
    <row r="95" spans="1:20" ht="15">
      <c r="A95" s="523" t="s">
        <v>735</v>
      </c>
      <c r="B95" s="378"/>
      <c r="C95" s="430">
        <f>SUM(C11:C23,C36:C60,C74:C83)</f>
        <v>529380</v>
      </c>
      <c r="D95" s="391"/>
      <c r="E95" s="391">
        <f>SUM(E11:E23,E36:E60,E74:E93)</f>
        <v>9222310.9499999993</v>
      </c>
      <c r="F95" s="524"/>
      <c r="G95" s="393"/>
      <c r="H95" s="389"/>
      <c r="I95" s="547"/>
      <c r="J95" s="504"/>
      <c r="L95" s="506"/>
      <c r="O95" s="378"/>
      <c r="P95" s="378"/>
      <c r="Q95" s="378"/>
      <c r="R95" s="504"/>
      <c r="T95" s="505"/>
    </row>
    <row r="96" spans="1:20" ht="15">
      <c r="A96" s="435"/>
      <c r="B96" s="378"/>
      <c r="C96" s="430"/>
      <c r="D96" s="391"/>
      <c r="E96" s="391"/>
      <c r="F96" s="524"/>
      <c r="G96" s="393"/>
      <c r="H96" s="389"/>
      <c r="I96" s="547"/>
      <c r="J96" s="504"/>
      <c r="L96" s="506"/>
      <c r="O96" s="378"/>
      <c r="P96" s="378"/>
      <c r="Q96" s="378"/>
      <c r="R96" s="504"/>
      <c r="T96" s="505"/>
    </row>
    <row r="97" spans="1:20" ht="12.75">
      <c r="A97" s="435"/>
      <c r="B97" s="378"/>
      <c r="C97" s="378"/>
      <c r="E97" s="398">
        <f>'Sch M-1.3-pg 1'!$J$56</f>
        <v>0.99062338916737591</v>
      </c>
      <c r="F97" s="397"/>
      <c r="H97" s="389"/>
      <c r="I97" s="547"/>
      <c r="L97" s="506"/>
      <c r="O97" s="378"/>
      <c r="P97" s="378"/>
      <c r="Q97" s="378"/>
      <c r="R97" s="504"/>
    </row>
    <row r="98" spans="1:20" ht="12.75">
      <c r="A98" s="435"/>
      <c r="B98" s="378"/>
      <c r="C98" s="378"/>
      <c r="D98" s="432"/>
      <c r="E98" s="432"/>
      <c r="F98" s="400"/>
      <c r="H98" s="389"/>
      <c r="I98" s="547"/>
      <c r="O98" s="378"/>
      <c r="P98" s="378"/>
      <c r="Q98" s="378"/>
      <c r="R98" s="504"/>
    </row>
    <row r="99" spans="1:20" ht="15">
      <c r="A99" s="525" t="s">
        <v>125</v>
      </c>
      <c r="B99" s="378"/>
      <c r="C99" s="378"/>
      <c r="E99" s="402">
        <f>E95/E97</f>
        <v>9309603.4788270034</v>
      </c>
      <c r="F99" s="400"/>
      <c r="H99" s="389"/>
      <c r="I99" s="547"/>
      <c r="O99" s="378"/>
      <c r="P99" s="378"/>
      <c r="Q99" s="378"/>
      <c r="R99" s="504"/>
    </row>
    <row r="100" spans="1:20" ht="12.75">
      <c r="A100" s="525"/>
      <c r="B100" s="378"/>
      <c r="C100" s="378"/>
      <c r="E100" s="380"/>
      <c r="F100" s="400"/>
      <c r="H100" s="389"/>
      <c r="I100" s="547"/>
      <c r="O100" s="378"/>
      <c r="P100" s="378"/>
      <c r="Q100" s="378"/>
      <c r="R100" s="378"/>
    </row>
    <row r="101" spans="1:20" ht="15">
      <c r="A101" s="525" t="s">
        <v>126</v>
      </c>
      <c r="B101" s="378"/>
      <c r="C101" s="378"/>
      <c r="D101" s="378"/>
      <c r="E101" s="423"/>
      <c r="F101" s="400"/>
      <c r="H101" s="389"/>
      <c r="I101" s="547"/>
      <c r="O101" s="378"/>
      <c r="P101" s="378"/>
      <c r="Q101" s="378"/>
    </row>
    <row r="102" spans="1:20" ht="12.75">
      <c r="A102" s="525" t="s">
        <v>127</v>
      </c>
      <c r="B102" s="378"/>
      <c r="C102" s="378"/>
      <c r="D102" s="378"/>
      <c r="E102" s="380">
        <f>'Sch M-1.3-pg 1'!$D$53</f>
        <v>-14841.36891250026</v>
      </c>
      <c r="F102" s="400"/>
      <c r="H102" s="389"/>
      <c r="I102" s="547"/>
      <c r="J102" s="506"/>
      <c r="O102" s="378"/>
      <c r="P102" s="378"/>
      <c r="Q102" s="378"/>
      <c r="R102" s="378"/>
    </row>
    <row r="103" spans="1:20" ht="12.75">
      <c r="A103" s="525" t="s">
        <v>129</v>
      </c>
      <c r="B103" s="378"/>
      <c r="C103" s="378"/>
      <c r="D103" s="378"/>
      <c r="E103" s="380">
        <f>'Sch M-1.3-pg 1'!$F$53</f>
        <v>275870.9737943465</v>
      </c>
      <c r="F103" s="400"/>
      <c r="H103" s="389"/>
      <c r="I103" s="547"/>
      <c r="J103" s="506"/>
      <c r="O103" s="378"/>
      <c r="P103" s="378"/>
      <c r="Q103" s="378"/>
      <c r="R103" s="378"/>
    </row>
    <row r="104" spans="1:20" ht="15">
      <c r="A104" s="527" t="s">
        <v>130</v>
      </c>
      <c r="B104" s="378"/>
      <c r="C104" s="378"/>
      <c r="D104" s="378"/>
      <c r="E104" s="391">
        <f>SUM(E102:E103)</f>
        <v>261029.60488184623</v>
      </c>
      <c r="F104" s="400"/>
      <c r="H104" s="389"/>
      <c r="I104" s="547"/>
      <c r="O104" s="378"/>
      <c r="P104" s="378"/>
      <c r="Q104" s="378"/>
      <c r="R104" s="504"/>
    </row>
    <row r="105" spans="1:20" ht="15">
      <c r="A105" s="527"/>
      <c r="B105" s="378"/>
      <c r="C105" s="378"/>
      <c r="D105" s="378"/>
      <c r="E105" s="423"/>
      <c r="F105" s="400"/>
      <c r="H105" s="389"/>
      <c r="I105" s="547"/>
      <c r="O105" s="378"/>
      <c r="P105" s="378"/>
      <c r="Q105" s="378"/>
      <c r="R105" s="504"/>
    </row>
    <row r="106" spans="1:20" ht="15">
      <c r="A106" s="527" t="s">
        <v>131</v>
      </c>
      <c r="B106" s="378"/>
      <c r="C106" s="378"/>
      <c r="D106" s="378"/>
      <c r="E106" s="404">
        <f>E104+E99</f>
        <v>9570633.0837088488</v>
      </c>
      <c r="F106" s="400"/>
      <c r="H106" s="389"/>
      <c r="I106" s="547"/>
      <c r="O106" s="378"/>
      <c r="P106" s="378"/>
      <c r="Q106" s="378"/>
      <c r="R106" s="378"/>
    </row>
    <row r="107" spans="1:20" ht="15">
      <c r="A107" s="527"/>
      <c r="B107" s="378"/>
      <c r="C107" s="378"/>
      <c r="D107" s="378"/>
      <c r="E107" s="404"/>
      <c r="F107" s="400"/>
      <c r="H107" s="389"/>
      <c r="I107" s="547"/>
      <c r="O107" s="378"/>
      <c r="P107" s="378"/>
      <c r="Q107" s="378"/>
      <c r="R107" s="378"/>
    </row>
    <row r="108" spans="1:20" ht="15">
      <c r="A108" s="421"/>
      <c r="B108" s="378"/>
      <c r="C108" s="378"/>
      <c r="D108" s="378"/>
      <c r="E108" s="423"/>
      <c r="F108" s="400"/>
      <c r="H108" s="389"/>
      <c r="I108" s="547"/>
      <c r="O108" s="378"/>
      <c r="P108" s="378"/>
      <c r="Q108" s="378"/>
      <c r="R108" s="378"/>
    </row>
    <row r="109" spans="1:20" ht="12.75">
      <c r="A109" s="435"/>
      <c r="B109" s="378"/>
      <c r="C109" s="387"/>
      <c r="D109" s="387"/>
      <c r="E109" s="387"/>
      <c r="F109" s="400"/>
      <c r="G109" s="388"/>
      <c r="H109" s="389"/>
      <c r="I109" s="547"/>
      <c r="J109" s="504"/>
      <c r="O109" s="378"/>
      <c r="P109" s="378"/>
      <c r="Q109" s="378"/>
      <c r="R109" s="504"/>
      <c r="T109" s="505"/>
    </row>
    <row r="110" spans="1:20" s="329" customFormat="1" ht="12.75">
      <c r="A110" s="498" t="s">
        <v>1230</v>
      </c>
      <c r="F110" s="499" t="str">
        <f>'Sch M-1.3-pg 1'!$J$1</f>
        <v>Schedule M-1.3-E</v>
      </c>
      <c r="G110" s="415"/>
      <c r="H110" s="415"/>
    </row>
    <row r="111" spans="1:20" s="329" customFormat="1" ht="12.75">
      <c r="A111" s="500" t="s">
        <v>1231</v>
      </c>
      <c r="F111" s="499" t="str">
        <f>"Page "&amp;J111&amp;" of "&amp;K111</f>
        <v>Page 17 of 19</v>
      </c>
      <c r="G111" s="415"/>
      <c r="H111" s="415"/>
      <c r="J111" s="329">
        <f>J65+1</f>
        <v>17</v>
      </c>
      <c r="K111" s="329">
        <f>'Sch M-1.3 pgs 14-19'!$K$178</f>
        <v>19</v>
      </c>
    </row>
    <row r="112" spans="1:20" s="329" customFormat="1" ht="12.75">
      <c r="A112" s="500" t="s">
        <v>1223</v>
      </c>
      <c r="F112" s="501" t="str">
        <f>'Sch M-1.3-pg 1'!$J$3</f>
        <v>Witness:  M.J. Blake</v>
      </c>
      <c r="G112" s="415"/>
      <c r="H112" s="415"/>
    </row>
    <row r="113" spans="1:18" s="329" customFormat="1" ht="12.75">
      <c r="A113" s="502"/>
      <c r="B113" s="378"/>
      <c r="C113" s="400"/>
      <c r="D113" s="416"/>
      <c r="E113" s="378"/>
      <c r="F113" s="378"/>
      <c r="G113" s="719"/>
      <c r="H113" s="720"/>
      <c r="I113" s="400"/>
      <c r="J113" s="417"/>
      <c r="K113" s="417"/>
    </row>
    <row r="114" spans="1:18" ht="12.75">
      <c r="A114" s="560"/>
      <c r="B114" s="512"/>
      <c r="C114" s="508" t="s">
        <v>885</v>
      </c>
      <c r="D114" s="508" t="s">
        <v>888</v>
      </c>
      <c r="E114" s="508" t="s">
        <v>1250</v>
      </c>
      <c r="F114" s="561"/>
      <c r="G114" s="417"/>
      <c r="H114" s="417"/>
    </row>
    <row r="115" spans="1:18" ht="12.75">
      <c r="A115" s="562"/>
      <c r="B115" s="563"/>
      <c r="C115" s="514" t="s">
        <v>1249</v>
      </c>
      <c r="D115" s="510" t="s">
        <v>101</v>
      </c>
      <c r="E115" s="509" t="s">
        <v>119</v>
      </c>
      <c r="F115" s="564"/>
      <c r="G115" s="417"/>
      <c r="H115" s="417"/>
      <c r="O115" s="506"/>
    </row>
    <row r="116" spans="1:18" ht="12.75">
      <c r="A116" s="525" t="s">
        <v>731</v>
      </c>
      <c r="B116" s="378"/>
      <c r="C116" s="378"/>
      <c r="D116" s="379"/>
      <c r="E116" s="378"/>
      <c r="F116" s="397"/>
      <c r="G116" s="399"/>
      <c r="H116" s="389"/>
      <c r="I116" s="547"/>
      <c r="M116" s="378"/>
      <c r="N116" s="378"/>
      <c r="O116" s="378"/>
      <c r="P116" s="504"/>
      <c r="R116" s="505"/>
    </row>
    <row r="117" spans="1:18" ht="12.75">
      <c r="A117" s="525" t="s">
        <v>1137</v>
      </c>
      <c r="B117" s="378"/>
      <c r="C117" s="378"/>
      <c r="D117" s="379"/>
      <c r="E117" s="378"/>
      <c r="F117" s="397"/>
      <c r="G117" s="399"/>
      <c r="H117" s="389"/>
      <c r="I117" s="547"/>
      <c r="M117" s="378"/>
      <c r="N117" s="378"/>
      <c r="O117" s="378"/>
      <c r="P117" s="504"/>
      <c r="R117" s="505"/>
    </row>
    <row r="118" spans="1:18" ht="12.75">
      <c r="A118" s="518" t="s">
        <v>145</v>
      </c>
      <c r="B118" s="378"/>
      <c r="C118" s="378"/>
      <c r="D118" s="379"/>
      <c r="E118" s="378"/>
      <c r="F118" s="400"/>
      <c r="G118" s="388"/>
      <c r="H118" s="389"/>
      <c r="I118" s="547"/>
      <c r="M118" s="378"/>
      <c r="N118" s="378"/>
      <c r="O118" s="378"/>
      <c r="P118" s="504"/>
      <c r="R118" s="505"/>
    </row>
    <row r="119" spans="1:18" ht="12.75">
      <c r="A119" s="493" t="s">
        <v>144</v>
      </c>
      <c r="B119" s="378"/>
      <c r="C119" s="378"/>
      <c r="D119" s="389"/>
      <c r="E119" s="389"/>
      <c r="F119" s="400"/>
      <c r="G119" s="388"/>
      <c r="H119" s="389"/>
      <c r="I119" s="547"/>
      <c r="M119" s="485"/>
      <c r="N119" s="485"/>
      <c r="O119" s="485"/>
    </row>
    <row r="120" spans="1:18" ht="12.75">
      <c r="A120" s="494" t="s">
        <v>1174</v>
      </c>
      <c r="B120" s="427" t="s">
        <v>252</v>
      </c>
      <c r="C120" s="381">
        <f>SUMIF(L_12MonLightsTariffRateCategory,MiscData!$X$5&amp;$B120,L_12MonLights_Count_Total)+SUMIF(L_12MonLightsTariffRateCategory,MiscData!$X$5&amp;$B120,L_12MonLights_Count_OutOfPeriod)</f>
        <v>47352</v>
      </c>
      <c r="D120" s="422">
        <f>SUMIF(L_LightingRates_Tariff_Rate_Category,MiscData!$X$5&amp;$B120,L_LightingRates_UnitCharge)</f>
        <v>9.57</v>
      </c>
      <c r="E120" s="389">
        <f>ROUND($C120*$D120,0)</f>
        <v>453159</v>
      </c>
      <c r="F120" s="400"/>
      <c r="G120" s="388"/>
      <c r="H120" s="389"/>
      <c r="I120" s="547"/>
      <c r="L120" s="506"/>
      <c r="M120" s="548"/>
      <c r="N120" s="547"/>
      <c r="O120" s="378"/>
      <c r="P120" s="378"/>
      <c r="Q120" s="378"/>
    </row>
    <row r="121" spans="1:18" ht="12.75">
      <c r="A121" s="494"/>
      <c r="B121" s="427"/>
      <c r="C121" s="381"/>
      <c r="D121" s="422"/>
      <c r="E121" s="382"/>
      <c r="F121" s="553"/>
      <c r="G121" s="389"/>
      <c r="H121" s="389"/>
      <c r="I121" s="547"/>
      <c r="M121" s="554"/>
      <c r="N121" s="554"/>
      <c r="O121" s="554"/>
    </row>
    <row r="122" spans="1:18" ht="12.75">
      <c r="A122" s="494" t="s">
        <v>1156</v>
      </c>
      <c r="B122" s="427" t="s">
        <v>360</v>
      </c>
      <c r="C122" s="381">
        <f>SUMIF(L_12MonLightsTariffRateCategory,MiscData!$X$5&amp;$B122,L_12MonLights_Count_Total)+SUMIF(L_12MonLightsTariffRateCategory,MiscData!$X$5&amp;$B122,L_12MonLights_Count_OutOfPeriod)</f>
        <v>59</v>
      </c>
      <c r="D122" s="422">
        <f>SUMIF(L_LightingRates_Tariff_Rate_Category,MiscData!$X$5&amp;$B122,L_LightingRates_UnitCharge)</f>
        <v>11.13</v>
      </c>
      <c r="E122" s="389">
        <f t="shared" ref="E122:E125" si="13">ROUND($C122*$D122,0)</f>
        <v>657</v>
      </c>
      <c r="F122" s="400"/>
      <c r="G122" s="388"/>
      <c r="H122" s="389"/>
      <c r="I122" s="547"/>
      <c r="L122" s="506"/>
      <c r="M122" s="548"/>
      <c r="N122" s="547"/>
      <c r="O122" s="378"/>
      <c r="P122" s="378"/>
      <c r="Q122" s="378"/>
    </row>
    <row r="123" spans="1:18" ht="12.75">
      <c r="A123" s="494" t="s">
        <v>1157</v>
      </c>
      <c r="B123" s="427" t="s">
        <v>241</v>
      </c>
      <c r="C123" s="381">
        <f>SUMIF(L_12MonLightsTariffRateCategory,MiscData!$X$5&amp;$B123,L_12MonLights_Count_Total)+SUMIF(L_12MonLightsTariffRateCategory,MiscData!$X$5&amp;$B123,L_12MonLights_Count_OutOfPeriod)</f>
        <v>46028</v>
      </c>
      <c r="D123" s="422">
        <f>SUMIF(L_LightingRates_Tariff_Rate_Category,MiscData!$X$5&amp;$B123,L_LightingRates_UnitCharge)</f>
        <v>10.959999999999999</v>
      </c>
      <c r="E123" s="389">
        <f t="shared" si="13"/>
        <v>504467</v>
      </c>
      <c r="F123" s="400"/>
      <c r="G123" s="388"/>
      <c r="H123" s="389"/>
      <c r="I123" s="547"/>
      <c r="L123" s="506"/>
      <c r="M123" s="548"/>
      <c r="N123" s="547"/>
      <c r="O123" s="378"/>
      <c r="P123" s="378"/>
      <c r="Q123" s="378"/>
    </row>
    <row r="124" spans="1:18" ht="12.75">
      <c r="A124" s="494" t="s">
        <v>1158</v>
      </c>
      <c r="B124" s="427" t="s">
        <v>242</v>
      </c>
      <c r="C124" s="381">
        <f>SUMIF(L_12MonLightsTariffRateCategory,MiscData!$X$5&amp;$B124,L_12MonLights_Count_Total)+SUMIF(L_12MonLightsTariffRateCategory,MiscData!$X$5&amp;$B124,L_12MonLights_Count_OutOfPeriod)</f>
        <v>45360</v>
      </c>
      <c r="D124" s="422">
        <f>SUMIF(L_LightingRates_Tariff_Rate_Category,MiscData!$X$5&amp;$B124,L_LightingRates_UnitCharge)</f>
        <v>13.510000000000002</v>
      </c>
      <c r="E124" s="389">
        <f t="shared" si="13"/>
        <v>612814</v>
      </c>
      <c r="F124" s="400"/>
      <c r="G124" s="388"/>
      <c r="H124" s="389"/>
      <c r="I124" s="547"/>
      <c r="L124" s="506"/>
      <c r="M124" s="548"/>
      <c r="N124" s="547"/>
      <c r="O124" s="378"/>
      <c r="P124" s="378"/>
      <c r="Q124" s="378"/>
    </row>
    <row r="125" spans="1:18" ht="12.75">
      <c r="A125" s="494" t="s">
        <v>1175</v>
      </c>
      <c r="B125" s="427" t="s">
        <v>381</v>
      </c>
      <c r="C125" s="381">
        <f>SUMIF(L_12MonLightsTariffRateCategory,MiscData!$X$5&amp;$B125,L_12MonLights_Count_Total)+SUMIF(L_12MonLightsTariffRateCategory,MiscData!$X$5&amp;$B125,L_12MonLights_Count_OutOfPeriod)</f>
        <v>529</v>
      </c>
      <c r="D125" s="422">
        <f>SUMIF(L_LightingRates_Tariff_Rate_Category,MiscData!$X$5&amp;$B125,L_LightingRates_UnitCharge)</f>
        <v>27.69</v>
      </c>
      <c r="E125" s="389">
        <f t="shared" si="13"/>
        <v>14648</v>
      </c>
      <c r="F125" s="400"/>
      <c r="G125" s="388"/>
      <c r="H125" s="389"/>
      <c r="I125" s="547"/>
      <c r="L125" s="506"/>
      <c r="M125" s="548"/>
      <c r="N125" s="547"/>
      <c r="O125" s="378"/>
      <c r="P125" s="378"/>
      <c r="Q125" s="378"/>
    </row>
    <row r="126" spans="1:18" ht="12.75">
      <c r="A126" s="493"/>
      <c r="B126" s="433"/>
      <c r="C126" s="381"/>
      <c r="D126" s="422"/>
      <c r="E126" s="422"/>
      <c r="F126" s="400"/>
      <c r="G126" s="388"/>
      <c r="H126" s="389"/>
      <c r="I126" s="547"/>
    </row>
    <row r="127" spans="1:18" ht="12.75">
      <c r="A127" s="490" t="s">
        <v>1176</v>
      </c>
      <c r="B127" s="427" t="s">
        <v>244</v>
      </c>
      <c r="C127" s="381">
        <f>SUMIF(L_12MonLightsTariffRateCategory,MiscData!$X$5&amp;$B127,L_12MonLights_Count_Total)+SUMIF(L_12MonLightsTariffRateCategory,MiscData!$X$5&amp;$B127,L_12MonLights_Count_OutOfPeriod)</f>
        <v>9052</v>
      </c>
      <c r="D127" s="422">
        <f>SUMIF(L_LightingRates_Tariff_Rate_Category,MiscData!$X$5&amp;$B127,L_LightingRates_UnitCharge)</f>
        <v>15.54</v>
      </c>
      <c r="E127" s="389">
        <f t="shared" ref="E127:E128" si="14">ROUND($C127*$D127,0)</f>
        <v>140668</v>
      </c>
      <c r="F127" s="400"/>
      <c r="G127" s="388"/>
      <c r="H127" s="389"/>
      <c r="I127" s="547"/>
      <c r="L127" s="506"/>
      <c r="M127" s="548"/>
      <c r="N127" s="547"/>
      <c r="O127" s="378"/>
      <c r="P127" s="378"/>
      <c r="Q127" s="378"/>
    </row>
    <row r="128" spans="1:18" ht="12.75">
      <c r="A128" s="494" t="s">
        <v>1177</v>
      </c>
      <c r="B128" s="427" t="s">
        <v>246</v>
      </c>
      <c r="C128" s="381">
        <f>SUMIF(L_12MonLightsTariffRateCategory,MiscData!$X$5&amp;$B128,L_12MonLights_Count_Total)+SUMIF(L_12MonLightsTariffRateCategory,MiscData!$X$5&amp;$B128,L_12MonLights_Count_OutOfPeriod)</f>
        <v>4227</v>
      </c>
      <c r="D128" s="422">
        <f>SUMIF(L_LightingRates_Tariff_Rate_Category,MiscData!$X$5&amp;$B128,L_LightingRates_UnitCharge)</f>
        <v>28.89</v>
      </c>
      <c r="E128" s="389">
        <f t="shared" si="14"/>
        <v>122118</v>
      </c>
      <c r="F128" s="400"/>
      <c r="G128" s="388"/>
      <c r="H128" s="389"/>
      <c r="I128" s="547"/>
      <c r="L128" s="506"/>
      <c r="M128" s="548"/>
      <c r="N128" s="547"/>
      <c r="O128" s="378"/>
      <c r="P128" s="378"/>
      <c r="Q128" s="378"/>
    </row>
    <row r="129" spans="1:17" ht="12.75">
      <c r="A129" s="494"/>
      <c r="B129" s="427"/>
      <c r="C129" s="381"/>
      <c r="D129" s="422"/>
      <c r="E129" s="422"/>
      <c r="F129" s="400"/>
      <c r="G129" s="388"/>
      <c r="H129" s="389"/>
      <c r="I129" s="547"/>
      <c r="L129" s="506"/>
      <c r="M129" s="548"/>
      <c r="N129" s="547"/>
      <c r="O129" s="554"/>
    </row>
    <row r="130" spans="1:17" ht="12.75">
      <c r="A130" s="494" t="s">
        <v>1178</v>
      </c>
      <c r="B130" s="427" t="s">
        <v>379</v>
      </c>
      <c r="C130" s="381">
        <f>SUMIF(L_12MonLightsTariffRateCategory,MiscData!$X$5&amp;$B130,L_12MonLights_Count_Total)+SUMIF(L_12MonLightsTariffRateCategory,MiscData!$X$5&amp;$B130,L_12MonLights_Count_OutOfPeriod)</f>
        <v>914</v>
      </c>
      <c r="D130" s="422">
        <f>SUMIF(L_LightingRates_Tariff_Rate_Category,MiscData!$X$5&amp;$B130,L_LightingRates_UnitCharge)</f>
        <v>8.14</v>
      </c>
      <c r="E130" s="389">
        <f>ROUND($C130*$D130,0)</f>
        <v>7440</v>
      </c>
      <c r="F130" s="400"/>
      <c r="G130" s="388"/>
      <c r="H130" s="389"/>
      <c r="I130" s="547"/>
      <c r="L130" s="506"/>
      <c r="M130" s="548"/>
      <c r="N130" s="547"/>
      <c r="O130" s="378"/>
      <c r="P130" s="378"/>
      <c r="Q130" s="378"/>
    </row>
    <row r="131" spans="1:17" ht="12.75">
      <c r="A131" s="490"/>
      <c r="B131" s="433"/>
      <c r="C131" s="381"/>
      <c r="D131" s="422"/>
      <c r="E131" s="422"/>
      <c r="F131" s="400"/>
      <c r="H131" s="389"/>
      <c r="I131" s="547"/>
    </row>
    <row r="132" spans="1:17" ht="12.75">
      <c r="A132" s="493" t="s">
        <v>914</v>
      </c>
      <c r="B132" s="378"/>
      <c r="C132" s="378"/>
      <c r="D132" s="389"/>
      <c r="E132" s="389"/>
      <c r="F132" s="400"/>
      <c r="H132" s="389"/>
      <c r="I132" s="547"/>
    </row>
    <row r="133" spans="1:17" ht="12.75">
      <c r="A133" s="494" t="s">
        <v>1179</v>
      </c>
      <c r="B133" s="427" t="s">
        <v>366</v>
      </c>
      <c r="C133" s="381">
        <f>SUMIF(L_12MonLightsTariffRateCategory,MiscData!$X$5&amp;$B133,L_12MonLights_Count_Total)+SUMIF(L_12MonLightsTariffRateCategory,MiscData!$X$5&amp;$B133,L_12MonLights_Count_OutOfPeriod)</f>
        <v>24</v>
      </c>
      <c r="D133" s="422">
        <f>SUMIF(L_LightingRates_Tariff_Rate_Category,MiscData!$X$5&amp;$B133,L_LightingRates_UnitCharge)</f>
        <v>15.07</v>
      </c>
      <c r="E133" s="389">
        <f t="shared" ref="E133:E136" si="15">ROUND($C133*$D133,0)</f>
        <v>362</v>
      </c>
      <c r="F133" s="400"/>
      <c r="H133" s="389"/>
      <c r="I133" s="547"/>
      <c r="L133" s="506"/>
      <c r="M133" s="548"/>
      <c r="N133" s="547"/>
      <c r="O133" s="378"/>
      <c r="P133" s="378"/>
      <c r="Q133" s="378"/>
    </row>
    <row r="134" spans="1:17" ht="12.75">
      <c r="A134" s="490" t="s">
        <v>1180</v>
      </c>
      <c r="B134" s="427" t="s">
        <v>368</v>
      </c>
      <c r="C134" s="381">
        <f>SUMIF(L_12MonLightsTariffRateCategory,MiscData!$X$5&amp;$B134,L_12MonLights_Count_Total)+SUMIF(L_12MonLightsTariffRateCategory,MiscData!$X$5&amp;$B134,L_12MonLights_Count_OutOfPeriod)</f>
        <v>636</v>
      </c>
      <c r="D134" s="422">
        <f>SUMIF(L_LightingRates_Tariff_Rate_Category,MiscData!$X$5&amp;$B134,L_LightingRates_UnitCharge)</f>
        <v>20.970000000000002</v>
      </c>
      <c r="E134" s="389">
        <f t="shared" si="15"/>
        <v>13337</v>
      </c>
      <c r="F134" s="379"/>
      <c r="H134" s="389"/>
      <c r="I134" s="547"/>
      <c r="L134" s="506"/>
      <c r="M134" s="548"/>
      <c r="N134" s="547"/>
      <c r="O134" s="378"/>
      <c r="P134" s="378"/>
      <c r="Q134" s="378"/>
    </row>
    <row r="135" spans="1:17" ht="12.75">
      <c r="A135" s="494" t="s">
        <v>1181</v>
      </c>
      <c r="B135" s="427" t="s">
        <v>369</v>
      </c>
      <c r="C135" s="381">
        <f>SUMIF(L_12MonLightsTariffRateCategory,MiscData!$X$5&amp;$B135,L_12MonLights_Count_Total)+SUMIF(L_12MonLightsTariffRateCategory,MiscData!$X$5&amp;$B135,L_12MonLights_Count_OutOfPeriod)</f>
        <v>24</v>
      </c>
      <c r="D135" s="422">
        <f>SUMIF(L_LightingRates_Tariff_Rate_Category,MiscData!$X$5&amp;$B135,L_LightingRates_UnitCharge)</f>
        <v>28.42</v>
      </c>
      <c r="E135" s="389">
        <f t="shared" si="15"/>
        <v>682</v>
      </c>
      <c r="F135" s="400"/>
      <c r="H135" s="389"/>
      <c r="I135" s="547"/>
      <c r="L135" s="506"/>
      <c r="M135" s="548"/>
      <c r="N135" s="547"/>
      <c r="O135" s="378"/>
      <c r="P135" s="378"/>
      <c r="Q135" s="378"/>
    </row>
    <row r="136" spans="1:17" ht="12.75">
      <c r="A136" s="494" t="s">
        <v>1184</v>
      </c>
      <c r="B136" s="427" t="s">
        <v>371</v>
      </c>
      <c r="C136" s="381">
        <f>SUMIF(L_12MonLightsTariffRateCategory,MiscData!$X$5&amp;$B136,L_12MonLights_Count_Total)+SUMIF(L_12MonLightsTariffRateCategory,MiscData!$X$5&amp;$B136,L_12MonLights_Count_OutOfPeriod)</f>
        <v>714</v>
      </c>
      <c r="D136" s="422">
        <f>SUMIF(L_LightingRates_Tariff_Rate_Category,MiscData!$X$5&amp;$B136,L_LightingRates_UnitCharge)</f>
        <v>42.78</v>
      </c>
      <c r="E136" s="389">
        <f t="shared" si="15"/>
        <v>30545</v>
      </c>
      <c r="F136" s="400"/>
      <c r="H136" s="389"/>
      <c r="I136" s="547"/>
      <c r="L136" s="506"/>
      <c r="M136" s="548"/>
      <c r="N136" s="547"/>
      <c r="O136" s="378"/>
      <c r="P136" s="378"/>
      <c r="Q136" s="378"/>
    </row>
    <row r="137" spans="1:17" ht="12.75">
      <c r="A137" s="494"/>
      <c r="B137" s="427"/>
      <c r="C137" s="381"/>
      <c r="D137" s="422"/>
      <c r="E137" s="382"/>
      <c r="F137" s="379"/>
      <c r="H137" s="389"/>
      <c r="I137" s="547"/>
      <c r="L137" s="506"/>
      <c r="M137" s="554"/>
      <c r="N137" s="554"/>
      <c r="O137" s="554"/>
    </row>
    <row r="138" spans="1:17" ht="12.75">
      <c r="A138" s="490"/>
      <c r="B138" s="433"/>
      <c r="C138" s="381"/>
      <c r="D138" s="422"/>
      <c r="E138" s="422"/>
      <c r="F138" s="400"/>
      <c r="H138" s="389"/>
      <c r="I138" s="547"/>
    </row>
    <row r="139" spans="1:17" ht="12.75">
      <c r="A139" s="490"/>
      <c r="B139" s="433"/>
      <c r="C139" s="381"/>
      <c r="D139" s="422"/>
      <c r="E139" s="422"/>
      <c r="F139" s="379"/>
      <c r="H139" s="389"/>
      <c r="I139" s="547"/>
    </row>
    <row r="140" spans="1:17" ht="12.75">
      <c r="A140" s="490"/>
      <c r="B140" s="433"/>
      <c r="C140" s="381"/>
      <c r="D140" s="422"/>
      <c r="E140" s="422"/>
      <c r="F140" s="379"/>
      <c r="H140" s="389"/>
      <c r="I140" s="547"/>
    </row>
    <row r="141" spans="1:17" s="329" customFormat="1" ht="12.75">
      <c r="A141" s="498" t="s">
        <v>1230</v>
      </c>
      <c r="F141" s="499" t="str">
        <f>'Sch M-1.3-pg 1'!$J$1</f>
        <v>Schedule M-1.3-E</v>
      </c>
      <c r="G141" s="415"/>
      <c r="H141" s="415"/>
    </row>
    <row r="142" spans="1:17" s="329" customFormat="1" ht="12.75">
      <c r="A142" s="500" t="s">
        <v>1231</v>
      </c>
      <c r="F142" s="499" t="str">
        <f>"Page "&amp;J142&amp;" of "&amp;K142</f>
        <v>Page 18 of 19</v>
      </c>
      <c r="G142" s="415"/>
      <c r="H142" s="415"/>
      <c r="J142" s="329">
        <f>J111+1</f>
        <v>18</v>
      </c>
      <c r="K142" s="329">
        <f>'Sch M-1.3 pgs 14-19'!$K$178</f>
        <v>19</v>
      </c>
    </row>
    <row r="143" spans="1:17" s="329" customFormat="1" ht="12.75">
      <c r="A143" s="500" t="s">
        <v>1223</v>
      </c>
      <c r="F143" s="501" t="str">
        <f>'Sch M-1.3-pg 1'!$J$3</f>
        <v>Witness:  M.J. Blake</v>
      </c>
      <c r="G143" s="415"/>
      <c r="H143" s="415"/>
    </row>
    <row r="144" spans="1:17" s="329" customFormat="1" ht="12.75">
      <c r="A144" s="502"/>
      <c r="B144" s="378"/>
      <c r="C144" s="400"/>
      <c r="D144" s="416"/>
      <c r="E144" s="378"/>
      <c r="F144" s="378"/>
      <c r="G144" s="719"/>
      <c r="H144" s="720"/>
      <c r="I144" s="400"/>
      <c r="J144" s="417"/>
      <c r="K144" s="417"/>
    </row>
    <row r="145" spans="1:18" ht="12.75">
      <c r="A145" s="560"/>
      <c r="B145" s="512"/>
      <c r="C145" s="508" t="s">
        <v>885</v>
      </c>
      <c r="D145" s="508" t="s">
        <v>888</v>
      </c>
      <c r="E145" s="508" t="s">
        <v>1250</v>
      </c>
      <c r="F145" s="561"/>
      <c r="G145" s="417"/>
      <c r="H145" s="417"/>
    </row>
    <row r="146" spans="1:18" ht="12.75">
      <c r="A146" s="562"/>
      <c r="B146" s="563"/>
      <c r="C146" s="514" t="s">
        <v>1249</v>
      </c>
      <c r="D146" s="510" t="s">
        <v>101</v>
      </c>
      <c r="E146" s="509" t="s">
        <v>119</v>
      </c>
      <c r="F146" s="564"/>
      <c r="G146" s="417"/>
      <c r="H146" s="417"/>
      <c r="O146" s="506"/>
    </row>
    <row r="147" spans="1:18" ht="12.75">
      <c r="A147" s="525" t="s">
        <v>731</v>
      </c>
      <c r="B147" s="378"/>
      <c r="C147" s="378"/>
      <c r="D147" s="379"/>
      <c r="E147" s="378"/>
      <c r="F147" s="397"/>
      <c r="G147" s="399"/>
      <c r="H147" s="389"/>
      <c r="I147" s="547"/>
      <c r="M147" s="378"/>
      <c r="N147" s="378"/>
      <c r="O147" s="378"/>
      <c r="P147" s="504"/>
      <c r="R147" s="505"/>
    </row>
    <row r="148" spans="1:18" ht="12.75">
      <c r="A148" s="421" t="s">
        <v>906</v>
      </c>
      <c r="B148" s="378"/>
      <c r="C148" s="378"/>
      <c r="D148" s="379"/>
      <c r="E148" s="378"/>
      <c r="F148" s="400"/>
      <c r="G148" s="388"/>
      <c r="H148" s="389"/>
      <c r="I148" s="547"/>
    </row>
    <row r="149" spans="1:18" ht="12.75">
      <c r="A149" s="493" t="s">
        <v>1138</v>
      </c>
      <c r="B149" s="378"/>
      <c r="C149" s="378"/>
      <c r="D149" s="389"/>
      <c r="E149" s="389"/>
      <c r="F149" s="400"/>
      <c r="G149" s="388"/>
      <c r="H149" s="389"/>
      <c r="I149" s="547"/>
    </row>
    <row r="150" spans="1:18" ht="12.75">
      <c r="A150" s="490" t="s">
        <v>1139</v>
      </c>
      <c r="B150" s="427" t="s">
        <v>679</v>
      </c>
      <c r="C150" s="381">
        <f>SUMIFS(L_12MonPoles_Count,L_12MonPoles_RateClass,"RLS",L_12MonPoles_RateCategory,B150)+SUMIFS(L_12MonPoles_Count_Adj,L_12MonPoles_RateClass,"RLS",L_12MonPoles_RateCategory,B150)</f>
        <v>441</v>
      </c>
      <c r="D150" s="422">
        <f>SUMIF(PoleRates!$E$4:$E$104,MiscData!$X$5&amp;B150,PoleRates!$F$4:$F$104)</f>
        <v>11.31</v>
      </c>
      <c r="E150" s="389">
        <f t="shared" ref="E150:E151" si="16">ROUND($C150*$D150,0)</f>
        <v>4988</v>
      </c>
      <c r="F150" s="400"/>
      <c r="G150" s="388"/>
      <c r="H150" s="389"/>
      <c r="I150" s="547"/>
      <c r="L150" s="506"/>
      <c r="M150" s="548"/>
      <c r="N150" s="547"/>
      <c r="O150" s="378"/>
      <c r="P150" s="378"/>
      <c r="Q150" s="378"/>
    </row>
    <row r="151" spans="1:18" ht="12.75">
      <c r="A151" s="490" t="s">
        <v>1140</v>
      </c>
      <c r="B151" s="427" t="s">
        <v>665</v>
      </c>
      <c r="C151" s="381">
        <f>SUMIFS(L_12MonPoles_Count,L_12MonPoles_RateClass,"RLS",L_12MonPoles_RateCategory,B151)+SUMIFS(L_12MonPoles_Count_Adj,L_12MonPoles_RateClass,"RLS",L_12MonPoles_RateCategory,B151)</f>
        <v>19943</v>
      </c>
      <c r="D151" s="422">
        <f>SUMIF(PoleRates!$E$4:$E$104,MiscData!$X$5&amp;B151,PoleRates!$F$4:$F$104)</f>
        <v>2.06</v>
      </c>
      <c r="E151" s="389">
        <f t="shared" si="16"/>
        <v>41083</v>
      </c>
      <c r="F151" s="553"/>
      <c r="G151" s="389"/>
      <c r="H151" s="389"/>
      <c r="I151" s="547"/>
      <c r="L151" s="506"/>
      <c r="M151" s="548"/>
      <c r="N151" s="547"/>
      <c r="O151" s="378"/>
      <c r="P151" s="378"/>
      <c r="Q151" s="378"/>
    </row>
    <row r="152" spans="1:18" ht="12.75">
      <c r="A152" s="490"/>
      <c r="B152" s="427"/>
      <c r="C152" s="381"/>
      <c r="D152" s="422"/>
      <c r="E152" s="422"/>
      <c r="F152" s="400"/>
      <c r="G152" s="388"/>
      <c r="H152" s="389"/>
      <c r="I152" s="547"/>
      <c r="M152" s="554"/>
      <c r="N152" s="554"/>
      <c r="O152" s="554"/>
    </row>
    <row r="153" spans="1:18" ht="12.75">
      <c r="A153" s="493" t="s">
        <v>146</v>
      </c>
      <c r="B153" s="378"/>
      <c r="C153" s="378"/>
      <c r="D153" s="389"/>
      <c r="E153" s="389"/>
      <c r="F153" s="400"/>
      <c r="G153" s="388"/>
      <c r="H153" s="389"/>
      <c r="I153" s="547"/>
    </row>
    <row r="154" spans="1:18" ht="12.75">
      <c r="A154" s="490" t="s">
        <v>143</v>
      </c>
      <c r="B154" s="427"/>
      <c r="C154" s="381"/>
      <c r="D154" s="422"/>
      <c r="E154" s="422"/>
      <c r="F154" s="400"/>
      <c r="G154" s="388"/>
      <c r="H154" s="389"/>
      <c r="I154" s="547"/>
      <c r="L154" s="506"/>
      <c r="M154" s="554"/>
      <c r="N154" s="554"/>
      <c r="O154" s="554"/>
    </row>
    <row r="155" spans="1:18" ht="12.75">
      <c r="A155" s="490" t="s">
        <v>1145</v>
      </c>
      <c r="B155" s="427" t="s">
        <v>392</v>
      </c>
      <c r="C155" s="381">
        <f>SUMIF(L_12MonLightsTariffRateCategory,MiscData!$X$5&amp;$B155,L_12MonLights_Count_Total)+SUMIF(L_12MonLightsTariffRateCategory,MiscData!$X$5&amp;$B155,L_12MonLights_Count_OutOfPeriod)</f>
        <v>6123</v>
      </c>
      <c r="D155" s="422">
        <f>SUMIF(L_LightingRates_Tariff_Rate_Category,MiscData!$X$5&amp;$B155,L_LightingRates_UnitCharge)</f>
        <v>24.89</v>
      </c>
      <c r="E155" s="389">
        <f t="shared" ref="E155:E157" si="17">ROUND($C155*$D155,0)</f>
        <v>152401</v>
      </c>
      <c r="F155" s="553"/>
      <c r="G155" s="389"/>
      <c r="H155" s="389"/>
      <c r="I155" s="547"/>
      <c r="L155" s="506"/>
      <c r="M155" s="548"/>
      <c r="N155" s="547"/>
      <c r="O155" s="378"/>
      <c r="P155" s="378"/>
      <c r="Q155" s="378"/>
    </row>
    <row r="156" spans="1:18" ht="12.75">
      <c r="A156" s="490" t="s">
        <v>1144</v>
      </c>
      <c r="B156" s="427" t="s">
        <v>263</v>
      </c>
      <c r="C156" s="381">
        <f>SUMIF(L_12MonLightsTariffRateCategory,MiscData!$X$5&amp;$B156,L_12MonLights_Count_Total)+SUMIF(L_12MonLightsTariffRateCategory,MiscData!$X$5&amp;$B156,L_12MonLights_Count_OutOfPeriod)</f>
        <v>24108</v>
      </c>
      <c r="D156" s="422">
        <f>SUMIF(L_LightingRates_Tariff_Rate_Category,MiscData!$X$5&amp;$B156,L_LightingRates_UnitCharge)</f>
        <v>27.34</v>
      </c>
      <c r="E156" s="389">
        <f t="shared" si="17"/>
        <v>659113</v>
      </c>
      <c r="F156" s="400"/>
      <c r="G156" s="388"/>
      <c r="H156" s="389"/>
      <c r="I156" s="547"/>
      <c r="L156" s="506"/>
      <c r="M156" s="548"/>
      <c r="N156" s="547"/>
      <c r="O156" s="378"/>
      <c r="P156" s="378"/>
      <c r="Q156" s="378"/>
    </row>
    <row r="157" spans="1:18" ht="12.75">
      <c r="A157" s="490" t="s">
        <v>1143</v>
      </c>
      <c r="B157" s="427" t="s">
        <v>264</v>
      </c>
      <c r="C157" s="381">
        <f>SUMIF(L_12MonLightsTariffRateCategory,MiscData!$X$5&amp;$B157,L_12MonLights_Count_Total)+SUMIF(L_12MonLightsTariffRateCategory,MiscData!$X$5&amp;$B157,L_12MonLights_Count_OutOfPeriod)</f>
        <v>26869</v>
      </c>
      <c r="D157" s="422">
        <f>SUMIF(L_LightingRates_Tariff_Rate_Category,MiscData!$X$5&amp;$B157,L_LightingRates_UnitCharge)</f>
        <v>31.4</v>
      </c>
      <c r="E157" s="389">
        <f t="shared" si="17"/>
        <v>843687</v>
      </c>
      <c r="F157" s="400"/>
      <c r="G157" s="388"/>
      <c r="H157" s="389"/>
      <c r="I157" s="547"/>
      <c r="L157" s="506"/>
      <c r="M157" s="548"/>
      <c r="N157" s="547"/>
      <c r="O157" s="378"/>
      <c r="P157" s="378"/>
      <c r="Q157" s="378"/>
    </row>
    <row r="158" spans="1:18" ht="12.75">
      <c r="A158" s="494"/>
      <c r="B158" s="427"/>
      <c r="C158" s="381"/>
      <c r="D158" s="422"/>
      <c r="E158" s="422"/>
      <c r="F158" s="400"/>
      <c r="H158" s="389"/>
      <c r="I158" s="547"/>
      <c r="M158" s="554"/>
      <c r="N158" s="554"/>
      <c r="O158" s="554"/>
    </row>
    <row r="159" spans="1:18" ht="12.75">
      <c r="A159" s="490" t="s">
        <v>1142</v>
      </c>
      <c r="B159" s="427" t="s">
        <v>268</v>
      </c>
      <c r="C159" s="381">
        <f>SUMIF(L_12MonLightsTariffRateCategory,MiscData!$X$5&amp;$B159,L_12MonLights_Count_Total)+SUMIF(L_12MonLightsTariffRateCategory,MiscData!$X$5&amp;$B159,L_12MonLights_Count_OutOfPeriod)</f>
        <v>15797</v>
      </c>
      <c r="D159" s="422">
        <f>SUMIF(L_LightingRates_Tariff_Rate_Category,MiscData!$X$5&amp;$B159,L_LightingRates_UnitCharge)</f>
        <v>14.17</v>
      </c>
      <c r="E159" s="389">
        <f t="shared" ref="E159:E161" si="18">ROUND($C159*$D159,0)</f>
        <v>223843</v>
      </c>
      <c r="F159" s="400"/>
      <c r="H159" s="389"/>
      <c r="I159" s="547"/>
      <c r="L159" s="506"/>
      <c r="M159" s="548"/>
      <c r="N159" s="547"/>
      <c r="O159" s="378"/>
      <c r="P159" s="378"/>
      <c r="Q159" s="378"/>
    </row>
    <row r="160" spans="1:18" ht="12.75">
      <c r="A160" s="490" t="s">
        <v>1141</v>
      </c>
      <c r="B160" s="427" t="s">
        <v>267</v>
      </c>
      <c r="C160" s="381">
        <f>SUMIF(L_12MonLightsTariffRateCategory,MiscData!$X$5&amp;$B160,L_12MonLights_Count_Total)+SUMIF(L_12MonLightsTariffRateCategory,MiscData!$X$5&amp;$B160,L_12MonLights_Count_OutOfPeriod)</f>
        <v>200731</v>
      </c>
      <c r="D160" s="422">
        <f>SUMIF(L_LightingRates_Tariff_Rate_Category,MiscData!$X$5&amp;$B160,L_LightingRates_UnitCharge)</f>
        <v>17.189999999999998</v>
      </c>
      <c r="E160" s="389">
        <f t="shared" si="18"/>
        <v>3450566</v>
      </c>
      <c r="F160" s="400"/>
      <c r="H160" s="389"/>
      <c r="I160" s="547"/>
      <c r="L160" s="506"/>
      <c r="M160" s="548"/>
      <c r="N160" s="547"/>
      <c r="O160" s="378"/>
      <c r="P160" s="378"/>
      <c r="Q160" s="378"/>
    </row>
    <row r="161" spans="1:20" ht="12.75">
      <c r="A161" s="494" t="s">
        <v>1142</v>
      </c>
      <c r="B161" s="427" t="s">
        <v>269</v>
      </c>
      <c r="C161" s="381">
        <f>SUMIF(L_12MonLightsTariffRateCategory,MiscData!$X$5&amp;$B161,L_12MonLights_Count_Total)+SUMIF(L_12MonLightsTariffRateCategory,MiscData!$X$5&amp;$B161,L_12MonLights_Count_OutOfPeriod)</f>
        <v>27130</v>
      </c>
      <c r="D161" s="422">
        <f>SUMIF(L_LightingRates_Tariff_Rate_Category,MiscData!$X$5&amp;$B161,L_LightingRates_UnitCharge)</f>
        <v>22.15</v>
      </c>
      <c r="E161" s="389">
        <f t="shared" si="18"/>
        <v>600930</v>
      </c>
      <c r="F161" s="400"/>
      <c r="H161" s="389"/>
      <c r="I161" s="547"/>
      <c r="L161" s="506"/>
      <c r="M161" s="548"/>
      <c r="N161" s="547"/>
      <c r="O161" s="378"/>
      <c r="P161" s="378"/>
      <c r="Q161" s="378"/>
    </row>
    <row r="162" spans="1:20" ht="12.75">
      <c r="A162" s="494"/>
      <c r="B162" s="427"/>
      <c r="C162" s="381"/>
      <c r="D162" s="422"/>
      <c r="E162" s="422"/>
      <c r="F162" s="400"/>
      <c r="H162" s="389"/>
      <c r="I162" s="547"/>
      <c r="L162" s="506"/>
      <c r="M162" s="554"/>
      <c r="N162" s="554"/>
      <c r="O162" s="554"/>
    </row>
    <row r="163" spans="1:20" ht="12.75">
      <c r="A163" s="494" t="s">
        <v>1146</v>
      </c>
      <c r="B163" s="427" t="s">
        <v>394</v>
      </c>
      <c r="C163" s="381">
        <f>SUMIF(L_12MonLightsTariffRateCategory,MiscData!$X$5&amp;$B163,L_12MonLights_Count_Total)+SUMIF(L_12MonLightsTariffRateCategory,MiscData!$X$5&amp;$B163,L_12MonLights_Count_OutOfPeriod)</f>
        <v>132</v>
      </c>
      <c r="D163" s="422">
        <f>SUMIF(L_LightingRates_Tariff_Rate_Category,MiscData!$X$5&amp;$B163,L_LightingRates_UnitCharge)</f>
        <v>41.43</v>
      </c>
      <c r="E163" s="389">
        <f t="shared" ref="E163:E164" si="19">ROUND($C163*$D163,0)</f>
        <v>5469</v>
      </c>
      <c r="F163" s="400"/>
      <c r="H163" s="389"/>
      <c r="I163" s="547"/>
      <c r="L163" s="506"/>
      <c r="M163" s="548"/>
      <c r="N163" s="547"/>
      <c r="O163" s="378"/>
      <c r="P163" s="378"/>
      <c r="Q163" s="378"/>
    </row>
    <row r="164" spans="1:20" ht="12.75">
      <c r="A164" s="490" t="s">
        <v>1147</v>
      </c>
      <c r="B164" s="427" t="s">
        <v>393</v>
      </c>
      <c r="C164" s="381">
        <f>SUMIF(L_12MonLightsTariffRateCategory,MiscData!$X$5&amp;$B164,L_12MonLights_Count_Total)+SUMIF(L_12MonLightsTariffRateCategory,MiscData!$X$5&amp;$B164,L_12MonLights_Count_OutOfPeriod)</f>
        <v>199</v>
      </c>
      <c r="D164" s="422">
        <f>SUMIF(L_LightingRates_Tariff_Rate_Category,MiscData!$X$5&amp;$B164,L_LightingRates_UnitCharge)</f>
        <v>72.550000000000011</v>
      </c>
      <c r="E164" s="389">
        <f t="shared" si="19"/>
        <v>14437</v>
      </c>
      <c r="F164" s="400"/>
      <c r="H164" s="389"/>
      <c r="I164" s="547"/>
      <c r="L164" s="506"/>
      <c r="M164" s="548"/>
      <c r="N164" s="547"/>
      <c r="O164" s="378"/>
      <c r="P164" s="378"/>
      <c r="Q164" s="378"/>
    </row>
    <row r="165" spans="1:20" ht="12.75">
      <c r="A165" s="490"/>
      <c r="B165" s="427"/>
      <c r="C165" s="381"/>
      <c r="D165" s="422"/>
      <c r="E165" s="422"/>
      <c r="F165" s="400"/>
      <c r="H165" s="389"/>
      <c r="I165" s="547"/>
      <c r="L165" s="506"/>
      <c r="M165" s="554"/>
      <c r="N165" s="554"/>
      <c r="O165" s="554"/>
    </row>
    <row r="166" spans="1:20" ht="12.75">
      <c r="A166" s="494" t="s">
        <v>1148</v>
      </c>
      <c r="B166" s="427" t="s">
        <v>334</v>
      </c>
      <c r="C166" s="381">
        <f>SUMIF(L_12MonLightsTariffRateCategory,MiscData!$X$5&amp;$B166,L_12MonLights_Count_Total)+SUMIF(L_12MonLightsTariffRateCategory,MiscData!$X$5&amp;$B166,L_12MonLights_Count_OutOfPeriod)</f>
        <v>442</v>
      </c>
      <c r="D166" s="422">
        <f>SUMIF(L_LightingRates_Tariff_Rate_Category,MiscData!$X$5&amp;$B166,L_LightingRates_UnitCharge)</f>
        <v>23.68</v>
      </c>
      <c r="E166" s="389">
        <f t="shared" ref="E166:E167" si="20">ROUND($C166*$D166,0)</f>
        <v>10467</v>
      </c>
      <c r="F166" s="400"/>
      <c r="H166" s="389"/>
      <c r="I166" s="547"/>
      <c r="L166" s="506"/>
      <c r="M166" s="548"/>
      <c r="N166" s="547"/>
      <c r="O166" s="378"/>
      <c r="P166" s="378"/>
      <c r="Q166" s="378"/>
    </row>
    <row r="167" spans="1:20" ht="12.75">
      <c r="A167" s="494" t="s">
        <v>1149</v>
      </c>
      <c r="B167" s="427" t="s">
        <v>336</v>
      </c>
      <c r="C167" s="381">
        <f>SUMIF(L_12MonLightsTariffRateCategory,MiscData!$X$5&amp;$B167,L_12MonLights_Count_Total)+SUMIF(L_12MonLightsTariffRateCategory,MiscData!$X$5&amp;$B167,L_12MonLights_Count_OutOfPeriod)</f>
        <v>1326</v>
      </c>
      <c r="D167" s="422">
        <f>SUMIF(L_LightingRates_Tariff_Rate_Category,MiscData!$X$5&amp;$B167,L_LightingRates_UnitCharge)</f>
        <v>24.77</v>
      </c>
      <c r="E167" s="389">
        <f t="shared" si="20"/>
        <v>32845</v>
      </c>
      <c r="F167" s="400"/>
      <c r="H167" s="389"/>
      <c r="I167" s="547"/>
      <c r="L167" s="506"/>
      <c r="M167" s="548"/>
      <c r="N167" s="547"/>
      <c r="O167" s="378"/>
      <c r="P167" s="378"/>
      <c r="Q167" s="378"/>
    </row>
    <row r="168" spans="1:20" ht="12.75">
      <c r="A168" s="494"/>
      <c r="B168" s="427"/>
      <c r="C168" s="381"/>
      <c r="D168" s="422"/>
      <c r="E168" s="422"/>
      <c r="F168" s="400"/>
      <c r="H168" s="389"/>
      <c r="I168" s="547"/>
      <c r="L168" s="506"/>
      <c r="M168" s="554"/>
      <c r="N168" s="554"/>
      <c r="O168" s="554"/>
    </row>
    <row r="169" spans="1:20" ht="12.75">
      <c r="A169" s="494" t="s">
        <v>1200</v>
      </c>
      <c r="B169" s="427" t="s">
        <v>398</v>
      </c>
      <c r="C169" s="381">
        <f>SUMIF(L_12MonLightsTariffRateCategory,MiscData!$X$5&amp;$B169,L_12MonLights_Count_Total)+SUMIF(L_12MonLightsTariffRateCategory,MiscData!$X$5&amp;$B169,L_12MonLights_Count_OutOfPeriod)</f>
        <v>542</v>
      </c>
      <c r="D169" s="422">
        <f>SUMIF(L_LightingRates_Tariff_Rate_Category,MiscData!$X$5&amp;$B169,L_LightingRates_UnitCharge)</f>
        <v>19.38</v>
      </c>
      <c r="E169" s="389">
        <f t="shared" ref="E169:E170" si="21">ROUND($C169*$D169,0)</f>
        <v>10504</v>
      </c>
      <c r="F169" s="400"/>
      <c r="H169" s="389"/>
      <c r="I169" s="547"/>
      <c r="L169" s="506"/>
      <c r="M169" s="548"/>
      <c r="N169" s="547"/>
      <c r="O169" s="378"/>
      <c r="P169" s="378"/>
      <c r="Q169" s="378"/>
    </row>
    <row r="170" spans="1:20" ht="12.75">
      <c r="A170" s="494" t="s">
        <v>1201</v>
      </c>
      <c r="B170" s="427" t="s">
        <v>395</v>
      </c>
      <c r="C170" s="381">
        <f>SUMIF(L_12MonLightsTariffRateCategory,MiscData!$X$5&amp;$B170,L_12MonLights_Count_Total)+SUMIF(L_12MonLightsTariffRateCategory,MiscData!$X$5&amp;$B170,L_12MonLights_Count_OutOfPeriod)</f>
        <v>2889</v>
      </c>
      <c r="D170" s="422">
        <f>SUMIF(L_LightingRates_Tariff_Rate_Category,MiscData!$X$5&amp;$B170,L_LightingRates_UnitCharge)</f>
        <v>20.349999999999998</v>
      </c>
      <c r="E170" s="389">
        <f t="shared" si="21"/>
        <v>58791</v>
      </c>
      <c r="F170" s="400"/>
      <c r="H170" s="389"/>
      <c r="I170" s="547"/>
      <c r="L170" s="506"/>
      <c r="M170" s="548"/>
      <c r="N170" s="547"/>
      <c r="O170" s="378"/>
      <c r="P170" s="378"/>
      <c r="Q170" s="378"/>
    </row>
    <row r="171" spans="1:20" ht="12.75">
      <c r="A171" s="555"/>
      <c r="B171" s="378"/>
      <c r="C171" s="387"/>
      <c r="D171" s="434"/>
      <c r="E171" s="422"/>
      <c r="F171" s="400"/>
      <c r="H171" s="389"/>
      <c r="I171" s="547"/>
    </row>
    <row r="172" spans="1:20" ht="12.75">
      <c r="A172" s="494" t="s">
        <v>1198</v>
      </c>
      <c r="B172" s="427" t="s">
        <v>396</v>
      </c>
      <c r="C172" s="381">
        <f>SUMIF(L_12MonLightsTariffRateCategory,MiscData!$X$5&amp;$B172,L_12MonLights_Count_Total)+SUMIF(L_12MonLightsTariffRateCategory,MiscData!$X$5&amp;$B172,L_12MonLights_Count_OutOfPeriod)</f>
        <v>1244</v>
      </c>
      <c r="D172" s="422">
        <f>SUMIF(L_LightingRates_Tariff_Rate_Category,MiscData!$X$5&amp;$B172,L_LightingRates_UnitCharge)</f>
        <v>19.53</v>
      </c>
      <c r="E172" s="389">
        <f t="shared" ref="E172:E173" si="22">ROUND($C172*$D172,0)</f>
        <v>24295</v>
      </c>
      <c r="F172" s="397"/>
      <c r="H172" s="389"/>
      <c r="I172" s="547"/>
      <c r="L172" s="506"/>
      <c r="M172" s="548"/>
      <c r="N172" s="547"/>
      <c r="O172" s="378"/>
      <c r="P172" s="378"/>
      <c r="Q172" s="378"/>
    </row>
    <row r="173" spans="1:20" ht="12.75">
      <c r="A173" s="494" t="s">
        <v>1199</v>
      </c>
      <c r="B173" s="427" t="s">
        <v>397</v>
      </c>
      <c r="C173" s="381">
        <f>SUMIF(L_12MonLightsTariffRateCategory,MiscData!$X$5&amp;$B173,L_12MonLights_Count_Total)+SUMIF(L_12MonLightsTariffRateCategory,MiscData!$X$5&amp;$B173,L_12MonLights_Count_OutOfPeriod)</f>
        <v>971</v>
      </c>
      <c r="D173" s="422">
        <f>SUMIF(L_LightingRates_Tariff_Rate_Category,MiscData!$X$5&amp;$B173,L_LightingRates_UnitCharge)</f>
        <v>20.819999999999997</v>
      </c>
      <c r="E173" s="389">
        <f t="shared" si="22"/>
        <v>20216</v>
      </c>
      <c r="F173" s="400"/>
      <c r="H173" s="389"/>
      <c r="I173" s="547"/>
      <c r="L173" s="506"/>
      <c r="M173" s="548"/>
      <c r="N173" s="547"/>
      <c r="O173" s="378"/>
      <c r="P173" s="378"/>
      <c r="Q173" s="378"/>
    </row>
    <row r="174" spans="1:20" ht="12.75">
      <c r="A174" s="556"/>
      <c r="B174" s="378"/>
      <c r="C174" s="381"/>
      <c r="D174" s="422"/>
      <c r="E174" s="422"/>
      <c r="F174" s="400"/>
      <c r="H174" s="389"/>
      <c r="I174" s="547"/>
      <c r="L174" s="506"/>
      <c r="M174" s="506"/>
      <c r="N174" s="506"/>
      <c r="O174" s="378"/>
      <c r="P174" s="378"/>
      <c r="Q174" s="378"/>
      <c r="R174" s="504"/>
    </row>
    <row r="175" spans="1:20" ht="15">
      <c r="A175" s="557"/>
      <c r="B175" s="378"/>
      <c r="C175" s="430"/>
      <c r="D175" s="391"/>
      <c r="E175" s="380"/>
      <c r="F175" s="524"/>
      <c r="G175" s="393"/>
      <c r="H175" s="389"/>
      <c r="I175" s="547"/>
      <c r="J175" s="504"/>
      <c r="O175" s="378"/>
      <c r="P175" s="378"/>
      <c r="Q175" s="378"/>
      <c r="R175" s="504"/>
      <c r="T175" s="505"/>
    </row>
    <row r="176" spans="1:20" ht="15">
      <c r="A176" s="523"/>
      <c r="B176" s="378"/>
      <c r="C176" s="430"/>
      <c r="D176" s="391"/>
      <c r="E176" s="391"/>
      <c r="F176" s="524"/>
      <c r="G176" s="393"/>
      <c r="H176" s="389"/>
      <c r="I176" s="547"/>
      <c r="J176" s="504"/>
      <c r="O176" s="378"/>
      <c r="P176" s="378"/>
      <c r="Q176" s="378"/>
      <c r="R176" s="504"/>
      <c r="T176" s="505"/>
    </row>
    <row r="177" spans="1:20" s="329" customFormat="1" ht="12.75">
      <c r="A177" s="498" t="s">
        <v>1230</v>
      </c>
      <c r="F177" s="499" t="str">
        <f>'Sch M-1.3-pg 1'!$J$1</f>
        <v>Schedule M-1.3-E</v>
      </c>
      <c r="G177" s="415"/>
      <c r="H177" s="415"/>
    </row>
    <row r="178" spans="1:20" s="329" customFormat="1" ht="12.75">
      <c r="A178" s="500" t="s">
        <v>1231</v>
      </c>
      <c r="F178" s="499" t="str">
        <f>"Page "&amp;J178&amp;" of "&amp;K178</f>
        <v>Page 19 of 19</v>
      </c>
      <c r="G178" s="415"/>
      <c r="H178" s="415"/>
      <c r="J178" s="329">
        <f>J142+1</f>
        <v>19</v>
      </c>
      <c r="K178" s="329">
        <f>J178</f>
        <v>19</v>
      </c>
    </row>
    <row r="179" spans="1:20" s="329" customFormat="1" ht="12.75">
      <c r="A179" s="500" t="s">
        <v>1223</v>
      </c>
      <c r="F179" s="501" t="str">
        <f>'Sch M-1.3-pg 1'!$J$3</f>
        <v>Witness:  M.J. Blake</v>
      </c>
      <c r="G179" s="415"/>
      <c r="H179" s="415"/>
    </row>
    <row r="180" spans="1:20" s="329" customFormat="1" ht="12.75">
      <c r="A180" s="502"/>
      <c r="B180" s="378"/>
      <c r="C180" s="400"/>
      <c r="D180" s="416"/>
      <c r="E180" s="378"/>
      <c r="F180" s="378"/>
      <c r="G180" s="719"/>
      <c r="H180" s="720"/>
      <c r="I180" s="400"/>
      <c r="J180" s="417"/>
      <c r="K180" s="417"/>
    </row>
    <row r="181" spans="1:20" ht="12.75">
      <c r="A181" s="560"/>
      <c r="B181" s="512"/>
      <c r="C181" s="508" t="s">
        <v>885</v>
      </c>
      <c r="D181" s="508" t="s">
        <v>888</v>
      </c>
      <c r="E181" s="508" t="s">
        <v>1250</v>
      </c>
      <c r="F181" s="561"/>
      <c r="G181" s="417"/>
      <c r="H181" s="417"/>
    </row>
    <row r="182" spans="1:20" ht="12.75">
      <c r="A182" s="562"/>
      <c r="B182" s="563"/>
      <c r="C182" s="514" t="s">
        <v>1249</v>
      </c>
      <c r="D182" s="510" t="s">
        <v>101</v>
      </c>
      <c r="E182" s="509" t="s">
        <v>119</v>
      </c>
      <c r="F182" s="564"/>
      <c r="G182" s="417"/>
      <c r="H182" s="417"/>
      <c r="O182" s="506"/>
    </row>
    <row r="183" spans="1:20" ht="12.75">
      <c r="A183" s="525" t="s">
        <v>731</v>
      </c>
      <c r="B183" s="378"/>
      <c r="C183" s="378"/>
      <c r="D183" s="379"/>
      <c r="E183" s="378"/>
      <c r="F183" s="397"/>
      <c r="G183" s="399"/>
      <c r="H183" s="389"/>
      <c r="I183" s="547"/>
      <c r="M183" s="378"/>
      <c r="N183" s="378"/>
      <c r="O183" s="378"/>
      <c r="P183" s="504"/>
      <c r="R183" s="505"/>
    </row>
    <row r="184" spans="1:20" ht="12.75">
      <c r="A184" s="525" t="s">
        <v>1150</v>
      </c>
      <c r="B184" s="378"/>
      <c r="C184" s="378"/>
      <c r="D184" s="379"/>
      <c r="E184" s="378"/>
      <c r="F184" s="397"/>
      <c r="G184" s="399"/>
      <c r="H184" s="389"/>
      <c r="I184" s="547"/>
      <c r="O184" s="378"/>
      <c r="P184" s="378"/>
      <c r="Q184" s="378"/>
      <c r="R184" s="504"/>
      <c r="T184" s="505"/>
    </row>
    <row r="185" spans="1:20" ht="12.75">
      <c r="A185" s="518" t="s">
        <v>1151</v>
      </c>
      <c r="B185" s="378"/>
      <c r="C185" s="378"/>
      <c r="D185" s="379"/>
      <c r="E185" s="378"/>
      <c r="F185" s="400"/>
      <c r="G185" s="388"/>
      <c r="H185" s="389"/>
      <c r="I185" s="547"/>
      <c r="O185" s="378"/>
      <c r="P185" s="378"/>
      <c r="Q185" s="378"/>
      <c r="R185" s="504"/>
      <c r="T185" s="505"/>
    </row>
    <row r="186" spans="1:20" ht="12.75">
      <c r="A186" s="493" t="s">
        <v>143</v>
      </c>
      <c r="B186" s="378"/>
      <c r="C186" s="378"/>
      <c r="D186" s="389"/>
      <c r="E186" s="389"/>
      <c r="F186" s="400"/>
      <c r="G186" s="388"/>
      <c r="H186" s="389"/>
      <c r="I186" s="547"/>
      <c r="O186" s="378"/>
      <c r="P186" s="378"/>
      <c r="Q186" s="378"/>
      <c r="R186" s="504"/>
      <c r="T186" s="505"/>
    </row>
    <row r="187" spans="1:20" ht="12.75">
      <c r="A187" s="494" t="s">
        <v>1198</v>
      </c>
      <c r="B187" s="427" t="s">
        <v>343</v>
      </c>
      <c r="C187" s="381">
        <f>SUMIF(L_12MonLightsTariffRateCategory,MiscData!$X$5&amp;$B187,L_12MonLights_Count_Total)+SUMIF(L_12MonLightsTariffRateCategory,MiscData!$X$5&amp;$B187,L_12MonLights_Count_OutOfPeriod)</f>
        <v>482</v>
      </c>
      <c r="D187" s="422">
        <f>SUMIF(L_LightingRates_Tariff_Rate_Category,MiscData!$X$5&amp;$B187,L_LightingRates_UnitCharge)</f>
        <v>33.22</v>
      </c>
      <c r="E187" s="389">
        <f t="shared" ref="E187:E188" si="23">ROUND($C187*$D187,0)</f>
        <v>16012</v>
      </c>
      <c r="F187" s="400"/>
      <c r="G187" s="388"/>
      <c r="H187" s="389"/>
      <c r="I187" s="547"/>
      <c r="L187" s="506"/>
      <c r="M187" s="548"/>
      <c r="N187" s="547"/>
      <c r="O187" s="378"/>
      <c r="P187" s="378"/>
      <c r="Q187" s="378"/>
      <c r="R187" s="504"/>
      <c r="T187" s="505"/>
    </row>
    <row r="188" spans="1:20" ht="12.75">
      <c r="A188" s="494" t="s">
        <v>1199</v>
      </c>
      <c r="B188" s="427" t="s">
        <v>345</v>
      </c>
      <c r="C188" s="381">
        <f>SUMIF(L_12MonLightsTariffRateCategory,MiscData!$X$5&amp;$B188,L_12MonLights_Count_Total)+SUMIF(L_12MonLightsTariffRateCategory,MiscData!$X$5&amp;$B188,L_12MonLights_Count_OutOfPeriod)</f>
        <v>2533</v>
      </c>
      <c r="D188" s="422">
        <f>SUMIF(L_LightingRates_Tariff_Rate_Category,MiscData!$X$5&amp;$B188,L_LightingRates_UnitCharge)</f>
        <v>34.090000000000003</v>
      </c>
      <c r="E188" s="389">
        <f t="shared" si="23"/>
        <v>86350</v>
      </c>
      <c r="F188" s="553"/>
      <c r="G188" s="389"/>
      <c r="H188" s="389"/>
      <c r="I188" s="547"/>
      <c r="L188" s="506"/>
      <c r="M188" s="548"/>
      <c r="N188" s="547"/>
      <c r="O188" s="378"/>
      <c r="P188" s="378"/>
      <c r="Q188" s="378"/>
      <c r="R188" s="504"/>
      <c r="T188" s="505"/>
    </row>
    <row r="189" spans="1:20" ht="12.75">
      <c r="A189" s="494" t="s">
        <v>1200</v>
      </c>
      <c r="B189" s="427" t="s">
        <v>347</v>
      </c>
      <c r="C189" s="381">
        <f>SUMIF(L_12MonLightsTariffRateCategory,MiscData!$X$5&amp;$B189,L_12MonLights_Count_Total)+SUMIF(L_12MonLightsTariffRateCategory,MiscData!$X$5&amp;$B189,L_12MonLights_Count_OutOfPeriod)</f>
        <v>155</v>
      </c>
      <c r="D189" s="422">
        <f>SUMIF(L_LightingRates_Tariff_Rate_Category,MiscData!$X$5&amp;$B189,L_LightingRates_UnitCharge)</f>
        <v>32.26</v>
      </c>
      <c r="E189" s="389">
        <f t="shared" ref="E189:E190" si="24">ROUND($C189*$D189,0)</f>
        <v>5000</v>
      </c>
      <c r="F189" s="400"/>
      <c r="G189" s="388"/>
      <c r="H189" s="389"/>
      <c r="I189" s="547"/>
      <c r="L189" s="506"/>
      <c r="M189" s="548"/>
      <c r="N189" s="547"/>
      <c r="O189" s="378"/>
      <c r="P189" s="378"/>
      <c r="Q189" s="378"/>
      <c r="R189" s="504"/>
      <c r="T189" s="505"/>
    </row>
    <row r="190" spans="1:20" ht="12.75">
      <c r="A190" s="494" t="s">
        <v>1201</v>
      </c>
      <c r="B190" s="427" t="s">
        <v>376</v>
      </c>
      <c r="C190" s="381">
        <f>SUMIF(L_12MonLightsTariffRateCategory,MiscData!$X$5&amp;$B190,L_12MonLights_Count_Total)+SUMIF(L_12MonLightsTariffRateCategory,MiscData!$X$5&amp;$B190,L_12MonLights_Count_OutOfPeriod)</f>
        <v>120</v>
      </c>
      <c r="D190" s="422">
        <f>SUMIF(L_LightingRates_Tariff_Rate_Category,MiscData!$X$5&amp;$B190,L_LightingRates_UnitCharge)</f>
        <v>34.330000000000005</v>
      </c>
      <c r="E190" s="389">
        <f t="shared" si="24"/>
        <v>4120</v>
      </c>
      <c r="F190" s="400"/>
      <c r="G190" s="388"/>
      <c r="H190" s="389"/>
      <c r="I190" s="547"/>
      <c r="L190" s="506"/>
      <c r="M190" s="548"/>
      <c r="N190" s="547"/>
      <c r="O190" s="378"/>
      <c r="P190" s="378"/>
      <c r="Q190" s="378"/>
      <c r="R190" s="504"/>
      <c r="T190" s="505"/>
    </row>
    <row r="191" spans="1:20" ht="12.75">
      <c r="A191" s="490"/>
      <c r="B191" s="427"/>
      <c r="C191" s="381"/>
      <c r="D191" s="422"/>
      <c r="E191" s="422"/>
      <c r="F191" s="400"/>
      <c r="G191" s="388"/>
      <c r="H191" s="389"/>
      <c r="I191" s="547"/>
      <c r="L191" s="506"/>
      <c r="M191" s="506"/>
      <c r="N191" s="506"/>
      <c r="O191" s="378"/>
      <c r="P191" s="378"/>
      <c r="Q191" s="378"/>
      <c r="R191" s="504"/>
      <c r="T191" s="505"/>
    </row>
    <row r="192" spans="1:20" ht="12.75">
      <c r="A192" s="493" t="s">
        <v>1131</v>
      </c>
      <c r="B192" s="427"/>
      <c r="C192" s="381"/>
      <c r="D192" s="422"/>
      <c r="E192" s="422"/>
      <c r="F192" s="400"/>
      <c r="G192" s="388"/>
      <c r="H192" s="389"/>
      <c r="I192" s="547"/>
      <c r="L192" s="506"/>
      <c r="M192" s="506"/>
      <c r="N192" s="506"/>
      <c r="O192" s="378"/>
      <c r="P192" s="378"/>
      <c r="Q192" s="378"/>
      <c r="R192" s="504"/>
      <c r="T192" s="505"/>
    </row>
    <row r="193" spans="1:20" ht="12.75">
      <c r="A193" s="494" t="s">
        <v>1152</v>
      </c>
      <c r="B193" s="427" t="s">
        <v>671</v>
      </c>
      <c r="C193" s="381">
        <f>SUMIFS(L_12MonPoles_Count,L_12MonPoles_RateClass,"RLS",L_12MonPoles_RateCategory,B193)+SUMIFS(L_12MonPoles_Count_Adj,L_12MonPoles_RateClass,"RLS",L_12MonPoles_RateCategory,B193)</f>
        <v>918</v>
      </c>
      <c r="D193" s="422">
        <f>SUMIF(PoleRates!$E$4:$E$104,MiscData!$X$5&amp;B193,PoleRates!$F$4:$F$104)</f>
        <v>3.47</v>
      </c>
      <c r="E193" s="389">
        <f t="shared" ref="E193" si="25">ROUND($C193*$D193,0)</f>
        <v>3185</v>
      </c>
      <c r="F193" s="400"/>
      <c r="G193" s="388"/>
      <c r="H193" s="389"/>
      <c r="I193" s="547"/>
      <c r="L193" s="506"/>
      <c r="M193" s="554"/>
      <c r="N193" s="554"/>
      <c r="O193" s="378"/>
      <c r="P193" s="378"/>
      <c r="Q193" s="378"/>
      <c r="R193" s="504"/>
      <c r="T193" s="505"/>
    </row>
    <row r="194" spans="1:20" ht="12.75">
      <c r="A194" s="490" t="s">
        <v>1153</v>
      </c>
      <c r="B194" s="433" t="s">
        <v>672</v>
      </c>
      <c r="C194" s="381">
        <f>SUMIFS(L_12MonPoles_Count,L_12MonPoles_RateClass,"RLS",L_12MonPoles_RateCategory,B194)+SUMIFS(L_12MonPoles_Count_Adj,L_12MonPoles_RateClass,"RLS",L_12MonPoles_RateCategory,B194)</f>
        <v>2340</v>
      </c>
      <c r="D194" s="422">
        <f>SUMIF(PoleRates!$E$4:$E$104,MiscData!$X$5&amp;B194,PoleRates!$F$4:$F$104)</f>
        <v>3.73</v>
      </c>
      <c r="E194" s="389">
        <f t="shared" ref="E194:E195" si="26">ROUND($C194*$D194,0)</f>
        <v>8728</v>
      </c>
      <c r="F194" s="400"/>
      <c r="G194" s="388"/>
      <c r="H194" s="389"/>
      <c r="I194" s="547"/>
      <c r="L194" s="506"/>
      <c r="M194" s="554"/>
      <c r="N194" s="554"/>
      <c r="O194" s="378"/>
      <c r="P194" s="378"/>
      <c r="Q194" s="378"/>
      <c r="R194" s="504"/>
      <c r="T194" s="505"/>
    </row>
    <row r="195" spans="1:20" ht="12.75">
      <c r="A195" s="490" t="s">
        <v>1202</v>
      </c>
      <c r="B195" s="427" t="s">
        <v>677</v>
      </c>
      <c r="C195" s="381">
        <f>SUMIFS(L_12MonPoles_Count,L_12MonPoles_RateClass,"RLS",L_12MonPoles_RateCategory,B195)+SUMIFS(L_12MonPoles_Count_Adj,L_12MonPoles_RateClass,"RLS",L_12MonPoles_RateCategory,B195)</f>
        <v>2868</v>
      </c>
      <c r="D195" s="422">
        <f>SUMIF(PoleRates!$E$4:$E$104,MiscData!$X$5&amp;B195,PoleRates!$F$4:$F$104)</f>
        <v>3.56</v>
      </c>
      <c r="E195" s="389">
        <f t="shared" si="26"/>
        <v>10210</v>
      </c>
      <c r="F195" s="400"/>
      <c r="G195" s="388"/>
      <c r="H195" s="389"/>
      <c r="I195" s="547"/>
      <c r="L195" s="506"/>
      <c r="M195" s="554"/>
      <c r="N195" s="554"/>
      <c r="O195" s="378"/>
      <c r="P195" s="378"/>
      <c r="Q195" s="378"/>
      <c r="R195" s="504"/>
      <c r="T195" s="505"/>
    </row>
    <row r="196" spans="1:20" ht="12.75">
      <c r="A196" s="493" t="s">
        <v>732</v>
      </c>
      <c r="B196" s="427"/>
      <c r="C196" s="381"/>
      <c r="D196" s="422"/>
      <c r="E196" s="422"/>
      <c r="F196" s="400"/>
      <c r="G196" s="388"/>
      <c r="H196" s="389"/>
      <c r="I196" s="547"/>
      <c r="L196" s="506"/>
      <c r="M196" s="506"/>
      <c r="N196" s="506"/>
      <c r="O196" s="378"/>
      <c r="P196" s="378"/>
      <c r="Q196" s="378"/>
      <c r="R196" s="504"/>
      <c r="T196" s="505"/>
    </row>
    <row r="197" spans="1:20" ht="12.75">
      <c r="A197" s="494" t="s">
        <v>1154</v>
      </c>
      <c r="B197" s="427" t="s">
        <v>666</v>
      </c>
      <c r="C197" s="381">
        <f>SUMIFS(L_12MonPoles_Count,L_12MonPoles_RateClass,"RLS",L_12MonPoles_RateCategory,B197)+SUMIFS(L_12MonPoles_Count_Adj,L_12MonPoles_RateClass,"RLS",L_12MonPoles_RateCategory,B197)</f>
        <v>1878</v>
      </c>
      <c r="D197" s="422">
        <f>SUMIF(PoleRates!$E$4:$E$104,MiscData!$X$5&amp;B197,PoleRates!$F$4:$F$104)</f>
        <v>10.81</v>
      </c>
      <c r="E197" s="389">
        <f t="shared" ref="E197:E198" si="27">ROUND($C197*$D197,0)</f>
        <v>20301</v>
      </c>
      <c r="F197" s="400"/>
      <c r="G197" s="388"/>
      <c r="H197" s="389"/>
      <c r="I197" s="547"/>
      <c r="L197" s="506"/>
      <c r="M197" s="506"/>
      <c r="N197" s="506"/>
      <c r="O197" s="378"/>
      <c r="P197" s="378"/>
      <c r="Q197" s="378"/>
      <c r="R197" s="504"/>
      <c r="T197" s="505"/>
    </row>
    <row r="198" spans="1:20" ht="12.75">
      <c r="A198" s="490" t="s">
        <v>1155</v>
      </c>
      <c r="B198" s="427" t="s">
        <v>667</v>
      </c>
      <c r="C198" s="381">
        <f>SUMIFS(L_12MonPoles_Count,L_12MonPoles_RateClass,"RLS",L_12MonPoles_RateCategory,B198)+SUMIFS(L_12MonPoles_Count_Adj,L_12MonPoles_RateClass,"RLS",L_12MonPoles_RateCategory,B198)</f>
        <v>3324</v>
      </c>
      <c r="D198" s="422">
        <f>SUMIF(PoleRates!$E$4:$E$104,MiscData!$X$5&amp;B198,PoleRates!$F$4:$F$104)</f>
        <v>12.9</v>
      </c>
      <c r="E198" s="389">
        <f t="shared" si="27"/>
        <v>42880</v>
      </c>
      <c r="F198" s="400"/>
      <c r="G198" s="388"/>
      <c r="H198" s="389"/>
      <c r="I198" s="547"/>
      <c r="L198" s="506"/>
      <c r="M198" s="506"/>
      <c r="N198" s="506"/>
      <c r="O198" s="378"/>
      <c r="P198" s="378"/>
      <c r="Q198" s="378"/>
      <c r="R198" s="504"/>
      <c r="T198" s="505"/>
    </row>
    <row r="199" spans="1:20" ht="12.75">
      <c r="A199" s="490"/>
      <c r="B199" s="427"/>
      <c r="C199" s="381"/>
      <c r="D199" s="422"/>
      <c r="E199" s="422"/>
      <c r="F199" s="400"/>
      <c r="G199" s="388"/>
      <c r="H199" s="389"/>
      <c r="I199" s="547"/>
      <c r="L199" s="506"/>
      <c r="M199" s="506"/>
      <c r="N199" s="506"/>
      <c r="O199" s="378"/>
      <c r="P199" s="378"/>
      <c r="Q199" s="378"/>
      <c r="R199" s="504"/>
      <c r="T199" s="505"/>
    </row>
    <row r="200" spans="1:20" ht="12.75">
      <c r="A200" s="493" t="s">
        <v>144</v>
      </c>
      <c r="B200" s="378"/>
      <c r="C200" s="378"/>
      <c r="D200" s="389"/>
      <c r="E200" s="389"/>
      <c r="F200" s="400"/>
      <c r="H200" s="389"/>
      <c r="I200" s="547"/>
      <c r="O200" s="378"/>
      <c r="P200" s="378"/>
      <c r="Q200" s="378"/>
      <c r="R200" s="504"/>
      <c r="T200" s="505"/>
    </row>
    <row r="201" spans="1:20" ht="12.75">
      <c r="A201" s="494" t="s">
        <v>1156</v>
      </c>
      <c r="B201" s="427" t="s">
        <v>291</v>
      </c>
      <c r="C201" s="381">
        <f>SUMIF(L_12MonLightsTariffRateCategory,MiscData!$X$5&amp;$B201,L_12MonLights_Count_Total)+SUMIF(L_12MonLightsTariffRateCategory,MiscData!$X$5&amp;$B201,L_12MonLights_Count_OutOfPeriod)</f>
        <v>639</v>
      </c>
      <c r="D201" s="422">
        <f>SUMIF(L_LightingRates_Tariff_Rate_Category,MiscData!$X$5&amp;$B201,L_LightingRates_UnitCharge)</f>
        <v>17.419999999999998</v>
      </c>
      <c r="E201" s="389">
        <f t="shared" ref="E201:E204" si="28">ROUND($C201*$D201,0)</f>
        <v>11131</v>
      </c>
      <c r="F201" s="400"/>
      <c r="H201" s="389"/>
      <c r="I201" s="547"/>
      <c r="L201" s="506"/>
      <c r="M201" s="548"/>
      <c r="N201" s="547"/>
      <c r="O201" s="378"/>
      <c r="P201" s="378"/>
      <c r="Q201" s="378"/>
      <c r="R201" s="504"/>
      <c r="T201" s="505"/>
    </row>
    <row r="202" spans="1:20" ht="12.75">
      <c r="A202" s="490" t="s">
        <v>1157</v>
      </c>
      <c r="B202" s="427" t="s">
        <v>287</v>
      </c>
      <c r="C202" s="381">
        <f>SUMIF(L_12MonLightsTariffRateCategory,MiscData!$X$5&amp;$B202,L_12MonLights_Count_Total)+SUMIF(L_12MonLightsTariffRateCategory,MiscData!$X$5&amp;$B202,L_12MonLights_Count_OutOfPeriod)</f>
        <v>6398</v>
      </c>
      <c r="D202" s="422">
        <f>SUMIF(L_LightingRates_Tariff_Rate_Category,MiscData!$X$5&amp;$B202,L_LightingRates_UnitCharge)</f>
        <v>19.2</v>
      </c>
      <c r="E202" s="389">
        <f t="shared" si="28"/>
        <v>122842</v>
      </c>
      <c r="F202" s="379"/>
      <c r="H202" s="389"/>
      <c r="I202" s="547"/>
      <c r="L202" s="506"/>
      <c r="M202" s="548"/>
      <c r="N202" s="547"/>
      <c r="O202" s="378"/>
      <c r="P202" s="378"/>
      <c r="Q202" s="378"/>
      <c r="R202" s="504"/>
      <c r="T202" s="505"/>
    </row>
    <row r="203" spans="1:20" ht="12.75">
      <c r="A203" s="490" t="s">
        <v>1158</v>
      </c>
      <c r="B203" s="427" t="s">
        <v>288</v>
      </c>
      <c r="C203" s="381">
        <f>SUMIF(L_12MonLightsTariffRateCategory,MiscData!$X$5&amp;$B203,L_12MonLights_Count_Total)+SUMIF(L_12MonLightsTariffRateCategory,MiscData!$X$5&amp;$B203,L_12MonLights_Count_OutOfPeriod)</f>
        <v>6172</v>
      </c>
      <c r="D203" s="422">
        <f>SUMIF(L_LightingRates_Tariff_Rate_Category,MiscData!$X$5&amp;$B203,L_LightingRates_UnitCharge)</f>
        <v>22.949999999999996</v>
      </c>
      <c r="E203" s="389">
        <f t="shared" si="28"/>
        <v>141647</v>
      </c>
      <c r="F203" s="400"/>
      <c r="H203" s="389"/>
      <c r="I203" s="547"/>
      <c r="L203" s="506"/>
      <c r="M203" s="548"/>
      <c r="N203" s="547"/>
      <c r="O203" s="378"/>
      <c r="P203" s="378"/>
      <c r="Q203" s="378"/>
      <c r="R203" s="504"/>
      <c r="T203" s="505"/>
    </row>
    <row r="204" spans="1:20" ht="12.75">
      <c r="A204" s="490" t="s">
        <v>1159</v>
      </c>
      <c r="B204" s="427" t="s">
        <v>581</v>
      </c>
      <c r="C204" s="381">
        <f>SUMIF(L_12MonLightsTariffRateCategory,MiscData!$X$5&amp;$B204,L_12MonLights_Count_Total)+SUMIF(L_12MonLightsTariffRateCategory,MiscData!$X$5&amp;$B204,L_12MonLights_Count_OutOfPeriod)</f>
        <v>0</v>
      </c>
      <c r="D204" s="422">
        <f>SUMIF(L_LightingRates_Tariff_Rate_Category,MiscData!$X$5&amp;$B204,L_LightingRates_UnitCharge)</f>
        <v>22.939999999999998</v>
      </c>
      <c r="E204" s="389">
        <f t="shared" si="28"/>
        <v>0</v>
      </c>
      <c r="F204" s="400"/>
      <c r="H204" s="389"/>
      <c r="I204" s="547"/>
      <c r="L204" s="506"/>
      <c r="M204" s="548"/>
      <c r="N204" s="547"/>
      <c r="O204" s="378"/>
      <c r="P204" s="378"/>
      <c r="Q204" s="378"/>
      <c r="R204" s="504"/>
      <c r="T204" s="505"/>
    </row>
    <row r="205" spans="1:20" ht="12.75">
      <c r="A205" s="494"/>
      <c r="B205" s="427"/>
      <c r="C205" s="381"/>
      <c r="D205" s="422"/>
      <c r="E205" s="382"/>
      <c r="F205" s="400"/>
      <c r="H205" s="389"/>
      <c r="I205" s="547"/>
      <c r="L205" s="506"/>
      <c r="M205" s="506"/>
      <c r="N205" s="506"/>
      <c r="O205" s="378"/>
      <c r="P205" s="378"/>
      <c r="Q205" s="378"/>
      <c r="R205" s="504"/>
      <c r="T205" s="505"/>
    </row>
    <row r="206" spans="1:20" ht="12.75">
      <c r="A206" s="490" t="s">
        <v>1160</v>
      </c>
      <c r="B206" s="427" t="s">
        <v>243</v>
      </c>
      <c r="C206" s="381">
        <f>SUMIF(L_12MonLightsTariffRateCategory,MiscData!$X$5&amp;$B206,L_12MonLights_Count_Total)+SUMIF(L_12MonLightsTariffRateCategory,MiscData!$X$5&amp;$B206,L_12MonLights_Count_OutOfPeriod)</f>
        <v>1144</v>
      </c>
      <c r="D206" s="422">
        <f>SUMIF(L_LightingRates_Tariff_Rate_Category,MiscData!$X$5&amp;$B206,L_LightingRates_UnitCharge)</f>
        <v>12.450000000000001</v>
      </c>
      <c r="E206" s="389">
        <f t="shared" ref="E206:E207" si="29">ROUND($C206*$D206,0)</f>
        <v>14243</v>
      </c>
      <c r="F206" s="379"/>
      <c r="H206" s="389"/>
      <c r="I206" s="547"/>
      <c r="L206" s="506"/>
      <c r="M206" s="548"/>
      <c r="N206" s="547"/>
      <c r="O206" s="378"/>
      <c r="P206" s="378"/>
      <c r="Q206" s="378"/>
      <c r="R206" s="504"/>
      <c r="T206" s="505"/>
    </row>
    <row r="207" spans="1:20" ht="12.75">
      <c r="A207" s="494" t="s">
        <v>1161</v>
      </c>
      <c r="B207" s="427" t="s">
        <v>245</v>
      </c>
      <c r="C207" s="381">
        <f>SUMIF(L_12MonLightsTariffRateCategory,MiscData!$X$5&amp;$B207,L_12MonLights_Count_Total)+SUMIF(L_12MonLightsTariffRateCategory,MiscData!$X$5&amp;$B207,L_12MonLights_Count_OutOfPeriod)</f>
        <v>16808</v>
      </c>
      <c r="D207" s="422">
        <f>SUMIF(L_LightingRates_Tariff_Rate_Category,MiscData!$X$5&amp;$B207,L_LightingRates_UnitCharge)</f>
        <v>14.24</v>
      </c>
      <c r="E207" s="389">
        <f t="shared" si="29"/>
        <v>239346</v>
      </c>
      <c r="F207" s="400"/>
      <c r="H207" s="389"/>
      <c r="I207" s="547"/>
      <c r="L207" s="506"/>
      <c r="M207" s="548"/>
      <c r="N207" s="547"/>
      <c r="O207" s="378"/>
      <c r="P207" s="378"/>
      <c r="Q207" s="378"/>
      <c r="R207" s="504"/>
      <c r="T207" s="505"/>
    </row>
    <row r="208" spans="1:20" ht="12.75">
      <c r="A208" s="490"/>
      <c r="B208" s="427"/>
      <c r="C208" s="381"/>
      <c r="D208" s="422"/>
      <c r="E208" s="382"/>
      <c r="F208" s="379"/>
      <c r="H208" s="389"/>
      <c r="I208" s="547"/>
      <c r="L208" s="506"/>
      <c r="M208" s="506"/>
      <c r="N208" s="506"/>
      <c r="O208" s="378"/>
      <c r="P208" s="378"/>
      <c r="Q208" s="378"/>
      <c r="R208" s="504"/>
      <c r="T208" s="505"/>
    </row>
    <row r="209" spans="1:20" ht="12.75">
      <c r="A209" s="493" t="s">
        <v>915</v>
      </c>
      <c r="B209" s="378"/>
      <c r="C209" s="378"/>
      <c r="D209" s="389"/>
      <c r="E209" s="389"/>
      <c r="F209" s="400"/>
      <c r="H209" s="389"/>
      <c r="I209" s="547"/>
      <c r="O209" s="378"/>
      <c r="P209" s="378"/>
      <c r="Q209" s="378"/>
      <c r="R209" s="504"/>
      <c r="T209" s="505"/>
    </row>
    <row r="210" spans="1:20" ht="12.75">
      <c r="A210" s="494" t="s">
        <v>1162</v>
      </c>
      <c r="B210" s="427" t="s">
        <v>299</v>
      </c>
      <c r="C210" s="381">
        <f>SUMIF(L_12MonLightsTariffRateCategory,MiscData!$X$5&amp;$B210,L_12MonLights_Count_Total)+SUMIF(L_12MonLightsTariffRateCategory,MiscData!$X$5&amp;$B210,L_12MonLights_Count_OutOfPeriod)</f>
        <v>199</v>
      </c>
      <c r="D210" s="422">
        <f>SUMIF(L_LightingRates_Tariff_Rate_Category,MiscData!$X$5&amp;$B210,L_LightingRates_UnitCharge)</f>
        <v>9.0200000000000014</v>
      </c>
      <c r="E210" s="389">
        <f t="shared" ref="E210:E211" si="30">ROUND($C210*$D210,0)</f>
        <v>1795</v>
      </c>
      <c r="F210" s="400"/>
      <c r="H210" s="389"/>
      <c r="I210" s="547"/>
      <c r="L210" s="506"/>
      <c r="M210" s="548"/>
      <c r="N210" s="547"/>
      <c r="O210" s="378"/>
      <c r="P210" s="378"/>
      <c r="Q210" s="378"/>
      <c r="R210" s="504"/>
      <c r="T210" s="505"/>
    </row>
    <row r="211" spans="1:20" ht="12.75">
      <c r="A211" s="490" t="s">
        <v>1163</v>
      </c>
      <c r="B211" s="427" t="s">
        <v>297</v>
      </c>
      <c r="C211" s="381">
        <f>SUMIF(L_12MonLightsTariffRateCategory,MiscData!$X$5&amp;$B211,L_12MonLights_Count_Total)+SUMIF(L_12MonLightsTariffRateCategory,MiscData!$X$5&amp;$B211,L_12MonLights_Count_OutOfPeriod)</f>
        <v>470</v>
      </c>
      <c r="D211" s="422">
        <f>SUMIF(L_LightingRates_Tariff_Rate_Category,MiscData!$X$5&amp;$B211,L_LightingRates_UnitCharge)</f>
        <v>13.12</v>
      </c>
      <c r="E211" s="389">
        <f t="shared" si="30"/>
        <v>6166</v>
      </c>
      <c r="F211" s="400"/>
      <c r="H211" s="389"/>
      <c r="I211" s="547"/>
      <c r="L211" s="506"/>
      <c r="M211" s="548"/>
      <c r="N211" s="547"/>
      <c r="O211" s="378"/>
      <c r="P211" s="378"/>
      <c r="Q211" s="378"/>
      <c r="R211" s="504"/>
      <c r="T211" s="505"/>
    </row>
    <row r="212" spans="1:20" ht="12.75">
      <c r="H212" s="389"/>
      <c r="I212" s="547"/>
    </row>
    <row r="213" spans="1:20" ht="12.75">
      <c r="A213" s="559" t="s">
        <v>760</v>
      </c>
      <c r="E213" s="380">
        <f>'12MonLights'!$L$885+3</f>
        <v>9152.1299999998973</v>
      </c>
      <c r="F213" s="400"/>
      <c r="G213" s="386"/>
      <c r="H213" s="389"/>
      <c r="I213" s="547"/>
      <c r="J213" s="504"/>
      <c r="O213" s="378"/>
      <c r="P213" s="378"/>
      <c r="Q213" s="378"/>
    </row>
    <row r="214" spans="1:20" ht="12.75">
      <c r="A214" s="552"/>
      <c r="B214" s="429"/>
      <c r="C214" s="381"/>
      <c r="D214" s="422"/>
      <c r="E214" s="380"/>
      <c r="F214" s="400"/>
      <c r="G214" s="386"/>
      <c r="H214" s="389"/>
      <c r="I214" s="547"/>
      <c r="J214" s="504"/>
      <c r="O214" s="378"/>
      <c r="P214" s="378"/>
      <c r="Q214" s="378"/>
    </row>
    <row r="215" spans="1:20" ht="15">
      <c r="A215" s="435" t="s">
        <v>736</v>
      </c>
      <c r="B215" s="378"/>
      <c r="C215" s="387">
        <f>SUM(C120:C136,C155:C173,C187:C190,C201:C211)</f>
        <v>498542</v>
      </c>
      <c r="D215" s="380"/>
      <c r="E215" s="380">
        <f>SUM(E120:E214)</f>
        <v>8797640.1300000008</v>
      </c>
      <c r="F215" s="524"/>
      <c r="G215" s="393"/>
      <c r="H215" s="389"/>
      <c r="I215" s="547"/>
      <c r="J215" s="504"/>
      <c r="O215" s="378"/>
      <c r="P215" s="378"/>
      <c r="Q215" s="378"/>
      <c r="R215" s="504"/>
      <c r="T215" s="505"/>
    </row>
    <row r="216" spans="1:20" ht="12.75">
      <c r="A216" s="435"/>
      <c r="B216" s="378"/>
      <c r="C216" s="378"/>
      <c r="E216" s="717">
        <f>'Sch M-1.3-pg 1'!$J$56</f>
        <v>0.99062338916737591</v>
      </c>
      <c r="F216" s="397"/>
      <c r="H216" s="389"/>
      <c r="I216" s="547"/>
      <c r="O216" s="378"/>
      <c r="P216" s="378"/>
      <c r="Q216" s="378"/>
      <c r="R216" s="504"/>
    </row>
    <row r="217" spans="1:20" ht="12.75">
      <c r="A217" s="435"/>
      <c r="B217" s="378"/>
      <c r="C217" s="378"/>
      <c r="D217" s="432"/>
      <c r="E217" s="432"/>
      <c r="F217" s="400"/>
      <c r="H217" s="389"/>
      <c r="I217" s="547"/>
      <c r="O217" s="378"/>
      <c r="P217" s="378"/>
      <c r="Q217" s="378"/>
      <c r="R217" s="504"/>
    </row>
    <row r="218" spans="1:20" ht="15">
      <c r="A218" s="525" t="s">
        <v>125</v>
      </c>
      <c r="B218" s="378"/>
      <c r="C218" s="378"/>
      <c r="E218" s="391">
        <f>ROUND(E215/E216,0)</f>
        <v>8880913</v>
      </c>
      <c r="F218" s="400"/>
      <c r="H218" s="389"/>
      <c r="I218" s="547"/>
      <c r="O218" s="378"/>
      <c r="P218" s="378"/>
      <c r="Q218" s="378"/>
      <c r="R218" s="504"/>
    </row>
    <row r="219" spans="1:20" ht="15">
      <c r="A219" s="525" t="s">
        <v>126</v>
      </c>
      <c r="B219" s="378"/>
      <c r="C219" s="378"/>
      <c r="D219" s="378"/>
      <c r="E219" s="423"/>
      <c r="F219" s="400"/>
      <c r="H219" s="389"/>
      <c r="I219" s="547"/>
      <c r="O219" s="378"/>
      <c r="P219" s="378"/>
      <c r="Q219" s="378"/>
    </row>
    <row r="220" spans="1:20" ht="12.75">
      <c r="A220" s="525" t="s">
        <v>127</v>
      </c>
      <c r="B220" s="378"/>
      <c r="C220" s="378"/>
      <c r="D220" s="378"/>
      <c r="E220" s="380">
        <f>'Sch M-1.3-pg 1'!$D$54</f>
        <v>-21029.831087499704</v>
      </c>
      <c r="F220" s="400"/>
      <c r="H220" s="389"/>
      <c r="I220" s="547"/>
      <c r="O220" s="378"/>
      <c r="P220" s="378"/>
      <c r="Q220" s="378"/>
      <c r="R220" s="378"/>
    </row>
    <row r="221" spans="1:20" ht="12.75">
      <c r="A221" s="525" t="s">
        <v>129</v>
      </c>
      <c r="B221" s="378"/>
      <c r="C221" s="378"/>
      <c r="D221" s="378"/>
      <c r="E221" s="380">
        <f>'Sch M-1.3-pg 1'!$F$54</f>
        <v>294681.87620565359</v>
      </c>
      <c r="F221" s="400"/>
      <c r="H221" s="389"/>
      <c r="I221" s="547"/>
      <c r="O221" s="378"/>
      <c r="P221" s="378"/>
      <c r="Q221" s="378"/>
      <c r="R221" s="378"/>
    </row>
    <row r="222" spans="1:20" ht="15">
      <c r="A222" s="527"/>
      <c r="B222" s="378"/>
      <c r="C222" s="378"/>
      <c r="D222" s="378"/>
      <c r="E222" s="423"/>
      <c r="F222" s="400"/>
      <c r="H222" s="389"/>
      <c r="I222" s="547"/>
      <c r="O222" s="378"/>
      <c r="P222" s="378"/>
      <c r="Q222" s="378"/>
      <c r="R222" s="504"/>
    </row>
    <row r="223" spans="1:20" ht="15">
      <c r="A223" s="527" t="s">
        <v>131</v>
      </c>
      <c r="B223" s="378"/>
      <c r="C223" s="378"/>
      <c r="D223" s="378"/>
      <c r="E223" s="718">
        <f>SUM(E218:E221)</f>
        <v>9154565.0451181531</v>
      </c>
      <c r="F223" s="400"/>
      <c r="H223" s="389"/>
      <c r="I223" s="547"/>
      <c r="O223" s="378"/>
      <c r="P223" s="378"/>
      <c r="Q223" s="378"/>
      <c r="R223" s="378"/>
    </row>
    <row r="224" spans="1:20" ht="15">
      <c r="A224" s="527" t="s">
        <v>1342</v>
      </c>
      <c r="B224" s="378"/>
      <c r="C224" s="378"/>
      <c r="D224" s="378"/>
      <c r="E224" s="718">
        <f>E223+E106</f>
        <v>18725198.128827002</v>
      </c>
      <c r="F224" s="400"/>
      <c r="H224" s="389"/>
      <c r="I224" s="547"/>
      <c r="O224" s="378"/>
      <c r="P224" s="378"/>
      <c r="Q224" s="378"/>
      <c r="R224" s="378"/>
    </row>
    <row r="225" spans="1:20" ht="15">
      <c r="A225" s="421"/>
      <c r="B225" s="378"/>
      <c r="C225" s="378"/>
      <c r="D225" s="378"/>
      <c r="E225" s="423"/>
      <c r="F225" s="400"/>
      <c r="H225" s="389"/>
      <c r="I225" s="547"/>
      <c r="O225" s="378"/>
      <c r="P225" s="378"/>
      <c r="Q225" s="378"/>
      <c r="R225" s="378"/>
    </row>
    <row r="226" spans="1:20" ht="12.75">
      <c r="A226" s="435"/>
      <c r="B226" s="378"/>
      <c r="C226" s="387"/>
      <c r="D226" s="387"/>
      <c r="E226" s="387"/>
      <c r="F226" s="400"/>
      <c r="G226" s="388"/>
      <c r="H226" s="389"/>
      <c r="I226" s="547"/>
      <c r="J226" s="504"/>
      <c r="O226" s="378"/>
      <c r="P226" s="378"/>
      <c r="Q226" s="378"/>
      <c r="R226" s="504"/>
      <c r="T226" s="505"/>
    </row>
  </sheetData>
  <mergeCells count="6">
    <mergeCell ref="G180:H180"/>
    <mergeCell ref="G4:H4"/>
    <mergeCell ref="G29:H29"/>
    <mergeCell ref="G67:H67"/>
    <mergeCell ref="G113:H113"/>
    <mergeCell ref="G144:H144"/>
  </mergeCells>
  <conditionalFormatting sqref="D226 D171 D109">
    <cfRule type="notContainsBlanks" dxfId="39" priority="41">
      <formula>LEN(TRIM(D109))&gt;0</formula>
    </cfRule>
  </conditionalFormatting>
  <printOptions horizontalCentered="1"/>
  <pageMargins left="0.7" right="0.7" top="1.21" bottom="0.63" header="0.48" footer="0.3"/>
  <pageSetup scale="75" fitToHeight="9" orientation="landscape" r:id="rId1"/>
  <headerFooter scaleWithDoc="0">
    <oddHeader>&amp;C&amp;"Calibri,Bold"&amp;10Louisville Gas and Electric Company
Case No. 2014-00372
Base Period Revenues by Rate Schedule at Present  Rates for theTwelve Months Ended February 28, 2015
Electric Operations</oddHeader>
  </headerFooter>
  <rowBreaks count="6" manualBreakCount="6">
    <brk id="24" max="5" man="1"/>
    <brk id="62" max="5" man="1"/>
    <brk id="108" max="5" man="1"/>
    <brk id="139" max="5" man="1"/>
    <brk id="176" max="5" man="1"/>
    <brk id="225" max="1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
  <sheetViews>
    <sheetView workbookViewId="0"/>
  </sheetViews>
  <sheetFormatPr defaultRowHeight="12"/>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filterMode="1"/>
  <dimension ref="A1:BK584"/>
  <sheetViews>
    <sheetView workbookViewId="0">
      <pane xSplit="4" ySplit="3" topLeftCell="E24" activePane="bottomRight" state="frozen"/>
      <selection pane="topRight" activeCell="E1" sqref="E1"/>
      <selection pane="bottomLeft" activeCell="A4" sqref="A4"/>
      <selection pane="bottomRight" activeCell="A2" sqref="A2"/>
    </sheetView>
  </sheetViews>
  <sheetFormatPr defaultColWidth="9.33203125" defaultRowHeight="12"/>
  <cols>
    <col min="1" max="1" width="6.83203125" style="265" customWidth="1"/>
    <col min="2" max="2" width="12.33203125" style="261" bestFit="1" customWidth="1"/>
    <col min="3" max="3" width="9.5" style="261" bestFit="1" customWidth="1"/>
    <col min="4" max="4" width="15" style="261" bestFit="1" customWidth="1"/>
    <col min="5" max="5" width="12.1640625" style="295" customWidth="1"/>
    <col min="6" max="9" width="12.1640625" style="261" customWidth="1"/>
    <col min="10" max="11" width="16.5" style="261" customWidth="1"/>
    <col min="12" max="12" width="20.83203125" style="262" bestFit="1" customWidth="1"/>
    <col min="13" max="13" width="19" style="262" bestFit="1" customWidth="1"/>
    <col min="14" max="14" width="19.5" style="262" bestFit="1" customWidth="1"/>
    <col min="15" max="16" width="17.33203125" style="262" bestFit="1" customWidth="1"/>
    <col min="17" max="17" width="15.5" style="262" bestFit="1" customWidth="1"/>
    <col min="18" max="19" width="11.33203125" style="261" customWidth="1"/>
    <col min="20" max="20" width="10.1640625" style="261" bestFit="1" customWidth="1"/>
    <col min="21" max="21" width="12.1640625" style="261" customWidth="1"/>
    <col min="22" max="22" width="12.6640625" style="261" customWidth="1"/>
    <col min="23" max="23" width="14.33203125" style="261" bestFit="1" customWidth="1"/>
    <col min="24" max="24" width="14.6640625" style="295" customWidth="1"/>
    <col min="25" max="25" width="16.6640625" style="261" bestFit="1" customWidth="1"/>
    <col min="26" max="26" width="16" style="261" customWidth="1"/>
    <col min="27" max="27" width="17.83203125" style="265" bestFit="1" customWidth="1"/>
    <col min="28" max="28" width="18.5" style="265" customWidth="1"/>
    <col min="29" max="29" width="16" style="265" customWidth="1"/>
    <col min="30" max="30" width="16.5" style="265" bestFit="1" customWidth="1"/>
    <col min="31" max="32" width="16.5" style="265" customWidth="1"/>
    <col min="33" max="33" width="18.6640625" style="265" customWidth="1"/>
    <col min="34" max="34" width="18.83203125" style="265" bestFit="1" customWidth="1"/>
    <col min="35" max="36" width="18.6640625" style="265" customWidth="1"/>
    <col min="37" max="37" width="20.1640625" style="265" bestFit="1" customWidth="1"/>
    <col min="38" max="39" width="15.33203125" style="265" bestFit="1" customWidth="1"/>
    <col min="40" max="42" width="14.33203125" style="265" bestFit="1" customWidth="1"/>
    <col min="43" max="43" width="14.1640625" style="265" bestFit="1" customWidth="1"/>
    <col min="44" max="44" width="17.6640625" style="265" customWidth="1"/>
    <col min="45" max="46" width="17" style="265" customWidth="1"/>
    <col min="47" max="47" width="16" style="265" bestFit="1" customWidth="1"/>
    <col min="48" max="49" width="15.33203125" style="265" bestFit="1" customWidth="1"/>
    <col min="50" max="50" width="15.5" style="265" bestFit="1" customWidth="1"/>
    <col min="51" max="54" width="9.33203125" style="265"/>
    <col min="55" max="55" width="10.83203125" style="261" bestFit="1" customWidth="1"/>
    <col min="56" max="56" width="21.6640625" style="261" bestFit="1" customWidth="1"/>
    <col min="57" max="57" width="18.6640625" style="265" bestFit="1" customWidth="1"/>
    <col min="58" max="58" width="9.5" style="265" bestFit="1" customWidth="1"/>
    <col min="59" max="60" width="9.33203125" style="265"/>
    <col min="61" max="61" width="9.5" style="265" bestFit="1" customWidth="1"/>
    <col min="62" max="62" width="15" style="265" bestFit="1" customWidth="1"/>
    <col min="63" max="16384" width="9.33203125" style="265"/>
  </cols>
  <sheetData>
    <row r="1" spans="1:63" ht="22.5" customHeight="1">
      <c r="A1" s="260"/>
      <c r="B1" s="260"/>
      <c r="E1" s="261"/>
      <c r="O1" s="263"/>
      <c r="P1" s="263"/>
      <c r="Q1" s="263"/>
      <c r="X1" s="261"/>
      <c r="AA1" s="261"/>
      <c r="AB1" s="261"/>
      <c r="AC1" s="261"/>
      <c r="AD1" s="261"/>
      <c r="AE1" s="261"/>
      <c r="AF1" s="261"/>
      <c r="AG1" s="261"/>
      <c r="AH1" s="261"/>
      <c r="AI1" s="261"/>
      <c r="AJ1" s="261"/>
      <c r="AK1" s="261"/>
      <c r="AL1" s="261"/>
      <c r="AM1" s="261"/>
      <c r="AN1" s="264"/>
      <c r="AO1" s="261"/>
      <c r="AP1" s="261"/>
      <c r="AQ1" s="261"/>
      <c r="AR1" s="261"/>
      <c r="AS1" s="261"/>
      <c r="AT1" s="261"/>
      <c r="AU1" s="261"/>
      <c r="BC1" s="721" t="s">
        <v>721</v>
      </c>
      <c r="BD1" s="721"/>
      <c r="BE1" s="721"/>
    </row>
    <row r="2" spans="1:63">
      <c r="A2" s="260"/>
      <c r="B2" s="260"/>
      <c r="E2" s="261"/>
      <c r="X2" s="261"/>
      <c r="AA2" s="261"/>
      <c r="AB2" s="261"/>
      <c r="AC2" s="261"/>
      <c r="AD2" s="261"/>
      <c r="AE2" s="261"/>
      <c r="AF2" s="261"/>
      <c r="AG2" s="261"/>
      <c r="AH2" s="261"/>
      <c r="AI2" s="261"/>
      <c r="AJ2" s="261"/>
      <c r="AK2" s="261"/>
      <c r="AL2" s="261"/>
      <c r="AM2" s="261"/>
      <c r="AN2" s="264"/>
      <c r="AO2" s="266"/>
      <c r="AP2" s="266"/>
      <c r="AQ2" s="266"/>
      <c r="AR2" s="260"/>
      <c r="AS2" s="266"/>
      <c r="AT2" s="261"/>
      <c r="AU2" s="261"/>
      <c r="BC2" s="721"/>
      <c r="BD2" s="721"/>
      <c r="BE2" s="721"/>
    </row>
    <row r="3" spans="1:63" s="274" customFormat="1" ht="48" customHeight="1">
      <c r="A3" s="267" t="s">
        <v>32</v>
      </c>
      <c r="B3" s="267" t="s">
        <v>62</v>
      </c>
      <c r="C3" s="267" t="s">
        <v>33</v>
      </c>
      <c r="D3" s="267" t="s">
        <v>52</v>
      </c>
      <c r="E3" s="268" t="s">
        <v>53</v>
      </c>
      <c r="F3" s="269" t="s">
        <v>133</v>
      </c>
      <c r="G3" s="269" t="s">
        <v>706</v>
      </c>
      <c r="H3" s="269" t="s">
        <v>707</v>
      </c>
      <c r="I3" s="269" t="s">
        <v>708</v>
      </c>
      <c r="J3" s="269" t="s">
        <v>34</v>
      </c>
      <c r="K3" s="270" t="s">
        <v>1010</v>
      </c>
      <c r="L3" s="271" t="s">
        <v>1007</v>
      </c>
      <c r="M3" s="271" t="s">
        <v>1008</v>
      </c>
      <c r="N3" s="271" t="s">
        <v>1009</v>
      </c>
      <c r="O3" s="271" t="s">
        <v>753</v>
      </c>
      <c r="P3" s="271" t="s">
        <v>754</v>
      </c>
      <c r="Q3" s="271" t="s">
        <v>752</v>
      </c>
      <c r="R3" s="269" t="s">
        <v>35</v>
      </c>
      <c r="S3" s="270" t="s">
        <v>709</v>
      </c>
      <c r="T3" s="269" t="s">
        <v>710</v>
      </c>
      <c r="U3" s="269" t="s">
        <v>711</v>
      </c>
      <c r="V3" s="269" t="s">
        <v>850</v>
      </c>
      <c r="W3" s="269" t="s">
        <v>36</v>
      </c>
      <c r="X3" s="269" t="s">
        <v>37</v>
      </c>
      <c r="Y3" s="269" t="s">
        <v>38</v>
      </c>
      <c r="Z3" s="269" t="s">
        <v>39</v>
      </c>
      <c r="AA3" s="270" t="s">
        <v>132</v>
      </c>
      <c r="AB3" s="269" t="s">
        <v>40</v>
      </c>
      <c r="AC3" s="269" t="s">
        <v>41</v>
      </c>
      <c r="AD3" s="269" t="s">
        <v>42</v>
      </c>
      <c r="AE3" s="269" t="s">
        <v>878</v>
      </c>
      <c r="AF3" s="270" t="s">
        <v>64</v>
      </c>
      <c r="AG3" s="269" t="s">
        <v>136</v>
      </c>
      <c r="AH3" s="269" t="s">
        <v>43</v>
      </c>
      <c r="AI3" s="269" t="s">
        <v>134</v>
      </c>
      <c r="AJ3" s="270" t="s">
        <v>135</v>
      </c>
      <c r="AK3" s="269" t="s">
        <v>712</v>
      </c>
      <c r="AL3" s="269" t="s">
        <v>44</v>
      </c>
      <c r="AM3" s="269" t="s">
        <v>45</v>
      </c>
      <c r="AN3" s="272" t="s">
        <v>46</v>
      </c>
      <c r="AO3" s="267" t="s">
        <v>47</v>
      </c>
      <c r="AP3" s="267" t="s">
        <v>48</v>
      </c>
      <c r="AQ3" s="267" t="s">
        <v>49</v>
      </c>
      <c r="AR3" s="267" t="s">
        <v>50</v>
      </c>
      <c r="AS3" s="267" t="s">
        <v>51</v>
      </c>
      <c r="AT3" s="273" t="s">
        <v>713</v>
      </c>
      <c r="AU3" s="267" t="s">
        <v>714</v>
      </c>
      <c r="AV3" s="267" t="s">
        <v>715</v>
      </c>
      <c r="AW3" s="274" t="s">
        <v>850</v>
      </c>
      <c r="AX3" s="274" t="s">
        <v>1005</v>
      </c>
      <c r="BC3" s="265" t="s">
        <v>722</v>
      </c>
      <c r="BD3" s="265" t="s">
        <v>723</v>
      </c>
      <c r="BE3" s="265" t="s">
        <v>724</v>
      </c>
      <c r="BF3" s="274" t="s">
        <v>743</v>
      </c>
    </row>
    <row r="4" spans="1:63" hidden="1">
      <c r="A4" s="275">
        <v>1</v>
      </c>
      <c r="B4" s="276" t="str">
        <f>TEXT(BC4,"mmm yyyy")</f>
        <v>Jan 2015</v>
      </c>
      <c r="C4" s="277" t="str">
        <f>BK4</f>
        <v>FLSP</v>
      </c>
      <c r="D4" s="277" t="str">
        <f>BJ4</f>
        <v>LGINE682</v>
      </c>
      <c r="E4" s="278">
        <f t="shared" ref="E4:E67" si="0">SUMIFS(L_1022_Count,L_1022_Revenue_Month,$B4,L_1022_Rate_Category,$D4)</f>
        <v>0</v>
      </c>
      <c r="F4" s="279">
        <v>0</v>
      </c>
      <c r="G4" s="278">
        <f t="shared" ref="G4:G67" si="1">SUMIFS(L_1022_KWH_P1,L_1022_Revenue_Month,$B4,L_1022_Rate_Category,$D4)</f>
        <v>0</v>
      </c>
      <c r="H4" s="278">
        <f t="shared" ref="H4:H67" si="2">SUMIFS(L_1022_KWH_P2,L_1022_Revenue_Month,$B4,L_1022_Rate_Category,$D4)</f>
        <v>0</v>
      </c>
      <c r="I4" s="278">
        <f t="shared" ref="I4:I67" si="3">SUMIFS(L_1022_KWH_P3,L_1022_Revenue_Month,$B4,L_1022_Rate_Category,$D4)</f>
        <v>0</v>
      </c>
      <c r="J4" s="278">
        <f t="shared" ref="J4:J67" si="4">SUMIFS(L_1022_KWH_Total,L_1022_Revenue_Month,$B4,L_1022_Rate_Category,$D4)</f>
        <v>0</v>
      </c>
      <c r="K4" s="280">
        <v>0</v>
      </c>
      <c r="L4" s="281">
        <f t="shared" ref="L4:L67" si="5">SUMIFS(L_1022_Demand_Base_Measured,L_1022_Revenue_Month,$B4,L_1022_Rate_Category,$D4)</f>
        <v>0</v>
      </c>
      <c r="M4" s="281">
        <f t="shared" ref="M4:M67" si="6">SUMIFS(L_1022_Demand_Inter_Measured,L_1022_Revenue_Month,$B4,L_1022_Rate_Category,$D4)</f>
        <v>0</v>
      </c>
      <c r="N4" s="281">
        <f t="shared" ref="N4:N67" si="7">SUMIFS(L_1022_Demand_Peak_Measured,L_1022_Revenue_Month,$B4,L_1022_Rate_Category,$D4)</f>
        <v>0</v>
      </c>
      <c r="O4" s="282">
        <v>0</v>
      </c>
      <c r="P4" s="282">
        <v>0</v>
      </c>
      <c r="Q4" s="282">
        <v>0</v>
      </c>
      <c r="R4" s="283">
        <f t="shared" ref="R4:R67" si="8">SUMIF(L_Rates_Tariff_Rate_Category,BD4,L_Rates_BSC)</f>
        <v>750</v>
      </c>
      <c r="S4" s="284">
        <f t="shared" ref="S4:S39" si="9">SUMIF(L_Rates_Tariff_Rate_Category,$BD4,L_Rates_Energy)</f>
        <v>3.61E-2</v>
      </c>
      <c r="T4" s="284">
        <f t="shared" ref="T4:T67" si="10">SUMIF(L_Rates_Tariff_Rate_Category,$BD4,L_Rates_Energy_P2)</f>
        <v>0</v>
      </c>
      <c r="U4" s="284">
        <f t="shared" ref="U4:U67" si="11">SUMIF(L_Rates_Tariff_Rate_Category,$BD4,L_Rates_Energy_P3)</f>
        <v>0</v>
      </c>
      <c r="V4" s="284">
        <f t="shared" ref="V4:V67" si="12">SUMIF(L_Rates_Tariff_Rate_Category,$BD4,L_Rates_Energy_Base_Fuel)</f>
        <v>2.725E-2</v>
      </c>
      <c r="W4" s="283">
        <f t="shared" ref="W4:W67" si="13">SUMIF(L_Rates_Tariff_Rate_Category,$BD4,L_Rates_Demand_Base)</f>
        <v>1.8900000000000001</v>
      </c>
      <c r="X4" s="283">
        <f t="shared" ref="X4:X67" si="14">SUMIF(L_Rates_Tariff_Rate_Category,$BD4,L_Rates_Demand_Intermediate)</f>
        <v>1.8900000000000001</v>
      </c>
      <c r="Y4" s="283">
        <f t="shared" ref="Y4:Y67" si="15">SUMIF(L_Rates_Tariff_Rate_Category,$BD4,L_Rates_Demand_Peak)</f>
        <v>2.94</v>
      </c>
      <c r="Z4" s="285">
        <f t="shared" ref="Z4:Z67" si="16">ROUND(($E4+$F4)*$R4,2)</f>
        <v>0</v>
      </c>
      <c r="AA4" s="285">
        <f t="shared" ref="AA4:AA67" si="17">ROUND(IF(G4=0,(J4+K4)*S4,SUMPRODUCT(G4:I4,S4:U4)),2)</f>
        <v>0</v>
      </c>
      <c r="AB4" s="285">
        <f>ROUND(L4*W4,2)</f>
        <v>0</v>
      </c>
      <c r="AC4" s="285">
        <f>ROUND(M4*X4,2)</f>
        <v>0</v>
      </c>
      <c r="AD4" s="285">
        <f>ROUND(N4*Y4,2)</f>
        <v>0</v>
      </c>
      <c r="AE4" s="286">
        <v>0</v>
      </c>
      <c r="AF4" s="287">
        <f t="shared" ref="AF4:AF67" si="18">SUMIFS(L_1022_Revenue_Power_Factor,L_1022_Revenue_Month,$B4,L_1022_Rate_Category,$D4)</f>
        <v>0</v>
      </c>
      <c r="AG4" s="288">
        <f t="shared" ref="AG4:AG67" si="19">ROUND(Q4*Y4+P4*X4+O4*W4,2)</f>
        <v>0</v>
      </c>
      <c r="AH4" s="285">
        <f t="shared" ref="AH4:AH67" si="20">SUM(AB4:AG4)</f>
        <v>0</v>
      </c>
      <c r="AI4" s="286">
        <v>0</v>
      </c>
      <c r="AJ4" s="286">
        <v>0</v>
      </c>
      <c r="AK4" s="286">
        <v>0</v>
      </c>
      <c r="AL4" s="285">
        <f t="shared" ref="AL4:AL67" si="21">SUM(Z4:AG4,AI4:AK4)</f>
        <v>0</v>
      </c>
      <c r="AM4" s="285">
        <f t="shared" ref="AM4:AM67" si="22">AT4-SUM(AO4:AS4)</f>
        <v>0</v>
      </c>
      <c r="AN4" s="289">
        <f>IF(AND(AL4=0,AM4=0),1,IF(AL4=0,0,ROUND(AM4/AL4,6)))</f>
        <v>1</v>
      </c>
      <c r="AO4" s="290">
        <f t="shared" ref="AO4:AO67" si="23">SUMIFS(L_SBR_FAC,L_SBR_Revenue_Month,$B4,L_SBR_Rate_Category,$D4)</f>
        <v>0</v>
      </c>
      <c r="AP4" s="290">
        <f t="shared" ref="AP4:AP67" si="24">SUMIFS(L_SBR_DSM,L_SBR_Revenue_Month,$B4,L_SBR_Rate_Category,$D4)</f>
        <v>0</v>
      </c>
      <c r="AQ4" s="290">
        <f t="shared" ref="AQ4:AQ67" si="25">SUMIFS(L_SBR_ECR,L_SBR_Revenue_Month,$B4,L_SBR_Rate_Category,$D4)</f>
        <v>0</v>
      </c>
      <c r="AR4" s="290">
        <f t="shared" ref="AR4:AR67" si="26">SUMIFS(L_SBR_MSR,L_SBR_Revenue_Month,$B4,L_SBR_Rate_Category,$D4)</f>
        <v>0</v>
      </c>
      <c r="AS4" s="290">
        <f t="shared" ref="AS4:AS67" si="27">SUMIFS(L_SBR_CSR,L_SBR_Revenue_Month,$B4,L_SBR_Rate_Category,$D4)</f>
        <v>0</v>
      </c>
      <c r="AT4" s="290">
        <f t="shared" ref="AT4:AT67" si="28">SUMIFS(L_SBR_Revenue_Total,L_SBR_Revenue_Month,$B4,L_SBR_Rate_Category,$D4)</f>
        <v>0</v>
      </c>
      <c r="AU4" s="291">
        <f t="shared" ref="AU4:AU67" si="29">SUM(AL4,AO4:AS4)</f>
        <v>0</v>
      </c>
      <c r="AV4" s="291">
        <f>AT4-AU4</f>
        <v>0</v>
      </c>
      <c r="AW4" s="292">
        <f t="shared" ref="AW4:AW67" si="30">ROUND(J4*V4,2)</f>
        <v>0</v>
      </c>
      <c r="AX4" s="293">
        <f t="shared" ref="AX4:AX67" si="31">AA4+AJ4-AW4</f>
        <v>0</v>
      </c>
      <c r="BB4" s="265" t="str">
        <f>TEXT(BC4,"mmm yyyy")</f>
        <v>Jan 2015</v>
      </c>
      <c r="BC4" s="310">
        <f>MiscData!$A$5</f>
        <v>42035</v>
      </c>
      <c r="BD4" s="275" t="str">
        <f>CONCATENATE(BF4&amp;BJ4)</f>
        <v>20140101LGINE682</v>
      </c>
      <c r="BE4" s="294" t="str">
        <f>CONCATENATE(BF4&amp;BK4)</f>
        <v>20140101FLSP</v>
      </c>
      <c r="BF4">
        <f>MiscData!$X$5</f>
        <v>20140101</v>
      </c>
      <c r="BI4" s="265">
        <v>1</v>
      </c>
      <c r="BJ4" s="265" t="str">
        <f>VLOOKUP(BI4,MiscData!$Z$5:$AB$46,2,FALSE)</f>
        <v>LGINE682</v>
      </c>
      <c r="BK4" s="265" t="str">
        <f>VLOOKUP(BI4,MiscData!$Z$5:$AB$46,3,FALSE)</f>
        <v>FLSP</v>
      </c>
    </row>
    <row r="5" spans="1:63" hidden="1">
      <c r="A5" s="275">
        <v>2</v>
      </c>
      <c r="B5" s="276" t="str">
        <f t="shared" ref="B5:B68" si="32">TEXT(BC5,"mmm yyyy")</f>
        <v>Jan 2015</v>
      </c>
      <c r="C5" s="277" t="str">
        <f t="shared" ref="C5:C68" si="33">BK5</f>
        <v>FLST</v>
      </c>
      <c r="D5" s="277" t="str">
        <f t="shared" ref="D5:D68" si="34">BJ5</f>
        <v>LGINE683</v>
      </c>
      <c r="E5" s="278">
        <f t="shared" si="0"/>
        <v>0</v>
      </c>
      <c r="F5" s="279">
        <v>0</v>
      </c>
      <c r="G5" s="278">
        <f t="shared" si="1"/>
        <v>0</v>
      </c>
      <c r="H5" s="278">
        <f t="shared" si="2"/>
        <v>0</v>
      </c>
      <c r="I5" s="278">
        <f t="shared" si="3"/>
        <v>0</v>
      </c>
      <c r="J5" s="278">
        <f t="shared" si="4"/>
        <v>0</v>
      </c>
      <c r="K5" s="280">
        <v>0</v>
      </c>
      <c r="L5" s="281">
        <f t="shared" si="5"/>
        <v>0</v>
      </c>
      <c r="M5" s="281">
        <f t="shared" si="6"/>
        <v>0</v>
      </c>
      <c r="N5" s="281">
        <f t="shared" si="7"/>
        <v>0</v>
      </c>
      <c r="O5" s="282">
        <v>0</v>
      </c>
      <c r="P5" s="282">
        <v>0</v>
      </c>
      <c r="Q5" s="282">
        <v>0</v>
      </c>
      <c r="R5" s="283">
        <f t="shared" si="8"/>
        <v>750</v>
      </c>
      <c r="S5" s="284">
        <f t="shared" si="9"/>
        <v>3.61E-2</v>
      </c>
      <c r="T5" s="284">
        <f t="shared" si="10"/>
        <v>0</v>
      </c>
      <c r="U5" s="284">
        <f t="shared" si="11"/>
        <v>0</v>
      </c>
      <c r="V5" s="284">
        <f t="shared" si="12"/>
        <v>2.725E-2</v>
      </c>
      <c r="W5" s="283">
        <f t="shared" si="13"/>
        <v>1.1400000000000001</v>
      </c>
      <c r="X5" s="283">
        <f t="shared" si="14"/>
        <v>1.8900000000000001</v>
      </c>
      <c r="Y5" s="283">
        <f t="shared" si="15"/>
        <v>2.94</v>
      </c>
      <c r="Z5" s="285">
        <f t="shared" si="16"/>
        <v>0</v>
      </c>
      <c r="AA5" s="285">
        <f t="shared" si="17"/>
        <v>0</v>
      </c>
      <c r="AB5" s="285">
        <f t="shared" ref="AB5:AB68" si="35">ROUND(L5*W5,2)</f>
        <v>0</v>
      </c>
      <c r="AC5" s="285">
        <f t="shared" ref="AC5:AC68" si="36">ROUND(M5*X5,2)</f>
        <v>0</v>
      </c>
      <c r="AD5" s="285">
        <f t="shared" ref="AD5:AD68" si="37">ROUND(N5*Y5,2)</f>
        <v>0</v>
      </c>
      <c r="AE5" s="286">
        <v>0</v>
      </c>
      <c r="AF5" s="287">
        <f t="shared" si="18"/>
        <v>0</v>
      </c>
      <c r="AG5" s="288">
        <f t="shared" si="19"/>
        <v>0</v>
      </c>
      <c r="AH5" s="285">
        <f t="shared" si="20"/>
        <v>0</v>
      </c>
      <c r="AI5" s="286">
        <v>0</v>
      </c>
      <c r="AJ5" s="286">
        <v>0</v>
      </c>
      <c r="AK5" s="286">
        <v>0</v>
      </c>
      <c r="AL5" s="285">
        <f t="shared" si="21"/>
        <v>0</v>
      </c>
      <c r="AM5" s="285">
        <f t="shared" si="22"/>
        <v>0</v>
      </c>
      <c r="AN5" s="289">
        <f t="shared" ref="AN5:AN68" si="38">IF(AND(AL5=0,AM5=0),1,IF(AL5=0,0,ROUND(AM5/AL5,6)))</f>
        <v>1</v>
      </c>
      <c r="AO5" s="290">
        <f t="shared" si="23"/>
        <v>0</v>
      </c>
      <c r="AP5" s="290">
        <f t="shared" si="24"/>
        <v>0</v>
      </c>
      <c r="AQ5" s="290">
        <f t="shared" si="25"/>
        <v>0</v>
      </c>
      <c r="AR5" s="290">
        <f t="shared" si="26"/>
        <v>0</v>
      </c>
      <c r="AS5" s="290">
        <f t="shared" si="27"/>
        <v>0</v>
      </c>
      <c r="AT5" s="290">
        <f t="shared" si="28"/>
        <v>0</v>
      </c>
      <c r="AU5" s="291">
        <f t="shared" si="29"/>
        <v>0</v>
      </c>
      <c r="AV5" s="291">
        <f t="shared" ref="AV5:AV43" si="39">AT5-AU5</f>
        <v>0</v>
      </c>
      <c r="AW5" s="292">
        <f t="shared" si="30"/>
        <v>0</v>
      </c>
      <c r="AX5" s="293">
        <f t="shared" si="31"/>
        <v>0</v>
      </c>
      <c r="BC5" s="276">
        <f>IF(BI5=1,IF(BC4=MiscData!$F$1,EOMONTH(BC4,-11),EOMONTH(BC4,1)),BC4)</f>
        <v>42035</v>
      </c>
      <c r="BD5" s="275" t="str">
        <f t="shared" ref="BD5:BD68" si="40">CONCATENATE(BF5&amp;BJ5)</f>
        <v>20140101LGINE683</v>
      </c>
      <c r="BE5" s="294" t="str">
        <f t="shared" ref="BE5:BE68" si="41">CONCATENATE(BF5&amp;BK5)</f>
        <v>20140101FLST</v>
      </c>
      <c r="BF5">
        <f>MiscData!$X$5</f>
        <v>20140101</v>
      </c>
      <c r="BI5" s="265">
        <f>IF(BI4+1&gt;MiscData!$Z$42,1,BI4+1)</f>
        <v>2</v>
      </c>
      <c r="BJ5" s="265" t="str">
        <f>VLOOKUP(BI5,MiscData!$Z$5:$AB$46,2,FALSE)</f>
        <v>LGINE683</v>
      </c>
      <c r="BK5" s="265" t="str">
        <f>VLOOKUP(BI5,MiscData!$Z$5:$AB$46,3,FALSE)</f>
        <v>FLST</v>
      </c>
    </row>
    <row r="6" spans="1:63" hidden="1">
      <c r="A6" s="275">
        <v>3</v>
      </c>
      <c r="B6" s="276" t="str">
        <f t="shared" si="32"/>
        <v>Jan 2015</v>
      </c>
      <c r="C6" s="277" t="s">
        <v>892</v>
      </c>
      <c r="D6" s="277" t="str">
        <f t="shared" si="34"/>
        <v>LGCME451</v>
      </c>
      <c r="E6" s="278">
        <f t="shared" si="0"/>
        <v>0</v>
      </c>
      <c r="F6" s="279">
        <f>-E6</f>
        <v>0</v>
      </c>
      <c r="G6" s="278">
        <f t="shared" si="1"/>
        <v>0</v>
      </c>
      <c r="H6" s="278">
        <f t="shared" si="2"/>
        <v>0</v>
      </c>
      <c r="I6" s="278">
        <f t="shared" si="3"/>
        <v>0</v>
      </c>
      <c r="J6" s="278">
        <f t="shared" si="4"/>
        <v>0</v>
      </c>
      <c r="K6" s="280">
        <v>0</v>
      </c>
      <c r="L6" s="281">
        <f t="shared" si="5"/>
        <v>0</v>
      </c>
      <c r="M6" s="281">
        <f t="shared" si="6"/>
        <v>0</v>
      </c>
      <c r="N6" s="281">
        <f t="shared" si="7"/>
        <v>0</v>
      </c>
      <c r="O6" s="282">
        <v>0</v>
      </c>
      <c r="P6" s="282">
        <v>0</v>
      </c>
      <c r="Q6" s="282">
        <v>0</v>
      </c>
      <c r="R6" s="283">
        <f t="shared" si="8"/>
        <v>0</v>
      </c>
      <c r="S6" s="284">
        <f t="shared" si="9"/>
        <v>9.1340000000000005E-2</v>
      </c>
      <c r="T6" s="284">
        <f t="shared" si="10"/>
        <v>0</v>
      </c>
      <c r="U6" s="284">
        <f t="shared" si="11"/>
        <v>0</v>
      </c>
      <c r="V6" s="284">
        <f t="shared" si="12"/>
        <v>2.725E-2</v>
      </c>
      <c r="W6" s="283">
        <f t="shared" si="13"/>
        <v>0</v>
      </c>
      <c r="X6" s="283">
        <f t="shared" si="14"/>
        <v>0</v>
      </c>
      <c r="Y6" s="283">
        <f t="shared" si="15"/>
        <v>0</v>
      </c>
      <c r="Z6" s="285">
        <f t="shared" si="16"/>
        <v>0</v>
      </c>
      <c r="AA6" s="285">
        <f t="shared" si="17"/>
        <v>0</v>
      </c>
      <c r="AB6" s="285">
        <f t="shared" si="35"/>
        <v>0</v>
      </c>
      <c r="AC6" s="285">
        <f t="shared" si="36"/>
        <v>0</v>
      </c>
      <c r="AD6" s="285">
        <f t="shared" si="37"/>
        <v>0</v>
      </c>
      <c r="AE6" s="286">
        <v>0</v>
      </c>
      <c r="AF6" s="287">
        <f t="shared" si="18"/>
        <v>0</v>
      </c>
      <c r="AG6" s="288">
        <f t="shared" si="19"/>
        <v>0</v>
      </c>
      <c r="AH6" s="285">
        <f t="shared" si="20"/>
        <v>0</v>
      </c>
      <c r="AI6" s="286">
        <v>0</v>
      </c>
      <c r="AJ6" s="286">
        <v>0</v>
      </c>
      <c r="AK6" s="286">
        <v>0</v>
      </c>
      <c r="AL6" s="285">
        <f t="shared" si="21"/>
        <v>0</v>
      </c>
      <c r="AM6" s="285">
        <f t="shared" si="22"/>
        <v>0</v>
      </c>
      <c r="AN6" s="289">
        <f t="shared" si="38"/>
        <v>1</v>
      </c>
      <c r="AO6" s="290">
        <f t="shared" si="23"/>
        <v>0</v>
      </c>
      <c r="AP6" s="290">
        <f t="shared" si="24"/>
        <v>0</v>
      </c>
      <c r="AQ6" s="290">
        <f t="shared" si="25"/>
        <v>0</v>
      </c>
      <c r="AR6" s="290">
        <f t="shared" si="26"/>
        <v>0</v>
      </c>
      <c r="AS6" s="290">
        <f t="shared" si="27"/>
        <v>0</v>
      </c>
      <c r="AT6" s="290">
        <f t="shared" si="28"/>
        <v>0</v>
      </c>
      <c r="AU6" s="291">
        <f t="shared" si="29"/>
        <v>0</v>
      </c>
      <c r="AV6" s="291">
        <f t="shared" si="39"/>
        <v>0</v>
      </c>
      <c r="AW6" s="292">
        <f t="shared" si="30"/>
        <v>0</v>
      </c>
      <c r="AX6" s="293">
        <f t="shared" si="31"/>
        <v>0</v>
      </c>
      <c r="BC6" s="276">
        <f>IF(BI6=1,IF(BC5=MiscData!$F$1,EOMONTH(BC5,-11),EOMONTH(BC5,1)),BC5)</f>
        <v>42035</v>
      </c>
      <c r="BD6" s="275" t="str">
        <f t="shared" si="40"/>
        <v>20140101LGCME451</v>
      </c>
      <c r="BE6" s="294" t="str">
        <f t="shared" si="41"/>
        <v>20140101GSS</v>
      </c>
      <c r="BF6">
        <f>MiscData!$X$5</f>
        <v>20140101</v>
      </c>
      <c r="BI6" s="265">
        <f>IF(BI5+1&gt;MiscData!$Z$42,1,BI5+1)</f>
        <v>3</v>
      </c>
      <c r="BJ6" s="265" t="str">
        <f>VLOOKUP(BI6,MiscData!$Z$5:$AB$46,2,FALSE)</f>
        <v>LGCME451</v>
      </c>
      <c r="BK6" s="265" t="str">
        <f>VLOOKUP(BI6,MiscData!$Z$5:$AB$46,3,FALSE)</f>
        <v>GSS</v>
      </c>
    </row>
    <row r="7" spans="1:63" hidden="1">
      <c r="A7" s="275">
        <v>4</v>
      </c>
      <c r="B7" s="276" t="str">
        <f t="shared" si="32"/>
        <v>Jan 2015</v>
      </c>
      <c r="C7" s="277" t="s">
        <v>892</v>
      </c>
      <c r="D7" s="277" t="str">
        <f t="shared" si="34"/>
        <v>LGCME550</v>
      </c>
      <c r="E7" s="278">
        <f t="shared" si="0"/>
        <v>0</v>
      </c>
      <c r="F7" s="279">
        <v>0</v>
      </c>
      <c r="G7" s="278">
        <f t="shared" si="1"/>
        <v>0</v>
      </c>
      <c r="H7" s="278">
        <f t="shared" si="2"/>
        <v>0</v>
      </c>
      <c r="I7" s="278">
        <f t="shared" si="3"/>
        <v>0</v>
      </c>
      <c r="J7" s="278">
        <f t="shared" si="4"/>
        <v>0</v>
      </c>
      <c r="K7" s="280">
        <v>0</v>
      </c>
      <c r="L7" s="281">
        <f t="shared" si="5"/>
        <v>0</v>
      </c>
      <c r="M7" s="281">
        <f t="shared" si="6"/>
        <v>0</v>
      </c>
      <c r="N7" s="281">
        <f t="shared" si="7"/>
        <v>0</v>
      </c>
      <c r="O7" s="282">
        <v>0</v>
      </c>
      <c r="P7" s="282">
        <v>0</v>
      </c>
      <c r="Q7" s="282">
        <v>0</v>
      </c>
      <c r="R7" s="283">
        <f t="shared" si="8"/>
        <v>20</v>
      </c>
      <c r="S7" s="284">
        <f t="shared" si="9"/>
        <v>9.1340000000000005E-2</v>
      </c>
      <c r="T7" s="284">
        <f t="shared" si="10"/>
        <v>0</v>
      </c>
      <c r="U7" s="284">
        <f t="shared" si="11"/>
        <v>0</v>
      </c>
      <c r="V7" s="284">
        <f t="shared" si="12"/>
        <v>2.725E-2</v>
      </c>
      <c r="W7" s="283">
        <f t="shared" si="13"/>
        <v>0</v>
      </c>
      <c r="X7" s="283">
        <f t="shared" si="14"/>
        <v>0</v>
      </c>
      <c r="Y7" s="283">
        <f t="shared" si="15"/>
        <v>0</v>
      </c>
      <c r="Z7" s="285">
        <f t="shared" si="16"/>
        <v>0</v>
      </c>
      <c r="AA7" s="285">
        <f t="shared" si="17"/>
        <v>0</v>
      </c>
      <c r="AB7" s="285">
        <f t="shared" si="35"/>
        <v>0</v>
      </c>
      <c r="AC7" s="285">
        <f t="shared" si="36"/>
        <v>0</v>
      </c>
      <c r="AD7" s="285">
        <f t="shared" si="37"/>
        <v>0</v>
      </c>
      <c r="AE7" s="286">
        <v>0</v>
      </c>
      <c r="AF7" s="287">
        <f t="shared" si="18"/>
        <v>0</v>
      </c>
      <c r="AG7" s="288">
        <f t="shared" si="19"/>
        <v>0</v>
      </c>
      <c r="AH7" s="285">
        <f t="shared" si="20"/>
        <v>0</v>
      </c>
      <c r="AI7" s="286">
        <v>0</v>
      </c>
      <c r="AJ7" s="286">
        <v>0</v>
      </c>
      <c r="AK7" s="286">
        <v>0</v>
      </c>
      <c r="AL7" s="285">
        <f t="shared" si="21"/>
        <v>0</v>
      </c>
      <c r="AM7" s="285">
        <f t="shared" si="22"/>
        <v>0</v>
      </c>
      <c r="AN7" s="289">
        <f t="shared" si="38"/>
        <v>1</v>
      </c>
      <c r="AO7" s="290">
        <f t="shared" si="23"/>
        <v>0</v>
      </c>
      <c r="AP7" s="290">
        <f t="shared" si="24"/>
        <v>0</v>
      </c>
      <c r="AQ7" s="290">
        <f t="shared" si="25"/>
        <v>0</v>
      </c>
      <c r="AR7" s="290">
        <f t="shared" si="26"/>
        <v>0</v>
      </c>
      <c r="AS7" s="290">
        <f t="shared" si="27"/>
        <v>0</v>
      </c>
      <c r="AT7" s="290">
        <f t="shared" si="28"/>
        <v>0</v>
      </c>
      <c r="AU7" s="291">
        <f t="shared" si="29"/>
        <v>0</v>
      </c>
      <c r="AV7" s="291">
        <f t="shared" si="39"/>
        <v>0</v>
      </c>
      <c r="AW7" s="292">
        <f t="shared" si="30"/>
        <v>0</v>
      </c>
      <c r="AX7" s="293">
        <f t="shared" si="31"/>
        <v>0</v>
      </c>
      <c r="BC7" s="276">
        <f>IF(BI7=1,IF(BC6=MiscData!$F$1,EOMONTH(BC6,-11),EOMONTH(BC6,1)),BC6)</f>
        <v>42035</v>
      </c>
      <c r="BD7" s="275" t="str">
        <f t="shared" si="40"/>
        <v>20140101LGCME550</v>
      </c>
      <c r="BE7" s="294" t="str">
        <f t="shared" si="41"/>
        <v>20140101GSS</v>
      </c>
      <c r="BF7">
        <f>MiscData!$X$5</f>
        <v>20140101</v>
      </c>
      <c r="BI7" s="265">
        <f>IF(BI6+1&gt;MiscData!$Z$42,1,BI6+1)</f>
        <v>4</v>
      </c>
      <c r="BJ7" s="265" t="str">
        <f>VLOOKUP(BI7,MiscData!$Z$5:$AB$46,2,FALSE)</f>
        <v>LGCME550</v>
      </c>
      <c r="BK7" s="265" t="str">
        <f>VLOOKUP(BI7,MiscData!$Z$5:$AB$46,3,FALSE)</f>
        <v>GSS</v>
      </c>
    </row>
    <row r="8" spans="1:63" hidden="1">
      <c r="A8" s="275">
        <v>5</v>
      </c>
      <c r="B8" s="276" t="str">
        <f t="shared" si="32"/>
        <v>Jan 2015</v>
      </c>
      <c r="C8" s="277" t="s">
        <v>892</v>
      </c>
      <c r="D8" s="277" t="str">
        <f t="shared" si="34"/>
        <v>LGCME551</v>
      </c>
      <c r="E8" s="278">
        <f t="shared" si="0"/>
        <v>28091</v>
      </c>
      <c r="F8" s="279">
        <v>0</v>
      </c>
      <c r="G8" s="278">
        <f t="shared" si="1"/>
        <v>0</v>
      </c>
      <c r="H8" s="278">
        <f t="shared" si="2"/>
        <v>0</v>
      </c>
      <c r="I8" s="278">
        <f t="shared" si="3"/>
        <v>0</v>
      </c>
      <c r="J8" s="278">
        <f t="shared" si="4"/>
        <v>32732666</v>
      </c>
      <c r="K8" s="280">
        <v>0</v>
      </c>
      <c r="L8" s="281">
        <f t="shared" si="5"/>
        <v>0</v>
      </c>
      <c r="M8" s="281">
        <f t="shared" si="6"/>
        <v>0</v>
      </c>
      <c r="N8" s="281">
        <f t="shared" si="7"/>
        <v>0</v>
      </c>
      <c r="O8" s="282">
        <v>0</v>
      </c>
      <c r="P8" s="282">
        <v>0</v>
      </c>
      <c r="Q8" s="282">
        <v>0</v>
      </c>
      <c r="R8" s="283">
        <f t="shared" si="8"/>
        <v>20</v>
      </c>
      <c r="S8" s="284">
        <f t="shared" si="9"/>
        <v>9.1340000000000005E-2</v>
      </c>
      <c r="T8" s="284">
        <f t="shared" si="10"/>
        <v>0</v>
      </c>
      <c r="U8" s="284">
        <f t="shared" si="11"/>
        <v>0</v>
      </c>
      <c r="V8" s="284">
        <f t="shared" si="12"/>
        <v>2.725E-2</v>
      </c>
      <c r="W8" s="283">
        <f t="shared" si="13"/>
        <v>0</v>
      </c>
      <c r="X8" s="283">
        <f t="shared" si="14"/>
        <v>0</v>
      </c>
      <c r="Y8" s="283">
        <f t="shared" si="15"/>
        <v>0</v>
      </c>
      <c r="Z8" s="285">
        <f t="shared" si="16"/>
        <v>561820</v>
      </c>
      <c r="AA8" s="285">
        <f t="shared" si="17"/>
        <v>2989801.71</v>
      </c>
      <c r="AB8" s="285">
        <f t="shared" si="35"/>
        <v>0</v>
      </c>
      <c r="AC8" s="285">
        <f t="shared" si="36"/>
        <v>0</v>
      </c>
      <c r="AD8" s="285">
        <f t="shared" si="37"/>
        <v>0</v>
      </c>
      <c r="AE8" s="286">
        <v>0</v>
      </c>
      <c r="AF8" s="287">
        <f t="shared" si="18"/>
        <v>0</v>
      </c>
      <c r="AG8" s="288">
        <f t="shared" si="19"/>
        <v>0</v>
      </c>
      <c r="AH8" s="285">
        <f t="shared" si="20"/>
        <v>0</v>
      </c>
      <c r="AI8" s="286">
        <v>0</v>
      </c>
      <c r="AJ8" s="286">
        <v>0</v>
      </c>
      <c r="AK8" s="286">
        <v>0</v>
      </c>
      <c r="AL8" s="285">
        <f t="shared" si="21"/>
        <v>3551621.71</v>
      </c>
      <c r="AM8" s="285">
        <f t="shared" si="22"/>
        <v>3551626</v>
      </c>
      <c r="AN8" s="289">
        <f t="shared" si="38"/>
        <v>1.0000009999999999</v>
      </c>
      <c r="AO8" s="290">
        <f t="shared" si="23"/>
        <v>-42744</v>
      </c>
      <c r="AP8" s="290">
        <f t="shared" si="24"/>
        <v>49589</v>
      </c>
      <c r="AQ8" s="290">
        <f t="shared" si="25"/>
        <v>150737</v>
      </c>
      <c r="AR8" s="290">
        <f t="shared" si="26"/>
        <v>0</v>
      </c>
      <c r="AS8" s="290">
        <f t="shared" si="27"/>
        <v>0</v>
      </c>
      <c r="AT8" s="290">
        <f t="shared" si="28"/>
        <v>3709208</v>
      </c>
      <c r="AU8" s="291">
        <f t="shared" si="29"/>
        <v>3709203.71</v>
      </c>
      <c r="AV8" s="291">
        <f t="shared" si="39"/>
        <v>4.2900000000372529</v>
      </c>
      <c r="AW8" s="292">
        <f t="shared" si="30"/>
        <v>891965.15</v>
      </c>
      <c r="AX8" s="293">
        <f t="shared" si="31"/>
        <v>2097836.56</v>
      </c>
      <c r="BC8" s="276">
        <f>IF(BI8=1,IF(BC7=MiscData!$F$1,EOMONTH(BC7,-11),EOMONTH(BC7,1)),BC7)</f>
        <v>42035</v>
      </c>
      <c r="BD8" s="275" t="str">
        <f t="shared" si="40"/>
        <v>20140101LGCME551</v>
      </c>
      <c r="BE8" s="294" t="str">
        <f t="shared" si="41"/>
        <v>20140101GSS</v>
      </c>
      <c r="BF8">
        <f>MiscData!$X$5</f>
        <v>20140101</v>
      </c>
      <c r="BI8" s="265">
        <f>IF(BI7+1&gt;MiscData!$Z$42,1,BI7+1)</f>
        <v>5</v>
      </c>
      <c r="BJ8" s="265" t="str">
        <f>VLOOKUP(BI8,MiscData!$Z$5:$AB$46,2,FALSE)</f>
        <v>LGCME551</v>
      </c>
      <c r="BK8" s="265" t="str">
        <f>VLOOKUP(BI8,MiscData!$Z$5:$AB$46,3,FALSE)</f>
        <v>GSS</v>
      </c>
    </row>
    <row r="9" spans="1:63" hidden="1">
      <c r="A9" s="275">
        <v>6</v>
      </c>
      <c r="B9" s="276" t="str">
        <f t="shared" si="32"/>
        <v>Jan 2015</v>
      </c>
      <c r="C9" s="277" t="s">
        <v>892</v>
      </c>
      <c r="D9" s="277" t="str">
        <f t="shared" si="34"/>
        <v>LGCME551UM</v>
      </c>
      <c r="E9" s="278">
        <f t="shared" si="0"/>
        <v>0</v>
      </c>
      <c r="F9" s="279">
        <v>0</v>
      </c>
      <c r="G9" s="278">
        <f t="shared" si="1"/>
        <v>0</v>
      </c>
      <c r="H9" s="278">
        <f t="shared" si="2"/>
        <v>0</v>
      </c>
      <c r="I9" s="278">
        <f t="shared" si="3"/>
        <v>0</v>
      </c>
      <c r="J9" s="278">
        <f t="shared" si="4"/>
        <v>0</v>
      </c>
      <c r="K9" s="280">
        <v>0</v>
      </c>
      <c r="L9" s="281">
        <f t="shared" si="5"/>
        <v>0</v>
      </c>
      <c r="M9" s="281">
        <f t="shared" si="6"/>
        <v>0</v>
      </c>
      <c r="N9" s="281">
        <f t="shared" si="7"/>
        <v>0</v>
      </c>
      <c r="O9" s="282">
        <v>0</v>
      </c>
      <c r="P9" s="282">
        <v>0</v>
      </c>
      <c r="Q9" s="282">
        <v>0</v>
      </c>
      <c r="R9" s="283">
        <f t="shared" si="8"/>
        <v>20</v>
      </c>
      <c r="S9" s="284">
        <f t="shared" si="9"/>
        <v>9.1340000000000005E-2</v>
      </c>
      <c r="T9" s="284">
        <f t="shared" si="10"/>
        <v>0</v>
      </c>
      <c r="U9" s="284">
        <f t="shared" si="11"/>
        <v>0</v>
      </c>
      <c r="V9" s="284">
        <f t="shared" si="12"/>
        <v>2.725E-2</v>
      </c>
      <c r="W9" s="283">
        <f t="shared" si="13"/>
        <v>0</v>
      </c>
      <c r="X9" s="283">
        <f t="shared" si="14"/>
        <v>0</v>
      </c>
      <c r="Y9" s="283">
        <f t="shared" si="15"/>
        <v>0</v>
      </c>
      <c r="Z9" s="285">
        <f t="shared" si="16"/>
        <v>0</v>
      </c>
      <c r="AA9" s="285">
        <f t="shared" si="17"/>
        <v>0</v>
      </c>
      <c r="AB9" s="285">
        <f t="shared" si="35"/>
        <v>0</v>
      </c>
      <c r="AC9" s="285">
        <f t="shared" si="36"/>
        <v>0</v>
      </c>
      <c r="AD9" s="285">
        <f t="shared" si="37"/>
        <v>0</v>
      </c>
      <c r="AE9" s="286">
        <v>0</v>
      </c>
      <c r="AF9" s="287">
        <f t="shared" si="18"/>
        <v>0</v>
      </c>
      <c r="AG9" s="288">
        <f t="shared" si="19"/>
        <v>0</v>
      </c>
      <c r="AH9" s="285">
        <f t="shared" si="20"/>
        <v>0</v>
      </c>
      <c r="AI9" s="286">
        <v>0</v>
      </c>
      <c r="AJ9" s="286">
        <v>0</v>
      </c>
      <c r="AK9" s="286">
        <v>0</v>
      </c>
      <c r="AL9" s="285">
        <f t="shared" si="21"/>
        <v>0</v>
      </c>
      <c r="AM9" s="285">
        <f t="shared" si="22"/>
        <v>0</v>
      </c>
      <c r="AN9" s="289">
        <f t="shared" si="38"/>
        <v>1</v>
      </c>
      <c r="AO9" s="290">
        <f t="shared" si="23"/>
        <v>0</v>
      </c>
      <c r="AP9" s="290">
        <f t="shared" si="24"/>
        <v>0</v>
      </c>
      <c r="AQ9" s="290">
        <f t="shared" si="25"/>
        <v>0</v>
      </c>
      <c r="AR9" s="290">
        <f t="shared" si="26"/>
        <v>0</v>
      </c>
      <c r="AS9" s="290">
        <f t="shared" si="27"/>
        <v>0</v>
      </c>
      <c r="AT9" s="290">
        <f t="shared" si="28"/>
        <v>0</v>
      </c>
      <c r="AU9" s="291">
        <f t="shared" si="29"/>
        <v>0</v>
      </c>
      <c r="AV9" s="291">
        <f t="shared" si="39"/>
        <v>0</v>
      </c>
      <c r="AW9" s="292">
        <f t="shared" si="30"/>
        <v>0</v>
      </c>
      <c r="AX9" s="293">
        <f t="shared" si="31"/>
        <v>0</v>
      </c>
      <c r="BC9" s="276">
        <f>IF(BI9=1,IF(BC8=MiscData!$F$1,EOMONTH(BC8,-11),EOMONTH(BC8,1)),BC8)</f>
        <v>42035</v>
      </c>
      <c r="BD9" s="275" t="str">
        <f t="shared" si="40"/>
        <v>20140101LGCME551UM</v>
      </c>
      <c r="BE9" s="294" t="str">
        <f t="shared" si="41"/>
        <v>20140101GSS</v>
      </c>
      <c r="BF9">
        <f>MiscData!$X$5</f>
        <v>20140101</v>
      </c>
      <c r="BI9" s="265">
        <f>IF(BI8+1&gt;MiscData!$Z$42,1,BI8+1)</f>
        <v>6</v>
      </c>
      <c r="BJ9" s="265" t="str">
        <f>VLOOKUP(BI9,MiscData!$Z$5:$AB$46,2,FALSE)</f>
        <v>LGCME551UM</v>
      </c>
      <c r="BK9" s="265" t="str">
        <f>VLOOKUP(BI9,MiscData!$Z$5:$AB$46,3,FALSE)</f>
        <v>GSS</v>
      </c>
    </row>
    <row r="10" spans="1:63" hidden="1">
      <c r="A10" s="275">
        <v>7</v>
      </c>
      <c r="B10" s="276" t="str">
        <f t="shared" si="32"/>
        <v>Jan 2015</v>
      </c>
      <c r="C10" s="277" t="s">
        <v>892</v>
      </c>
      <c r="D10" s="277" t="str">
        <f t="shared" si="34"/>
        <v>LGCME552</v>
      </c>
      <c r="E10" s="278">
        <f t="shared" si="0"/>
        <v>0</v>
      </c>
      <c r="F10" s="279">
        <f>-E10</f>
        <v>0</v>
      </c>
      <c r="G10" s="278">
        <f t="shared" si="1"/>
        <v>0</v>
      </c>
      <c r="H10" s="278">
        <f t="shared" si="2"/>
        <v>0</v>
      </c>
      <c r="I10" s="278">
        <f t="shared" si="3"/>
        <v>0</v>
      </c>
      <c r="J10" s="278">
        <f t="shared" si="4"/>
        <v>0</v>
      </c>
      <c r="K10" s="280">
        <v>0</v>
      </c>
      <c r="L10" s="281">
        <f t="shared" si="5"/>
        <v>0</v>
      </c>
      <c r="M10" s="281">
        <f t="shared" si="6"/>
        <v>0</v>
      </c>
      <c r="N10" s="281">
        <f t="shared" si="7"/>
        <v>0</v>
      </c>
      <c r="O10" s="282">
        <v>0</v>
      </c>
      <c r="P10" s="282">
        <v>0</v>
      </c>
      <c r="Q10" s="282">
        <v>0</v>
      </c>
      <c r="R10" s="283">
        <f t="shared" si="8"/>
        <v>0</v>
      </c>
      <c r="S10" s="284">
        <f t="shared" si="9"/>
        <v>9.1340000000000005E-2</v>
      </c>
      <c r="T10" s="284">
        <f t="shared" si="10"/>
        <v>0</v>
      </c>
      <c r="U10" s="284">
        <f t="shared" si="11"/>
        <v>0</v>
      </c>
      <c r="V10" s="284">
        <f t="shared" si="12"/>
        <v>2.725E-2</v>
      </c>
      <c r="W10" s="283">
        <f t="shared" si="13"/>
        <v>0</v>
      </c>
      <c r="X10" s="283">
        <f t="shared" si="14"/>
        <v>0</v>
      </c>
      <c r="Y10" s="283">
        <f t="shared" si="15"/>
        <v>0</v>
      </c>
      <c r="Z10" s="285">
        <f t="shared" si="16"/>
        <v>0</v>
      </c>
      <c r="AA10" s="285">
        <f t="shared" si="17"/>
        <v>0</v>
      </c>
      <c r="AB10" s="285">
        <f t="shared" si="35"/>
        <v>0</v>
      </c>
      <c r="AC10" s="285">
        <f t="shared" si="36"/>
        <v>0</v>
      </c>
      <c r="AD10" s="285">
        <f t="shared" si="37"/>
        <v>0</v>
      </c>
      <c r="AE10" s="286">
        <v>0</v>
      </c>
      <c r="AF10" s="287">
        <f t="shared" si="18"/>
        <v>0</v>
      </c>
      <c r="AG10" s="288">
        <f t="shared" si="19"/>
        <v>0</v>
      </c>
      <c r="AH10" s="285">
        <f t="shared" si="20"/>
        <v>0</v>
      </c>
      <c r="AI10" s="286">
        <v>0</v>
      </c>
      <c r="AJ10" s="286">
        <v>0</v>
      </c>
      <c r="AK10" s="286">
        <v>0</v>
      </c>
      <c r="AL10" s="285">
        <f t="shared" si="21"/>
        <v>0</v>
      </c>
      <c r="AM10" s="285">
        <f t="shared" si="22"/>
        <v>0</v>
      </c>
      <c r="AN10" s="289">
        <f t="shared" si="38"/>
        <v>1</v>
      </c>
      <c r="AO10" s="290">
        <f t="shared" si="23"/>
        <v>0</v>
      </c>
      <c r="AP10" s="290">
        <f t="shared" si="24"/>
        <v>0</v>
      </c>
      <c r="AQ10" s="290">
        <f t="shared" si="25"/>
        <v>0</v>
      </c>
      <c r="AR10" s="290">
        <f t="shared" si="26"/>
        <v>0</v>
      </c>
      <c r="AS10" s="290">
        <f t="shared" si="27"/>
        <v>0</v>
      </c>
      <c r="AT10" s="290">
        <f t="shared" si="28"/>
        <v>0</v>
      </c>
      <c r="AU10" s="291">
        <f t="shared" si="29"/>
        <v>0</v>
      </c>
      <c r="AV10" s="291">
        <f t="shared" si="39"/>
        <v>0</v>
      </c>
      <c r="AW10" s="292">
        <f t="shared" si="30"/>
        <v>0</v>
      </c>
      <c r="AX10" s="293">
        <f t="shared" si="31"/>
        <v>0</v>
      </c>
      <c r="BC10" s="276">
        <f>IF(BI10=1,IF(BC9=MiscData!$F$1,EOMONTH(BC9,-11),EOMONTH(BC9,1)),BC9)</f>
        <v>42035</v>
      </c>
      <c r="BD10" s="275" t="str">
        <f t="shared" si="40"/>
        <v>20140101LGCME552</v>
      </c>
      <c r="BE10" s="294" t="str">
        <f t="shared" si="41"/>
        <v>20140101GSS</v>
      </c>
      <c r="BF10">
        <f>MiscData!$X$5</f>
        <v>20140101</v>
      </c>
      <c r="BI10" s="265">
        <f>IF(BI9+1&gt;MiscData!$Z$42,1,BI9+1)</f>
        <v>7</v>
      </c>
      <c r="BJ10" s="265" t="str">
        <f>VLOOKUP(BI10,MiscData!$Z$5:$AB$46,2,FALSE)</f>
        <v>LGCME552</v>
      </c>
      <c r="BK10" s="265" t="str">
        <f>VLOOKUP(BI10,MiscData!$Z$5:$AB$46,3,FALSE)</f>
        <v>GSS</v>
      </c>
    </row>
    <row r="11" spans="1:63" hidden="1">
      <c r="A11" s="275">
        <v>8</v>
      </c>
      <c r="B11" s="276" t="str">
        <f t="shared" si="32"/>
        <v>Jan 2015</v>
      </c>
      <c r="C11" s="277" t="s">
        <v>892</v>
      </c>
      <c r="D11" s="277" t="str">
        <f t="shared" si="34"/>
        <v>LGCME557</v>
      </c>
      <c r="E11" s="278">
        <f t="shared" si="0"/>
        <v>0</v>
      </c>
      <c r="F11" s="279">
        <v>0</v>
      </c>
      <c r="G11" s="278">
        <f t="shared" si="1"/>
        <v>0</v>
      </c>
      <c r="H11" s="278">
        <f t="shared" si="2"/>
        <v>0</v>
      </c>
      <c r="I11" s="278">
        <f t="shared" si="3"/>
        <v>0</v>
      </c>
      <c r="J11" s="278">
        <f t="shared" si="4"/>
        <v>0</v>
      </c>
      <c r="K11" s="280">
        <v>0</v>
      </c>
      <c r="L11" s="281">
        <f t="shared" si="5"/>
        <v>0</v>
      </c>
      <c r="M11" s="281">
        <f t="shared" si="6"/>
        <v>0</v>
      </c>
      <c r="N11" s="281">
        <f t="shared" si="7"/>
        <v>0</v>
      </c>
      <c r="O11" s="282">
        <v>0</v>
      </c>
      <c r="P11" s="282">
        <v>0</v>
      </c>
      <c r="Q11" s="282">
        <v>0</v>
      </c>
      <c r="R11" s="283">
        <f t="shared" si="8"/>
        <v>20</v>
      </c>
      <c r="S11" s="284">
        <f t="shared" si="9"/>
        <v>9.1340000000000005E-2</v>
      </c>
      <c r="T11" s="284">
        <f t="shared" si="10"/>
        <v>0</v>
      </c>
      <c r="U11" s="284">
        <f t="shared" si="11"/>
        <v>0</v>
      </c>
      <c r="V11" s="284">
        <f t="shared" si="12"/>
        <v>2.725E-2</v>
      </c>
      <c r="W11" s="283">
        <f t="shared" si="13"/>
        <v>0</v>
      </c>
      <c r="X11" s="283">
        <f t="shared" si="14"/>
        <v>0</v>
      </c>
      <c r="Y11" s="283">
        <f t="shared" si="15"/>
        <v>0</v>
      </c>
      <c r="Z11" s="285">
        <f t="shared" si="16"/>
        <v>0</v>
      </c>
      <c r="AA11" s="285">
        <f t="shared" si="17"/>
        <v>0</v>
      </c>
      <c r="AB11" s="285">
        <f t="shared" si="35"/>
        <v>0</v>
      </c>
      <c r="AC11" s="285">
        <f t="shared" si="36"/>
        <v>0</v>
      </c>
      <c r="AD11" s="285">
        <f t="shared" si="37"/>
        <v>0</v>
      </c>
      <c r="AE11" s="286">
        <v>0</v>
      </c>
      <c r="AF11" s="287">
        <f t="shared" si="18"/>
        <v>0</v>
      </c>
      <c r="AG11" s="288">
        <f t="shared" si="19"/>
        <v>0</v>
      </c>
      <c r="AH11" s="285">
        <f t="shared" si="20"/>
        <v>0</v>
      </c>
      <c r="AI11" s="286">
        <v>0</v>
      </c>
      <c r="AJ11" s="286">
        <v>0</v>
      </c>
      <c r="AK11" s="286">
        <v>0</v>
      </c>
      <c r="AL11" s="285">
        <f t="shared" si="21"/>
        <v>0</v>
      </c>
      <c r="AM11" s="285">
        <f t="shared" si="22"/>
        <v>0</v>
      </c>
      <c r="AN11" s="289">
        <f t="shared" si="38"/>
        <v>1</v>
      </c>
      <c r="AO11" s="290">
        <f t="shared" si="23"/>
        <v>0</v>
      </c>
      <c r="AP11" s="290">
        <f t="shared" si="24"/>
        <v>0</v>
      </c>
      <c r="AQ11" s="290">
        <f t="shared" si="25"/>
        <v>0</v>
      </c>
      <c r="AR11" s="290">
        <f t="shared" si="26"/>
        <v>0</v>
      </c>
      <c r="AS11" s="290">
        <f t="shared" si="27"/>
        <v>0</v>
      </c>
      <c r="AT11" s="290">
        <f t="shared" si="28"/>
        <v>0</v>
      </c>
      <c r="AU11" s="291">
        <f t="shared" si="29"/>
        <v>0</v>
      </c>
      <c r="AV11" s="291">
        <f t="shared" si="39"/>
        <v>0</v>
      </c>
      <c r="AW11" s="292">
        <f t="shared" si="30"/>
        <v>0</v>
      </c>
      <c r="AX11" s="293">
        <f t="shared" si="31"/>
        <v>0</v>
      </c>
      <c r="BC11" s="276">
        <f>IF(BI11=1,IF(BC10=MiscData!$F$1,EOMONTH(BC10,-11),EOMONTH(BC10,1)),BC10)</f>
        <v>42035</v>
      </c>
      <c r="BD11" s="275" t="str">
        <f t="shared" si="40"/>
        <v>20140101LGCME557</v>
      </c>
      <c r="BE11" s="294" t="str">
        <f t="shared" si="41"/>
        <v>20140101GSS</v>
      </c>
      <c r="BF11">
        <f>MiscData!$X$5</f>
        <v>20140101</v>
      </c>
      <c r="BI11" s="265">
        <f>IF(BI10+1&gt;MiscData!$Z$42,1,BI10+1)</f>
        <v>8</v>
      </c>
      <c r="BJ11" s="265" t="str">
        <f>VLOOKUP(BI11,MiscData!$Z$5:$AB$46,2,FALSE)</f>
        <v>LGCME557</v>
      </c>
      <c r="BK11" s="265" t="str">
        <f>VLOOKUP(BI11,MiscData!$Z$5:$AB$46,3,FALSE)</f>
        <v>GSS</v>
      </c>
    </row>
    <row r="12" spans="1:63" hidden="1">
      <c r="A12" s="275">
        <v>9</v>
      </c>
      <c r="B12" s="276" t="str">
        <f t="shared" si="32"/>
        <v>Jan 2015</v>
      </c>
      <c r="C12" s="277" t="str">
        <f t="shared" si="33"/>
        <v>PSS</v>
      </c>
      <c r="D12" s="277" t="str">
        <f t="shared" si="34"/>
        <v>LGCME561</v>
      </c>
      <c r="E12" s="278">
        <f t="shared" si="0"/>
        <v>2579</v>
      </c>
      <c r="F12" s="279">
        <v>0</v>
      </c>
      <c r="G12" s="278">
        <f t="shared" si="1"/>
        <v>0</v>
      </c>
      <c r="H12" s="278">
        <f t="shared" si="2"/>
        <v>0</v>
      </c>
      <c r="I12" s="278">
        <f t="shared" si="3"/>
        <v>0</v>
      </c>
      <c r="J12" s="278">
        <f t="shared" si="4"/>
        <v>138087722</v>
      </c>
      <c r="K12" s="280">
        <v>0</v>
      </c>
      <c r="L12" s="281">
        <f t="shared" si="5"/>
        <v>0</v>
      </c>
      <c r="M12" s="281">
        <f t="shared" si="6"/>
        <v>342873.33</v>
      </c>
      <c r="N12" s="281">
        <f t="shared" si="7"/>
        <v>0</v>
      </c>
      <c r="O12" s="282">
        <v>0</v>
      </c>
      <c r="P12" s="282">
        <v>0</v>
      </c>
      <c r="Q12" s="282">
        <v>0</v>
      </c>
      <c r="R12" s="283">
        <f t="shared" si="8"/>
        <v>90</v>
      </c>
      <c r="S12" s="284">
        <f t="shared" si="9"/>
        <v>4.0599999999999997E-2</v>
      </c>
      <c r="T12" s="284">
        <f t="shared" si="10"/>
        <v>0</v>
      </c>
      <c r="U12" s="284">
        <f t="shared" si="11"/>
        <v>0</v>
      </c>
      <c r="V12" s="284">
        <f t="shared" si="12"/>
        <v>2.725E-2</v>
      </c>
      <c r="W12" s="283">
        <f t="shared" si="13"/>
        <v>0</v>
      </c>
      <c r="X12" s="283">
        <f t="shared" si="14"/>
        <v>14.010000000000002</v>
      </c>
      <c r="Y12" s="283">
        <f t="shared" si="15"/>
        <v>16.399999999999999</v>
      </c>
      <c r="Z12" s="285">
        <f t="shared" si="16"/>
        <v>232110</v>
      </c>
      <c r="AA12" s="285">
        <f t="shared" si="17"/>
        <v>5606361.5099999998</v>
      </c>
      <c r="AB12" s="285">
        <f t="shared" si="35"/>
        <v>0</v>
      </c>
      <c r="AC12" s="285">
        <f t="shared" si="36"/>
        <v>4803655.3499999996</v>
      </c>
      <c r="AD12" s="285">
        <f t="shared" si="37"/>
        <v>0</v>
      </c>
      <c r="AE12" s="286">
        <v>0</v>
      </c>
      <c r="AF12" s="287">
        <f t="shared" si="18"/>
        <v>0</v>
      </c>
      <c r="AG12" s="288">
        <f t="shared" si="19"/>
        <v>0</v>
      </c>
      <c r="AH12" s="285">
        <f t="shared" si="20"/>
        <v>4803655.3499999996</v>
      </c>
      <c r="AI12" s="286">
        <v>0</v>
      </c>
      <c r="AJ12" s="286">
        <v>0</v>
      </c>
      <c r="AK12" s="286">
        <v>0</v>
      </c>
      <c r="AL12" s="285">
        <f t="shared" si="21"/>
        <v>10642126.859999999</v>
      </c>
      <c r="AM12" s="285">
        <f t="shared" si="22"/>
        <v>10642127</v>
      </c>
      <c r="AN12" s="289">
        <f t="shared" si="38"/>
        <v>1</v>
      </c>
      <c r="AO12" s="290">
        <f t="shared" si="23"/>
        <v>-180323</v>
      </c>
      <c r="AP12" s="290">
        <f t="shared" si="24"/>
        <v>209200</v>
      </c>
      <c r="AQ12" s="290">
        <f t="shared" si="25"/>
        <v>635909</v>
      </c>
      <c r="AR12" s="290">
        <f t="shared" si="26"/>
        <v>0</v>
      </c>
      <c r="AS12" s="290">
        <f t="shared" si="27"/>
        <v>0</v>
      </c>
      <c r="AT12" s="290">
        <f t="shared" si="28"/>
        <v>11306913</v>
      </c>
      <c r="AU12" s="291">
        <f t="shared" si="29"/>
        <v>11306912.859999999</v>
      </c>
      <c r="AV12" s="291">
        <f t="shared" si="39"/>
        <v>0.14000000059604645</v>
      </c>
      <c r="AW12" s="292">
        <f t="shared" si="30"/>
        <v>3762890.42</v>
      </c>
      <c r="AX12" s="293">
        <f t="shared" si="31"/>
        <v>1843471.0899999999</v>
      </c>
      <c r="BC12" s="276">
        <f>IF(BI12=1,IF(BC11=MiscData!$F$1,EOMONTH(BC11,-11),EOMONTH(BC11,1)),BC11)</f>
        <v>42035</v>
      </c>
      <c r="BD12" s="275" t="str">
        <f t="shared" si="40"/>
        <v>20140101LGCME561</v>
      </c>
      <c r="BE12" s="294" t="str">
        <f t="shared" si="41"/>
        <v>20140101PSS</v>
      </c>
      <c r="BF12">
        <f>MiscData!$X$5</f>
        <v>20140101</v>
      </c>
      <c r="BI12" s="265">
        <f>IF(BI11+1&gt;MiscData!$Z$42,1,BI11+1)</f>
        <v>9</v>
      </c>
      <c r="BJ12" s="265" t="str">
        <f>VLOOKUP(BI12,MiscData!$Z$5:$AB$46,2,FALSE)</f>
        <v>LGCME561</v>
      </c>
      <c r="BK12" s="265" t="str">
        <f>VLOOKUP(BI12,MiscData!$Z$5:$AB$46,3,FALSE)</f>
        <v>PSS</v>
      </c>
    </row>
    <row r="13" spans="1:63" hidden="1">
      <c r="A13" s="275">
        <v>10</v>
      </c>
      <c r="B13" s="276" t="str">
        <f t="shared" si="32"/>
        <v>Jan 2015</v>
      </c>
      <c r="C13" s="277" t="str">
        <f t="shared" si="33"/>
        <v>PSP</v>
      </c>
      <c r="D13" s="277" t="str">
        <f t="shared" si="34"/>
        <v>LGCME563</v>
      </c>
      <c r="E13" s="278">
        <f t="shared" si="0"/>
        <v>52</v>
      </c>
      <c r="F13" s="279">
        <v>0</v>
      </c>
      <c r="G13" s="278">
        <f t="shared" si="1"/>
        <v>0</v>
      </c>
      <c r="H13" s="278">
        <f t="shared" si="2"/>
        <v>0</v>
      </c>
      <c r="I13" s="278">
        <f t="shared" si="3"/>
        <v>0</v>
      </c>
      <c r="J13" s="278">
        <f t="shared" si="4"/>
        <v>11910378</v>
      </c>
      <c r="K13" s="280">
        <v>0</v>
      </c>
      <c r="L13" s="281">
        <f t="shared" si="5"/>
        <v>0</v>
      </c>
      <c r="M13" s="281">
        <f t="shared" si="6"/>
        <v>28924.21</v>
      </c>
      <c r="N13" s="281">
        <f t="shared" si="7"/>
        <v>0</v>
      </c>
      <c r="O13" s="282">
        <v>0</v>
      </c>
      <c r="P13" s="282">
        <v>0</v>
      </c>
      <c r="Q13" s="282">
        <v>0</v>
      </c>
      <c r="R13" s="283">
        <f t="shared" si="8"/>
        <v>170</v>
      </c>
      <c r="S13" s="284">
        <f t="shared" si="9"/>
        <v>3.9260000000000003E-2</v>
      </c>
      <c r="T13" s="284">
        <f t="shared" si="10"/>
        <v>0</v>
      </c>
      <c r="U13" s="284">
        <f t="shared" si="11"/>
        <v>0</v>
      </c>
      <c r="V13" s="284">
        <f t="shared" si="12"/>
        <v>2.725E-2</v>
      </c>
      <c r="W13" s="283">
        <f t="shared" si="13"/>
        <v>0</v>
      </c>
      <c r="X13" s="283">
        <f t="shared" si="14"/>
        <v>11.660000000000002</v>
      </c>
      <c r="Y13" s="283">
        <f t="shared" si="15"/>
        <v>13.950000000000001</v>
      </c>
      <c r="Z13" s="285">
        <f t="shared" si="16"/>
        <v>8840</v>
      </c>
      <c r="AA13" s="285">
        <f t="shared" si="17"/>
        <v>467601.44</v>
      </c>
      <c r="AB13" s="285">
        <f t="shared" si="35"/>
        <v>0</v>
      </c>
      <c r="AC13" s="285">
        <f t="shared" si="36"/>
        <v>337256.29</v>
      </c>
      <c r="AD13" s="285">
        <f t="shared" si="37"/>
        <v>0</v>
      </c>
      <c r="AE13" s="286">
        <v>0</v>
      </c>
      <c r="AF13" s="287">
        <f t="shared" si="18"/>
        <v>0</v>
      </c>
      <c r="AG13" s="288">
        <f t="shared" si="19"/>
        <v>0</v>
      </c>
      <c r="AH13" s="285">
        <f t="shared" si="20"/>
        <v>337256.29</v>
      </c>
      <c r="AI13" s="286">
        <v>0</v>
      </c>
      <c r="AJ13" s="286">
        <v>0</v>
      </c>
      <c r="AK13" s="286">
        <v>0</v>
      </c>
      <c r="AL13" s="285">
        <f t="shared" si="21"/>
        <v>813697.73</v>
      </c>
      <c r="AM13" s="285">
        <f t="shared" si="22"/>
        <v>813697</v>
      </c>
      <c r="AN13" s="289">
        <f t="shared" si="38"/>
        <v>0.99999899999999997</v>
      </c>
      <c r="AO13" s="290">
        <f t="shared" si="23"/>
        <v>-15553</v>
      </c>
      <c r="AP13" s="290">
        <f t="shared" si="24"/>
        <v>18044</v>
      </c>
      <c r="AQ13" s="290">
        <f t="shared" si="25"/>
        <v>54849</v>
      </c>
      <c r="AR13" s="290">
        <f t="shared" si="26"/>
        <v>0</v>
      </c>
      <c r="AS13" s="290">
        <f t="shared" si="27"/>
        <v>0</v>
      </c>
      <c r="AT13" s="290">
        <f t="shared" si="28"/>
        <v>871037</v>
      </c>
      <c r="AU13" s="291">
        <f t="shared" si="29"/>
        <v>871037.73</v>
      </c>
      <c r="AV13" s="291">
        <f t="shared" si="39"/>
        <v>-0.72999999998137355</v>
      </c>
      <c r="AW13" s="292">
        <f t="shared" si="30"/>
        <v>324557.8</v>
      </c>
      <c r="AX13" s="293">
        <f t="shared" si="31"/>
        <v>143043.64000000001</v>
      </c>
      <c r="BC13" s="276">
        <f>IF(BI13=1,IF(BC12=MiscData!$F$1,EOMONTH(BC12,-11),EOMONTH(BC12,1)),BC12)</f>
        <v>42035</v>
      </c>
      <c r="BD13" s="275" t="str">
        <f t="shared" si="40"/>
        <v>20140101LGCME563</v>
      </c>
      <c r="BE13" s="294" t="str">
        <f t="shared" si="41"/>
        <v>20140101PSP</v>
      </c>
      <c r="BF13">
        <f>MiscData!$X$5</f>
        <v>20140101</v>
      </c>
      <c r="BI13" s="265">
        <f>IF(BI12+1&gt;MiscData!$Z$42,1,BI12+1)</f>
        <v>10</v>
      </c>
      <c r="BJ13" s="265" t="str">
        <f>VLOOKUP(BI13,MiscData!$Z$5:$AB$46,2,FALSE)</f>
        <v>LGCME563</v>
      </c>
      <c r="BK13" s="265" t="str">
        <f>VLOOKUP(BI13,MiscData!$Z$5:$AB$46,3,FALSE)</f>
        <v>PSP</v>
      </c>
    </row>
    <row r="14" spans="1:63" hidden="1">
      <c r="A14" s="275">
        <v>11</v>
      </c>
      <c r="B14" s="276" t="str">
        <f t="shared" si="32"/>
        <v>Jan 2015</v>
      </c>
      <c r="C14" s="277" t="str">
        <f t="shared" si="33"/>
        <v>PSS</v>
      </c>
      <c r="D14" s="277" t="str">
        <f t="shared" si="34"/>
        <v>LGCME567</v>
      </c>
      <c r="E14" s="278">
        <f t="shared" si="0"/>
        <v>0</v>
      </c>
      <c r="F14" s="279">
        <v>0</v>
      </c>
      <c r="G14" s="278">
        <f t="shared" si="1"/>
        <v>0</v>
      </c>
      <c r="H14" s="278">
        <f t="shared" si="2"/>
        <v>0</v>
      </c>
      <c r="I14" s="278">
        <f t="shared" si="3"/>
        <v>0</v>
      </c>
      <c r="J14" s="278">
        <f t="shared" si="4"/>
        <v>0</v>
      </c>
      <c r="K14" s="280">
        <v>0</v>
      </c>
      <c r="L14" s="281">
        <f t="shared" si="5"/>
        <v>0</v>
      </c>
      <c r="M14" s="281">
        <f t="shared" si="6"/>
        <v>0</v>
      </c>
      <c r="N14" s="281">
        <f t="shared" si="7"/>
        <v>0</v>
      </c>
      <c r="O14" s="282">
        <v>0</v>
      </c>
      <c r="P14" s="282">
        <v>0</v>
      </c>
      <c r="Q14" s="282">
        <v>0</v>
      </c>
      <c r="R14" s="283">
        <f t="shared" si="8"/>
        <v>90</v>
      </c>
      <c r="S14" s="284">
        <f t="shared" si="9"/>
        <v>4.0599999999999997E-2</v>
      </c>
      <c r="T14" s="284">
        <f t="shared" si="10"/>
        <v>0</v>
      </c>
      <c r="U14" s="284">
        <f t="shared" si="11"/>
        <v>0</v>
      </c>
      <c r="V14" s="284">
        <f t="shared" si="12"/>
        <v>2.725E-2</v>
      </c>
      <c r="W14" s="283">
        <f t="shared" si="13"/>
        <v>0</v>
      </c>
      <c r="X14" s="283">
        <f t="shared" si="14"/>
        <v>14.010000000000002</v>
      </c>
      <c r="Y14" s="283">
        <f t="shared" si="15"/>
        <v>16.399999999999999</v>
      </c>
      <c r="Z14" s="285">
        <f t="shared" si="16"/>
        <v>0</v>
      </c>
      <c r="AA14" s="285">
        <f t="shared" si="17"/>
        <v>0</v>
      </c>
      <c r="AB14" s="285">
        <f t="shared" si="35"/>
        <v>0</v>
      </c>
      <c r="AC14" s="285">
        <f t="shared" si="36"/>
        <v>0</v>
      </c>
      <c r="AD14" s="285">
        <f t="shared" si="37"/>
        <v>0</v>
      </c>
      <c r="AE14" s="286">
        <v>0</v>
      </c>
      <c r="AF14" s="287">
        <f t="shared" si="18"/>
        <v>0</v>
      </c>
      <c r="AG14" s="288">
        <f t="shared" si="19"/>
        <v>0</v>
      </c>
      <c r="AH14" s="285">
        <f t="shared" si="20"/>
        <v>0</v>
      </c>
      <c r="AI14" s="286">
        <v>0</v>
      </c>
      <c r="AJ14" s="286">
        <v>0</v>
      </c>
      <c r="AK14" s="286">
        <v>0</v>
      </c>
      <c r="AL14" s="285">
        <f t="shared" si="21"/>
        <v>0</v>
      </c>
      <c r="AM14" s="285">
        <f t="shared" si="22"/>
        <v>0</v>
      </c>
      <c r="AN14" s="289">
        <f t="shared" si="38"/>
        <v>1</v>
      </c>
      <c r="AO14" s="290">
        <f t="shared" si="23"/>
        <v>0</v>
      </c>
      <c r="AP14" s="290">
        <f t="shared" si="24"/>
        <v>0</v>
      </c>
      <c r="AQ14" s="290">
        <f t="shared" si="25"/>
        <v>0</v>
      </c>
      <c r="AR14" s="290">
        <f t="shared" si="26"/>
        <v>0</v>
      </c>
      <c r="AS14" s="290">
        <f t="shared" si="27"/>
        <v>0</v>
      </c>
      <c r="AT14" s="290">
        <f t="shared" si="28"/>
        <v>0</v>
      </c>
      <c r="AU14" s="291">
        <f t="shared" si="29"/>
        <v>0</v>
      </c>
      <c r="AV14" s="291">
        <f>ROUND(AT14-AU14,2)</f>
        <v>0</v>
      </c>
      <c r="AW14" s="292">
        <f t="shared" si="30"/>
        <v>0</v>
      </c>
      <c r="AX14" s="293">
        <f t="shared" si="31"/>
        <v>0</v>
      </c>
      <c r="BC14" s="276">
        <f>IF(BI14=1,IF(BC13=MiscData!$F$1,EOMONTH(BC13,-11),EOMONTH(BC13,1)),BC13)</f>
        <v>42035</v>
      </c>
      <c r="BD14" s="275" t="str">
        <f t="shared" si="40"/>
        <v>20140101LGCME567</v>
      </c>
      <c r="BE14" s="294" t="str">
        <f t="shared" si="41"/>
        <v>20140101PSS</v>
      </c>
      <c r="BF14">
        <f>MiscData!$X$5</f>
        <v>20140101</v>
      </c>
      <c r="BI14" s="265">
        <f>IF(BI13+1&gt;MiscData!$Z$42,1,BI13+1)</f>
        <v>11</v>
      </c>
      <c r="BJ14" s="265" t="str">
        <f>VLOOKUP(BI14,MiscData!$Z$5:$AB$46,2,FALSE)</f>
        <v>LGCME567</v>
      </c>
      <c r="BK14" s="265" t="str">
        <f>VLOOKUP(BI14,MiscData!$Z$5:$AB$46,3,FALSE)</f>
        <v>PSS</v>
      </c>
    </row>
    <row r="15" spans="1:63" hidden="1">
      <c r="A15" s="275">
        <v>12</v>
      </c>
      <c r="B15" s="276" t="str">
        <f t="shared" si="32"/>
        <v>Jan 2015</v>
      </c>
      <c r="C15" s="277" t="str">
        <f t="shared" si="33"/>
        <v>TODS</v>
      </c>
      <c r="D15" s="277" t="str">
        <f t="shared" si="34"/>
        <v>LGCME591</v>
      </c>
      <c r="E15" s="278">
        <f t="shared" si="0"/>
        <v>210</v>
      </c>
      <c r="F15" s="279">
        <v>0</v>
      </c>
      <c r="G15" s="278">
        <f t="shared" si="1"/>
        <v>0</v>
      </c>
      <c r="H15" s="278">
        <f t="shared" si="2"/>
        <v>0</v>
      </c>
      <c r="I15" s="278">
        <f t="shared" si="3"/>
        <v>0</v>
      </c>
      <c r="J15" s="278">
        <f t="shared" si="4"/>
        <v>59772745</v>
      </c>
      <c r="K15" s="280">
        <v>0</v>
      </c>
      <c r="L15" s="281">
        <f t="shared" si="5"/>
        <v>118926.32</v>
      </c>
      <c r="M15" s="281">
        <f t="shared" si="6"/>
        <v>109154.84</v>
      </c>
      <c r="N15" s="281">
        <f t="shared" si="7"/>
        <v>106745.42</v>
      </c>
      <c r="O15" s="282">
        <v>0</v>
      </c>
      <c r="P15" s="282">
        <v>0</v>
      </c>
      <c r="Q15" s="282">
        <v>0</v>
      </c>
      <c r="R15" s="283">
        <f t="shared" si="8"/>
        <v>200</v>
      </c>
      <c r="S15" s="284">
        <f t="shared" si="9"/>
        <v>3.9899999999999998E-2</v>
      </c>
      <c r="T15" s="284">
        <f t="shared" si="10"/>
        <v>0</v>
      </c>
      <c r="U15" s="284">
        <f t="shared" si="11"/>
        <v>0</v>
      </c>
      <c r="V15" s="284">
        <f t="shared" si="12"/>
        <v>2.725E-2</v>
      </c>
      <c r="W15" s="283">
        <f t="shared" si="13"/>
        <v>4</v>
      </c>
      <c r="X15" s="283">
        <f t="shared" si="14"/>
        <v>4.5100000000000007</v>
      </c>
      <c r="Y15" s="283">
        <f t="shared" si="15"/>
        <v>6.11</v>
      </c>
      <c r="Z15" s="285">
        <f t="shared" si="16"/>
        <v>42000</v>
      </c>
      <c r="AA15" s="285">
        <f t="shared" si="17"/>
        <v>2384932.5299999998</v>
      </c>
      <c r="AB15" s="285">
        <f t="shared" si="35"/>
        <v>475705.28</v>
      </c>
      <c r="AC15" s="285">
        <f t="shared" si="36"/>
        <v>492288.33</v>
      </c>
      <c r="AD15" s="285">
        <f t="shared" si="37"/>
        <v>652214.52</v>
      </c>
      <c r="AE15" s="286">
        <v>0</v>
      </c>
      <c r="AF15" s="287">
        <f t="shared" si="18"/>
        <v>0</v>
      </c>
      <c r="AG15" s="288">
        <f t="shared" si="19"/>
        <v>0</v>
      </c>
      <c r="AH15" s="285">
        <f t="shared" si="20"/>
        <v>1620208.1300000001</v>
      </c>
      <c r="AI15" s="286">
        <v>0</v>
      </c>
      <c r="AJ15" s="286">
        <v>0</v>
      </c>
      <c r="AK15" s="286">
        <v>0</v>
      </c>
      <c r="AL15" s="285">
        <f t="shared" si="21"/>
        <v>4047140.6599999997</v>
      </c>
      <c r="AM15" s="285">
        <f t="shared" si="22"/>
        <v>4047141</v>
      </c>
      <c r="AN15" s="289">
        <f t="shared" si="38"/>
        <v>1</v>
      </c>
      <c r="AO15" s="290">
        <f t="shared" si="23"/>
        <v>-78055</v>
      </c>
      <c r="AP15" s="290">
        <f t="shared" si="24"/>
        <v>90554</v>
      </c>
      <c r="AQ15" s="290">
        <f t="shared" si="25"/>
        <v>275260</v>
      </c>
      <c r="AR15" s="290">
        <f t="shared" si="26"/>
        <v>0</v>
      </c>
      <c r="AS15" s="290">
        <f t="shared" si="27"/>
        <v>0</v>
      </c>
      <c r="AT15" s="290">
        <f t="shared" si="28"/>
        <v>4334900</v>
      </c>
      <c r="AU15" s="291">
        <f t="shared" si="29"/>
        <v>4334899.66</v>
      </c>
      <c r="AV15" s="291">
        <f t="shared" ref="AV15:AV18" si="42">ROUND(AT15-AU15,2)</f>
        <v>0.34</v>
      </c>
      <c r="AW15" s="292">
        <f t="shared" si="30"/>
        <v>1628807.3</v>
      </c>
      <c r="AX15" s="293">
        <f t="shared" si="31"/>
        <v>756125.22999999975</v>
      </c>
      <c r="BC15" s="276">
        <f>IF(BI15=1,IF(BC14=MiscData!$F$1,EOMONTH(BC14,-11),EOMONTH(BC14,1)),BC14)</f>
        <v>42035</v>
      </c>
      <c r="BD15" s="275" t="str">
        <f t="shared" si="40"/>
        <v>20140101LGCME591</v>
      </c>
      <c r="BE15" s="294" t="str">
        <f t="shared" si="41"/>
        <v>20140101TODS</v>
      </c>
      <c r="BF15">
        <f>MiscData!$X$5</f>
        <v>20140101</v>
      </c>
      <c r="BI15" s="265">
        <f>IF(BI14+1&gt;MiscData!$Z$42,1,BI14+1)</f>
        <v>12</v>
      </c>
      <c r="BJ15" s="265" t="str">
        <f>VLOOKUP(BI15,MiscData!$Z$5:$AB$46,2,FALSE)</f>
        <v>LGCME591</v>
      </c>
      <c r="BK15" s="265" t="str">
        <f>VLOOKUP(BI15,MiscData!$Z$5:$AB$46,3,FALSE)</f>
        <v>TODS</v>
      </c>
    </row>
    <row r="16" spans="1:63" hidden="1">
      <c r="A16" s="275">
        <v>13</v>
      </c>
      <c r="B16" s="276" t="str">
        <f t="shared" si="32"/>
        <v>Jan 2015</v>
      </c>
      <c r="C16" s="277" t="str">
        <f t="shared" si="33"/>
        <v>CTODP</v>
      </c>
      <c r="D16" s="277" t="str">
        <f t="shared" si="34"/>
        <v>LGCME593</v>
      </c>
      <c r="E16" s="278">
        <f t="shared" si="0"/>
        <v>36</v>
      </c>
      <c r="F16" s="279">
        <v>0</v>
      </c>
      <c r="G16" s="278">
        <f t="shared" si="1"/>
        <v>0</v>
      </c>
      <c r="H16" s="278">
        <f t="shared" si="2"/>
        <v>0</v>
      </c>
      <c r="I16" s="278">
        <f t="shared" si="3"/>
        <v>0</v>
      </c>
      <c r="J16" s="278">
        <f t="shared" si="4"/>
        <v>29781693</v>
      </c>
      <c r="K16" s="280">
        <v>0</v>
      </c>
      <c r="L16" s="281">
        <f t="shared" si="5"/>
        <v>67617.759999999995</v>
      </c>
      <c r="M16" s="281">
        <f t="shared" si="6"/>
        <v>59777.67</v>
      </c>
      <c r="N16" s="281">
        <f t="shared" si="7"/>
        <v>57718.8</v>
      </c>
      <c r="O16" s="282">
        <v>0</v>
      </c>
      <c r="P16" s="282">
        <v>0</v>
      </c>
      <c r="Q16" s="282">
        <v>0</v>
      </c>
      <c r="R16" s="283">
        <f t="shared" si="8"/>
        <v>300</v>
      </c>
      <c r="S16" s="284">
        <f t="shared" si="9"/>
        <v>3.8100000000000002E-2</v>
      </c>
      <c r="T16" s="284">
        <f t="shared" si="10"/>
        <v>0</v>
      </c>
      <c r="U16" s="284">
        <f t="shared" si="11"/>
        <v>0</v>
      </c>
      <c r="V16" s="284">
        <f t="shared" si="12"/>
        <v>2.725E-2</v>
      </c>
      <c r="W16" s="283">
        <f t="shared" si="13"/>
        <v>3.9800000000000004</v>
      </c>
      <c r="X16" s="283">
        <f t="shared" si="14"/>
        <v>4.13</v>
      </c>
      <c r="Y16" s="283">
        <f t="shared" si="15"/>
        <v>5.83</v>
      </c>
      <c r="Z16" s="285">
        <f t="shared" si="16"/>
        <v>10800</v>
      </c>
      <c r="AA16" s="285">
        <f t="shared" si="17"/>
        <v>1134682.5</v>
      </c>
      <c r="AB16" s="285">
        <f t="shared" si="35"/>
        <v>269118.68</v>
      </c>
      <c r="AC16" s="285">
        <f t="shared" si="36"/>
        <v>246881.78</v>
      </c>
      <c r="AD16" s="285">
        <f t="shared" si="37"/>
        <v>336500.6</v>
      </c>
      <c r="AE16" s="286">
        <v>0</v>
      </c>
      <c r="AF16" s="287">
        <f t="shared" si="18"/>
        <v>0</v>
      </c>
      <c r="AG16" s="288">
        <f t="shared" si="19"/>
        <v>0</v>
      </c>
      <c r="AH16" s="285">
        <f t="shared" si="20"/>
        <v>852501.05999999994</v>
      </c>
      <c r="AI16" s="286">
        <v>0</v>
      </c>
      <c r="AJ16" s="286">
        <v>0</v>
      </c>
      <c r="AK16" s="286">
        <v>0</v>
      </c>
      <c r="AL16" s="285">
        <f t="shared" si="21"/>
        <v>1997983.56</v>
      </c>
      <c r="AM16" s="285">
        <f t="shared" si="22"/>
        <v>1997983</v>
      </c>
      <c r="AN16" s="289">
        <f t="shared" si="38"/>
        <v>1</v>
      </c>
      <c r="AO16" s="290">
        <f t="shared" si="23"/>
        <v>-38891</v>
      </c>
      <c r="AP16" s="290">
        <f t="shared" si="24"/>
        <v>45119</v>
      </c>
      <c r="AQ16" s="290">
        <f t="shared" si="25"/>
        <v>137148</v>
      </c>
      <c r="AR16" s="290">
        <f t="shared" si="26"/>
        <v>0</v>
      </c>
      <c r="AS16" s="290">
        <f t="shared" si="27"/>
        <v>0</v>
      </c>
      <c r="AT16" s="290">
        <f t="shared" si="28"/>
        <v>2141359</v>
      </c>
      <c r="AU16" s="291">
        <f t="shared" si="29"/>
        <v>2141359.56</v>
      </c>
      <c r="AV16" s="291">
        <f t="shared" si="42"/>
        <v>-0.56000000000000005</v>
      </c>
      <c r="AW16" s="292">
        <f t="shared" si="30"/>
        <v>811551.13</v>
      </c>
      <c r="AX16" s="293">
        <f t="shared" si="31"/>
        <v>323131.37</v>
      </c>
      <c r="BC16" s="276">
        <f>IF(BI16=1,IF(BC15=MiscData!$F$1,EOMONTH(BC15,-11),EOMONTH(BC15,1)),BC15)</f>
        <v>42035</v>
      </c>
      <c r="BD16" s="275" t="str">
        <f t="shared" si="40"/>
        <v>20140101LGCME593</v>
      </c>
      <c r="BE16" s="294" t="str">
        <f t="shared" si="41"/>
        <v>20140101CTODP</v>
      </c>
      <c r="BF16">
        <f>MiscData!$X$5</f>
        <v>20140101</v>
      </c>
      <c r="BI16" s="265">
        <f>IF(BI15+1&gt;MiscData!$Z$42,1,BI15+1)</f>
        <v>13</v>
      </c>
      <c r="BJ16" s="265" t="str">
        <f>VLOOKUP(BI16,MiscData!$Z$5:$AB$46,2,FALSE)</f>
        <v>LGCME593</v>
      </c>
      <c r="BK16" s="265" t="str">
        <f>VLOOKUP(BI16,MiscData!$Z$5:$AB$46,3,FALSE)</f>
        <v>CTODP</v>
      </c>
    </row>
    <row r="17" spans="1:63" hidden="1">
      <c r="A17" s="275">
        <v>14</v>
      </c>
      <c r="B17" s="276" t="str">
        <f t="shared" si="32"/>
        <v>Jan 2015</v>
      </c>
      <c r="C17" s="277" t="str">
        <f t="shared" si="33"/>
        <v>GS3</v>
      </c>
      <c r="D17" s="277" t="str">
        <f t="shared" si="34"/>
        <v>LGCME650</v>
      </c>
      <c r="E17" s="278">
        <f t="shared" si="0"/>
        <v>0</v>
      </c>
      <c r="F17" s="279">
        <v>0</v>
      </c>
      <c r="G17" s="278">
        <f t="shared" si="1"/>
        <v>0</v>
      </c>
      <c r="H17" s="278">
        <f t="shared" si="2"/>
        <v>0</v>
      </c>
      <c r="I17" s="278">
        <f t="shared" si="3"/>
        <v>0</v>
      </c>
      <c r="J17" s="278">
        <f t="shared" si="4"/>
        <v>0</v>
      </c>
      <c r="K17" s="280">
        <v>0</v>
      </c>
      <c r="L17" s="281">
        <f t="shared" si="5"/>
        <v>0</v>
      </c>
      <c r="M17" s="281">
        <f t="shared" si="6"/>
        <v>0</v>
      </c>
      <c r="N17" s="281">
        <f t="shared" si="7"/>
        <v>0</v>
      </c>
      <c r="O17" s="282">
        <v>0</v>
      </c>
      <c r="P17" s="282">
        <v>0</v>
      </c>
      <c r="Q17" s="282">
        <v>0</v>
      </c>
      <c r="R17" s="283">
        <f t="shared" si="8"/>
        <v>35</v>
      </c>
      <c r="S17" s="284">
        <f t="shared" si="9"/>
        <v>9.1340000000000005E-2</v>
      </c>
      <c r="T17" s="284">
        <f t="shared" si="10"/>
        <v>0</v>
      </c>
      <c r="U17" s="284">
        <f t="shared" si="11"/>
        <v>0</v>
      </c>
      <c r="V17" s="284">
        <f t="shared" si="12"/>
        <v>2.725E-2</v>
      </c>
      <c r="W17" s="283">
        <f t="shared" si="13"/>
        <v>0</v>
      </c>
      <c r="X17" s="283">
        <f t="shared" si="14"/>
        <v>0</v>
      </c>
      <c r="Y17" s="283">
        <f t="shared" si="15"/>
        <v>0</v>
      </c>
      <c r="Z17" s="285">
        <f t="shared" si="16"/>
        <v>0</v>
      </c>
      <c r="AA17" s="285">
        <f t="shared" si="17"/>
        <v>0</v>
      </c>
      <c r="AB17" s="285">
        <f t="shared" si="35"/>
        <v>0</v>
      </c>
      <c r="AC17" s="285">
        <f t="shared" si="36"/>
        <v>0</v>
      </c>
      <c r="AD17" s="285">
        <f t="shared" si="37"/>
        <v>0</v>
      </c>
      <c r="AE17" s="286">
        <v>0</v>
      </c>
      <c r="AF17" s="287">
        <f t="shared" si="18"/>
        <v>0</v>
      </c>
      <c r="AG17" s="288">
        <f t="shared" si="19"/>
        <v>0</v>
      </c>
      <c r="AH17" s="285">
        <f t="shared" si="20"/>
        <v>0</v>
      </c>
      <c r="AI17" s="286">
        <v>0</v>
      </c>
      <c r="AJ17" s="286">
        <v>0</v>
      </c>
      <c r="AK17" s="286">
        <v>0</v>
      </c>
      <c r="AL17" s="285">
        <f t="shared" si="21"/>
        <v>0</v>
      </c>
      <c r="AM17" s="285">
        <f t="shared" si="22"/>
        <v>0</v>
      </c>
      <c r="AN17" s="289">
        <f t="shared" si="38"/>
        <v>1</v>
      </c>
      <c r="AO17" s="290">
        <f t="shared" si="23"/>
        <v>0</v>
      </c>
      <c r="AP17" s="290">
        <f t="shared" si="24"/>
        <v>0</v>
      </c>
      <c r="AQ17" s="290">
        <f t="shared" si="25"/>
        <v>0</v>
      </c>
      <c r="AR17" s="290">
        <f t="shared" si="26"/>
        <v>0</v>
      </c>
      <c r="AS17" s="290">
        <f t="shared" si="27"/>
        <v>0</v>
      </c>
      <c r="AT17" s="290">
        <f t="shared" si="28"/>
        <v>0</v>
      </c>
      <c r="AU17" s="291">
        <f t="shared" si="29"/>
        <v>0</v>
      </c>
      <c r="AV17" s="291">
        <f t="shared" si="42"/>
        <v>0</v>
      </c>
      <c r="AW17" s="292">
        <f t="shared" si="30"/>
        <v>0</v>
      </c>
      <c r="AX17" s="293">
        <f t="shared" si="31"/>
        <v>0</v>
      </c>
      <c r="BC17" s="276">
        <f>IF(BI17=1,IF(BC16=MiscData!$F$1,EOMONTH(BC16,-11),EOMONTH(BC16,1)),BC16)</f>
        <v>42035</v>
      </c>
      <c r="BD17" s="275" t="str">
        <f t="shared" si="40"/>
        <v>20140101LGCME650</v>
      </c>
      <c r="BE17" s="294" t="str">
        <f t="shared" si="41"/>
        <v>20140101GS3</v>
      </c>
      <c r="BF17">
        <f>MiscData!$X$5</f>
        <v>20140101</v>
      </c>
      <c r="BI17" s="265">
        <f>IF(BI16+1&gt;MiscData!$Z$42,1,BI16+1)</f>
        <v>14</v>
      </c>
      <c r="BJ17" s="265" t="str">
        <f>VLOOKUP(BI17,MiscData!$Z$5:$AB$46,2,FALSE)</f>
        <v>LGCME650</v>
      </c>
      <c r="BK17" s="265" t="str">
        <f>VLOOKUP(BI17,MiscData!$Z$5:$AB$46,3,FALSE)</f>
        <v>GS3</v>
      </c>
    </row>
    <row r="18" spans="1:63" hidden="1">
      <c r="A18" s="275">
        <v>15</v>
      </c>
      <c r="B18" s="276" t="str">
        <f t="shared" si="32"/>
        <v>Jan 2015</v>
      </c>
      <c r="C18" s="277" t="str">
        <f t="shared" si="33"/>
        <v>GS3</v>
      </c>
      <c r="D18" s="277" t="str">
        <f t="shared" si="34"/>
        <v>LGCME651</v>
      </c>
      <c r="E18" s="278">
        <f t="shared" si="0"/>
        <v>16311</v>
      </c>
      <c r="F18" s="279">
        <v>0</v>
      </c>
      <c r="G18" s="278">
        <f t="shared" si="1"/>
        <v>0</v>
      </c>
      <c r="H18" s="278">
        <f t="shared" si="2"/>
        <v>0</v>
      </c>
      <c r="I18" s="278">
        <f t="shared" si="3"/>
        <v>0</v>
      </c>
      <c r="J18" s="278">
        <f t="shared" si="4"/>
        <v>83507811</v>
      </c>
      <c r="K18" s="280">
        <v>0</v>
      </c>
      <c r="L18" s="281">
        <f t="shared" si="5"/>
        <v>202510.61</v>
      </c>
      <c r="M18" s="281">
        <f t="shared" si="6"/>
        <v>0</v>
      </c>
      <c r="N18" s="281">
        <f t="shared" si="7"/>
        <v>0</v>
      </c>
      <c r="O18" s="282">
        <v>0</v>
      </c>
      <c r="P18" s="282">
        <v>0</v>
      </c>
      <c r="Q18" s="282">
        <v>0</v>
      </c>
      <c r="R18" s="283">
        <f t="shared" si="8"/>
        <v>35</v>
      </c>
      <c r="S18" s="284">
        <f t="shared" si="9"/>
        <v>9.1340000000000005E-2</v>
      </c>
      <c r="T18" s="284">
        <f t="shared" si="10"/>
        <v>0</v>
      </c>
      <c r="U18" s="284">
        <f t="shared" si="11"/>
        <v>0</v>
      </c>
      <c r="V18" s="284">
        <f t="shared" si="12"/>
        <v>2.725E-2</v>
      </c>
      <c r="W18" s="283">
        <f t="shared" si="13"/>
        <v>0</v>
      </c>
      <c r="X18" s="283">
        <f t="shared" si="14"/>
        <v>0</v>
      </c>
      <c r="Y18" s="283">
        <f t="shared" si="15"/>
        <v>0</v>
      </c>
      <c r="Z18" s="285">
        <f t="shared" si="16"/>
        <v>570885</v>
      </c>
      <c r="AA18" s="285">
        <f t="shared" si="17"/>
        <v>7627603.46</v>
      </c>
      <c r="AB18" s="285">
        <f t="shared" si="35"/>
        <v>0</v>
      </c>
      <c r="AC18" s="285">
        <f t="shared" si="36"/>
        <v>0</v>
      </c>
      <c r="AD18" s="285">
        <f t="shared" si="37"/>
        <v>0</v>
      </c>
      <c r="AE18" s="286">
        <v>0</v>
      </c>
      <c r="AF18" s="287">
        <f t="shared" si="18"/>
        <v>0</v>
      </c>
      <c r="AG18" s="288">
        <f t="shared" si="19"/>
        <v>0</v>
      </c>
      <c r="AH18" s="285">
        <f t="shared" si="20"/>
        <v>0</v>
      </c>
      <c r="AI18" s="286">
        <v>0</v>
      </c>
      <c r="AJ18" s="286">
        <v>0</v>
      </c>
      <c r="AK18" s="286">
        <v>0</v>
      </c>
      <c r="AL18" s="285">
        <f t="shared" si="21"/>
        <v>8198488.46</v>
      </c>
      <c r="AM18" s="285">
        <f t="shared" si="22"/>
        <v>8198482</v>
      </c>
      <c r="AN18" s="289">
        <f t="shared" si="38"/>
        <v>0.99999899999999997</v>
      </c>
      <c r="AO18" s="290">
        <f t="shared" si="23"/>
        <v>-109050</v>
      </c>
      <c r="AP18" s="290">
        <f t="shared" si="24"/>
        <v>126513</v>
      </c>
      <c r="AQ18" s="290">
        <f t="shared" si="25"/>
        <v>384563</v>
      </c>
      <c r="AR18" s="290">
        <f t="shared" si="26"/>
        <v>0</v>
      </c>
      <c r="AS18" s="290">
        <f t="shared" si="27"/>
        <v>0</v>
      </c>
      <c r="AT18" s="290">
        <f t="shared" si="28"/>
        <v>8600508</v>
      </c>
      <c r="AU18" s="291">
        <f t="shared" si="29"/>
        <v>8600514.4600000009</v>
      </c>
      <c r="AV18" s="291">
        <f t="shared" si="42"/>
        <v>-6.46</v>
      </c>
      <c r="AW18" s="292">
        <f t="shared" si="30"/>
        <v>2275587.85</v>
      </c>
      <c r="AX18" s="293">
        <f t="shared" si="31"/>
        <v>5352015.6099999994</v>
      </c>
      <c r="BC18" s="276">
        <f>IF(BI18=1,IF(BC17=MiscData!$F$1,EOMONTH(BC17,-11),EOMONTH(BC17,1)),BC17)</f>
        <v>42035</v>
      </c>
      <c r="BD18" s="275" t="str">
        <f t="shared" si="40"/>
        <v>20140101LGCME651</v>
      </c>
      <c r="BE18" s="294" t="str">
        <f t="shared" si="41"/>
        <v>20140101GS3</v>
      </c>
      <c r="BF18">
        <f>MiscData!$X$5</f>
        <v>20140101</v>
      </c>
      <c r="BI18" s="265">
        <f>IF(BI17+1&gt;MiscData!$Z$42,1,BI17+1)</f>
        <v>15</v>
      </c>
      <c r="BJ18" s="265" t="str">
        <f>VLOOKUP(BI18,MiscData!$Z$5:$AB$46,2,FALSE)</f>
        <v>LGCME651</v>
      </c>
      <c r="BK18" s="265" t="str">
        <f>VLOOKUP(BI18,MiscData!$Z$5:$AB$46,3,FALSE)</f>
        <v>GS3</v>
      </c>
    </row>
    <row r="19" spans="1:63" hidden="1">
      <c r="A19" s="275">
        <v>16</v>
      </c>
      <c r="B19" s="276" t="str">
        <f t="shared" si="32"/>
        <v>Jan 2015</v>
      </c>
      <c r="C19" s="277" t="str">
        <f t="shared" si="33"/>
        <v>GS3</v>
      </c>
      <c r="D19" s="277" t="str">
        <f t="shared" si="34"/>
        <v>LGCME652</v>
      </c>
      <c r="E19" s="278">
        <f t="shared" si="0"/>
        <v>0</v>
      </c>
      <c r="F19" s="279">
        <f>-E19</f>
        <v>0</v>
      </c>
      <c r="G19" s="278">
        <f t="shared" si="1"/>
        <v>0</v>
      </c>
      <c r="H19" s="278">
        <f t="shared" si="2"/>
        <v>0</v>
      </c>
      <c r="I19" s="278">
        <f t="shared" si="3"/>
        <v>0</v>
      </c>
      <c r="J19" s="278">
        <f t="shared" si="4"/>
        <v>0</v>
      </c>
      <c r="K19" s="280">
        <v>0</v>
      </c>
      <c r="L19" s="281">
        <f t="shared" si="5"/>
        <v>0</v>
      </c>
      <c r="M19" s="281">
        <f t="shared" si="6"/>
        <v>0</v>
      </c>
      <c r="N19" s="281">
        <f t="shared" si="7"/>
        <v>0</v>
      </c>
      <c r="O19" s="282">
        <v>0</v>
      </c>
      <c r="P19" s="282">
        <v>0</v>
      </c>
      <c r="Q19" s="282">
        <v>0</v>
      </c>
      <c r="R19" s="283">
        <f t="shared" si="8"/>
        <v>0</v>
      </c>
      <c r="S19" s="284">
        <f t="shared" si="9"/>
        <v>9.1340000000000005E-2</v>
      </c>
      <c r="T19" s="284">
        <f t="shared" si="10"/>
        <v>0</v>
      </c>
      <c r="U19" s="284">
        <f t="shared" si="11"/>
        <v>0</v>
      </c>
      <c r="V19" s="284">
        <f t="shared" si="12"/>
        <v>2.725E-2</v>
      </c>
      <c r="W19" s="283">
        <f t="shared" si="13"/>
        <v>0</v>
      </c>
      <c r="X19" s="283">
        <f t="shared" si="14"/>
        <v>0</v>
      </c>
      <c r="Y19" s="283">
        <f t="shared" si="15"/>
        <v>0</v>
      </c>
      <c r="Z19" s="285">
        <f t="shared" si="16"/>
        <v>0</v>
      </c>
      <c r="AA19" s="285">
        <f t="shared" si="17"/>
        <v>0</v>
      </c>
      <c r="AB19" s="285">
        <f t="shared" si="35"/>
        <v>0</v>
      </c>
      <c r="AC19" s="285">
        <f t="shared" si="36"/>
        <v>0</v>
      </c>
      <c r="AD19" s="285">
        <f t="shared" si="37"/>
        <v>0</v>
      </c>
      <c r="AE19" s="286">
        <v>0</v>
      </c>
      <c r="AF19" s="287">
        <f t="shared" si="18"/>
        <v>0</v>
      </c>
      <c r="AG19" s="288">
        <f t="shared" si="19"/>
        <v>0</v>
      </c>
      <c r="AH19" s="285">
        <f t="shared" si="20"/>
        <v>0</v>
      </c>
      <c r="AI19" s="286">
        <v>0</v>
      </c>
      <c r="AJ19" s="286">
        <v>0</v>
      </c>
      <c r="AK19" s="286">
        <v>0</v>
      </c>
      <c r="AL19" s="285">
        <f t="shared" si="21"/>
        <v>0</v>
      </c>
      <c r="AM19" s="285">
        <f t="shared" si="22"/>
        <v>0</v>
      </c>
      <c r="AN19" s="289">
        <f t="shared" si="38"/>
        <v>1</v>
      </c>
      <c r="AO19" s="290">
        <f t="shared" si="23"/>
        <v>0</v>
      </c>
      <c r="AP19" s="290">
        <f t="shared" si="24"/>
        <v>0</v>
      </c>
      <c r="AQ19" s="290">
        <f t="shared" si="25"/>
        <v>0</v>
      </c>
      <c r="AR19" s="290">
        <f t="shared" si="26"/>
        <v>0</v>
      </c>
      <c r="AS19" s="290">
        <f t="shared" si="27"/>
        <v>0</v>
      </c>
      <c r="AT19" s="290">
        <f t="shared" si="28"/>
        <v>0</v>
      </c>
      <c r="AU19" s="291">
        <f t="shared" si="29"/>
        <v>0</v>
      </c>
      <c r="AV19" s="291">
        <f t="shared" si="39"/>
        <v>0</v>
      </c>
      <c r="AW19" s="292">
        <f t="shared" si="30"/>
        <v>0</v>
      </c>
      <c r="AX19" s="293">
        <f t="shared" si="31"/>
        <v>0</v>
      </c>
      <c r="BC19" s="276">
        <f>IF(BI19=1,IF(BC18=MiscData!$F$1,EOMONTH(BC18,-11),EOMONTH(BC18,1)),BC18)</f>
        <v>42035</v>
      </c>
      <c r="BD19" s="275" t="str">
        <f t="shared" si="40"/>
        <v>20140101LGCME652</v>
      </c>
      <c r="BE19" s="294" t="str">
        <f t="shared" si="41"/>
        <v>20140101GS3</v>
      </c>
      <c r="BF19">
        <f>MiscData!$X$5</f>
        <v>20140101</v>
      </c>
      <c r="BI19" s="265">
        <f>IF(BI18+1&gt;MiscData!$Z$42,1,BI18+1)</f>
        <v>16</v>
      </c>
      <c r="BJ19" s="265" t="str">
        <f>VLOOKUP(BI19,MiscData!$Z$5:$AB$46,2,FALSE)</f>
        <v>LGCME652</v>
      </c>
      <c r="BK19" s="265" t="str">
        <f>VLOOKUP(BI19,MiscData!$Z$5:$AB$46,3,FALSE)</f>
        <v>GS3</v>
      </c>
    </row>
    <row r="20" spans="1:63" hidden="1">
      <c r="A20" s="275">
        <v>17</v>
      </c>
      <c r="B20" s="276" t="str">
        <f t="shared" si="32"/>
        <v>Jan 2015</v>
      </c>
      <c r="C20" s="277" t="str">
        <f t="shared" si="33"/>
        <v>GS3</v>
      </c>
      <c r="D20" s="277" t="str">
        <f t="shared" si="34"/>
        <v>LGCME657</v>
      </c>
      <c r="E20" s="278">
        <f t="shared" si="0"/>
        <v>0</v>
      </c>
      <c r="F20" s="279">
        <v>0</v>
      </c>
      <c r="G20" s="278">
        <f t="shared" si="1"/>
        <v>0</v>
      </c>
      <c r="H20" s="278">
        <f t="shared" si="2"/>
        <v>0</v>
      </c>
      <c r="I20" s="278">
        <f t="shared" si="3"/>
        <v>0</v>
      </c>
      <c r="J20" s="278">
        <f t="shared" si="4"/>
        <v>0</v>
      </c>
      <c r="K20" s="280">
        <v>0</v>
      </c>
      <c r="L20" s="281">
        <f t="shared" si="5"/>
        <v>0</v>
      </c>
      <c r="M20" s="281">
        <f t="shared" si="6"/>
        <v>0</v>
      </c>
      <c r="N20" s="281">
        <f t="shared" si="7"/>
        <v>0</v>
      </c>
      <c r="O20" s="282">
        <v>0</v>
      </c>
      <c r="P20" s="282">
        <v>0</v>
      </c>
      <c r="Q20" s="282">
        <v>0</v>
      </c>
      <c r="R20" s="283">
        <f t="shared" si="8"/>
        <v>35</v>
      </c>
      <c r="S20" s="284">
        <f t="shared" si="9"/>
        <v>9.1340000000000005E-2</v>
      </c>
      <c r="T20" s="284">
        <f t="shared" si="10"/>
        <v>0</v>
      </c>
      <c r="U20" s="284">
        <f t="shared" si="11"/>
        <v>0</v>
      </c>
      <c r="V20" s="284">
        <f t="shared" si="12"/>
        <v>2.725E-2</v>
      </c>
      <c r="W20" s="283">
        <f t="shared" si="13"/>
        <v>0</v>
      </c>
      <c r="X20" s="283">
        <f t="shared" si="14"/>
        <v>0</v>
      </c>
      <c r="Y20" s="283">
        <f t="shared" si="15"/>
        <v>0</v>
      </c>
      <c r="Z20" s="285">
        <f t="shared" si="16"/>
        <v>0</v>
      </c>
      <c r="AA20" s="285">
        <f t="shared" si="17"/>
        <v>0</v>
      </c>
      <c r="AB20" s="285">
        <f t="shared" si="35"/>
        <v>0</v>
      </c>
      <c r="AC20" s="285">
        <f t="shared" si="36"/>
        <v>0</v>
      </c>
      <c r="AD20" s="285">
        <f t="shared" si="37"/>
        <v>0</v>
      </c>
      <c r="AE20" s="286">
        <v>0</v>
      </c>
      <c r="AF20" s="287">
        <f t="shared" si="18"/>
        <v>0</v>
      </c>
      <c r="AG20" s="288">
        <f t="shared" si="19"/>
        <v>0</v>
      </c>
      <c r="AH20" s="285">
        <f t="shared" si="20"/>
        <v>0</v>
      </c>
      <c r="AI20" s="286">
        <v>0</v>
      </c>
      <c r="AJ20" s="286">
        <v>0</v>
      </c>
      <c r="AK20" s="286">
        <v>0</v>
      </c>
      <c r="AL20" s="285">
        <f t="shared" si="21"/>
        <v>0</v>
      </c>
      <c r="AM20" s="285">
        <f t="shared" si="22"/>
        <v>0</v>
      </c>
      <c r="AN20" s="289">
        <f t="shared" si="38"/>
        <v>1</v>
      </c>
      <c r="AO20" s="290">
        <f t="shared" si="23"/>
        <v>0</v>
      </c>
      <c r="AP20" s="290">
        <f t="shared" si="24"/>
        <v>0</v>
      </c>
      <c r="AQ20" s="290">
        <f t="shared" si="25"/>
        <v>0</v>
      </c>
      <c r="AR20" s="290">
        <f t="shared" si="26"/>
        <v>0</v>
      </c>
      <c r="AS20" s="290">
        <f t="shared" si="27"/>
        <v>0</v>
      </c>
      <c r="AT20" s="290">
        <f t="shared" si="28"/>
        <v>0</v>
      </c>
      <c r="AU20" s="291">
        <f t="shared" si="29"/>
        <v>0</v>
      </c>
      <c r="AV20" s="291">
        <f t="shared" si="39"/>
        <v>0</v>
      </c>
      <c r="AW20" s="292">
        <f t="shared" si="30"/>
        <v>0</v>
      </c>
      <c r="AX20" s="293">
        <f t="shared" si="31"/>
        <v>0</v>
      </c>
      <c r="BC20" s="276">
        <f>IF(BI20=1,IF(BC19=MiscData!$F$1,EOMONTH(BC19,-11),EOMONTH(BC19,1)),BC19)</f>
        <v>42035</v>
      </c>
      <c r="BD20" s="275" t="str">
        <f t="shared" si="40"/>
        <v>20140101LGCME657</v>
      </c>
      <c r="BE20" s="294" t="str">
        <f t="shared" si="41"/>
        <v>20140101GS3</v>
      </c>
      <c r="BF20">
        <f>MiscData!$X$5</f>
        <v>20140101</v>
      </c>
      <c r="BI20" s="265">
        <f>IF(BI19+1&gt;MiscData!$Z$42,1,BI19+1)</f>
        <v>17</v>
      </c>
      <c r="BJ20" s="265" t="str">
        <f>VLOOKUP(BI20,MiscData!$Z$5:$AB$46,2,FALSE)</f>
        <v>LGCME657</v>
      </c>
      <c r="BK20" s="265" t="str">
        <f>VLOOKUP(BI20,MiscData!$Z$5:$AB$46,3,FALSE)</f>
        <v>GS3</v>
      </c>
    </row>
    <row r="21" spans="1:63" hidden="1">
      <c r="A21" s="275">
        <v>18</v>
      </c>
      <c r="B21" s="276" t="str">
        <f t="shared" si="32"/>
        <v>Jan 2015</v>
      </c>
      <c r="C21" s="277" t="str">
        <f t="shared" si="33"/>
        <v>LWC</v>
      </c>
      <c r="D21" s="277" t="str">
        <f t="shared" si="34"/>
        <v>LGCME671</v>
      </c>
      <c r="E21" s="278">
        <f t="shared" si="0"/>
        <v>2</v>
      </c>
      <c r="F21" s="279">
        <v>0</v>
      </c>
      <c r="G21" s="278">
        <f t="shared" si="1"/>
        <v>0</v>
      </c>
      <c r="H21" s="278">
        <f t="shared" si="2"/>
        <v>0</v>
      </c>
      <c r="I21" s="278">
        <f t="shared" si="3"/>
        <v>0</v>
      </c>
      <c r="J21" s="278">
        <f t="shared" si="4"/>
        <v>5498880</v>
      </c>
      <c r="K21" s="280">
        <v>0</v>
      </c>
      <c r="L21" s="281">
        <f t="shared" si="5"/>
        <v>0</v>
      </c>
      <c r="M21" s="281">
        <f t="shared" si="6"/>
        <v>9316.7999999999993</v>
      </c>
      <c r="N21" s="281">
        <f t="shared" si="7"/>
        <v>0</v>
      </c>
      <c r="O21" s="282">
        <v>0</v>
      </c>
      <c r="P21" s="282">
        <v>0</v>
      </c>
      <c r="Q21" s="282">
        <v>0</v>
      </c>
      <c r="R21" s="283">
        <f t="shared" si="8"/>
        <v>0</v>
      </c>
      <c r="S21" s="284">
        <f t="shared" si="9"/>
        <v>3.7019999999999997E-2</v>
      </c>
      <c r="T21" s="284">
        <f t="shared" si="10"/>
        <v>0</v>
      </c>
      <c r="U21" s="284">
        <f t="shared" si="11"/>
        <v>0</v>
      </c>
      <c r="V21" s="284">
        <f t="shared" si="12"/>
        <v>2.725E-2</v>
      </c>
      <c r="W21" s="283">
        <f t="shared" si="13"/>
        <v>0</v>
      </c>
      <c r="X21" s="283">
        <f t="shared" si="14"/>
        <v>10.35</v>
      </c>
      <c r="Y21" s="283">
        <f t="shared" si="15"/>
        <v>10.35</v>
      </c>
      <c r="Z21" s="285">
        <f t="shared" si="16"/>
        <v>0</v>
      </c>
      <c r="AA21" s="285">
        <f t="shared" si="17"/>
        <v>203568.54</v>
      </c>
      <c r="AB21" s="285">
        <f t="shared" si="35"/>
        <v>0</v>
      </c>
      <c r="AC21" s="285">
        <f t="shared" si="36"/>
        <v>96428.88</v>
      </c>
      <c r="AD21" s="285">
        <f t="shared" si="37"/>
        <v>0</v>
      </c>
      <c r="AE21" s="286">
        <v>0</v>
      </c>
      <c r="AF21" s="287">
        <f t="shared" si="18"/>
        <v>0</v>
      </c>
      <c r="AG21" s="288">
        <f t="shared" si="19"/>
        <v>0</v>
      </c>
      <c r="AH21" s="285">
        <f t="shared" si="20"/>
        <v>96428.88</v>
      </c>
      <c r="AI21" s="286">
        <v>0</v>
      </c>
      <c r="AJ21" s="286">
        <v>0</v>
      </c>
      <c r="AK21" s="286">
        <v>0</v>
      </c>
      <c r="AL21" s="285">
        <f t="shared" si="21"/>
        <v>299997.42000000004</v>
      </c>
      <c r="AM21" s="285">
        <f t="shared" si="22"/>
        <v>299998</v>
      </c>
      <c r="AN21" s="289">
        <f t="shared" si="38"/>
        <v>1.0000020000000001</v>
      </c>
      <c r="AO21" s="290">
        <f t="shared" si="23"/>
        <v>-7181</v>
      </c>
      <c r="AP21" s="290">
        <f t="shared" si="24"/>
        <v>0</v>
      </c>
      <c r="AQ21" s="290">
        <f t="shared" si="25"/>
        <v>25323</v>
      </c>
      <c r="AR21" s="290">
        <f t="shared" si="26"/>
        <v>0</v>
      </c>
      <c r="AS21" s="290">
        <f t="shared" si="27"/>
        <v>0</v>
      </c>
      <c r="AT21" s="290">
        <f t="shared" si="28"/>
        <v>318140</v>
      </c>
      <c r="AU21" s="291">
        <f t="shared" si="29"/>
        <v>318139.42000000004</v>
      </c>
      <c r="AV21" s="291">
        <f t="shared" si="39"/>
        <v>0.57999999995809048</v>
      </c>
      <c r="AW21" s="292">
        <f t="shared" si="30"/>
        <v>149844.48000000001</v>
      </c>
      <c r="AX21" s="293">
        <f t="shared" si="31"/>
        <v>53724.06</v>
      </c>
      <c r="BC21" s="276">
        <f>IF(BI21=1,IF(BC20=MiscData!$F$1,EOMONTH(BC20,-11),EOMONTH(BC20,1)),BC20)</f>
        <v>42035</v>
      </c>
      <c r="BD21" s="275" t="str">
        <f t="shared" si="40"/>
        <v>20140101LGCME671</v>
      </c>
      <c r="BE21" s="294" t="str">
        <f t="shared" si="41"/>
        <v>20140101LWC</v>
      </c>
      <c r="BF21">
        <f>MiscData!$X$5</f>
        <v>20140101</v>
      </c>
      <c r="BI21" s="265">
        <f>IF(BI20+1&gt;MiscData!$Z$42,1,BI20+1)</f>
        <v>18</v>
      </c>
      <c r="BJ21" s="265" t="str">
        <f>VLOOKUP(BI21,MiscData!$Z$5:$AB$46,2,FALSE)</f>
        <v>LGCME671</v>
      </c>
      <c r="BK21" s="265" t="str">
        <f>VLOOKUP(BI21,MiscData!$Z$5:$AB$46,3,FALSE)</f>
        <v>LWC</v>
      </c>
    </row>
    <row r="22" spans="1:63" hidden="1">
      <c r="A22" s="275">
        <v>19</v>
      </c>
      <c r="B22" s="276" t="str">
        <f t="shared" si="32"/>
        <v>Jan 2015</v>
      </c>
      <c r="C22" s="277" t="str">
        <f t="shared" si="33"/>
        <v>CSR</v>
      </c>
      <c r="D22" s="277" t="str">
        <f t="shared" si="34"/>
        <v>LGCSR760</v>
      </c>
      <c r="E22" s="278">
        <f t="shared" si="0"/>
        <v>0</v>
      </c>
      <c r="F22" s="279">
        <v>0</v>
      </c>
      <c r="G22" s="278">
        <f t="shared" si="1"/>
        <v>0</v>
      </c>
      <c r="H22" s="278">
        <f t="shared" si="2"/>
        <v>0</v>
      </c>
      <c r="I22" s="278">
        <f t="shared" si="3"/>
        <v>0</v>
      </c>
      <c r="J22" s="278">
        <f t="shared" si="4"/>
        <v>0</v>
      </c>
      <c r="K22" s="280">
        <v>0</v>
      </c>
      <c r="L22" s="281">
        <f t="shared" si="5"/>
        <v>0</v>
      </c>
      <c r="M22" s="281">
        <f t="shared" si="6"/>
        <v>0</v>
      </c>
      <c r="N22" s="281">
        <f t="shared" si="7"/>
        <v>0</v>
      </c>
      <c r="O22" s="282">
        <v>0</v>
      </c>
      <c r="P22" s="282">
        <v>0</v>
      </c>
      <c r="Q22" s="282">
        <v>0</v>
      </c>
      <c r="R22" s="283">
        <f t="shared" si="8"/>
        <v>0</v>
      </c>
      <c r="S22" s="284">
        <f t="shared" si="9"/>
        <v>0</v>
      </c>
      <c r="T22" s="284">
        <f t="shared" si="10"/>
        <v>0</v>
      </c>
      <c r="U22" s="284">
        <f t="shared" si="11"/>
        <v>0</v>
      </c>
      <c r="V22" s="284">
        <f t="shared" si="12"/>
        <v>0</v>
      </c>
      <c r="W22" s="283">
        <f t="shared" si="13"/>
        <v>0</v>
      </c>
      <c r="X22" s="283">
        <f t="shared" si="14"/>
        <v>0</v>
      </c>
      <c r="Y22" s="283">
        <f t="shared" si="15"/>
        <v>0</v>
      </c>
      <c r="Z22" s="285">
        <f t="shared" si="16"/>
        <v>0</v>
      </c>
      <c r="AA22" s="285">
        <f t="shared" si="17"/>
        <v>0</v>
      </c>
      <c r="AB22" s="285">
        <f t="shared" si="35"/>
        <v>0</v>
      </c>
      <c r="AC22" s="285">
        <f t="shared" si="36"/>
        <v>0</v>
      </c>
      <c r="AD22" s="285">
        <f t="shared" si="37"/>
        <v>0</v>
      </c>
      <c r="AE22" s="286">
        <v>0</v>
      </c>
      <c r="AF22" s="287">
        <f t="shared" si="18"/>
        <v>0</v>
      </c>
      <c r="AG22" s="288">
        <f t="shared" si="19"/>
        <v>0</v>
      </c>
      <c r="AH22" s="285">
        <f t="shared" si="20"/>
        <v>0</v>
      </c>
      <c r="AI22" s="286">
        <v>0</v>
      </c>
      <c r="AJ22" s="286">
        <v>0</v>
      </c>
      <c r="AK22" s="286">
        <v>0</v>
      </c>
      <c r="AL22" s="285">
        <f t="shared" si="21"/>
        <v>0</v>
      </c>
      <c r="AM22" s="285">
        <f t="shared" si="22"/>
        <v>0</v>
      </c>
      <c r="AN22" s="289">
        <f t="shared" si="38"/>
        <v>1</v>
      </c>
      <c r="AO22" s="290">
        <f t="shared" si="23"/>
        <v>0</v>
      </c>
      <c r="AP22" s="290">
        <f t="shared" si="24"/>
        <v>0</v>
      </c>
      <c r="AQ22" s="290">
        <f t="shared" si="25"/>
        <v>0</v>
      </c>
      <c r="AR22" s="290">
        <f t="shared" si="26"/>
        <v>0</v>
      </c>
      <c r="AS22" s="290">
        <f t="shared" si="27"/>
        <v>-286526</v>
      </c>
      <c r="AT22" s="290">
        <f t="shared" si="28"/>
        <v>-286526</v>
      </c>
      <c r="AU22" s="291">
        <f t="shared" si="29"/>
        <v>-286526</v>
      </c>
      <c r="AV22" s="291">
        <f t="shared" si="39"/>
        <v>0</v>
      </c>
      <c r="AW22" s="292">
        <f t="shared" si="30"/>
        <v>0</v>
      </c>
      <c r="AX22" s="293">
        <f t="shared" si="31"/>
        <v>0</v>
      </c>
      <c r="BC22" s="276">
        <f>IF(BI22=1,IF(BC21=MiscData!$F$1,EOMONTH(BC21,-11),EOMONTH(BC21,1)),BC21)</f>
        <v>42035</v>
      </c>
      <c r="BD22" s="275" t="str">
        <f t="shared" si="40"/>
        <v>20140101LGCSR760</v>
      </c>
      <c r="BE22" s="294" t="str">
        <f t="shared" si="41"/>
        <v>20140101CSR</v>
      </c>
      <c r="BF22">
        <f>MiscData!$X$5</f>
        <v>20140101</v>
      </c>
      <c r="BI22" s="265">
        <f>IF(BI21+1&gt;MiscData!$Z$42,1,BI21+1)</f>
        <v>19</v>
      </c>
      <c r="BJ22" s="265" t="str">
        <f>VLOOKUP(BI22,MiscData!$Z$5:$AB$46,2,FALSE)</f>
        <v>LGCSR760</v>
      </c>
      <c r="BK22" s="265" t="str">
        <f>VLOOKUP(BI22,MiscData!$Z$5:$AB$46,3,FALSE)</f>
        <v>CSR</v>
      </c>
    </row>
    <row r="23" spans="1:63" hidden="1">
      <c r="A23" s="275">
        <v>20</v>
      </c>
      <c r="B23" s="276" t="str">
        <f t="shared" si="32"/>
        <v>Jan 2015</v>
      </c>
      <c r="C23" s="277" t="str">
        <f t="shared" si="33"/>
        <v>CSR</v>
      </c>
      <c r="D23" s="277" t="str">
        <f t="shared" si="34"/>
        <v>LGCSR780</v>
      </c>
      <c r="E23" s="278">
        <f t="shared" si="0"/>
        <v>0</v>
      </c>
      <c r="F23" s="279">
        <v>0</v>
      </c>
      <c r="G23" s="278">
        <f t="shared" si="1"/>
        <v>0</v>
      </c>
      <c r="H23" s="278">
        <f t="shared" si="2"/>
        <v>0</v>
      </c>
      <c r="I23" s="278">
        <f t="shared" si="3"/>
        <v>0</v>
      </c>
      <c r="J23" s="278">
        <f t="shared" si="4"/>
        <v>0</v>
      </c>
      <c r="K23" s="280">
        <v>0</v>
      </c>
      <c r="L23" s="281">
        <f t="shared" si="5"/>
        <v>0</v>
      </c>
      <c r="M23" s="281">
        <f t="shared" si="6"/>
        <v>0</v>
      </c>
      <c r="N23" s="281">
        <f t="shared" si="7"/>
        <v>0</v>
      </c>
      <c r="O23" s="282">
        <v>0</v>
      </c>
      <c r="P23" s="282">
        <v>0</v>
      </c>
      <c r="Q23" s="282">
        <v>0</v>
      </c>
      <c r="R23" s="283">
        <f t="shared" si="8"/>
        <v>0</v>
      </c>
      <c r="S23" s="284">
        <f t="shared" si="9"/>
        <v>0</v>
      </c>
      <c r="T23" s="284">
        <f t="shared" si="10"/>
        <v>0</v>
      </c>
      <c r="U23" s="284">
        <f t="shared" si="11"/>
        <v>0</v>
      </c>
      <c r="V23" s="284">
        <f t="shared" si="12"/>
        <v>0</v>
      </c>
      <c r="W23" s="283">
        <f t="shared" si="13"/>
        <v>0</v>
      </c>
      <c r="X23" s="283">
        <f t="shared" si="14"/>
        <v>0</v>
      </c>
      <c r="Y23" s="283">
        <f t="shared" si="15"/>
        <v>0</v>
      </c>
      <c r="Z23" s="285">
        <f t="shared" si="16"/>
        <v>0</v>
      </c>
      <c r="AA23" s="285">
        <f t="shared" si="17"/>
        <v>0</v>
      </c>
      <c r="AB23" s="285">
        <f t="shared" si="35"/>
        <v>0</v>
      </c>
      <c r="AC23" s="285">
        <f t="shared" si="36"/>
        <v>0</v>
      </c>
      <c r="AD23" s="285">
        <f t="shared" si="37"/>
        <v>0</v>
      </c>
      <c r="AE23" s="286">
        <v>0</v>
      </c>
      <c r="AF23" s="287">
        <f t="shared" si="18"/>
        <v>0</v>
      </c>
      <c r="AG23" s="288">
        <f t="shared" si="19"/>
        <v>0</v>
      </c>
      <c r="AH23" s="285">
        <f t="shared" si="20"/>
        <v>0</v>
      </c>
      <c r="AI23" s="286">
        <v>0</v>
      </c>
      <c r="AJ23" s="286">
        <v>0</v>
      </c>
      <c r="AK23" s="286">
        <v>0</v>
      </c>
      <c r="AL23" s="285">
        <f t="shared" si="21"/>
        <v>0</v>
      </c>
      <c r="AM23" s="285">
        <f t="shared" si="22"/>
        <v>0</v>
      </c>
      <c r="AN23" s="289">
        <f t="shared" si="38"/>
        <v>1</v>
      </c>
      <c r="AO23" s="290">
        <f t="shared" si="23"/>
        <v>0</v>
      </c>
      <c r="AP23" s="290">
        <f t="shared" si="24"/>
        <v>0</v>
      </c>
      <c r="AQ23" s="290">
        <f t="shared" si="25"/>
        <v>0</v>
      </c>
      <c r="AR23" s="290">
        <f t="shared" si="26"/>
        <v>0</v>
      </c>
      <c r="AS23" s="290">
        <f t="shared" si="27"/>
        <v>0</v>
      </c>
      <c r="AT23" s="290">
        <f t="shared" si="28"/>
        <v>0</v>
      </c>
      <c r="AU23" s="291">
        <f t="shared" si="29"/>
        <v>0</v>
      </c>
      <c r="AV23" s="291">
        <f t="shared" si="39"/>
        <v>0</v>
      </c>
      <c r="AW23" s="292">
        <f t="shared" si="30"/>
        <v>0</v>
      </c>
      <c r="AX23" s="293">
        <f t="shared" si="31"/>
        <v>0</v>
      </c>
      <c r="BC23" s="276">
        <f>IF(BI23=1,IF(BC22=MiscData!$F$1,EOMONTH(BC22,-11),EOMONTH(BC22,1)),BC22)</f>
        <v>42035</v>
      </c>
      <c r="BD23" s="275" t="str">
        <f t="shared" si="40"/>
        <v>20140101LGCSR780</v>
      </c>
      <c r="BE23" s="294" t="str">
        <f t="shared" si="41"/>
        <v>20140101CSR</v>
      </c>
      <c r="BF23">
        <f>MiscData!$X$5</f>
        <v>20140101</v>
      </c>
      <c r="BI23" s="265">
        <f>IF(BI22+1&gt;MiscData!$Z$42,1,BI22+1)</f>
        <v>20</v>
      </c>
      <c r="BJ23" s="265" t="str">
        <f>VLOOKUP(BI23,MiscData!$Z$5:$AB$46,2,FALSE)</f>
        <v>LGCSR780</v>
      </c>
      <c r="BK23" s="265" t="str">
        <f>VLOOKUP(BI23,MiscData!$Z$5:$AB$46,3,FALSE)</f>
        <v>CSR</v>
      </c>
    </row>
    <row r="24" spans="1:63">
      <c r="A24" s="275">
        <v>21</v>
      </c>
      <c r="B24" s="276" t="str">
        <f t="shared" si="32"/>
        <v>Jan 2015</v>
      </c>
      <c r="C24" s="277" t="str">
        <f t="shared" si="33"/>
        <v>FK</v>
      </c>
      <c r="D24" s="277" t="str">
        <f t="shared" si="34"/>
        <v>LGINE599</v>
      </c>
      <c r="E24" s="278">
        <f t="shared" si="0"/>
        <v>1</v>
      </c>
      <c r="F24" s="279">
        <v>0</v>
      </c>
      <c r="G24" s="278">
        <f t="shared" si="1"/>
        <v>0</v>
      </c>
      <c r="H24" s="278">
        <f t="shared" si="2"/>
        <v>0</v>
      </c>
      <c r="I24" s="278">
        <f t="shared" si="3"/>
        <v>0</v>
      </c>
      <c r="J24" s="278">
        <f t="shared" si="4"/>
        <v>10975500</v>
      </c>
      <c r="K24" s="280">
        <v>0</v>
      </c>
      <c r="L24" s="281">
        <f t="shared" si="5"/>
        <v>0</v>
      </c>
      <c r="M24" s="281">
        <f t="shared" si="6"/>
        <v>15562</v>
      </c>
      <c r="N24" s="281">
        <f t="shared" si="7"/>
        <v>0</v>
      </c>
      <c r="O24" s="282">
        <v>0</v>
      </c>
      <c r="P24" s="282">
        <v>0</v>
      </c>
      <c r="Q24" s="282">
        <v>0</v>
      </c>
      <c r="R24" s="283">
        <f t="shared" si="8"/>
        <v>0</v>
      </c>
      <c r="S24" s="284">
        <f t="shared" si="9"/>
        <v>3.7400000000000003E-2</v>
      </c>
      <c r="T24" s="284">
        <f t="shared" si="10"/>
        <v>0</v>
      </c>
      <c r="U24" s="284">
        <f t="shared" si="11"/>
        <v>0</v>
      </c>
      <c r="V24" s="284">
        <f t="shared" si="12"/>
        <v>2.725E-2</v>
      </c>
      <c r="W24" s="283">
        <f t="shared" si="13"/>
        <v>0</v>
      </c>
      <c r="X24" s="283">
        <f t="shared" si="14"/>
        <v>12.72</v>
      </c>
      <c r="Y24" s="283">
        <f t="shared" si="15"/>
        <v>15.040000000000001</v>
      </c>
      <c r="Z24" s="285">
        <f t="shared" si="16"/>
        <v>0</v>
      </c>
      <c r="AA24" s="285">
        <f t="shared" si="17"/>
        <v>410483.7</v>
      </c>
      <c r="AB24" s="285">
        <f t="shared" si="35"/>
        <v>0</v>
      </c>
      <c r="AC24" s="285">
        <f t="shared" si="36"/>
        <v>197948.64</v>
      </c>
      <c r="AD24" s="285">
        <f t="shared" si="37"/>
        <v>0</v>
      </c>
      <c r="AE24" s="286">
        <v>0</v>
      </c>
      <c r="AF24" s="287">
        <f t="shared" si="18"/>
        <v>0</v>
      </c>
      <c r="AG24" s="288">
        <f t="shared" si="19"/>
        <v>0</v>
      </c>
      <c r="AH24" s="285">
        <f t="shared" si="20"/>
        <v>197948.64</v>
      </c>
      <c r="AI24" s="286">
        <v>0</v>
      </c>
      <c r="AJ24" s="286">
        <v>0</v>
      </c>
      <c r="AK24" s="286">
        <v>0</v>
      </c>
      <c r="AL24" s="285">
        <f t="shared" si="21"/>
        <v>608432.34000000008</v>
      </c>
      <c r="AM24" s="285">
        <f t="shared" si="22"/>
        <v>608432</v>
      </c>
      <c r="AN24" s="289">
        <f t="shared" si="38"/>
        <v>0.99999899999999997</v>
      </c>
      <c r="AO24" s="290">
        <f t="shared" si="23"/>
        <v>-14332</v>
      </c>
      <c r="AP24" s="290">
        <f t="shared" si="24"/>
        <v>0</v>
      </c>
      <c r="AQ24" s="290">
        <f t="shared" si="25"/>
        <v>50543</v>
      </c>
      <c r="AR24" s="290">
        <f t="shared" si="26"/>
        <v>0</v>
      </c>
      <c r="AS24" s="290">
        <f t="shared" si="27"/>
        <v>0</v>
      </c>
      <c r="AT24" s="290">
        <f t="shared" si="28"/>
        <v>644643</v>
      </c>
      <c r="AU24" s="291">
        <f t="shared" si="29"/>
        <v>644643.34000000008</v>
      </c>
      <c r="AV24" s="291">
        <f>ROUND(AT24-AU24,2)</f>
        <v>-0.34</v>
      </c>
      <c r="AW24" s="292">
        <f t="shared" si="30"/>
        <v>299082.38</v>
      </c>
      <c r="AX24" s="293">
        <f t="shared" si="31"/>
        <v>111401.32</v>
      </c>
      <c r="BC24" s="276">
        <f>IF(BI24=1,IF(BC23=MiscData!$F$1,EOMONTH(BC23,-11),EOMONTH(BC23,1)),BC23)</f>
        <v>42035</v>
      </c>
      <c r="BD24" s="275" t="str">
        <f t="shared" si="40"/>
        <v>20140101LGINE599</v>
      </c>
      <c r="BE24" s="294" t="str">
        <f t="shared" si="41"/>
        <v>20140101FK</v>
      </c>
      <c r="BF24">
        <f>MiscData!$X$5</f>
        <v>20140101</v>
      </c>
      <c r="BI24" s="265">
        <f>IF(BI23+1&gt;MiscData!$Z$42,1,BI23+1)</f>
        <v>21</v>
      </c>
      <c r="BJ24" s="265" t="str">
        <f>VLOOKUP(BI24,MiscData!$Z$5:$AB$46,2,FALSE)</f>
        <v>LGINE599</v>
      </c>
      <c r="BK24" s="265" t="str">
        <f>VLOOKUP(BI24,MiscData!$Z$5:$AB$46,3,FALSE)</f>
        <v>FK</v>
      </c>
    </row>
    <row r="25" spans="1:63" hidden="1">
      <c r="A25" s="275">
        <v>22</v>
      </c>
      <c r="B25" s="276" t="str">
        <f t="shared" si="32"/>
        <v>Jan 2015</v>
      </c>
      <c r="C25" s="277" t="str">
        <f t="shared" si="33"/>
        <v>RTS</v>
      </c>
      <c r="D25" s="277" t="str">
        <f t="shared" si="34"/>
        <v>LGINE643</v>
      </c>
      <c r="E25" s="278">
        <f t="shared" si="0"/>
        <v>12</v>
      </c>
      <c r="F25" s="279">
        <v>0</v>
      </c>
      <c r="G25" s="278">
        <f t="shared" si="1"/>
        <v>0</v>
      </c>
      <c r="H25" s="278">
        <f t="shared" si="2"/>
        <v>0</v>
      </c>
      <c r="I25" s="278">
        <f t="shared" si="3"/>
        <v>0</v>
      </c>
      <c r="J25" s="278">
        <f t="shared" si="4"/>
        <v>68664529</v>
      </c>
      <c r="K25" s="280">
        <v>0</v>
      </c>
      <c r="L25" s="281">
        <f t="shared" si="5"/>
        <v>161805.84</v>
      </c>
      <c r="M25" s="281">
        <f t="shared" si="6"/>
        <v>147087.78</v>
      </c>
      <c r="N25" s="281">
        <f t="shared" si="7"/>
        <v>90645.05</v>
      </c>
      <c r="O25" s="282">
        <v>0</v>
      </c>
      <c r="P25" s="282">
        <v>0</v>
      </c>
      <c r="Q25" s="282">
        <v>0</v>
      </c>
      <c r="R25" s="283">
        <f t="shared" si="8"/>
        <v>750</v>
      </c>
      <c r="S25" s="284">
        <f t="shared" si="9"/>
        <v>3.61E-2</v>
      </c>
      <c r="T25" s="284">
        <f t="shared" si="10"/>
        <v>0</v>
      </c>
      <c r="U25" s="284">
        <f t="shared" si="11"/>
        <v>0</v>
      </c>
      <c r="V25" s="284">
        <f t="shared" si="12"/>
        <v>2.725E-2</v>
      </c>
      <c r="W25" s="283">
        <f t="shared" si="13"/>
        <v>2.75</v>
      </c>
      <c r="X25" s="283">
        <f t="shared" si="14"/>
        <v>3</v>
      </c>
      <c r="Y25" s="283">
        <f t="shared" si="15"/>
        <v>4.5500000000000007</v>
      </c>
      <c r="Z25" s="285">
        <f t="shared" si="16"/>
        <v>9000</v>
      </c>
      <c r="AA25" s="285">
        <f t="shared" si="17"/>
        <v>2478789.5</v>
      </c>
      <c r="AB25" s="285">
        <f t="shared" si="35"/>
        <v>444966.06</v>
      </c>
      <c r="AC25" s="285">
        <f t="shared" si="36"/>
        <v>441263.34</v>
      </c>
      <c r="AD25" s="285">
        <f t="shared" si="37"/>
        <v>412434.98</v>
      </c>
      <c r="AE25" s="286">
        <v>0</v>
      </c>
      <c r="AF25" s="287">
        <f t="shared" si="18"/>
        <v>0</v>
      </c>
      <c r="AG25" s="288">
        <f t="shared" si="19"/>
        <v>0</v>
      </c>
      <c r="AH25" s="285">
        <f t="shared" si="20"/>
        <v>1298664.3799999999</v>
      </c>
      <c r="AI25" s="286">
        <v>0</v>
      </c>
      <c r="AJ25" s="286">
        <v>0</v>
      </c>
      <c r="AK25" s="286">
        <v>0</v>
      </c>
      <c r="AL25" s="285">
        <f t="shared" si="21"/>
        <v>3786453.88</v>
      </c>
      <c r="AM25" s="285">
        <f t="shared" si="22"/>
        <v>3786453</v>
      </c>
      <c r="AN25" s="289">
        <f t="shared" si="38"/>
        <v>1</v>
      </c>
      <c r="AO25" s="290">
        <f t="shared" si="23"/>
        <v>-89666</v>
      </c>
      <c r="AP25" s="290">
        <f t="shared" si="24"/>
        <v>0</v>
      </c>
      <c r="AQ25" s="290">
        <f t="shared" si="25"/>
        <v>316208</v>
      </c>
      <c r="AR25" s="290">
        <f t="shared" si="26"/>
        <v>0</v>
      </c>
      <c r="AS25" s="290">
        <f t="shared" si="27"/>
        <v>0</v>
      </c>
      <c r="AT25" s="290">
        <f t="shared" si="28"/>
        <v>4012995</v>
      </c>
      <c r="AU25" s="291">
        <f t="shared" si="29"/>
        <v>4012995.88</v>
      </c>
      <c r="AV25" s="291">
        <f t="shared" si="39"/>
        <v>-0.87999999988824129</v>
      </c>
      <c r="AW25" s="292">
        <f t="shared" si="30"/>
        <v>1871108.42</v>
      </c>
      <c r="AX25" s="293">
        <f t="shared" si="31"/>
        <v>607681.08000000007</v>
      </c>
      <c r="BC25" s="276">
        <f>IF(BI25=1,IF(BC24=MiscData!$F$1,EOMONTH(BC24,-11),EOMONTH(BC24,1)),BC24)</f>
        <v>42035</v>
      </c>
      <c r="BD25" s="275" t="str">
        <f t="shared" si="40"/>
        <v>20140101LGINE643</v>
      </c>
      <c r="BE25" s="294" t="str">
        <f t="shared" si="41"/>
        <v>20140101RTS</v>
      </c>
      <c r="BF25">
        <f>MiscData!$X$5</f>
        <v>20140101</v>
      </c>
      <c r="BI25" s="265">
        <f>IF(BI24+1&gt;MiscData!$Z$42,1,BI24+1)</f>
        <v>22</v>
      </c>
      <c r="BJ25" s="265" t="str">
        <f>VLOOKUP(BI25,MiscData!$Z$5:$AB$46,2,FALSE)</f>
        <v>LGINE643</v>
      </c>
      <c r="BK25" s="265" t="str">
        <f>VLOOKUP(BI25,MiscData!$Z$5:$AB$46,3,FALSE)</f>
        <v>RTS</v>
      </c>
    </row>
    <row r="26" spans="1:63" hidden="1">
      <c r="A26" s="275">
        <v>23</v>
      </c>
      <c r="B26" s="276" t="str">
        <f t="shared" si="32"/>
        <v>Jan 2015</v>
      </c>
      <c r="C26" s="277" t="str">
        <f t="shared" si="33"/>
        <v>PSS</v>
      </c>
      <c r="D26" s="277" t="str">
        <f t="shared" si="34"/>
        <v>LGINE661</v>
      </c>
      <c r="E26" s="278">
        <f t="shared" si="0"/>
        <v>224</v>
      </c>
      <c r="F26" s="279">
        <v>0</v>
      </c>
      <c r="G26" s="278">
        <f t="shared" si="1"/>
        <v>0</v>
      </c>
      <c r="H26" s="278">
        <f t="shared" si="2"/>
        <v>0</v>
      </c>
      <c r="I26" s="278">
        <f t="shared" si="3"/>
        <v>0</v>
      </c>
      <c r="J26" s="278">
        <f t="shared" si="4"/>
        <v>19983286</v>
      </c>
      <c r="K26" s="280">
        <v>0</v>
      </c>
      <c r="L26" s="281">
        <f t="shared" si="5"/>
        <v>0</v>
      </c>
      <c r="M26" s="281">
        <f t="shared" si="6"/>
        <v>62882.12</v>
      </c>
      <c r="N26" s="281">
        <f t="shared" si="7"/>
        <v>0</v>
      </c>
      <c r="O26" s="282">
        <v>0</v>
      </c>
      <c r="P26" s="282">
        <v>0</v>
      </c>
      <c r="Q26" s="282">
        <v>0</v>
      </c>
      <c r="R26" s="283">
        <f t="shared" si="8"/>
        <v>90</v>
      </c>
      <c r="S26" s="284">
        <f t="shared" si="9"/>
        <v>4.0599999999999997E-2</v>
      </c>
      <c r="T26" s="284">
        <f t="shared" si="10"/>
        <v>0</v>
      </c>
      <c r="U26" s="284">
        <f t="shared" si="11"/>
        <v>0</v>
      </c>
      <c r="V26" s="284">
        <f t="shared" si="12"/>
        <v>2.725E-2</v>
      </c>
      <c r="W26" s="283">
        <f t="shared" si="13"/>
        <v>0</v>
      </c>
      <c r="X26" s="283">
        <f t="shared" si="14"/>
        <v>14.010000000000002</v>
      </c>
      <c r="Y26" s="283">
        <f t="shared" si="15"/>
        <v>16.399999999999999</v>
      </c>
      <c r="Z26" s="285">
        <f t="shared" si="16"/>
        <v>20160</v>
      </c>
      <c r="AA26" s="285">
        <f t="shared" si="17"/>
        <v>811321.41</v>
      </c>
      <c r="AB26" s="285">
        <f t="shared" si="35"/>
        <v>0</v>
      </c>
      <c r="AC26" s="285">
        <f t="shared" si="36"/>
        <v>880978.5</v>
      </c>
      <c r="AD26" s="285">
        <f t="shared" si="37"/>
        <v>0</v>
      </c>
      <c r="AE26" s="286">
        <v>0</v>
      </c>
      <c r="AF26" s="287">
        <f t="shared" si="18"/>
        <v>0</v>
      </c>
      <c r="AG26" s="288">
        <f t="shared" si="19"/>
        <v>0</v>
      </c>
      <c r="AH26" s="285">
        <f t="shared" si="20"/>
        <v>880978.5</v>
      </c>
      <c r="AI26" s="286">
        <v>0</v>
      </c>
      <c r="AJ26" s="286">
        <v>0</v>
      </c>
      <c r="AK26" s="286">
        <v>0</v>
      </c>
      <c r="AL26" s="285">
        <f t="shared" si="21"/>
        <v>1712459.9100000001</v>
      </c>
      <c r="AM26" s="285">
        <f t="shared" si="22"/>
        <v>1712460</v>
      </c>
      <c r="AN26" s="289">
        <f t="shared" si="38"/>
        <v>1</v>
      </c>
      <c r="AO26" s="290">
        <f t="shared" si="23"/>
        <v>-26095</v>
      </c>
      <c r="AP26" s="290">
        <f t="shared" si="24"/>
        <v>30274</v>
      </c>
      <c r="AQ26" s="290">
        <f t="shared" si="25"/>
        <v>92025</v>
      </c>
      <c r="AR26" s="290">
        <f t="shared" si="26"/>
        <v>0</v>
      </c>
      <c r="AS26" s="290">
        <f t="shared" si="27"/>
        <v>0</v>
      </c>
      <c r="AT26" s="290">
        <f t="shared" si="28"/>
        <v>1808664</v>
      </c>
      <c r="AU26" s="291">
        <f t="shared" si="29"/>
        <v>1808663.9100000001</v>
      </c>
      <c r="AV26" s="291">
        <f t="shared" si="39"/>
        <v>8.9999999850988388E-2</v>
      </c>
      <c r="AW26" s="292">
        <f t="shared" si="30"/>
        <v>544544.54</v>
      </c>
      <c r="AX26" s="293">
        <f t="shared" si="31"/>
        <v>266776.87</v>
      </c>
      <c r="BC26" s="276">
        <f>IF(BI26=1,IF(BC25=MiscData!$F$1,EOMONTH(BC25,-11),EOMONTH(BC25,1)),BC25)</f>
        <v>42035</v>
      </c>
      <c r="BD26" s="275" t="str">
        <f t="shared" si="40"/>
        <v>20140101LGINE661</v>
      </c>
      <c r="BE26" s="294" t="str">
        <f t="shared" si="41"/>
        <v>20140101PSS</v>
      </c>
      <c r="BF26">
        <f>MiscData!$X$5</f>
        <v>20140101</v>
      </c>
      <c r="BI26" s="265">
        <f>IF(BI25+1&gt;MiscData!$Z$42,1,BI25+1)</f>
        <v>23</v>
      </c>
      <c r="BJ26" s="265" t="str">
        <f>VLOOKUP(BI26,MiscData!$Z$5:$AB$46,2,FALSE)</f>
        <v>LGINE661</v>
      </c>
      <c r="BK26" s="265" t="str">
        <f>VLOOKUP(BI26,MiscData!$Z$5:$AB$46,3,FALSE)</f>
        <v>PSS</v>
      </c>
    </row>
    <row r="27" spans="1:63" hidden="1">
      <c r="A27" s="275">
        <v>24</v>
      </c>
      <c r="B27" s="276" t="str">
        <f t="shared" si="32"/>
        <v>Jan 2015</v>
      </c>
      <c r="C27" s="277" t="str">
        <f t="shared" si="33"/>
        <v>PSP</v>
      </c>
      <c r="D27" s="277" t="str">
        <f t="shared" si="34"/>
        <v>LGINE663</v>
      </c>
      <c r="E27" s="278">
        <f t="shared" si="0"/>
        <v>21</v>
      </c>
      <c r="F27" s="279">
        <v>0</v>
      </c>
      <c r="G27" s="278">
        <f t="shared" si="1"/>
        <v>0</v>
      </c>
      <c r="H27" s="278">
        <f t="shared" si="2"/>
        <v>0</v>
      </c>
      <c r="I27" s="278">
        <f t="shared" si="3"/>
        <v>0</v>
      </c>
      <c r="J27" s="278">
        <f t="shared" si="4"/>
        <v>1027007</v>
      </c>
      <c r="K27" s="280">
        <v>0</v>
      </c>
      <c r="L27" s="281">
        <f t="shared" si="5"/>
        <v>0</v>
      </c>
      <c r="M27" s="281">
        <f t="shared" si="6"/>
        <v>3724.22</v>
      </c>
      <c r="N27" s="281">
        <f t="shared" si="7"/>
        <v>0</v>
      </c>
      <c r="O27" s="282">
        <v>0</v>
      </c>
      <c r="P27" s="282">
        <v>0</v>
      </c>
      <c r="Q27" s="282">
        <v>0</v>
      </c>
      <c r="R27" s="283">
        <f t="shared" si="8"/>
        <v>170</v>
      </c>
      <c r="S27" s="284">
        <f t="shared" si="9"/>
        <v>3.9260000000000003E-2</v>
      </c>
      <c r="T27" s="284">
        <f t="shared" si="10"/>
        <v>0</v>
      </c>
      <c r="U27" s="284">
        <f t="shared" si="11"/>
        <v>0</v>
      </c>
      <c r="V27" s="284">
        <f t="shared" si="12"/>
        <v>2.725E-2</v>
      </c>
      <c r="W27" s="283">
        <f t="shared" si="13"/>
        <v>0</v>
      </c>
      <c r="X27" s="283">
        <f t="shared" si="14"/>
        <v>11.660000000000002</v>
      </c>
      <c r="Y27" s="283">
        <f t="shared" si="15"/>
        <v>13.950000000000001</v>
      </c>
      <c r="Z27" s="285">
        <f t="shared" si="16"/>
        <v>3570</v>
      </c>
      <c r="AA27" s="285">
        <f t="shared" si="17"/>
        <v>40320.29</v>
      </c>
      <c r="AB27" s="285">
        <f t="shared" si="35"/>
        <v>0</v>
      </c>
      <c r="AC27" s="285">
        <f t="shared" si="36"/>
        <v>43424.41</v>
      </c>
      <c r="AD27" s="285">
        <f t="shared" si="37"/>
        <v>0</v>
      </c>
      <c r="AE27" s="286">
        <v>0</v>
      </c>
      <c r="AF27" s="287">
        <f t="shared" si="18"/>
        <v>0</v>
      </c>
      <c r="AG27" s="288">
        <f t="shared" si="19"/>
        <v>0</v>
      </c>
      <c r="AH27" s="285">
        <f t="shared" si="20"/>
        <v>43424.41</v>
      </c>
      <c r="AI27" s="286">
        <v>0</v>
      </c>
      <c r="AJ27" s="286">
        <v>0</v>
      </c>
      <c r="AK27" s="286">
        <v>0</v>
      </c>
      <c r="AL27" s="285">
        <f t="shared" si="21"/>
        <v>87314.700000000012</v>
      </c>
      <c r="AM27" s="285">
        <f t="shared" si="22"/>
        <v>87315</v>
      </c>
      <c r="AN27" s="289">
        <f t="shared" si="38"/>
        <v>1.000003</v>
      </c>
      <c r="AO27" s="290">
        <f t="shared" si="23"/>
        <v>-1341</v>
      </c>
      <c r="AP27" s="290">
        <f t="shared" si="24"/>
        <v>1556</v>
      </c>
      <c r="AQ27" s="290">
        <f t="shared" si="25"/>
        <v>4729</v>
      </c>
      <c r="AR27" s="290">
        <f t="shared" si="26"/>
        <v>0</v>
      </c>
      <c r="AS27" s="290">
        <f t="shared" si="27"/>
        <v>0</v>
      </c>
      <c r="AT27" s="290">
        <f t="shared" si="28"/>
        <v>92259</v>
      </c>
      <c r="AU27" s="291">
        <f t="shared" si="29"/>
        <v>92258.700000000012</v>
      </c>
      <c r="AV27" s="291">
        <f t="shared" ref="AV27:AV33" si="43">ROUND(AT27-AU27,2)</f>
        <v>0.3</v>
      </c>
      <c r="AW27" s="292">
        <f t="shared" si="30"/>
        <v>27985.94</v>
      </c>
      <c r="AX27" s="293">
        <f t="shared" si="31"/>
        <v>12334.350000000002</v>
      </c>
      <c r="BC27" s="276">
        <f>IF(BI27=1,IF(BC26=MiscData!$F$1,EOMONTH(BC26,-11),EOMONTH(BC26,1)),BC26)</f>
        <v>42035</v>
      </c>
      <c r="BD27" s="275" t="str">
        <f t="shared" si="40"/>
        <v>20140101LGINE663</v>
      </c>
      <c r="BE27" s="294" t="str">
        <f t="shared" si="41"/>
        <v>20140101PSP</v>
      </c>
      <c r="BF27">
        <f>MiscData!$X$5</f>
        <v>20140101</v>
      </c>
      <c r="BI27" s="265">
        <f>IF(BI26+1&gt;MiscData!$Z$42,1,BI26+1)</f>
        <v>24</v>
      </c>
      <c r="BJ27" s="265" t="str">
        <f>VLOOKUP(BI27,MiscData!$Z$5:$AB$46,2,FALSE)</f>
        <v>LGINE663</v>
      </c>
      <c r="BK27" s="265" t="str">
        <f>VLOOKUP(BI27,MiscData!$Z$5:$AB$46,3,FALSE)</f>
        <v>PSP</v>
      </c>
    </row>
    <row r="28" spans="1:63" hidden="1">
      <c r="A28" s="275">
        <v>25</v>
      </c>
      <c r="B28" s="276" t="str">
        <f t="shared" si="32"/>
        <v>Jan 2015</v>
      </c>
      <c r="C28" s="277" t="str">
        <f t="shared" si="33"/>
        <v>TODS</v>
      </c>
      <c r="D28" s="277" t="str">
        <f t="shared" si="34"/>
        <v>LGINE691</v>
      </c>
      <c r="E28" s="278">
        <f t="shared" si="0"/>
        <v>87</v>
      </c>
      <c r="F28" s="279">
        <v>0</v>
      </c>
      <c r="G28" s="278">
        <f t="shared" si="1"/>
        <v>0</v>
      </c>
      <c r="H28" s="278">
        <f t="shared" si="2"/>
        <v>0</v>
      </c>
      <c r="I28" s="278">
        <f t="shared" si="3"/>
        <v>0</v>
      </c>
      <c r="J28" s="278">
        <f t="shared" si="4"/>
        <v>18715683</v>
      </c>
      <c r="K28" s="280">
        <v>0</v>
      </c>
      <c r="L28" s="281">
        <f t="shared" si="5"/>
        <v>45890.25</v>
      </c>
      <c r="M28" s="281">
        <f t="shared" si="6"/>
        <v>41453.519999999997</v>
      </c>
      <c r="N28" s="281">
        <f t="shared" si="7"/>
        <v>40895.56</v>
      </c>
      <c r="O28" s="282">
        <v>0</v>
      </c>
      <c r="P28" s="282">
        <v>0</v>
      </c>
      <c r="Q28" s="282">
        <v>0</v>
      </c>
      <c r="R28" s="283">
        <f t="shared" si="8"/>
        <v>200</v>
      </c>
      <c r="S28" s="284">
        <f t="shared" si="9"/>
        <v>3.9899999999999998E-2</v>
      </c>
      <c r="T28" s="284">
        <f t="shared" si="10"/>
        <v>0</v>
      </c>
      <c r="U28" s="284">
        <f t="shared" si="11"/>
        <v>0</v>
      </c>
      <c r="V28" s="284">
        <f t="shared" si="12"/>
        <v>2.725E-2</v>
      </c>
      <c r="W28" s="283">
        <f t="shared" si="13"/>
        <v>4</v>
      </c>
      <c r="X28" s="283">
        <f t="shared" si="14"/>
        <v>4.5100000000000007</v>
      </c>
      <c r="Y28" s="283">
        <f t="shared" si="15"/>
        <v>6.11</v>
      </c>
      <c r="Z28" s="285">
        <f t="shared" si="16"/>
        <v>17400</v>
      </c>
      <c r="AA28" s="285">
        <f t="shared" si="17"/>
        <v>746755.75</v>
      </c>
      <c r="AB28" s="285">
        <f t="shared" si="35"/>
        <v>183561</v>
      </c>
      <c r="AC28" s="285">
        <f t="shared" si="36"/>
        <v>186955.38</v>
      </c>
      <c r="AD28" s="285">
        <f t="shared" si="37"/>
        <v>249871.87</v>
      </c>
      <c r="AE28" s="286">
        <v>0</v>
      </c>
      <c r="AF28" s="287">
        <f t="shared" si="18"/>
        <v>0</v>
      </c>
      <c r="AG28" s="288">
        <f t="shared" si="19"/>
        <v>0</v>
      </c>
      <c r="AH28" s="285">
        <f t="shared" si="20"/>
        <v>620388.25</v>
      </c>
      <c r="AI28" s="286">
        <v>0</v>
      </c>
      <c r="AJ28" s="286">
        <v>0</v>
      </c>
      <c r="AK28" s="286">
        <v>0</v>
      </c>
      <c r="AL28" s="285">
        <f t="shared" si="21"/>
        <v>1384544</v>
      </c>
      <c r="AM28" s="285">
        <f t="shared" si="22"/>
        <v>1384544</v>
      </c>
      <c r="AN28" s="289">
        <f t="shared" si="38"/>
        <v>1</v>
      </c>
      <c r="AO28" s="290">
        <f t="shared" si="23"/>
        <v>-24440</v>
      </c>
      <c r="AP28" s="290">
        <f t="shared" si="24"/>
        <v>28354</v>
      </c>
      <c r="AQ28" s="290">
        <f t="shared" si="25"/>
        <v>86188</v>
      </c>
      <c r="AR28" s="290">
        <f t="shared" si="26"/>
        <v>0</v>
      </c>
      <c r="AS28" s="290">
        <f t="shared" si="27"/>
        <v>0</v>
      </c>
      <c r="AT28" s="290">
        <f t="shared" si="28"/>
        <v>1474646</v>
      </c>
      <c r="AU28" s="291">
        <f t="shared" si="29"/>
        <v>1474646</v>
      </c>
      <c r="AV28" s="291">
        <f t="shared" si="43"/>
        <v>0</v>
      </c>
      <c r="AW28" s="292">
        <f t="shared" si="30"/>
        <v>510002.36</v>
      </c>
      <c r="AX28" s="293">
        <f t="shared" si="31"/>
        <v>236753.39</v>
      </c>
      <c r="BC28" s="276">
        <f>IF(BI28=1,IF(BC27=MiscData!$F$1,EOMONTH(BC27,-11),EOMONTH(BC27,1)),BC27)</f>
        <v>42035</v>
      </c>
      <c r="BD28" s="275" t="str">
        <f t="shared" si="40"/>
        <v>20140101LGINE691</v>
      </c>
      <c r="BE28" s="294" t="str">
        <f t="shared" si="41"/>
        <v>20140101TODS</v>
      </c>
      <c r="BF28">
        <f>MiscData!$X$5</f>
        <v>20140101</v>
      </c>
      <c r="BI28" s="265">
        <f>IF(BI27+1&gt;MiscData!$Z$42,1,BI27+1)</f>
        <v>25</v>
      </c>
      <c r="BJ28" s="265" t="str">
        <f>VLOOKUP(BI28,MiscData!$Z$5:$AB$46,2,FALSE)</f>
        <v>LGINE691</v>
      </c>
      <c r="BK28" s="265" t="str">
        <f>VLOOKUP(BI28,MiscData!$Z$5:$AB$46,3,FALSE)</f>
        <v>TODS</v>
      </c>
    </row>
    <row r="29" spans="1:63" hidden="1">
      <c r="A29" s="275">
        <v>26</v>
      </c>
      <c r="B29" s="276" t="str">
        <f t="shared" si="32"/>
        <v>Jan 2015</v>
      </c>
      <c r="C29" s="277" t="str">
        <f t="shared" si="33"/>
        <v>ITODP</v>
      </c>
      <c r="D29" s="277" t="str">
        <f t="shared" si="34"/>
        <v>LGINE693</v>
      </c>
      <c r="E29" s="278">
        <f t="shared" si="0"/>
        <v>66</v>
      </c>
      <c r="F29" s="279">
        <v>0</v>
      </c>
      <c r="G29" s="278">
        <f t="shared" si="1"/>
        <v>0</v>
      </c>
      <c r="H29" s="278">
        <f t="shared" si="2"/>
        <v>0</v>
      </c>
      <c r="I29" s="278">
        <f t="shared" si="3"/>
        <v>0</v>
      </c>
      <c r="J29" s="278">
        <f t="shared" si="4"/>
        <v>129504748</v>
      </c>
      <c r="K29" s="280">
        <v>0</v>
      </c>
      <c r="L29" s="281">
        <f t="shared" si="5"/>
        <v>318044.36</v>
      </c>
      <c r="M29" s="281">
        <f t="shared" si="6"/>
        <v>288740.3</v>
      </c>
      <c r="N29" s="281">
        <f t="shared" si="7"/>
        <v>284904.73</v>
      </c>
      <c r="O29" s="282">
        <v>0</v>
      </c>
      <c r="P29" s="282">
        <v>0</v>
      </c>
      <c r="Q29" s="282">
        <v>0</v>
      </c>
      <c r="R29" s="283">
        <f t="shared" si="8"/>
        <v>300</v>
      </c>
      <c r="S29" s="284">
        <f t="shared" si="9"/>
        <v>3.5380000000000002E-2</v>
      </c>
      <c r="T29" s="284">
        <f t="shared" si="10"/>
        <v>0</v>
      </c>
      <c r="U29" s="284">
        <f t="shared" si="11"/>
        <v>0</v>
      </c>
      <c r="V29" s="284">
        <f t="shared" si="12"/>
        <v>2.725E-2</v>
      </c>
      <c r="W29" s="283">
        <f t="shared" si="13"/>
        <v>3.6300000000000003</v>
      </c>
      <c r="X29" s="283">
        <f t="shared" si="14"/>
        <v>3.7900000000000005</v>
      </c>
      <c r="Y29" s="283">
        <f t="shared" si="15"/>
        <v>4.63</v>
      </c>
      <c r="Z29" s="285">
        <f t="shared" si="16"/>
        <v>19800</v>
      </c>
      <c r="AA29" s="285">
        <f t="shared" si="17"/>
        <v>4581877.9800000004</v>
      </c>
      <c r="AB29" s="285">
        <f t="shared" si="35"/>
        <v>1154501.03</v>
      </c>
      <c r="AC29" s="285">
        <f t="shared" si="36"/>
        <v>1094325.74</v>
      </c>
      <c r="AD29" s="285">
        <f t="shared" si="37"/>
        <v>1319108.8999999999</v>
      </c>
      <c r="AE29" s="286">
        <v>0</v>
      </c>
      <c r="AF29" s="287">
        <f t="shared" si="18"/>
        <v>0</v>
      </c>
      <c r="AG29" s="288">
        <f t="shared" si="19"/>
        <v>0</v>
      </c>
      <c r="AH29" s="285">
        <f t="shared" si="20"/>
        <v>3567935.67</v>
      </c>
      <c r="AI29" s="286">
        <v>0</v>
      </c>
      <c r="AJ29" s="286">
        <v>0</v>
      </c>
      <c r="AK29" s="286">
        <v>0</v>
      </c>
      <c r="AL29" s="285">
        <f t="shared" si="21"/>
        <v>8169613.6500000004</v>
      </c>
      <c r="AM29" s="285">
        <f t="shared" si="22"/>
        <v>8169614</v>
      </c>
      <c r="AN29" s="289">
        <f t="shared" si="38"/>
        <v>1</v>
      </c>
      <c r="AO29" s="290">
        <f t="shared" si="23"/>
        <v>-169115</v>
      </c>
      <c r="AP29" s="290">
        <f t="shared" si="24"/>
        <v>196197</v>
      </c>
      <c r="AQ29" s="290">
        <f t="shared" si="25"/>
        <v>596383</v>
      </c>
      <c r="AR29" s="290">
        <f t="shared" si="26"/>
        <v>0</v>
      </c>
      <c r="AS29" s="290">
        <f t="shared" si="27"/>
        <v>0</v>
      </c>
      <c r="AT29" s="290">
        <f t="shared" si="28"/>
        <v>8793079</v>
      </c>
      <c r="AU29" s="291">
        <f t="shared" si="29"/>
        <v>8793078.6500000004</v>
      </c>
      <c r="AV29" s="291">
        <f t="shared" si="43"/>
        <v>0.35</v>
      </c>
      <c r="AW29" s="292">
        <f t="shared" si="30"/>
        <v>3529004.38</v>
      </c>
      <c r="AX29" s="293">
        <f t="shared" si="31"/>
        <v>1052873.6000000006</v>
      </c>
      <c r="BC29" s="276">
        <f>IF(BI29=1,IF(BC28=MiscData!$F$1,EOMONTH(BC28,-11),EOMONTH(BC28,1)),BC28)</f>
        <v>42035</v>
      </c>
      <c r="BD29" s="275" t="str">
        <f t="shared" si="40"/>
        <v>20140101LGINE693</v>
      </c>
      <c r="BE29" s="294" t="str">
        <f t="shared" si="41"/>
        <v>20140101ITODP</v>
      </c>
      <c r="BF29">
        <f>MiscData!$X$5</f>
        <v>20140101</v>
      </c>
      <c r="BI29" s="265">
        <f>IF(BI28+1&gt;MiscData!$Z$42,1,BI28+1)</f>
        <v>26</v>
      </c>
      <c r="BJ29" s="265" t="str">
        <f>VLOOKUP(BI29,MiscData!$Z$5:$AB$46,2,FALSE)</f>
        <v>LGINE693</v>
      </c>
      <c r="BK29" s="265" t="str">
        <f>VLOOKUP(BI29,MiscData!$Z$5:$AB$46,3,FALSE)</f>
        <v>ITODP</v>
      </c>
    </row>
    <row r="30" spans="1:63" hidden="1">
      <c r="A30" s="275">
        <v>27</v>
      </c>
      <c r="B30" s="276" t="str">
        <f t="shared" si="32"/>
        <v>Jan 2015</v>
      </c>
      <c r="C30" s="277" t="str">
        <f t="shared" si="33"/>
        <v>ITODP</v>
      </c>
      <c r="D30" s="277" t="str">
        <f t="shared" si="34"/>
        <v>LGINE694</v>
      </c>
      <c r="E30" s="278">
        <f t="shared" si="0"/>
        <v>0</v>
      </c>
      <c r="F30" s="279">
        <v>0</v>
      </c>
      <c r="G30" s="278">
        <f t="shared" si="1"/>
        <v>0</v>
      </c>
      <c r="H30" s="278">
        <f t="shared" si="2"/>
        <v>0</v>
      </c>
      <c r="I30" s="278">
        <f t="shared" si="3"/>
        <v>0</v>
      </c>
      <c r="J30" s="278">
        <f t="shared" si="4"/>
        <v>0</v>
      </c>
      <c r="K30" s="280">
        <v>0</v>
      </c>
      <c r="L30" s="281">
        <f t="shared" si="5"/>
        <v>0</v>
      </c>
      <c r="M30" s="281">
        <f t="shared" si="6"/>
        <v>0</v>
      </c>
      <c r="N30" s="281">
        <f t="shared" si="7"/>
        <v>0</v>
      </c>
      <c r="O30" s="282">
        <v>0</v>
      </c>
      <c r="P30" s="282">
        <v>0</v>
      </c>
      <c r="Q30" s="282">
        <v>0</v>
      </c>
      <c r="R30" s="283">
        <f t="shared" si="8"/>
        <v>300</v>
      </c>
      <c r="S30" s="284">
        <f t="shared" si="9"/>
        <v>3.5380000000000002E-2</v>
      </c>
      <c r="T30" s="284">
        <f t="shared" si="10"/>
        <v>0</v>
      </c>
      <c r="U30" s="284">
        <f t="shared" si="11"/>
        <v>0</v>
      </c>
      <c r="V30" s="284">
        <f t="shared" si="12"/>
        <v>2.725E-2</v>
      </c>
      <c r="W30" s="283">
        <f t="shared" si="13"/>
        <v>3.6300000000000003</v>
      </c>
      <c r="X30" s="283">
        <f t="shared" si="14"/>
        <v>3.7900000000000005</v>
      </c>
      <c r="Y30" s="283">
        <f t="shared" si="15"/>
        <v>4.63</v>
      </c>
      <c r="Z30" s="285">
        <f t="shared" si="16"/>
        <v>0</v>
      </c>
      <c r="AA30" s="285">
        <f t="shared" si="17"/>
        <v>0</v>
      </c>
      <c r="AB30" s="285">
        <f t="shared" si="35"/>
        <v>0</v>
      </c>
      <c r="AC30" s="285">
        <f t="shared" si="36"/>
        <v>0</v>
      </c>
      <c r="AD30" s="285">
        <f t="shared" si="37"/>
        <v>0</v>
      </c>
      <c r="AE30" s="286">
        <v>0</v>
      </c>
      <c r="AF30" s="287">
        <f t="shared" si="18"/>
        <v>0</v>
      </c>
      <c r="AG30" s="288">
        <f t="shared" si="19"/>
        <v>0</v>
      </c>
      <c r="AH30" s="285">
        <f t="shared" si="20"/>
        <v>0</v>
      </c>
      <c r="AI30" s="286">
        <v>0</v>
      </c>
      <c r="AJ30" s="286">
        <v>0</v>
      </c>
      <c r="AK30" s="286">
        <v>0</v>
      </c>
      <c r="AL30" s="285">
        <f t="shared" si="21"/>
        <v>0</v>
      </c>
      <c r="AM30" s="285">
        <f t="shared" si="22"/>
        <v>0</v>
      </c>
      <c r="AN30" s="289">
        <f t="shared" si="38"/>
        <v>1</v>
      </c>
      <c r="AO30" s="290">
        <f t="shared" si="23"/>
        <v>0</v>
      </c>
      <c r="AP30" s="290">
        <f t="shared" si="24"/>
        <v>0</v>
      </c>
      <c r="AQ30" s="290">
        <f t="shared" si="25"/>
        <v>0</v>
      </c>
      <c r="AR30" s="290">
        <f t="shared" si="26"/>
        <v>0</v>
      </c>
      <c r="AS30" s="290">
        <f t="shared" si="27"/>
        <v>0</v>
      </c>
      <c r="AT30" s="290">
        <f t="shared" si="28"/>
        <v>0</v>
      </c>
      <c r="AU30" s="291">
        <f t="shared" si="29"/>
        <v>0</v>
      </c>
      <c r="AV30" s="291">
        <f t="shared" si="43"/>
        <v>0</v>
      </c>
      <c r="AW30" s="292">
        <f t="shared" si="30"/>
        <v>0</v>
      </c>
      <c r="AX30" s="293">
        <f t="shared" si="31"/>
        <v>0</v>
      </c>
      <c r="BC30" s="276">
        <f>IF(BI30=1,IF(BC29=MiscData!$F$1,EOMONTH(BC29,-11),EOMONTH(BC29,1)),BC29)</f>
        <v>42035</v>
      </c>
      <c r="BD30" s="275" t="str">
        <f t="shared" si="40"/>
        <v>20140101LGINE694</v>
      </c>
      <c r="BE30" s="294" t="str">
        <f t="shared" si="41"/>
        <v>20140101ITODP</v>
      </c>
      <c r="BF30">
        <f>MiscData!$X$5</f>
        <v>20140101</v>
      </c>
      <c r="BI30" s="265">
        <f>IF(BI29+1&gt;MiscData!$Z$42,1,BI29+1)</f>
        <v>27</v>
      </c>
      <c r="BJ30" s="265" t="str">
        <f>VLOOKUP(BI30,MiscData!$Z$5:$AB$46,2,FALSE)</f>
        <v>LGINE694</v>
      </c>
      <c r="BK30" s="265" t="str">
        <f>VLOOKUP(BI30,MiscData!$Z$5:$AB$46,3,FALSE)</f>
        <v>ITODP</v>
      </c>
    </row>
    <row r="31" spans="1:63" hidden="1">
      <c r="A31" s="275">
        <v>28</v>
      </c>
      <c r="B31" s="276" t="str">
        <f t="shared" si="32"/>
        <v>Jan 2015</v>
      </c>
      <c r="C31" s="277" t="str">
        <f t="shared" si="33"/>
        <v>LE</v>
      </c>
      <c r="D31" s="277" t="str">
        <f t="shared" si="34"/>
        <v>LGMLE570</v>
      </c>
      <c r="E31" s="278">
        <f t="shared" si="0"/>
        <v>0</v>
      </c>
      <c r="F31" s="279">
        <v>0</v>
      </c>
      <c r="G31" s="278">
        <f t="shared" si="1"/>
        <v>0</v>
      </c>
      <c r="H31" s="278">
        <f t="shared" si="2"/>
        <v>0</v>
      </c>
      <c r="I31" s="278">
        <f t="shared" si="3"/>
        <v>0</v>
      </c>
      <c r="J31" s="278">
        <f t="shared" si="4"/>
        <v>0</v>
      </c>
      <c r="K31" s="280">
        <v>0</v>
      </c>
      <c r="L31" s="281">
        <f t="shared" si="5"/>
        <v>0</v>
      </c>
      <c r="M31" s="281">
        <f t="shared" si="6"/>
        <v>0</v>
      </c>
      <c r="N31" s="281">
        <f t="shared" si="7"/>
        <v>0</v>
      </c>
      <c r="O31" s="282">
        <v>0</v>
      </c>
      <c r="P31" s="282">
        <v>0</v>
      </c>
      <c r="Q31" s="282">
        <v>0</v>
      </c>
      <c r="R31" s="283">
        <f t="shared" si="8"/>
        <v>0</v>
      </c>
      <c r="S31" s="284">
        <f t="shared" si="9"/>
        <v>6.4610000000000001E-2</v>
      </c>
      <c r="T31" s="284">
        <f t="shared" si="10"/>
        <v>0</v>
      </c>
      <c r="U31" s="284">
        <f t="shared" si="11"/>
        <v>0</v>
      </c>
      <c r="V31" s="284">
        <f t="shared" si="12"/>
        <v>2.725E-2</v>
      </c>
      <c r="W31" s="283">
        <f t="shared" si="13"/>
        <v>0</v>
      </c>
      <c r="X31" s="283">
        <f t="shared" si="14"/>
        <v>0</v>
      </c>
      <c r="Y31" s="283">
        <f t="shared" si="15"/>
        <v>0</v>
      </c>
      <c r="Z31" s="285">
        <f t="shared" si="16"/>
        <v>0</v>
      </c>
      <c r="AA31" s="285">
        <f t="shared" si="17"/>
        <v>0</v>
      </c>
      <c r="AB31" s="285">
        <f t="shared" si="35"/>
        <v>0</v>
      </c>
      <c r="AC31" s="285">
        <f t="shared" si="36"/>
        <v>0</v>
      </c>
      <c r="AD31" s="285">
        <f t="shared" si="37"/>
        <v>0</v>
      </c>
      <c r="AE31" s="286">
        <v>0</v>
      </c>
      <c r="AF31" s="287">
        <f t="shared" si="18"/>
        <v>0</v>
      </c>
      <c r="AG31" s="288">
        <f t="shared" si="19"/>
        <v>0</v>
      </c>
      <c r="AH31" s="285">
        <f t="shared" si="20"/>
        <v>0</v>
      </c>
      <c r="AI31" s="286">
        <v>0</v>
      </c>
      <c r="AJ31" s="286">
        <v>0</v>
      </c>
      <c r="AK31" s="286">
        <v>0</v>
      </c>
      <c r="AL31" s="285">
        <f t="shared" si="21"/>
        <v>0</v>
      </c>
      <c r="AM31" s="285">
        <f t="shared" si="22"/>
        <v>0</v>
      </c>
      <c r="AN31" s="289">
        <f t="shared" si="38"/>
        <v>1</v>
      </c>
      <c r="AO31" s="290">
        <f t="shared" si="23"/>
        <v>0</v>
      </c>
      <c r="AP31" s="290">
        <f t="shared" si="24"/>
        <v>0</v>
      </c>
      <c r="AQ31" s="290">
        <f t="shared" si="25"/>
        <v>0</v>
      </c>
      <c r="AR31" s="290">
        <f t="shared" si="26"/>
        <v>0</v>
      </c>
      <c r="AS31" s="290">
        <f t="shared" si="27"/>
        <v>0</v>
      </c>
      <c r="AT31" s="290">
        <f t="shared" si="28"/>
        <v>0</v>
      </c>
      <c r="AU31" s="291">
        <f t="shared" si="29"/>
        <v>0</v>
      </c>
      <c r="AV31" s="291">
        <f t="shared" si="43"/>
        <v>0</v>
      </c>
      <c r="AW31" s="292">
        <f t="shared" si="30"/>
        <v>0</v>
      </c>
      <c r="AX31" s="293">
        <f t="shared" si="31"/>
        <v>0</v>
      </c>
      <c r="BC31" s="276">
        <f>IF(BI31=1,IF(BC30=MiscData!$F$1,EOMONTH(BC30,-11),EOMONTH(BC30,1)),BC30)</f>
        <v>42035</v>
      </c>
      <c r="BD31" s="275" t="str">
        <f t="shared" si="40"/>
        <v>20140101LGMLE570</v>
      </c>
      <c r="BE31" s="294" t="str">
        <f t="shared" si="41"/>
        <v>20140101LE</v>
      </c>
      <c r="BF31">
        <f>MiscData!$X$5</f>
        <v>20140101</v>
      </c>
      <c r="BI31" s="265">
        <f>IF(BI30+1&gt;MiscData!$Z$42,1,BI30+1)</f>
        <v>28</v>
      </c>
      <c r="BJ31" s="265" t="str">
        <f>VLOOKUP(BI31,MiscData!$Z$5:$AB$46,2,FALSE)</f>
        <v>LGMLE570</v>
      </c>
      <c r="BK31" s="265" t="str">
        <f>VLOOKUP(BI31,MiscData!$Z$5:$AB$46,3,FALSE)</f>
        <v>LE</v>
      </c>
    </row>
    <row r="32" spans="1:63" hidden="1">
      <c r="A32" s="275">
        <v>29</v>
      </c>
      <c r="B32" s="276" t="str">
        <f t="shared" si="32"/>
        <v>Jan 2015</v>
      </c>
      <c r="C32" s="277" t="str">
        <f t="shared" si="33"/>
        <v>LE</v>
      </c>
      <c r="D32" s="277" t="str">
        <f t="shared" si="34"/>
        <v>LGMLE571</v>
      </c>
      <c r="E32" s="278">
        <f t="shared" si="0"/>
        <v>156</v>
      </c>
      <c r="F32" s="279">
        <v>0</v>
      </c>
      <c r="G32" s="278">
        <f t="shared" si="1"/>
        <v>0</v>
      </c>
      <c r="H32" s="278">
        <f t="shared" si="2"/>
        <v>0</v>
      </c>
      <c r="I32" s="278">
        <f t="shared" si="3"/>
        <v>0</v>
      </c>
      <c r="J32" s="278">
        <f t="shared" si="4"/>
        <v>367257</v>
      </c>
      <c r="K32" s="280">
        <v>0</v>
      </c>
      <c r="L32" s="281">
        <f t="shared" si="5"/>
        <v>0</v>
      </c>
      <c r="M32" s="281">
        <f t="shared" si="6"/>
        <v>0</v>
      </c>
      <c r="N32" s="281">
        <f t="shared" si="7"/>
        <v>0</v>
      </c>
      <c r="O32" s="282">
        <v>0</v>
      </c>
      <c r="P32" s="282">
        <v>0</v>
      </c>
      <c r="Q32" s="282">
        <v>0</v>
      </c>
      <c r="R32" s="283">
        <f t="shared" si="8"/>
        <v>0</v>
      </c>
      <c r="S32" s="284">
        <f t="shared" si="9"/>
        <v>6.4610000000000001E-2</v>
      </c>
      <c r="T32" s="284">
        <f t="shared" si="10"/>
        <v>0</v>
      </c>
      <c r="U32" s="284">
        <f t="shared" si="11"/>
        <v>0</v>
      </c>
      <c r="V32" s="284">
        <f t="shared" si="12"/>
        <v>2.725E-2</v>
      </c>
      <c r="W32" s="283">
        <f t="shared" si="13"/>
        <v>0</v>
      </c>
      <c r="X32" s="283">
        <f t="shared" si="14"/>
        <v>0</v>
      </c>
      <c r="Y32" s="283">
        <f t="shared" si="15"/>
        <v>0</v>
      </c>
      <c r="Z32" s="285">
        <f t="shared" si="16"/>
        <v>0</v>
      </c>
      <c r="AA32" s="285">
        <f t="shared" si="17"/>
        <v>23728.47</v>
      </c>
      <c r="AB32" s="285">
        <f t="shared" si="35"/>
        <v>0</v>
      </c>
      <c r="AC32" s="285">
        <f t="shared" si="36"/>
        <v>0</v>
      </c>
      <c r="AD32" s="285">
        <f t="shared" si="37"/>
        <v>0</v>
      </c>
      <c r="AE32" s="286">
        <v>0</v>
      </c>
      <c r="AF32" s="287">
        <f t="shared" si="18"/>
        <v>0</v>
      </c>
      <c r="AG32" s="288">
        <f t="shared" si="19"/>
        <v>0</v>
      </c>
      <c r="AH32" s="285">
        <f>SUM(AB32:AG32)</f>
        <v>0</v>
      </c>
      <c r="AI32" s="286">
        <v>0</v>
      </c>
      <c r="AJ32" s="286">
        <v>0</v>
      </c>
      <c r="AK32" s="286">
        <v>0</v>
      </c>
      <c r="AL32" s="285">
        <f t="shared" si="21"/>
        <v>23728.47</v>
      </c>
      <c r="AM32" s="285">
        <f t="shared" si="22"/>
        <v>23728</v>
      </c>
      <c r="AN32" s="289">
        <f t="shared" si="38"/>
        <v>0.99997999999999998</v>
      </c>
      <c r="AO32" s="290">
        <f t="shared" si="23"/>
        <v>-481</v>
      </c>
      <c r="AP32" s="290">
        <f t="shared" si="24"/>
        <v>0</v>
      </c>
      <c r="AQ32" s="290">
        <f t="shared" si="25"/>
        <v>1693</v>
      </c>
      <c r="AR32" s="290">
        <f t="shared" si="26"/>
        <v>0</v>
      </c>
      <c r="AS32" s="290">
        <f t="shared" si="27"/>
        <v>0</v>
      </c>
      <c r="AT32" s="290">
        <f t="shared" si="28"/>
        <v>24940</v>
      </c>
      <c r="AU32" s="291">
        <f t="shared" si="29"/>
        <v>24940.47</v>
      </c>
      <c r="AV32" s="291">
        <f t="shared" si="43"/>
        <v>-0.47</v>
      </c>
      <c r="AW32" s="292">
        <f t="shared" si="30"/>
        <v>10007.75</v>
      </c>
      <c r="AX32" s="293">
        <f t="shared" si="31"/>
        <v>13720.720000000001</v>
      </c>
      <c r="BC32" s="276">
        <f>IF(BI32=1,IF(BC31=MiscData!$F$1,EOMONTH(BC31,-11),EOMONTH(BC31,1)),BC31)</f>
        <v>42035</v>
      </c>
      <c r="BD32" s="275" t="str">
        <f t="shared" si="40"/>
        <v>20140101LGMLE571</v>
      </c>
      <c r="BE32" s="294" t="str">
        <f t="shared" si="41"/>
        <v>20140101LE</v>
      </c>
      <c r="BF32">
        <f>MiscData!$X$5</f>
        <v>20140101</v>
      </c>
      <c r="BI32" s="265">
        <f>IF(BI31+1&gt;MiscData!$Z$42,1,BI31+1)</f>
        <v>29</v>
      </c>
      <c r="BJ32" s="265" t="str">
        <f>VLOOKUP(BI32,MiscData!$Z$5:$AB$46,2,FALSE)</f>
        <v>LGMLE571</v>
      </c>
      <c r="BK32" s="265" t="str">
        <f>VLOOKUP(BI32,MiscData!$Z$5:$AB$46,3,FALSE)</f>
        <v>LE</v>
      </c>
    </row>
    <row r="33" spans="1:63" hidden="1">
      <c r="A33" s="275">
        <v>30</v>
      </c>
      <c r="B33" s="276" t="str">
        <f t="shared" si="32"/>
        <v>Jan 2015</v>
      </c>
      <c r="C33" s="277" t="str">
        <f t="shared" si="33"/>
        <v>LE</v>
      </c>
      <c r="D33" s="277" t="str">
        <f t="shared" si="34"/>
        <v>LGMLE572</v>
      </c>
      <c r="E33" s="278">
        <f t="shared" si="0"/>
        <v>0</v>
      </c>
      <c r="F33" s="279">
        <v>0</v>
      </c>
      <c r="G33" s="278">
        <f t="shared" si="1"/>
        <v>0</v>
      </c>
      <c r="H33" s="278">
        <f t="shared" si="2"/>
        <v>0</v>
      </c>
      <c r="I33" s="278">
        <f t="shared" si="3"/>
        <v>0</v>
      </c>
      <c r="J33" s="278">
        <f t="shared" si="4"/>
        <v>0</v>
      </c>
      <c r="K33" s="280">
        <v>0</v>
      </c>
      <c r="L33" s="281">
        <f t="shared" si="5"/>
        <v>0</v>
      </c>
      <c r="M33" s="281">
        <f t="shared" si="6"/>
        <v>0</v>
      </c>
      <c r="N33" s="281">
        <f t="shared" si="7"/>
        <v>0</v>
      </c>
      <c r="O33" s="282">
        <v>0</v>
      </c>
      <c r="P33" s="282">
        <v>0</v>
      </c>
      <c r="Q33" s="282">
        <v>0</v>
      </c>
      <c r="R33" s="283">
        <f t="shared" si="8"/>
        <v>0</v>
      </c>
      <c r="S33" s="284">
        <f t="shared" si="9"/>
        <v>6.4610000000000001E-2</v>
      </c>
      <c r="T33" s="284">
        <f t="shared" si="10"/>
        <v>0</v>
      </c>
      <c r="U33" s="284">
        <f t="shared" si="11"/>
        <v>0</v>
      </c>
      <c r="V33" s="284">
        <f t="shared" si="12"/>
        <v>2.725E-2</v>
      </c>
      <c r="W33" s="283">
        <f t="shared" si="13"/>
        <v>0</v>
      </c>
      <c r="X33" s="283">
        <f t="shared" si="14"/>
        <v>0</v>
      </c>
      <c r="Y33" s="283">
        <f t="shared" si="15"/>
        <v>0</v>
      </c>
      <c r="Z33" s="285">
        <f t="shared" si="16"/>
        <v>0</v>
      </c>
      <c r="AA33" s="285">
        <f t="shared" si="17"/>
        <v>0</v>
      </c>
      <c r="AB33" s="285">
        <f t="shared" si="35"/>
        <v>0</v>
      </c>
      <c r="AC33" s="285">
        <f t="shared" si="36"/>
        <v>0</v>
      </c>
      <c r="AD33" s="285">
        <f t="shared" si="37"/>
        <v>0</v>
      </c>
      <c r="AE33" s="286">
        <v>0</v>
      </c>
      <c r="AF33" s="287">
        <f t="shared" si="18"/>
        <v>0</v>
      </c>
      <c r="AG33" s="288">
        <f t="shared" si="19"/>
        <v>0</v>
      </c>
      <c r="AH33" s="285">
        <f t="shared" si="20"/>
        <v>0</v>
      </c>
      <c r="AI33" s="286">
        <v>0</v>
      </c>
      <c r="AJ33" s="286">
        <v>0</v>
      </c>
      <c r="AK33" s="286">
        <v>0</v>
      </c>
      <c r="AL33" s="285">
        <f t="shared" si="21"/>
        <v>0</v>
      </c>
      <c r="AM33" s="285">
        <f t="shared" si="22"/>
        <v>0</v>
      </c>
      <c r="AN33" s="289">
        <f t="shared" si="38"/>
        <v>1</v>
      </c>
      <c r="AO33" s="290">
        <f t="shared" si="23"/>
        <v>0</v>
      </c>
      <c r="AP33" s="290">
        <f t="shared" si="24"/>
        <v>0</v>
      </c>
      <c r="AQ33" s="290">
        <f t="shared" si="25"/>
        <v>0</v>
      </c>
      <c r="AR33" s="290">
        <f t="shared" si="26"/>
        <v>0</v>
      </c>
      <c r="AS33" s="290">
        <f t="shared" si="27"/>
        <v>0</v>
      </c>
      <c r="AT33" s="290">
        <f t="shared" si="28"/>
        <v>0</v>
      </c>
      <c r="AU33" s="291">
        <f t="shared" si="29"/>
        <v>0</v>
      </c>
      <c r="AV33" s="291">
        <f t="shared" si="43"/>
        <v>0</v>
      </c>
      <c r="AW33" s="292">
        <f t="shared" si="30"/>
        <v>0</v>
      </c>
      <c r="AX33" s="293">
        <f t="shared" si="31"/>
        <v>0</v>
      </c>
      <c r="BC33" s="276">
        <f>IF(BI33=1,IF(BC32=MiscData!$F$1,EOMONTH(BC32,-11),EOMONTH(BC32,1)),BC32)</f>
        <v>42035</v>
      </c>
      <c r="BD33" s="275" t="str">
        <f t="shared" si="40"/>
        <v>20140101LGMLE572</v>
      </c>
      <c r="BE33" s="294" t="str">
        <f t="shared" si="41"/>
        <v>20140101LE</v>
      </c>
      <c r="BF33">
        <f>MiscData!$X$5</f>
        <v>20140101</v>
      </c>
      <c r="BI33" s="265">
        <f>IF(BI32+1&gt;MiscData!$Z$42,1,BI32+1)</f>
        <v>30</v>
      </c>
      <c r="BJ33" s="265" t="str">
        <f>VLOOKUP(BI33,MiscData!$Z$5:$AB$46,2,FALSE)</f>
        <v>LGMLE572</v>
      </c>
      <c r="BK33" s="265" t="str">
        <f>VLOOKUP(BI33,MiscData!$Z$5:$AB$46,3,FALSE)</f>
        <v>LE</v>
      </c>
    </row>
    <row r="34" spans="1:63" hidden="1">
      <c r="A34" s="275">
        <v>31</v>
      </c>
      <c r="B34" s="276" t="str">
        <f t="shared" si="32"/>
        <v>Jan 2015</v>
      </c>
      <c r="C34" s="277" t="str">
        <f t="shared" si="33"/>
        <v>TE</v>
      </c>
      <c r="D34" s="277" t="str">
        <f t="shared" si="34"/>
        <v>LGMLE573</v>
      </c>
      <c r="E34" s="278">
        <f t="shared" si="0"/>
        <v>905</v>
      </c>
      <c r="F34" s="279">
        <v>0</v>
      </c>
      <c r="G34" s="278">
        <f t="shared" si="1"/>
        <v>0</v>
      </c>
      <c r="H34" s="278">
        <f t="shared" si="2"/>
        <v>0</v>
      </c>
      <c r="I34" s="278">
        <f t="shared" si="3"/>
        <v>0</v>
      </c>
      <c r="J34" s="278">
        <f t="shared" si="4"/>
        <v>296686</v>
      </c>
      <c r="K34" s="280">
        <v>0</v>
      </c>
      <c r="L34" s="281">
        <f t="shared" si="5"/>
        <v>0</v>
      </c>
      <c r="M34" s="281">
        <f t="shared" si="6"/>
        <v>0</v>
      </c>
      <c r="N34" s="281">
        <f t="shared" si="7"/>
        <v>0</v>
      </c>
      <c r="O34" s="282">
        <v>0</v>
      </c>
      <c r="P34" s="282">
        <v>0</v>
      </c>
      <c r="Q34" s="282">
        <v>0</v>
      </c>
      <c r="R34" s="283">
        <f t="shared" si="8"/>
        <v>3.25</v>
      </c>
      <c r="S34" s="284">
        <f t="shared" si="9"/>
        <v>7.6579999999999995E-2</v>
      </c>
      <c r="T34" s="284">
        <f t="shared" si="10"/>
        <v>0</v>
      </c>
      <c r="U34" s="284">
        <f t="shared" si="11"/>
        <v>0</v>
      </c>
      <c r="V34" s="284">
        <f t="shared" si="12"/>
        <v>2.725E-2</v>
      </c>
      <c r="W34" s="283">
        <f t="shared" si="13"/>
        <v>0</v>
      </c>
      <c r="X34" s="283">
        <f t="shared" si="14"/>
        <v>0</v>
      </c>
      <c r="Y34" s="283">
        <f t="shared" si="15"/>
        <v>0</v>
      </c>
      <c r="Z34" s="285">
        <f t="shared" si="16"/>
        <v>2941.25</v>
      </c>
      <c r="AA34" s="285">
        <f t="shared" si="17"/>
        <v>22720.21</v>
      </c>
      <c r="AB34" s="285">
        <f t="shared" si="35"/>
        <v>0</v>
      </c>
      <c r="AC34" s="285">
        <f t="shared" si="36"/>
        <v>0</v>
      </c>
      <c r="AD34" s="285">
        <f t="shared" si="37"/>
        <v>0</v>
      </c>
      <c r="AE34" s="286">
        <v>0</v>
      </c>
      <c r="AF34" s="287">
        <f t="shared" si="18"/>
        <v>0</v>
      </c>
      <c r="AG34" s="288">
        <f t="shared" si="19"/>
        <v>0</v>
      </c>
      <c r="AH34" s="285">
        <f t="shared" si="20"/>
        <v>0</v>
      </c>
      <c r="AI34" s="286">
        <v>0</v>
      </c>
      <c r="AJ34" s="286">
        <v>0</v>
      </c>
      <c r="AK34" s="286">
        <v>0</v>
      </c>
      <c r="AL34" s="285">
        <f t="shared" si="21"/>
        <v>25661.46</v>
      </c>
      <c r="AM34" s="285">
        <f t="shared" si="22"/>
        <v>25661</v>
      </c>
      <c r="AN34" s="289">
        <f t="shared" si="38"/>
        <v>0.99998200000000004</v>
      </c>
      <c r="AO34" s="290">
        <f t="shared" si="23"/>
        <v>-389</v>
      </c>
      <c r="AP34" s="290">
        <f t="shared" si="24"/>
        <v>0</v>
      </c>
      <c r="AQ34" s="290">
        <f t="shared" si="25"/>
        <v>1368</v>
      </c>
      <c r="AR34" s="290">
        <f t="shared" si="26"/>
        <v>0</v>
      </c>
      <c r="AS34" s="290">
        <f t="shared" si="27"/>
        <v>0</v>
      </c>
      <c r="AT34" s="290">
        <f t="shared" si="28"/>
        <v>26640</v>
      </c>
      <c r="AU34" s="291">
        <f t="shared" si="29"/>
        <v>26640.46</v>
      </c>
      <c r="AV34" s="291">
        <f t="shared" si="39"/>
        <v>-0.45999999999912689</v>
      </c>
      <c r="AW34" s="292">
        <f t="shared" si="30"/>
        <v>8084.69</v>
      </c>
      <c r="AX34" s="293">
        <f t="shared" si="31"/>
        <v>14635.52</v>
      </c>
      <c r="BC34" s="276">
        <f>IF(BI34=1,IF(BC33=MiscData!$F$1,EOMONTH(BC33,-11),EOMONTH(BC33,1)),BC33)</f>
        <v>42035</v>
      </c>
      <c r="BD34" s="275" t="str">
        <f t="shared" si="40"/>
        <v>20140101LGMLE573</v>
      </c>
      <c r="BE34" s="294" t="str">
        <f t="shared" si="41"/>
        <v>20140101TE</v>
      </c>
      <c r="BF34">
        <f>MiscData!$X$5</f>
        <v>20140101</v>
      </c>
      <c r="BI34" s="265">
        <f>IF(BI33+1&gt;MiscData!$Z$42,1,BI33+1)</f>
        <v>31</v>
      </c>
      <c r="BJ34" s="265" t="str">
        <f>VLOOKUP(BI34,MiscData!$Z$5:$AB$46,2,FALSE)</f>
        <v>LGMLE573</v>
      </c>
      <c r="BK34" s="265" t="str">
        <f>VLOOKUP(BI34,MiscData!$Z$5:$AB$46,3,FALSE)</f>
        <v>TE</v>
      </c>
    </row>
    <row r="35" spans="1:63" hidden="1">
      <c r="A35" s="275">
        <v>32</v>
      </c>
      <c r="B35" s="276" t="str">
        <f t="shared" si="32"/>
        <v>Jan 2015</v>
      </c>
      <c r="C35" s="277" t="str">
        <f t="shared" si="33"/>
        <v>TE</v>
      </c>
      <c r="D35" s="277" t="str">
        <f t="shared" si="34"/>
        <v>LGMLE574</v>
      </c>
      <c r="E35" s="278">
        <f t="shared" si="0"/>
        <v>0</v>
      </c>
      <c r="F35" s="279">
        <v>0</v>
      </c>
      <c r="G35" s="278">
        <f t="shared" si="1"/>
        <v>0</v>
      </c>
      <c r="H35" s="278">
        <f t="shared" si="2"/>
        <v>0</v>
      </c>
      <c r="I35" s="278">
        <f t="shared" si="3"/>
        <v>0</v>
      </c>
      <c r="J35" s="278">
        <f t="shared" si="4"/>
        <v>0</v>
      </c>
      <c r="K35" s="280">
        <v>0</v>
      </c>
      <c r="L35" s="281">
        <f t="shared" si="5"/>
        <v>0</v>
      </c>
      <c r="M35" s="281">
        <f t="shared" si="6"/>
        <v>0</v>
      </c>
      <c r="N35" s="281">
        <f t="shared" si="7"/>
        <v>0</v>
      </c>
      <c r="O35" s="282">
        <v>0</v>
      </c>
      <c r="P35" s="282">
        <v>0</v>
      </c>
      <c r="Q35" s="282">
        <v>0</v>
      </c>
      <c r="R35" s="283">
        <f t="shared" si="8"/>
        <v>3.25</v>
      </c>
      <c r="S35" s="284">
        <f t="shared" si="9"/>
        <v>7.6579999999999995E-2</v>
      </c>
      <c r="T35" s="284">
        <f t="shared" si="10"/>
        <v>0</v>
      </c>
      <c r="U35" s="284">
        <f t="shared" si="11"/>
        <v>0</v>
      </c>
      <c r="V35" s="284">
        <f t="shared" si="12"/>
        <v>2.725E-2</v>
      </c>
      <c r="W35" s="283">
        <f t="shared" si="13"/>
        <v>0</v>
      </c>
      <c r="X35" s="283">
        <f t="shared" si="14"/>
        <v>0</v>
      </c>
      <c r="Y35" s="283">
        <f t="shared" si="15"/>
        <v>0</v>
      </c>
      <c r="Z35" s="285">
        <f t="shared" si="16"/>
        <v>0</v>
      </c>
      <c r="AA35" s="285">
        <f t="shared" si="17"/>
        <v>0</v>
      </c>
      <c r="AB35" s="285">
        <f t="shared" si="35"/>
        <v>0</v>
      </c>
      <c r="AC35" s="285">
        <f t="shared" si="36"/>
        <v>0</v>
      </c>
      <c r="AD35" s="285">
        <f t="shared" si="37"/>
        <v>0</v>
      </c>
      <c r="AE35" s="286">
        <v>0</v>
      </c>
      <c r="AF35" s="287">
        <f t="shared" si="18"/>
        <v>0</v>
      </c>
      <c r="AG35" s="288">
        <f t="shared" si="19"/>
        <v>0</v>
      </c>
      <c r="AH35" s="285">
        <f t="shared" si="20"/>
        <v>0</v>
      </c>
      <c r="AI35" s="286">
        <v>0</v>
      </c>
      <c r="AJ35" s="286">
        <v>0</v>
      </c>
      <c r="AK35" s="286">
        <v>0</v>
      </c>
      <c r="AL35" s="285">
        <f t="shared" si="21"/>
        <v>0</v>
      </c>
      <c r="AM35" s="285">
        <f t="shared" si="22"/>
        <v>0</v>
      </c>
      <c r="AN35" s="289">
        <f t="shared" si="38"/>
        <v>1</v>
      </c>
      <c r="AO35" s="290">
        <f t="shared" si="23"/>
        <v>0</v>
      </c>
      <c r="AP35" s="290">
        <f t="shared" si="24"/>
        <v>0</v>
      </c>
      <c r="AQ35" s="290">
        <f t="shared" si="25"/>
        <v>0</v>
      </c>
      <c r="AR35" s="290">
        <f t="shared" si="26"/>
        <v>0</v>
      </c>
      <c r="AS35" s="290">
        <f t="shared" si="27"/>
        <v>0</v>
      </c>
      <c r="AT35" s="290">
        <f t="shared" si="28"/>
        <v>0</v>
      </c>
      <c r="AU35" s="291">
        <f t="shared" si="29"/>
        <v>0</v>
      </c>
      <c r="AV35" s="291">
        <f t="shared" si="39"/>
        <v>0</v>
      </c>
      <c r="AW35" s="292">
        <f t="shared" si="30"/>
        <v>0</v>
      </c>
      <c r="AX35" s="293">
        <f t="shared" si="31"/>
        <v>0</v>
      </c>
      <c r="BC35" s="276">
        <f>IF(BI35=1,IF(BC34=MiscData!$F$1,EOMONTH(BC34,-11),EOMONTH(BC34,1)),BC34)</f>
        <v>42035</v>
      </c>
      <c r="BD35" s="275" t="str">
        <f t="shared" si="40"/>
        <v>20140101LGMLE574</v>
      </c>
      <c r="BE35" s="294" t="str">
        <f t="shared" si="41"/>
        <v>20140101TE</v>
      </c>
      <c r="BF35">
        <f>MiscData!$X$5</f>
        <v>20140101</v>
      </c>
      <c r="BI35" s="265">
        <f>IF(BI34+1&gt;MiscData!$Z$42,1,BI34+1)</f>
        <v>32</v>
      </c>
      <c r="BJ35" s="265" t="str">
        <f>VLOOKUP(BI35,MiscData!$Z$5:$AB$46,2,FALSE)</f>
        <v>LGMLE574</v>
      </c>
      <c r="BK35" s="265" t="str">
        <f>VLOOKUP(BI35,MiscData!$Z$5:$AB$46,3,FALSE)</f>
        <v>TE</v>
      </c>
    </row>
    <row r="36" spans="1:63" hidden="1">
      <c r="A36" s="275">
        <v>33</v>
      </c>
      <c r="B36" s="276" t="str">
        <f t="shared" si="32"/>
        <v>Jan 2015</v>
      </c>
      <c r="C36" s="277" t="str">
        <f t="shared" si="33"/>
        <v>RS</v>
      </c>
      <c r="D36" s="277" t="str">
        <f t="shared" si="34"/>
        <v>LGRSE411</v>
      </c>
      <c r="E36" s="278">
        <f t="shared" si="0"/>
        <v>0</v>
      </c>
      <c r="F36" s="279">
        <v>0</v>
      </c>
      <c r="G36" s="278">
        <f t="shared" si="1"/>
        <v>0</v>
      </c>
      <c r="H36" s="278">
        <f t="shared" si="2"/>
        <v>0</v>
      </c>
      <c r="I36" s="278">
        <f t="shared" si="3"/>
        <v>0</v>
      </c>
      <c r="J36" s="278">
        <f t="shared" si="4"/>
        <v>0</v>
      </c>
      <c r="K36" s="280">
        <v>0</v>
      </c>
      <c r="L36" s="281">
        <f t="shared" si="5"/>
        <v>0</v>
      </c>
      <c r="M36" s="281">
        <f t="shared" si="6"/>
        <v>0</v>
      </c>
      <c r="N36" s="281">
        <f t="shared" si="7"/>
        <v>0</v>
      </c>
      <c r="O36" s="282">
        <v>0</v>
      </c>
      <c r="P36" s="282">
        <v>0</v>
      </c>
      <c r="Q36" s="282">
        <v>0</v>
      </c>
      <c r="R36" s="283">
        <f t="shared" si="8"/>
        <v>0</v>
      </c>
      <c r="S36" s="284">
        <f t="shared" si="9"/>
        <v>8.0760000000000012E-2</v>
      </c>
      <c r="T36" s="284">
        <f t="shared" si="10"/>
        <v>0</v>
      </c>
      <c r="U36" s="284">
        <f t="shared" si="11"/>
        <v>0</v>
      </c>
      <c r="V36" s="284">
        <f t="shared" si="12"/>
        <v>2.725E-2</v>
      </c>
      <c r="W36" s="283">
        <f t="shared" si="13"/>
        <v>0</v>
      </c>
      <c r="X36" s="283">
        <f t="shared" si="14"/>
        <v>0</v>
      </c>
      <c r="Y36" s="283">
        <f t="shared" si="15"/>
        <v>0</v>
      </c>
      <c r="Z36" s="285">
        <f t="shared" si="16"/>
        <v>0</v>
      </c>
      <c r="AA36" s="285">
        <f t="shared" si="17"/>
        <v>0</v>
      </c>
      <c r="AB36" s="285">
        <f t="shared" si="35"/>
        <v>0</v>
      </c>
      <c r="AC36" s="285">
        <f t="shared" si="36"/>
        <v>0</v>
      </c>
      <c r="AD36" s="285">
        <f t="shared" si="37"/>
        <v>0</v>
      </c>
      <c r="AE36" s="286">
        <v>0</v>
      </c>
      <c r="AF36" s="287">
        <f t="shared" si="18"/>
        <v>0</v>
      </c>
      <c r="AG36" s="288">
        <f t="shared" si="19"/>
        <v>0</v>
      </c>
      <c r="AH36" s="285">
        <f t="shared" si="20"/>
        <v>0</v>
      </c>
      <c r="AI36" s="286">
        <v>0</v>
      </c>
      <c r="AJ36" s="286">
        <v>0</v>
      </c>
      <c r="AK36" s="286">
        <v>0</v>
      </c>
      <c r="AL36" s="285">
        <f t="shared" si="21"/>
        <v>0</v>
      </c>
      <c r="AM36" s="285">
        <f t="shared" si="22"/>
        <v>0</v>
      </c>
      <c r="AN36" s="289">
        <f t="shared" si="38"/>
        <v>1</v>
      </c>
      <c r="AO36" s="290">
        <f t="shared" si="23"/>
        <v>0</v>
      </c>
      <c r="AP36" s="290">
        <f t="shared" si="24"/>
        <v>0</v>
      </c>
      <c r="AQ36" s="290">
        <f t="shared" si="25"/>
        <v>0</v>
      </c>
      <c r="AR36" s="290">
        <f t="shared" si="26"/>
        <v>0</v>
      </c>
      <c r="AS36" s="290">
        <f t="shared" si="27"/>
        <v>0</v>
      </c>
      <c r="AT36" s="290">
        <f t="shared" si="28"/>
        <v>0</v>
      </c>
      <c r="AU36" s="291">
        <f t="shared" si="29"/>
        <v>0</v>
      </c>
      <c r="AV36" s="291">
        <f t="shared" si="39"/>
        <v>0</v>
      </c>
      <c r="AW36" s="292">
        <f t="shared" si="30"/>
        <v>0</v>
      </c>
      <c r="AX36" s="293">
        <f t="shared" si="31"/>
        <v>0</v>
      </c>
      <c r="BC36" s="276">
        <f>IF(BI36=1,IF(BC35=MiscData!$F$1,EOMONTH(BC35,-11),EOMONTH(BC35,1)),BC35)</f>
        <v>42035</v>
      </c>
      <c r="BD36" s="275" t="str">
        <f t="shared" si="40"/>
        <v>20140101LGRSE411</v>
      </c>
      <c r="BE36" s="294" t="str">
        <f t="shared" si="41"/>
        <v>20140101RS</v>
      </c>
      <c r="BF36">
        <f>MiscData!$X$5</f>
        <v>20140101</v>
      </c>
      <c r="BI36" s="265">
        <f>IF(BI35+1&gt;MiscData!$Z$42,1,BI35+1)</f>
        <v>33</v>
      </c>
      <c r="BJ36" s="265" t="str">
        <f>VLOOKUP(BI36,MiscData!$Z$5:$AB$46,2,FALSE)</f>
        <v>LGRSE411</v>
      </c>
      <c r="BK36" s="265" t="str">
        <f>VLOOKUP(BI36,MiscData!$Z$5:$AB$46,3,FALSE)</f>
        <v>RS</v>
      </c>
    </row>
    <row r="37" spans="1:63" hidden="1">
      <c r="A37" s="275">
        <v>34</v>
      </c>
      <c r="B37" s="276" t="str">
        <f t="shared" si="32"/>
        <v>Jan 2015</v>
      </c>
      <c r="C37" s="277" t="str">
        <f t="shared" si="33"/>
        <v>RS</v>
      </c>
      <c r="D37" s="277" t="str">
        <f t="shared" si="34"/>
        <v>LGRSE511</v>
      </c>
      <c r="E37" s="278">
        <f t="shared" si="0"/>
        <v>359156</v>
      </c>
      <c r="F37" s="279">
        <v>0</v>
      </c>
      <c r="G37" s="278">
        <f t="shared" si="1"/>
        <v>0</v>
      </c>
      <c r="H37" s="278">
        <f t="shared" si="2"/>
        <v>0</v>
      </c>
      <c r="I37" s="278">
        <f t="shared" si="3"/>
        <v>0</v>
      </c>
      <c r="J37" s="278">
        <f t="shared" si="4"/>
        <v>379463319</v>
      </c>
      <c r="K37" s="280">
        <v>0</v>
      </c>
      <c r="L37" s="281">
        <f t="shared" si="5"/>
        <v>0</v>
      </c>
      <c r="M37" s="281">
        <f t="shared" si="6"/>
        <v>0</v>
      </c>
      <c r="N37" s="281">
        <f t="shared" si="7"/>
        <v>0</v>
      </c>
      <c r="O37" s="282">
        <v>0</v>
      </c>
      <c r="P37" s="282">
        <v>0</v>
      </c>
      <c r="Q37" s="282">
        <v>0</v>
      </c>
      <c r="R37" s="283">
        <f t="shared" si="8"/>
        <v>10.75</v>
      </c>
      <c r="S37" s="284">
        <f t="shared" si="9"/>
        <v>8.0760000000000012E-2</v>
      </c>
      <c r="T37" s="284">
        <f t="shared" si="10"/>
        <v>0</v>
      </c>
      <c r="U37" s="284">
        <f t="shared" si="11"/>
        <v>0</v>
      </c>
      <c r="V37" s="284">
        <f t="shared" si="12"/>
        <v>2.725E-2</v>
      </c>
      <c r="W37" s="283">
        <f t="shared" si="13"/>
        <v>0</v>
      </c>
      <c r="X37" s="283">
        <f t="shared" si="14"/>
        <v>0</v>
      </c>
      <c r="Y37" s="283">
        <f t="shared" si="15"/>
        <v>0</v>
      </c>
      <c r="Z37" s="285">
        <f t="shared" si="16"/>
        <v>3860927</v>
      </c>
      <c r="AA37" s="285">
        <f t="shared" si="17"/>
        <v>30645457.640000001</v>
      </c>
      <c r="AB37" s="285">
        <f t="shared" si="35"/>
        <v>0</v>
      </c>
      <c r="AC37" s="285">
        <f t="shared" si="36"/>
        <v>0</v>
      </c>
      <c r="AD37" s="285">
        <f t="shared" si="37"/>
        <v>0</v>
      </c>
      <c r="AE37" s="286">
        <v>0</v>
      </c>
      <c r="AF37" s="287">
        <f t="shared" si="18"/>
        <v>0</v>
      </c>
      <c r="AG37" s="288">
        <f t="shared" si="19"/>
        <v>0</v>
      </c>
      <c r="AH37" s="285">
        <f t="shared" si="20"/>
        <v>0</v>
      </c>
      <c r="AI37" s="286">
        <v>0</v>
      </c>
      <c r="AJ37" s="286">
        <v>0</v>
      </c>
      <c r="AK37" s="286">
        <v>0</v>
      </c>
      <c r="AL37" s="285">
        <f t="shared" si="21"/>
        <v>34506384.640000001</v>
      </c>
      <c r="AM37" s="285">
        <f t="shared" si="22"/>
        <v>34506385</v>
      </c>
      <c r="AN37" s="289">
        <f t="shared" si="38"/>
        <v>1</v>
      </c>
      <c r="AO37" s="290">
        <f t="shared" si="23"/>
        <v>-495527</v>
      </c>
      <c r="AP37" s="290">
        <f t="shared" si="24"/>
        <v>574879</v>
      </c>
      <c r="AQ37" s="290">
        <f t="shared" si="25"/>
        <v>1747470</v>
      </c>
      <c r="AR37" s="290">
        <f t="shared" si="26"/>
        <v>0</v>
      </c>
      <c r="AS37" s="290">
        <f t="shared" si="27"/>
        <v>0</v>
      </c>
      <c r="AT37" s="290">
        <f t="shared" si="28"/>
        <v>36333207</v>
      </c>
      <c r="AU37" s="291">
        <f t="shared" si="29"/>
        <v>36333206.640000001</v>
      </c>
      <c r="AV37" s="291">
        <f t="shared" si="39"/>
        <v>0.35999999940395355</v>
      </c>
      <c r="AW37" s="292">
        <f t="shared" si="30"/>
        <v>10340375.439999999</v>
      </c>
      <c r="AX37" s="293">
        <f t="shared" si="31"/>
        <v>20305082.200000003</v>
      </c>
      <c r="BC37" s="276">
        <f>IF(BI37=1,IF(BC36=MiscData!$F$1,EOMONTH(BC36,-11),EOMONTH(BC36,1)),BC36)</f>
        <v>42035</v>
      </c>
      <c r="BD37" s="275" t="str">
        <f t="shared" si="40"/>
        <v>20140101LGRSE511</v>
      </c>
      <c r="BE37" s="294" t="str">
        <f t="shared" si="41"/>
        <v>20140101RS</v>
      </c>
      <c r="BF37">
        <f>MiscData!$X$5</f>
        <v>20140101</v>
      </c>
      <c r="BI37" s="265">
        <f>IF(BI36+1&gt;MiscData!$Z$42,1,BI36+1)</f>
        <v>34</v>
      </c>
      <c r="BJ37" s="265" t="str">
        <f>VLOOKUP(BI37,MiscData!$Z$5:$AB$46,2,FALSE)</f>
        <v>LGRSE511</v>
      </c>
      <c r="BK37" s="265" t="str">
        <f>VLOOKUP(BI37,MiscData!$Z$5:$AB$46,3,FALSE)</f>
        <v>RS</v>
      </c>
    </row>
    <row r="38" spans="1:63" hidden="1">
      <c r="A38" s="275">
        <v>35</v>
      </c>
      <c r="B38" s="276" t="str">
        <f t="shared" si="32"/>
        <v>Jan 2015</v>
      </c>
      <c r="C38" s="277" t="str">
        <f t="shared" si="33"/>
        <v>RS</v>
      </c>
      <c r="D38" s="277" t="str">
        <f t="shared" si="34"/>
        <v>LGRSE519</v>
      </c>
      <c r="E38" s="278">
        <f t="shared" si="0"/>
        <v>0</v>
      </c>
      <c r="F38" s="279">
        <v>0</v>
      </c>
      <c r="G38" s="278">
        <f t="shared" si="1"/>
        <v>0</v>
      </c>
      <c r="H38" s="278">
        <f t="shared" si="2"/>
        <v>0</v>
      </c>
      <c r="I38" s="278">
        <f t="shared" si="3"/>
        <v>0</v>
      </c>
      <c r="J38" s="278">
        <f t="shared" si="4"/>
        <v>0</v>
      </c>
      <c r="K38" s="280">
        <v>0</v>
      </c>
      <c r="L38" s="281">
        <f t="shared" si="5"/>
        <v>0</v>
      </c>
      <c r="M38" s="281">
        <f t="shared" si="6"/>
        <v>0</v>
      </c>
      <c r="N38" s="281">
        <f t="shared" si="7"/>
        <v>0</v>
      </c>
      <c r="O38" s="282">
        <v>0</v>
      </c>
      <c r="P38" s="282">
        <v>0</v>
      </c>
      <c r="Q38" s="282">
        <v>0</v>
      </c>
      <c r="R38" s="283">
        <f t="shared" si="8"/>
        <v>10.75</v>
      </c>
      <c r="S38" s="284">
        <f t="shared" si="9"/>
        <v>8.0760000000000012E-2</v>
      </c>
      <c r="T38" s="284">
        <f t="shared" si="10"/>
        <v>0</v>
      </c>
      <c r="U38" s="284">
        <f t="shared" si="11"/>
        <v>0</v>
      </c>
      <c r="V38" s="284">
        <f t="shared" si="12"/>
        <v>2.725E-2</v>
      </c>
      <c r="W38" s="283">
        <f t="shared" si="13"/>
        <v>0</v>
      </c>
      <c r="X38" s="283">
        <f t="shared" si="14"/>
        <v>0</v>
      </c>
      <c r="Y38" s="283">
        <f t="shared" si="15"/>
        <v>0</v>
      </c>
      <c r="Z38" s="285">
        <f t="shared" si="16"/>
        <v>0</v>
      </c>
      <c r="AA38" s="285">
        <f t="shared" si="17"/>
        <v>0</v>
      </c>
      <c r="AB38" s="285">
        <f t="shared" si="35"/>
        <v>0</v>
      </c>
      <c r="AC38" s="285">
        <f t="shared" si="36"/>
        <v>0</v>
      </c>
      <c r="AD38" s="285">
        <f t="shared" si="37"/>
        <v>0</v>
      </c>
      <c r="AE38" s="286">
        <v>0</v>
      </c>
      <c r="AF38" s="287">
        <f t="shared" si="18"/>
        <v>0</v>
      </c>
      <c r="AG38" s="288">
        <f t="shared" si="19"/>
        <v>0</v>
      </c>
      <c r="AH38" s="285">
        <f t="shared" si="20"/>
        <v>0</v>
      </c>
      <c r="AI38" s="286">
        <v>0</v>
      </c>
      <c r="AJ38" s="286">
        <v>0</v>
      </c>
      <c r="AK38" s="286">
        <v>0</v>
      </c>
      <c r="AL38" s="285">
        <f t="shared" si="21"/>
        <v>0</v>
      </c>
      <c r="AM38" s="285">
        <f t="shared" si="22"/>
        <v>0</v>
      </c>
      <c r="AN38" s="289">
        <f t="shared" si="38"/>
        <v>1</v>
      </c>
      <c r="AO38" s="290">
        <f t="shared" si="23"/>
        <v>0</v>
      </c>
      <c r="AP38" s="290">
        <f t="shared" si="24"/>
        <v>0</v>
      </c>
      <c r="AQ38" s="290">
        <f t="shared" si="25"/>
        <v>0</v>
      </c>
      <c r="AR38" s="290">
        <f t="shared" si="26"/>
        <v>0</v>
      </c>
      <c r="AS38" s="290">
        <f t="shared" si="27"/>
        <v>0</v>
      </c>
      <c r="AT38" s="290">
        <f t="shared" si="28"/>
        <v>0</v>
      </c>
      <c r="AU38" s="291">
        <f t="shared" si="29"/>
        <v>0</v>
      </c>
      <c r="AV38" s="291">
        <f t="shared" si="39"/>
        <v>0</v>
      </c>
      <c r="AW38" s="292">
        <f t="shared" si="30"/>
        <v>0</v>
      </c>
      <c r="AX38" s="293">
        <f t="shared" si="31"/>
        <v>0</v>
      </c>
      <c r="BC38" s="276">
        <f>IF(BI38=1,IF(BC37=MiscData!$F$1,EOMONTH(BC37,-11),EOMONTH(BC37,1)),BC37)</f>
        <v>42035</v>
      </c>
      <c r="BD38" s="275" t="str">
        <f t="shared" si="40"/>
        <v>20140101LGRSE519</v>
      </c>
      <c r="BE38" s="294" t="str">
        <f t="shared" si="41"/>
        <v>20140101RS</v>
      </c>
      <c r="BF38">
        <f>MiscData!$X$5</f>
        <v>20140101</v>
      </c>
      <c r="BI38" s="265">
        <f>IF(BI37+1&gt;MiscData!$Z$42,1,BI37+1)</f>
        <v>35</v>
      </c>
      <c r="BJ38" s="265" t="str">
        <f>VLOOKUP(BI38,MiscData!$Z$5:$AB$46,2,FALSE)</f>
        <v>LGRSE519</v>
      </c>
      <c r="BK38" s="265" t="str">
        <f>VLOOKUP(BI38,MiscData!$Z$5:$AB$46,3,FALSE)</f>
        <v>RS</v>
      </c>
    </row>
    <row r="39" spans="1:63" hidden="1">
      <c r="A39" s="275">
        <v>36</v>
      </c>
      <c r="B39" s="276" t="str">
        <f t="shared" si="32"/>
        <v>Jan 2015</v>
      </c>
      <c r="C39" s="277" t="s">
        <v>13</v>
      </c>
      <c r="D39" s="277" t="str">
        <f t="shared" si="34"/>
        <v>LGRSE540</v>
      </c>
      <c r="E39" s="278">
        <f t="shared" si="0"/>
        <v>0</v>
      </c>
      <c r="F39" s="279">
        <v>0</v>
      </c>
      <c r="G39" s="278">
        <f t="shared" si="1"/>
        <v>0</v>
      </c>
      <c r="H39" s="278">
        <f t="shared" si="2"/>
        <v>0</v>
      </c>
      <c r="I39" s="278">
        <f t="shared" si="3"/>
        <v>0</v>
      </c>
      <c r="J39" s="278">
        <f t="shared" si="4"/>
        <v>0</v>
      </c>
      <c r="K39" s="280">
        <v>0</v>
      </c>
      <c r="L39" s="281">
        <f t="shared" si="5"/>
        <v>0</v>
      </c>
      <c r="M39" s="281">
        <f t="shared" si="6"/>
        <v>0</v>
      </c>
      <c r="N39" s="281">
        <f t="shared" si="7"/>
        <v>0</v>
      </c>
      <c r="O39" s="282">
        <v>0</v>
      </c>
      <c r="P39" s="282">
        <v>0</v>
      </c>
      <c r="Q39" s="282">
        <v>0</v>
      </c>
      <c r="R39" s="283">
        <f t="shared" si="8"/>
        <v>10.75</v>
      </c>
      <c r="S39" s="284">
        <f t="shared" si="9"/>
        <v>8.0760000000000012E-2</v>
      </c>
      <c r="T39" s="284">
        <f t="shared" si="10"/>
        <v>0</v>
      </c>
      <c r="U39" s="284">
        <f t="shared" si="11"/>
        <v>0</v>
      </c>
      <c r="V39" s="284">
        <f t="shared" si="12"/>
        <v>2.725E-2</v>
      </c>
      <c r="W39" s="283">
        <f t="shared" si="13"/>
        <v>0</v>
      </c>
      <c r="X39" s="283">
        <f t="shared" si="14"/>
        <v>0</v>
      </c>
      <c r="Y39" s="283">
        <f t="shared" si="15"/>
        <v>0</v>
      </c>
      <c r="Z39" s="285">
        <f t="shared" si="16"/>
        <v>0</v>
      </c>
      <c r="AA39" s="285">
        <f t="shared" si="17"/>
        <v>0</v>
      </c>
      <c r="AB39" s="285">
        <f t="shared" si="35"/>
        <v>0</v>
      </c>
      <c r="AC39" s="285">
        <f t="shared" si="36"/>
        <v>0</v>
      </c>
      <c r="AD39" s="285">
        <f t="shared" si="37"/>
        <v>0</v>
      </c>
      <c r="AE39" s="286">
        <v>0</v>
      </c>
      <c r="AF39" s="287">
        <f t="shared" si="18"/>
        <v>0</v>
      </c>
      <c r="AG39" s="288">
        <f t="shared" si="19"/>
        <v>0</v>
      </c>
      <c r="AH39" s="285">
        <f t="shared" si="20"/>
        <v>0</v>
      </c>
      <c r="AI39" s="286">
        <v>0</v>
      </c>
      <c r="AJ39" s="286">
        <v>0</v>
      </c>
      <c r="AK39" s="286">
        <v>0</v>
      </c>
      <c r="AL39" s="285">
        <f t="shared" si="21"/>
        <v>0</v>
      </c>
      <c r="AM39" s="285">
        <f t="shared" si="22"/>
        <v>0</v>
      </c>
      <c r="AN39" s="289">
        <f t="shared" si="38"/>
        <v>1</v>
      </c>
      <c r="AO39" s="290">
        <f t="shared" si="23"/>
        <v>0</v>
      </c>
      <c r="AP39" s="290">
        <f t="shared" si="24"/>
        <v>0</v>
      </c>
      <c r="AQ39" s="290">
        <f t="shared" si="25"/>
        <v>0</v>
      </c>
      <c r="AR39" s="290">
        <f t="shared" si="26"/>
        <v>0</v>
      </c>
      <c r="AS39" s="290">
        <f t="shared" si="27"/>
        <v>0</v>
      </c>
      <c r="AT39" s="290">
        <f t="shared" si="28"/>
        <v>0</v>
      </c>
      <c r="AU39" s="291">
        <f t="shared" si="29"/>
        <v>0</v>
      </c>
      <c r="AV39" s="291">
        <f t="shared" si="39"/>
        <v>0</v>
      </c>
      <c r="AW39" s="292">
        <f t="shared" si="30"/>
        <v>0</v>
      </c>
      <c r="AX39" s="293">
        <f t="shared" si="31"/>
        <v>0</v>
      </c>
      <c r="BC39" s="276">
        <f>IF(BI39=1,IF(BC38=MiscData!$F$1,EOMONTH(BC38,-11),EOMONTH(BC38,1)),BC38)</f>
        <v>42035</v>
      </c>
      <c r="BD39" s="275" t="str">
        <f t="shared" si="40"/>
        <v>20140101LGRSE540</v>
      </c>
      <c r="BE39" s="294" t="str">
        <f t="shared" si="41"/>
        <v>20140101VFD</v>
      </c>
      <c r="BF39">
        <f>MiscData!$X$5</f>
        <v>20140101</v>
      </c>
      <c r="BI39" s="265">
        <f>IF(BI38+1&gt;MiscData!$Z$42,1,BI38+1)</f>
        <v>36</v>
      </c>
      <c r="BJ39" s="265" t="str">
        <f>VLOOKUP(BI39,MiscData!$Z$5:$AB$46,2,FALSE)</f>
        <v>LGRSE540</v>
      </c>
      <c r="BK39" s="265" t="str">
        <f>VLOOKUP(BI39,MiscData!$Z$5:$AB$46,3,FALSE)</f>
        <v>VFD</v>
      </c>
    </row>
    <row r="40" spans="1:63" hidden="1">
      <c r="A40" s="275">
        <v>37</v>
      </c>
      <c r="B40" s="276" t="str">
        <f t="shared" si="32"/>
        <v>Jan 2015</v>
      </c>
      <c r="C40" s="277" t="str">
        <f t="shared" si="33"/>
        <v>LEV</v>
      </c>
      <c r="D40" s="277" t="str">
        <f t="shared" si="34"/>
        <v>LGRSE543</v>
      </c>
      <c r="E40" s="278">
        <f t="shared" si="0"/>
        <v>0</v>
      </c>
      <c r="F40" s="279">
        <v>0</v>
      </c>
      <c r="G40" s="278">
        <f t="shared" si="1"/>
        <v>0</v>
      </c>
      <c r="H40" s="278">
        <f t="shared" si="2"/>
        <v>0</v>
      </c>
      <c r="I40" s="278">
        <f t="shared" si="3"/>
        <v>0</v>
      </c>
      <c r="J40" s="278">
        <f t="shared" si="4"/>
        <v>0</v>
      </c>
      <c r="K40" s="280">
        <v>0</v>
      </c>
      <c r="L40" s="281">
        <f t="shared" si="5"/>
        <v>0</v>
      </c>
      <c r="M40" s="281">
        <f t="shared" si="6"/>
        <v>0</v>
      </c>
      <c r="N40" s="281">
        <f t="shared" si="7"/>
        <v>0</v>
      </c>
      <c r="O40" s="282">
        <v>0</v>
      </c>
      <c r="P40" s="282">
        <v>0</v>
      </c>
      <c r="Q40" s="282">
        <v>0</v>
      </c>
      <c r="R40" s="283">
        <f t="shared" si="8"/>
        <v>10.75</v>
      </c>
      <c r="S40" s="284">
        <f t="shared" ref="S40" si="44">SUMIF(L_Rates_Tariff_Rate_Category,$BD40,L_Rates_Energy)</f>
        <v>5.8200000000000002E-2</v>
      </c>
      <c r="T40" s="284">
        <f t="shared" si="10"/>
        <v>7.8990000000000005E-2</v>
      </c>
      <c r="U40" s="284">
        <f t="shared" si="11"/>
        <v>0.14451000000000003</v>
      </c>
      <c r="V40" s="284">
        <f t="shared" si="12"/>
        <v>2.725E-2</v>
      </c>
      <c r="W40" s="283">
        <f t="shared" si="13"/>
        <v>0</v>
      </c>
      <c r="X40" s="283">
        <f t="shared" si="14"/>
        <v>0</v>
      </c>
      <c r="Y40" s="283">
        <f t="shared" si="15"/>
        <v>0</v>
      </c>
      <c r="Z40" s="285">
        <f t="shared" si="16"/>
        <v>0</v>
      </c>
      <c r="AA40" s="285">
        <f t="shared" si="17"/>
        <v>0</v>
      </c>
      <c r="AB40" s="285">
        <f t="shared" si="35"/>
        <v>0</v>
      </c>
      <c r="AC40" s="285">
        <f t="shared" si="36"/>
        <v>0</v>
      </c>
      <c r="AD40" s="285">
        <f t="shared" si="37"/>
        <v>0</v>
      </c>
      <c r="AE40" s="286">
        <v>0</v>
      </c>
      <c r="AF40" s="287">
        <f t="shared" si="18"/>
        <v>0</v>
      </c>
      <c r="AG40" s="288">
        <f t="shared" si="19"/>
        <v>0</v>
      </c>
      <c r="AH40" s="285">
        <f t="shared" si="20"/>
        <v>0</v>
      </c>
      <c r="AI40" s="286">
        <v>0</v>
      </c>
      <c r="AJ40" s="286">
        <v>0</v>
      </c>
      <c r="AK40" s="286">
        <v>0</v>
      </c>
      <c r="AL40" s="285">
        <f t="shared" si="21"/>
        <v>0</v>
      </c>
      <c r="AM40" s="285">
        <f t="shared" si="22"/>
        <v>0</v>
      </c>
      <c r="AN40" s="289">
        <f t="shared" si="38"/>
        <v>1</v>
      </c>
      <c r="AO40" s="290">
        <f t="shared" si="23"/>
        <v>0</v>
      </c>
      <c r="AP40" s="290">
        <f t="shared" si="24"/>
        <v>0</v>
      </c>
      <c r="AQ40" s="290">
        <f t="shared" si="25"/>
        <v>0</v>
      </c>
      <c r="AR40" s="290">
        <f t="shared" si="26"/>
        <v>0</v>
      </c>
      <c r="AS40" s="290">
        <f t="shared" si="27"/>
        <v>0</v>
      </c>
      <c r="AT40" s="290">
        <f t="shared" si="28"/>
        <v>0</v>
      </c>
      <c r="AU40" s="291">
        <f t="shared" si="29"/>
        <v>0</v>
      </c>
      <c r="AV40" s="291">
        <f t="shared" si="39"/>
        <v>0</v>
      </c>
      <c r="AW40" s="292">
        <f t="shared" si="30"/>
        <v>0</v>
      </c>
      <c r="AX40" s="293">
        <f t="shared" si="31"/>
        <v>0</v>
      </c>
      <c r="BC40" s="276">
        <f>IF(BI40=1,IF(BC39=MiscData!$F$1,EOMONTH(BC39,-11),EOMONTH(BC39,1)),BC39)</f>
        <v>42035</v>
      </c>
      <c r="BD40" s="275" t="str">
        <f t="shared" si="40"/>
        <v>20140101LGRSE543</v>
      </c>
      <c r="BE40" s="294" t="str">
        <f t="shared" si="41"/>
        <v>20140101LEV</v>
      </c>
      <c r="BF40">
        <f>MiscData!$X$5</f>
        <v>20140101</v>
      </c>
      <c r="BI40" s="265">
        <f>IF(BI39+1&gt;MiscData!$Z$42,1,BI39+1)</f>
        <v>37</v>
      </c>
      <c r="BJ40" s="265" t="str">
        <f>VLOOKUP(BI40,MiscData!$Z$5:$AB$46,2,FALSE)</f>
        <v>LGRSE543</v>
      </c>
      <c r="BK40" s="265" t="str">
        <f>VLOOKUP(BI40,MiscData!$Z$5:$AB$46,3,FALSE)</f>
        <v>LEV</v>
      </c>
    </row>
    <row r="41" spans="1:63" hidden="1">
      <c r="A41" s="275">
        <v>36</v>
      </c>
      <c r="B41" s="276" t="str">
        <f t="shared" si="32"/>
        <v>Jan 2015</v>
      </c>
      <c r="C41" s="277" t="str">
        <f t="shared" si="33"/>
        <v>LEV</v>
      </c>
      <c r="D41" s="277" t="str">
        <f t="shared" si="34"/>
        <v>LGRSE547</v>
      </c>
      <c r="E41" s="278">
        <f t="shared" si="0"/>
        <v>0</v>
      </c>
      <c r="F41" s="279">
        <v>0</v>
      </c>
      <c r="G41" s="278">
        <f t="shared" si="1"/>
        <v>0</v>
      </c>
      <c r="H41" s="278">
        <f t="shared" si="2"/>
        <v>0</v>
      </c>
      <c r="I41" s="278">
        <f t="shared" si="3"/>
        <v>0</v>
      </c>
      <c r="J41" s="278">
        <f t="shared" si="4"/>
        <v>0</v>
      </c>
      <c r="K41" s="280">
        <v>0</v>
      </c>
      <c r="L41" s="281">
        <f t="shared" si="5"/>
        <v>0</v>
      </c>
      <c r="M41" s="281">
        <f t="shared" si="6"/>
        <v>0</v>
      </c>
      <c r="N41" s="281">
        <f t="shared" si="7"/>
        <v>0</v>
      </c>
      <c r="O41" s="282">
        <v>0</v>
      </c>
      <c r="P41" s="282">
        <v>0</v>
      </c>
      <c r="Q41" s="282">
        <v>0</v>
      </c>
      <c r="R41" s="283">
        <f t="shared" si="8"/>
        <v>10.75</v>
      </c>
      <c r="S41" s="284">
        <f t="shared" ref="S41:S104" si="45">SUMIF(L_Rates_Tariff_Rate_Category,$BD41,L_Rates_Energy)</f>
        <v>5.8200000000000002E-2</v>
      </c>
      <c r="T41" s="284">
        <f t="shared" si="10"/>
        <v>7.8990000000000005E-2</v>
      </c>
      <c r="U41" s="284">
        <f t="shared" si="11"/>
        <v>0.14451000000000003</v>
      </c>
      <c r="V41" s="284">
        <f t="shared" si="12"/>
        <v>2.725E-2</v>
      </c>
      <c r="W41" s="283">
        <f t="shared" si="13"/>
        <v>0</v>
      </c>
      <c r="X41" s="283">
        <f t="shared" si="14"/>
        <v>0</v>
      </c>
      <c r="Y41" s="283">
        <f t="shared" si="15"/>
        <v>0</v>
      </c>
      <c r="Z41" s="285">
        <f t="shared" si="16"/>
        <v>0</v>
      </c>
      <c r="AA41" s="285">
        <f t="shared" si="17"/>
        <v>0</v>
      </c>
      <c r="AB41" s="285">
        <f t="shared" si="35"/>
        <v>0</v>
      </c>
      <c r="AC41" s="285">
        <f t="shared" si="36"/>
        <v>0</v>
      </c>
      <c r="AD41" s="285">
        <f t="shared" si="37"/>
        <v>0</v>
      </c>
      <c r="AE41" s="286">
        <v>0</v>
      </c>
      <c r="AF41" s="287">
        <f t="shared" si="18"/>
        <v>0</v>
      </c>
      <c r="AG41" s="288">
        <f t="shared" si="19"/>
        <v>0</v>
      </c>
      <c r="AH41" s="285">
        <f t="shared" si="20"/>
        <v>0</v>
      </c>
      <c r="AI41" s="286">
        <v>0</v>
      </c>
      <c r="AJ41" s="286">
        <v>0</v>
      </c>
      <c r="AK41" s="286">
        <v>0</v>
      </c>
      <c r="AL41" s="285">
        <f t="shared" si="21"/>
        <v>0</v>
      </c>
      <c r="AM41" s="285">
        <f t="shared" si="22"/>
        <v>0</v>
      </c>
      <c r="AN41" s="289">
        <f t="shared" si="38"/>
        <v>1</v>
      </c>
      <c r="AO41" s="290">
        <f t="shared" si="23"/>
        <v>0</v>
      </c>
      <c r="AP41" s="290">
        <f t="shared" si="24"/>
        <v>0</v>
      </c>
      <c r="AQ41" s="290">
        <f t="shared" si="25"/>
        <v>0</v>
      </c>
      <c r="AR41" s="290">
        <f t="shared" si="26"/>
        <v>0</v>
      </c>
      <c r="AS41" s="290">
        <f t="shared" si="27"/>
        <v>0</v>
      </c>
      <c r="AT41" s="290">
        <f t="shared" si="28"/>
        <v>0</v>
      </c>
      <c r="AU41" s="291">
        <f t="shared" si="29"/>
        <v>0</v>
      </c>
      <c r="AV41" s="291">
        <f>AT41-AU41</f>
        <v>0</v>
      </c>
      <c r="AW41" s="292">
        <f t="shared" si="30"/>
        <v>0</v>
      </c>
      <c r="AX41" s="293">
        <f t="shared" si="31"/>
        <v>0</v>
      </c>
      <c r="BC41" s="276">
        <f>IF(BI41=1,IF(BC40=MiscData!$F$1,EOMONTH(BC40,-11),EOMONTH(BC40,1)),BC40)</f>
        <v>42035</v>
      </c>
      <c r="BD41" s="275" t="str">
        <f t="shared" si="40"/>
        <v>20140101LGRSE547</v>
      </c>
      <c r="BE41" s="294" t="str">
        <f t="shared" si="41"/>
        <v>20140101LEV</v>
      </c>
      <c r="BF41">
        <f>MiscData!$X$5</f>
        <v>20140101</v>
      </c>
      <c r="BI41" s="265">
        <f>IF(BI40+1&gt;MiscData!$Z$42,1,BI40+1)</f>
        <v>38</v>
      </c>
      <c r="BJ41" s="265" t="str">
        <f>VLOOKUP(BI41,MiscData!$Z$5:$AB$46,2,FALSE)</f>
        <v>LGRSE547</v>
      </c>
      <c r="BK41" s="265" t="str">
        <f>VLOOKUP(BI41,MiscData!$Z$5:$AB$46,3,FALSE)</f>
        <v>LEV</v>
      </c>
    </row>
    <row r="42" spans="1:63" hidden="1">
      <c r="A42" s="275">
        <v>37</v>
      </c>
      <c r="B42" s="276" t="str">
        <f t="shared" si="32"/>
        <v>Feb 2015</v>
      </c>
      <c r="C42" s="277" t="str">
        <f t="shared" si="33"/>
        <v>FLSP</v>
      </c>
      <c r="D42" s="277" t="str">
        <f t="shared" si="34"/>
        <v>LGINE682</v>
      </c>
      <c r="E42" s="278">
        <f t="shared" si="0"/>
        <v>0</v>
      </c>
      <c r="F42" s="279">
        <v>0</v>
      </c>
      <c r="G42" s="278">
        <f t="shared" si="1"/>
        <v>0</v>
      </c>
      <c r="H42" s="278">
        <f t="shared" si="2"/>
        <v>0</v>
      </c>
      <c r="I42" s="278">
        <f t="shared" si="3"/>
        <v>0</v>
      </c>
      <c r="J42" s="278">
        <f t="shared" si="4"/>
        <v>0</v>
      </c>
      <c r="K42" s="280">
        <v>0</v>
      </c>
      <c r="L42" s="281">
        <f t="shared" si="5"/>
        <v>0</v>
      </c>
      <c r="M42" s="281">
        <f t="shared" si="6"/>
        <v>0</v>
      </c>
      <c r="N42" s="281">
        <f t="shared" si="7"/>
        <v>0</v>
      </c>
      <c r="O42" s="282">
        <v>0</v>
      </c>
      <c r="P42" s="282">
        <v>0</v>
      </c>
      <c r="Q42" s="282">
        <v>0</v>
      </c>
      <c r="R42" s="283">
        <f t="shared" si="8"/>
        <v>750</v>
      </c>
      <c r="S42" s="284">
        <f t="shared" si="45"/>
        <v>3.61E-2</v>
      </c>
      <c r="T42" s="284">
        <f t="shared" si="10"/>
        <v>0</v>
      </c>
      <c r="U42" s="284">
        <f t="shared" si="11"/>
        <v>0</v>
      </c>
      <c r="V42" s="284">
        <f t="shared" si="12"/>
        <v>2.725E-2</v>
      </c>
      <c r="W42" s="283">
        <f t="shared" si="13"/>
        <v>1.8900000000000001</v>
      </c>
      <c r="X42" s="283">
        <f t="shared" si="14"/>
        <v>1.8900000000000001</v>
      </c>
      <c r="Y42" s="283">
        <f t="shared" si="15"/>
        <v>2.94</v>
      </c>
      <c r="Z42" s="285">
        <f t="shared" si="16"/>
        <v>0</v>
      </c>
      <c r="AA42" s="285">
        <f t="shared" si="17"/>
        <v>0</v>
      </c>
      <c r="AB42" s="285">
        <f t="shared" si="35"/>
        <v>0</v>
      </c>
      <c r="AC42" s="285">
        <f t="shared" si="36"/>
        <v>0</v>
      </c>
      <c r="AD42" s="285">
        <f t="shared" si="37"/>
        <v>0</v>
      </c>
      <c r="AE42" s="286">
        <v>0</v>
      </c>
      <c r="AF42" s="287">
        <f t="shared" si="18"/>
        <v>0</v>
      </c>
      <c r="AG42" s="288">
        <f t="shared" si="19"/>
        <v>0</v>
      </c>
      <c r="AH42" s="285">
        <f t="shared" si="20"/>
        <v>0</v>
      </c>
      <c r="AI42" s="286">
        <v>0</v>
      </c>
      <c r="AJ42" s="286">
        <v>0</v>
      </c>
      <c r="AK42" s="286">
        <v>0</v>
      </c>
      <c r="AL42" s="285">
        <f t="shared" si="21"/>
        <v>0</v>
      </c>
      <c r="AM42" s="285">
        <f t="shared" si="22"/>
        <v>0</v>
      </c>
      <c r="AN42" s="289">
        <f t="shared" si="38"/>
        <v>1</v>
      </c>
      <c r="AO42" s="290">
        <f t="shared" si="23"/>
        <v>0</v>
      </c>
      <c r="AP42" s="290">
        <f t="shared" si="24"/>
        <v>0</v>
      </c>
      <c r="AQ42" s="290">
        <f t="shared" si="25"/>
        <v>0</v>
      </c>
      <c r="AR42" s="290">
        <f t="shared" si="26"/>
        <v>0</v>
      </c>
      <c r="AS42" s="290">
        <f t="shared" si="27"/>
        <v>0</v>
      </c>
      <c r="AT42" s="290">
        <f t="shared" si="28"/>
        <v>0</v>
      </c>
      <c r="AU42" s="291">
        <f t="shared" si="29"/>
        <v>0</v>
      </c>
      <c r="AV42" s="291">
        <f>AT42-AU42</f>
        <v>0</v>
      </c>
      <c r="AW42" s="292">
        <f t="shared" si="30"/>
        <v>0</v>
      </c>
      <c r="AX42" s="293">
        <f t="shared" si="31"/>
        <v>0</v>
      </c>
      <c r="BC42" s="276">
        <f>IF(BI42=1,IF(BC41=MiscData!$F$1,EOMONTH(BC41,-11),EOMONTH(BC41,1)),BC41)</f>
        <v>42063</v>
      </c>
      <c r="BD42" s="275" t="str">
        <f t="shared" si="40"/>
        <v>20140101LGINE682</v>
      </c>
      <c r="BE42" s="294" t="str">
        <f t="shared" si="41"/>
        <v>20140101FLSP</v>
      </c>
      <c r="BF42">
        <f>MiscData!$X$5</f>
        <v>20140101</v>
      </c>
      <c r="BI42" s="265">
        <f>IF(BI41+1&gt;MiscData!$Z$42,1,BI41+1)</f>
        <v>1</v>
      </c>
      <c r="BJ42" s="265" t="str">
        <f>VLOOKUP(BI42,MiscData!$Z$5:$AB$46,2,FALSE)</f>
        <v>LGINE682</v>
      </c>
      <c r="BK42" s="265" t="str">
        <f>VLOOKUP(BI42,MiscData!$Z$5:$AB$46,3,FALSE)</f>
        <v>FLSP</v>
      </c>
    </row>
    <row r="43" spans="1:63" hidden="1">
      <c r="A43" s="275">
        <v>38</v>
      </c>
      <c r="B43" s="276" t="str">
        <f t="shared" si="32"/>
        <v>Feb 2015</v>
      </c>
      <c r="C43" s="277" t="str">
        <f t="shared" si="33"/>
        <v>FLST</v>
      </c>
      <c r="D43" s="277" t="str">
        <f t="shared" si="34"/>
        <v>LGINE683</v>
      </c>
      <c r="E43" s="278">
        <f t="shared" si="0"/>
        <v>0</v>
      </c>
      <c r="F43" s="279">
        <v>0</v>
      </c>
      <c r="G43" s="278">
        <f t="shared" si="1"/>
        <v>0</v>
      </c>
      <c r="H43" s="278">
        <f t="shared" si="2"/>
        <v>0</v>
      </c>
      <c r="I43" s="278">
        <f t="shared" si="3"/>
        <v>0</v>
      </c>
      <c r="J43" s="278">
        <f t="shared" si="4"/>
        <v>0</v>
      </c>
      <c r="K43" s="280">
        <v>0</v>
      </c>
      <c r="L43" s="281">
        <f t="shared" si="5"/>
        <v>0</v>
      </c>
      <c r="M43" s="281">
        <f t="shared" si="6"/>
        <v>0</v>
      </c>
      <c r="N43" s="281">
        <f t="shared" si="7"/>
        <v>0</v>
      </c>
      <c r="O43" s="282">
        <v>0</v>
      </c>
      <c r="P43" s="282">
        <v>0</v>
      </c>
      <c r="Q43" s="282">
        <v>0</v>
      </c>
      <c r="R43" s="283">
        <f t="shared" si="8"/>
        <v>750</v>
      </c>
      <c r="S43" s="284">
        <f t="shared" si="45"/>
        <v>3.61E-2</v>
      </c>
      <c r="T43" s="284">
        <f t="shared" si="10"/>
        <v>0</v>
      </c>
      <c r="U43" s="284">
        <f t="shared" si="11"/>
        <v>0</v>
      </c>
      <c r="V43" s="284">
        <f t="shared" si="12"/>
        <v>2.725E-2</v>
      </c>
      <c r="W43" s="283">
        <f t="shared" si="13"/>
        <v>1.1400000000000001</v>
      </c>
      <c r="X43" s="283">
        <f t="shared" si="14"/>
        <v>1.8900000000000001</v>
      </c>
      <c r="Y43" s="283">
        <f t="shared" si="15"/>
        <v>2.94</v>
      </c>
      <c r="Z43" s="285">
        <f t="shared" si="16"/>
        <v>0</v>
      </c>
      <c r="AA43" s="285">
        <f t="shared" si="17"/>
        <v>0</v>
      </c>
      <c r="AB43" s="285">
        <f t="shared" si="35"/>
        <v>0</v>
      </c>
      <c r="AC43" s="285">
        <f t="shared" si="36"/>
        <v>0</v>
      </c>
      <c r="AD43" s="285">
        <f t="shared" si="37"/>
        <v>0</v>
      </c>
      <c r="AE43" s="286">
        <v>0</v>
      </c>
      <c r="AF43" s="287">
        <f t="shared" si="18"/>
        <v>0</v>
      </c>
      <c r="AG43" s="288">
        <f t="shared" si="19"/>
        <v>0</v>
      </c>
      <c r="AH43" s="285">
        <f t="shared" si="20"/>
        <v>0</v>
      </c>
      <c r="AI43" s="286">
        <v>0</v>
      </c>
      <c r="AJ43" s="286">
        <v>0</v>
      </c>
      <c r="AK43" s="286">
        <v>0</v>
      </c>
      <c r="AL43" s="285">
        <f t="shared" si="21"/>
        <v>0</v>
      </c>
      <c r="AM43" s="285">
        <f t="shared" si="22"/>
        <v>0</v>
      </c>
      <c r="AN43" s="289">
        <f t="shared" si="38"/>
        <v>1</v>
      </c>
      <c r="AO43" s="290">
        <f t="shared" si="23"/>
        <v>0</v>
      </c>
      <c r="AP43" s="290">
        <f t="shared" si="24"/>
        <v>0</v>
      </c>
      <c r="AQ43" s="290">
        <f t="shared" si="25"/>
        <v>0</v>
      </c>
      <c r="AR43" s="290">
        <f t="shared" si="26"/>
        <v>0</v>
      </c>
      <c r="AS43" s="290">
        <f t="shared" si="27"/>
        <v>0</v>
      </c>
      <c r="AT43" s="290">
        <f t="shared" si="28"/>
        <v>0</v>
      </c>
      <c r="AU43" s="291">
        <f t="shared" si="29"/>
        <v>0</v>
      </c>
      <c r="AV43" s="291">
        <f t="shared" si="39"/>
        <v>0</v>
      </c>
      <c r="AW43" s="292">
        <f t="shared" si="30"/>
        <v>0</v>
      </c>
      <c r="AX43" s="293">
        <f t="shared" si="31"/>
        <v>0</v>
      </c>
      <c r="BC43" s="276">
        <f>IF(BI43=1,IF(BC42=MiscData!$F$1,EOMONTH(BC42,-11),EOMONTH(BC42,1)),BC42)</f>
        <v>42063</v>
      </c>
      <c r="BD43" s="275" t="str">
        <f t="shared" si="40"/>
        <v>20140101LGINE683</v>
      </c>
      <c r="BE43" s="294" t="str">
        <f t="shared" si="41"/>
        <v>20140101FLST</v>
      </c>
      <c r="BF43">
        <f>MiscData!$X$5</f>
        <v>20140101</v>
      </c>
      <c r="BI43" s="265">
        <f>IF(BI42+1&gt;MiscData!$Z$42,1,BI42+1)</f>
        <v>2</v>
      </c>
      <c r="BJ43" s="265" t="str">
        <f>VLOOKUP(BI43,MiscData!$Z$5:$AB$46,2,FALSE)</f>
        <v>LGINE683</v>
      </c>
      <c r="BK43" s="265" t="str">
        <f>VLOOKUP(BI43,MiscData!$Z$5:$AB$46,3,FALSE)</f>
        <v>FLST</v>
      </c>
    </row>
    <row r="44" spans="1:63" hidden="1">
      <c r="A44" s="275">
        <v>39</v>
      </c>
      <c r="B44" s="276" t="str">
        <f t="shared" si="32"/>
        <v>Feb 2015</v>
      </c>
      <c r="C44" s="277" t="s">
        <v>892</v>
      </c>
      <c r="D44" s="277" t="str">
        <f t="shared" si="34"/>
        <v>LGCME451</v>
      </c>
      <c r="E44" s="278">
        <f t="shared" si="0"/>
        <v>0</v>
      </c>
      <c r="F44" s="279">
        <f>-E44</f>
        <v>0</v>
      </c>
      <c r="G44" s="278">
        <f t="shared" si="1"/>
        <v>0</v>
      </c>
      <c r="H44" s="278">
        <f t="shared" si="2"/>
        <v>0</v>
      </c>
      <c r="I44" s="278">
        <f t="shared" si="3"/>
        <v>0</v>
      </c>
      <c r="J44" s="278">
        <f t="shared" si="4"/>
        <v>0</v>
      </c>
      <c r="K44" s="280">
        <v>0</v>
      </c>
      <c r="L44" s="281">
        <f t="shared" si="5"/>
        <v>0</v>
      </c>
      <c r="M44" s="281">
        <f t="shared" si="6"/>
        <v>0</v>
      </c>
      <c r="N44" s="281">
        <f t="shared" si="7"/>
        <v>0</v>
      </c>
      <c r="O44" s="282">
        <v>0</v>
      </c>
      <c r="P44" s="282">
        <v>0</v>
      </c>
      <c r="Q44" s="282">
        <v>0</v>
      </c>
      <c r="R44" s="283">
        <f t="shared" si="8"/>
        <v>0</v>
      </c>
      <c r="S44" s="284">
        <f t="shared" si="45"/>
        <v>9.1340000000000005E-2</v>
      </c>
      <c r="T44" s="284">
        <f t="shared" si="10"/>
        <v>0</v>
      </c>
      <c r="U44" s="284">
        <f t="shared" si="11"/>
        <v>0</v>
      </c>
      <c r="V44" s="284">
        <f t="shared" si="12"/>
        <v>2.725E-2</v>
      </c>
      <c r="W44" s="283">
        <f t="shared" si="13"/>
        <v>0</v>
      </c>
      <c r="X44" s="283">
        <f t="shared" si="14"/>
        <v>0</v>
      </c>
      <c r="Y44" s="283">
        <f t="shared" si="15"/>
        <v>0</v>
      </c>
      <c r="Z44" s="285">
        <f t="shared" si="16"/>
        <v>0</v>
      </c>
      <c r="AA44" s="285">
        <f t="shared" si="17"/>
        <v>0</v>
      </c>
      <c r="AB44" s="285">
        <f t="shared" si="35"/>
        <v>0</v>
      </c>
      <c r="AC44" s="285">
        <f t="shared" si="36"/>
        <v>0</v>
      </c>
      <c r="AD44" s="285">
        <f t="shared" si="37"/>
        <v>0</v>
      </c>
      <c r="AE44" s="286">
        <v>0</v>
      </c>
      <c r="AF44" s="287">
        <f t="shared" si="18"/>
        <v>0</v>
      </c>
      <c r="AG44" s="288">
        <f t="shared" si="19"/>
        <v>0</v>
      </c>
      <c r="AH44" s="285">
        <f t="shared" si="20"/>
        <v>0</v>
      </c>
      <c r="AI44" s="286">
        <v>0</v>
      </c>
      <c r="AJ44" s="286">
        <v>0</v>
      </c>
      <c r="AK44" s="286">
        <v>0</v>
      </c>
      <c r="AL44" s="285">
        <f t="shared" si="21"/>
        <v>0</v>
      </c>
      <c r="AM44" s="285">
        <f t="shared" si="22"/>
        <v>0</v>
      </c>
      <c r="AN44" s="289">
        <f t="shared" si="38"/>
        <v>1</v>
      </c>
      <c r="AO44" s="290">
        <f t="shared" si="23"/>
        <v>0</v>
      </c>
      <c r="AP44" s="290">
        <f t="shared" si="24"/>
        <v>0</v>
      </c>
      <c r="AQ44" s="290">
        <f t="shared" si="25"/>
        <v>0</v>
      </c>
      <c r="AR44" s="290">
        <f t="shared" si="26"/>
        <v>0</v>
      </c>
      <c r="AS44" s="290">
        <f t="shared" si="27"/>
        <v>0</v>
      </c>
      <c r="AT44" s="290">
        <f t="shared" si="28"/>
        <v>0</v>
      </c>
      <c r="AU44" s="291">
        <f t="shared" si="29"/>
        <v>0</v>
      </c>
      <c r="AV44" s="291">
        <f t="shared" ref="AV44:AV107" si="46">AT44-AU44</f>
        <v>0</v>
      </c>
      <c r="AW44" s="292">
        <f t="shared" si="30"/>
        <v>0</v>
      </c>
      <c r="AX44" s="293">
        <f t="shared" si="31"/>
        <v>0</v>
      </c>
      <c r="BC44" s="276">
        <f>IF(BI44=1,IF(BC43=MiscData!$F$1,EOMONTH(BC43,-11),EOMONTH(BC43,1)),BC43)</f>
        <v>42063</v>
      </c>
      <c r="BD44" s="275" t="str">
        <f t="shared" si="40"/>
        <v>20140101LGCME451</v>
      </c>
      <c r="BE44" s="294" t="str">
        <f t="shared" si="41"/>
        <v>20140101GSS</v>
      </c>
      <c r="BF44">
        <f>MiscData!$X$5</f>
        <v>20140101</v>
      </c>
      <c r="BI44" s="265">
        <f>IF(BI43+1&gt;MiscData!$Z$42,1,BI43+1)</f>
        <v>3</v>
      </c>
      <c r="BJ44" s="265" t="str">
        <f>VLOOKUP(BI44,MiscData!$Z$5:$AB$46,2,FALSE)</f>
        <v>LGCME451</v>
      </c>
      <c r="BK44" s="265" t="str">
        <f>VLOOKUP(BI44,MiscData!$Z$5:$AB$46,3,FALSE)</f>
        <v>GSS</v>
      </c>
    </row>
    <row r="45" spans="1:63" hidden="1">
      <c r="A45" s="275">
        <v>38</v>
      </c>
      <c r="B45" s="276" t="str">
        <f t="shared" si="32"/>
        <v>Feb 2015</v>
      </c>
      <c r="C45" s="277" t="s">
        <v>892</v>
      </c>
      <c r="D45" s="277" t="str">
        <f t="shared" si="34"/>
        <v>LGCME550</v>
      </c>
      <c r="E45" s="278">
        <f t="shared" si="0"/>
        <v>0</v>
      </c>
      <c r="F45" s="279">
        <v>0</v>
      </c>
      <c r="G45" s="278">
        <f t="shared" si="1"/>
        <v>0</v>
      </c>
      <c r="H45" s="278">
        <f t="shared" si="2"/>
        <v>0</v>
      </c>
      <c r="I45" s="278">
        <f t="shared" si="3"/>
        <v>0</v>
      </c>
      <c r="J45" s="278">
        <f t="shared" si="4"/>
        <v>0</v>
      </c>
      <c r="K45" s="280">
        <v>0</v>
      </c>
      <c r="L45" s="281">
        <f t="shared" si="5"/>
        <v>0</v>
      </c>
      <c r="M45" s="281">
        <f t="shared" si="6"/>
        <v>0</v>
      </c>
      <c r="N45" s="281">
        <f t="shared" si="7"/>
        <v>0</v>
      </c>
      <c r="O45" s="282">
        <v>0</v>
      </c>
      <c r="P45" s="282">
        <v>0</v>
      </c>
      <c r="Q45" s="282">
        <v>0</v>
      </c>
      <c r="R45" s="283">
        <f t="shared" si="8"/>
        <v>20</v>
      </c>
      <c r="S45" s="284">
        <f t="shared" si="45"/>
        <v>9.1340000000000005E-2</v>
      </c>
      <c r="T45" s="284">
        <f t="shared" si="10"/>
        <v>0</v>
      </c>
      <c r="U45" s="284">
        <f t="shared" si="11"/>
        <v>0</v>
      </c>
      <c r="V45" s="284">
        <f t="shared" si="12"/>
        <v>2.725E-2</v>
      </c>
      <c r="W45" s="283">
        <f t="shared" si="13"/>
        <v>0</v>
      </c>
      <c r="X45" s="283">
        <f t="shared" si="14"/>
        <v>0</v>
      </c>
      <c r="Y45" s="283">
        <f t="shared" si="15"/>
        <v>0</v>
      </c>
      <c r="Z45" s="285">
        <f t="shared" si="16"/>
        <v>0</v>
      </c>
      <c r="AA45" s="285">
        <f t="shared" si="17"/>
        <v>0</v>
      </c>
      <c r="AB45" s="285">
        <f t="shared" si="35"/>
        <v>0</v>
      </c>
      <c r="AC45" s="285">
        <f t="shared" si="36"/>
        <v>0</v>
      </c>
      <c r="AD45" s="285">
        <f t="shared" si="37"/>
        <v>0</v>
      </c>
      <c r="AE45" s="286">
        <v>0</v>
      </c>
      <c r="AF45" s="287">
        <f t="shared" si="18"/>
        <v>0</v>
      </c>
      <c r="AG45" s="288">
        <f t="shared" si="19"/>
        <v>0</v>
      </c>
      <c r="AH45" s="285">
        <f t="shared" si="20"/>
        <v>0</v>
      </c>
      <c r="AI45" s="286">
        <v>0</v>
      </c>
      <c r="AJ45" s="286">
        <v>0</v>
      </c>
      <c r="AK45" s="286">
        <v>0</v>
      </c>
      <c r="AL45" s="285">
        <f t="shared" si="21"/>
        <v>0</v>
      </c>
      <c r="AM45" s="285">
        <f t="shared" si="22"/>
        <v>0</v>
      </c>
      <c r="AN45" s="289">
        <f t="shared" si="38"/>
        <v>1</v>
      </c>
      <c r="AO45" s="290">
        <f t="shared" si="23"/>
        <v>0</v>
      </c>
      <c r="AP45" s="290">
        <f t="shared" si="24"/>
        <v>0</v>
      </c>
      <c r="AQ45" s="290">
        <f t="shared" si="25"/>
        <v>0</v>
      </c>
      <c r="AR45" s="290">
        <f t="shared" si="26"/>
        <v>0</v>
      </c>
      <c r="AS45" s="290">
        <f t="shared" si="27"/>
        <v>0</v>
      </c>
      <c r="AT45" s="290">
        <f t="shared" si="28"/>
        <v>0</v>
      </c>
      <c r="AU45" s="291">
        <f t="shared" si="29"/>
        <v>0</v>
      </c>
      <c r="AV45" s="291">
        <f t="shared" si="46"/>
        <v>0</v>
      </c>
      <c r="AW45" s="292">
        <f t="shared" si="30"/>
        <v>0</v>
      </c>
      <c r="AX45" s="293">
        <f t="shared" si="31"/>
        <v>0</v>
      </c>
      <c r="BC45" s="276">
        <f>IF(BI45=1,IF(BC44=MiscData!$F$1,EOMONTH(BC44,-11),EOMONTH(BC44,1)),BC44)</f>
        <v>42063</v>
      </c>
      <c r="BD45" s="275" t="str">
        <f t="shared" si="40"/>
        <v>20140101LGCME550</v>
      </c>
      <c r="BE45" s="294" t="str">
        <f t="shared" si="41"/>
        <v>20140101GSS</v>
      </c>
      <c r="BF45">
        <f>MiscData!$X$5</f>
        <v>20140101</v>
      </c>
      <c r="BI45" s="265">
        <f>IF(BI44+1&gt;MiscData!$Z$42,1,BI44+1)</f>
        <v>4</v>
      </c>
      <c r="BJ45" s="265" t="str">
        <f>VLOOKUP(BI45,MiscData!$Z$5:$AB$46,2,FALSE)</f>
        <v>LGCME550</v>
      </c>
      <c r="BK45" s="265" t="str">
        <f>VLOOKUP(BI45,MiscData!$Z$5:$AB$46,3,FALSE)</f>
        <v>GSS</v>
      </c>
    </row>
    <row r="46" spans="1:63" hidden="1">
      <c r="A46" s="275">
        <v>39</v>
      </c>
      <c r="B46" s="276" t="str">
        <f t="shared" si="32"/>
        <v>Feb 2015</v>
      </c>
      <c r="C46" s="277" t="s">
        <v>892</v>
      </c>
      <c r="D46" s="277" t="str">
        <f t="shared" si="34"/>
        <v>LGCME551</v>
      </c>
      <c r="E46" s="278">
        <f t="shared" si="0"/>
        <v>28102</v>
      </c>
      <c r="F46" s="279">
        <v>0</v>
      </c>
      <c r="G46" s="278">
        <f t="shared" si="1"/>
        <v>0</v>
      </c>
      <c r="H46" s="278">
        <f t="shared" si="2"/>
        <v>0</v>
      </c>
      <c r="I46" s="278">
        <f t="shared" si="3"/>
        <v>0</v>
      </c>
      <c r="J46" s="278">
        <f t="shared" si="4"/>
        <v>30448441</v>
      </c>
      <c r="K46" s="280">
        <v>0</v>
      </c>
      <c r="L46" s="281">
        <f t="shared" si="5"/>
        <v>0</v>
      </c>
      <c r="M46" s="281">
        <f t="shared" si="6"/>
        <v>0</v>
      </c>
      <c r="N46" s="281">
        <f t="shared" si="7"/>
        <v>0</v>
      </c>
      <c r="O46" s="282">
        <v>0</v>
      </c>
      <c r="P46" s="282">
        <v>0</v>
      </c>
      <c r="Q46" s="282">
        <v>0</v>
      </c>
      <c r="R46" s="283">
        <f t="shared" si="8"/>
        <v>20</v>
      </c>
      <c r="S46" s="284">
        <f t="shared" si="45"/>
        <v>9.1340000000000005E-2</v>
      </c>
      <c r="T46" s="284">
        <f t="shared" si="10"/>
        <v>0</v>
      </c>
      <c r="U46" s="284">
        <f t="shared" si="11"/>
        <v>0</v>
      </c>
      <c r="V46" s="284">
        <f t="shared" si="12"/>
        <v>2.725E-2</v>
      </c>
      <c r="W46" s="283">
        <f t="shared" si="13"/>
        <v>0</v>
      </c>
      <c r="X46" s="283">
        <f t="shared" si="14"/>
        <v>0</v>
      </c>
      <c r="Y46" s="283">
        <f t="shared" si="15"/>
        <v>0</v>
      </c>
      <c r="Z46" s="285">
        <f t="shared" si="16"/>
        <v>562040</v>
      </c>
      <c r="AA46" s="285">
        <f t="shared" si="17"/>
        <v>2781160.6</v>
      </c>
      <c r="AB46" s="285">
        <f t="shared" si="35"/>
        <v>0</v>
      </c>
      <c r="AC46" s="285">
        <f t="shared" si="36"/>
        <v>0</v>
      </c>
      <c r="AD46" s="285">
        <f t="shared" si="37"/>
        <v>0</v>
      </c>
      <c r="AE46" s="286">
        <v>0</v>
      </c>
      <c r="AF46" s="287">
        <f t="shared" si="18"/>
        <v>0</v>
      </c>
      <c r="AG46" s="288">
        <f t="shared" si="19"/>
        <v>0</v>
      </c>
      <c r="AH46" s="285">
        <f t="shared" si="20"/>
        <v>0</v>
      </c>
      <c r="AI46" s="286">
        <v>0</v>
      </c>
      <c r="AJ46" s="286">
        <v>0</v>
      </c>
      <c r="AK46" s="286">
        <v>0</v>
      </c>
      <c r="AL46" s="285">
        <f t="shared" si="21"/>
        <v>3343200.6</v>
      </c>
      <c r="AM46" s="285">
        <f t="shared" si="22"/>
        <v>3343200</v>
      </c>
      <c r="AN46" s="289">
        <f t="shared" si="38"/>
        <v>1</v>
      </c>
      <c r="AO46" s="290">
        <f t="shared" si="23"/>
        <v>-59596</v>
      </c>
      <c r="AP46" s="290">
        <f t="shared" si="24"/>
        <v>48303</v>
      </c>
      <c r="AQ46" s="290">
        <f t="shared" si="25"/>
        <v>163201</v>
      </c>
      <c r="AR46" s="290">
        <f t="shared" si="26"/>
        <v>0</v>
      </c>
      <c r="AS46" s="290">
        <f t="shared" si="27"/>
        <v>0</v>
      </c>
      <c r="AT46" s="290">
        <f t="shared" si="28"/>
        <v>3495108</v>
      </c>
      <c r="AU46" s="291">
        <f t="shared" si="29"/>
        <v>3495108.6</v>
      </c>
      <c r="AV46" s="291">
        <f t="shared" si="46"/>
        <v>-0.60000000009313226</v>
      </c>
      <c r="AW46" s="292">
        <f t="shared" si="30"/>
        <v>829720.02</v>
      </c>
      <c r="AX46" s="293">
        <f t="shared" si="31"/>
        <v>1951440.58</v>
      </c>
      <c r="BC46" s="276">
        <f>IF(BI46=1,IF(BC45=MiscData!$F$1,EOMONTH(BC45,-11),EOMONTH(BC45,1)),BC45)</f>
        <v>42063</v>
      </c>
      <c r="BD46" s="275" t="str">
        <f t="shared" si="40"/>
        <v>20140101LGCME551</v>
      </c>
      <c r="BE46" s="294" t="str">
        <f t="shared" si="41"/>
        <v>20140101GSS</v>
      </c>
      <c r="BF46">
        <f>MiscData!$X$5</f>
        <v>20140101</v>
      </c>
      <c r="BI46" s="265">
        <f>IF(BI45+1&gt;MiscData!$Z$42,1,BI45+1)</f>
        <v>5</v>
      </c>
      <c r="BJ46" s="265" t="str">
        <f>VLOOKUP(BI46,MiscData!$Z$5:$AB$46,2,FALSE)</f>
        <v>LGCME551</v>
      </c>
      <c r="BK46" s="265" t="str">
        <f>VLOOKUP(BI46,MiscData!$Z$5:$AB$46,3,FALSE)</f>
        <v>GSS</v>
      </c>
    </row>
    <row r="47" spans="1:63" hidden="1">
      <c r="A47" s="275">
        <v>40</v>
      </c>
      <c r="B47" s="276" t="str">
        <f t="shared" si="32"/>
        <v>Feb 2015</v>
      </c>
      <c r="C47" s="277" t="s">
        <v>892</v>
      </c>
      <c r="D47" s="277" t="str">
        <f t="shared" si="34"/>
        <v>LGCME551UM</v>
      </c>
      <c r="E47" s="278">
        <f t="shared" si="0"/>
        <v>0</v>
      </c>
      <c r="F47" s="279">
        <v>0</v>
      </c>
      <c r="G47" s="278">
        <f t="shared" si="1"/>
        <v>0</v>
      </c>
      <c r="H47" s="278">
        <f t="shared" si="2"/>
        <v>0</v>
      </c>
      <c r="I47" s="278">
        <f t="shared" si="3"/>
        <v>0</v>
      </c>
      <c r="J47" s="278">
        <f t="shared" si="4"/>
        <v>0</v>
      </c>
      <c r="K47" s="280">
        <v>0</v>
      </c>
      <c r="L47" s="281">
        <f t="shared" si="5"/>
        <v>0</v>
      </c>
      <c r="M47" s="281">
        <f t="shared" si="6"/>
        <v>0</v>
      </c>
      <c r="N47" s="281">
        <f t="shared" si="7"/>
        <v>0</v>
      </c>
      <c r="O47" s="282">
        <v>0</v>
      </c>
      <c r="P47" s="282">
        <v>0</v>
      </c>
      <c r="Q47" s="282">
        <v>0</v>
      </c>
      <c r="R47" s="283">
        <f t="shared" si="8"/>
        <v>20</v>
      </c>
      <c r="S47" s="284">
        <f t="shared" si="45"/>
        <v>9.1340000000000005E-2</v>
      </c>
      <c r="T47" s="284">
        <f t="shared" si="10"/>
        <v>0</v>
      </c>
      <c r="U47" s="284">
        <f t="shared" si="11"/>
        <v>0</v>
      </c>
      <c r="V47" s="284">
        <f t="shared" si="12"/>
        <v>2.725E-2</v>
      </c>
      <c r="W47" s="283">
        <f t="shared" si="13"/>
        <v>0</v>
      </c>
      <c r="X47" s="283">
        <f t="shared" si="14"/>
        <v>0</v>
      </c>
      <c r="Y47" s="283">
        <f t="shared" si="15"/>
        <v>0</v>
      </c>
      <c r="Z47" s="285">
        <f t="shared" si="16"/>
        <v>0</v>
      </c>
      <c r="AA47" s="285">
        <f t="shared" si="17"/>
        <v>0</v>
      </c>
      <c r="AB47" s="285">
        <f t="shared" si="35"/>
        <v>0</v>
      </c>
      <c r="AC47" s="285">
        <f t="shared" si="36"/>
        <v>0</v>
      </c>
      <c r="AD47" s="285">
        <f t="shared" si="37"/>
        <v>0</v>
      </c>
      <c r="AE47" s="286">
        <v>0</v>
      </c>
      <c r="AF47" s="287">
        <f t="shared" si="18"/>
        <v>0</v>
      </c>
      <c r="AG47" s="288">
        <f t="shared" si="19"/>
        <v>0</v>
      </c>
      <c r="AH47" s="285">
        <f t="shared" si="20"/>
        <v>0</v>
      </c>
      <c r="AI47" s="286">
        <v>0</v>
      </c>
      <c r="AJ47" s="286">
        <v>0</v>
      </c>
      <c r="AK47" s="286">
        <v>0</v>
      </c>
      <c r="AL47" s="285">
        <f t="shared" si="21"/>
        <v>0</v>
      </c>
      <c r="AM47" s="285">
        <f t="shared" si="22"/>
        <v>0</v>
      </c>
      <c r="AN47" s="289">
        <f t="shared" si="38"/>
        <v>1</v>
      </c>
      <c r="AO47" s="290">
        <f t="shared" si="23"/>
        <v>0</v>
      </c>
      <c r="AP47" s="290">
        <f t="shared" si="24"/>
        <v>0</v>
      </c>
      <c r="AQ47" s="290">
        <f t="shared" si="25"/>
        <v>0</v>
      </c>
      <c r="AR47" s="290">
        <f t="shared" si="26"/>
        <v>0</v>
      </c>
      <c r="AS47" s="290">
        <f t="shared" si="27"/>
        <v>0</v>
      </c>
      <c r="AT47" s="290">
        <f t="shared" si="28"/>
        <v>0</v>
      </c>
      <c r="AU47" s="291">
        <f t="shared" si="29"/>
        <v>0</v>
      </c>
      <c r="AV47" s="291">
        <f t="shared" si="46"/>
        <v>0</v>
      </c>
      <c r="AW47" s="292">
        <f t="shared" si="30"/>
        <v>0</v>
      </c>
      <c r="AX47" s="293">
        <f t="shared" si="31"/>
        <v>0</v>
      </c>
      <c r="BC47" s="276">
        <f>IF(BI47=1,IF(BC46=MiscData!$F$1,EOMONTH(BC46,-11),EOMONTH(BC46,1)),BC46)</f>
        <v>42063</v>
      </c>
      <c r="BD47" s="275" t="str">
        <f t="shared" si="40"/>
        <v>20140101LGCME551UM</v>
      </c>
      <c r="BE47" s="294" t="str">
        <f t="shared" si="41"/>
        <v>20140101GSS</v>
      </c>
      <c r="BF47">
        <f>MiscData!$X$5</f>
        <v>20140101</v>
      </c>
      <c r="BI47" s="265">
        <f>IF(BI46+1&gt;MiscData!$Z$42,1,BI46+1)</f>
        <v>6</v>
      </c>
      <c r="BJ47" s="265" t="str">
        <f>VLOOKUP(BI47,MiscData!$Z$5:$AB$46,2,FALSE)</f>
        <v>LGCME551UM</v>
      </c>
      <c r="BK47" s="265" t="str">
        <f>VLOOKUP(BI47,MiscData!$Z$5:$AB$46,3,FALSE)</f>
        <v>GSS</v>
      </c>
    </row>
    <row r="48" spans="1:63" hidden="1">
      <c r="A48" s="275">
        <v>41</v>
      </c>
      <c r="B48" s="276" t="str">
        <f t="shared" si="32"/>
        <v>Feb 2015</v>
      </c>
      <c r="C48" s="277" t="s">
        <v>892</v>
      </c>
      <c r="D48" s="277" t="str">
        <f t="shared" si="34"/>
        <v>LGCME552</v>
      </c>
      <c r="E48" s="278">
        <f t="shared" si="0"/>
        <v>0</v>
      </c>
      <c r="F48" s="279">
        <f>-E48</f>
        <v>0</v>
      </c>
      <c r="G48" s="278">
        <f t="shared" si="1"/>
        <v>0</v>
      </c>
      <c r="H48" s="278">
        <f t="shared" si="2"/>
        <v>0</v>
      </c>
      <c r="I48" s="278">
        <f t="shared" si="3"/>
        <v>0</v>
      </c>
      <c r="J48" s="278">
        <f t="shared" si="4"/>
        <v>0</v>
      </c>
      <c r="K48" s="280">
        <v>0</v>
      </c>
      <c r="L48" s="281">
        <f t="shared" si="5"/>
        <v>0</v>
      </c>
      <c r="M48" s="281">
        <f t="shared" si="6"/>
        <v>0</v>
      </c>
      <c r="N48" s="281">
        <f t="shared" si="7"/>
        <v>0</v>
      </c>
      <c r="O48" s="282">
        <v>0</v>
      </c>
      <c r="P48" s="282">
        <v>0</v>
      </c>
      <c r="Q48" s="282">
        <v>0</v>
      </c>
      <c r="R48" s="283">
        <f t="shared" si="8"/>
        <v>0</v>
      </c>
      <c r="S48" s="284">
        <f t="shared" si="45"/>
        <v>9.1340000000000005E-2</v>
      </c>
      <c r="T48" s="284">
        <f t="shared" si="10"/>
        <v>0</v>
      </c>
      <c r="U48" s="284">
        <f t="shared" si="11"/>
        <v>0</v>
      </c>
      <c r="V48" s="284">
        <f t="shared" si="12"/>
        <v>2.725E-2</v>
      </c>
      <c r="W48" s="283">
        <f t="shared" si="13"/>
        <v>0</v>
      </c>
      <c r="X48" s="283">
        <f t="shared" si="14"/>
        <v>0</v>
      </c>
      <c r="Y48" s="283">
        <f t="shared" si="15"/>
        <v>0</v>
      </c>
      <c r="Z48" s="285">
        <f t="shared" si="16"/>
        <v>0</v>
      </c>
      <c r="AA48" s="285">
        <f t="shared" si="17"/>
        <v>0</v>
      </c>
      <c r="AB48" s="285">
        <f t="shared" si="35"/>
        <v>0</v>
      </c>
      <c r="AC48" s="285">
        <f t="shared" si="36"/>
        <v>0</v>
      </c>
      <c r="AD48" s="285">
        <f t="shared" si="37"/>
        <v>0</v>
      </c>
      <c r="AE48" s="286">
        <v>0</v>
      </c>
      <c r="AF48" s="287">
        <f t="shared" si="18"/>
        <v>0</v>
      </c>
      <c r="AG48" s="288">
        <f t="shared" si="19"/>
        <v>0</v>
      </c>
      <c r="AH48" s="285">
        <f t="shared" si="20"/>
        <v>0</v>
      </c>
      <c r="AI48" s="286">
        <v>0</v>
      </c>
      <c r="AJ48" s="286">
        <v>0</v>
      </c>
      <c r="AK48" s="286">
        <v>0</v>
      </c>
      <c r="AL48" s="285">
        <f t="shared" si="21"/>
        <v>0</v>
      </c>
      <c r="AM48" s="285">
        <f t="shared" si="22"/>
        <v>0</v>
      </c>
      <c r="AN48" s="289">
        <f t="shared" si="38"/>
        <v>1</v>
      </c>
      <c r="AO48" s="290">
        <f t="shared" si="23"/>
        <v>0</v>
      </c>
      <c r="AP48" s="290">
        <f t="shared" si="24"/>
        <v>0</v>
      </c>
      <c r="AQ48" s="290">
        <f t="shared" si="25"/>
        <v>0</v>
      </c>
      <c r="AR48" s="290">
        <f t="shared" si="26"/>
        <v>0</v>
      </c>
      <c r="AS48" s="290">
        <f t="shared" si="27"/>
        <v>0</v>
      </c>
      <c r="AT48" s="290">
        <f t="shared" si="28"/>
        <v>0</v>
      </c>
      <c r="AU48" s="291">
        <f t="shared" si="29"/>
        <v>0</v>
      </c>
      <c r="AV48" s="291">
        <f t="shared" si="46"/>
        <v>0</v>
      </c>
      <c r="AW48" s="292">
        <f t="shared" si="30"/>
        <v>0</v>
      </c>
      <c r="AX48" s="293">
        <f t="shared" si="31"/>
        <v>0</v>
      </c>
      <c r="BC48" s="276">
        <f>IF(BI48=1,IF(BC47=MiscData!$F$1,EOMONTH(BC47,-11),EOMONTH(BC47,1)),BC47)</f>
        <v>42063</v>
      </c>
      <c r="BD48" s="275" t="str">
        <f t="shared" si="40"/>
        <v>20140101LGCME552</v>
      </c>
      <c r="BE48" s="294" t="str">
        <f t="shared" si="41"/>
        <v>20140101GSS</v>
      </c>
      <c r="BF48">
        <f>MiscData!$X$5</f>
        <v>20140101</v>
      </c>
      <c r="BI48" s="265">
        <f>IF(BI47+1&gt;MiscData!$Z$42,1,BI47+1)</f>
        <v>7</v>
      </c>
      <c r="BJ48" s="265" t="str">
        <f>VLOOKUP(BI48,MiscData!$Z$5:$AB$46,2,FALSE)</f>
        <v>LGCME552</v>
      </c>
      <c r="BK48" s="265" t="str">
        <f>VLOOKUP(BI48,MiscData!$Z$5:$AB$46,3,FALSE)</f>
        <v>GSS</v>
      </c>
    </row>
    <row r="49" spans="1:63" hidden="1">
      <c r="A49" s="275">
        <v>42</v>
      </c>
      <c r="B49" s="276" t="str">
        <f t="shared" si="32"/>
        <v>Feb 2015</v>
      </c>
      <c r="C49" s="277" t="s">
        <v>892</v>
      </c>
      <c r="D49" s="277" t="str">
        <f t="shared" si="34"/>
        <v>LGCME557</v>
      </c>
      <c r="E49" s="278">
        <f t="shared" si="0"/>
        <v>0</v>
      </c>
      <c r="F49" s="279">
        <v>0</v>
      </c>
      <c r="G49" s="278">
        <f t="shared" si="1"/>
        <v>0</v>
      </c>
      <c r="H49" s="278">
        <f t="shared" si="2"/>
        <v>0</v>
      </c>
      <c r="I49" s="278">
        <f t="shared" si="3"/>
        <v>0</v>
      </c>
      <c r="J49" s="278">
        <f t="shared" si="4"/>
        <v>0</v>
      </c>
      <c r="K49" s="280">
        <v>0</v>
      </c>
      <c r="L49" s="281">
        <f t="shared" si="5"/>
        <v>0</v>
      </c>
      <c r="M49" s="281">
        <f t="shared" si="6"/>
        <v>0</v>
      </c>
      <c r="N49" s="281">
        <f t="shared" si="7"/>
        <v>0</v>
      </c>
      <c r="O49" s="282">
        <v>0</v>
      </c>
      <c r="P49" s="282">
        <v>0</v>
      </c>
      <c r="Q49" s="282">
        <v>0</v>
      </c>
      <c r="R49" s="283">
        <f t="shared" si="8"/>
        <v>20</v>
      </c>
      <c r="S49" s="284">
        <f t="shared" si="45"/>
        <v>9.1340000000000005E-2</v>
      </c>
      <c r="T49" s="284">
        <f t="shared" si="10"/>
        <v>0</v>
      </c>
      <c r="U49" s="284">
        <f t="shared" si="11"/>
        <v>0</v>
      </c>
      <c r="V49" s="284">
        <f t="shared" si="12"/>
        <v>2.725E-2</v>
      </c>
      <c r="W49" s="283">
        <f t="shared" si="13"/>
        <v>0</v>
      </c>
      <c r="X49" s="283">
        <f t="shared" si="14"/>
        <v>0</v>
      </c>
      <c r="Y49" s="283">
        <f t="shared" si="15"/>
        <v>0</v>
      </c>
      <c r="Z49" s="285">
        <f t="shared" si="16"/>
        <v>0</v>
      </c>
      <c r="AA49" s="285">
        <f t="shared" si="17"/>
        <v>0</v>
      </c>
      <c r="AB49" s="285">
        <f t="shared" si="35"/>
        <v>0</v>
      </c>
      <c r="AC49" s="285">
        <f t="shared" si="36"/>
        <v>0</v>
      </c>
      <c r="AD49" s="285">
        <f t="shared" si="37"/>
        <v>0</v>
      </c>
      <c r="AE49" s="286">
        <v>0</v>
      </c>
      <c r="AF49" s="287">
        <f t="shared" si="18"/>
        <v>0</v>
      </c>
      <c r="AG49" s="288">
        <f t="shared" si="19"/>
        <v>0</v>
      </c>
      <c r="AH49" s="285">
        <f t="shared" si="20"/>
        <v>0</v>
      </c>
      <c r="AI49" s="286">
        <v>0</v>
      </c>
      <c r="AJ49" s="286">
        <v>0</v>
      </c>
      <c r="AK49" s="286">
        <v>0</v>
      </c>
      <c r="AL49" s="285">
        <f t="shared" si="21"/>
        <v>0</v>
      </c>
      <c r="AM49" s="285">
        <f t="shared" si="22"/>
        <v>0</v>
      </c>
      <c r="AN49" s="289">
        <f t="shared" si="38"/>
        <v>1</v>
      </c>
      <c r="AO49" s="290">
        <f t="shared" si="23"/>
        <v>0</v>
      </c>
      <c r="AP49" s="290">
        <f t="shared" si="24"/>
        <v>0</v>
      </c>
      <c r="AQ49" s="290">
        <f t="shared" si="25"/>
        <v>0</v>
      </c>
      <c r="AR49" s="290">
        <f t="shared" si="26"/>
        <v>0</v>
      </c>
      <c r="AS49" s="290">
        <f t="shared" si="27"/>
        <v>0</v>
      </c>
      <c r="AT49" s="290">
        <f t="shared" si="28"/>
        <v>0</v>
      </c>
      <c r="AU49" s="291">
        <f t="shared" si="29"/>
        <v>0</v>
      </c>
      <c r="AV49" s="291">
        <f t="shared" si="46"/>
        <v>0</v>
      </c>
      <c r="AW49" s="292">
        <f t="shared" si="30"/>
        <v>0</v>
      </c>
      <c r="AX49" s="293">
        <f t="shared" si="31"/>
        <v>0</v>
      </c>
      <c r="BC49" s="276">
        <f>IF(BI49=1,IF(BC48=MiscData!$F$1,EOMONTH(BC48,-11),EOMONTH(BC48,1)),BC48)</f>
        <v>42063</v>
      </c>
      <c r="BD49" s="275" t="str">
        <f t="shared" si="40"/>
        <v>20140101LGCME557</v>
      </c>
      <c r="BE49" s="294" t="str">
        <f t="shared" si="41"/>
        <v>20140101GSS</v>
      </c>
      <c r="BF49">
        <f>MiscData!$X$5</f>
        <v>20140101</v>
      </c>
      <c r="BI49" s="265">
        <f>IF(BI48+1&gt;MiscData!$Z$42,1,BI48+1)</f>
        <v>8</v>
      </c>
      <c r="BJ49" s="265" t="str">
        <f>VLOOKUP(BI49,MiscData!$Z$5:$AB$46,2,FALSE)</f>
        <v>LGCME557</v>
      </c>
      <c r="BK49" s="265" t="str">
        <f>VLOOKUP(BI49,MiscData!$Z$5:$AB$46,3,FALSE)</f>
        <v>GSS</v>
      </c>
    </row>
    <row r="50" spans="1:63" hidden="1">
      <c r="A50" s="275">
        <v>43</v>
      </c>
      <c r="B50" s="276" t="str">
        <f t="shared" si="32"/>
        <v>Feb 2015</v>
      </c>
      <c r="C50" s="277" t="str">
        <f t="shared" si="33"/>
        <v>PSS</v>
      </c>
      <c r="D50" s="277" t="str">
        <f t="shared" si="34"/>
        <v>LGCME561</v>
      </c>
      <c r="E50" s="278">
        <f t="shared" si="0"/>
        <v>2579</v>
      </c>
      <c r="F50" s="279">
        <v>0</v>
      </c>
      <c r="G50" s="278">
        <f t="shared" si="1"/>
        <v>0</v>
      </c>
      <c r="H50" s="278">
        <f t="shared" si="2"/>
        <v>0</v>
      </c>
      <c r="I50" s="278">
        <f t="shared" si="3"/>
        <v>0</v>
      </c>
      <c r="J50" s="278">
        <f t="shared" si="4"/>
        <v>136097089</v>
      </c>
      <c r="K50" s="280">
        <v>0</v>
      </c>
      <c r="L50" s="281">
        <f t="shared" si="5"/>
        <v>0</v>
      </c>
      <c r="M50" s="281">
        <f t="shared" si="6"/>
        <v>337872.83</v>
      </c>
      <c r="N50" s="281">
        <f t="shared" si="7"/>
        <v>0</v>
      </c>
      <c r="O50" s="282">
        <v>0</v>
      </c>
      <c r="P50" s="282">
        <v>0</v>
      </c>
      <c r="Q50" s="282">
        <v>0</v>
      </c>
      <c r="R50" s="283">
        <f t="shared" si="8"/>
        <v>90</v>
      </c>
      <c r="S50" s="284">
        <f t="shared" si="45"/>
        <v>4.0599999999999997E-2</v>
      </c>
      <c r="T50" s="284">
        <f t="shared" si="10"/>
        <v>0</v>
      </c>
      <c r="U50" s="284">
        <f t="shared" si="11"/>
        <v>0</v>
      </c>
      <c r="V50" s="284">
        <f t="shared" si="12"/>
        <v>2.725E-2</v>
      </c>
      <c r="W50" s="283">
        <f t="shared" si="13"/>
        <v>0</v>
      </c>
      <c r="X50" s="283">
        <f t="shared" si="14"/>
        <v>14.010000000000002</v>
      </c>
      <c r="Y50" s="283">
        <f t="shared" si="15"/>
        <v>16.399999999999999</v>
      </c>
      <c r="Z50" s="285">
        <f t="shared" si="16"/>
        <v>232110</v>
      </c>
      <c r="AA50" s="285">
        <f t="shared" si="17"/>
        <v>5525541.8099999996</v>
      </c>
      <c r="AB50" s="285">
        <f t="shared" si="35"/>
        <v>0</v>
      </c>
      <c r="AC50" s="285">
        <f t="shared" si="36"/>
        <v>4733598.3499999996</v>
      </c>
      <c r="AD50" s="285">
        <f t="shared" si="37"/>
        <v>0</v>
      </c>
      <c r="AE50" s="286">
        <v>0</v>
      </c>
      <c r="AF50" s="287">
        <f t="shared" si="18"/>
        <v>0</v>
      </c>
      <c r="AG50" s="288">
        <f t="shared" si="19"/>
        <v>0</v>
      </c>
      <c r="AH50" s="285">
        <f t="shared" si="20"/>
        <v>4733598.3499999996</v>
      </c>
      <c r="AI50" s="286">
        <v>0</v>
      </c>
      <c r="AJ50" s="286">
        <v>0</v>
      </c>
      <c r="AK50" s="286">
        <v>0</v>
      </c>
      <c r="AL50" s="285">
        <f t="shared" si="21"/>
        <v>10491250.16</v>
      </c>
      <c r="AM50" s="285">
        <f t="shared" si="22"/>
        <v>10491251</v>
      </c>
      <c r="AN50" s="289">
        <f t="shared" si="38"/>
        <v>1</v>
      </c>
      <c r="AO50" s="290">
        <f t="shared" si="23"/>
        <v>-266378</v>
      </c>
      <c r="AP50" s="290">
        <f t="shared" si="24"/>
        <v>215902</v>
      </c>
      <c r="AQ50" s="290">
        <f t="shared" si="25"/>
        <v>729470</v>
      </c>
      <c r="AR50" s="290">
        <f t="shared" si="26"/>
        <v>0</v>
      </c>
      <c r="AS50" s="290">
        <f t="shared" si="27"/>
        <v>0</v>
      </c>
      <c r="AT50" s="290">
        <f t="shared" si="28"/>
        <v>11170245</v>
      </c>
      <c r="AU50" s="291">
        <f t="shared" si="29"/>
        <v>11170244.16</v>
      </c>
      <c r="AV50" s="291">
        <f t="shared" si="46"/>
        <v>0.83999999985098839</v>
      </c>
      <c r="AW50" s="292">
        <f t="shared" si="30"/>
        <v>3708645.68</v>
      </c>
      <c r="AX50" s="293">
        <f t="shared" si="31"/>
        <v>1816896.1299999994</v>
      </c>
      <c r="BC50" s="276">
        <f>IF(BI50=1,IF(BC49=MiscData!$F$1,EOMONTH(BC49,-11),EOMONTH(BC49,1)),BC49)</f>
        <v>42063</v>
      </c>
      <c r="BD50" s="275" t="str">
        <f t="shared" si="40"/>
        <v>20140101LGCME561</v>
      </c>
      <c r="BE50" s="294" t="str">
        <f t="shared" si="41"/>
        <v>20140101PSS</v>
      </c>
      <c r="BF50">
        <f>MiscData!$X$5</f>
        <v>20140101</v>
      </c>
      <c r="BI50" s="265">
        <f>IF(BI49+1&gt;MiscData!$Z$42,1,BI49+1)</f>
        <v>9</v>
      </c>
      <c r="BJ50" s="265" t="str">
        <f>VLOOKUP(BI50,MiscData!$Z$5:$AB$46,2,FALSE)</f>
        <v>LGCME561</v>
      </c>
      <c r="BK50" s="265" t="str">
        <f>VLOOKUP(BI50,MiscData!$Z$5:$AB$46,3,FALSE)</f>
        <v>PSS</v>
      </c>
    </row>
    <row r="51" spans="1:63" hidden="1">
      <c r="A51" s="275">
        <v>44</v>
      </c>
      <c r="B51" s="276" t="str">
        <f t="shared" si="32"/>
        <v>Feb 2015</v>
      </c>
      <c r="C51" s="277" t="str">
        <f t="shared" si="33"/>
        <v>PSP</v>
      </c>
      <c r="D51" s="277" t="str">
        <f t="shared" si="34"/>
        <v>LGCME563</v>
      </c>
      <c r="E51" s="278">
        <f t="shared" si="0"/>
        <v>52</v>
      </c>
      <c r="F51" s="279">
        <v>0</v>
      </c>
      <c r="G51" s="278">
        <f t="shared" si="1"/>
        <v>0</v>
      </c>
      <c r="H51" s="278">
        <f t="shared" si="2"/>
        <v>0</v>
      </c>
      <c r="I51" s="278">
        <f t="shared" si="3"/>
        <v>0</v>
      </c>
      <c r="J51" s="278">
        <f t="shared" si="4"/>
        <v>10884472</v>
      </c>
      <c r="K51" s="280">
        <v>0</v>
      </c>
      <c r="L51" s="281">
        <f t="shared" si="5"/>
        <v>0</v>
      </c>
      <c r="M51" s="281">
        <f t="shared" si="6"/>
        <v>26512.74</v>
      </c>
      <c r="N51" s="281">
        <f t="shared" si="7"/>
        <v>0</v>
      </c>
      <c r="O51" s="282">
        <v>0</v>
      </c>
      <c r="P51" s="282">
        <v>0</v>
      </c>
      <c r="Q51" s="282">
        <v>0</v>
      </c>
      <c r="R51" s="283">
        <f t="shared" si="8"/>
        <v>170</v>
      </c>
      <c r="S51" s="284">
        <f t="shared" si="45"/>
        <v>3.9260000000000003E-2</v>
      </c>
      <c r="T51" s="284">
        <f t="shared" si="10"/>
        <v>0</v>
      </c>
      <c r="U51" s="284">
        <f t="shared" si="11"/>
        <v>0</v>
      </c>
      <c r="V51" s="284">
        <f t="shared" si="12"/>
        <v>2.725E-2</v>
      </c>
      <c r="W51" s="283">
        <f t="shared" si="13"/>
        <v>0</v>
      </c>
      <c r="X51" s="283">
        <f t="shared" si="14"/>
        <v>11.660000000000002</v>
      </c>
      <c r="Y51" s="283">
        <f t="shared" si="15"/>
        <v>13.950000000000001</v>
      </c>
      <c r="Z51" s="285">
        <f t="shared" si="16"/>
        <v>8840</v>
      </c>
      <c r="AA51" s="285">
        <f t="shared" si="17"/>
        <v>427324.37</v>
      </c>
      <c r="AB51" s="285">
        <f t="shared" si="35"/>
        <v>0</v>
      </c>
      <c r="AC51" s="285">
        <f t="shared" si="36"/>
        <v>309138.55</v>
      </c>
      <c r="AD51" s="285">
        <f t="shared" si="37"/>
        <v>0</v>
      </c>
      <c r="AE51" s="286">
        <v>0</v>
      </c>
      <c r="AF51" s="287">
        <f t="shared" si="18"/>
        <v>0</v>
      </c>
      <c r="AG51" s="288">
        <f t="shared" si="19"/>
        <v>0</v>
      </c>
      <c r="AH51" s="285">
        <f t="shared" si="20"/>
        <v>309138.55</v>
      </c>
      <c r="AI51" s="286">
        <v>0</v>
      </c>
      <c r="AJ51" s="286">
        <v>0</v>
      </c>
      <c r="AK51" s="286">
        <v>0</v>
      </c>
      <c r="AL51" s="285">
        <f t="shared" si="21"/>
        <v>745302.91999999993</v>
      </c>
      <c r="AM51" s="285">
        <f t="shared" si="22"/>
        <v>745303</v>
      </c>
      <c r="AN51" s="289">
        <f t="shared" si="38"/>
        <v>1</v>
      </c>
      <c r="AO51" s="290">
        <f t="shared" si="23"/>
        <v>-21304</v>
      </c>
      <c r="AP51" s="290">
        <f t="shared" si="24"/>
        <v>17267</v>
      </c>
      <c r="AQ51" s="290">
        <f t="shared" si="25"/>
        <v>58340</v>
      </c>
      <c r="AR51" s="290">
        <f t="shared" si="26"/>
        <v>0</v>
      </c>
      <c r="AS51" s="290">
        <f t="shared" si="27"/>
        <v>0</v>
      </c>
      <c r="AT51" s="290">
        <f t="shared" si="28"/>
        <v>799606</v>
      </c>
      <c r="AU51" s="291">
        <f t="shared" si="29"/>
        <v>799605.91999999993</v>
      </c>
      <c r="AV51" s="291">
        <f t="shared" si="46"/>
        <v>8.0000000074505806E-2</v>
      </c>
      <c r="AW51" s="292">
        <f t="shared" si="30"/>
        <v>296601.86</v>
      </c>
      <c r="AX51" s="293">
        <f t="shared" si="31"/>
        <v>130722.51000000001</v>
      </c>
      <c r="BC51" s="276">
        <f>IF(BI51=1,IF(BC50=MiscData!$F$1,EOMONTH(BC50,-11),EOMONTH(BC50,1)),BC50)</f>
        <v>42063</v>
      </c>
      <c r="BD51" s="275" t="str">
        <f t="shared" si="40"/>
        <v>20140101LGCME563</v>
      </c>
      <c r="BE51" s="294" t="str">
        <f t="shared" si="41"/>
        <v>20140101PSP</v>
      </c>
      <c r="BF51">
        <f>MiscData!$X$5</f>
        <v>20140101</v>
      </c>
      <c r="BI51" s="265">
        <f>IF(BI50+1&gt;MiscData!$Z$42,1,BI50+1)</f>
        <v>10</v>
      </c>
      <c r="BJ51" s="265" t="str">
        <f>VLOOKUP(BI51,MiscData!$Z$5:$AB$46,2,FALSE)</f>
        <v>LGCME563</v>
      </c>
      <c r="BK51" s="265" t="str">
        <f>VLOOKUP(BI51,MiscData!$Z$5:$AB$46,3,FALSE)</f>
        <v>PSP</v>
      </c>
    </row>
    <row r="52" spans="1:63" hidden="1">
      <c r="A52" s="275">
        <v>45</v>
      </c>
      <c r="B52" s="276" t="str">
        <f t="shared" si="32"/>
        <v>Feb 2015</v>
      </c>
      <c r="C52" s="277" t="str">
        <f t="shared" si="33"/>
        <v>PSS</v>
      </c>
      <c r="D52" s="277" t="str">
        <f t="shared" si="34"/>
        <v>LGCME567</v>
      </c>
      <c r="E52" s="278">
        <f t="shared" si="0"/>
        <v>0</v>
      </c>
      <c r="F52" s="279">
        <v>0</v>
      </c>
      <c r="G52" s="278">
        <f t="shared" si="1"/>
        <v>0</v>
      </c>
      <c r="H52" s="278">
        <f t="shared" si="2"/>
        <v>0</v>
      </c>
      <c r="I52" s="278">
        <f t="shared" si="3"/>
        <v>0</v>
      </c>
      <c r="J52" s="278">
        <f t="shared" si="4"/>
        <v>0</v>
      </c>
      <c r="K52" s="280">
        <v>0</v>
      </c>
      <c r="L52" s="281">
        <f t="shared" si="5"/>
        <v>0</v>
      </c>
      <c r="M52" s="281">
        <f t="shared" si="6"/>
        <v>0</v>
      </c>
      <c r="N52" s="281">
        <f t="shared" si="7"/>
        <v>0</v>
      </c>
      <c r="O52" s="282">
        <v>0</v>
      </c>
      <c r="P52" s="282">
        <v>0</v>
      </c>
      <c r="Q52" s="282">
        <v>0</v>
      </c>
      <c r="R52" s="283">
        <f t="shared" si="8"/>
        <v>90</v>
      </c>
      <c r="S52" s="284">
        <f t="shared" si="45"/>
        <v>4.0599999999999997E-2</v>
      </c>
      <c r="T52" s="284">
        <f t="shared" si="10"/>
        <v>0</v>
      </c>
      <c r="U52" s="284">
        <f t="shared" si="11"/>
        <v>0</v>
      </c>
      <c r="V52" s="284">
        <f t="shared" si="12"/>
        <v>2.725E-2</v>
      </c>
      <c r="W52" s="283">
        <f t="shared" si="13"/>
        <v>0</v>
      </c>
      <c r="X52" s="283">
        <f t="shared" si="14"/>
        <v>14.010000000000002</v>
      </c>
      <c r="Y52" s="283">
        <f t="shared" si="15"/>
        <v>16.399999999999999</v>
      </c>
      <c r="Z52" s="285">
        <f t="shared" si="16"/>
        <v>0</v>
      </c>
      <c r="AA52" s="285">
        <f t="shared" si="17"/>
        <v>0</v>
      </c>
      <c r="AB52" s="285">
        <f t="shared" si="35"/>
        <v>0</v>
      </c>
      <c r="AC52" s="285">
        <f t="shared" si="36"/>
        <v>0</v>
      </c>
      <c r="AD52" s="285">
        <f t="shared" si="37"/>
        <v>0</v>
      </c>
      <c r="AE52" s="286">
        <v>0</v>
      </c>
      <c r="AF52" s="287">
        <f t="shared" si="18"/>
        <v>0</v>
      </c>
      <c r="AG52" s="288">
        <f t="shared" si="19"/>
        <v>0</v>
      </c>
      <c r="AH52" s="285">
        <f t="shared" si="20"/>
        <v>0</v>
      </c>
      <c r="AI52" s="286">
        <v>0</v>
      </c>
      <c r="AJ52" s="286">
        <v>0</v>
      </c>
      <c r="AK52" s="286">
        <v>0</v>
      </c>
      <c r="AL52" s="285">
        <f t="shared" si="21"/>
        <v>0</v>
      </c>
      <c r="AM52" s="285">
        <f t="shared" si="22"/>
        <v>0</v>
      </c>
      <c r="AN52" s="289">
        <f t="shared" si="38"/>
        <v>1</v>
      </c>
      <c r="AO52" s="290">
        <f t="shared" si="23"/>
        <v>0</v>
      </c>
      <c r="AP52" s="290">
        <f t="shared" si="24"/>
        <v>0</v>
      </c>
      <c r="AQ52" s="290">
        <f t="shared" si="25"/>
        <v>0</v>
      </c>
      <c r="AR52" s="290">
        <f t="shared" si="26"/>
        <v>0</v>
      </c>
      <c r="AS52" s="290">
        <f t="shared" si="27"/>
        <v>0</v>
      </c>
      <c r="AT52" s="290">
        <f t="shared" si="28"/>
        <v>0</v>
      </c>
      <c r="AU52" s="291">
        <f t="shared" si="29"/>
        <v>0</v>
      </c>
      <c r="AV52" s="291">
        <f t="shared" si="46"/>
        <v>0</v>
      </c>
      <c r="AW52" s="292">
        <f t="shared" si="30"/>
        <v>0</v>
      </c>
      <c r="AX52" s="293">
        <f t="shared" si="31"/>
        <v>0</v>
      </c>
      <c r="BC52" s="276">
        <f>IF(BI52=1,IF(BC51=MiscData!$F$1,EOMONTH(BC51,-11),EOMONTH(BC51,1)),BC51)</f>
        <v>42063</v>
      </c>
      <c r="BD52" s="275" t="str">
        <f t="shared" si="40"/>
        <v>20140101LGCME567</v>
      </c>
      <c r="BE52" s="294" t="str">
        <f t="shared" si="41"/>
        <v>20140101PSS</v>
      </c>
      <c r="BF52">
        <f>MiscData!$X$5</f>
        <v>20140101</v>
      </c>
      <c r="BI52" s="265">
        <f>IF(BI51+1&gt;MiscData!$Z$42,1,BI51+1)</f>
        <v>11</v>
      </c>
      <c r="BJ52" s="265" t="str">
        <f>VLOOKUP(BI52,MiscData!$Z$5:$AB$46,2,FALSE)</f>
        <v>LGCME567</v>
      </c>
      <c r="BK52" s="265" t="str">
        <f>VLOOKUP(BI52,MiscData!$Z$5:$AB$46,3,FALSE)</f>
        <v>PSS</v>
      </c>
    </row>
    <row r="53" spans="1:63" hidden="1">
      <c r="A53" s="275">
        <v>46</v>
      </c>
      <c r="B53" s="276" t="str">
        <f t="shared" si="32"/>
        <v>Feb 2015</v>
      </c>
      <c r="C53" s="277" t="str">
        <f t="shared" si="33"/>
        <v>TODS</v>
      </c>
      <c r="D53" s="277" t="str">
        <f t="shared" si="34"/>
        <v>LGCME591</v>
      </c>
      <c r="E53" s="278">
        <f t="shared" si="0"/>
        <v>211</v>
      </c>
      <c r="F53" s="279">
        <v>0</v>
      </c>
      <c r="G53" s="278">
        <f t="shared" si="1"/>
        <v>0</v>
      </c>
      <c r="H53" s="278">
        <f t="shared" si="2"/>
        <v>0</v>
      </c>
      <c r="I53" s="278">
        <f t="shared" si="3"/>
        <v>0</v>
      </c>
      <c r="J53" s="278">
        <f t="shared" si="4"/>
        <v>59375199</v>
      </c>
      <c r="K53" s="280">
        <v>0</v>
      </c>
      <c r="L53" s="281">
        <f t="shared" si="5"/>
        <v>135768.23000000001</v>
      </c>
      <c r="M53" s="281">
        <f t="shared" si="6"/>
        <v>124709.57</v>
      </c>
      <c r="N53" s="281">
        <f t="shared" si="7"/>
        <v>122141.63</v>
      </c>
      <c r="O53" s="282">
        <v>0</v>
      </c>
      <c r="P53" s="282">
        <v>0</v>
      </c>
      <c r="Q53" s="282">
        <v>0</v>
      </c>
      <c r="R53" s="283">
        <f t="shared" si="8"/>
        <v>200</v>
      </c>
      <c r="S53" s="284">
        <f t="shared" si="45"/>
        <v>3.9899999999999998E-2</v>
      </c>
      <c r="T53" s="284">
        <f t="shared" si="10"/>
        <v>0</v>
      </c>
      <c r="U53" s="284">
        <f t="shared" si="11"/>
        <v>0</v>
      </c>
      <c r="V53" s="284">
        <f t="shared" si="12"/>
        <v>2.725E-2</v>
      </c>
      <c r="W53" s="283">
        <f t="shared" si="13"/>
        <v>4</v>
      </c>
      <c r="X53" s="283">
        <f t="shared" si="14"/>
        <v>4.5100000000000007</v>
      </c>
      <c r="Y53" s="283">
        <f t="shared" si="15"/>
        <v>6.11</v>
      </c>
      <c r="Z53" s="285">
        <f t="shared" si="16"/>
        <v>42200</v>
      </c>
      <c r="AA53" s="285">
        <f t="shared" si="17"/>
        <v>2369070.44</v>
      </c>
      <c r="AB53" s="285">
        <f t="shared" si="35"/>
        <v>543072.92000000004</v>
      </c>
      <c r="AC53" s="285">
        <f t="shared" si="36"/>
        <v>562440.16</v>
      </c>
      <c r="AD53" s="285">
        <f t="shared" si="37"/>
        <v>746285.36</v>
      </c>
      <c r="AE53" s="286">
        <v>0</v>
      </c>
      <c r="AF53" s="287">
        <f t="shared" si="18"/>
        <v>0</v>
      </c>
      <c r="AG53" s="288">
        <f t="shared" si="19"/>
        <v>0</v>
      </c>
      <c r="AH53" s="285">
        <f t="shared" si="20"/>
        <v>1851798.44</v>
      </c>
      <c r="AI53" s="286">
        <v>0</v>
      </c>
      <c r="AJ53" s="286">
        <v>0</v>
      </c>
      <c r="AK53" s="286">
        <v>0</v>
      </c>
      <c r="AL53" s="285">
        <f t="shared" si="21"/>
        <v>4263068.88</v>
      </c>
      <c r="AM53" s="285">
        <f t="shared" si="22"/>
        <v>4263068</v>
      </c>
      <c r="AN53" s="289">
        <f t="shared" si="38"/>
        <v>1</v>
      </c>
      <c r="AO53" s="290">
        <f t="shared" si="23"/>
        <v>-116213</v>
      </c>
      <c r="AP53" s="290">
        <f t="shared" si="24"/>
        <v>94192</v>
      </c>
      <c r="AQ53" s="290">
        <f t="shared" si="25"/>
        <v>318247</v>
      </c>
      <c r="AR53" s="290">
        <f t="shared" si="26"/>
        <v>0</v>
      </c>
      <c r="AS53" s="290">
        <f t="shared" si="27"/>
        <v>0</v>
      </c>
      <c r="AT53" s="290">
        <f t="shared" si="28"/>
        <v>4559294</v>
      </c>
      <c r="AU53" s="291">
        <f t="shared" si="29"/>
        <v>4559294.88</v>
      </c>
      <c r="AV53" s="291">
        <f t="shared" si="46"/>
        <v>-0.87999999988824129</v>
      </c>
      <c r="AW53" s="292">
        <f t="shared" si="30"/>
        <v>1617974.17</v>
      </c>
      <c r="AX53" s="293">
        <f t="shared" si="31"/>
        <v>751096.27</v>
      </c>
      <c r="BC53" s="276">
        <f>IF(BI53=1,IF(BC52=MiscData!$F$1,EOMONTH(BC52,-11),EOMONTH(BC52,1)),BC52)</f>
        <v>42063</v>
      </c>
      <c r="BD53" s="275" t="str">
        <f t="shared" si="40"/>
        <v>20140101LGCME591</v>
      </c>
      <c r="BE53" s="294" t="str">
        <f t="shared" si="41"/>
        <v>20140101TODS</v>
      </c>
      <c r="BF53">
        <f>MiscData!$X$5</f>
        <v>20140101</v>
      </c>
      <c r="BI53" s="265">
        <f>IF(BI52+1&gt;MiscData!$Z$42,1,BI52+1)</f>
        <v>12</v>
      </c>
      <c r="BJ53" s="265" t="str">
        <f>VLOOKUP(BI53,MiscData!$Z$5:$AB$46,2,FALSE)</f>
        <v>LGCME591</v>
      </c>
      <c r="BK53" s="265" t="str">
        <f>VLOOKUP(BI53,MiscData!$Z$5:$AB$46,3,FALSE)</f>
        <v>TODS</v>
      </c>
    </row>
    <row r="54" spans="1:63" hidden="1">
      <c r="A54" s="275">
        <v>47</v>
      </c>
      <c r="B54" s="276" t="str">
        <f t="shared" si="32"/>
        <v>Feb 2015</v>
      </c>
      <c r="C54" s="277" t="str">
        <f t="shared" si="33"/>
        <v>CTODP</v>
      </c>
      <c r="D54" s="277" t="str">
        <f t="shared" si="34"/>
        <v>LGCME593</v>
      </c>
      <c r="E54" s="278">
        <f t="shared" si="0"/>
        <v>36</v>
      </c>
      <c r="F54" s="279">
        <v>0</v>
      </c>
      <c r="G54" s="278">
        <f t="shared" si="1"/>
        <v>0</v>
      </c>
      <c r="H54" s="278">
        <f t="shared" si="2"/>
        <v>0</v>
      </c>
      <c r="I54" s="278">
        <f t="shared" si="3"/>
        <v>0</v>
      </c>
      <c r="J54" s="278">
        <f t="shared" si="4"/>
        <v>27470272</v>
      </c>
      <c r="K54" s="280">
        <v>0</v>
      </c>
      <c r="L54" s="281">
        <f t="shared" si="5"/>
        <v>65785.25</v>
      </c>
      <c r="M54" s="281">
        <f t="shared" si="6"/>
        <v>57131.37</v>
      </c>
      <c r="N54" s="281">
        <f t="shared" si="7"/>
        <v>55738.06</v>
      </c>
      <c r="O54" s="282">
        <v>0</v>
      </c>
      <c r="P54" s="282">
        <v>0</v>
      </c>
      <c r="Q54" s="282">
        <v>0</v>
      </c>
      <c r="R54" s="283">
        <f t="shared" si="8"/>
        <v>300</v>
      </c>
      <c r="S54" s="284">
        <f t="shared" si="45"/>
        <v>3.8100000000000002E-2</v>
      </c>
      <c r="T54" s="284">
        <f t="shared" si="10"/>
        <v>0</v>
      </c>
      <c r="U54" s="284">
        <f t="shared" si="11"/>
        <v>0</v>
      </c>
      <c r="V54" s="284">
        <f t="shared" si="12"/>
        <v>2.725E-2</v>
      </c>
      <c r="W54" s="283">
        <f t="shared" si="13"/>
        <v>3.9800000000000004</v>
      </c>
      <c r="X54" s="283">
        <f t="shared" si="14"/>
        <v>4.13</v>
      </c>
      <c r="Y54" s="283">
        <f t="shared" si="15"/>
        <v>5.83</v>
      </c>
      <c r="Z54" s="285">
        <f t="shared" si="16"/>
        <v>10800</v>
      </c>
      <c r="AA54" s="285">
        <f t="shared" si="17"/>
        <v>1046617.36</v>
      </c>
      <c r="AB54" s="285">
        <f t="shared" si="35"/>
        <v>261825.3</v>
      </c>
      <c r="AC54" s="285">
        <f t="shared" si="36"/>
        <v>235952.56</v>
      </c>
      <c r="AD54" s="285">
        <f t="shared" si="37"/>
        <v>324952.89</v>
      </c>
      <c r="AE54" s="286">
        <v>0</v>
      </c>
      <c r="AF54" s="287">
        <f t="shared" si="18"/>
        <v>0</v>
      </c>
      <c r="AG54" s="288">
        <f t="shared" si="19"/>
        <v>0</v>
      </c>
      <c r="AH54" s="285">
        <f t="shared" si="20"/>
        <v>822730.75</v>
      </c>
      <c r="AI54" s="286">
        <v>0</v>
      </c>
      <c r="AJ54" s="286">
        <v>0</v>
      </c>
      <c r="AK54" s="286">
        <v>0</v>
      </c>
      <c r="AL54" s="285">
        <f t="shared" si="21"/>
        <v>1880148.1099999999</v>
      </c>
      <c r="AM54" s="285">
        <f t="shared" si="22"/>
        <v>1880149</v>
      </c>
      <c r="AN54" s="289">
        <f t="shared" si="38"/>
        <v>1</v>
      </c>
      <c r="AO54" s="290">
        <f t="shared" si="23"/>
        <v>-53767</v>
      </c>
      <c r="AP54" s="290">
        <f t="shared" si="24"/>
        <v>43578</v>
      </c>
      <c r="AQ54" s="290">
        <f t="shared" si="25"/>
        <v>147239</v>
      </c>
      <c r="AR54" s="290">
        <f t="shared" si="26"/>
        <v>0</v>
      </c>
      <c r="AS54" s="290">
        <f t="shared" si="27"/>
        <v>0</v>
      </c>
      <c r="AT54" s="290">
        <f t="shared" si="28"/>
        <v>2017199</v>
      </c>
      <c r="AU54" s="291">
        <f t="shared" si="29"/>
        <v>2017198.1099999999</v>
      </c>
      <c r="AV54" s="291">
        <f t="shared" si="46"/>
        <v>0.89000000013038516</v>
      </c>
      <c r="AW54" s="292">
        <f t="shared" si="30"/>
        <v>748564.91</v>
      </c>
      <c r="AX54" s="293">
        <f t="shared" si="31"/>
        <v>298052.44999999995</v>
      </c>
      <c r="BC54" s="276">
        <f>IF(BI54=1,IF(BC53=MiscData!$F$1,EOMONTH(BC53,-11),EOMONTH(BC53,1)),BC53)</f>
        <v>42063</v>
      </c>
      <c r="BD54" s="275" t="str">
        <f t="shared" si="40"/>
        <v>20140101LGCME593</v>
      </c>
      <c r="BE54" s="294" t="str">
        <f t="shared" si="41"/>
        <v>20140101CTODP</v>
      </c>
      <c r="BF54">
        <f>MiscData!$X$5</f>
        <v>20140101</v>
      </c>
      <c r="BI54" s="265">
        <f>IF(BI53+1&gt;MiscData!$Z$42,1,BI53+1)</f>
        <v>13</v>
      </c>
      <c r="BJ54" s="265" t="str">
        <f>VLOOKUP(BI54,MiscData!$Z$5:$AB$46,2,FALSE)</f>
        <v>LGCME593</v>
      </c>
      <c r="BK54" s="265" t="str">
        <f>VLOOKUP(BI54,MiscData!$Z$5:$AB$46,3,FALSE)</f>
        <v>CTODP</v>
      </c>
    </row>
    <row r="55" spans="1:63" hidden="1">
      <c r="A55" s="275">
        <v>48</v>
      </c>
      <c r="B55" s="276" t="str">
        <f t="shared" si="32"/>
        <v>Feb 2015</v>
      </c>
      <c r="C55" s="277" t="str">
        <f t="shared" si="33"/>
        <v>GS3</v>
      </c>
      <c r="D55" s="277" t="str">
        <f t="shared" si="34"/>
        <v>LGCME650</v>
      </c>
      <c r="E55" s="278">
        <f t="shared" si="0"/>
        <v>0</v>
      </c>
      <c r="F55" s="279">
        <v>0</v>
      </c>
      <c r="G55" s="278">
        <f t="shared" si="1"/>
        <v>0</v>
      </c>
      <c r="H55" s="278">
        <f t="shared" si="2"/>
        <v>0</v>
      </c>
      <c r="I55" s="278">
        <f t="shared" si="3"/>
        <v>0</v>
      </c>
      <c r="J55" s="278">
        <f t="shared" si="4"/>
        <v>0</v>
      </c>
      <c r="K55" s="280">
        <v>0</v>
      </c>
      <c r="L55" s="281">
        <f t="shared" si="5"/>
        <v>0</v>
      </c>
      <c r="M55" s="281">
        <f t="shared" si="6"/>
        <v>0</v>
      </c>
      <c r="N55" s="281">
        <f t="shared" si="7"/>
        <v>0</v>
      </c>
      <c r="O55" s="282">
        <v>0</v>
      </c>
      <c r="P55" s="282">
        <v>0</v>
      </c>
      <c r="Q55" s="282">
        <v>0</v>
      </c>
      <c r="R55" s="283">
        <f t="shared" si="8"/>
        <v>35</v>
      </c>
      <c r="S55" s="284">
        <f t="shared" si="45"/>
        <v>9.1340000000000005E-2</v>
      </c>
      <c r="T55" s="284">
        <f t="shared" si="10"/>
        <v>0</v>
      </c>
      <c r="U55" s="284">
        <f t="shared" si="11"/>
        <v>0</v>
      </c>
      <c r="V55" s="284">
        <f t="shared" si="12"/>
        <v>2.725E-2</v>
      </c>
      <c r="W55" s="283">
        <f t="shared" si="13"/>
        <v>0</v>
      </c>
      <c r="X55" s="283">
        <f t="shared" si="14"/>
        <v>0</v>
      </c>
      <c r="Y55" s="283">
        <f t="shared" si="15"/>
        <v>0</v>
      </c>
      <c r="Z55" s="285">
        <f t="shared" si="16"/>
        <v>0</v>
      </c>
      <c r="AA55" s="285">
        <f t="shared" si="17"/>
        <v>0</v>
      </c>
      <c r="AB55" s="285">
        <f t="shared" si="35"/>
        <v>0</v>
      </c>
      <c r="AC55" s="285">
        <f t="shared" si="36"/>
        <v>0</v>
      </c>
      <c r="AD55" s="285">
        <f t="shared" si="37"/>
        <v>0</v>
      </c>
      <c r="AE55" s="286">
        <v>0</v>
      </c>
      <c r="AF55" s="287">
        <f t="shared" si="18"/>
        <v>0</v>
      </c>
      <c r="AG55" s="288">
        <f t="shared" si="19"/>
        <v>0</v>
      </c>
      <c r="AH55" s="285">
        <f t="shared" si="20"/>
        <v>0</v>
      </c>
      <c r="AI55" s="286">
        <v>0</v>
      </c>
      <c r="AJ55" s="286">
        <v>0</v>
      </c>
      <c r="AK55" s="286">
        <v>0</v>
      </c>
      <c r="AL55" s="285">
        <f t="shared" si="21"/>
        <v>0</v>
      </c>
      <c r="AM55" s="285">
        <f t="shared" si="22"/>
        <v>0</v>
      </c>
      <c r="AN55" s="289">
        <f t="shared" si="38"/>
        <v>1</v>
      </c>
      <c r="AO55" s="290">
        <f t="shared" si="23"/>
        <v>0</v>
      </c>
      <c r="AP55" s="290">
        <f t="shared" si="24"/>
        <v>0</v>
      </c>
      <c r="AQ55" s="290">
        <f t="shared" si="25"/>
        <v>0</v>
      </c>
      <c r="AR55" s="290">
        <f t="shared" si="26"/>
        <v>0</v>
      </c>
      <c r="AS55" s="290">
        <f t="shared" si="27"/>
        <v>0</v>
      </c>
      <c r="AT55" s="290">
        <f t="shared" si="28"/>
        <v>0</v>
      </c>
      <c r="AU55" s="291">
        <f t="shared" si="29"/>
        <v>0</v>
      </c>
      <c r="AV55" s="291">
        <f t="shared" ref="AV55:AV59" si="47">ROUND(AT55-AU55,2)</f>
        <v>0</v>
      </c>
      <c r="AW55" s="292">
        <f t="shared" si="30"/>
        <v>0</v>
      </c>
      <c r="AX55" s="293">
        <f t="shared" si="31"/>
        <v>0</v>
      </c>
      <c r="BC55" s="276">
        <f>IF(BI55=1,IF(BC54=MiscData!$F$1,EOMONTH(BC54,-11),EOMONTH(BC54,1)),BC54)</f>
        <v>42063</v>
      </c>
      <c r="BD55" s="275" t="str">
        <f t="shared" si="40"/>
        <v>20140101LGCME650</v>
      </c>
      <c r="BE55" s="294" t="str">
        <f t="shared" si="41"/>
        <v>20140101GS3</v>
      </c>
      <c r="BF55">
        <f>MiscData!$X$5</f>
        <v>20140101</v>
      </c>
      <c r="BI55" s="265">
        <f>IF(BI54+1&gt;MiscData!$Z$42,1,BI54+1)</f>
        <v>14</v>
      </c>
      <c r="BJ55" s="265" t="str">
        <f>VLOOKUP(BI55,MiscData!$Z$5:$AB$46,2,FALSE)</f>
        <v>LGCME650</v>
      </c>
      <c r="BK55" s="265" t="str">
        <f>VLOOKUP(BI55,MiscData!$Z$5:$AB$46,3,FALSE)</f>
        <v>GS3</v>
      </c>
    </row>
    <row r="56" spans="1:63" hidden="1">
      <c r="A56" s="275">
        <v>49</v>
      </c>
      <c r="B56" s="276" t="str">
        <f t="shared" si="32"/>
        <v>Feb 2015</v>
      </c>
      <c r="C56" s="277" t="str">
        <f t="shared" si="33"/>
        <v>GS3</v>
      </c>
      <c r="D56" s="277" t="str">
        <f t="shared" si="34"/>
        <v>LGCME651</v>
      </c>
      <c r="E56" s="278">
        <f t="shared" si="0"/>
        <v>16317</v>
      </c>
      <c r="F56" s="279">
        <v>0</v>
      </c>
      <c r="G56" s="278">
        <f t="shared" si="1"/>
        <v>0</v>
      </c>
      <c r="H56" s="278">
        <f t="shared" si="2"/>
        <v>0</v>
      </c>
      <c r="I56" s="278">
        <f t="shared" si="3"/>
        <v>0</v>
      </c>
      <c r="J56" s="278">
        <f t="shared" si="4"/>
        <v>77606706</v>
      </c>
      <c r="K56" s="280">
        <v>0</v>
      </c>
      <c r="L56" s="281">
        <f t="shared" si="5"/>
        <v>197014.88</v>
      </c>
      <c r="M56" s="281">
        <f t="shared" si="6"/>
        <v>0</v>
      </c>
      <c r="N56" s="281">
        <f t="shared" si="7"/>
        <v>0</v>
      </c>
      <c r="O56" s="282">
        <v>0</v>
      </c>
      <c r="P56" s="282">
        <v>0</v>
      </c>
      <c r="Q56" s="282">
        <v>0</v>
      </c>
      <c r="R56" s="283">
        <f t="shared" si="8"/>
        <v>35</v>
      </c>
      <c r="S56" s="284">
        <f t="shared" si="45"/>
        <v>9.1340000000000005E-2</v>
      </c>
      <c r="T56" s="284">
        <f t="shared" si="10"/>
        <v>0</v>
      </c>
      <c r="U56" s="284">
        <f t="shared" si="11"/>
        <v>0</v>
      </c>
      <c r="V56" s="284">
        <f t="shared" si="12"/>
        <v>2.725E-2</v>
      </c>
      <c r="W56" s="283">
        <f t="shared" si="13"/>
        <v>0</v>
      </c>
      <c r="X56" s="283">
        <f t="shared" si="14"/>
        <v>0</v>
      </c>
      <c r="Y56" s="283">
        <f t="shared" si="15"/>
        <v>0</v>
      </c>
      <c r="Z56" s="285">
        <f t="shared" si="16"/>
        <v>571095</v>
      </c>
      <c r="AA56" s="285">
        <f t="shared" si="17"/>
        <v>7088596.5300000003</v>
      </c>
      <c r="AB56" s="285">
        <f t="shared" si="35"/>
        <v>0</v>
      </c>
      <c r="AC56" s="285">
        <f t="shared" si="36"/>
        <v>0</v>
      </c>
      <c r="AD56" s="285">
        <f t="shared" si="37"/>
        <v>0</v>
      </c>
      <c r="AE56" s="286">
        <v>0</v>
      </c>
      <c r="AF56" s="287">
        <f t="shared" si="18"/>
        <v>0</v>
      </c>
      <c r="AG56" s="288">
        <f t="shared" si="19"/>
        <v>0</v>
      </c>
      <c r="AH56" s="285">
        <f t="shared" si="20"/>
        <v>0</v>
      </c>
      <c r="AI56" s="286">
        <v>0</v>
      </c>
      <c r="AJ56" s="286">
        <v>0</v>
      </c>
      <c r="AK56" s="286">
        <v>0</v>
      </c>
      <c r="AL56" s="285">
        <f t="shared" si="21"/>
        <v>7659691.5300000003</v>
      </c>
      <c r="AM56" s="285">
        <f t="shared" si="22"/>
        <v>7659694</v>
      </c>
      <c r="AN56" s="289">
        <f t="shared" si="38"/>
        <v>1</v>
      </c>
      <c r="AO56" s="290">
        <f t="shared" si="23"/>
        <v>-151897</v>
      </c>
      <c r="AP56" s="290">
        <f t="shared" si="24"/>
        <v>123114</v>
      </c>
      <c r="AQ56" s="290">
        <f t="shared" si="25"/>
        <v>415966</v>
      </c>
      <c r="AR56" s="290">
        <f t="shared" si="26"/>
        <v>0</v>
      </c>
      <c r="AS56" s="290">
        <f t="shared" si="27"/>
        <v>0</v>
      </c>
      <c r="AT56" s="290">
        <f t="shared" si="28"/>
        <v>8046877</v>
      </c>
      <c r="AU56" s="291">
        <f t="shared" si="29"/>
        <v>8046874.5300000003</v>
      </c>
      <c r="AV56" s="291">
        <f t="shared" si="47"/>
        <v>2.4700000000000002</v>
      </c>
      <c r="AW56" s="292">
        <f t="shared" si="30"/>
        <v>2114782.7400000002</v>
      </c>
      <c r="AX56" s="293">
        <f t="shared" si="31"/>
        <v>4973813.79</v>
      </c>
      <c r="BC56" s="276">
        <f>IF(BI56=1,IF(BC55=MiscData!$F$1,EOMONTH(BC55,-11),EOMONTH(BC55,1)),BC55)</f>
        <v>42063</v>
      </c>
      <c r="BD56" s="275" t="str">
        <f t="shared" si="40"/>
        <v>20140101LGCME651</v>
      </c>
      <c r="BE56" s="294" t="str">
        <f t="shared" si="41"/>
        <v>20140101GS3</v>
      </c>
      <c r="BF56">
        <f>MiscData!$X$5</f>
        <v>20140101</v>
      </c>
      <c r="BI56" s="265">
        <f>IF(BI55+1&gt;MiscData!$Z$42,1,BI55+1)</f>
        <v>15</v>
      </c>
      <c r="BJ56" s="265" t="str">
        <f>VLOOKUP(BI56,MiscData!$Z$5:$AB$46,2,FALSE)</f>
        <v>LGCME651</v>
      </c>
      <c r="BK56" s="265" t="str">
        <f>VLOOKUP(BI56,MiscData!$Z$5:$AB$46,3,FALSE)</f>
        <v>GS3</v>
      </c>
    </row>
    <row r="57" spans="1:63" hidden="1">
      <c r="A57" s="275">
        <v>50</v>
      </c>
      <c r="B57" s="276" t="str">
        <f t="shared" si="32"/>
        <v>Feb 2015</v>
      </c>
      <c r="C57" s="277" t="str">
        <f t="shared" si="33"/>
        <v>GS3</v>
      </c>
      <c r="D57" s="277" t="str">
        <f t="shared" si="34"/>
        <v>LGCME652</v>
      </c>
      <c r="E57" s="278">
        <f t="shared" si="0"/>
        <v>0</v>
      </c>
      <c r="F57" s="279">
        <f>-E57</f>
        <v>0</v>
      </c>
      <c r="G57" s="278">
        <f t="shared" si="1"/>
        <v>0</v>
      </c>
      <c r="H57" s="278">
        <f t="shared" si="2"/>
        <v>0</v>
      </c>
      <c r="I57" s="278">
        <f t="shared" si="3"/>
        <v>0</v>
      </c>
      <c r="J57" s="278">
        <f t="shared" si="4"/>
        <v>0</v>
      </c>
      <c r="K57" s="280">
        <v>0</v>
      </c>
      <c r="L57" s="281">
        <f t="shared" si="5"/>
        <v>0</v>
      </c>
      <c r="M57" s="281">
        <f t="shared" si="6"/>
        <v>0</v>
      </c>
      <c r="N57" s="281">
        <f t="shared" si="7"/>
        <v>0</v>
      </c>
      <c r="O57" s="282">
        <v>0</v>
      </c>
      <c r="P57" s="282">
        <v>0</v>
      </c>
      <c r="Q57" s="282">
        <v>0</v>
      </c>
      <c r="R57" s="283">
        <f t="shared" si="8"/>
        <v>0</v>
      </c>
      <c r="S57" s="284">
        <f t="shared" si="45"/>
        <v>9.1340000000000005E-2</v>
      </c>
      <c r="T57" s="284">
        <f t="shared" si="10"/>
        <v>0</v>
      </c>
      <c r="U57" s="284">
        <f t="shared" si="11"/>
        <v>0</v>
      </c>
      <c r="V57" s="284">
        <f t="shared" si="12"/>
        <v>2.725E-2</v>
      </c>
      <c r="W57" s="283">
        <f t="shared" si="13"/>
        <v>0</v>
      </c>
      <c r="X57" s="283">
        <f t="shared" si="14"/>
        <v>0</v>
      </c>
      <c r="Y57" s="283">
        <f t="shared" si="15"/>
        <v>0</v>
      </c>
      <c r="Z57" s="285">
        <f t="shared" si="16"/>
        <v>0</v>
      </c>
      <c r="AA57" s="285">
        <f t="shared" si="17"/>
        <v>0</v>
      </c>
      <c r="AB57" s="285">
        <f t="shared" si="35"/>
        <v>0</v>
      </c>
      <c r="AC57" s="285">
        <f t="shared" si="36"/>
        <v>0</v>
      </c>
      <c r="AD57" s="285">
        <f t="shared" si="37"/>
        <v>0</v>
      </c>
      <c r="AE57" s="286">
        <v>0</v>
      </c>
      <c r="AF57" s="287">
        <f t="shared" si="18"/>
        <v>0</v>
      </c>
      <c r="AG57" s="288">
        <f t="shared" si="19"/>
        <v>0</v>
      </c>
      <c r="AH57" s="285">
        <f t="shared" si="20"/>
        <v>0</v>
      </c>
      <c r="AI57" s="286">
        <v>0</v>
      </c>
      <c r="AJ57" s="286">
        <v>0</v>
      </c>
      <c r="AK57" s="286">
        <v>0</v>
      </c>
      <c r="AL57" s="285">
        <f t="shared" si="21"/>
        <v>0</v>
      </c>
      <c r="AM57" s="285">
        <f t="shared" si="22"/>
        <v>0</v>
      </c>
      <c r="AN57" s="289">
        <f t="shared" si="38"/>
        <v>1</v>
      </c>
      <c r="AO57" s="290">
        <f t="shared" si="23"/>
        <v>0</v>
      </c>
      <c r="AP57" s="290">
        <f t="shared" si="24"/>
        <v>0</v>
      </c>
      <c r="AQ57" s="290">
        <f t="shared" si="25"/>
        <v>0</v>
      </c>
      <c r="AR57" s="290">
        <f t="shared" si="26"/>
        <v>0</v>
      </c>
      <c r="AS57" s="290">
        <f t="shared" si="27"/>
        <v>0</v>
      </c>
      <c r="AT57" s="290">
        <f t="shared" si="28"/>
        <v>0</v>
      </c>
      <c r="AU57" s="291">
        <f t="shared" si="29"/>
        <v>0</v>
      </c>
      <c r="AV57" s="291">
        <f t="shared" si="47"/>
        <v>0</v>
      </c>
      <c r="AW57" s="292">
        <f t="shared" si="30"/>
        <v>0</v>
      </c>
      <c r="AX57" s="293">
        <f t="shared" si="31"/>
        <v>0</v>
      </c>
      <c r="BC57" s="276">
        <f>IF(BI57=1,IF(BC56=MiscData!$F$1,EOMONTH(BC56,-11),EOMONTH(BC56,1)),BC56)</f>
        <v>42063</v>
      </c>
      <c r="BD57" s="275" t="str">
        <f t="shared" si="40"/>
        <v>20140101LGCME652</v>
      </c>
      <c r="BE57" s="294" t="str">
        <f t="shared" si="41"/>
        <v>20140101GS3</v>
      </c>
      <c r="BF57">
        <f>MiscData!$X$5</f>
        <v>20140101</v>
      </c>
      <c r="BI57" s="265">
        <f>IF(BI56+1&gt;MiscData!$Z$42,1,BI56+1)</f>
        <v>16</v>
      </c>
      <c r="BJ57" s="265" t="str">
        <f>VLOOKUP(BI57,MiscData!$Z$5:$AB$46,2,FALSE)</f>
        <v>LGCME652</v>
      </c>
      <c r="BK57" s="265" t="str">
        <f>VLOOKUP(BI57,MiscData!$Z$5:$AB$46,3,FALSE)</f>
        <v>GS3</v>
      </c>
    </row>
    <row r="58" spans="1:63" hidden="1">
      <c r="A58" s="275">
        <v>51</v>
      </c>
      <c r="B58" s="276" t="str">
        <f t="shared" si="32"/>
        <v>Feb 2015</v>
      </c>
      <c r="C58" s="277" t="str">
        <f t="shared" si="33"/>
        <v>GS3</v>
      </c>
      <c r="D58" s="277" t="str">
        <f t="shared" si="34"/>
        <v>LGCME657</v>
      </c>
      <c r="E58" s="278">
        <f t="shared" si="0"/>
        <v>0</v>
      </c>
      <c r="F58" s="279">
        <v>0</v>
      </c>
      <c r="G58" s="278">
        <f t="shared" si="1"/>
        <v>0</v>
      </c>
      <c r="H58" s="278">
        <f t="shared" si="2"/>
        <v>0</v>
      </c>
      <c r="I58" s="278">
        <f t="shared" si="3"/>
        <v>0</v>
      </c>
      <c r="J58" s="278">
        <f t="shared" si="4"/>
        <v>0</v>
      </c>
      <c r="K58" s="280">
        <v>0</v>
      </c>
      <c r="L58" s="281">
        <f t="shared" si="5"/>
        <v>0</v>
      </c>
      <c r="M58" s="281">
        <f t="shared" si="6"/>
        <v>0</v>
      </c>
      <c r="N58" s="281">
        <f t="shared" si="7"/>
        <v>0</v>
      </c>
      <c r="O58" s="282">
        <v>0</v>
      </c>
      <c r="P58" s="282">
        <v>0</v>
      </c>
      <c r="Q58" s="282">
        <v>0</v>
      </c>
      <c r="R58" s="283">
        <f t="shared" si="8"/>
        <v>35</v>
      </c>
      <c r="S58" s="284">
        <f t="shared" si="45"/>
        <v>9.1340000000000005E-2</v>
      </c>
      <c r="T58" s="284">
        <f t="shared" si="10"/>
        <v>0</v>
      </c>
      <c r="U58" s="284">
        <f t="shared" si="11"/>
        <v>0</v>
      </c>
      <c r="V58" s="284">
        <f t="shared" si="12"/>
        <v>2.725E-2</v>
      </c>
      <c r="W58" s="283">
        <f t="shared" si="13"/>
        <v>0</v>
      </c>
      <c r="X58" s="283">
        <f t="shared" si="14"/>
        <v>0</v>
      </c>
      <c r="Y58" s="283">
        <f t="shared" si="15"/>
        <v>0</v>
      </c>
      <c r="Z58" s="285">
        <f t="shared" si="16"/>
        <v>0</v>
      </c>
      <c r="AA58" s="285">
        <f t="shared" si="17"/>
        <v>0</v>
      </c>
      <c r="AB58" s="285">
        <f t="shared" si="35"/>
        <v>0</v>
      </c>
      <c r="AC58" s="285">
        <f t="shared" si="36"/>
        <v>0</v>
      </c>
      <c r="AD58" s="285">
        <f t="shared" si="37"/>
        <v>0</v>
      </c>
      <c r="AE58" s="286">
        <v>0</v>
      </c>
      <c r="AF58" s="287">
        <f t="shared" si="18"/>
        <v>0</v>
      </c>
      <c r="AG58" s="288">
        <f t="shared" si="19"/>
        <v>0</v>
      </c>
      <c r="AH58" s="285">
        <f t="shared" si="20"/>
        <v>0</v>
      </c>
      <c r="AI58" s="286">
        <v>0</v>
      </c>
      <c r="AJ58" s="286">
        <v>0</v>
      </c>
      <c r="AK58" s="286">
        <v>0</v>
      </c>
      <c r="AL58" s="285">
        <f t="shared" si="21"/>
        <v>0</v>
      </c>
      <c r="AM58" s="285">
        <f t="shared" si="22"/>
        <v>0</v>
      </c>
      <c r="AN58" s="289">
        <f t="shared" si="38"/>
        <v>1</v>
      </c>
      <c r="AO58" s="290">
        <f t="shared" si="23"/>
        <v>0</v>
      </c>
      <c r="AP58" s="290">
        <f t="shared" si="24"/>
        <v>0</v>
      </c>
      <c r="AQ58" s="290">
        <f t="shared" si="25"/>
        <v>0</v>
      </c>
      <c r="AR58" s="290">
        <f t="shared" si="26"/>
        <v>0</v>
      </c>
      <c r="AS58" s="290">
        <f t="shared" si="27"/>
        <v>0</v>
      </c>
      <c r="AT58" s="290">
        <f t="shared" si="28"/>
        <v>0</v>
      </c>
      <c r="AU58" s="291">
        <f t="shared" si="29"/>
        <v>0</v>
      </c>
      <c r="AV58" s="291">
        <f t="shared" si="47"/>
        <v>0</v>
      </c>
      <c r="AW58" s="292">
        <f t="shared" si="30"/>
        <v>0</v>
      </c>
      <c r="AX58" s="293">
        <f t="shared" si="31"/>
        <v>0</v>
      </c>
      <c r="BC58" s="276">
        <f>IF(BI58=1,IF(BC57=MiscData!$F$1,EOMONTH(BC57,-11),EOMONTH(BC57,1)),BC57)</f>
        <v>42063</v>
      </c>
      <c r="BD58" s="275" t="str">
        <f t="shared" si="40"/>
        <v>20140101LGCME657</v>
      </c>
      <c r="BE58" s="294" t="str">
        <f t="shared" si="41"/>
        <v>20140101GS3</v>
      </c>
      <c r="BF58">
        <f>MiscData!$X$5</f>
        <v>20140101</v>
      </c>
      <c r="BI58" s="265">
        <f>IF(BI57+1&gt;MiscData!$Z$42,1,BI57+1)</f>
        <v>17</v>
      </c>
      <c r="BJ58" s="265" t="str">
        <f>VLOOKUP(BI58,MiscData!$Z$5:$AB$46,2,FALSE)</f>
        <v>LGCME657</v>
      </c>
      <c r="BK58" s="265" t="str">
        <f>VLOOKUP(BI58,MiscData!$Z$5:$AB$46,3,FALSE)</f>
        <v>GS3</v>
      </c>
    </row>
    <row r="59" spans="1:63" hidden="1">
      <c r="A59" s="275">
        <v>52</v>
      </c>
      <c r="B59" s="276" t="str">
        <f t="shared" si="32"/>
        <v>Feb 2015</v>
      </c>
      <c r="C59" s="277" t="str">
        <f t="shared" si="33"/>
        <v>LWC</v>
      </c>
      <c r="D59" s="277" t="str">
        <f t="shared" si="34"/>
        <v>LGCME671</v>
      </c>
      <c r="E59" s="278">
        <f t="shared" si="0"/>
        <v>2</v>
      </c>
      <c r="F59" s="279">
        <v>0</v>
      </c>
      <c r="G59" s="278">
        <f t="shared" si="1"/>
        <v>0</v>
      </c>
      <c r="H59" s="278">
        <f t="shared" si="2"/>
        <v>0</v>
      </c>
      <c r="I59" s="278">
        <f t="shared" si="3"/>
        <v>0</v>
      </c>
      <c r="J59" s="278">
        <f t="shared" si="4"/>
        <v>4744800</v>
      </c>
      <c r="K59" s="280">
        <v>0</v>
      </c>
      <c r="L59" s="281">
        <f t="shared" si="5"/>
        <v>0</v>
      </c>
      <c r="M59" s="281">
        <f t="shared" si="6"/>
        <v>9316.7999999999993</v>
      </c>
      <c r="N59" s="281">
        <f t="shared" si="7"/>
        <v>0</v>
      </c>
      <c r="O59" s="282">
        <v>0</v>
      </c>
      <c r="P59" s="282">
        <v>0</v>
      </c>
      <c r="Q59" s="282">
        <v>0</v>
      </c>
      <c r="R59" s="283">
        <f t="shared" si="8"/>
        <v>0</v>
      </c>
      <c r="S59" s="284">
        <f t="shared" si="45"/>
        <v>3.7019999999999997E-2</v>
      </c>
      <c r="T59" s="284">
        <f t="shared" si="10"/>
        <v>0</v>
      </c>
      <c r="U59" s="284">
        <f t="shared" si="11"/>
        <v>0</v>
      </c>
      <c r="V59" s="284">
        <f t="shared" si="12"/>
        <v>2.725E-2</v>
      </c>
      <c r="W59" s="283">
        <f t="shared" si="13"/>
        <v>0</v>
      </c>
      <c r="X59" s="283">
        <f t="shared" si="14"/>
        <v>10.35</v>
      </c>
      <c r="Y59" s="283">
        <f t="shared" si="15"/>
        <v>10.35</v>
      </c>
      <c r="Z59" s="285">
        <f t="shared" si="16"/>
        <v>0</v>
      </c>
      <c r="AA59" s="285">
        <f t="shared" si="17"/>
        <v>175652.5</v>
      </c>
      <c r="AB59" s="285">
        <f t="shared" si="35"/>
        <v>0</v>
      </c>
      <c r="AC59" s="285">
        <f t="shared" si="36"/>
        <v>96428.88</v>
      </c>
      <c r="AD59" s="285">
        <f t="shared" si="37"/>
        <v>0</v>
      </c>
      <c r="AE59" s="286">
        <v>0</v>
      </c>
      <c r="AF59" s="287">
        <f t="shared" si="18"/>
        <v>0</v>
      </c>
      <c r="AG59" s="288">
        <f t="shared" si="19"/>
        <v>0</v>
      </c>
      <c r="AH59" s="285">
        <f t="shared" si="20"/>
        <v>96428.88</v>
      </c>
      <c r="AI59" s="286">
        <v>0</v>
      </c>
      <c r="AJ59" s="286">
        <v>0</v>
      </c>
      <c r="AK59" s="286">
        <v>0</v>
      </c>
      <c r="AL59" s="285">
        <f t="shared" si="21"/>
        <v>272081.38</v>
      </c>
      <c r="AM59" s="285">
        <f t="shared" si="22"/>
        <v>272081</v>
      </c>
      <c r="AN59" s="289">
        <f t="shared" si="38"/>
        <v>0.99999899999999997</v>
      </c>
      <c r="AO59" s="290">
        <f t="shared" si="23"/>
        <v>-9287</v>
      </c>
      <c r="AP59" s="290">
        <f t="shared" si="24"/>
        <v>0</v>
      </c>
      <c r="AQ59" s="290">
        <f t="shared" si="25"/>
        <v>25432</v>
      </c>
      <c r="AR59" s="290">
        <f t="shared" si="26"/>
        <v>0</v>
      </c>
      <c r="AS59" s="290">
        <f t="shared" si="27"/>
        <v>0</v>
      </c>
      <c r="AT59" s="290">
        <f t="shared" si="28"/>
        <v>288226</v>
      </c>
      <c r="AU59" s="291">
        <f t="shared" si="29"/>
        <v>288226.38</v>
      </c>
      <c r="AV59" s="291">
        <f t="shared" si="47"/>
        <v>-0.38</v>
      </c>
      <c r="AW59" s="292">
        <f t="shared" si="30"/>
        <v>129295.8</v>
      </c>
      <c r="AX59" s="293">
        <f t="shared" si="31"/>
        <v>46356.7</v>
      </c>
      <c r="BC59" s="276">
        <f>IF(BI59=1,IF(BC58=MiscData!$F$1,EOMONTH(BC58,-11),EOMONTH(BC58,1)),BC58)</f>
        <v>42063</v>
      </c>
      <c r="BD59" s="275" t="str">
        <f t="shared" si="40"/>
        <v>20140101LGCME671</v>
      </c>
      <c r="BE59" s="294" t="str">
        <f t="shared" si="41"/>
        <v>20140101LWC</v>
      </c>
      <c r="BF59">
        <f>MiscData!$X$5</f>
        <v>20140101</v>
      </c>
      <c r="BI59" s="265">
        <f>IF(BI58+1&gt;MiscData!$Z$42,1,BI58+1)</f>
        <v>18</v>
      </c>
      <c r="BJ59" s="265" t="str">
        <f>VLOOKUP(BI59,MiscData!$Z$5:$AB$46,2,FALSE)</f>
        <v>LGCME671</v>
      </c>
      <c r="BK59" s="265" t="str">
        <f>VLOOKUP(BI59,MiscData!$Z$5:$AB$46,3,FALSE)</f>
        <v>LWC</v>
      </c>
    </row>
    <row r="60" spans="1:63" hidden="1">
      <c r="A60" s="275">
        <v>53</v>
      </c>
      <c r="B60" s="276" t="str">
        <f t="shared" si="32"/>
        <v>Feb 2015</v>
      </c>
      <c r="C60" s="277" t="str">
        <f t="shared" si="33"/>
        <v>CSR</v>
      </c>
      <c r="D60" s="277" t="str">
        <f t="shared" si="34"/>
        <v>LGCSR760</v>
      </c>
      <c r="E60" s="278">
        <f t="shared" si="0"/>
        <v>0</v>
      </c>
      <c r="F60" s="279">
        <v>0</v>
      </c>
      <c r="G60" s="278">
        <f t="shared" si="1"/>
        <v>0</v>
      </c>
      <c r="H60" s="278">
        <f t="shared" si="2"/>
        <v>0</v>
      </c>
      <c r="I60" s="278">
        <f t="shared" si="3"/>
        <v>0</v>
      </c>
      <c r="J60" s="278">
        <f t="shared" si="4"/>
        <v>0</v>
      </c>
      <c r="K60" s="280">
        <v>0</v>
      </c>
      <c r="L60" s="281">
        <f t="shared" si="5"/>
        <v>0</v>
      </c>
      <c r="M60" s="281">
        <f t="shared" si="6"/>
        <v>0</v>
      </c>
      <c r="N60" s="281">
        <f t="shared" si="7"/>
        <v>0</v>
      </c>
      <c r="O60" s="282">
        <v>0</v>
      </c>
      <c r="P60" s="282">
        <v>0</v>
      </c>
      <c r="Q60" s="282">
        <v>0</v>
      </c>
      <c r="R60" s="283">
        <f t="shared" si="8"/>
        <v>0</v>
      </c>
      <c r="S60" s="284">
        <f t="shared" si="45"/>
        <v>0</v>
      </c>
      <c r="T60" s="284">
        <f t="shared" si="10"/>
        <v>0</v>
      </c>
      <c r="U60" s="284">
        <f t="shared" si="11"/>
        <v>0</v>
      </c>
      <c r="V60" s="284">
        <f t="shared" si="12"/>
        <v>0</v>
      </c>
      <c r="W60" s="283">
        <f t="shared" si="13"/>
        <v>0</v>
      </c>
      <c r="X60" s="283">
        <f t="shared" si="14"/>
        <v>0</v>
      </c>
      <c r="Y60" s="283">
        <f t="shared" si="15"/>
        <v>0</v>
      </c>
      <c r="Z60" s="285">
        <f t="shared" si="16"/>
        <v>0</v>
      </c>
      <c r="AA60" s="285">
        <f t="shared" si="17"/>
        <v>0</v>
      </c>
      <c r="AB60" s="285">
        <f t="shared" si="35"/>
        <v>0</v>
      </c>
      <c r="AC60" s="285">
        <f t="shared" si="36"/>
        <v>0</v>
      </c>
      <c r="AD60" s="285">
        <f t="shared" si="37"/>
        <v>0</v>
      </c>
      <c r="AE60" s="286">
        <v>0</v>
      </c>
      <c r="AF60" s="287">
        <f t="shared" si="18"/>
        <v>0</v>
      </c>
      <c r="AG60" s="288">
        <f t="shared" si="19"/>
        <v>0</v>
      </c>
      <c r="AH60" s="285">
        <f t="shared" si="20"/>
        <v>0</v>
      </c>
      <c r="AI60" s="286">
        <v>0</v>
      </c>
      <c r="AJ60" s="286">
        <v>0</v>
      </c>
      <c r="AK60" s="286">
        <v>0</v>
      </c>
      <c r="AL60" s="285">
        <f t="shared" si="21"/>
        <v>0</v>
      </c>
      <c r="AM60" s="285">
        <f t="shared" si="22"/>
        <v>0</v>
      </c>
      <c r="AN60" s="289">
        <f t="shared" si="38"/>
        <v>1</v>
      </c>
      <c r="AO60" s="290">
        <f t="shared" si="23"/>
        <v>0</v>
      </c>
      <c r="AP60" s="290">
        <f t="shared" si="24"/>
        <v>0</v>
      </c>
      <c r="AQ60" s="290">
        <f t="shared" si="25"/>
        <v>0</v>
      </c>
      <c r="AR60" s="290">
        <f t="shared" si="26"/>
        <v>0</v>
      </c>
      <c r="AS60" s="290">
        <f t="shared" si="27"/>
        <v>-286526</v>
      </c>
      <c r="AT60" s="290">
        <f t="shared" si="28"/>
        <v>-286526</v>
      </c>
      <c r="AU60" s="291">
        <f t="shared" si="29"/>
        <v>-286526</v>
      </c>
      <c r="AV60" s="291">
        <f t="shared" si="46"/>
        <v>0</v>
      </c>
      <c r="AW60" s="292">
        <f t="shared" si="30"/>
        <v>0</v>
      </c>
      <c r="AX60" s="293">
        <f t="shared" si="31"/>
        <v>0</v>
      </c>
      <c r="BC60" s="276">
        <f>IF(BI60=1,IF(BC59=MiscData!$F$1,EOMONTH(BC59,-11),EOMONTH(BC59,1)),BC59)</f>
        <v>42063</v>
      </c>
      <c r="BD60" s="275" t="str">
        <f t="shared" si="40"/>
        <v>20140101LGCSR760</v>
      </c>
      <c r="BE60" s="294" t="str">
        <f t="shared" si="41"/>
        <v>20140101CSR</v>
      </c>
      <c r="BF60">
        <f>MiscData!$X$5</f>
        <v>20140101</v>
      </c>
      <c r="BI60" s="265">
        <f>IF(BI59+1&gt;MiscData!$Z$42,1,BI59+1)</f>
        <v>19</v>
      </c>
      <c r="BJ60" s="265" t="str">
        <f>VLOOKUP(BI60,MiscData!$Z$5:$AB$46,2,FALSE)</f>
        <v>LGCSR760</v>
      </c>
      <c r="BK60" s="265" t="str">
        <f>VLOOKUP(BI60,MiscData!$Z$5:$AB$46,3,FALSE)</f>
        <v>CSR</v>
      </c>
    </row>
    <row r="61" spans="1:63" hidden="1">
      <c r="A61" s="275">
        <v>54</v>
      </c>
      <c r="B61" s="276" t="str">
        <f t="shared" si="32"/>
        <v>Feb 2015</v>
      </c>
      <c r="C61" s="277" t="str">
        <f t="shared" si="33"/>
        <v>CSR</v>
      </c>
      <c r="D61" s="277" t="str">
        <f t="shared" si="34"/>
        <v>LGCSR780</v>
      </c>
      <c r="E61" s="278">
        <f t="shared" si="0"/>
        <v>0</v>
      </c>
      <c r="F61" s="279">
        <v>0</v>
      </c>
      <c r="G61" s="278">
        <f t="shared" si="1"/>
        <v>0</v>
      </c>
      <c r="H61" s="278">
        <f t="shared" si="2"/>
        <v>0</v>
      </c>
      <c r="I61" s="278">
        <f t="shared" si="3"/>
        <v>0</v>
      </c>
      <c r="J61" s="278">
        <f t="shared" si="4"/>
        <v>0</v>
      </c>
      <c r="K61" s="280">
        <v>0</v>
      </c>
      <c r="L61" s="281">
        <f t="shared" si="5"/>
        <v>0</v>
      </c>
      <c r="M61" s="281">
        <f t="shared" si="6"/>
        <v>0</v>
      </c>
      <c r="N61" s="281">
        <f t="shared" si="7"/>
        <v>0</v>
      </c>
      <c r="O61" s="282">
        <v>0</v>
      </c>
      <c r="P61" s="282">
        <v>0</v>
      </c>
      <c r="Q61" s="282">
        <v>0</v>
      </c>
      <c r="R61" s="283">
        <f t="shared" si="8"/>
        <v>0</v>
      </c>
      <c r="S61" s="284">
        <f t="shared" si="45"/>
        <v>0</v>
      </c>
      <c r="T61" s="284">
        <f t="shared" si="10"/>
        <v>0</v>
      </c>
      <c r="U61" s="284">
        <f t="shared" si="11"/>
        <v>0</v>
      </c>
      <c r="V61" s="284">
        <f t="shared" si="12"/>
        <v>0</v>
      </c>
      <c r="W61" s="283">
        <f t="shared" si="13"/>
        <v>0</v>
      </c>
      <c r="X61" s="283">
        <f t="shared" si="14"/>
        <v>0</v>
      </c>
      <c r="Y61" s="283">
        <f t="shared" si="15"/>
        <v>0</v>
      </c>
      <c r="Z61" s="285">
        <f t="shared" si="16"/>
        <v>0</v>
      </c>
      <c r="AA61" s="285">
        <f t="shared" si="17"/>
        <v>0</v>
      </c>
      <c r="AB61" s="285">
        <f t="shared" si="35"/>
        <v>0</v>
      </c>
      <c r="AC61" s="285">
        <f t="shared" si="36"/>
        <v>0</v>
      </c>
      <c r="AD61" s="285">
        <f t="shared" si="37"/>
        <v>0</v>
      </c>
      <c r="AE61" s="286">
        <v>0</v>
      </c>
      <c r="AF61" s="287">
        <f t="shared" si="18"/>
        <v>0</v>
      </c>
      <c r="AG61" s="288">
        <f t="shared" si="19"/>
        <v>0</v>
      </c>
      <c r="AH61" s="285">
        <f t="shared" si="20"/>
        <v>0</v>
      </c>
      <c r="AI61" s="286">
        <v>0</v>
      </c>
      <c r="AJ61" s="286">
        <v>0</v>
      </c>
      <c r="AK61" s="286">
        <v>0</v>
      </c>
      <c r="AL61" s="285">
        <f t="shared" si="21"/>
        <v>0</v>
      </c>
      <c r="AM61" s="285">
        <f t="shared" si="22"/>
        <v>0</v>
      </c>
      <c r="AN61" s="289">
        <f t="shared" si="38"/>
        <v>1</v>
      </c>
      <c r="AO61" s="290">
        <f t="shared" si="23"/>
        <v>0</v>
      </c>
      <c r="AP61" s="290">
        <f t="shared" si="24"/>
        <v>0</v>
      </c>
      <c r="AQ61" s="290">
        <f t="shared" si="25"/>
        <v>0</v>
      </c>
      <c r="AR61" s="290">
        <f t="shared" si="26"/>
        <v>0</v>
      </c>
      <c r="AS61" s="290">
        <f t="shared" si="27"/>
        <v>0</v>
      </c>
      <c r="AT61" s="290">
        <f t="shared" si="28"/>
        <v>0</v>
      </c>
      <c r="AU61" s="291">
        <f t="shared" si="29"/>
        <v>0</v>
      </c>
      <c r="AV61" s="291">
        <f t="shared" si="46"/>
        <v>0</v>
      </c>
      <c r="AW61" s="292">
        <f t="shared" si="30"/>
        <v>0</v>
      </c>
      <c r="AX61" s="293">
        <f t="shared" si="31"/>
        <v>0</v>
      </c>
      <c r="BC61" s="276">
        <f>IF(BI61=1,IF(BC60=MiscData!$F$1,EOMONTH(BC60,-11),EOMONTH(BC60,1)),BC60)</f>
        <v>42063</v>
      </c>
      <c r="BD61" s="275" t="str">
        <f t="shared" si="40"/>
        <v>20140101LGCSR780</v>
      </c>
      <c r="BE61" s="294" t="str">
        <f t="shared" si="41"/>
        <v>20140101CSR</v>
      </c>
      <c r="BF61">
        <f>MiscData!$X$5</f>
        <v>20140101</v>
      </c>
      <c r="BI61" s="265">
        <f>IF(BI60+1&gt;MiscData!$Z$42,1,BI60+1)</f>
        <v>20</v>
      </c>
      <c r="BJ61" s="265" t="str">
        <f>VLOOKUP(BI61,MiscData!$Z$5:$AB$46,2,FALSE)</f>
        <v>LGCSR780</v>
      </c>
      <c r="BK61" s="265" t="str">
        <f>VLOOKUP(BI61,MiscData!$Z$5:$AB$46,3,FALSE)</f>
        <v>CSR</v>
      </c>
    </row>
    <row r="62" spans="1:63">
      <c r="A62" s="275">
        <v>55</v>
      </c>
      <c r="B62" s="276" t="str">
        <f t="shared" si="32"/>
        <v>Feb 2015</v>
      </c>
      <c r="C62" s="277" t="str">
        <f t="shared" si="33"/>
        <v>FK</v>
      </c>
      <c r="D62" s="277" t="str">
        <f t="shared" si="34"/>
        <v>LGINE599</v>
      </c>
      <c r="E62" s="278">
        <f t="shared" si="0"/>
        <v>1</v>
      </c>
      <c r="F62" s="279">
        <v>0</v>
      </c>
      <c r="G62" s="278">
        <f t="shared" si="1"/>
        <v>0</v>
      </c>
      <c r="H62" s="278">
        <f t="shared" si="2"/>
        <v>0</v>
      </c>
      <c r="I62" s="278">
        <f t="shared" si="3"/>
        <v>0</v>
      </c>
      <c r="J62" s="278">
        <f t="shared" si="4"/>
        <v>9522500</v>
      </c>
      <c r="K62" s="280">
        <v>0</v>
      </c>
      <c r="L62" s="281">
        <f t="shared" si="5"/>
        <v>0</v>
      </c>
      <c r="M62" s="281">
        <f t="shared" si="6"/>
        <v>14314</v>
      </c>
      <c r="N62" s="281">
        <f t="shared" si="7"/>
        <v>0</v>
      </c>
      <c r="O62" s="282">
        <v>0</v>
      </c>
      <c r="P62" s="282">
        <v>0</v>
      </c>
      <c r="Q62" s="282">
        <v>0</v>
      </c>
      <c r="R62" s="283">
        <f t="shared" si="8"/>
        <v>0</v>
      </c>
      <c r="S62" s="284">
        <f t="shared" si="45"/>
        <v>3.7400000000000003E-2</v>
      </c>
      <c r="T62" s="284">
        <f t="shared" si="10"/>
        <v>0</v>
      </c>
      <c r="U62" s="284">
        <f t="shared" si="11"/>
        <v>0</v>
      </c>
      <c r="V62" s="284">
        <f t="shared" si="12"/>
        <v>2.725E-2</v>
      </c>
      <c r="W62" s="283">
        <f t="shared" si="13"/>
        <v>0</v>
      </c>
      <c r="X62" s="283">
        <f t="shared" si="14"/>
        <v>12.72</v>
      </c>
      <c r="Y62" s="283">
        <f t="shared" si="15"/>
        <v>15.040000000000001</v>
      </c>
      <c r="Z62" s="285">
        <f t="shared" si="16"/>
        <v>0</v>
      </c>
      <c r="AA62" s="285">
        <f t="shared" si="17"/>
        <v>356141.5</v>
      </c>
      <c r="AB62" s="285">
        <f t="shared" si="35"/>
        <v>0</v>
      </c>
      <c r="AC62" s="285">
        <f t="shared" si="36"/>
        <v>182074.08</v>
      </c>
      <c r="AD62" s="285">
        <f t="shared" si="37"/>
        <v>0</v>
      </c>
      <c r="AE62" s="286">
        <v>0</v>
      </c>
      <c r="AF62" s="287">
        <f t="shared" si="18"/>
        <v>0</v>
      </c>
      <c r="AG62" s="288">
        <f t="shared" si="19"/>
        <v>0</v>
      </c>
      <c r="AH62" s="285">
        <f t="shared" si="20"/>
        <v>182074.08</v>
      </c>
      <c r="AI62" s="286">
        <v>0</v>
      </c>
      <c r="AJ62" s="286">
        <v>0</v>
      </c>
      <c r="AK62" s="286">
        <v>0</v>
      </c>
      <c r="AL62" s="285">
        <f t="shared" si="21"/>
        <v>538215.57999999996</v>
      </c>
      <c r="AM62" s="285">
        <f t="shared" si="22"/>
        <v>538215</v>
      </c>
      <c r="AN62" s="289">
        <f t="shared" si="38"/>
        <v>0.99999899999999997</v>
      </c>
      <c r="AO62" s="290">
        <f t="shared" si="23"/>
        <v>-18638</v>
      </c>
      <c r="AP62" s="290">
        <f t="shared" si="24"/>
        <v>0</v>
      </c>
      <c r="AQ62" s="290">
        <f t="shared" si="25"/>
        <v>51040</v>
      </c>
      <c r="AR62" s="290">
        <f t="shared" si="26"/>
        <v>0</v>
      </c>
      <c r="AS62" s="290">
        <f t="shared" si="27"/>
        <v>0</v>
      </c>
      <c r="AT62" s="290">
        <f t="shared" si="28"/>
        <v>570617</v>
      </c>
      <c r="AU62" s="291">
        <f t="shared" si="29"/>
        <v>570617.57999999996</v>
      </c>
      <c r="AV62" s="291">
        <f t="shared" si="46"/>
        <v>-0.57999999995809048</v>
      </c>
      <c r="AW62" s="292">
        <f t="shared" si="30"/>
        <v>259488.13</v>
      </c>
      <c r="AX62" s="293">
        <f t="shared" si="31"/>
        <v>96653.37</v>
      </c>
      <c r="BC62" s="276">
        <f>IF(BI62=1,IF(BC61=MiscData!$F$1,EOMONTH(BC61,-11),EOMONTH(BC61,1)),BC61)</f>
        <v>42063</v>
      </c>
      <c r="BD62" s="275" t="str">
        <f t="shared" si="40"/>
        <v>20140101LGINE599</v>
      </c>
      <c r="BE62" s="294" t="str">
        <f t="shared" si="41"/>
        <v>20140101FK</v>
      </c>
      <c r="BF62">
        <f>MiscData!$X$5</f>
        <v>20140101</v>
      </c>
      <c r="BI62" s="265">
        <f>IF(BI61+1&gt;MiscData!$Z$42,1,BI61+1)</f>
        <v>21</v>
      </c>
      <c r="BJ62" s="265" t="str">
        <f>VLOOKUP(BI62,MiscData!$Z$5:$AB$46,2,FALSE)</f>
        <v>LGINE599</v>
      </c>
      <c r="BK62" s="265" t="str">
        <f>VLOOKUP(BI62,MiscData!$Z$5:$AB$46,3,FALSE)</f>
        <v>FK</v>
      </c>
    </row>
    <row r="63" spans="1:63" hidden="1">
      <c r="A63" s="275">
        <v>56</v>
      </c>
      <c r="B63" s="276" t="str">
        <f t="shared" si="32"/>
        <v>Feb 2015</v>
      </c>
      <c r="C63" s="277" t="str">
        <f t="shared" si="33"/>
        <v>RTS</v>
      </c>
      <c r="D63" s="277" t="str">
        <f t="shared" si="34"/>
        <v>LGINE643</v>
      </c>
      <c r="E63" s="278">
        <f t="shared" si="0"/>
        <v>12</v>
      </c>
      <c r="F63" s="279">
        <v>0</v>
      </c>
      <c r="G63" s="278">
        <f t="shared" si="1"/>
        <v>0</v>
      </c>
      <c r="H63" s="278">
        <f t="shared" si="2"/>
        <v>0</v>
      </c>
      <c r="I63" s="278">
        <f t="shared" si="3"/>
        <v>0</v>
      </c>
      <c r="J63" s="278">
        <f t="shared" si="4"/>
        <v>57918168</v>
      </c>
      <c r="K63" s="280">
        <v>0</v>
      </c>
      <c r="L63" s="281">
        <f t="shared" si="5"/>
        <v>151940.91</v>
      </c>
      <c r="M63" s="281">
        <f t="shared" si="6"/>
        <v>139155.96</v>
      </c>
      <c r="N63" s="281">
        <f t="shared" si="7"/>
        <v>76458.62</v>
      </c>
      <c r="O63" s="282">
        <v>0</v>
      </c>
      <c r="P63" s="282">
        <v>0</v>
      </c>
      <c r="Q63" s="282">
        <v>0</v>
      </c>
      <c r="R63" s="283">
        <f t="shared" si="8"/>
        <v>750</v>
      </c>
      <c r="S63" s="284">
        <f t="shared" si="45"/>
        <v>3.61E-2</v>
      </c>
      <c r="T63" s="284">
        <f t="shared" si="10"/>
        <v>0</v>
      </c>
      <c r="U63" s="284">
        <f t="shared" si="11"/>
        <v>0</v>
      </c>
      <c r="V63" s="284">
        <f t="shared" si="12"/>
        <v>2.725E-2</v>
      </c>
      <c r="W63" s="283">
        <f t="shared" si="13"/>
        <v>2.75</v>
      </c>
      <c r="X63" s="283">
        <f t="shared" si="14"/>
        <v>3</v>
      </c>
      <c r="Y63" s="283">
        <f t="shared" si="15"/>
        <v>4.5500000000000007</v>
      </c>
      <c r="Z63" s="285">
        <f t="shared" si="16"/>
        <v>9000</v>
      </c>
      <c r="AA63" s="285">
        <f t="shared" si="17"/>
        <v>2090845.86</v>
      </c>
      <c r="AB63" s="285">
        <f t="shared" si="35"/>
        <v>417837.5</v>
      </c>
      <c r="AC63" s="285">
        <f t="shared" si="36"/>
        <v>417467.88</v>
      </c>
      <c r="AD63" s="285">
        <f t="shared" si="37"/>
        <v>347886.72</v>
      </c>
      <c r="AE63" s="286">
        <v>0</v>
      </c>
      <c r="AF63" s="287">
        <f t="shared" si="18"/>
        <v>0</v>
      </c>
      <c r="AG63" s="288">
        <f t="shared" si="19"/>
        <v>0</v>
      </c>
      <c r="AH63" s="285">
        <f t="shared" si="20"/>
        <v>1183192.1000000001</v>
      </c>
      <c r="AI63" s="286">
        <v>0</v>
      </c>
      <c r="AJ63" s="286">
        <v>0</v>
      </c>
      <c r="AK63" s="286">
        <v>0</v>
      </c>
      <c r="AL63" s="285">
        <f t="shared" si="21"/>
        <v>3283037.96</v>
      </c>
      <c r="AM63" s="285">
        <f t="shared" si="22"/>
        <v>3283038</v>
      </c>
      <c r="AN63" s="289">
        <f t="shared" si="38"/>
        <v>1</v>
      </c>
      <c r="AO63" s="290">
        <f t="shared" si="23"/>
        <v>-113361</v>
      </c>
      <c r="AP63" s="290">
        <f t="shared" si="24"/>
        <v>0</v>
      </c>
      <c r="AQ63" s="290">
        <f t="shared" si="25"/>
        <v>310437</v>
      </c>
      <c r="AR63" s="290">
        <f t="shared" si="26"/>
        <v>0</v>
      </c>
      <c r="AS63" s="290">
        <f t="shared" si="27"/>
        <v>0</v>
      </c>
      <c r="AT63" s="290">
        <f t="shared" si="28"/>
        <v>3480114</v>
      </c>
      <c r="AU63" s="291">
        <f t="shared" si="29"/>
        <v>3480113.96</v>
      </c>
      <c r="AV63" s="291">
        <f t="shared" si="46"/>
        <v>4.0000000037252903E-2</v>
      </c>
      <c r="AW63" s="292">
        <f t="shared" si="30"/>
        <v>1578270.08</v>
      </c>
      <c r="AX63" s="293">
        <f t="shared" si="31"/>
        <v>512575.78</v>
      </c>
      <c r="BC63" s="276">
        <f>IF(BI63=1,IF(BC62=MiscData!$F$1,EOMONTH(BC62,-11),EOMONTH(BC62,1)),BC62)</f>
        <v>42063</v>
      </c>
      <c r="BD63" s="275" t="str">
        <f t="shared" si="40"/>
        <v>20140101LGINE643</v>
      </c>
      <c r="BE63" s="294" t="str">
        <f t="shared" si="41"/>
        <v>20140101RTS</v>
      </c>
      <c r="BF63">
        <f>MiscData!$X$5</f>
        <v>20140101</v>
      </c>
      <c r="BI63" s="265">
        <f>IF(BI62+1&gt;MiscData!$Z$42,1,BI62+1)</f>
        <v>22</v>
      </c>
      <c r="BJ63" s="265" t="str">
        <f>VLOOKUP(BI63,MiscData!$Z$5:$AB$46,2,FALSE)</f>
        <v>LGINE643</v>
      </c>
      <c r="BK63" s="265" t="str">
        <f>VLOOKUP(BI63,MiscData!$Z$5:$AB$46,3,FALSE)</f>
        <v>RTS</v>
      </c>
    </row>
    <row r="64" spans="1:63" hidden="1">
      <c r="A64" s="275">
        <v>57</v>
      </c>
      <c r="B64" s="276" t="str">
        <f t="shared" si="32"/>
        <v>Feb 2015</v>
      </c>
      <c r="C64" s="277" t="str">
        <f t="shared" si="33"/>
        <v>PSS</v>
      </c>
      <c r="D64" s="277" t="str">
        <f t="shared" si="34"/>
        <v>LGINE661</v>
      </c>
      <c r="E64" s="278">
        <f t="shared" si="0"/>
        <v>223</v>
      </c>
      <c r="F64" s="279">
        <v>0</v>
      </c>
      <c r="G64" s="278">
        <f t="shared" si="1"/>
        <v>0</v>
      </c>
      <c r="H64" s="278">
        <f t="shared" si="2"/>
        <v>0</v>
      </c>
      <c r="I64" s="278">
        <f t="shared" si="3"/>
        <v>0</v>
      </c>
      <c r="J64" s="278">
        <f t="shared" si="4"/>
        <v>19552110</v>
      </c>
      <c r="K64" s="280">
        <v>0</v>
      </c>
      <c r="L64" s="281">
        <f t="shared" si="5"/>
        <v>0</v>
      </c>
      <c r="M64" s="281">
        <f t="shared" si="6"/>
        <v>61759.199999999997</v>
      </c>
      <c r="N64" s="281">
        <f t="shared" si="7"/>
        <v>0</v>
      </c>
      <c r="O64" s="282">
        <v>0</v>
      </c>
      <c r="P64" s="282">
        <v>0</v>
      </c>
      <c r="Q64" s="282">
        <v>0</v>
      </c>
      <c r="R64" s="283">
        <f t="shared" si="8"/>
        <v>90</v>
      </c>
      <c r="S64" s="284">
        <f t="shared" si="45"/>
        <v>4.0599999999999997E-2</v>
      </c>
      <c r="T64" s="284">
        <f t="shared" si="10"/>
        <v>0</v>
      </c>
      <c r="U64" s="284">
        <f t="shared" si="11"/>
        <v>0</v>
      </c>
      <c r="V64" s="284">
        <f t="shared" si="12"/>
        <v>2.725E-2</v>
      </c>
      <c r="W64" s="283">
        <f t="shared" si="13"/>
        <v>0</v>
      </c>
      <c r="X64" s="283">
        <f t="shared" si="14"/>
        <v>14.010000000000002</v>
      </c>
      <c r="Y64" s="283">
        <f t="shared" si="15"/>
        <v>16.399999999999999</v>
      </c>
      <c r="Z64" s="285">
        <f t="shared" si="16"/>
        <v>20070</v>
      </c>
      <c r="AA64" s="285">
        <f t="shared" si="17"/>
        <v>793815.67</v>
      </c>
      <c r="AB64" s="285">
        <f t="shared" si="35"/>
        <v>0</v>
      </c>
      <c r="AC64" s="285">
        <f t="shared" si="36"/>
        <v>865246.39</v>
      </c>
      <c r="AD64" s="285">
        <f t="shared" si="37"/>
        <v>0</v>
      </c>
      <c r="AE64" s="286">
        <v>0</v>
      </c>
      <c r="AF64" s="287">
        <f t="shared" si="18"/>
        <v>0</v>
      </c>
      <c r="AG64" s="288">
        <f t="shared" si="19"/>
        <v>0</v>
      </c>
      <c r="AH64" s="285">
        <f t="shared" si="20"/>
        <v>865246.39</v>
      </c>
      <c r="AI64" s="286">
        <v>0</v>
      </c>
      <c r="AJ64" s="286">
        <v>0</v>
      </c>
      <c r="AK64" s="286">
        <v>0</v>
      </c>
      <c r="AL64" s="285">
        <f t="shared" si="21"/>
        <v>1679132.06</v>
      </c>
      <c r="AM64" s="285">
        <f t="shared" si="22"/>
        <v>1679132</v>
      </c>
      <c r="AN64" s="289">
        <f t="shared" si="38"/>
        <v>1</v>
      </c>
      <c r="AO64" s="290">
        <f t="shared" si="23"/>
        <v>-38269</v>
      </c>
      <c r="AP64" s="290">
        <f t="shared" si="24"/>
        <v>31017</v>
      </c>
      <c r="AQ64" s="290">
        <f t="shared" si="25"/>
        <v>104798</v>
      </c>
      <c r="AR64" s="290">
        <f t="shared" si="26"/>
        <v>0</v>
      </c>
      <c r="AS64" s="290">
        <f t="shared" si="27"/>
        <v>0</v>
      </c>
      <c r="AT64" s="290">
        <f t="shared" si="28"/>
        <v>1776678</v>
      </c>
      <c r="AU64" s="291">
        <f t="shared" si="29"/>
        <v>1776678.06</v>
      </c>
      <c r="AV64" s="291">
        <f t="shared" si="46"/>
        <v>-6.0000000055879354E-2</v>
      </c>
      <c r="AW64" s="292">
        <f t="shared" si="30"/>
        <v>532795</v>
      </c>
      <c r="AX64" s="293">
        <f t="shared" si="31"/>
        <v>261020.67000000004</v>
      </c>
      <c r="BC64" s="276">
        <f>IF(BI64=1,IF(BC63=MiscData!$F$1,EOMONTH(BC63,-11),EOMONTH(BC63,1)),BC63)</f>
        <v>42063</v>
      </c>
      <c r="BD64" s="275" t="str">
        <f t="shared" si="40"/>
        <v>20140101LGINE661</v>
      </c>
      <c r="BE64" s="294" t="str">
        <f t="shared" si="41"/>
        <v>20140101PSS</v>
      </c>
      <c r="BF64">
        <f>MiscData!$X$5</f>
        <v>20140101</v>
      </c>
      <c r="BI64" s="265">
        <f>IF(BI63+1&gt;MiscData!$Z$42,1,BI63+1)</f>
        <v>23</v>
      </c>
      <c r="BJ64" s="265" t="str">
        <f>VLOOKUP(BI64,MiscData!$Z$5:$AB$46,2,FALSE)</f>
        <v>LGINE661</v>
      </c>
      <c r="BK64" s="265" t="str">
        <f>VLOOKUP(BI64,MiscData!$Z$5:$AB$46,3,FALSE)</f>
        <v>PSS</v>
      </c>
    </row>
    <row r="65" spans="1:63" hidden="1">
      <c r="A65" s="275">
        <v>58</v>
      </c>
      <c r="B65" s="276" t="str">
        <f t="shared" si="32"/>
        <v>Feb 2015</v>
      </c>
      <c r="C65" s="277" t="str">
        <f t="shared" si="33"/>
        <v>PSP</v>
      </c>
      <c r="D65" s="277" t="str">
        <f t="shared" si="34"/>
        <v>LGINE663</v>
      </c>
      <c r="E65" s="278">
        <f t="shared" si="0"/>
        <v>21</v>
      </c>
      <c r="F65" s="279">
        <v>0</v>
      </c>
      <c r="G65" s="278">
        <f t="shared" si="1"/>
        <v>0</v>
      </c>
      <c r="H65" s="278">
        <f t="shared" si="2"/>
        <v>0</v>
      </c>
      <c r="I65" s="278">
        <f t="shared" si="3"/>
        <v>0</v>
      </c>
      <c r="J65" s="278">
        <f t="shared" si="4"/>
        <v>993661</v>
      </c>
      <c r="K65" s="280">
        <v>0</v>
      </c>
      <c r="L65" s="281">
        <f t="shared" si="5"/>
        <v>0</v>
      </c>
      <c r="M65" s="281">
        <f t="shared" si="6"/>
        <v>3603.29</v>
      </c>
      <c r="N65" s="281">
        <f t="shared" si="7"/>
        <v>0</v>
      </c>
      <c r="O65" s="282">
        <v>0</v>
      </c>
      <c r="P65" s="282">
        <v>0</v>
      </c>
      <c r="Q65" s="282">
        <v>0</v>
      </c>
      <c r="R65" s="283">
        <f t="shared" si="8"/>
        <v>170</v>
      </c>
      <c r="S65" s="284">
        <f t="shared" si="45"/>
        <v>3.9260000000000003E-2</v>
      </c>
      <c r="T65" s="284">
        <f t="shared" si="10"/>
        <v>0</v>
      </c>
      <c r="U65" s="284">
        <f t="shared" si="11"/>
        <v>0</v>
      </c>
      <c r="V65" s="284">
        <f t="shared" si="12"/>
        <v>2.725E-2</v>
      </c>
      <c r="W65" s="283">
        <f t="shared" si="13"/>
        <v>0</v>
      </c>
      <c r="X65" s="283">
        <f t="shared" si="14"/>
        <v>11.660000000000002</v>
      </c>
      <c r="Y65" s="283">
        <f t="shared" si="15"/>
        <v>13.950000000000001</v>
      </c>
      <c r="Z65" s="285">
        <f t="shared" si="16"/>
        <v>3570</v>
      </c>
      <c r="AA65" s="285">
        <f t="shared" si="17"/>
        <v>39011.129999999997</v>
      </c>
      <c r="AB65" s="285">
        <f t="shared" si="35"/>
        <v>0</v>
      </c>
      <c r="AC65" s="285">
        <f t="shared" si="36"/>
        <v>42014.36</v>
      </c>
      <c r="AD65" s="285">
        <f t="shared" si="37"/>
        <v>0</v>
      </c>
      <c r="AE65" s="286">
        <v>0</v>
      </c>
      <c r="AF65" s="287">
        <f t="shared" si="18"/>
        <v>0</v>
      </c>
      <c r="AG65" s="288">
        <f t="shared" si="19"/>
        <v>0</v>
      </c>
      <c r="AH65" s="285">
        <f t="shared" si="20"/>
        <v>42014.36</v>
      </c>
      <c r="AI65" s="286">
        <v>0</v>
      </c>
      <c r="AJ65" s="286">
        <v>0</v>
      </c>
      <c r="AK65" s="286">
        <v>0</v>
      </c>
      <c r="AL65" s="285">
        <f t="shared" si="21"/>
        <v>84595.489999999991</v>
      </c>
      <c r="AM65" s="285">
        <f t="shared" si="22"/>
        <v>84596</v>
      </c>
      <c r="AN65" s="289">
        <f t="shared" si="38"/>
        <v>1.000006</v>
      </c>
      <c r="AO65" s="290">
        <f t="shared" si="23"/>
        <v>-1945</v>
      </c>
      <c r="AP65" s="290">
        <f t="shared" si="24"/>
        <v>1576</v>
      </c>
      <c r="AQ65" s="290">
        <f t="shared" si="25"/>
        <v>5326</v>
      </c>
      <c r="AR65" s="290">
        <f t="shared" si="26"/>
        <v>0</v>
      </c>
      <c r="AS65" s="290">
        <f t="shared" si="27"/>
        <v>0</v>
      </c>
      <c r="AT65" s="290">
        <f t="shared" si="28"/>
        <v>89553</v>
      </c>
      <c r="AU65" s="291">
        <f t="shared" si="29"/>
        <v>89552.489999999991</v>
      </c>
      <c r="AV65" s="291">
        <f>ROUND(AT65-AU65,2)</f>
        <v>0.51</v>
      </c>
      <c r="AW65" s="292">
        <f t="shared" si="30"/>
        <v>27077.26</v>
      </c>
      <c r="AX65" s="293">
        <f t="shared" si="31"/>
        <v>11933.869999999999</v>
      </c>
      <c r="BC65" s="276">
        <f>IF(BI65=1,IF(BC64=MiscData!$F$1,EOMONTH(BC64,-11),EOMONTH(BC64,1)),BC64)</f>
        <v>42063</v>
      </c>
      <c r="BD65" s="275" t="str">
        <f t="shared" si="40"/>
        <v>20140101LGINE663</v>
      </c>
      <c r="BE65" s="294" t="str">
        <f t="shared" si="41"/>
        <v>20140101PSP</v>
      </c>
      <c r="BF65">
        <f>MiscData!$X$5</f>
        <v>20140101</v>
      </c>
      <c r="BI65" s="265">
        <f>IF(BI64+1&gt;MiscData!$Z$42,1,BI64+1)</f>
        <v>24</v>
      </c>
      <c r="BJ65" s="265" t="str">
        <f>VLOOKUP(BI65,MiscData!$Z$5:$AB$46,2,FALSE)</f>
        <v>LGINE663</v>
      </c>
      <c r="BK65" s="265" t="str">
        <f>VLOOKUP(BI65,MiscData!$Z$5:$AB$46,3,FALSE)</f>
        <v>PSP</v>
      </c>
    </row>
    <row r="66" spans="1:63" hidden="1">
      <c r="A66" s="275">
        <v>59</v>
      </c>
      <c r="B66" s="276" t="str">
        <f t="shared" si="32"/>
        <v>Feb 2015</v>
      </c>
      <c r="C66" s="277" t="str">
        <f t="shared" si="33"/>
        <v>TODS</v>
      </c>
      <c r="D66" s="277" t="str">
        <f t="shared" si="34"/>
        <v>LGINE691</v>
      </c>
      <c r="E66" s="278">
        <f t="shared" si="0"/>
        <v>88</v>
      </c>
      <c r="F66" s="279">
        <v>0</v>
      </c>
      <c r="G66" s="278">
        <f t="shared" si="1"/>
        <v>0</v>
      </c>
      <c r="H66" s="278">
        <f t="shared" si="2"/>
        <v>0</v>
      </c>
      <c r="I66" s="278">
        <f t="shared" si="3"/>
        <v>0</v>
      </c>
      <c r="J66" s="278">
        <f t="shared" si="4"/>
        <v>19185880</v>
      </c>
      <c r="K66" s="280">
        <v>0</v>
      </c>
      <c r="L66" s="281">
        <f t="shared" si="5"/>
        <v>48977.26</v>
      </c>
      <c r="M66" s="281">
        <f t="shared" si="6"/>
        <v>44593.03</v>
      </c>
      <c r="N66" s="281">
        <f t="shared" si="7"/>
        <v>43810.98</v>
      </c>
      <c r="O66" s="282">
        <v>0</v>
      </c>
      <c r="P66" s="282">
        <v>0</v>
      </c>
      <c r="Q66" s="282">
        <v>0</v>
      </c>
      <c r="R66" s="283">
        <f t="shared" si="8"/>
        <v>200</v>
      </c>
      <c r="S66" s="284">
        <f t="shared" si="45"/>
        <v>3.9899999999999998E-2</v>
      </c>
      <c r="T66" s="284">
        <f t="shared" si="10"/>
        <v>0</v>
      </c>
      <c r="U66" s="284">
        <f t="shared" si="11"/>
        <v>0</v>
      </c>
      <c r="V66" s="284">
        <f t="shared" si="12"/>
        <v>2.725E-2</v>
      </c>
      <c r="W66" s="283">
        <f t="shared" si="13"/>
        <v>4</v>
      </c>
      <c r="X66" s="283">
        <f t="shared" si="14"/>
        <v>4.5100000000000007</v>
      </c>
      <c r="Y66" s="283">
        <f t="shared" si="15"/>
        <v>6.11</v>
      </c>
      <c r="Z66" s="285">
        <f t="shared" si="16"/>
        <v>17600</v>
      </c>
      <c r="AA66" s="285">
        <f t="shared" si="17"/>
        <v>765516.61</v>
      </c>
      <c r="AB66" s="285">
        <f t="shared" si="35"/>
        <v>195909.04</v>
      </c>
      <c r="AC66" s="285">
        <f t="shared" si="36"/>
        <v>201114.57</v>
      </c>
      <c r="AD66" s="285">
        <f t="shared" si="37"/>
        <v>267685.09000000003</v>
      </c>
      <c r="AE66" s="286">
        <v>0</v>
      </c>
      <c r="AF66" s="287">
        <f t="shared" si="18"/>
        <v>0</v>
      </c>
      <c r="AG66" s="288">
        <f t="shared" si="19"/>
        <v>0</v>
      </c>
      <c r="AH66" s="285">
        <f t="shared" si="20"/>
        <v>664708.69999999995</v>
      </c>
      <c r="AI66" s="286">
        <v>0</v>
      </c>
      <c r="AJ66" s="286">
        <v>0</v>
      </c>
      <c r="AK66" s="286">
        <v>0</v>
      </c>
      <c r="AL66" s="285">
        <f t="shared" si="21"/>
        <v>1447825.31</v>
      </c>
      <c r="AM66" s="285">
        <f t="shared" si="22"/>
        <v>1447826</v>
      </c>
      <c r="AN66" s="289">
        <f t="shared" si="38"/>
        <v>1</v>
      </c>
      <c r="AO66" s="290">
        <f t="shared" si="23"/>
        <v>-37552</v>
      </c>
      <c r="AP66" s="290">
        <f t="shared" si="24"/>
        <v>30436</v>
      </c>
      <c r="AQ66" s="290">
        <f t="shared" si="25"/>
        <v>102835</v>
      </c>
      <c r="AR66" s="290">
        <f t="shared" si="26"/>
        <v>0</v>
      </c>
      <c r="AS66" s="290">
        <f t="shared" si="27"/>
        <v>0</v>
      </c>
      <c r="AT66" s="290">
        <f t="shared" si="28"/>
        <v>1543545</v>
      </c>
      <c r="AU66" s="291">
        <f t="shared" si="29"/>
        <v>1543544.31</v>
      </c>
      <c r="AV66" s="291">
        <f t="shared" si="46"/>
        <v>0.68999999994412065</v>
      </c>
      <c r="AW66" s="292">
        <f t="shared" si="30"/>
        <v>522815.23</v>
      </c>
      <c r="AX66" s="293">
        <f t="shared" si="31"/>
        <v>242701.38</v>
      </c>
      <c r="BC66" s="276">
        <f>IF(BI66=1,IF(BC65=MiscData!$F$1,EOMONTH(BC65,-11),EOMONTH(BC65,1)),BC65)</f>
        <v>42063</v>
      </c>
      <c r="BD66" s="275" t="str">
        <f t="shared" si="40"/>
        <v>20140101LGINE691</v>
      </c>
      <c r="BE66" s="294" t="str">
        <f t="shared" si="41"/>
        <v>20140101TODS</v>
      </c>
      <c r="BF66">
        <f>MiscData!$X$5</f>
        <v>20140101</v>
      </c>
      <c r="BI66" s="265">
        <f>IF(BI65+1&gt;MiscData!$Z$42,1,BI65+1)</f>
        <v>25</v>
      </c>
      <c r="BJ66" s="265" t="str">
        <f>VLOOKUP(BI66,MiscData!$Z$5:$AB$46,2,FALSE)</f>
        <v>LGINE691</v>
      </c>
      <c r="BK66" s="265" t="str">
        <f>VLOOKUP(BI66,MiscData!$Z$5:$AB$46,3,FALSE)</f>
        <v>TODS</v>
      </c>
    </row>
    <row r="67" spans="1:63" hidden="1">
      <c r="A67" s="275">
        <v>60</v>
      </c>
      <c r="B67" s="276" t="str">
        <f t="shared" si="32"/>
        <v>Feb 2015</v>
      </c>
      <c r="C67" s="277" t="str">
        <f t="shared" si="33"/>
        <v>ITODP</v>
      </c>
      <c r="D67" s="277" t="str">
        <f t="shared" si="34"/>
        <v>LGINE693</v>
      </c>
      <c r="E67" s="278">
        <f t="shared" si="0"/>
        <v>67</v>
      </c>
      <c r="F67" s="279">
        <v>0</v>
      </c>
      <c r="G67" s="278">
        <f t="shared" si="1"/>
        <v>0</v>
      </c>
      <c r="H67" s="278">
        <f t="shared" si="2"/>
        <v>0</v>
      </c>
      <c r="I67" s="278">
        <f t="shared" si="3"/>
        <v>0</v>
      </c>
      <c r="J67" s="278">
        <f t="shared" si="4"/>
        <v>125299763</v>
      </c>
      <c r="K67" s="280">
        <v>0</v>
      </c>
      <c r="L67" s="281">
        <f t="shared" si="5"/>
        <v>307717.53999999998</v>
      </c>
      <c r="M67" s="281">
        <f t="shared" si="6"/>
        <v>279364.98</v>
      </c>
      <c r="N67" s="281">
        <f t="shared" si="7"/>
        <v>275653.94</v>
      </c>
      <c r="O67" s="282">
        <v>0</v>
      </c>
      <c r="P67" s="282">
        <v>0</v>
      </c>
      <c r="Q67" s="282">
        <v>0</v>
      </c>
      <c r="R67" s="283">
        <f t="shared" si="8"/>
        <v>300</v>
      </c>
      <c r="S67" s="284">
        <f t="shared" si="45"/>
        <v>3.5380000000000002E-2</v>
      </c>
      <c r="T67" s="284">
        <f t="shared" si="10"/>
        <v>0</v>
      </c>
      <c r="U67" s="284">
        <f t="shared" si="11"/>
        <v>0</v>
      </c>
      <c r="V67" s="284">
        <f t="shared" si="12"/>
        <v>2.725E-2</v>
      </c>
      <c r="W67" s="283">
        <f t="shared" si="13"/>
        <v>3.6300000000000003</v>
      </c>
      <c r="X67" s="283">
        <f t="shared" si="14"/>
        <v>3.7900000000000005</v>
      </c>
      <c r="Y67" s="283">
        <f t="shared" si="15"/>
        <v>4.63</v>
      </c>
      <c r="Z67" s="285">
        <f t="shared" si="16"/>
        <v>20100</v>
      </c>
      <c r="AA67" s="285">
        <f t="shared" si="17"/>
        <v>4433105.6100000003</v>
      </c>
      <c r="AB67" s="285">
        <f t="shared" si="35"/>
        <v>1117014.67</v>
      </c>
      <c r="AC67" s="285">
        <f t="shared" si="36"/>
        <v>1058793.27</v>
      </c>
      <c r="AD67" s="285">
        <f t="shared" si="37"/>
        <v>1276277.74</v>
      </c>
      <c r="AE67" s="286">
        <v>0</v>
      </c>
      <c r="AF67" s="287">
        <f t="shared" si="18"/>
        <v>0</v>
      </c>
      <c r="AG67" s="288">
        <f t="shared" si="19"/>
        <v>0</v>
      </c>
      <c r="AH67" s="285">
        <f t="shared" si="20"/>
        <v>3452085.6799999997</v>
      </c>
      <c r="AI67" s="286">
        <v>0</v>
      </c>
      <c r="AJ67" s="286">
        <v>0</v>
      </c>
      <c r="AK67" s="286">
        <v>0</v>
      </c>
      <c r="AL67" s="285">
        <f t="shared" si="21"/>
        <v>7905291.290000001</v>
      </c>
      <c r="AM67" s="285">
        <f t="shared" si="22"/>
        <v>7905292</v>
      </c>
      <c r="AN67" s="289">
        <f t="shared" si="38"/>
        <v>1</v>
      </c>
      <c r="AO67" s="290">
        <f t="shared" si="23"/>
        <v>-245245</v>
      </c>
      <c r="AP67" s="290">
        <f t="shared" si="24"/>
        <v>198773</v>
      </c>
      <c r="AQ67" s="290">
        <f t="shared" si="25"/>
        <v>671598</v>
      </c>
      <c r="AR67" s="290">
        <f t="shared" si="26"/>
        <v>0</v>
      </c>
      <c r="AS67" s="290">
        <f t="shared" si="27"/>
        <v>0</v>
      </c>
      <c r="AT67" s="290">
        <f t="shared" si="28"/>
        <v>8530418</v>
      </c>
      <c r="AU67" s="291">
        <f t="shared" si="29"/>
        <v>8530417.290000001</v>
      </c>
      <c r="AV67" s="291">
        <f t="shared" si="46"/>
        <v>0.70999999903142452</v>
      </c>
      <c r="AW67" s="292">
        <f t="shared" si="30"/>
        <v>3414418.54</v>
      </c>
      <c r="AX67" s="293">
        <f t="shared" si="31"/>
        <v>1018687.0700000003</v>
      </c>
      <c r="BC67" s="276">
        <f>IF(BI67=1,IF(BC66=MiscData!$F$1,EOMONTH(BC66,-11),EOMONTH(BC66,1)),BC66)</f>
        <v>42063</v>
      </c>
      <c r="BD67" s="275" t="str">
        <f t="shared" si="40"/>
        <v>20140101LGINE693</v>
      </c>
      <c r="BE67" s="294" t="str">
        <f t="shared" si="41"/>
        <v>20140101ITODP</v>
      </c>
      <c r="BF67">
        <f>MiscData!$X$5</f>
        <v>20140101</v>
      </c>
      <c r="BI67" s="265">
        <f>IF(BI66+1&gt;MiscData!$Z$42,1,BI66+1)</f>
        <v>26</v>
      </c>
      <c r="BJ67" s="265" t="str">
        <f>VLOOKUP(BI67,MiscData!$Z$5:$AB$46,2,FALSE)</f>
        <v>LGINE693</v>
      </c>
      <c r="BK67" s="265" t="str">
        <f>VLOOKUP(BI67,MiscData!$Z$5:$AB$46,3,FALSE)</f>
        <v>ITODP</v>
      </c>
    </row>
    <row r="68" spans="1:63" hidden="1">
      <c r="A68" s="275">
        <v>61</v>
      </c>
      <c r="B68" s="276" t="str">
        <f t="shared" si="32"/>
        <v>Feb 2015</v>
      </c>
      <c r="C68" s="277" t="str">
        <f t="shared" si="33"/>
        <v>ITODP</v>
      </c>
      <c r="D68" s="277" t="str">
        <f t="shared" si="34"/>
        <v>LGINE694</v>
      </c>
      <c r="E68" s="278">
        <f t="shared" ref="E68:E131" si="48">SUMIFS(L_1022_Count,L_1022_Revenue_Month,$B68,L_1022_Rate_Category,$D68)</f>
        <v>0</v>
      </c>
      <c r="F68" s="279">
        <v>0</v>
      </c>
      <c r="G68" s="278">
        <f t="shared" ref="G68:G131" si="49">SUMIFS(L_1022_KWH_P1,L_1022_Revenue_Month,$B68,L_1022_Rate_Category,$D68)</f>
        <v>0</v>
      </c>
      <c r="H68" s="278">
        <f t="shared" ref="H68:H131" si="50">SUMIFS(L_1022_KWH_P2,L_1022_Revenue_Month,$B68,L_1022_Rate_Category,$D68)</f>
        <v>0</v>
      </c>
      <c r="I68" s="278">
        <f t="shared" ref="I68:I131" si="51">SUMIFS(L_1022_KWH_P3,L_1022_Revenue_Month,$B68,L_1022_Rate_Category,$D68)</f>
        <v>0</v>
      </c>
      <c r="J68" s="278">
        <f t="shared" ref="J68:J131" si="52">SUMIFS(L_1022_KWH_Total,L_1022_Revenue_Month,$B68,L_1022_Rate_Category,$D68)</f>
        <v>0</v>
      </c>
      <c r="K68" s="280">
        <v>0</v>
      </c>
      <c r="L68" s="281">
        <f t="shared" ref="L68:L131" si="53">SUMIFS(L_1022_Demand_Base_Measured,L_1022_Revenue_Month,$B68,L_1022_Rate_Category,$D68)</f>
        <v>0</v>
      </c>
      <c r="M68" s="281">
        <f t="shared" ref="M68:M131" si="54">SUMIFS(L_1022_Demand_Inter_Measured,L_1022_Revenue_Month,$B68,L_1022_Rate_Category,$D68)</f>
        <v>0</v>
      </c>
      <c r="N68" s="281">
        <f t="shared" ref="N68:N131" si="55">SUMIFS(L_1022_Demand_Peak_Measured,L_1022_Revenue_Month,$B68,L_1022_Rate_Category,$D68)</f>
        <v>0</v>
      </c>
      <c r="O68" s="282">
        <v>0</v>
      </c>
      <c r="P68" s="282">
        <v>0</v>
      </c>
      <c r="Q68" s="282">
        <v>0</v>
      </c>
      <c r="R68" s="283">
        <f t="shared" ref="R68:R130" si="56">SUMIF(L_Rates_Tariff_Rate_Category,BD68,L_Rates_BSC)</f>
        <v>300</v>
      </c>
      <c r="S68" s="284">
        <f t="shared" si="45"/>
        <v>3.5380000000000002E-2</v>
      </c>
      <c r="T68" s="284">
        <f t="shared" ref="T68:T131" si="57">SUMIF(L_Rates_Tariff_Rate_Category,$BD68,L_Rates_Energy_P2)</f>
        <v>0</v>
      </c>
      <c r="U68" s="284">
        <f t="shared" ref="U68:U131" si="58">SUMIF(L_Rates_Tariff_Rate_Category,$BD68,L_Rates_Energy_P3)</f>
        <v>0</v>
      </c>
      <c r="V68" s="284">
        <f t="shared" ref="V68:V131" si="59">SUMIF(L_Rates_Tariff_Rate_Category,$BD68,L_Rates_Energy_Base_Fuel)</f>
        <v>2.725E-2</v>
      </c>
      <c r="W68" s="283">
        <f t="shared" ref="W68:W131" si="60">SUMIF(L_Rates_Tariff_Rate_Category,$BD68,L_Rates_Demand_Base)</f>
        <v>3.6300000000000003</v>
      </c>
      <c r="X68" s="283">
        <f t="shared" ref="X68:X131" si="61">SUMIF(L_Rates_Tariff_Rate_Category,$BD68,L_Rates_Demand_Intermediate)</f>
        <v>3.7900000000000005</v>
      </c>
      <c r="Y68" s="283">
        <f t="shared" ref="Y68:Y131" si="62">SUMIF(L_Rates_Tariff_Rate_Category,$BD68,L_Rates_Demand_Peak)</f>
        <v>4.63</v>
      </c>
      <c r="Z68" s="285">
        <f t="shared" ref="Z68:Z131" si="63">ROUND(($E68+$F68)*$R68,2)</f>
        <v>0</v>
      </c>
      <c r="AA68" s="285">
        <f t="shared" ref="AA68:AA131" si="64">ROUND(IF(G68=0,(J68+K68)*S68,SUMPRODUCT(G68:I68,S68:U68)),2)</f>
        <v>0</v>
      </c>
      <c r="AB68" s="285">
        <f t="shared" si="35"/>
        <v>0</v>
      </c>
      <c r="AC68" s="285">
        <f t="shared" si="36"/>
        <v>0</v>
      </c>
      <c r="AD68" s="285">
        <f t="shared" si="37"/>
        <v>0</v>
      </c>
      <c r="AE68" s="286">
        <v>0</v>
      </c>
      <c r="AF68" s="287">
        <f t="shared" ref="AF68:AF131" si="65">SUMIFS(L_1022_Revenue_Power_Factor,L_1022_Revenue_Month,$B68,L_1022_Rate_Category,$D68)</f>
        <v>0</v>
      </c>
      <c r="AG68" s="288">
        <f t="shared" ref="AG68:AG131" si="66">ROUND(Q68*Y68+P68*X68+O68*W68,2)</f>
        <v>0</v>
      </c>
      <c r="AH68" s="285">
        <f t="shared" ref="AH68:AH131" si="67">SUM(AB68:AG68)</f>
        <v>0</v>
      </c>
      <c r="AI68" s="286">
        <v>0</v>
      </c>
      <c r="AJ68" s="286">
        <v>0</v>
      </c>
      <c r="AK68" s="286">
        <v>0</v>
      </c>
      <c r="AL68" s="285">
        <f t="shared" ref="AL68:AL131" si="68">SUM(Z68:AG68,AI68:AK68)</f>
        <v>0</v>
      </c>
      <c r="AM68" s="285">
        <f t="shared" ref="AM68:AM131" si="69">AT68-SUM(AO68:AS68)</f>
        <v>0</v>
      </c>
      <c r="AN68" s="289">
        <f t="shared" si="38"/>
        <v>1</v>
      </c>
      <c r="AO68" s="290">
        <f t="shared" ref="AO68:AO131" si="70">SUMIFS(L_SBR_FAC,L_SBR_Revenue_Month,$B68,L_SBR_Rate_Category,$D68)</f>
        <v>0</v>
      </c>
      <c r="AP68" s="290">
        <f t="shared" ref="AP68:AP131" si="71">SUMIFS(L_SBR_DSM,L_SBR_Revenue_Month,$B68,L_SBR_Rate_Category,$D68)</f>
        <v>0</v>
      </c>
      <c r="AQ68" s="290">
        <f t="shared" ref="AQ68:AQ131" si="72">SUMIFS(L_SBR_ECR,L_SBR_Revenue_Month,$B68,L_SBR_Rate_Category,$D68)</f>
        <v>0</v>
      </c>
      <c r="AR68" s="290">
        <f t="shared" ref="AR68:AR131" si="73">SUMIFS(L_SBR_MSR,L_SBR_Revenue_Month,$B68,L_SBR_Rate_Category,$D68)</f>
        <v>0</v>
      </c>
      <c r="AS68" s="290">
        <f t="shared" ref="AS68:AS131" si="74">SUMIFS(L_SBR_CSR,L_SBR_Revenue_Month,$B68,L_SBR_Rate_Category,$D68)</f>
        <v>0</v>
      </c>
      <c r="AT68" s="290">
        <f t="shared" ref="AT68:AT131" si="75">SUMIFS(L_SBR_Revenue_Total,L_SBR_Revenue_Month,$B68,L_SBR_Rate_Category,$D68)</f>
        <v>0</v>
      </c>
      <c r="AU68" s="291">
        <f t="shared" ref="AU68:AU131" si="76">SUM(AL68,AO68:AS68)</f>
        <v>0</v>
      </c>
      <c r="AV68" s="291">
        <f t="shared" ref="AV68:AV74" si="77">ROUND(AT68-AU68,2)</f>
        <v>0</v>
      </c>
      <c r="AW68" s="292">
        <f t="shared" ref="AW68:AW131" si="78">ROUND(J68*V68,2)</f>
        <v>0</v>
      </c>
      <c r="AX68" s="293">
        <f t="shared" ref="AX68:AX131" si="79">AA68+AJ68-AW68</f>
        <v>0</v>
      </c>
      <c r="BC68" s="276">
        <f>IF(BI68=1,IF(BC67=MiscData!$F$1,EOMONTH(BC67,-11),EOMONTH(BC67,1)),BC67)</f>
        <v>42063</v>
      </c>
      <c r="BD68" s="275" t="str">
        <f t="shared" si="40"/>
        <v>20140101LGINE694</v>
      </c>
      <c r="BE68" s="294" t="str">
        <f t="shared" si="41"/>
        <v>20140101ITODP</v>
      </c>
      <c r="BF68">
        <f>MiscData!$X$5</f>
        <v>20140101</v>
      </c>
      <c r="BI68" s="265">
        <f>IF(BI67+1&gt;MiscData!$Z$42,1,BI67+1)</f>
        <v>27</v>
      </c>
      <c r="BJ68" s="265" t="str">
        <f>VLOOKUP(BI68,MiscData!$Z$5:$AB$46,2,FALSE)</f>
        <v>LGINE694</v>
      </c>
      <c r="BK68" s="265" t="str">
        <f>VLOOKUP(BI68,MiscData!$Z$5:$AB$46,3,FALSE)</f>
        <v>ITODP</v>
      </c>
    </row>
    <row r="69" spans="1:63" hidden="1">
      <c r="A69" s="275">
        <v>62</v>
      </c>
      <c r="B69" s="276" t="str">
        <f t="shared" ref="B69:B132" si="80">TEXT(BC69,"mmm yyyy")</f>
        <v>Feb 2015</v>
      </c>
      <c r="C69" s="277" t="str">
        <f t="shared" ref="C69:C132" si="81">BK69</f>
        <v>LE</v>
      </c>
      <c r="D69" s="277" t="str">
        <f t="shared" ref="D69:D132" si="82">BJ69</f>
        <v>LGMLE570</v>
      </c>
      <c r="E69" s="278">
        <f t="shared" si="48"/>
        <v>0</v>
      </c>
      <c r="F69" s="279">
        <v>0</v>
      </c>
      <c r="G69" s="278">
        <f t="shared" si="49"/>
        <v>0</v>
      </c>
      <c r="H69" s="278">
        <f t="shared" si="50"/>
        <v>0</v>
      </c>
      <c r="I69" s="278">
        <f t="shared" si="51"/>
        <v>0</v>
      </c>
      <c r="J69" s="278">
        <f t="shared" si="52"/>
        <v>0</v>
      </c>
      <c r="K69" s="280">
        <v>0</v>
      </c>
      <c r="L69" s="281">
        <f t="shared" si="53"/>
        <v>0</v>
      </c>
      <c r="M69" s="281">
        <f t="shared" si="54"/>
        <v>0</v>
      </c>
      <c r="N69" s="281">
        <f t="shared" si="55"/>
        <v>0</v>
      </c>
      <c r="O69" s="282">
        <v>0</v>
      </c>
      <c r="P69" s="282">
        <v>0</v>
      </c>
      <c r="Q69" s="282">
        <v>0</v>
      </c>
      <c r="R69" s="283">
        <f t="shared" si="56"/>
        <v>0</v>
      </c>
      <c r="S69" s="284">
        <f t="shared" si="45"/>
        <v>6.4610000000000001E-2</v>
      </c>
      <c r="T69" s="284">
        <f t="shared" si="57"/>
        <v>0</v>
      </c>
      <c r="U69" s="284">
        <f t="shared" si="58"/>
        <v>0</v>
      </c>
      <c r="V69" s="284">
        <f t="shared" si="59"/>
        <v>2.725E-2</v>
      </c>
      <c r="W69" s="283">
        <f t="shared" si="60"/>
        <v>0</v>
      </c>
      <c r="X69" s="283">
        <f t="shared" si="61"/>
        <v>0</v>
      </c>
      <c r="Y69" s="283">
        <f t="shared" si="62"/>
        <v>0</v>
      </c>
      <c r="Z69" s="285">
        <f t="shared" si="63"/>
        <v>0</v>
      </c>
      <c r="AA69" s="285">
        <f t="shared" si="64"/>
        <v>0</v>
      </c>
      <c r="AB69" s="285">
        <f t="shared" ref="AB69:AB132" si="83">ROUND(L69*W69,2)</f>
        <v>0</v>
      </c>
      <c r="AC69" s="285">
        <f t="shared" ref="AC69:AC132" si="84">ROUND(M69*X69,2)</f>
        <v>0</v>
      </c>
      <c r="AD69" s="285">
        <f t="shared" ref="AD69:AD132" si="85">ROUND(N69*Y69,2)</f>
        <v>0</v>
      </c>
      <c r="AE69" s="286">
        <v>0</v>
      </c>
      <c r="AF69" s="287">
        <f t="shared" si="65"/>
        <v>0</v>
      </c>
      <c r="AG69" s="288">
        <f t="shared" si="66"/>
        <v>0</v>
      </c>
      <c r="AH69" s="285">
        <f t="shared" si="67"/>
        <v>0</v>
      </c>
      <c r="AI69" s="286">
        <v>0</v>
      </c>
      <c r="AJ69" s="286">
        <v>0</v>
      </c>
      <c r="AK69" s="286">
        <v>0</v>
      </c>
      <c r="AL69" s="285">
        <f t="shared" si="68"/>
        <v>0</v>
      </c>
      <c r="AM69" s="285">
        <f t="shared" si="69"/>
        <v>0</v>
      </c>
      <c r="AN69" s="289">
        <f t="shared" ref="AN69:AN132" si="86">IF(AND(AL69=0,AM69=0),1,IF(AL69=0,0,ROUND(AM69/AL69,6)))</f>
        <v>1</v>
      </c>
      <c r="AO69" s="290">
        <f t="shared" si="70"/>
        <v>0</v>
      </c>
      <c r="AP69" s="290">
        <f t="shared" si="71"/>
        <v>0</v>
      </c>
      <c r="AQ69" s="290">
        <f t="shared" si="72"/>
        <v>0</v>
      </c>
      <c r="AR69" s="290">
        <f t="shared" si="73"/>
        <v>0</v>
      </c>
      <c r="AS69" s="290">
        <f t="shared" si="74"/>
        <v>0</v>
      </c>
      <c r="AT69" s="290">
        <f t="shared" si="75"/>
        <v>0</v>
      </c>
      <c r="AU69" s="291">
        <f t="shared" si="76"/>
        <v>0</v>
      </c>
      <c r="AV69" s="291">
        <f t="shared" si="77"/>
        <v>0</v>
      </c>
      <c r="AW69" s="292">
        <f t="shared" si="78"/>
        <v>0</v>
      </c>
      <c r="AX69" s="293">
        <f t="shared" si="79"/>
        <v>0</v>
      </c>
      <c r="BC69" s="276">
        <f>IF(BI69=1,IF(BC68=MiscData!$F$1,EOMONTH(BC68,-11),EOMONTH(BC68,1)),BC68)</f>
        <v>42063</v>
      </c>
      <c r="BD69" s="275" t="str">
        <f t="shared" ref="BD69:BD132" si="87">CONCATENATE(BF69&amp;BJ69)</f>
        <v>20140101LGMLE570</v>
      </c>
      <c r="BE69" s="294" t="str">
        <f t="shared" ref="BE69:BE132" si="88">CONCATENATE(BF69&amp;BK69)</f>
        <v>20140101LE</v>
      </c>
      <c r="BF69">
        <f>MiscData!$X$5</f>
        <v>20140101</v>
      </c>
      <c r="BI69" s="265">
        <f>IF(BI68+1&gt;MiscData!$Z$42,1,BI68+1)</f>
        <v>28</v>
      </c>
      <c r="BJ69" s="265" t="str">
        <f>VLOOKUP(BI69,MiscData!$Z$5:$AB$46,2,FALSE)</f>
        <v>LGMLE570</v>
      </c>
      <c r="BK69" s="265" t="str">
        <f>VLOOKUP(BI69,MiscData!$Z$5:$AB$46,3,FALSE)</f>
        <v>LE</v>
      </c>
    </row>
    <row r="70" spans="1:63" hidden="1">
      <c r="A70" s="275">
        <v>63</v>
      </c>
      <c r="B70" s="276" t="str">
        <f t="shared" si="80"/>
        <v>Feb 2015</v>
      </c>
      <c r="C70" s="277" t="str">
        <f t="shared" si="81"/>
        <v>LE</v>
      </c>
      <c r="D70" s="277" t="str">
        <f t="shared" si="82"/>
        <v>LGMLE571</v>
      </c>
      <c r="E70" s="278">
        <f t="shared" si="48"/>
        <v>156</v>
      </c>
      <c r="F70" s="279">
        <v>0</v>
      </c>
      <c r="G70" s="278">
        <f t="shared" si="49"/>
        <v>0</v>
      </c>
      <c r="H70" s="278">
        <f t="shared" si="50"/>
        <v>0</v>
      </c>
      <c r="I70" s="278">
        <f t="shared" si="51"/>
        <v>0</v>
      </c>
      <c r="J70" s="278">
        <f t="shared" si="52"/>
        <v>285906</v>
      </c>
      <c r="K70" s="280">
        <v>0</v>
      </c>
      <c r="L70" s="281">
        <f t="shared" si="53"/>
        <v>0</v>
      </c>
      <c r="M70" s="281">
        <f t="shared" si="54"/>
        <v>0</v>
      </c>
      <c r="N70" s="281">
        <f t="shared" si="55"/>
        <v>0</v>
      </c>
      <c r="O70" s="282">
        <v>0</v>
      </c>
      <c r="P70" s="282">
        <v>0</v>
      </c>
      <c r="Q70" s="282">
        <v>0</v>
      </c>
      <c r="R70" s="283">
        <f t="shared" si="56"/>
        <v>0</v>
      </c>
      <c r="S70" s="284">
        <f t="shared" si="45"/>
        <v>6.4610000000000001E-2</v>
      </c>
      <c r="T70" s="284">
        <f t="shared" si="57"/>
        <v>0</v>
      </c>
      <c r="U70" s="284">
        <f t="shared" si="58"/>
        <v>0</v>
      </c>
      <c r="V70" s="284">
        <f t="shared" si="59"/>
        <v>2.725E-2</v>
      </c>
      <c r="W70" s="283">
        <f t="shared" si="60"/>
        <v>0</v>
      </c>
      <c r="X70" s="283">
        <f t="shared" si="61"/>
        <v>0</v>
      </c>
      <c r="Y70" s="283">
        <f t="shared" si="62"/>
        <v>0</v>
      </c>
      <c r="Z70" s="285">
        <f t="shared" si="63"/>
        <v>0</v>
      </c>
      <c r="AA70" s="285">
        <f t="shared" si="64"/>
        <v>18472.39</v>
      </c>
      <c r="AB70" s="285">
        <f t="shared" si="83"/>
        <v>0</v>
      </c>
      <c r="AC70" s="285">
        <f t="shared" si="84"/>
        <v>0</v>
      </c>
      <c r="AD70" s="285">
        <f t="shared" si="85"/>
        <v>0</v>
      </c>
      <c r="AE70" s="286">
        <v>0</v>
      </c>
      <c r="AF70" s="287">
        <f t="shared" si="65"/>
        <v>0</v>
      </c>
      <c r="AG70" s="288">
        <f t="shared" si="66"/>
        <v>0</v>
      </c>
      <c r="AH70" s="285">
        <f t="shared" si="67"/>
        <v>0</v>
      </c>
      <c r="AI70" s="286">
        <v>0</v>
      </c>
      <c r="AJ70" s="286">
        <v>0</v>
      </c>
      <c r="AK70" s="286">
        <v>0</v>
      </c>
      <c r="AL70" s="285">
        <f t="shared" si="68"/>
        <v>18472.39</v>
      </c>
      <c r="AM70" s="285">
        <f t="shared" si="69"/>
        <v>18472</v>
      </c>
      <c r="AN70" s="289">
        <f t="shared" si="86"/>
        <v>0.99997899999999995</v>
      </c>
      <c r="AO70" s="290">
        <f t="shared" si="70"/>
        <v>-560</v>
      </c>
      <c r="AP70" s="290">
        <f t="shared" si="71"/>
        <v>0</v>
      </c>
      <c r="AQ70" s="290">
        <f t="shared" si="72"/>
        <v>1532</v>
      </c>
      <c r="AR70" s="290">
        <f t="shared" si="73"/>
        <v>0</v>
      </c>
      <c r="AS70" s="290">
        <f t="shared" si="74"/>
        <v>0</v>
      </c>
      <c r="AT70" s="290">
        <f t="shared" si="75"/>
        <v>19444</v>
      </c>
      <c r="AU70" s="291">
        <f t="shared" si="76"/>
        <v>19444.39</v>
      </c>
      <c r="AV70" s="291">
        <f t="shared" si="77"/>
        <v>-0.39</v>
      </c>
      <c r="AW70" s="292">
        <f t="shared" si="78"/>
        <v>7790.94</v>
      </c>
      <c r="AX70" s="293">
        <f t="shared" si="79"/>
        <v>10681.45</v>
      </c>
      <c r="BC70" s="276">
        <f>IF(BI70=1,IF(BC69=MiscData!$F$1,EOMONTH(BC69,-11),EOMONTH(BC69,1)),BC69)</f>
        <v>42063</v>
      </c>
      <c r="BD70" s="275" t="str">
        <f t="shared" si="87"/>
        <v>20140101LGMLE571</v>
      </c>
      <c r="BE70" s="294" t="str">
        <f t="shared" si="88"/>
        <v>20140101LE</v>
      </c>
      <c r="BF70">
        <f>MiscData!$X$5</f>
        <v>20140101</v>
      </c>
      <c r="BI70" s="265">
        <f>IF(BI69+1&gt;MiscData!$Z$42,1,BI69+1)</f>
        <v>29</v>
      </c>
      <c r="BJ70" s="265" t="str">
        <f>VLOOKUP(BI70,MiscData!$Z$5:$AB$46,2,FALSE)</f>
        <v>LGMLE571</v>
      </c>
      <c r="BK70" s="265" t="str">
        <f>VLOOKUP(BI70,MiscData!$Z$5:$AB$46,3,FALSE)</f>
        <v>LE</v>
      </c>
    </row>
    <row r="71" spans="1:63" hidden="1">
      <c r="A71" s="275">
        <v>64</v>
      </c>
      <c r="B71" s="276" t="str">
        <f t="shared" si="80"/>
        <v>Feb 2015</v>
      </c>
      <c r="C71" s="277" t="str">
        <f t="shared" si="81"/>
        <v>LE</v>
      </c>
      <c r="D71" s="277" t="str">
        <f t="shared" si="82"/>
        <v>LGMLE572</v>
      </c>
      <c r="E71" s="278">
        <f t="shared" si="48"/>
        <v>0</v>
      </c>
      <c r="F71" s="279">
        <v>0</v>
      </c>
      <c r="G71" s="278">
        <f t="shared" si="49"/>
        <v>0</v>
      </c>
      <c r="H71" s="278">
        <f t="shared" si="50"/>
        <v>0</v>
      </c>
      <c r="I71" s="278">
        <f t="shared" si="51"/>
        <v>0</v>
      </c>
      <c r="J71" s="278">
        <f t="shared" si="52"/>
        <v>0</v>
      </c>
      <c r="K71" s="280">
        <v>0</v>
      </c>
      <c r="L71" s="281">
        <f t="shared" si="53"/>
        <v>0</v>
      </c>
      <c r="M71" s="281">
        <f t="shared" si="54"/>
        <v>0</v>
      </c>
      <c r="N71" s="281">
        <f t="shared" si="55"/>
        <v>0</v>
      </c>
      <c r="O71" s="282">
        <v>0</v>
      </c>
      <c r="P71" s="282">
        <v>0</v>
      </c>
      <c r="Q71" s="282">
        <v>0</v>
      </c>
      <c r="R71" s="283">
        <f t="shared" si="56"/>
        <v>0</v>
      </c>
      <c r="S71" s="284">
        <f t="shared" si="45"/>
        <v>6.4610000000000001E-2</v>
      </c>
      <c r="T71" s="284">
        <f t="shared" si="57"/>
        <v>0</v>
      </c>
      <c r="U71" s="284">
        <f t="shared" si="58"/>
        <v>0</v>
      </c>
      <c r="V71" s="284">
        <f t="shared" si="59"/>
        <v>2.725E-2</v>
      </c>
      <c r="W71" s="283">
        <f t="shared" si="60"/>
        <v>0</v>
      </c>
      <c r="X71" s="283">
        <f t="shared" si="61"/>
        <v>0</v>
      </c>
      <c r="Y71" s="283">
        <f t="shared" si="62"/>
        <v>0</v>
      </c>
      <c r="Z71" s="285">
        <f t="shared" si="63"/>
        <v>0</v>
      </c>
      <c r="AA71" s="285">
        <f t="shared" si="64"/>
        <v>0</v>
      </c>
      <c r="AB71" s="285">
        <f t="shared" si="83"/>
        <v>0</v>
      </c>
      <c r="AC71" s="285">
        <f t="shared" si="84"/>
        <v>0</v>
      </c>
      <c r="AD71" s="285">
        <f t="shared" si="85"/>
        <v>0</v>
      </c>
      <c r="AE71" s="286">
        <v>0</v>
      </c>
      <c r="AF71" s="287">
        <f t="shared" si="65"/>
        <v>0</v>
      </c>
      <c r="AG71" s="288">
        <f t="shared" si="66"/>
        <v>0</v>
      </c>
      <c r="AH71" s="285">
        <f t="shared" si="67"/>
        <v>0</v>
      </c>
      <c r="AI71" s="286">
        <v>0</v>
      </c>
      <c r="AJ71" s="286">
        <v>0</v>
      </c>
      <c r="AK71" s="286">
        <v>0</v>
      </c>
      <c r="AL71" s="285">
        <f t="shared" si="68"/>
        <v>0</v>
      </c>
      <c r="AM71" s="285">
        <f t="shared" si="69"/>
        <v>0</v>
      </c>
      <c r="AN71" s="289">
        <f t="shared" si="86"/>
        <v>1</v>
      </c>
      <c r="AO71" s="290">
        <f t="shared" si="70"/>
        <v>0</v>
      </c>
      <c r="AP71" s="290">
        <f t="shared" si="71"/>
        <v>0</v>
      </c>
      <c r="AQ71" s="290">
        <f t="shared" si="72"/>
        <v>0</v>
      </c>
      <c r="AR71" s="290">
        <f t="shared" si="73"/>
        <v>0</v>
      </c>
      <c r="AS71" s="290">
        <f t="shared" si="74"/>
        <v>0</v>
      </c>
      <c r="AT71" s="290">
        <f t="shared" si="75"/>
        <v>0</v>
      </c>
      <c r="AU71" s="291">
        <f t="shared" si="76"/>
        <v>0</v>
      </c>
      <c r="AV71" s="291">
        <f t="shared" si="77"/>
        <v>0</v>
      </c>
      <c r="AW71" s="292">
        <f t="shared" si="78"/>
        <v>0</v>
      </c>
      <c r="AX71" s="293">
        <f t="shared" si="79"/>
        <v>0</v>
      </c>
      <c r="BC71" s="276">
        <f>IF(BI71=1,IF(BC70=MiscData!$F$1,EOMONTH(BC70,-11),EOMONTH(BC70,1)),BC70)</f>
        <v>42063</v>
      </c>
      <c r="BD71" s="275" t="str">
        <f t="shared" si="87"/>
        <v>20140101LGMLE572</v>
      </c>
      <c r="BE71" s="294" t="str">
        <f t="shared" si="88"/>
        <v>20140101LE</v>
      </c>
      <c r="BF71">
        <f>MiscData!$X$5</f>
        <v>20140101</v>
      </c>
      <c r="BI71" s="265">
        <f>IF(BI70+1&gt;MiscData!$Z$42,1,BI70+1)</f>
        <v>30</v>
      </c>
      <c r="BJ71" s="265" t="str">
        <f>VLOOKUP(BI71,MiscData!$Z$5:$AB$46,2,FALSE)</f>
        <v>LGMLE572</v>
      </c>
      <c r="BK71" s="265" t="str">
        <f>VLOOKUP(BI71,MiscData!$Z$5:$AB$46,3,FALSE)</f>
        <v>LE</v>
      </c>
    </row>
    <row r="72" spans="1:63" hidden="1">
      <c r="A72" s="275">
        <v>65</v>
      </c>
      <c r="B72" s="276" t="str">
        <f t="shared" si="80"/>
        <v>Feb 2015</v>
      </c>
      <c r="C72" s="277" t="str">
        <f t="shared" si="81"/>
        <v>TE</v>
      </c>
      <c r="D72" s="277" t="str">
        <f t="shared" si="82"/>
        <v>LGMLE573</v>
      </c>
      <c r="E72" s="278">
        <f t="shared" si="48"/>
        <v>905</v>
      </c>
      <c r="F72" s="279">
        <v>0</v>
      </c>
      <c r="G72" s="278">
        <f t="shared" si="49"/>
        <v>0</v>
      </c>
      <c r="H72" s="278">
        <f t="shared" si="50"/>
        <v>0</v>
      </c>
      <c r="I72" s="278">
        <f t="shared" si="51"/>
        <v>0</v>
      </c>
      <c r="J72" s="278">
        <f t="shared" si="52"/>
        <v>246865</v>
      </c>
      <c r="K72" s="280">
        <v>0</v>
      </c>
      <c r="L72" s="281">
        <f t="shared" si="53"/>
        <v>0</v>
      </c>
      <c r="M72" s="281">
        <f t="shared" si="54"/>
        <v>0</v>
      </c>
      <c r="N72" s="281">
        <f t="shared" si="55"/>
        <v>0</v>
      </c>
      <c r="O72" s="282">
        <v>0</v>
      </c>
      <c r="P72" s="282">
        <v>0</v>
      </c>
      <c r="Q72" s="282">
        <v>0</v>
      </c>
      <c r="R72" s="283">
        <f t="shared" si="56"/>
        <v>3.25</v>
      </c>
      <c r="S72" s="284">
        <f t="shared" si="45"/>
        <v>7.6579999999999995E-2</v>
      </c>
      <c r="T72" s="284">
        <f t="shared" si="57"/>
        <v>0</v>
      </c>
      <c r="U72" s="284">
        <f t="shared" si="58"/>
        <v>0</v>
      </c>
      <c r="V72" s="284">
        <f t="shared" si="59"/>
        <v>2.725E-2</v>
      </c>
      <c r="W72" s="283">
        <f t="shared" si="60"/>
        <v>0</v>
      </c>
      <c r="X72" s="283">
        <f t="shared" si="61"/>
        <v>0</v>
      </c>
      <c r="Y72" s="283">
        <f t="shared" si="62"/>
        <v>0</v>
      </c>
      <c r="Z72" s="285">
        <f t="shared" si="63"/>
        <v>2941.25</v>
      </c>
      <c r="AA72" s="285">
        <f t="shared" si="64"/>
        <v>18904.919999999998</v>
      </c>
      <c r="AB72" s="285">
        <f t="shared" si="83"/>
        <v>0</v>
      </c>
      <c r="AC72" s="285">
        <f t="shared" si="84"/>
        <v>0</v>
      </c>
      <c r="AD72" s="285">
        <f t="shared" si="85"/>
        <v>0</v>
      </c>
      <c r="AE72" s="286">
        <v>0</v>
      </c>
      <c r="AF72" s="287">
        <f t="shared" si="65"/>
        <v>0</v>
      </c>
      <c r="AG72" s="288">
        <f t="shared" si="66"/>
        <v>0</v>
      </c>
      <c r="AH72" s="285">
        <f t="shared" si="67"/>
        <v>0</v>
      </c>
      <c r="AI72" s="286">
        <v>0</v>
      </c>
      <c r="AJ72" s="286">
        <v>0</v>
      </c>
      <c r="AK72" s="286">
        <v>0</v>
      </c>
      <c r="AL72" s="285">
        <f t="shared" si="68"/>
        <v>21846.17</v>
      </c>
      <c r="AM72" s="285">
        <f t="shared" si="69"/>
        <v>21846</v>
      </c>
      <c r="AN72" s="289">
        <f t="shared" si="86"/>
        <v>0.99999199999999999</v>
      </c>
      <c r="AO72" s="290">
        <f t="shared" si="70"/>
        <v>-484</v>
      </c>
      <c r="AP72" s="290">
        <f t="shared" si="71"/>
        <v>0</v>
      </c>
      <c r="AQ72" s="290">
        <f t="shared" si="72"/>
        <v>1323</v>
      </c>
      <c r="AR72" s="290">
        <f t="shared" si="73"/>
        <v>0</v>
      </c>
      <c r="AS72" s="290">
        <f t="shared" si="74"/>
        <v>0</v>
      </c>
      <c r="AT72" s="290">
        <f t="shared" si="75"/>
        <v>22685</v>
      </c>
      <c r="AU72" s="291">
        <f t="shared" si="76"/>
        <v>22685.17</v>
      </c>
      <c r="AV72" s="291">
        <f t="shared" si="77"/>
        <v>-0.17</v>
      </c>
      <c r="AW72" s="292">
        <f t="shared" si="78"/>
        <v>6727.07</v>
      </c>
      <c r="AX72" s="293">
        <f t="shared" si="79"/>
        <v>12177.849999999999</v>
      </c>
      <c r="BC72" s="276">
        <f>IF(BI72=1,IF(BC71=MiscData!$F$1,EOMONTH(BC71,-11),EOMONTH(BC71,1)),BC71)</f>
        <v>42063</v>
      </c>
      <c r="BD72" s="275" t="str">
        <f t="shared" si="87"/>
        <v>20140101LGMLE573</v>
      </c>
      <c r="BE72" s="294" t="str">
        <f t="shared" si="88"/>
        <v>20140101TE</v>
      </c>
      <c r="BF72">
        <f>MiscData!$X$5</f>
        <v>20140101</v>
      </c>
      <c r="BI72" s="265">
        <f>IF(BI71+1&gt;MiscData!$Z$42,1,BI71+1)</f>
        <v>31</v>
      </c>
      <c r="BJ72" s="265" t="str">
        <f>VLOOKUP(BI72,MiscData!$Z$5:$AB$46,2,FALSE)</f>
        <v>LGMLE573</v>
      </c>
      <c r="BK72" s="265" t="str">
        <f>VLOOKUP(BI72,MiscData!$Z$5:$AB$46,3,FALSE)</f>
        <v>TE</v>
      </c>
    </row>
    <row r="73" spans="1:63" hidden="1">
      <c r="A73" s="275">
        <v>66</v>
      </c>
      <c r="B73" s="276" t="str">
        <f t="shared" si="80"/>
        <v>Feb 2015</v>
      </c>
      <c r="C73" s="277" t="str">
        <f t="shared" si="81"/>
        <v>TE</v>
      </c>
      <c r="D73" s="277" t="str">
        <f t="shared" si="82"/>
        <v>LGMLE574</v>
      </c>
      <c r="E73" s="278">
        <f t="shared" si="48"/>
        <v>0</v>
      </c>
      <c r="F73" s="279">
        <v>0</v>
      </c>
      <c r="G73" s="278">
        <f t="shared" si="49"/>
        <v>0</v>
      </c>
      <c r="H73" s="278">
        <f t="shared" si="50"/>
        <v>0</v>
      </c>
      <c r="I73" s="278">
        <f t="shared" si="51"/>
        <v>0</v>
      </c>
      <c r="J73" s="278">
        <f t="shared" si="52"/>
        <v>0</v>
      </c>
      <c r="K73" s="280">
        <v>0</v>
      </c>
      <c r="L73" s="281">
        <f t="shared" si="53"/>
        <v>0</v>
      </c>
      <c r="M73" s="281">
        <f t="shared" si="54"/>
        <v>0</v>
      </c>
      <c r="N73" s="281">
        <f t="shared" si="55"/>
        <v>0</v>
      </c>
      <c r="O73" s="282">
        <v>0</v>
      </c>
      <c r="P73" s="282">
        <v>0</v>
      </c>
      <c r="Q73" s="282">
        <v>0</v>
      </c>
      <c r="R73" s="283">
        <f t="shared" si="56"/>
        <v>3.25</v>
      </c>
      <c r="S73" s="284">
        <f t="shared" si="45"/>
        <v>7.6579999999999995E-2</v>
      </c>
      <c r="T73" s="284">
        <f t="shared" si="57"/>
        <v>0</v>
      </c>
      <c r="U73" s="284">
        <f t="shared" si="58"/>
        <v>0</v>
      </c>
      <c r="V73" s="284">
        <f t="shared" si="59"/>
        <v>2.725E-2</v>
      </c>
      <c r="W73" s="283">
        <f t="shared" si="60"/>
        <v>0</v>
      </c>
      <c r="X73" s="283">
        <f t="shared" si="61"/>
        <v>0</v>
      </c>
      <c r="Y73" s="283">
        <f t="shared" si="62"/>
        <v>0</v>
      </c>
      <c r="Z73" s="285">
        <f t="shared" si="63"/>
        <v>0</v>
      </c>
      <c r="AA73" s="285">
        <f t="shared" si="64"/>
        <v>0</v>
      </c>
      <c r="AB73" s="285">
        <f t="shared" si="83"/>
        <v>0</v>
      </c>
      <c r="AC73" s="285">
        <f t="shared" si="84"/>
        <v>0</v>
      </c>
      <c r="AD73" s="285">
        <f t="shared" si="85"/>
        <v>0</v>
      </c>
      <c r="AE73" s="286">
        <v>0</v>
      </c>
      <c r="AF73" s="287">
        <f t="shared" si="65"/>
        <v>0</v>
      </c>
      <c r="AG73" s="288">
        <f t="shared" si="66"/>
        <v>0</v>
      </c>
      <c r="AH73" s="285">
        <f t="shared" si="67"/>
        <v>0</v>
      </c>
      <c r="AI73" s="286">
        <v>0</v>
      </c>
      <c r="AJ73" s="286">
        <v>0</v>
      </c>
      <c r="AK73" s="286">
        <v>0</v>
      </c>
      <c r="AL73" s="285">
        <f t="shared" si="68"/>
        <v>0</v>
      </c>
      <c r="AM73" s="285">
        <f t="shared" si="69"/>
        <v>0</v>
      </c>
      <c r="AN73" s="289">
        <f t="shared" si="86"/>
        <v>1</v>
      </c>
      <c r="AO73" s="290">
        <f t="shared" si="70"/>
        <v>0</v>
      </c>
      <c r="AP73" s="290">
        <f t="shared" si="71"/>
        <v>0</v>
      </c>
      <c r="AQ73" s="290">
        <f t="shared" si="72"/>
        <v>0</v>
      </c>
      <c r="AR73" s="290">
        <f t="shared" si="73"/>
        <v>0</v>
      </c>
      <c r="AS73" s="290">
        <f t="shared" si="74"/>
        <v>0</v>
      </c>
      <c r="AT73" s="290">
        <f t="shared" si="75"/>
        <v>0</v>
      </c>
      <c r="AU73" s="291">
        <f t="shared" si="76"/>
        <v>0</v>
      </c>
      <c r="AV73" s="291">
        <f t="shared" si="77"/>
        <v>0</v>
      </c>
      <c r="AW73" s="292">
        <f t="shared" si="78"/>
        <v>0</v>
      </c>
      <c r="AX73" s="293">
        <f t="shared" si="79"/>
        <v>0</v>
      </c>
      <c r="BC73" s="276">
        <f>IF(BI73=1,IF(BC72=MiscData!$F$1,EOMONTH(BC72,-11),EOMONTH(BC72,1)),BC72)</f>
        <v>42063</v>
      </c>
      <c r="BD73" s="275" t="str">
        <f t="shared" si="87"/>
        <v>20140101LGMLE574</v>
      </c>
      <c r="BE73" s="294" t="str">
        <f t="shared" si="88"/>
        <v>20140101TE</v>
      </c>
      <c r="BF73">
        <f>MiscData!$X$5</f>
        <v>20140101</v>
      </c>
      <c r="BI73" s="265">
        <f>IF(BI72+1&gt;MiscData!$Z$42,1,BI72+1)</f>
        <v>32</v>
      </c>
      <c r="BJ73" s="265" t="str">
        <f>VLOOKUP(BI73,MiscData!$Z$5:$AB$46,2,FALSE)</f>
        <v>LGMLE574</v>
      </c>
      <c r="BK73" s="265" t="str">
        <f>VLOOKUP(BI73,MiscData!$Z$5:$AB$46,3,FALSE)</f>
        <v>TE</v>
      </c>
    </row>
    <row r="74" spans="1:63" hidden="1">
      <c r="A74" s="275">
        <v>67</v>
      </c>
      <c r="B74" s="276" t="str">
        <f t="shared" si="80"/>
        <v>Feb 2015</v>
      </c>
      <c r="C74" s="277" t="str">
        <f t="shared" si="81"/>
        <v>RS</v>
      </c>
      <c r="D74" s="277" t="str">
        <f t="shared" si="82"/>
        <v>LGRSE411</v>
      </c>
      <c r="E74" s="278">
        <f t="shared" si="48"/>
        <v>0</v>
      </c>
      <c r="F74" s="279">
        <v>0</v>
      </c>
      <c r="G74" s="278">
        <f t="shared" si="49"/>
        <v>0</v>
      </c>
      <c r="H74" s="278">
        <f t="shared" si="50"/>
        <v>0</v>
      </c>
      <c r="I74" s="278">
        <f t="shared" si="51"/>
        <v>0</v>
      </c>
      <c r="J74" s="278">
        <f t="shared" si="52"/>
        <v>0</v>
      </c>
      <c r="K74" s="280">
        <v>0</v>
      </c>
      <c r="L74" s="281">
        <f t="shared" si="53"/>
        <v>0</v>
      </c>
      <c r="M74" s="281">
        <f t="shared" si="54"/>
        <v>0</v>
      </c>
      <c r="N74" s="281">
        <f t="shared" si="55"/>
        <v>0</v>
      </c>
      <c r="O74" s="282">
        <v>0</v>
      </c>
      <c r="P74" s="282">
        <v>0</v>
      </c>
      <c r="Q74" s="282">
        <v>0</v>
      </c>
      <c r="R74" s="283">
        <f t="shared" si="56"/>
        <v>0</v>
      </c>
      <c r="S74" s="284">
        <f t="shared" si="45"/>
        <v>8.0760000000000012E-2</v>
      </c>
      <c r="T74" s="284">
        <f t="shared" si="57"/>
        <v>0</v>
      </c>
      <c r="U74" s="284">
        <f t="shared" si="58"/>
        <v>0</v>
      </c>
      <c r="V74" s="284">
        <f t="shared" si="59"/>
        <v>2.725E-2</v>
      </c>
      <c r="W74" s="283">
        <f t="shared" si="60"/>
        <v>0</v>
      </c>
      <c r="X74" s="283">
        <f t="shared" si="61"/>
        <v>0</v>
      </c>
      <c r="Y74" s="283">
        <f t="shared" si="62"/>
        <v>0</v>
      </c>
      <c r="Z74" s="285">
        <f t="shared" si="63"/>
        <v>0</v>
      </c>
      <c r="AA74" s="285">
        <f t="shared" si="64"/>
        <v>0</v>
      </c>
      <c r="AB74" s="285">
        <f t="shared" si="83"/>
        <v>0</v>
      </c>
      <c r="AC74" s="285">
        <f t="shared" si="84"/>
        <v>0</v>
      </c>
      <c r="AD74" s="285">
        <f t="shared" si="85"/>
        <v>0</v>
      </c>
      <c r="AE74" s="286">
        <v>0</v>
      </c>
      <c r="AF74" s="287">
        <f t="shared" si="65"/>
        <v>0</v>
      </c>
      <c r="AG74" s="288">
        <f t="shared" si="66"/>
        <v>0</v>
      </c>
      <c r="AH74" s="285">
        <f t="shared" si="67"/>
        <v>0</v>
      </c>
      <c r="AI74" s="286">
        <v>0</v>
      </c>
      <c r="AJ74" s="286">
        <v>0</v>
      </c>
      <c r="AK74" s="286">
        <v>0</v>
      </c>
      <c r="AL74" s="285">
        <f t="shared" si="68"/>
        <v>0</v>
      </c>
      <c r="AM74" s="285">
        <f t="shared" si="69"/>
        <v>0</v>
      </c>
      <c r="AN74" s="289">
        <f t="shared" si="86"/>
        <v>1</v>
      </c>
      <c r="AO74" s="290">
        <f t="shared" si="70"/>
        <v>0</v>
      </c>
      <c r="AP74" s="290">
        <f t="shared" si="71"/>
        <v>0</v>
      </c>
      <c r="AQ74" s="290">
        <f t="shared" si="72"/>
        <v>0</v>
      </c>
      <c r="AR74" s="290">
        <f t="shared" si="73"/>
        <v>0</v>
      </c>
      <c r="AS74" s="290">
        <f t="shared" si="74"/>
        <v>0</v>
      </c>
      <c r="AT74" s="290">
        <f t="shared" si="75"/>
        <v>0</v>
      </c>
      <c r="AU74" s="291">
        <f t="shared" si="76"/>
        <v>0</v>
      </c>
      <c r="AV74" s="291">
        <f t="shared" si="77"/>
        <v>0</v>
      </c>
      <c r="AW74" s="292">
        <f t="shared" si="78"/>
        <v>0</v>
      </c>
      <c r="AX74" s="293">
        <f t="shared" si="79"/>
        <v>0</v>
      </c>
      <c r="BC74" s="276">
        <f>IF(BI74=1,IF(BC73=MiscData!$F$1,EOMONTH(BC73,-11),EOMONTH(BC73,1)),BC73)</f>
        <v>42063</v>
      </c>
      <c r="BD74" s="275" t="str">
        <f t="shared" si="87"/>
        <v>20140101LGRSE411</v>
      </c>
      <c r="BE74" s="294" t="str">
        <f t="shared" si="88"/>
        <v>20140101RS</v>
      </c>
      <c r="BF74">
        <f>MiscData!$X$5</f>
        <v>20140101</v>
      </c>
      <c r="BI74" s="265">
        <f>IF(BI73+1&gt;MiscData!$Z$42,1,BI73+1)</f>
        <v>33</v>
      </c>
      <c r="BJ74" s="265" t="str">
        <f>VLOOKUP(BI74,MiscData!$Z$5:$AB$46,2,FALSE)</f>
        <v>LGRSE411</v>
      </c>
      <c r="BK74" s="265" t="str">
        <f>VLOOKUP(BI74,MiscData!$Z$5:$AB$46,3,FALSE)</f>
        <v>RS</v>
      </c>
    </row>
    <row r="75" spans="1:63" hidden="1">
      <c r="A75" s="275">
        <v>68</v>
      </c>
      <c r="B75" s="276" t="str">
        <f t="shared" si="80"/>
        <v>Feb 2015</v>
      </c>
      <c r="C75" s="277" t="str">
        <f t="shared" si="81"/>
        <v>RS</v>
      </c>
      <c r="D75" s="277" t="str">
        <f t="shared" si="82"/>
        <v>LGRSE511</v>
      </c>
      <c r="E75" s="278">
        <f t="shared" si="48"/>
        <v>359362</v>
      </c>
      <c r="F75" s="279">
        <v>0</v>
      </c>
      <c r="G75" s="278">
        <f t="shared" si="49"/>
        <v>0</v>
      </c>
      <c r="H75" s="278">
        <f t="shared" si="50"/>
        <v>0</v>
      </c>
      <c r="I75" s="278">
        <f t="shared" si="51"/>
        <v>0</v>
      </c>
      <c r="J75" s="278">
        <f t="shared" si="52"/>
        <v>347328231</v>
      </c>
      <c r="K75" s="280">
        <v>0</v>
      </c>
      <c r="L75" s="281">
        <f t="shared" si="53"/>
        <v>0</v>
      </c>
      <c r="M75" s="281">
        <f t="shared" si="54"/>
        <v>0</v>
      </c>
      <c r="N75" s="281">
        <f t="shared" si="55"/>
        <v>0</v>
      </c>
      <c r="O75" s="282">
        <v>0</v>
      </c>
      <c r="P75" s="282">
        <v>0</v>
      </c>
      <c r="Q75" s="282">
        <v>0</v>
      </c>
      <c r="R75" s="283">
        <f t="shared" si="56"/>
        <v>10.75</v>
      </c>
      <c r="S75" s="284">
        <f t="shared" si="45"/>
        <v>8.0760000000000012E-2</v>
      </c>
      <c r="T75" s="284">
        <f t="shared" si="57"/>
        <v>0</v>
      </c>
      <c r="U75" s="284">
        <f t="shared" si="58"/>
        <v>0</v>
      </c>
      <c r="V75" s="284">
        <f t="shared" si="59"/>
        <v>2.725E-2</v>
      </c>
      <c r="W75" s="283">
        <f t="shared" si="60"/>
        <v>0</v>
      </c>
      <c r="X75" s="283">
        <f t="shared" si="61"/>
        <v>0</v>
      </c>
      <c r="Y75" s="283">
        <f t="shared" si="62"/>
        <v>0</v>
      </c>
      <c r="Z75" s="285">
        <f t="shared" si="63"/>
        <v>3863141.5</v>
      </c>
      <c r="AA75" s="285">
        <f t="shared" si="64"/>
        <v>28050227.940000001</v>
      </c>
      <c r="AB75" s="285">
        <f t="shared" si="83"/>
        <v>0</v>
      </c>
      <c r="AC75" s="285">
        <f t="shared" si="84"/>
        <v>0</v>
      </c>
      <c r="AD75" s="285">
        <f t="shared" si="85"/>
        <v>0</v>
      </c>
      <c r="AE75" s="286">
        <v>0</v>
      </c>
      <c r="AF75" s="287">
        <f t="shared" si="65"/>
        <v>0</v>
      </c>
      <c r="AG75" s="288">
        <f t="shared" si="66"/>
        <v>0</v>
      </c>
      <c r="AH75" s="285">
        <f t="shared" si="67"/>
        <v>0</v>
      </c>
      <c r="AI75" s="286">
        <v>0</v>
      </c>
      <c r="AJ75" s="286">
        <v>0</v>
      </c>
      <c r="AK75" s="286">
        <v>0</v>
      </c>
      <c r="AL75" s="285">
        <f t="shared" si="68"/>
        <v>31913369.440000001</v>
      </c>
      <c r="AM75" s="285">
        <f t="shared" si="69"/>
        <v>31913370</v>
      </c>
      <c r="AN75" s="289">
        <f t="shared" si="86"/>
        <v>1</v>
      </c>
      <c r="AO75" s="290">
        <f t="shared" si="70"/>
        <v>-679813</v>
      </c>
      <c r="AP75" s="290">
        <f t="shared" si="71"/>
        <v>550995</v>
      </c>
      <c r="AQ75" s="290">
        <f t="shared" si="72"/>
        <v>1861654</v>
      </c>
      <c r="AR75" s="290">
        <f t="shared" si="73"/>
        <v>0</v>
      </c>
      <c r="AS75" s="290">
        <f t="shared" si="74"/>
        <v>0</v>
      </c>
      <c r="AT75" s="290">
        <f t="shared" si="75"/>
        <v>33646206</v>
      </c>
      <c r="AU75" s="291">
        <f t="shared" si="76"/>
        <v>33646205.439999998</v>
      </c>
      <c r="AV75" s="291">
        <f t="shared" si="46"/>
        <v>0.56000000238418579</v>
      </c>
      <c r="AW75" s="292">
        <f t="shared" si="78"/>
        <v>9464694.2899999991</v>
      </c>
      <c r="AX75" s="293">
        <f t="shared" si="79"/>
        <v>18585533.650000002</v>
      </c>
      <c r="BC75" s="276">
        <f>IF(BI75=1,IF(BC74=MiscData!$F$1,EOMONTH(BC74,-11),EOMONTH(BC74,1)),BC74)</f>
        <v>42063</v>
      </c>
      <c r="BD75" s="275" t="str">
        <f t="shared" si="87"/>
        <v>20140101LGRSE511</v>
      </c>
      <c r="BE75" s="294" t="str">
        <f t="shared" si="88"/>
        <v>20140101RS</v>
      </c>
      <c r="BF75">
        <f>MiscData!$X$5</f>
        <v>20140101</v>
      </c>
      <c r="BI75" s="265">
        <f>IF(BI74+1&gt;MiscData!$Z$42,1,BI74+1)</f>
        <v>34</v>
      </c>
      <c r="BJ75" s="265" t="str">
        <f>VLOOKUP(BI75,MiscData!$Z$5:$AB$46,2,FALSE)</f>
        <v>LGRSE511</v>
      </c>
      <c r="BK75" s="265" t="str">
        <f>VLOOKUP(BI75,MiscData!$Z$5:$AB$46,3,FALSE)</f>
        <v>RS</v>
      </c>
    </row>
    <row r="76" spans="1:63" hidden="1">
      <c r="A76" s="275">
        <v>69</v>
      </c>
      <c r="B76" s="276" t="str">
        <f t="shared" si="80"/>
        <v>Feb 2015</v>
      </c>
      <c r="C76" s="277" t="str">
        <f t="shared" si="81"/>
        <v>RS</v>
      </c>
      <c r="D76" s="277" t="str">
        <f t="shared" si="82"/>
        <v>LGRSE519</v>
      </c>
      <c r="E76" s="278">
        <f t="shared" si="48"/>
        <v>0</v>
      </c>
      <c r="F76" s="279">
        <v>0</v>
      </c>
      <c r="G76" s="278">
        <f t="shared" si="49"/>
        <v>0</v>
      </c>
      <c r="H76" s="278">
        <f t="shared" si="50"/>
        <v>0</v>
      </c>
      <c r="I76" s="278">
        <f t="shared" si="51"/>
        <v>0</v>
      </c>
      <c r="J76" s="278">
        <f t="shared" si="52"/>
        <v>0</v>
      </c>
      <c r="K76" s="280">
        <v>0</v>
      </c>
      <c r="L76" s="281">
        <f t="shared" si="53"/>
        <v>0</v>
      </c>
      <c r="M76" s="281">
        <f t="shared" si="54"/>
        <v>0</v>
      </c>
      <c r="N76" s="281">
        <f t="shared" si="55"/>
        <v>0</v>
      </c>
      <c r="O76" s="282">
        <v>0</v>
      </c>
      <c r="P76" s="282">
        <v>0</v>
      </c>
      <c r="Q76" s="282">
        <v>0</v>
      </c>
      <c r="R76" s="283">
        <f t="shared" si="56"/>
        <v>10.75</v>
      </c>
      <c r="S76" s="284">
        <f t="shared" si="45"/>
        <v>8.0760000000000012E-2</v>
      </c>
      <c r="T76" s="284">
        <f t="shared" si="57"/>
        <v>0</v>
      </c>
      <c r="U76" s="284">
        <f t="shared" si="58"/>
        <v>0</v>
      </c>
      <c r="V76" s="284">
        <f t="shared" si="59"/>
        <v>2.725E-2</v>
      </c>
      <c r="W76" s="283">
        <f t="shared" si="60"/>
        <v>0</v>
      </c>
      <c r="X76" s="283">
        <f t="shared" si="61"/>
        <v>0</v>
      </c>
      <c r="Y76" s="283">
        <f t="shared" si="62"/>
        <v>0</v>
      </c>
      <c r="Z76" s="285">
        <f t="shared" si="63"/>
        <v>0</v>
      </c>
      <c r="AA76" s="285">
        <f t="shared" si="64"/>
        <v>0</v>
      </c>
      <c r="AB76" s="285">
        <f t="shared" si="83"/>
        <v>0</v>
      </c>
      <c r="AC76" s="285">
        <f t="shared" si="84"/>
        <v>0</v>
      </c>
      <c r="AD76" s="285">
        <f t="shared" si="85"/>
        <v>0</v>
      </c>
      <c r="AE76" s="286">
        <v>0</v>
      </c>
      <c r="AF76" s="287">
        <f t="shared" si="65"/>
        <v>0</v>
      </c>
      <c r="AG76" s="288">
        <f t="shared" si="66"/>
        <v>0</v>
      </c>
      <c r="AH76" s="285">
        <f t="shared" si="67"/>
        <v>0</v>
      </c>
      <c r="AI76" s="286">
        <v>0</v>
      </c>
      <c r="AJ76" s="286">
        <v>0</v>
      </c>
      <c r="AK76" s="286">
        <v>0</v>
      </c>
      <c r="AL76" s="285">
        <f t="shared" si="68"/>
        <v>0</v>
      </c>
      <c r="AM76" s="285">
        <f t="shared" si="69"/>
        <v>0</v>
      </c>
      <c r="AN76" s="289">
        <f t="shared" si="86"/>
        <v>1</v>
      </c>
      <c r="AO76" s="290">
        <f t="shared" si="70"/>
        <v>0</v>
      </c>
      <c r="AP76" s="290">
        <f t="shared" si="71"/>
        <v>0</v>
      </c>
      <c r="AQ76" s="290">
        <f t="shared" si="72"/>
        <v>0</v>
      </c>
      <c r="AR76" s="290">
        <f t="shared" si="73"/>
        <v>0</v>
      </c>
      <c r="AS76" s="290">
        <f t="shared" si="74"/>
        <v>0</v>
      </c>
      <c r="AT76" s="290">
        <f t="shared" si="75"/>
        <v>0</v>
      </c>
      <c r="AU76" s="291">
        <f t="shared" si="76"/>
        <v>0</v>
      </c>
      <c r="AV76" s="291">
        <f t="shared" si="46"/>
        <v>0</v>
      </c>
      <c r="AW76" s="292">
        <f t="shared" si="78"/>
        <v>0</v>
      </c>
      <c r="AX76" s="293">
        <f t="shared" si="79"/>
        <v>0</v>
      </c>
      <c r="BC76" s="276">
        <f>IF(BI76=1,IF(BC75=MiscData!$F$1,EOMONTH(BC75,-11),EOMONTH(BC75,1)),BC75)</f>
        <v>42063</v>
      </c>
      <c r="BD76" s="275" t="str">
        <f t="shared" si="87"/>
        <v>20140101LGRSE519</v>
      </c>
      <c r="BE76" s="294" t="str">
        <f t="shared" si="88"/>
        <v>20140101RS</v>
      </c>
      <c r="BF76">
        <f>MiscData!$X$5</f>
        <v>20140101</v>
      </c>
      <c r="BI76" s="265">
        <f>IF(BI75+1&gt;MiscData!$Z$42,1,BI75+1)</f>
        <v>35</v>
      </c>
      <c r="BJ76" s="265" t="str">
        <f>VLOOKUP(BI76,MiscData!$Z$5:$AB$46,2,FALSE)</f>
        <v>LGRSE519</v>
      </c>
      <c r="BK76" s="265" t="str">
        <f>VLOOKUP(BI76,MiscData!$Z$5:$AB$46,3,FALSE)</f>
        <v>RS</v>
      </c>
    </row>
    <row r="77" spans="1:63" hidden="1">
      <c r="A77" s="275">
        <v>70</v>
      </c>
      <c r="B77" s="276" t="str">
        <f t="shared" si="80"/>
        <v>Feb 2015</v>
      </c>
      <c r="C77" s="277" t="s">
        <v>13</v>
      </c>
      <c r="D77" s="277" t="str">
        <f t="shared" si="82"/>
        <v>LGRSE540</v>
      </c>
      <c r="E77" s="278">
        <f t="shared" si="48"/>
        <v>0</v>
      </c>
      <c r="F77" s="279">
        <v>0</v>
      </c>
      <c r="G77" s="278">
        <f t="shared" si="49"/>
        <v>0</v>
      </c>
      <c r="H77" s="278">
        <f t="shared" si="50"/>
        <v>0</v>
      </c>
      <c r="I77" s="278">
        <f t="shared" si="51"/>
        <v>0</v>
      </c>
      <c r="J77" s="278">
        <f t="shared" si="52"/>
        <v>0</v>
      </c>
      <c r="K77" s="280">
        <v>0</v>
      </c>
      <c r="L77" s="281">
        <f t="shared" si="53"/>
        <v>0</v>
      </c>
      <c r="M77" s="281">
        <f t="shared" si="54"/>
        <v>0</v>
      </c>
      <c r="N77" s="281">
        <f t="shared" si="55"/>
        <v>0</v>
      </c>
      <c r="O77" s="282">
        <v>0</v>
      </c>
      <c r="P77" s="282">
        <v>0</v>
      </c>
      <c r="Q77" s="282">
        <v>0</v>
      </c>
      <c r="R77" s="283">
        <f t="shared" si="56"/>
        <v>10.75</v>
      </c>
      <c r="S77" s="284">
        <f t="shared" si="45"/>
        <v>8.0760000000000012E-2</v>
      </c>
      <c r="T77" s="284">
        <f t="shared" si="57"/>
        <v>0</v>
      </c>
      <c r="U77" s="284">
        <f t="shared" si="58"/>
        <v>0</v>
      </c>
      <c r="V77" s="284">
        <f t="shared" si="59"/>
        <v>2.725E-2</v>
      </c>
      <c r="W77" s="283">
        <f t="shared" si="60"/>
        <v>0</v>
      </c>
      <c r="X77" s="283">
        <f t="shared" si="61"/>
        <v>0</v>
      </c>
      <c r="Y77" s="283">
        <f t="shared" si="62"/>
        <v>0</v>
      </c>
      <c r="Z77" s="285">
        <f t="shared" si="63"/>
        <v>0</v>
      </c>
      <c r="AA77" s="285">
        <f t="shared" si="64"/>
        <v>0</v>
      </c>
      <c r="AB77" s="285">
        <f t="shared" si="83"/>
        <v>0</v>
      </c>
      <c r="AC77" s="285">
        <f t="shared" si="84"/>
        <v>0</v>
      </c>
      <c r="AD77" s="285">
        <f t="shared" si="85"/>
        <v>0</v>
      </c>
      <c r="AE77" s="286">
        <v>0</v>
      </c>
      <c r="AF77" s="287">
        <f t="shared" si="65"/>
        <v>0</v>
      </c>
      <c r="AG77" s="288">
        <f t="shared" si="66"/>
        <v>0</v>
      </c>
      <c r="AH77" s="285">
        <f t="shared" si="67"/>
        <v>0</v>
      </c>
      <c r="AI77" s="286">
        <v>0</v>
      </c>
      <c r="AJ77" s="286">
        <v>0</v>
      </c>
      <c r="AK77" s="286">
        <v>0</v>
      </c>
      <c r="AL77" s="285">
        <f t="shared" si="68"/>
        <v>0</v>
      </c>
      <c r="AM77" s="285">
        <f t="shared" si="69"/>
        <v>0</v>
      </c>
      <c r="AN77" s="289">
        <f t="shared" si="86"/>
        <v>1</v>
      </c>
      <c r="AO77" s="290">
        <f t="shared" si="70"/>
        <v>0</v>
      </c>
      <c r="AP77" s="290">
        <f t="shared" si="71"/>
        <v>0</v>
      </c>
      <c r="AQ77" s="290">
        <f t="shared" si="72"/>
        <v>0</v>
      </c>
      <c r="AR77" s="290">
        <f t="shared" si="73"/>
        <v>0</v>
      </c>
      <c r="AS77" s="290">
        <f t="shared" si="74"/>
        <v>0</v>
      </c>
      <c r="AT77" s="290">
        <f t="shared" si="75"/>
        <v>0</v>
      </c>
      <c r="AU77" s="291">
        <f t="shared" si="76"/>
        <v>0</v>
      </c>
      <c r="AV77" s="291">
        <f t="shared" si="46"/>
        <v>0</v>
      </c>
      <c r="AW77" s="292">
        <f t="shared" si="78"/>
        <v>0</v>
      </c>
      <c r="AX77" s="293">
        <f t="shared" si="79"/>
        <v>0</v>
      </c>
      <c r="BC77" s="276">
        <f>IF(BI77=1,IF(BC76=MiscData!$F$1,EOMONTH(BC76,-11),EOMONTH(BC76,1)),BC76)</f>
        <v>42063</v>
      </c>
      <c r="BD77" s="275" t="str">
        <f t="shared" si="87"/>
        <v>20140101LGRSE540</v>
      </c>
      <c r="BE77" s="294" t="str">
        <f t="shared" si="88"/>
        <v>20140101VFD</v>
      </c>
      <c r="BF77">
        <f>MiscData!$X$5</f>
        <v>20140101</v>
      </c>
      <c r="BI77" s="265">
        <f>IF(BI76+1&gt;MiscData!$Z$42,1,BI76+1)</f>
        <v>36</v>
      </c>
      <c r="BJ77" s="265" t="str">
        <f>VLOOKUP(BI77,MiscData!$Z$5:$AB$46,2,FALSE)</f>
        <v>LGRSE540</v>
      </c>
      <c r="BK77" s="265" t="str">
        <f>VLOOKUP(BI77,MiscData!$Z$5:$AB$46,3,FALSE)</f>
        <v>VFD</v>
      </c>
    </row>
    <row r="78" spans="1:63" hidden="1">
      <c r="A78" s="275">
        <v>71</v>
      </c>
      <c r="B78" s="276" t="str">
        <f t="shared" si="80"/>
        <v>Feb 2015</v>
      </c>
      <c r="C78" s="277" t="str">
        <f t="shared" si="81"/>
        <v>LEV</v>
      </c>
      <c r="D78" s="277" t="str">
        <f t="shared" si="82"/>
        <v>LGRSE543</v>
      </c>
      <c r="E78" s="278">
        <f t="shared" si="48"/>
        <v>0</v>
      </c>
      <c r="F78" s="279">
        <v>0</v>
      </c>
      <c r="G78" s="278">
        <f t="shared" si="49"/>
        <v>0</v>
      </c>
      <c r="H78" s="278">
        <f t="shared" si="50"/>
        <v>0</v>
      </c>
      <c r="I78" s="278">
        <f t="shared" si="51"/>
        <v>0</v>
      </c>
      <c r="J78" s="278">
        <f t="shared" si="52"/>
        <v>0</v>
      </c>
      <c r="K78" s="280">
        <v>0</v>
      </c>
      <c r="L78" s="281">
        <f t="shared" si="53"/>
        <v>0</v>
      </c>
      <c r="M78" s="281">
        <f t="shared" si="54"/>
        <v>0</v>
      </c>
      <c r="N78" s="281">
        <f t="shared" si="55"/>
        <v>0</v>
      </c>
      <c r="O78" s="282">
        <v>0</v>
      </c>
      <c r="P78" s="282">
        <v>0</v>
      </c>
      <c r="Q78" s="282">
        <v>0</v>
      </c>
      <c r="R78" s="283">
        <f t="shared" si="56"/>
        <v>10.75</v>
      </c>
      <c r="S78" s="284">
        <f t="shared" si="45"/>
        <v>5.8200000000000002E-2</v>
      </c>
      <c r="T78" s="284">
        <f t="shared" si="57"/>
        <v>7.8990000000000005E-2</v>
      </c>
      <c r="U78" s="284">
        <f t="shared" si="58"/>
        <v>0.14451000000000003</v>
      </c>
      <c r="V78" s="284">
        <f t="shared" si="59"/>
        <v>2.725E-2</v>
      </c>
      <c r="W78" s="283">
        <f t="shared" si="60"/>
        <v>0</v>
      </c>
      <c r="X78" s="283">
        <f t="shared" si="61"/>
        <v>0</v>
      </c>
      <c r="Y78" s="283">
        <f t="shared" si="62"/>
        <v>0</v>
      </c>
      <c r="Z78" s="285">
        <f t="shared" si="63"/>
        <v>0</v>
      </c>
      <c r="AA78" s="285">
        <f t="shared" si="64"/>
        <v>0</v>
      </c>
      <c r="AB78" s="285">
        <f t="shared" si="83"/>
        <v>0</v>
      </c>
      <c r="AC78" s="285">
        <f t="shared" si="84"/>
        <v>0</v>
      </c>
      <c r="AD78" s="285">
        <f t="shared" si="85"/>
        <v>0</v>
      </c>
      <c r="AE78" s="286">
        <v>0</v>
      </c>
      <c r="AF78" s="287">
        <f t="shared" si="65"/>
        <v>0</v>
      </c>
      <c r="AG78" s="288">
        <f t="shared" si="66"/>
        <v>0</v>
      </c>
      <c r="AH78" s="285">
        <f t="shared" si="67"/>
        <v>0</v>
      </c>
      <c r="AI78" s="286">
        <v>0</v>
      </c>
      <c r="AJ78" s="286">
        <v>0</v>
      </c>
      <c r="AK78" s="286">
        <v>0</v>
      </c>
      <c r="AL78" s="285">
        <f t="shared" si="68"/>
        <v>0</v>
      </c>
      <c r="AM78" s="285">
        <f t="shared" si="69"/>
        <v>0</v>
      </c>
      <c r="AN78" s="289">
        <f t="shared" si="86"/>
        <v>1</v>
      </c>
      <c r="AO78" s="290">
        <f t="shared" si="70"/>
        <v>0</v>
      </c>
      <c r="AP78" s="290">
        <f t="shared" si="71"/>
        <v>0</v>
      </c>
      <c r="AQ78" s="290">
        <f t="shared" si="72"/>
        <v>0</v>
      </c>
      <c r="AR78" s="290">
        <f t="shared" si="73"/>
        <v>0</v>
      </c>
      <c r="AS78" s="290">
        <f t="shared" si="74"/>
        <v>0</v>
      </c>
      <c r="AT78" s="290">
        <f t="shared" si="75"/>
        <v>0</v>
      </c>
      <c r="AU78" s="291">
        <f t="shared" si="76"/>
        <v>0</v>
      </c>
      <c r="AV78" s="291">
        <f t="shared" si="46"/>
        <v>0</v>
      </c>
      <c r="AW78" s="292">
        <f t="shared" si="78"/>
        <v>0</v>
      </c>
      <c r="AX78" s="293">
        <f t="shared" si="79"/>
        <v>0</v>
      </c>
      <c r="BC78" s="276">
        <f>IF(BI78=1,IF(BC77=MiscData!$F$1,EOMONTH(BC77,-11),EOMONTH(BC77,1)),BC77)</f>
        <v>42063</v>
      </c>
      <c r="BD78" s="275" t="str">
        <f t="shared" si="87"/>
        <v>20140101LGRSE543</v>
      </c>
      <c r="BE78" s="294" t="str">
        <f t="shared" si="88"/>
        <v>20140101LEV</v>
      </c>
      <c r="BF78">
        <f>MiscData!$X$5</f>
        <v>20140101</v>
      </c>
      <c r="BI78" s="265">
        <f>IF(BI77+1&gt;MiscData!$Z$42,1,BI77+1)</f>
        <v>37</v>
      </c>
      <c r="BJ78" s="265" t="str">
        <f>VLOOKUP(BI78,MiscData!$Z$5:$AB$46,2,FALSE)</f>
        <v>LGRSE543</v>
      </c>
      <c r="BK78" s="265" t="str">
        <f>VLOOKUP(BI78,MiscData!$Z$5:$AB$46,3,FALSE)</f>
        <v>LEV</v>
      </c>
    </row>
    <row r="79" spans="1:63" hidden="1">
      <c r="A79" s="275">
        <v>72</v>
      </c>
      <c r="B79" s="276" t="str">
        <f t="shared" si="80"/>
        <v>Feb 2015</v>
      </c>
      <c r="C79" s="277" t="str">
        <f t="shared" si="81"/>
        <v>LEV</v>
      </c>
      <c r="D79" s="277" t="str">
        <f t="shared" si="82"/>
        <v>LGRSE547</v>
      </c>
      <c r="E79" s="278">
        <f t="shared" si="48"/>
        <v>0</v>
      </c>
      <c r="F79" s="279">
        <v>0</v>
      </c>
      <c r="G79" s="278">
        <f t="shared" si="49"/>
        <v>0</v>
      </c>
      <c r="H79" s="278">
        <f t="shared" si="50"/>
        <v>0</v>
      </c>
      <c r="I79" s="278">
        <f t="shared" si="51"/>
        <v>0</v>
      </c>
      <c r="J79" s="278">
        <f t="shared" si="52"/>
        <v>0</v>
      </c>
      <c r="K79" s="280">
        <v>0</v>
      </c>
      <c r="L79" s="281">
        <f t="shared" si="53"/>
        <v>0</v>
      </c>
      <c r="M79" s="281">
        <f t="shared" si="54"/>
        <v>0</v>
      </c>
      <c r="N79" s="281">
        <f t="shared" si="55"/>
        <v>0</v>
      </c>
      <c r="O79" s="282">
        <v>0</v>
      </c>
      <c r="P79" s="282">
        <v>0</v>
      </c>
      <c r="Q79" s="282">
        <v>0</v>
      </c>
      <c r="R79" s="283">
        <f t="shared" si="56"/>
        <v>10.75</v>
      </c>
      <c r="S79" s="284">
        <f t="shared" si="45"/>
        <v>5.8200000000000002E-2</v>
      </c>
      <c r="T79" s="284">
        <f t="shared" si="57"/>
        <v>7.8990000000000005E-2</v>
      </c>
      <c r="U79" s="284">
        <f t="shared" si="58"/>
        <v>0.14451000000000003</v>
      </c>
      <c r="V79" s="284">
        <f t="shared" si="59"/>
        <v>2.725E-2</v>
      </c>
      <c r="W79" s="283">
        <f t="shared" si="60"/>
        <v>0</v>
      </c>
      <c r="X79" s="283">
        <f t="shared" si="61"/>
        <v>0</v>
      </c>
      <c r="Y79" s="283">
        <f t="shared" si="62"/>
        <v>0</v>
      </c>
      <c r="Z79" s="285">
        <f t="shared" si="63"/>
        <v>0</v>
      </c>
      <c r="AA79" s="285">
        <f t="shared" si="64"/>
        <v>0</v>
      </c>
      <c r="AB79" s="285">
        <f t="shared" si="83"/>
        <v>0</v>
      </c>
      <c r="AC79" s="285">
        <f t="shared" si="84"/>
        <v>0</v>
      </c>
      <c r="AD79" s="285">
        <f t="shared" si="85"/>
        <v>0</v>
      </c>
      <c r="AE79" s="286">
        <v>0</v>
      </c>
      <c r="AF79" s="287">
        <f t="shared" si="65"/>
        <v>0</v>
      </c>
      <c r="AG79" s="288">
        <f t="shared" si="66"/>
        <v>0</v>
      </c>
      <c r="AH79" s="285">
        <f t="shared" si="67"/>
        <v>0</v>
      </c>
      <c r="AI79" s="286">
        <v>0</v>
      </c>
      <c r="AJ79" s="286">
        <v>0</v>
      </c>
      <c r="AK79" s="286">
        <v>0</v>
      </c>
      <c r="AL79" s="285">
        <f t="shared" si="68"/>
        <v>0</v>
      </c>
      <c r="AM79" s="285">
        <f t="shared" si="69"/>
        <v>0</v>
      </c>
      <c r="AN79" s="289">
        <f t="shared" si="86"/>
        <v>1</v>
      </c>
      <c r="AO79" s="290">
        <f t="shared" si="70"/>
        <v>0</v>
      </c>
      <c r="AP79" s="290">
        <f t="shared" si="71"/>
        <v>0</v>
      </c>
      <c r="AQ79" s="290">
        <f t="shared" si="72"/>
        <v>0</v>
      </c>
      <c r="AR79" s="290">
        <f t="shared" si="73"/>
        <v>0</v>
      </c>
      <c r="AS79" s="290">
        <f t="shared" si="74"/>
        <v>0</v>
      </c>
      <c r="AT79" s="290">
        <f t="shared" si="75"/>
        <v>0</v>
      </c>
      <c r="AU79" s="291">
        <f t="shared" si="76"/>
        <v>0</v>
      </c>
      <c r="AV79" s="291">
        <f t="shared" si="46"/>
        <v>0</v>
      </c>
      <c r="AW79" s="292">
        <f t="shared" si="78"/>
        <v>0</v>
      </c>
      <c r="AX79" s="293">
        <f t="shared" si="79"/>
        <v>0</v>
      </c>
      <c r="BC79" s="276">
        <f>IF(BI79=1,IF(BC78=MiscData!$F$1,EOMONTH(BC78,-11),EOMONTH(BC78,1)),BC78)</f>
        <v>42063</v>
      </c>
      <c r="BD79" s="275" t="str">
        <f t="shared" si="87"/>
        <v>20140101LGRSE547</v>
      </c>
      <c r="BE79" s="294" t="str">
        <f t="shared" si="88"/>
        <v>20140101LEV</v>
      </c>
      <c r="BF79">
        <f>MiscData!$X$5</f>
        <v>20140101</v>
      </c>
      <c r="BI79" s="265">
        <f>IF(BI78+1&gt;MiscData!$Z$42,1,BI78+1)</f>
        <v>38</v>
      </c>
      <c r="BJ79" s="265" t="str">
        <f>VLOOKUP(BI79,MiscData!$Z$5:$AB$46,2,FALSE)</f>
        <v>LGRSE547</v>
      </c>
      <c r="BK79" s="265" t="str">
        <f>VLOOKUP(BI79,MiscData!$Z$5:$AB$46,3,FALSE)</f>
        <v>LEV</v>
      </c>
    </row>
    <row r="80" spans="1:63" hidden="1">
      <c r="A80" s="275">
        <v>73</v>
      </c>
      <c r="B80" s="276" t="str">
        <f t="shared" si="80"/>
        <v>Mar 2014</v>
      </c>
      <c r="C80" s="277" t="str">
        <f t="shared" si="81"/>
        <v>FLSP</v>
      </c>
      <c r="D80" s="277" t="str">
        <f t="shared" si="82"/>
        <v>LGINE682</v>
      </c>
      <c r="E80" s="278">
        <f t="shared" si="48"/>
        <v>0</v>
      </c>
      <c r="F80" s="279">
        <v>0</v>
      </c>
      <c r="G80" s="278">
        <f t="shared" si="49"/>
        <v>0</v>
      </c>
      <c r="H80" s="278">
        <f t="shared" si="50"/>
        <v>0</v>
      </c>
      <c r="I80" s="278">
        <f t="shared" si="51"/>
        <v>0</v>
      </c>
      <c r="J80" s="278">
        <f t="shared" si="52"/>
        <v>0</v>
      </c>
      <c r="K80" s="280">
        <v>0</v>
      </c>
      <c r="L80" s="281">
        <f t="shared" si="53"/>
        <v>0</v>
      </c>
      <c r="M80" s="281">
        <f t="shared" si="54"/>
        <v>0</v>
      </c>
      <c r="N80" s="281">
        <f t="shared" si="55"/>
        <v>0</v>
      </c>
      <c r="O80" s="282">
        <v>0</v>
      </c>
      <c r="P80" s="282">
        <v>0</v>
      </c>
      <c r="Q80" s="282">
        <v>0</v>
      </c>
      <c r="R80" s="283">
        <f t="shared" si="56"/>
        <v>750</v>
      </c>
      <c r="S80" s="284">
        <f t="shared" si="45"/>
        <v>3.61E-2</v>
      </c>
      <c r="T80" s="284">
        <f t="shared" si="57"/>
        <v>0</v>
      </c>
      <c r="U80" s="284">
        <f t="shared" si="58"/>
        <v>0</v>
      </c>
      <c r="V80" s="284">
        <f t="shared" si="59"/>
        <v>2.725E-2</v>
      </c>
      <c r="W80" s="283">
        <f t="shared" si="60"/>
        <v>1.8900000000000001</v>
      </c>
      <c r="X80" s="283">
        <f t="shared" si="61"/>
        <v>1.8900000000000001</v>
      </c>
      <c r="Y80" s="283">
        <f t="shared" si="62"/>
        <v>2.94</v>
      </c>
      <c r="Z80" s="285">
        <f t="shared" si="63"/>
        <v>0</v>
      </c>
      <c r="AA80" s="285">
        <f t="shared" si="64"/>
        <v>0</v>
      </c>
      <c r="AB80" s="285">
        <f t="shared" si="83"/>
        <v>0</v>
      </c>
      <c r="AC80" s="285">
        <f t="shared" si="84"/>
        <v>0</v>
      </c>
      <c r="AD80" s="285">
        <f t="shared" si="85"/>
        <v>0</v>
      </c>
      <c r="AE80" s="286">
        <v>0</v>
      </c>
      <c r="AF80" s="287">
        <f t="shared" si="65"/>
        <v>0</v>
      </c>
      <c r="AG80" s="288">
        <f t="shared" si="66"/>
        <v>0</v>
      </c>
      <c r="AH80" s="285">
        <f t="shared" si="67"/>
        <v>0</v>
      </c>
      <c r="AI80" s="286">
        <v>0</v>
      </c>
      <c r="AJ80" s="286">
        <v>0</v>
      </c>
      <c r="AK80" s="286">
        <v>0</v>
      </c>
      <c r="AL80" s="285">
        <f t="shared" si="68"/>
        <v>0</v>
      </c>
      <c r="AM80" s="285">
        <f t="shared" si="69"/>
        <v>0</v>
      </c>
      <c r="AN80" s="289">
        <f t="shared" si="86"/>
        <v>1</v>
      </c>
      <c r="AO80" s="290">
        <f t="shared" si="70"/>
        <v>0</v>
      </c>
      <c r="AP80" s="290">
        <f t="shared" si="71"/>
        <v>0</v>
      </c>
      <c r="AQ80" s="290">
        <f t="shared" si="72"/>
        <v>0</v>
      </c>
      <c r="AR80" s="290">
        <f t="shared" si="73"/>
        <v>0</v>
      </c>
      <c r="AS80" s="290">
        <f t="shared" si="74"/>
        <v>0</v>
      </c>
      <c r="AT80" s="290">
        <f t="shared" si="75"/>
        <v>0</v>
      </c>
      <c r="AU80" s="291">
        <f t="shared" si="76"/>
        <v>0</v>
      </c>
      <c r="AV80" s="291">
        <f t="shared" si="46"/>
        <v>0</v>
      </c>
      <c r="AW80" s="292">
        <f t="shared" si="78"/>
        <v>0</v>
      </c>
      <c r="AX80" s="293">
        <f t="shared" si="79"/>
        <v>0</v>
      </c>
      <c r="BC80" s="276">
        <f>IF(BI80=1,IF(BC79=MiscData!$F$1,EOMONTH(BC79,-11),EOMONTH(BC79,1)),BC79)</f>
        <v>41729</v>
      </c>
      <c r="BD80" s="275" t="str">
        <f t="shared" si="87"/>
        <v>20140101LGINE682</v>
      </c>
      <c r="BE80" s="294" t="str">
        <f t="shared" si="88"/>
        <v>20140101FLSP</v>
      </c>
      <c r="BF80">
        <f>MiscData!$X$5</f>
        <v>20140101</v>
      </c>
      <c r="BI80" s="265">
        <f>IF(BI79+1&gt;MiscData!$Z$42,1,BI79+1)</f>
        <v>1</v>
      </c>
      <c r="BJ80" s="265" t="str">
        <f>VLOOKUP(BI80,MiscData!$Z$5:$AB$46,2,FALSE)</f>
        <v>LGINE682</v>
      </c>
      <c r="BK80" s="265" t="str">
        <f>VLOOKUP(BI80,MiscData!$Z$5:$AB$46,3,FALSE)</f>
        <v>FLSP</v>
      </c>
    </row>
    <row r="81" spans="1:63" hidden="1">
      <c r="A81" s="275">
        <v>74</v>
      </c>
      <c r="B81" s="276" t="str">
        <f t="shared" si="80"/>
        <v>Mar 2014</v>
      </c>
      <c r="C81" s="277" t="str">
        <f t="shared" si="81"/>
        <v>FLST</v>
      </c>
      <c r="D81" s="277" t="str">
        <f t="shared" si="82"/>
        <v>LGINE683</v>
      </c>
      <c r="E81" s="278">
        <f t="shared" si="48"/>
        <v>0</v>
      </c>
      <c r="F81" s="279">
        <v>0</v>
      </c>
      <c r="G81" s="278">
        <f t="shared" si="49"/>
        <v>0</v>
      </c>
      <c r="H81" s="278">
        <f t="shared" si="50"/>
        <v>0</v>
      </c>
      <c r="I81" s="278">
        <f t="shared" si="51"/>
        <v>0</v>
      </c>
      <c r="J81" s="278">
        <f t="shared" si="52"/>
        <v>0</v>
      </c>
      <c r="K81" s="280">
        <v>0</v>
      </c>
      <c r="L81" s="281">
        <f t="shared" si="53"/>
        <v>0</v>
      </c>
      <c r="M81" s="281">
        <f t="shared" si="54"/>
        <v>0</v>
      </c>
      <c r="N81" s="281">
        <f t="shared" si="55"/>
        <v>0</v>
      </c>
      <c r="O81" s="282">
        <v>0</v>
      </c>
      <c r="P81" s="282">
        <v>0</v>
      </c>
      <c r="Q81" s="282">
        <v>0</v>
      </c>
      <c r="R81" s="283">
        <f t="shared" si="56"/>
        <v>750</v>
      </c>
      <c r="S81" s="284">
        <f t="shared" si="45"/>
        <v>3.61E-2</v>
      </c>
      <c r="T81" s="284">
        <f t="shared" si="57"/>
        <v>0</v>
      </c>
      <c r="U81" s="284">
        <f t="shared" si="58"/>
        <v>0</v>
      </c>
      <c r="V81" s="284">
        <f t="shared" si="59"/>
        <v>2.725E-2</v>
      </c>
      <c r="W81" s="283">
        <f t="shared" si="60"/>
        <v>1.1400000000000001</v>
      </c>
      <c r="X81" s="283">
        <f t="shared" si="61"/>
        <v>1.8900000000000001</v>
      </c>
      <c r="Y81" s="283">
        <f t="shared" si="62"/>
        <v>2.94</v>
      </c>
      <c r="Z81" s="285">
        <f t="shared" si="63"/>
        <v>0</v>
      </c>
      <c r="AA81" s="285">
        <f t="shared" si="64"/>
        <v>0</v>
      </c>
      <c r="AB81" s="285">
        <f t="shared" si="83"/>
        <v>0</v>
      </c>
      <c r="AC81" s="285">
        <f t="shared" si="84"/>
        <v>0</v>
      </c>
      <c r="AD81" s="285">
        <f t="shared" si="85"/>
        <v>0</v>
      </c>
      <c r="AE81" s="286">
        <v>0</v>
      </c>
      <c r="AF81" s="287">
        <f t="shared" si="65"/>
        <v>0</v>
      </c>
      <c r="AG81" s="288">
        <f t="shared" si="66"/>
        <v>0</v>
      </c>
      <c r="AH81" s="285">
        <f t="shared" si="67"/>
        <v>0</v>
      </c>
      <c r="AI81" s="286">
        <v>0</v>
      </c>
      <c r="AJ81" s="286">
        <v>0</v>
      </c>
      <c r="AK81" s="286">
        <v>0</v>
      </c>
      <c r="AL81" s="285">
        <f t="shared" si="68"/>
        <v>0</v>
      </c>
      <c r="AM81" s="285">
        <f t="shared" si="69"/>
        <v>0</v>
      </c>
      <c r="AN81" s="289">
        <f t="shared" si="86"/>
        <v>1</v>
      </c>
      <c r="AO81" s="290">
        <f t="shared" si="70"/>
        <v>0</v>
      </c>
      <c r="AP81" s="290">
        <f t="shared" si="71"/>
        <v>0</v>
      </c>
      <c r="AQ81" s="290">
        <f t="shared" si="72"/>
        <v>0</v>
      </c>
      <c r="AR81" s="290">
        <f t="shared" si="73"/>
        <v>0</v>
      </c>
      <c r="AS81" s="290">
        <f t="shared" si="74"/>
        <v>0</v>
      </c>
      <c r="AT81" s="290">
        <f t="shared" si="75"/>
        <v>0</v>
      </c>
      <c r="AU81" s="291">
        <f t="shared" si="76"/>
        <v>0</v>
      </c>
      <c r="AV81" s="291">
        <f t="shared" si="46"/>
        <v>0</v>
      </c>
      <c r="AW81" s="292">
        <f t="shared" si="78"/>
        <v>0</v>
      </c>
      <c r="AX81" s="293">
        <f t="shared" si="79"/>
        <v>0</v>
      </c>
      <c r="BC81" s="276">
        <f>IF(BI81=1,IF(BC80=MiscData!$F$1,EOMONTH(BC80,-11),EOMONTH(BC80,1)),BC80)</f>
        <v>41729</v>
      </c>
      <c r="BD81" s="275" t="str">
        <f t="shared" si="87"/>
        <v>20140101LGINE683</v>
      </c>
      <c r="BE81" s="294" t="str">
        <f t="shared" si="88"/>
        <v>20140101FLST</v>
      </c>
      <c r="BF81">
        <f>MiscData!$X$5</f>
        <v>20140101</v>
      </c>
      <c r="BI81" s="265">
        <f>IF(BI80+1&gt;MiscData!$Z$42,1,BI80+1)</f>
        <v>2</v>
      </c>
      <c r="BJ81" s="265" t="str">
        <f>VLOOKUP(BI81,MiscData!$Z$5:$AB$46,2,FALSE)</f>
        <v>LGINE683</v>
      </c>
      <c r="BK81" s="265" t="str">
        <f>VLOOKUP(BI81,MiscData!$Z$5:$AB$46,3,FALSE)</f>
        <v>FLST</v>
      </c>
    </row>
    <row r="82" spans="1:63" hidden="1">
      <c r="A82" s="275">
        <v>75</v>
      </c>
      <c r="B82" s="276" t="str">
        <f t="shared" si="80"/>
        <v>Mar 2014</v>
      </c>
      <c r="C82" s="277" t="s">
        <v>892</v>
      </c>
      <c r="D82" s="277" t="str">
        <f t="shared" si="82"/>
        <v>LGCME451</v>
      </c>
      <c r="E82" s="278">
        <f t="shared" si="48"/>
        <v>55</v>
      </c>
      <c r="F82" s="279">
        <f>-E82</f>
        <v>-55</v>
      </c>
      <c r="G82" s="278">
        <f t="shared" si="49"/>
        <v>0</v>
      </c>
      <c r="H82" s="278">
        <f t="shared" si="50"/>
        <v>0</v>
      </c>
      <c r="I82" s="278">
        <f t="shared" si="51"/>
        <v>0</v>
      </c>
      <c r="J82" s="278">
        <f t="shared" si="52"/>
        <v>10567</v>
      </c>
      <c r="K82" s="280">
        <v>0</v>
      </c>
      <c r="L82" s="281">
        <f t="shared" si="53"/>
        <v>0</v>
      </c>
      <c r="M82" s="281">
        <f t="shared" si="54"/>
        <v>0</v>
      </c>
      <c r="N82" s="281">
        <f t="shared" si="55"/>
        <v>0</v>
      </c>
      <c r="O82" s="282">
        <v>0</v>
      </c>
      <c r="P82" s="282">
        <v>0</v>
      </c>
      <c r="Q82" s="282">
        <v>0</v>
      </c>
      <c r="R82" s="283">
        <f t="shared" si="56"/>
        <v>0</v>
      </c>
      <c r="S82" s="284">
        <f t="shared" si="45"/>
        <v>9.1340000000000005E-2</v>
      </c>
      <c r="T82" s="284">
        <f t="shared" si="57"/>
        <v>0</v>
      </c>
      <c r="U82" s="284">
        <f t="shared" si="58"/>
        <v>0</v>
      </c>
      <c r="V82" s="284">
        <f t="shared" si="59"/>
        <v>2.725E-2</v>
      </c>
      <c r="W82" s="283">
        <f t="shared" si="60"/>
        <v>0</v>
      </c>
      <c r="X82" s="283">
        <f t="shared" si="61"/>
        <v>0</v>
      </c>
      <c r="Y82" s="283">
        <f t="shared" si="62"/>
        <v>0</v>
      </c>
      <c r="Z82" s="285">
        <f t="shared" si="63"/>
        <v>0</v>
      </c>
      <c r="AA82" s="285">
        <f t="shared" si="64"/>
        <v>965.19</v>
      </c>
      <c r="AB82" s="285">
        <f t="shared" si="83"/>
        <v>0</v>
      </c>
      <c r="AC82" s="285">
        <f t="shared" si="84"/>
        <v>0</v>
      </c>
      <c r="AD82" s="285">
        <f t="shared" si="85"/>
        <v>0</v>
      </c>
      <c r="AE82" s="286">
        <v>0</v>
      </c>
      <c r="AF82" s="287">
        <f t="shared" si="65"/>
        <v>0</v>
      </c>
      <c r="AG82" s="288">
        <f t="shared" si="66"/>
        <v>0</v>
      </c>
      <c r="AH82" s="285">
        <f t="shared" si="67"/>
        <v>0</v>
      </c>
      <c r="AI82" s="286">
        <v>0</v>
      </c>
      <c r="AJ82" s="286">
        <v>-0.02</v>
      </c>
      <c r="AK82" s="286">
        <v>0</v>
      </c>
      <c r="AL82" s="285">
        <f t="shared" si="68"/>
        <v>965.17000000000007</v>
      </c>
      <c r="AM82" s="285">
        <f t="shared" si="69"/>
        <v>965.17</v>
      </c>
      <c r="AN82" s="289">
        <f t="shared" si="86"/>
        <v>1</v>
      </c>
      <c r="AO82" s="290">
        <f t="shared" si="70"/>
        <v>23.22</v>
      </c>
      <c r="AP82" s="290">
        <f t="shared" si="71"/>
        <v>30.85</v>
      </c>
      <c r="AQ82" s="290">
        <f t="shared" si="72"/>
        <v>20.05</v>
      </c>
      <c r="AR82" s="290">
        <f t="shared" si="73"/>
        <v>0</v>
      </c>
      <c r="AS82" s="290">
        <f t="shared" si="74"/>
        <v>0</v>
      </c>
      <c r="AT82" s="290">
        <f t="shared" si="75"/>
        <v>1039.29</v>
      </c>
      <c r="AU82" s="291">
        <f t="shared" si="76"/>
        <v>1039.2900000000002</v>
      </c>
      <c r="AV82" s="291">
        <f t="shared" si="46"/>
        <v>0</v>
      </c>
      <c r="AW82" s="292">
        <f t="shared" si="78"/>
        <v>287.95</v>
      </c>
      <c r="AX82" s="293">
        <f t="shared" si="79"/>
        <v>677.22</v>
      </c>
      <c r="BC82" s="276">
        <f>IF(BI82=1,IF(BC81=MiscData!$F$1,EOMONTH(BC81,-11),EOMONTH(BC81,1)),BC81)</f>
        <v>41729</v>
      </c>
      <c r="BD82" s="275" t="str">
        <f t="shared" si="87"/>
        <v>20140101LGCME451</v>
      </c>
      <c r="BE82" s="294" t="str">
        <f t="shared" si="88"/>
        <v>20140101GSS</v>
      </c>
      <c r="BF82">
        <f>MiscData!$X$5</f>
        <v>20140101</v>
      </c>
      <c r="BI82" s="265">
        <f>IF(BI81+1&gt;MiscData!$Z$42,1,BI81+1)</f>
        <v>3</v>
      </c>
      <c r="BJ82" s="265" t="str">
        <f>VLOOKUP(BI82,MiscData!$Z$5:$AB$46,2,FALSE)</f>
        <v>LGCME451</v>
      </c>
      <c r="BK82" s="265" t="str">
        <f>VLOOKUP(BI82,MiscData!$Z$5:$AB$46,3,FALSE)</f>
        <v>GSS</v>
      </c>
    </row>
    <row r="83" spans="1:63" hidden="1">
      <c r="A83" s="275">
        <v>76</v>
      </c>
      <c r="B83" s="276" t="str">
        <f t="shared" si="80"/>
        <v>Mar 2014</v>
      </c>
      <c r="C83" s="277" t="s">
        <v>892</v>
      </c>
      <c r="D83" s="277" t="str">
        <f t="shared" si="82"/>
        <v>LGCME550</v>
      </c>
      <c r="E83" s="278">
        <f t="shared" si="48"/>
        <v>0</v>
      </c>
      <c r="F83" s="279">
        <v>0</v>
      </c>
      <c r="G83" s="278">
        <f t="shared" si="49"/>
        <v>0</v>
      </c>
      <c r="H83" s="278">
        <f t="shared" si="50"/>
        <v>0</v>
      </c>
      <c r="I83" s="278">
        <f t="shared" si="51"/>
        <v>0</v>
      </c>
      <c r="J83" s="278">
        <f t="shared" si="52"/>
        <v>0</v>
      </c>
      <c r="K83" s="280">
        <v>0</v>
      </c>
      <c r="L83" s="281">
        <f t="shared" si="53"/>
        <v>0</v>
      </c>
      <c r="M83" s="281">
        <f t="shared" si="54"/>
        <v>0</v>
      </c>
      <c r="N83" s="281">
        <f t="shared" si="55"/>
        <v>0</v>
      </c>
      <c r="O83" s="282">
        <v>0</v>
      </c>
      <c r="P83" s="282">
        <v>0</v>
      </c>
      <c r="Q83" s="282">
        <v>0</v>
      </c>
      <c r="R83" s="283">
        <f t="shared" si="56"/>
        <v>20</v>
      </c>
      <c r="S83" s="284">
        <f t="shared" si="45"/>
        <v>9.1340000000000005E-2</v>
      </c>
      <c r="T83" s="284">
        <f t="shared" si="57"/>
        <v>0</v>
      </c>
      <c r="U83" s="284">
        <f t="shared" si="58"/>
        <v>0</v>
      </c>
      <c r="V83" s="284">
        <f t="shared" si="59"/>
        <v>2.725E-2</v>
      </c>
      <c r="W83" s="283">
        <f t="shared" si="60"/>
        <v>0</v>
      </c>
      <c r="X83" s="283">
        <f t="shared" si="61"/>
        <v>0</v>
      </c>
      <c r="Y83" s="283">
        <f t="shared" si="62"/>
        <v>0</v>
      </c>
      <c r="Z83" s="285">
        <f t="shared" si="63"/>
        <v>0</v>
      </c>
      <c r="AA83" s="285">
        <f t="shared" si="64"/>
        <v>0</v>
      </c>
      <c r="AB83" s="285">
        <f t="shared" si="83"/>
        <v>0</v>
      </c>
      <c r="AC83" s="285">
        <f t="shared" si="84"/>
        <v>0</v>
      </c>
      <c r="AD83" s="285">
        <f t="shared" si="85"/>
        <v>0</v>
      </c>
      <c r="AE83" s="286">
        <v>0</v>
      </c>
      <c r="AF83" s="287">
        <f t="shared" si="65"/>
        <v>0</v>
      </c>
      <c r="AG83" s="288">
        <f t="shared" si="66"/>
        <v>0</v>
      </c>
      <c r="AH83" s="285">
        <f t="shared" si="67"/>
        <v>0</v>
      </c>
      <c r="AI83" s="286">
        <v>0</v>
      </c>
      <c r="AJ83" s="286">
        <v>0</v>
      </c>
      <c r="AK83" s="286">
        <v>0</v>
      </c>
      <c r="AL83" s="285">
        <f t="shared" si="68"/>
        <v>0</v>
      </c>
      <c r="AM83" s="285">
        <f t="shared" si="69"/>
        <v>0</v>
      </c>
      <c r="AN83" s="289">
        <f t="shared" si="86"/>
        <v>1</v>
      </c>
      <c r="AO83" s="290">
        <f t="shared" si="70"/>
        <v>0</v>
      </c>
      <c r="AP83" s="290">
        <f t="shared" si="71"/>
        <v>0</v>
      </c>
      <c r="AQ83" s="290">
        <f t="shared" si="72"/>
        <v>0</v>
      </c>
      <c r="AR83" s="290">
        <f t="shared" si="73"/>
        <v>0</v>
      </c>
      <c r="AS83" s="290">
        <f t="shared" si="74"/>
        <v>0</v>
      </c>
      <c r="AT83" s="290">
        <f t="shared" si="75"/>
        <v>0</v>
      </c>
      <c r="AU83" s="291">
        <f t="shared" si="76"/>
        <v>0</v>
      </c>
      <c r="AV83" s="291">
        <f t="shared" si="46"/>
        <v>0</v>
      </c>
      <c r="AW83" s="292">
        <f t="shared" si="78"/>
        <v>0</v>
      </c>
      <c r="AX83" s="293">
        <f t="shared" si="79"/>
        <v>0</v>
      </c>
      <c r="BC83" s="276">
        <f>IF(BI83=1,IF(BC82=MiscData!$F$1,EOMONTH(BC82,-11),EOMONTH(BC82,1)),BC82)</f>
        <v>41729</v>
      </c>
      <c r="BD83" s="275" t="str">
        <f t="shared" si="87"/>
        <v>20140101LGCME550</v>
      </c>
      <c r="BE83" s="294" t="str">
        <f t="shared" si="88"/>
        <v>20140101GSS</v>
      </c>
      <c r="BF83">
        <f>MiscData!$X$5</f>
        <v>20140101</v>
      </c>
      <c r="BI83" s="265">
        <f>IF(BI82+1&gt;MiscData!$Z$42,1,BI82+1)</f>
        <v>4</v>
      </c>
      <c r="BJ83" s="265" t="str">
        <f>VLOOKUP(BI83,MiscData!$Z$5:$AB$46,2,FALSE)</f>
        <v>LGCME550</v>
      </c>
      <c r="BK83" s="265" t="str">
        <f>VLOOKUP(BI83,MiscData!$Z$5:$AB$46,3,FALSE)</f>
        <v>GSS</v>
      </c>
    </row>
    <row r="84" spans="1:63" hidden="1">
      <c r="A84" s="275">
        <v>77</v>
      </c>
      <c r="B84" s="276" t="str">
        <f t="shared" si="80"/>
        <v>Mar 2014</v>
      </c>
      <c r="C84" s="277" t="s">
        <v>892</v>
      </c>
      <c r="D84" s="277" t="str">
        <f t="shared" si="82"/>
        <v>LGCME551</v>
      </c>
      <c r="E84" s="278">
        <f t="shared" si="48"/>
        <v>28820</v>
      </c>
      <c r="F84" s="279">
        <v>-625</v>
      </c>
      <c r="G84" s="278">
        <f t="shared" si="49"/>
        <v>0</v>
      </c>
      <c r="H84" s="278">
        <f t="shared" si="50"/>
        <v>0</v>
      </c>
      <c r="I84" s="278">
        <f t="shared" si="51"/>
        <v>0</v>
      </c>
      <c r="J84" s="278">
        <f t="shared" si="52"/>
        <v>35756461</v>
      </c>
      <c r="K84" s="280">
        <v>0</v>
      </c>
      <c r="L84" s="281">
        <f t="shared" si="53"/>
        <v>13621</v>
      </c>
      <c r="M84" s="281">
        <f t="shared" si="54"/>
        <v>0</v>
      </c>
      <c r="N84" s="281">
        <f t="shared" si="55"/>
        <v>0</v>
      </c>
      <c r="O84" s="282">
        <v>0</v>
      </c>
      <c r="P84" s="282">
        <v>0</v>
      </c>
      <c r="Q84" s="282">
        <v>0</v>
      </c>
      <c r="R84" s="283">
        <f t="shared" si="56"/>
        <v>20</v>
      </c>
      <c r="S84" s="284">
        <f t="shared" si="45"/>
        <v>9.1340000000000005E-2</v>
      </c>
      <c r="T84" s="284">
        <f t="shared" si="57"/>
        <v>0</v>
      </c>
      <c r="U84" s="284">
        <f t="shared" si="58"/>
        <v>0</v>
      </c>
      <c r="V84" s="284">
        <f t="shared" si="59"/>
        <v>2.725E-2</v>
      </c>
      <c r="W84" s="283">
        <f t="shared" si="60"/>
        <v>0</v>
      </c>
      <c r="X84" s="283">
        <f t="shared" si="61"/>
        <v>0</v>
      </c>
      <c r="Y84" s="283">
        <f t="shared" si="62"/>
        <v>0</v>
      </c>
      <c r="Z84" s="285">
        <f t="shared" si="63"/>
        <v>563900</v>
      </c>
      <c r="AA84" s="285">
        <f t="shared" si="64"/>
        <v>3265995.15</v>
      </c>
      <c r="AB84" s="285">
        <f t="shared" si="83"/>
        <v>0</v>
      </c>
      <c r="AC84" s="285">
        <f t="shared" si="84"/>
        <v>0</v>
      </c>
      <c r="AD84" s="285">
        <f t="shared" si="85"/>
        <v>0</v>
      </c>
      <c r="AE84" s="286">
        <v>0</v>
      </c>
      <c r="AF84" s="287">
        <f t="shared" si="65"/>
        <v>0</v>
      </c>
      <c r="AG84" s="288">
        <f t="shared" si="66"/>
        <v>0</v>
      </c>
      <c r="AH84" s="285">
        <f t="shared" si="67"/>
        <v>0</v>
      </c>
      <c r="AI84" s="286">
        <v>11099.63</v>
      </c>
      <c r="AJ84" s="286">
        <v>523.79999999999995</v>
      </c>
      <c r="AK84" s="286">
        <v>0</v>
      </c>
      <c r="AL84" s="285">
        <f t="shared" si="68"/>
        <v>3841518.5799999996</v>
      </c>
      <c r="AM84" s="285">
        <f t="shared" si="69"/>
        <v>3841518.58</v>
      </c>
      <c r="AN84" s="289">
        <f t="shared" si="86"/>
        <v>1</v>
      </c>
      <c r="AO84" s="290">
        <f t="shared" si="70"/>
        <v>78350.91</v>
      </c>
      <c r="AP84" s="290">
        <f t="shared" si="71"/>
        <v>104383.28</v>
      </c>
      <c r="AQ84" s="290">
        <f t="shared" si="72"/>
        <v>84624.63</v>
      </c>
      <c r="AR84" s="290">
        <f t="shared" si="73"/>
        <v>-0.77</v>
      </c>
      <c r="AS84" s="290">
        <f t="shared" si="74"/>
        <v>0</v>
      </c>
      <c r="AT84" s="290">
        <f t="shared" si="75"/>
        <v>4108876.63</v>
      </c>
      <c r="AU84" s="291">
        <f t="shared" si="76"/>
        <v>4108876.6299999994</v>
      </c>
      <c r="AV84" s="291">
        <f t="shared" si="46"/>
        <v>0</v>
      </c>
      <c r="AW84" s="292">
        <f t="shared" si="78"/>
        <v>974363.56</v>
      </c>
      <c r="AX84" s="293">
        <f t="shared" si="79"/>
        <v>2292155.3899999997</v>
      </c>
      <c r="BC84" s="276">
        <f>IF(BI84=1,IF(BC83=MiscData!$F$1,EOMONTH(BC83,-11),EOMONTH(BC83,1)),BC83)</f>
        <v>41729</v>
      </c>
      <c r="BD84" s="275" t="str">
        <f t="shared" si="87"/>
        <v>20140101LGCME551</v>
      </c>
      <c r="BE84" s="294" t="str">
        <f t="shared" si="88"/>
        <v>20140101GSS</v>
      </c>
      <c r="BF84">
        <f>MiscData!$X$5</f>
        <v>20140101</v>
      </c>
      <c r="BI84" s="265">
        <f>IF(BI83+1&gt;MiscData!$Z$42,1,BI83+1)</f>
        <v>5</v>
      </c>
      <c r="BJ84" s="265" t="str">
        <f>VLOOKUP(BI84,MiscData!$Z$5:$AB$46,2,FALSE)</f>
        <v>LGCME551</v>
      </c>
      <c r="BK84" s="265" t="str">
        <f>VLOOKUP(BI84,MiscData!$Z$5:$AB$46,3,FALSE)</f>
        <v>GSS</v>
      </c>
    </row>
    <row r="85" spans="1:63" hidden="1">
      <c r="A85" s="275">
        <v>78</v>
      </c>
      <c r="B85" s="276" t="str">
        <f t="shared" si="80"/>
        <v>Mar 2014</v>
      </c>
      <c r="C85" s="277" t="s">
        <v>892</v>
      </c>
      <c r="D85" s="277" t="str">
        <f t="shared" si="82"/>
        <v>LGCME551UM</v>
      </c>
      <c r="E85" s="278">
        <f t="shared" si="48"/>
        <v>1</v>
      </c>
      <c r="F85" s="279">
        <v>102</v>
      </c>
      <c r="G85" s="278">
        <f t="shared" si="49"/>
        <v>0</v>
      </c>
      <c r="H85" s="278">
        <f t="shared" si="50"/>
        <v>0</v>
      </c>
      <c r="I85" s="278">
        <f t="shared" si="51"/>
        <v>0</v>
      </c>
      <c r="J85" s="278">
        <f t="shared" si="52"/>
        <v>13802</v>
      </c>
      <c r="K85" s="280">
        <v>0</v>
      </c>
      <c r="L85" s="281">
        <f t="shared" si="53"/>
        <v>0</v>
      </c>
      <c r="M85" s="281">
        <f t="shared" si="54"/>
        <v>0</v>
      </c>
      <c r="N85" s="281">
        <f t="shared" si="55"/>
        <v>0</v>
      </c>
      <c r="O85" s="282">
        <v>0</v>
      </c>
      <c r="P85" s="282">
        <v>0</v>
      </c>
      <c r="Q85" s="282">
        <v>0</v>
      </c>
      <c r="R85" s="283">
        <f t="shared" si="56"/>
        <v>20</v>
      </c>
      <c r="S85" s="284">
        <f t="shared" si="45"/>
        <v>9.1340000000000005E-2</v>
      </c>
      <c r="T85" s="284">
        <f t="shared" si="57"/>
        <v>0</v>
      </c>
      <c r="U85" s="284">
        <f t="shared" si="58"/>
        <v>0</v>
      </c>
      <c r="V85" s="284">
        <f t="shared" si="59"/>
        <v>2.725E-2</v>
      </c>
      <c r="W85" s="283">
        <f t="shared" si="60"/>
        <v>0</v>
      </c>
      <c r="X85" s="283">
        <f t="shared" si="61"/>
        <v>0</v>
      </c>
      <c r="Y85" s="283">
        <f t="shared" si="62"/>
        <v>0</v>
      </c>
      <c r="Z85" s="285">
        <f t="shared" si="63"/>
        <v>2060</v>
      </c>
      <c r="AA85" s="285">
        <f t="shared" si="64"/>
        <v>1260.67</v>
      </c>
      <c r="AB85" s="285">
        <f t="shared" si="83"/>
        <v>0</v>
      </c>
      <c r="AC85" s="285">
        <f t="shared" si="84"/>
        <v>0</v>
      </c>
      <c r="AD85" s="285">
        <f t="shared" si="85"/>
        <v>0</v>
      </c>
      <c r="AE85" s="286">
        <v>0</v>
      </c>
      <c r="AF85" s="287">
        <f t="shared" si="65"/>
        <v>0</v>
      </c>
      <c r="AG85" s="288">
        <f t="shared" si="66"/>
        <v>0</v>
      </c>
      <c r="AH85" s="285">
        <f t="shared" si="67"/>
        <v>0</v>
      </c>
      <c r="AI85" s="286">
        <v>0</v>
      </c>
      <c r="AJ85" s="286">
        <v>0</v>
      </c>
      <c r="AK85" s="286">
        <v>0</v>
      </c>
      <c r="AL85" s="285">
        <f t="shared" si="68"/>
        <v>3320.67</v>
      </c>
      <c r="AM85" s="285">
        <f t="shared" si="69"/>
        <v>3320.6699999999996</v>
      </c>
      <c r="AN85" s="289">
        <f t="shared" si="86"/>
        <v>1</v>
      </c>
      <c r="AO85" s="290">
        <f t="shared" si="70"/>
        <v>30.36</v>
      </c>
      <c r="AP85" s="290">
        <f t="shared" si="71"/>
        <v>40.299999999999997</v>
      </c>
      <c r="AQ85" s="290">
        <f t="shared" si="72"/>
        <v>83.87</v>
      </c>
      <c r="AR85" s="290">
        <f t="shared" si="73"/>
        <v>0</v>
      </c>
      <c r="AS85" s="290">
        <f t="shared" si="74"/>
        <v>0</v>
      </c>
      <c r="AT85" s="290">
        <f t="shared" si="75"/>
        <v>3475.2</v>
      </c>
      <c r="AU85" s="291">
        <f t="shared" si="76"/>
        <v>3475.2000000000003</v>
      </c>
      <c r="AV85" s="291">
        <f t="shared" si="46"/>
        <v>0</v>
      </c>
      <c r="AW85" s="292">
        <f t="shared" si="78"/>
        <v>376.1</v>
      </c>
      <c r="AX85" s="293">
        <f t="shared" si="79"/>
        <v>884.57</v>
      </c>
      <c r="BC85" s="276">
        <f>IF(BI85=1,IF(BC84=MiscData!$F$1,EOMONTH(BC84,-11),EOMONTH(BC84,1)),BC84)</f>
        <v>41729</v>
      </c>
      <c r="BD85" s="275" t="str">
        <f t="shared" si="87"/>
        <v>20140101LGCME551UM</v>
      </c>
      <c r="BE85" s="294" t="str">
        <f t="shared" si="88"/>
        <v>20140101GSS</v>
      </c>
      <c r="BF85">
        <f>MiscData!$X$5</f>
        <v>20140101</v>
      </c>
      <c r="BI85" s="265">
        <f>IF(BI84+1&gt;MiscData!$Z$42,1,BI84+1)</f>
        <v>6</v>
      </c>
      <c r="BJ85" s="265" t="str">
        <f>VLOOKUP(BI85,MiscData!$Z$5:$AB$46,2,FALSE)</f>
        <v>LGCME551UM</v>
      </c>
      <c r="BK85" s="265" t="str">
        <f>VLOOKUP(BI85,MiscData!$Z$5:$AB$46,3,FALSE)</f>
        <v>GSS</v>
      </c>
    </row>
    <row r="86" spans="1:63" hidden="1">
      <c r="A86" s="275">
        <v>77</v>
      </c>
      <c r="B86" s="276" t="str">
        <f t="shared" si="80"/>
        <v>Mar 2014</v>
      </c>
      <c r="C86" s="277" t="s">
        <v>892</v>
      </c>
      <c r="D86" s="277" t="str">
        <f t="shared" si="82"/>
        <v>LGCME552</v>
      </c>
      <c r="E86" s="278">
        <f t="shared" si="48"/>
        <v>122</v>
      </c>
      <c r="F86" s="279">
        <f>-E86</f>
        <v>-122</v>
      </c>
      <c r="G86" s="278">
        <f t="shared" si="49"/>
        <v>0</v>
      </c>
      <c r="H86" s="278">
        <f t="shared" si="50"/>
        <v>0</v>
      </c>
      <c r="I86" s="278">
        <f t="shared" si="51"/>
        <v>0</v>
      </c>
      <c r="J86" s="278">
        <f t="shared" si="52"/>
        <v>292506</v>
      </c>
      <c r="K86" s="280">
        <v>0</v>
      </c>
      <c r="L86" s="281">
        <f t="shared" si="53"/>
        <v>1.3</v>
      </c>
      <c r="M86" s="281">
        <f t="shared" si="54"/>
        <v>0</v>
      </c>
      <c r="N86" s="281">
        <f t="shared" si="55"/>
        <v>0</v>
      </c>
      <c r="O86" s="282">
        <v>0</v>
      </c>
      <c r="P86" s="282">
        <v>0</v>
      </c>
      <c r="Q86" s="282">
        <v>0</v>
      </c>
      <c r="R86" s="283">
        <f t="shared" si="56"/>
        <v>0</v>
      </c>
      <c r="S86" s="284">
        <f t="shared" si="45"/>
        <v>9.1340000000000005E-2</v>
      </c>
      <c r="T86" s="284">
        <f t="shared" si="57"/>
        <v>0</v>
      </c>
      <c r="U86" s="284">
        <f t="shared" si="58"/>
        <v>0</v>
      </c>
      <c r="V86" s="284">
        <f t="shared" si="59"/>
        <v>2.725E-2</v>
      </c>
      <c r="W86" s="283">
        <f t="shared" si="60"/>
        <v>0</v>
      </c>
      <c r="X86" s="283">
        <f t="shared" si="61"/>
        <v>0</v>
      </c>
      <c r="Y86" s="283">
        <f t="shared" si="62"/>
        <v>0</v>
      </c>
      <c r="Z86" s="285">
        <f t="shared" si="63"/>
        <v>0</v>
      </c>
      <c r="AA86" s="285">
        <f t="shared" si="64"/>
        <v>26717.5</v>
      </c>
      <c r="AB86" s="285">
        <f t="shared" si="83"/>
        <v>0</v>
      </c>
      <c r="AC86" s="285">
        <f t="shared" si="84"/>
        <v>0</v>
      </c>
      <c r="AD86" s="285">
        <f t="shared" si="85"/>
        <v>0</v>
      </c>
      <c r="AE86" s="286">
        <v>0</v>
      </c>
      <c r="AF86" s="287">
        <f t="shared" si="65"/>
        <v>0</v>
      </c>
      <c r="AG86" s="288">
        <f t="shared" si="66"/>
        <v>0</v>
      </c>
      <c r="AH86" s="285">
        <f t="shared" si="67"/>
        <v>0</v>
      </c>
      <c r="AI86" s="286">
        <v>0</v>
      </c>
      <c r="AJ86" s="286">
        <v>-0.01</v>
      </c>
      <c r="AK86" s="286">
        <v>0</v>
      </c>
      <c r="AL86" s="285">
        <f t="shared" si="68"/>
        <v>26717.49</v>
      </c>
      <c r="AM86" s="285">
        <f t="shared" si="69"/>
        <v>26717.49</v>
      </c>
      <c r="AN86" s="289">
        <f t="shared" si="86"/>
        <v>1</v>
      </c>
      <c r="AO86" s="290">
        <f t="shared" si="70"/>
        <v>640.71</v>
      </c>
      <c r="AP86" s="290">
        <f t="shared" si="71"/>
        <v>854.08</v>
      </c>
      <c r="AQ86" s="290">
        <f t="shared" si="72"/>
        <v>558.80999999999995</v>
      </c>
      <c r="AR86" s="290">
        <f t="shared" si="73"/>
        <v>0</v>
      </c>
      <c r="AS86" s="290">
        <f t="shared" si="74"/>
        <v>0</v>
      </c>
      <c r="AT86" s="290">
        <f t="shared" si="75"/>
        <v>28771.09</v>
      </c>
      <c r="AU86" s="291">
        <f t="shared" si="76"/>
        <v>28771.090000000004</v>
      </c>
      <c r="AV86" s="291">
        <f t="shared" si="46"/>
        <v>0</v>
      </c>
      <c r="AW86" s="292">
        <f t="shared" si="78"/>
        <v>7970.79</v>
      </c>
      <c r="AX86" s="293">
        <f t="shared" si="79"/>
        <v>18746.7</v>
      </c>
      <c r="BC86" s="276">
        <f>IF(BI86=1,IF(BC85=MiscData!$F$1,EOMONTH(BC85,-11),EOMONTH(BC85,1)),BC85)</f>
        <v>41729</v>
      </c>
      <c r="BD86" s="275" t="str">
        <f t="shared" si="87"/>
        <v>20140101LGCME552</v>
      </c>
      <c r="BE86" s="294" t="str">
        <f t="shared" si="88"/>
        <v>20140101GSS</v>
      </c>
      <c r="BF86">
        <f>MiscData!$X$5</f>
        <v>20140101</v>
      </c>
      <c r="BI86" s="265">
        <f>IF(BI85+1&gt;MiscData!$Z$42,1,BI85+1)</f>
        <v>7</v>
      </c>
      <c r="BJ86" s="265" t="str">
        <f>VLOOKUP(BI86,MiscData!$Z$5:$AB$46,2,FALSE)</f>
        <v>LGCME552</v>
      </c>
      <c r="BK86" s="265" t="str">
        <f>VLOOKUP(BI86,MiscData!$Z$5:$AB$46,3,FALSE)</f>
        <v>GSS</v>
      </c>
    </row>
    <row r="87" spans="1:63" hidden="1">
      <c r="A87" s="275">
        <v>78</v>
      </c>
      <c r="B87" s="276" t="str">
        <f t="shared" si="80"/>
        <v>Mar 2014</v>
      </c>
      <c r="C87" s="277" t="s">
        <v>892</v>
      </c>
      <c r="D87" s="277" t="str">
        <f t="shared" si="82"/>
        <v>LGCME557</v>
      </c>
      <c r="E87" s="278">
        <f t="shared" si="48"/>
        <v>7</v>
      </c>
      <c r="F87" s="279">
        <v>0</v>
      </c>
      <c r="G87" s="278">
        <f t="shared" si="49"/>
        <v>0</v>
      </c>
      <c r="H87" s="278">
        <f t="shared" si="50"/>
        <v>0</v>
      </c>
      <c r="I87" s="278">
        <f t="shared" si="51"/>
        <v>0</v>
      </c>
      <c r="J87" s="278">
        <f t="shared" si="52"/>
        <v>5831</v>
      </c>
      <c r="K87" s="280">
        <v>0</v>
      </c>
      <c r="L87" s="281">
        <f t="shared" si="53"/>
        <v>0</v>
      </c>
      <c r="M87" s="281">
        <f t="shared" si="54"/>
        <v>0</v>
      </c>
      <c r="N87" s="281">
        <f t="shared" si="55"/>
        <v>0</v>
      </c>
      <c r="O87" s="282">
        <v>0</v>
      </c>
      <c r="P87" s="282">
        <v>0</v>
      </c>
      <c r="Q87" s="282">
        <v>0</v>
      </c>
      <c r="R87" s="283">
        <f t="shared" si="56"/>
        <v>20</v>
      </c>
      <c r="S87" s="284">
        <f t="shared" si="45"/>
        <v>9.1340000000000005E-2</v>
      </c>
      <c r="T87" s="284">
        <f t="shared" si="57"/>
        <v>0</v>
      </c>
      <c r="U87" s="284">
        <f t="shared" si="58"/>
        <v>0</v>
      </c>
      <c r="V87" s="284">
        <f t="shared" si="59"/>
        <v>2.725E-2</v>
      </c>
      <c r="W87" s="283">
        <f t="shared" si="60"/>
        <v>0</v>
      </c>
      <c r="X87" s="283">
        <f t="shared" si="61"/>
        <v>0</v>
      </c>
      <c r="Y87" s="283">
        <f t="shared" si="62"/>
        <v>0</v>
      </c>
      <c r="Z87" s="285">
        <f t="shared" si="63"/>
        <v>140</v>
      </c>
      <c r="AA87" s="285">
        <f t="shared" si="64"/>
        <v>532.6</v>
      </c>
      <c r="AB87" s="285">
        <f t="shared" si="83"/>
        <v>0</v>
      </c>
      <c r="AC87" s="285">
        <f t="shared" si="84"/>
        <v>0</v>
      </c>
      <c r="AD87" s="285">
        <f t="shared" si="85"/>
        <v>0</v>
      </c>
      <c r="AE87" s="286">
        <v>0</v>
      </c>
      <c r="AF87" s="287">
        <f t="shared" si="65"/>
        <v>0</v>
      </c>
      <c r="AG87" s="288">
        <f t="shared" si="66"/>
        <v>0</v>
      </c>
      <c r="AH87" s="285">
        <f t="shared" si="67"/>
        <v>0</v>
      </c>
      <c r="AI87" s="286">
        <v>0</v>
      </c>
      <c r="AJ87" s="286">
        <v>0.01</v>
      </c>
      <c r="AK87" s="286">
        <v>0</v>
      </c>
      <c r="AL87" s="285">
        <f t="shared" si="68"/>
        <v>672.61</v>
      </c>
      <c r="AM87" s="285">
        <f t="shared" si="69"/>
        <v>672.61</v>
      </c>
      <c r="AN87" s="289">
        <f t="shared" si="86"/>
        <v>1</v>
      </c>
      <c r="AO87" s="290">
        <f t="shared" si="70"/>
        <v>12.82</v>
      </c>
      <c r="AP87" s="290">
        <f t="shared" si="71"/>
        <v>17.02</v>
      </c>
      <c r="AQ87" s="290">
        <f t="shared" si="72"/>
        <v>14.9</v>
      </c>
      <c r="AR87" s="290">
        <f t="shared" si="73"/>
        <v>0</v>
      </c>
      <c r="AS87" s="290">
        <f t="shared" si="74"/>
        <v>0</v>
      </c>
      <c r="AT87" s="290">
        <f t="shared" si="75"/>
        <v>717.35</v>
      </c>
      <c r="AU87" s="291">
        <f t="shared" si="76"/>
        <v>717.35</v>
      </c>
      <c r="AV87" s="291">
        <f t="shared" si="46"/>
        <v>0</v>
      </c>
      <c r="AW87" s="292">
        <f t="shared" si="78"/>
        <v>158.88999999999999</v>
      </c>
      <c r="AX87" s="293">
        <f t="shared" si="79"/>
        <v>373.72</v>
      </c>
      <c r="BC87" s="276">
        <f>IF(BI87=1,IF(BC86=MiscData!$F$1,EOMONTH(BC86,-11),EOMONTH(BC86,1)),BC86)</f>
        <v>41729</v>
      </c>
      <c r="BD87" s="275" t="str">
        <f t="shared" si="87"/>
        <v>20140101LGCME557</v>
      </c>
      <c r="BE87" s="294" t="str">
        <f t="shared" si="88"/>
        <v>20140101GSS</v>
      </c>
      <c r="BF87">
        <f>MiscData!$X$5</f>
        <v>20140101</v>
      </c>
      <c r="BI87" s="265">
        <f>IF(BI86+1&gt;MiscData!$Z$42,1,BI86+1)</f>
        <v>8</v>
      </c>
      <c r="BJ87" s="265" t="str">
        <f>VLOOKUP(BI87,MiscData!$Z$5:$AB$46,2,FALSE)</f>
        <v>LGCME557</v>
      </c>
      <c r="BK87" s="265" t="str">
        <f>VLOOKUP(BI87,MiscData!$Z$5:$AB$46,3,FALSE)</f>
        <v>GSS</v>
      </c>
    </row>
    <row r="88" spans="1:63" hidden="1">
      <c r="A88" s="275">
        <v>79</v>
      </c>
      <c r="B88" s="276" t="str">
        <f t="shared" si="80"/>
        <v>Mar 2014</v>
      </c>
      <c r="C88" s="277" t="str">
        <f t="shared" si="81"/>
        <v>PSS</v>
      </c>
      <c r="D88" s="277" t="str">
        <f t="shared" si="82"/>
        <v>LGCME561</v>
      </c>
      <c r="E88" s="278">
        <f t="shared" si="48"/>
        <v>2586</v>
      </c>
      <c r="F88" s="279">
        <v>-97</v>
      </c>
      <c r="G88" s="278">
        <f t="shared" si="49"/>
        <v>0</v>
      </c>
      <c r="H88" s="278">
        <f t="shared" si="50"/>
        <v>0</v>
      </c>
      <c r="I88" s="278">
        <f t="shared" si="51"/>
        <v>0</v>
      </c>
      <c r="J88" s="278">
        <f t="shared" si="52"/>
        <v>135336210</v>
      </c>
      <c r="K88" s="280">
        <v>0</v>
      </c>
      <c r="L88" s="281">
        <f t="shared" si="53"/>
        <v>0</v>
      </c>
      <c r="M88" s="281">
        <f t="shared" si="54"/>
        <v>343595.5</v>
      </c>
      <c r="N88" s="281">
        <f t="shared" si="55"/>
        <v>0</v>
      </c>
      <c r="O88" s="282">
        <v>0</v>
      </c>
      <c r="P88" s="282">
        <v>13305.8</v>
      </c>
      <c r="Q88" s="282">
        <v>0</v>
      </c>
      <c r="R88" s="283">
        <f t="shared" si="56"/>
        <v>90</v>
      </c>
      <c r="S88" s="284">
        <f t="shared" si="45"/>
        <v>4.0599999999999997E-2</v>
      </c>
      <c r="T88" s="284">
        <f t="shared" si="57"/>
        <v>0</v>
      </c>
      <c r="U88" s="284">
        <f t="shared" si="58"/>
        <v>0</v>
      </c>
      <c r="V88" s="284">
        <f t="shared" si="59"/>
        <v>2.725E-2</v>
      </c>
      <c r="W88" s="283">
        <f t="shared" si="60"/>
        <v>0</v>
      </c>
      <c r="X88" s="283">
        <f t="shared" si="61"/>
        <v>14.010000000000002</v>
      </c>
      <c r="Y88" s="283">
        <f t="shared" si="62"/>
        <v>16.399999999999999</v>
      </c>
      <c r="Z88" s="285">
        <f t="shared" si="63"/>
        <v>224010</v>
      </c>
      <c r="AA88" s="285">
        <f t="shared" si="64"/>
        <v>5494650.1299999999</v>
      </c>
      <c r="AB88" s="285">
        <f t="shared" si="83"/>
        <v>0</v>
      </c>
      <c r="AC88" s="285">
        <f t="shared" si="84"/>
        <v>4813772.96</v>
      </c>
      <c r="AD88" s="285">
        <f t="shared" si="85"/>
        <v>0</v>
      </c>
      <c r="AE88" s="286">
        <v>0</v>
      </c>
      <c r="AF88" s="287">
        <f t="shared" si="65"/>
        <v>8090.98</v>
      </c>
      <c r="AG88" s="288">
        <f t="shared" si="66"/>
        <v>186414.26</v>
      </c>
      <c r="AH88" s="285">
        <f t="shared" si="67"/>
        <v>5008278.2</v>
      </c>
      <c r="AI88" s="286">
        <v>7078.64</v>
      </c>
      <c r="AJ88" s="286">
        <v>-0.02</v>
      </c>
      <c r="AK88" s="286">
        <v>3711.29</v>
      </c>
      <c r="AL88" s="285">
        <f t="shared" si="68"/>
        <v>10737728.24</v>
      </c>
      <c r="AM88" s="285">
        <f t="shared" si="69"/>
        <v>10737728.24</v>
      </c>
      <c r="AN88" s="289">
        <f t="shared" si="86"/>
        <v>1</v>
      </c>
      <c r="AO88" s="290">
        <f t="shared" si="70"/>
        <v>295308.5</v>
      </c>
      <c r="AP88" s="290">
        <f t="shared" si="71"/>
        <v>154336.48000000001</v>
      </c>
      <c r="AQ88" s="290">
        <f t="shared" si="72"/>
        <v>209166.34</v>
      </c>
      <c r="AR88" s="290">
        <f t="shared" si="73"/>
        <v>0</v>
      </c>
      <c r="AS88" s="290">
        <f t="shared" si="74"/>
        <v>0</v>
      </c>
      <c r="AT88" s="290">
        <f t="shared" si="75"/>
        <v>11396539.560000001</v>
      </c>
      <c r="AU88" s="291">
        <f t="shared" si="76"/>
        <v>11396539.560000001</v>
      </c>
      <c r="AV88" s="291">
        <f t="shared" si="46"/>
        <v>0</v>
      </c>
      <c r="AW88" s="292">
        <f t="shared" si="78"/>
        <v>3687911.72</v>
      </c>
      <c r="AX88" s="293">
        <f t="shared" si="79"/>
        <v>1806738.3900000001</v>
      </c>
      <c r="BC88" s="276">
        <f>IF(BI88=1,IF(BC87=MiscData!$F$1,EOMONTH(BC87,-11),EOMONTH(BC87,1)),BC87)</f>
        <v>41729</v>
      </c>
      <c r="BD88" s="275" t="str">
        <f t="shared" si="87"/>
        <v>20140101LGCME561</v>
      </c>
      <c r="BE88" s="294" t="str">
        <f t="shared" si="88"/>
        <v>20140101PSS</v>
      </c>
      <c r="BF88">
        <f>MiscData!$X$5</f>
        <v>20140101</v>
      </c>
      <c r="BI88" s="265">
        <f>IF(BI87+1&gt;MiscData!$Z$42,1,BI87+1)</f>
        <v>9</v>
      </c>
      <c r="BJ88" s="265" t="str">
        <f>VLOOKUP(BI88,MiscData!$Z$5:$AB$46,2,FALSE)</f>
        <v>LGCME561</v>
      </c>
      <c r="BK88" s="265" t="str">
        <f>VLOOKUP(BI88,MiscData!$Z$5:$AB$46,3,FALSE)</f>
        <v>PSS</v>
      </c>
    </row>
    <row r="89" spans="1:63" hidden="1">
      <c r="A89" s="275">
        <v>80</v>
      </c>
      <c r="B89" s="276" t="str">
        <f t="shared" si="80"/>
        <v>Mar 2014</v>
      </c>
      <c r="C89" s="277" t="str">
        <f t="shared" si="81"/>
        <v>PSP</v>
      </c>
      <c r="D89" s="277" t="str">
        <f t="shared" si="82"/>
        <v>LGCME563</v>
      </c>
      <c r="E89" s="278">
        <f t="shared" si="48"/>
        <v>57</v>
      </c>
      <c r="F89" s="279">
        <v>-5</v>
      </c>
      <c r="G89" s="278">
        <f t="shared" si="49"/>
        <v>0</v>
      </c>
      <c r="H89" s="278">
        <f t="shared" si="50"/>
        <v>0</v>
      </c>
      <c r="I89" s="278">
        <f t="shared" si="51"/>
        <v>0</v>
      </c>
      <c r="J89" s="278">
        <f t="shared" si="52"/>
        <v>13078540</v>
      </c>
      <c r="K89" s="280">
        <v>0</v>
      </c>
      <c r="L89" s="281">
        <f t="shared" si="53"/>
        <v>0</v>
      </c>
      <c r="M89" s="281">
        <f t="shared" si="54"/>
        <v>27556.799999999999</v>
      </c>
      <c r="N89" s="281">
        <f t="shared" si="55"/>
        <v>0</v>
      </c>
      <c r="O89" s="282">
        <v>0</v>
      </c>
      <c r="P89" s="282">
        <v>119.85</v>
      </c>
      <c r="Q89" s="282">
        <v>0</v>
      </c>
      <c r="R89" s="283">
        <f t="shared" si="56"/>
        <v>170</v>
      </c>
      <c r="S89" s="284">
        <f t="shared" si="45"/>
        <v>3.9260000000000003E-2</v>
      </c>
      <c r="T89" s="284">
        <f t="shared" si="57"/>
        <v>0</v>
      </c>
      <c r="U89" s="284">
        <f t="shared" si="58"/>
        <v>0</v>
      </c>
      <c r="V89" s="284">
        <f t="shared" si="59"/>
        <v>2.725E-2</v>
      </c>
      <c r="W89" s="283">
        <f t="shared" si="60"/>
        <v>0</v>
      </c>
      <c r="X89" s="283">
        <f t="shared" si="61"/>
        <v>11.660000000000002</v>
      </c>
      <c r="Y89" s="283">
        <f t="shared" si="62"/>
        <v>13.950000000000001</v>
      </c>
      <c r="Z89" s="285">
        <f t="shared" si="63"/>
        <v>8840</v>
      </c>
      <c r="AA89" s="285">
        <f t="shared" si="64"/>
        <v>513463.48</v>
      </c>
      <c r="AB89" s="285">
        <f t="shared" si="83"/>
        <v>0</v>
      </c>
      <c r="AC89" s="285">
        <f t="shared" si="84"/>
        <v>321312.28999999998</v>
      </c>
      <c r="AD89" s="285">
        <f t="shared" si="85"/>
        <v>0</v>
      </c>
      <c r="AE89" s="286">
        <v>0</v>
      </c>
      <c r="AF89" s="287">
        <f t="shared" si="65"/>
        <v>12254.65</v>
      </c>
      <c r="AG89" s="288">
        <f t="shared" si="66"/>
        <v>1397.45</v>
      </c>
      <c r="AH89" s="285">
        <f t="shared" si="67"/>
        <v>334964.39</v>
      </c>
      <c r="AI89" s="286">
        <v>1020</v>
      </c>
      <c r="AJ89" s="286">
        <v>0.01</v>
      </c>
      <c r="AK89" s="286">
        <v>44.34</v>
      </c>
      <c r="AL89" s="285">
        <f t="shared" si="68"/>
        <v>858332.22</v>
      </c>
      <c r="AM89" s="285">
        <f t="shared" si="69"/>
        <v>858332.22</v>
      </c>
      <c r="AN89" s="289">
        <f t="shared" si="86"/>
        <v>1</v>
      </c>
      <c r="AO89" s="290">
        <f t="shared" si="70"/>
        <v>27516.43</v>
      </c>
      <c r="AP89" s="290">
        <f t="shared" si="71"/>
        <v>14909.53</v>
      </c>
      <c r="AQ89" s="290">
        <f t="shared" si="72"/>
        <v>16606.41</v>
      </c>
      <c r="AR89" s="290">
        <f t="shared" si="73"/>
        <v>0</v>
      </c>
      <c r="AS89" s="290">
        <f t="shared" si="74"/>
        <v>0</v>
      </c>
      <c r="AT89" s="290">
        <f t="shared" si="75"/>
        <v>917364.59</v>
      </c>
      <c r="AU89" s="291">
        <f t="shared" si="76"/>
        <v>917364.59000000008</v>
      </c>
      <c r="AV89" s="291">
        <f t="shared" si="46"/>
        <v>0</v>
      </c>
      <c r="AW89" s="292">
        <f t="shared" si="78"/>
        <v>356390.22</v>
      </c>
      <c r="AX89" s="293">
        <f t="shared" si="79"/>
        <v>157073.27000000002</v>
      </c>
      <c r="BC89" s="276">
        <f>IF(BI89=1,IF(BC88=MiscData!$F$1,EOMONTH(BC88,-11),EOMONTH(BC88,1)),BC88)</f>
        <v>41729</v>
      </c>
      <c r="BD89" s="275" t="str">
        <f t="shared" si="87"/>
        <v>20140101LGCME563</v>
      </c>
      <c r="BE89" s="294" t="str">
        <f t="shared" si="88"/>
        <v>20140101PSP</v>
      </c>
      <c r="BF89">
        <f>MiscData!$X$5</f>
        <v>20140101</v>
      </c>
      <c r="BI89" s="265">
        <f>IF(BI88+1&gt;MiscData!$Z$42,1,BI88+1)</f>
        <v>10</v>
      </c>
      <c r="BJ89" s="265" t="str">
        <f>VLOOKUP(BI89,MiscData!$Z$5:$AB$46,2,FALSE)</f>
        <v>LGCME563</v>
      </c>
      <c r="BK89" s="265" t="str">
        <f>VLOOKUP(BI89,MiscData!$Z$5:$AB$46,3,FALSE)</f>
        <v>PSP</v>
      </c>
    </row>
    <row r="90" spans="1:63" hidden="1">
      <c r="A90" s="275">
        <v>81</v>
      </c>
      <c r="B90" s="276" t="str">
        <f t="shared" si="80"/>
        <v>Mar 2014</v>
      </c>
      <c r="C90" s="277" t="str">
        <f t="shared" si="81"/>
        <v>PSS</v>
      </c>
      <c r="D90" s="277" t="str">
        <f t="shared" si="82"/>
        <v>LGCME567</v>
      </c>
      <c r="E90" s="278">
        <f t="shared" si="48"/>
        <v>1</v>
      </c>
      <c r="F90" s="279">
        <v>-1</v>
      </c>
      <c r="G90" s="278">
        <f t="shared" si="49"/>
        <v>0</v>
      </c>
      <c r="H90" s="278">
        <f t="shared" si="50"/>
        <v>0</v>
      </c>
      <c r="I90" s="278">
        <f t="shared" si="51"/>
        <v>0</v>
      </c>
      <c r="J90" s="278">
        <f t="shared" si="52"/>
        <v>83760</v>
      </c>
      <c r="K90" s="280">
        <v>0</v>
      </c>
      <c r="L90" s="281">
        <f t="shared" si="53"/>
        <v>0</v>
      </c>
      <c r="M90" s="281">
        <f t="shared" si="54"/>
        <v>231.2</v>
      </c>
      <c r="N90" s="281">
        <f t="shared" si="55"/>
        <v>0</v>
      </c>
      <c r="O90" s="282">
        <v>0</v>
      </c>
      <c r="P90" s="282">
        <v>0</v>
      </c>
      <c r="Q90" s="282">
        <v>0</v>
      </c>
      <c r="R90" s="283">
        <f t="shared" si="56"/>
        <v>90</v>
      </c>
      <c r="S90" s="284">
        <f t="shared" si="45"/>
        <v>4.0599999999999997E-2</v>
      </c>
      <c r="T90" s="284">
        <f t="shared" si="57"/>
        <v>0</v>
      </c>
      <c r="U90" s="284">
        <f t="shared" si="58"/>
        <v>0</v>
      </c>
      <c r="V90" s="284">
        <f t="shared" si="59"/>
        <v>2.725E-2</v>
      </c>
      <c r="W90" s="283">
        <f t="shared" si="60"/>
        <v>0</v>
      </c>
      <c r="X90" s="283">
        <f t="shared" si="61"/>
        <v>14.010000000000002</v>
      </c>
      <c r="Y90" s="283">
        <f t="shared" si="62"/>
        <v>16.399999999999999</v>
      </c>
      <c r="Z90" s="285">
        <f t="shared" si="63"/>
        <v>0</v>
      </c>
      <c r="AA90" s="285">
        <f t="shared" si="64"/>
        <v>3400.66</v>
      </c>
      <c r="AB90" s="285">
        <f t="shared" si="83"/>
        <v>0</v>
      </c>
      <c r="AC90" s="285">
        <f t="shared" si="84"/>
        <v>3239.11</v>
      </c>
      <c r="AD90" s="285">
        <f t="shared" si="85"/>
        <v>0</v>
      </c>
      <c r="AE90" s="286">
        <v>0</v>
      </c>
      <c r="AF90" s="287">
        <f t="shared" si="65"/>
        <v>0</v>
      </c>
      <c r="AG90" s="288">
        <f t="shared" si="66"/>
        <v>0</v>
      </c>
      <c r="AH90" s="285">
        <f t="shared" si="67"/>
        <v>3239.11</v>
      </c>
      <c r="AI90" s="286">
        <v>90</v>
      </c>
      <c r="AJ90" s="286">
        <v>0</v>
      </c>
      <c r="AK90" s="286">
        <v>52.54</v>
      </c>
      <c r="AL90" s="285">
        <f t="shared" si="68"/>
        <v>6782.31</v>
      </c>
      <c r="AM90" s="285">
        <f t="shared" si="69"/>
        <v>6782.3099999999995</v>
      </c>
      <c r="AN90" s="289">
        <f t="shared" si="86"/>
        <v>1</v>
      </c>
      <c r="AO90" s="290">
        <f t="shared" si="70"/>
        <v>134.85</v>
      </c>
      <c r="AP90" s="290">
        <f t="shared" si="71"/>
        <v>95.49</v>
      </c>
      <c r="AQ90" s="290">
        <f t="shared" si="72"/>
        <v>242.63</v>
      </c>
      <c r="AR90" s="290">
        <f t="shared" si="73"/>
        <v>0</v>
      </c>
      <c r="AS90" s="290">
        <f t="shared" si="74"/>
        <v>0</v>
      </c>
      <c r="AT90" s="290">
        <f t="shared" si="75"/>
        <v>7255.28</v>
      </c>
      <c r="AU90" s="291">
        <f t="shared" si="76"/>
        <v>7255.2800000000007</v>
      </c>
      <c r="AV90" s="291">
        <f t="shared" si="46"/>
        <v>0</v>
      </c>
      <c r="AW90" s="292">
        <f t="shared" si="78"/>
        <v>2282.46</v>
      </c>
      <c r="AX90" s="293">
        <f t="shared" si="79"/>
        <v>1118.1999999999998</v>
      </c>
      <c r="BC90" s="276">
        <f>IF(BI90=1,IF(BC89=MiscData!$F$1,EOMONTH(BC89,-11),EOMONTH(BC89,1)),BC89)</f>
        <v>41729</v>
      </c>
      <c r="BD90" s="275" t="str">
        <f t="shared" si="87"/>
        <v>20140101LGCME567</v>
      </c>
      <c r="BE90" s="294" t="str">
        <f t="shared" si="88"/>
        <v>20140101PSS</v>
      </c>
      <c r="BF90">
        <f>MiscData!$X$5</f>
        <v>20140101</v>
      </c>
      <c r="BI90" s="265">
        <f>IF(BI89+1&gt;MiscData!$Z$42,1,BI89+1)</f>
        <v>11</v>
      </c>
      <c r="BJ90" s="265" t="str">
        <f>VLOOKUP(BI90,MiscData!$Z$5:$AB$46,2,FALSE)</f>
        <v>LGCME567</v>
      </c>
      <c r="BK90" s="265" t="str">
        <f>VLOOKUP(BI90,MiscData!$Z$5:$AB$46,3,FALSE)</f>
        <v>PSS</v>
      </c>
    </row>
    <row r="91" spans="1:63" hidden="1">
      <c r="A91" s="275">
        <v>82</v>
      </c>
      <c r="B91" s="276" t="str">
        <f t="shared" si="80"/>
        <v>Mar 2014</v>
      </c>
      <c r="C91" s="277" t="str">
        <f t="shared" si="81"/>
        <v>TODS</v>
      </c>
      <c r="D91" s="277" t="str">
        <f t="shared" si="82"/>
        <v>LGCME591</v>
      </c>
      <c r="E91" s="278">
        <f t="shared" si="48"/>
        <v>203</v>
      </c>
      <c r="F91" s="279">
        <v>-6</v>
      </c>
      <c r="G91" s="278">
        <f t="shared" si="49"/>
        <v>0</v>
      </c>
      <c r="H91" s="278">
        <f t="shared" si="50"/>
        <v>0</v>
      </c>
      <c r="I91" s="278">
        <f t="shared" si="51"/>
        <v>0</v>
      </c>
      <c r="J91" s="278">
        <f t="shared" si="52"/>
        <v>54864433</v>
      </c>
      <c r="K91" s="280">
        <v>0</v>
      </c>
      <c r="L91" s="281">
        <f t="shared" si="53"/>
        <v>113072.2</v>
      </c>
      <c r="M91" s="281">
        <f t="shared" si="54"/>
        <v>112617.5</v>
      </c>
      <c r="N91" s="281">
        <f t="shared" si="55"/>
        <v>108954.4</v>
      </c>
      <c r="O91" s="282">
        <v>9080.02</v>
      </c>
      <c r="P91" s="282">
        <v>760.3</v>
      </c>
      <c r="Q91" s="282">
        <v>1588.2</v>
      </c>
      <c r="R91" s="283">
        <f t="shared" si="56"/>
        <v>200</v>
      </c>
      <c r="S91" s="284">
        <f t="shared" si="45"/>
        <v>3.9899999999999998E-2</v>
      </c>
      <c r="T91" s="284">
        <f t="shared" si="57"/>
        <v>0</v>
      </c>
      <c r="U91" s="284">
        <f t="shared" si="58"/>
        <v>0</v>
      </c>
      <c r="V91" s="284">
        <f t="shared" si="59"/>
        <v>2.725E-2</v>
      </c>
      <c r="W91" s="283">
        <f t="shared" si="60"/>
        <v>4</v>
      </c>
      <c r="X91" s="283">
        <f t="shared" si="61"/>
        <v>4.5100000000000007</v>
      </c>
      <c r="Y91" s="283">
        <f t="shared" si="62"/>
        <v>6.11</v>
      </c>
      <c r="Z91" s="285">
        <f t="shared" si="63"/>
        <v>39400</v>
      </c>
      <c r="AA91" s="285">
        <f t="shared" si="64"/>
        <v>2189090.88</v>
      </c>
      <c r="AB91" s="285">
        <f t="shared" si="83"/>
        <v>452288.8</v>
      </c>
      <c r="AC91" s="285">
        <f t="shared" si="84"/>
        <v>507904.93</v>
      </c>
      <c r="AD91" s="285">
        <f t="shared" si="85"/>
        <v>665711.38</v>
      </c>
      <c r="AE91" s="286">
        <v>1755</v>
      </c>
      <c r="AF91" s="287">
        <f t="shared" si="65"/>
        <v>16071.25</v>
      </c>
      <c r="AG91" s="288">
        <f t="shared" si="66"/>
        <v>49452.94</v>
      </c>
      <c r="AH91" s="285">
        <f t="shared" si="67"/>
        <v>1693184.2999999998</v>
      </c>
      <c r="AI91" s="286">
        <v>1207.81</v>
      </c>
      <c r="AJ91" s="286">
        <v>-0.04</v>
      </c>
      <c r="AK91" s="286">
        <v>6376.91</v>
      </c>
      <c r="AL91" s="285">
        <f t="shared" si="68"/>
        <v>3929259.86</v>
      </c>
      <c r="AM91" s="285">
        <f t="shared" si="69"/>
        <v>3929259.86</v>
      </c>
      <c r="AN91" s="289">
        <f t="shared" si="86"/>
        <v>1</v>
      </c>
      <c r="AO91" s="290">
        <f t="shared" si="70"/>
        <v>119147.39</v>
      </c>
      <c r="AP91" s="290">
        <f t="shared" si="71"/>
        <v>39502.449999999997</v>
      </c>
      <c r="AQ91" s="290">
        <f t="shared" si="72"/>
        <v>72101.06</v>
      </c>
      <c r="AR91" s="290">
        <f t="shared" si="73"/>
        <v>0</v>
      </c>
      <c r="AS91" s="290">
        <f t="shared" si="74"/>
        <v>0</v>
      </c>
      <c r="AT91" s="290">
        <f t="shared" si="75"/>
        <v>4160010.76</v>
      </c>
      <c r="AU91" s="291">
        <f t="shared" si="76"/>
        <v>4160010.7600000002</v>
      </c>
      <c r="AV91" s="291">
        <f t="shared" si="46"/>
        <v>0</v>
      </c>
      <c r="AW91" s="292">
        <f t="shared" si="78"/>
        <v>1495055.8</v>
      </c>
      <c r="AX91" s="293">
        <f t="shared" si="79"/>
        <v>694035.0399999998</v>
      </c>
      <c r="BC91" s="276">
        <f>IF(BI91=1,IF(BC90=MiscData!$F$1,EOMONTH(BC90,-11),EOMONTH(BC90,1)),BC90)</f>
        <v>41729</v>
      </c>
      <c r="BD91" s="275" t="str">
        <f t="shared" si="87"/>
        <v>20140101LGCME591</v>
      </c>
      <c r="BE91" s="294" t="str">
        <f t="shared" si="88"/>
        <v>20140101TODS</v>
      </c>
      <c r="BF91">
        <f>MiscData!$X$5</f>
        <v>20140101</v>
      </c>
      <c r="BI91" s="265">
        <f>IF(BI90+1&gt;MiscData!$Z$42,1,BI90+1)</f>
        <v>12</v>
      </c>
      <c r="BJ91" s="265" t="str">
        <f>VLOOKUP(BI91,MiscData!$Z$5:$AB$46,2,FALSE)</f>
        <v>LGCME591</v>
      </c>
      <c r="BK91" s="265" t="str">
        <f>VLOOKUP(BI91,MiscData!$Z$5:$AB$46,3,FALSE)</f>
        <v>TODS</v>
      </c>
    </row>
    <row r="92" spans="1:63" hidden="1">
      <c r="A92" s="275">
        <v>83</v>
      </c>
      <c r="B92" s="276" t="str">
        <f t="shared" si="80"/>
        <v>Mar 2014</v>
      </c>
      <c r="C92" s="277" t="str">
        <f t="shared" si="81"/>
        <v>CTODP</v>
      </c>
      <c r="D92" s="277" t="str">
        <f t="shared" si="82"/>
        <v>LGCME593</v>
      </c>
      <c r="E92" s="278">
        <f t="shared" si="48"/>
        <v>34</v>
      </c>
      <c r="F92" s="279">
        <v>-3</v>
      </c>
      <c r="G92" s="278">
        <f t="shared" si="49"/>
        <v>0</v>
      </c>
      <c r="H92" s="278">
        <f t="shared" si="50"/>
        <v>0</v>
      </c>
      <c r="I92" s="278">
        <f t="shared" si="51"/>
        <v>0</v>
      </c>
      <c r="J92" s="278">
        <f t="shared" si="52"/>
        <v>28462500</v>
      </c>
      <c r="K92" s="280">
        <v>0</v>
      </c>
      <c r="L92" s="281">
        <f t="shared" si="53"/>
        <v>63323.9</v>
      </c>
      <c r="M92" s="281">
        <f t="shared" si="54"/>
        <v>61901.1</v>
      </c>
      <c r="N92" s="281">
        <f t="shared" si="55"/>
        <v>60482</v>
      </c>
      <c r="O92" s="282">
        <v>2992.7999999999956</v>
      </c>
      <c r="P92" s="282">
        <v>267.40000000000873</v>
      </c>
      <c r="Q92" s="282">
        <v>272.90000000000873</v>
      </c>
      <c r="R92" s="283">
        <f t="shared" si="56"/>
        <v>300</v>
      </c>
      <c r="S92" s="284">
        <f t="shared" si="45"/>
        <v>3.8100000000000002E-2</v>
      </c>
      <c r="T92" s="284">
        <f t="shared" si="57"/>
        <v>0</v>
      </c>
      <c r="U92" s="284">
        <f t="shared" si="58"/>
        <v>0</v>
      </c>
      <c r="V92" s="284">
        <f t="shared" si="59"/>
        <v>2.725E-2</v>
      </c>
      <c r="W92" s="283">
        <f t="shared" si="60"/>
        <v>3.9800000000000004</v>
      </c>
      <c r="X92" s="283">
        <f t="shared" si="61"/>
        <v>4.13</v>
      </c>
      <c r="Y92" s="283">
        <f t="shared" si="62"/>
        <v>5.83</v>
      </c>
      <c r="Z92" s="285">
        <f t="shared" si="63"/>
        <v>9300</v>
      </c>
      <c r="AA92" s="285">
        <f t="shared" si="64"/>
        <v>1084421.25</v>
      </c>
      <c r="AB92" s="285">
        <f t="shared" si="83"/>
        <v>252029.12</v>
      </c>
      <c r="AC92" s="285">
        <f t="shared" si="84"/>
        <v>255651.54</v>
      </c>
      <c r="AD92" s="285">
        <f t="shared" si="85"/>
        <v>352610.06</v>
      </c>
      <c r="AE92" s="286">
        <v>0</v>
      </c>
      <c r="AF92" s="287">
        <f t="shared" si="65"/>
        <v>0</v>
      </c>
      <c r="AG92" s="288">
        <f t="shared" si="66"/>
        <v>14606.71</v>
      </c>
      <c r="AH92" s="285">
        <f t="shared" si="67"/>
        <v>874897.42999999993</v>
      </c>
      <c r="AI92" s="286">
        <v>900</v>
      </c>
      <c r="AJ92" s="286">
        <v>0</v>
      </c>
      <c r="AK92" s="286">
        <v>8870.69</v>
      </c>
      <c r="AL92" s="285">
        <f t="shared" si="68"/>
        <v>1978389.37</v>
      </c>
      <c r="AM92" s="285">
        <f t="shared" si="69"/>
        <v>1978389.37</v>
      </c>
      <c r="AN92" s="289">
        <f t="shared" si="86"/>
        <v>1</v>
      </c>
      <c r="AO92" s="290">
        <f t="shared" si="70"/>
        <v>57698.67</v>
      </c>
      <c r="AP92" s="290">
        <f t="shared" si="71"/>
        <v>20493</v>
      </c>
      <c r="AQ92" s="290">
        <f t="shared" si="72"/>
        <v>42378.93</v>
      </c>
      <c r="AR92" s="290">
        <f t="shared" si="73"/>
        <v>0</v>
      </c>
      <c r="AS92" s="290">
        <f t="shared" si="74"/>
        <v>0</v>
      </c>
      <c r="AT92" s="290">
        <f t="shared" si="75"/>
        <v>2098959.9700000002</v>
      </c>
      <c r="AU92" s="291">
        <f t="shared" si="76"/>
        <v>2098959.9700000002</v>
      </c>
      <c r="AV92" s="291">
        <f t="shared" si="46"/>
        <v>0</v>
      </c>
      <c r="AW92" s="292">
        <f t="shared" si="78"/>
        <v>775603.13</v>
      </c>
      <c r="AX92" s="293">
        <f t="shared" si="79"/>
        <v>308818.12</v>
      </c>
      <c r="BC92" s="276">
        <f>IF(BI92=1,IF(BC91=MiscData!$F$1,EOMONTH(BC91,-11),EOMONTH(BC91,1)),BC91)</f>
        <v>41729</v>
      </c>
      <c r="BD92" s="275" t="str">
        <f t="shared" si="87"/>
        <v>20140101LGCME593</v>
      </c>
      <c r="BE92" s="294" t="str">
        <f t="shared" si="88"/>
        <v>20140101CTODP</v>
      </c>
      <c r="BF92">
        <f>MiscData!$X$5</f>
        <v>20140101</v>
      </c>
      <c r="BI92" s="265">
        <f>IF(BI91+1&gt;MiscData!$Z$42,1,BI91+1)</f>
        <v>13</v>
      </c>
      <c r="BJ92" s="265" t="str">
        <f>VLOOKUP(BI92,MiscData!$Z$5:$AB$46,2,FALSE)</f>
        <v>LGCME593</v>
      </c>
      <c r="BK92" s="265" t="str">
        <f>VLOOKUP(BI92,MiscData!$Z$5:$AB$46,3,FALSE)</f>
        <v>CTODP</v>
      </c>
    </row>
    <row r="93" spans="1:63" hidden="1">
      <c r="A93" s="275">
        <v>84</v>
      </c>
      <c r="B93" s="276" t="str">
        <f t="shared" si="80"/>
        <v>Mar 2014</v>
      </c>
      <c r="C93" s="277" t="str">
        <f t="shared" si="81"/>
        <v>GS3</v>
      </c>
      <c r="D93" s="277" t="str">
        <f t="shared" si="82"/>
        <v>LGCME650</v>
      </c>
      <c r="E93" s="278">
        <f t="shared" si="48"/>
        <v>0</v>
      </c>
      <c r="F93" s="279">
        <v>0</v>
      </c>
      <c r="G93" s="278">
        <f t="shared" si="49"/>
        <v>0</v>
      </c>
      <c r="H93" s="278">
        <f t="shared" si="50"/>
        <v>0</v>
      </c>
      <c r="I93" s="278">
        <f t="shared" si="51"/>
        <v>0</v>
      </c>
      <c r="J93" s="278">
        <f t="shared" si="52"/>
        <v>0</v>
      </c>
      <c r="K93" s="280">
        <v>0</v>
      </c>
      <c r="L93" s="281">
        <f t="shared" si="53"/>
        <v>0</v>
      </c>
      <c r="M93" s="281">
        <f t="shared" si="54"/>
        <v>0</v>
      </c>
      <c r="N93" s="281">
        <f t="shared" si="55"/>
        <v>0</v>
      </c>
      <c r="O93" s="282">
        <v>0</v>
      </c>
      <c r="P93" s="282">
        <v>0</v>
      </c>
      <c r="Q93" s="282">
        <v>0</v>
      </c>
      <c r="R93" s="283">
        <f t="shared" si="56"/>
        <v>35</v>
      </c>
      <c r="S93" s="284">
        <f t="shared" si="45"/>
        <v>9.1340000000000005E-2</v>
      </c>
      <c r="T93" s="284">
        <f t="shared" si="57"/>
        <v>0</v>
      </c>
      <c r="U93" s="284">
        <f t="shared" si="58"/>
        <v>0</v>
      </c>
      <c r="V93" s="284">
        <f t="shared" si="59"/>
        <v>2.725E-2</v>
      </c>
      <c r="W93" s="283">
        <f t="shared" si="60"/>
        <v>0</v>
      </c>
      <c r="X93" s="283">
        <f t="shared" si="61"/>
        <v>0</v>
      </c>
      <c r="Y93" s="283">
        <f t="shared" si="62"/>
        <v>0</v>
      </c>
      <c r="Z93" s="285">
        <f t="shared" si="63"/>
        <v>0</v>
      </c>
      <c r="AA93" s="285">
        <f t="shared" si="64"/>
        <v>0</v>
      </c>
      <c r="AB93" s="285">
        <f t="shared" si="83"/>
        <v>0</v>
      </c>
      <c r="AC93" s="285">
        <f t="shared" si="84"/>
        <v>0</v>
      </c>
      <c r="AD93" s="285">
        <f t="shared" si="85"/>
        <v>0</v>
      </c>
      <c r="AE93" s="286">
        <v>0</v>
      </c>
      <c r="AF93" s="287">
        <f t="shared" si="65"/>
        <v>0</v>
      </c>
      <c r="AG93" s="288">
        <f t="shared" si="66"/>
        <v>0</v>
      </c>
      <c r="AH93" s="285">
        <f t="shared" si="67"/>
        <v>0</v>
      </c>
      <c r="AI93" s="286">
        <v>0</v>
      </c>
      <c r="AJ93" s="286">
        <v>0</v>
      </c>
      <c r="AK93" s="286">
        <v>0</v>
      </c>
      <c r="AL93" s="285">
        <f t="shared" si="68"/>
        <v>0</v>
      </c>
      <c r="AM93" s="285">
        <f t="shared" si="69"/>
        <v>0</v>
      </c>
      <c r="AN93" s="289">
        <f t="shared" si="86"/>
        <v>1</v>
      </c>
      <c r="AO93" s="290">
        <f t="shared" si="70"/>
        <v>0</v>
      </c>
      <c r="AP93" s="290">
        <f t="shared" si="71"/>
        <v>0</v>
      </c>
      <c r="AQ93" s="290">
        <f t="shared" si="72"/>
        <v>0</v>
      </c>
      <c r="AR93" s="290">
        <f t="shared" si="73"/>
        <v>0</v>
      </c>
      <c r="AS93" s="290">
        <f t="shared" si="74"/>
        <v>0</v>
      </c>
      <c r="AT93" s="290">
        <f t="shared" si="75"/>
        <v>0</v>
      </c>
      <c r="AU93" s="291">
        <f t="shared" si="76"/>
        <v>0</v>
      </c>
      <c r="AV93" s="291">
        <f t="shared" si="46"/>
        <v>0</v>
      </c>
      <c r="AW93" s="292">
        <f t="shared" si="78"/>
        <v>0</v>
      </c>
      <c r="AX93" s="293">
        <f t="shared" si="79"/>
        <v>0</v>
      </c>
      <c r="BC93" s="276">
        <f>IF(BI93=1,IF(BC92=MiscData!$F$1,EOMONTH(BC92,-11),EOMONTH(BC92,1)),BC92)</f>
        <v>41729</v>
      </c>
      <c r="BD93" s="275" t="str">
        <f t="shared" si="87"/>
        <v>20140101LGCME650</v>
      </c>
      <c r="BE93" s="294" t="str">
        <f t="shared" si="88"/>
        <v>20140101GS3</v>
      </c>
      <c r="BF93">
        <f>MiscData!$X$5</f>
        <v>20140101</v>
      </c>
      <c r="BI93" s="265">
        <f>IF(BI92+1&gt;MiscData!$Z$42,1,BI92+1)</f>
        <v>14</v>
      </c>
      <c r="BJ93" s="265" t="str">
        <f>VLOOKUP(BI93,MiscData!$Z$5:$AB$46,2,FALSE)</f>
        <v>LGCME650</v>
      </c>
      <c r="BK93" s="265" t="str">
        <f>VLOOKUP(BI93,MiscData!$Z$5:$AB$46,3,FALSE)</f>
        <v>GS3</v>
      </c>
    </row>
    <row r="94" spans="1:63" hidden="1">
      <c r="A94" s="275">
        <v>85</v>
      </c>
      <c r="B94" s="276" t="str">
        <f t="shared" si="80"/>
        <v>Mar 2014</v>
      </c>
      <c r="C94" s="277" t="str">
        <f t="shared" si="81"/>
        <v>GS3</v>
      </c>
      <c r="D94" s="277" t="str">
        <f t="shared" si="82"/>
        <v>LGCME651</v>
      </c>
      <c r="E94" s="278">
        <f t="shared" si="48"/>
        <v>14694</v>
      </c>
      <c r="F94" s="279">
        <v>-326</v>
      </c>
      <c r="G94" s="278">
        <f t="shared" si="49"/>
        <v>0</v>
      </c>
      <c r="H94" s="278">
        <f t="shared" si="50"/>
        <v>0</v>
      </c>
      <c r="I94" s="278">
        <f t="shared" si="51"/>
        <v>0</v>
      </c>
      <c r="J94" s="278">
        <f t="shared" si="52"/>
        <v>68607587</v>
      </c>
      <c r="K94" s="280">
        <v>0</v>
      </c>
      <c r="L94" s="281">
        <f t="shared" si="53"/>
        <v>175757</v>
      </c>
      <c r="M94" s="281">
        <f t="shared" si="54"/>
        <v>0</v>
      </c>
      <c r="N94" s="281">
        <f t="shared" si="55"/>
        <v>0</v>
      </c>
      <c r="O94" s="282">
        <v>0</v>
      </c>
      <c r="P94" s="282">
        <v>0</v>
      </c>
      <c r="Q94" s="282">
        <v>0</v>
      </c>
      <c r="R94" s="283">
        <f t="shared" si="56"/>
        <v>35</v>
      </c>
      <c r="S94" s="284">
        <f t="shared" si="45"/>
        <v>9.1340000000000005E-2</v>
      </c>
      <c r="T94" s="284">
        <f t="shared" si="57"/>
        <v>0</v>
      </c>
      <c r="U94" s="284">
        <f t="shared" si="58"/>
        <v>0</v>
      </c>
      <c r="V94" s="284">
        <f t="shared" si="59"/>
        <v>2.725E-2</v>
      </c>
      <c r="W94" s="283">
        <f t="shared" si="60"/>
        <v>0</v>
      </c>
      <c r="X94" s="283">
        <f t="shared" si="61"/>
        <v>0</v>
      </c>
      <c r="Y94" s="283">
        <f t="shared" si="62"/>
        <v>0</v>
      </c>
      <c r="Z94" s="285">
        <f t="shared" si="63"/>
        <v>502880</v>
      </c>
      <c r="AA94" s="285">
        <f t="shared" si="64"/>
        <v>6266617</v>
      </c>
      <c r="AB94" s="285">
        <f t="shared" si="83"/>
        <v>0</v>
      </c>
      <c r="AC94" s="285">
        <f t="shared" si="84"/>
        <v>0</v>
      </c>
      <c r="AD94" s="285">
        <f t="shared" si="85"/>
        <v>0</v>
      </c>
      <c r="AE94" s="286">
        <v>0</v>
      </c>
      <c r="AF94" s="287">
        <f t="shared" si="65"/>
        <v>0</v>
      </c>
      <c r="AG94" s="288">
        <f t="shared" si="66"/>
        <v>0</v>
      </c>
      <c r="AH94" s="285">
        <f t="shared" si="67"/>
        <v>0</v>
      </c>
      <c r="AI94" s="286">
        <v>11704.3</v>
      </c>
      <c r="AJ94" s="286">
        <v>-64.010000000000005</v>
      </c>
      <c r="AK94" s="286">
        <v>0</v>
      </c>
      <c r="AL94" s="285">
        <f t="shared" si="68"/>
        <v>6781137.29</v>
      </c>
      <c r="AM94" s="285">
        <f t="shared" si="69"/>
        <v>6781137.29</v>
      </c>
      <c r="AN94" s="289">
        <f t="shared" si="86"/>
        <v>1</v>
      </c>
      <c r="AO94" s="290">
        <f t="shared" si="70"/>
        <v>150283.62</v>
      </c>
      <c r="AP94" s="290">
        <f t="shared" si="71"/>
        <v>198289.65</v>
      </c>
      <c r="AQ94" s="290">
        <f t="shared" si="72"/>
        <v>146127.20000000001</v>
      </c>
      <c r="AR94" s="290">
        <f t="shared" si="73"/>
        <v>0</v>
      </c>
      <c r="AS94" s="290">
        <f t="shared" si="74"/>
        <v>0</v>
      </c>
      <c r="AT94" s="290">
        <f t="shared" si="75"/>
        <v>7275837.7599999998</v>
      </c>
      <c r="AU94" s="291">
        <f t="shared" si="76"/>
        <v>7275837.7600000007</v>
      </c>
      <c r="AV94" s="291">
        <f t="shared" si="46"/>
        <v>0</v>
      </c>
      <c r="AW94" s="292">
        <f t="shared" si="78"/>
        <v>1869556.75</v>
      </c>
      <c r="AX94" s="293">
        <f t="shared" si="79"/>
        <v>4396996.24</v>
      </c>
      <c r="BC94" s="276">
        <f>IF(BI94=1,IF(BC93=MiscData!$F$1,EOMONTH(BC93,-11),EOMONTH(BC93,1)),BC93)</f>
        <v>41729</v>
      </c>
      <c r="BD94" s="275" t="str">
        <f t="shared" si="87"/>
        <v>20140101LGCME651</v>
      </c>
      <c r="BE94" s="294" t="str">
        <f t="shared" si="88"/>
        <v>20140101GS3</v>
      </c>
      <c r="BF94">
        <f>MiscData!$X$5</f>
        <v>20140101</v>
      </c>
      <c r="BI94" s="265">
        <f>IF(BI93+1&gt;MiscData!$Z$42,1,BI93+1)</f>
        <v>15</v>
      </c>
      <c r="BJ94" s="265" t="str">
        <f>VLOOKUP(BI94,MiscData!$Z$5:$AB$46,2,FALSE)</f>
        <v>LGCME651</v>
      </c>
      <c r="BK94" s="265" t="str">
        <f>VLOOKUP(BI94,MiscData!$Z$5:$AB$46,3,FALSE)</f>
        <v>GS3</v>
      </c>
    </row>
    <row r="95" spans="1:63" hidden="1">
      <c r="A95" s="275">
        <v>86</v>
      </c>
      <c r="B95" s="276" t="str">
        <f t="shared" si="80"/>
        <v>Mar 2014</v>
      </c>
      <c r="C95" s="277" t="str">
        <f t="shared" si="81"/>
        <v>GS3</v>
      </c>
      <c r="D95" s="277" t="str">
        <f t="shared" si="82"/>
        <v>LGCME652</v>
      </c>
      <c r="E95" s="278">
        <f t="shared" si="48"/>
        <v>699</v>
      </c>
      <c r="F95" s="279">
        <f>-E95</f>
        <v>-699</v>
      </c>
      <c r="G95" s="278">
        <f t="shared" si="49"/>
        <v>0</v>
      </c>
      <c r="H95" s="278">
        <f t="shared" si="50"/>
        <v>0</v>
      </c>
      <c r="I95" s="278">
        <f t="shared" si="51"/>
        <v>0</v>
      </c>
      <c r="J95" s="278">
        <f t="shared" si="52"/>
        <v>2862954</v>
      </c>
      <c r="K95" s="280">
        <v>0</v>
      </c>
      <c r="L95" s="281">
        <f t="shared" si="53"/>
        <v>4107.2</v>
      </c>
      <c r="M95" s="281">
        <f t="shared" si="54"/>
        <v>0</v>
      </c>
      <c r="N95" s="281">
        <f t="shared" si="55"/>
        <v>0</v>
      </c>
      <c r="O95" s="282">
        <v>0</v>
      </c>
      <c r="P95" s="282">
        <v>0</v>
      </c>
      <c r="Q95" s="282">
        <v>0</v>
      </c>
      <c r="R95" s="283">
        <f t="shared" si="56"/>
        <v>0</v>
      </c>
      <c r="S95" s="284">
        <f t="shared" si="45"/>
        <v>9.1340000000000005E-2</v>
      </c>
      <c r="T95" s="284">
        <f t="shared" si="57"/>
        <v>0</v>
      </c>
      <c r="U95" s="284">
        <f t="shared" si="58"/>
        <v>0</v>
      </c>
      <c r="V95" s="284">
        <f t="shared" si="59"/>
        <v>2.725E-2</v>
      </c>
      <c r="W95" s="283">
        <f t="shared" si="60"/>
        <v>0</v>
      </c>
      <c r="X95" s="283">
        <f t="shared" si="61"/>
        <v>0</v>
      </c>
      <c r="Y95" s="283">
        <f t="shared" si="62"/>
        <v>0</v>
      </c>
      <c r="Z95" s="285">
        <f t="shared" si="63"/>
        <v>0</v>
      </c>
      <c r="AA95" s="285">
        <f t="shared" si="64"/>
        <v>261502.22</v>
      </c>
      <c r="AB95" s="285">
        <f t="shared" si="83"/>
        <v>0</v>
      </c>
      <c r="AC95" s="285">
        <f t="shared" si="84"/>
        <v>0</v>
      </c>
      <c r="AD95" s="285">
        <f t="shared" si="85"/>
        <v>0</v>
      </c>
      <c r="AE95" s="286">
        <v>0</v>
      </c>
      <c r="AF95" s="287">
        <f t="shared" si="65"/>
        <v>0</v>
      </c>
      <c r="AG95" s="288">
        <f t="shared" si="66"/>
        <v>0</v>
      </c>
      <c r="AH95" s="285">
        <f t="shared" si="67"/>
        <v>0</v>
      </c>
      <c r="AI95" s="286">
        <v>0</v>
      </c>
      <c r="AJ95" s="286">
        <v>0.03</v>
      </c>
      <c r="AK95" s="286">
        <v>0</v>
      </c>
      <c r="AL95" s="285">
        <f t="shared" si="68"/>
        <v>261502.25</v>
      </c>
      <c r="AM95" s="285">
        <f t="shared" si="69"/>
        <v>261502.25000000003</v>
      </c>
      <c r="AN95" s="289">
        <f t="shared" si="86"/>
        <v>1</v>
      </c>
      <c r="AO95" s="290">
        <f t="shared" si="70"/>
        <v>6282.48</v>
      </c>
      <c r="AP95" s="290">
        <f t="shared" si="71"/>
        <v>8359.86</v>
      </c>
      <c r="AQ95" s="290">
        <f t="shared" si="72"/>
        <v>5436.06</v>
      </c>
      <c r="AR95" s="290">
        <f t="shared" si="73"/>
        <v>0</v>
      </c>
      <c r="AS95" s="290">
        <f t="shared" si="74"/>
        <v>0</v>
      </c>
      <c r="AT95" s="290">
        <f t="shared" si="75"/>
        <v>281580.65000000002</v>
      </c>
      <c r="AU95" s="291">
        <f t="shared" si="76"/>
        <v>281580.64999999997</v>
      </c>
      <c r="AV95" s="291">
        <f t="shared" si="46"/>
        <v>0</v>
      </c>
      <c r="AW95" s="292">
        <f t="shared" si="78"/>
        <v>78015.5</v>
      </c>
      <c r="AX95" s="293">
        <f t="shared" si="79"/>
        <v>183486.75</v>
      </c>
      <c r="BC95" s="276">
        <f>IF(BI95=1,IF(BC94=MiscData!$F$1,EOMONTH(BC94,-11),EOMONTH(BC94,1)),BC94)</f>
        <v>41729</v>
      </c>
      <c r="BD95" s="275" t="str">
        <f t="shared" si="87"/>
        <v>20140101LGCME652</v>
      </c>
      <c r="BE95" s="294" t="str">
        <f t="shared" si="88"/>
        <v>20140101GS3</v>
      </c>
      <c r="BF95">
        <f>MiscData!$X$5</f>
        <v>20140101</v>
      </c>
      <c r="BI95" s="265">
        <f>IF(BI94+1&gt;MiscData!$Z$42,1,BI94+1)</f>
        <v>16</v>
      </c>
      <c r="BJ95" s="265" t="str">
        <f>VLOOKUP(BI95,MiscData!$Z$5:$AB$46,2,FALSE)</f>
        <v>LGCME652</v>
      </c>
      <c r="BK95" s="265" t="str">
        <f>VLOOKUP(BI95,MiscData!$Z$5:$AB$46,3,FALSE)</f>
        <v>GS3</v>
      </c>
    </row>
    <row r="96" spans="1:63" hidden="1">
      <c r="A96" s="275">
        <v>87</v>
      </c>
      <c r="B96" s="276" t="str">
        <f t="shared" si="80"/>
        <v>Mar 2014</v>
      </c>
      <c r="C96" s="277" t="str">
        <f t="shared" si="81"/>
        <v>GS3</v>
      </c>
      <c r="D96" s="277" t="str">
        <f t="shared" si="82"/>
        <v>LGCME657</v>
      </c>
      <c r="E96" s="278">
        <f t="shared" si="48"/>
        <v>8</v>
      </c>
      <c r="F96" s="279">
        <v>0</v>
      </c>
      <c r="G96" s="278">
        <f t="shared" si="49"/>
        <v>0</v>
      </c>
      <c r="H96" s="278">
        <f t="shared" si="50"/>
        <v>0</v>
      </c>
      <c r="I96" s="278">
        <f t="shared" si="51"/>
        <v>0</v>
      </c>
      <c r="J96" s="278">
        <f t="shared" si="52"/>
        <v>146095</v>
      </c>
      <c r="K96" s="280">
        <v>0</v>
      </c>
      <c r="L96" s="281">
        <f t="shared" si="53"/>
        <v>410.5</v>
      </c>
      <c r="M96" s="281">
        <f t="shared" si="54"/>
        <v>0</v>
      </c>
      <c r="N96" s="281">
        <f t="shared" si="55"/>
        <v>0</v>
      </c>
      <c r="O96" s="282">
        <v>0</v>
      </c>
      <c r="P96" s="282">
        <v>0</v>
      </c>
      <c r="Q96" s="282">
        <v>0</v>
      </c>
      <c r="R96" s="283">
        <f t="shared" si="56"/>
        <v>35</v>
      </c>
      <c r="S96" s="284">
        <f t="shared" si="45"/>
        <v>9.1340000000000005E-2</v>
      </c>
      <c r="T96" s="284">
        <f t="shared" si="57"/>
        <v>0</v>
      </c>
      <c r="U96" s="284">
        <f t="shared" si="58"/>
        <v>0</v>
      </c>
      <c r="V96" s="284">
        <f t="shared" si="59"/>
        <v>2.725E-2</v>
      </c>
      <c r="W96" s="283">
        <f t="shared" si="60"/>
        <v>0</v>
      </c>
      <c r="X96" s="283">
        <f t="shared" si="61"/>
        <v>0</v>
      </c>
      <c r="Y96" s="283">
        <f t="shared" si="62"/>
        <v>0</v>
      </c>
      <c r="Z96" s="285">
        <f t="shared" si="63"/>
        <v>280</v>
      </c>
      <c r="AA96" s="285">
        <f t="shared" si="64"/>
        <v>13344.32</v>
      </c>
      <c r="AB96" s="285">
        <f t="shared" si="83"/>
        <v>0</v>
      </c>
      <c r="AC96" s="285">
        <f t="shared" si="84"/>
        <v>0</v>
      </c>
      <c r="AD96" s="285">
        <f t="shared" si="85"/>
        <v>0</v>
      </c>
      <c r="AE96" s="286">
        <v>0</v>
      </c>
      <c r="AF96" s="287">
        <f t="shared" si="65"/>
        <v>0</v>
      </c>
      <c r="AG96" s="288">
        <f t="shared" si="66"/>
        <v>0</v>
      </c>
      <c r="AH96" s="285">
        <f t="shared" si="67"/>
        <v>0</v>
      </c>
      <c r="AI96" s="286">
        <v>0</v>
      </c>
      <c r="AJ96" s="286">
        <v>0.01</v>
      </c>
      <c r="AK96" s="286">
        <v>0</v>
      </c>
      <c r="AL96" s="285">
        <f t="shared" si="68"/>
        <v>13624.33</v>
      </c>
      <c r="AM96" s="285">
        <f t="shared" si="69"/>
        <v>13624.33</v>
      </c>
      <c r="AN96" s="289">
        <f t="shared" si="86"/>
        <v>1</v>
      </c>
      <c r="AO96" s="290">
        <f t="shared" si="70"/>
        <v>315.45999999999998</v>
      </c>
      <c r="AP96" s="290">
        <f t="shared" si="71"/>
        <v>426.6</v>
      </c>
      <c r="AQ96" s="290">
        <f t="shared" si="72"/>
        <v>300.51</v>
      </c>
      <c r="AR96" s="290">
        <f t="shared" si="73"/>
        <v>0</v>
      </c>
      <c r="AS96" s="290">
        <f t="shared" si="74"/>
        <v>0</v>
      </c>
      <c r="AT96" s="290">
        <f t="shared" si="75"/>
        <v>14666.9</v>
      </c>
      <c r="AU96" s="291">
        <f t="shared" si="76"/>
        <v>14666.9</v>
      </c>
      <c r="AV96" s="291">
        <f t="shared" ref="AV96:AV100" si="89">ROUND(AT96-AU96,2)</f>
        <v>0</v>
      </c>
      <c r="AW96" s="292">
        <f t="shared" si="78"/>
        <v>3981.09</v>
      </c>
      <c r="AX96" s="293">
        <f t="shared" si="79"/>
        <v>9363.24</v>
      </c>
      <c r="BC96" s="276">
        <f>IF(BI96=1,IF(BC95=MiscData!$F$1,EOMONTH(BC95,-11),EOMONTH(BC95,1)),BC95)</f>
        <v>41729</v>
      </c>
      <c r="BD96" s="275" t="str">
        <f t="shared" si="87"/>
        <v>20140101LGCME657</v>
      </c>
      <c r="BE96" s="294" t="str">
        <f t="shared" si="88"/>
        <v>20140101GS3</v>
      </c>
      <c r="BF96">
        <f>MiscData!$X$5</f>
        <v>20140101</v>
      </c>
      <c r="BI96" s="265">
        <f>IF(BI95+1&gt;MiscData!$Z$42,1,BI95+1)</f>
        <v>17</v>
      </c>
      <c r="BJ96" s="265" t="str">
        <f>VLOOKUP(BI96,MiscData!$Z$5:$AB$46,2,FALSE)</f>
        <v>LGCME657</v>
      </c>
      <c r="BK96" s="265" t="str">
        <f>VLOOKUP(BI96,MiscData!$Z$5:$AB$46,3,FALSE)</f>
        <v>GS3</v>
      </c>
    </row>
    <row r="97" spans="1:63" hidden="1">
      <c r="A97" s="275">
        <v>88</v>
      </c>
      <c r="B97" s="276" t="str">
        <f t="shared" si="80"/>
        <v>Mar 2014</v>
      </c>
      <c r="C97" s="277" t="str">
        <f t="shared" si="81"/>
        <v>LWC</v>
      </c>
      <c r="D97" s="277" t="str">
        <f t="shared" si="82"/>
        <v>LGCME671</v>
      </c>
      <c r="E97" s="278">
        <f t="shared" si="48"/>
        <v>2</v>
      </c>
      <c r="F97" s="279">
        <v>0</v>
      </c>
      <c r="G97" s="278">
        <f t="shared" si="49"/>
        <v>0</v>
      </c>
      <c r="H97" s="278">
        <f t="shared" si="50"/>
        <v>0</v>
      </c>
      <c r="I97" s="278">
        <f t="shared" si="51"/>
        <v>0</v>
      </c>
      <c r="J97" s="278">
        <f t="shared" si="52"/>
        <v>4479600</v>
      </c>
      <c r="K97" s="280">
        <v>0</v>
      </c>
      <c r="L97" s="281">
        <f t="shared" si="53"/>
        <v>0</v>
      </c>
      <c r="M97" s="281">
        <f t="shared" si="54"/>
        <v>8966.4</v>
      </c>
      <c r="N97" s="281">
        <f t="shared" si="55"/>
        <v>0</v>
      </c>
      <c r="O97" s="282">
        <v>0</v>
      </c>
      <c r="P97" s="282">
        <f>417.6+230.4</f>
        <v>648</v>
      </c>
      <c r="Q97" s="282">
        <v>0</v>
      </c>
      <c r="R97" s="283">
        <f t="shared" si="56"/>
        <v>0</v>
      </c>
      <c r="S97" s="284">
        <f t="shared" si="45"/>
        <v>3.7019999999999997E-2</v>
      </c>
      <c r="T97" s="284">
        <f t="shared" si="57"/>
        <v>0</v>
      </c>
      <c r="U97" s="284">
        <f t="shared" si="58"/>
        <v>0</v>
      </c>
      <c r="V97" s="284">
        <f t="shared" si="59"/>
        <v>2.725E-2</v>
      </c>
      <c r="W97" s="283">
        <f t="shared" si="60"/>
        <v>0</v>
      </c>
      <c r="X97" s="283">
        <f t="shared" si="61"/>
        <v>10.35</v>
      </c>
      <c r="Y97" s="283">
        <f t="shared" si="62"/>
        <v>10.35</v>
      </c>
      <c r="Z97" s="285">
        <f t="shared" si="63"/>
        <v>0</v>
      </c>
      <c r="AA97" s="285">
        <f t="shared" si="64"/>
        <v>165834.79</v>
      </c>
      <c r="AB97" s="285">
        <f t="shared" si="83"/>
        <v>0</v>
      </c>
      <c r="AC97" s="285">
        <f t="shared" si="84"/>
        <v>92802.240000000005</v>
      </c>
      <c r="AD97" s="285">
        <f t="shared" si="85"/>
        <v>0</v>
      </c>
      <c r="AE97" s="286">
        <v>0</v>
      </c>
      <c r="AF97" s="287">
        <f t="shared" si="65"/>
        <v>0</v>
      </c>
      <c r="AG97" s="288">
        <f t="shared" si="66"/>
        <v>6706.8</v>
      </c>
      <c r="AH97" s="285">
        <f>SUM(AB97:AG97)</f>
        <v>99509.040000000008</v>
      </c>
      <c r="AI97" s="286">
        <v>0</v>
      </c>
      <c r="AJ97" s="286">
        <v>0</v>
      </c>
      <c r="AK97" s="286">
        <v>0</v>
      </c>
      <c r="AL97" s="285">
        <f t="shared" si="68"/>
        <v>265343.83</v>
      </c>
      <c r="AM97" s="285">
        <f t="shared" si="69"/>
        <v>265343.82999999996</v>
      </c>
      <c r="AN97" s="289">
        <f t="shared" si="86"/>
        <v>1</v>
      </c>
      <c r="AO97" s="290">
        <f t="shared" si="70"/>
        <v>9855.1200000000008</v>
      </c>
      <c r="AP97" s="290">
        <f t="shared" si="71"/>
        <v>0</v>
      </c>
      <c r="AQ97" s="290">
        <f t="shared" si="72"/>
        <v>4026.02</v>
      </c>
      <c r="AR97" s="290">
        <f t="shared" si="73"/>
        <v>0</v>
      </c>
      <c r="AS97" s="290">
        <f t="shared" si="74"/>
        <v>0</v>
      </c>
      <c r="AT97" s="290">
        <f t="shared" si="75"/>
        <v>279224.96999999997</v>
      </c>
      <c r="AU97" s="291">
        <f t="shared" si="76"/>
        <v>279224.97000000003</v>
      </c>
      <c r="AV97" s="291">
        <f t="shared" si="89"/>
        <v>0</v>
      </c>
      <c r="AW97" s="292">
        <f t="shared" si="78"/>
        <v>122069.1</v>
      </c>
      <c r="AX97" s="293">
        <f t="shared" si="79"/>
        <v>43765.69</v>
      </c>
      <c r="BC97" s="276">
        <f>IF(BI97=1,IF(BC96=MiscData!$F$1,EOMONTH(BC96,-11),EOMONTH(BC96,1)),BC96)</f>
        <v>41729</v>
      </c>
      <c r="BD97" s="275" t="str">
        <f t="shared" si="87"/>
        <v>20140101LGCME671</v>
      </c>
      <c r="BE97" s="294" t="str">
        <f t="shared" si="88"/>
        <v>20140101LWC</v>
      </c>
      <c r="BF97">
        <f>MiscData!$X$5</f>
        <v>20140101</v>
      </c>
      <c r="BI97" s="265">
        <f>IF(BI96+1&gt;MiscData!$Z$42,1,BI96+1)</f>
        <v>18</v>
      </c>
      <c r="BJ97" s="265" t="str">
        <f>VLOOKUP(BI97,MiscData!$Z$5:$AB$46,2,FALSE)</f>
        <v>LGCME671</v>
      </c>
      <c r="BK97" s="265" t="str">
        <f>VLOOKUP(BI97,MiscData!$Z$5:$AB$46,3,FALSE)</f>
        <v>LWC</v>
      </c>
    </row>
    <row r="98" spans="1:63" hidden="1">
      <c r="A98" s="275">
        <v>89</v>
      </c>
      <c r="B98" s="276" t="str">
        <f t="shared" si="80"/>
        <v>Mar 2014</v>
      </c>
      <c r="C98" s="277" t="str">
        <f t="shared" si="81"/>
        <v>CSR</v>
      </c>
      <c r="D98" s="277" t="str">
        <f t="shared" si="82"/>
        <v>LGCSR760</v>
      </c>
      <c r="E98" s="278">
        <f t="shared" si="48"/>
        <v>0</v>
      </c>
      <c r="F98" s="279">
        <v>0</v>
      </c>
      <c r="G98" s="278">
        <f t="shared" si="49"/>
        <v>0</v>
      </c>
      <c r="H98" s="278">
        <f t="shared" si="50"/>
        <v>0</v>
      </c>
      <c r="I98" s="278">
        <f t="shared" si="51"/>
        <v>0</v>
      </c>
      <c r="J98" s="278">
        <f t="shared" si="52"/>
        <v>0</v>
      </c>
      <c r="K98" s="280">
        <v>0</v>
      </c>
      <c r="L98" s="281">
        <f t="shared" si="53"/>
        <v>0</v>
      </c>
      <c r="M98" s="281">
        <f t="shared" si="54"/>
        <v>0</v>
      </c>
      <c r="N98" s="281">
        <f t="shared" si="55"/>
        <v>0</v>
      </c>
      <c r="O98" s="282">
        <v>0</v>
      </c>
      <c r="P98" s="282">
        <v>0</v>
      </c>
      <c r="Q98" s="282">
        <v>0</v>
      </c>
      <c r="R98" s="283">
        <f t="shared" si="56"/>
        <v>0</v>
      </c>
      <c r="S98" s="284">
        <f t="shared" si="45"/>
        <v>0</v>
      </c>
      <c r="T98" s="284">
        <f t="shared" si="57"/>
        <v>0</v>
      </c>
      <c r="U98" s="284">
        <f t="shared" si="58"/>
        <v>0</v>
      </c>
      <c r="V98" s="284">
        <f t="shared" si="59"/>
        <v>0</v>
      </c>
      <c r="W98" s="283">
        <f t="shared" si="60"/>
        <v>0</v>
      </c>
      <c r="X98" s="283">
        <f t="shared" si="61"/>
        <v>0</v>
      </c>
      <c r="Y98" s="283">
        <f t="shared" si="62"/>
        <v>0</v>
      </c>
      <c r="Z98" s="285">
        <f t="shared" si="63"/>
        <v>0</v>
      </c>
      <c r="AA98" s="285">
        <f t="shared" si="64"/>
        <v>0</v>
      </c>
      <c r="AB98" s="285">
        <f t="shared" si="83"/>
        <v>0</v>
      </c>
      <c r="AC98" s="285">
        <f t="shared" si="84"/>
        <v>0</v>
      </c>
      <c r="AD98" s="285">
        <f t="shared" si="85"/>
        <v>0</v>
      </c>
      <c r="AE98" s="286">
        <v>0</v>
      </c>
      <c r="AF98" s="287">
        <f t="shared" si="65"/>
        <v>0</v>
      </c>
      <c r="AG98" s="288">
        <f t="shared" si="66"/>
        <v>0</v>
      </c>
      <c r="AH98" s="285">
        <f t="shared" si="67"/>
        <v>0</v>
      </c>
      <c r="AI98" s="286">
        <v>0</v>
      </c>
      <c r="AJ98" s="286">
        <v>0</v>
      </c>
      <c r="AK98" s="286">
        <v>0</v>
      </c>
      <c r="AL98" s="285">
        <f t="shared" si="68"/>
        <v>0</v>
      </c>
      <c r="AM98" s="285">
        <f t="shared" si="69"/>
        <v>0</v>
      </c>
      <c r="AN98" s="289">
        <f t="shared" si="86"/>
        <v>1</v>
      </c>
      <c r="AO98" s="290">
        <f t="shared" si="70"/>
        <v>0</v>
      </c>
      <c r="AP98" s="290">
        <f t="shared" si="71"/>
        <v>0</v>
      </c>
      <c r="AQ98" s="290">
        <f t="shared" si="72"/>
        <v>0</v>
      </c>
      <c r="AR98" s="290">
        <f t="shared" si="73"/>
        <v>0</v>
      </c>
      <c r="AS98" s="290">
        <f t="shared" si="74"/>
        <v>0</v>
      </c>
      <c r="AT98" s="290">
        <f t="shared" si="75"/>
        <v>0</v>
      </c>
      <c r="AU98" s="291">
        <f t="shared" si="76"/>
        <v>0</v>
      </c>
      <c r="AV98" s="291">
        <f t="shared" si="89"/>
        <v>0</v>
      </c>
      <c r="AW98" s="292">
        <f t="shared" si="78"/>
        <v>0</v>
      </c>
      <c r="AX98" s="293">
        <f t="shared" si="79"/>
        <v>0</v>
      </c>
      <c r="BC98" s="276">
        <f>IF(BI98=1,IF(BC97=MiscData!$F$1,EOMONTH(BC97,-11),EOMONTH(BC97,1)),BC97)</f>
        <v>41729</v>
      </c>
      <c r="BD98" s="275" t="str">
        <f t="shared" si="87"/>
        <v>20140101LGCSR760</v>
      </c>
      <c r="BE98" s="294" t="str">
        <f t="shared" si="88"/>
        <v>20140101CSR</v>
      </c>
      <c r="BF98">
        <f>MiscData!$X$5</f>
        <v>20140101</v>
      </c>
      <c r="BI98" s="265">
        <f>IF(BI97+1&gt;MiscData!$Z$42,1,BI97+1)</f>
        <v>19</v>
      </c>
      <c r="BJ98" s="265" t="str">
        <f>VLOOKUP(BI98,MiscData!$Z$5:$AB$46,2,FALSE)</f>
        <v>LGCSR760</v>
      </c>
      <c r="BK98" s="265" t="str">
        <f>VLOOKUP(BI98,MiscData!$Z$5:$AB$46,3,FALSE)</f>
        <v>CSR</v>
      </c>
    </row>
    <row r="99" spans="1:63" hidden="1">
      <c r="A99" s="275">
        <v>90</v>
      </c>
      <c r="B99" s="276" t="str">
        <f t="shared" si="80"/>
        <v>Mar 2014</v>
      </c>
      <c r="C99" s="277" t="str">
        <f t="shared" si="81"/>
        <v>CSR</v>
      </c>
      <c r="D99" s="277" t="str">
        <f t="shared" si="82"/>
        <v>LGCSR780</v>
      </c>
      <c r="E99" s="278">
        <f t="shared" si="48"/>
        <v>0</v>
      </c>
      <c r="F99" s="279">
        <v>0</v>
      </c>
      <c r="G99" s="278">
        <f t="shared" si="49"/>
        <v>0</v>
      </c>
      <c r="H99" s="278">
        <f t="shared" si="50"/>
        <v>0</v>
      </c>
      <c r="I99" s="278">
        <f t="shared" si="51"/>
        <v>0</v>
      </c>
      <c r="J99" s="278">
        <f t="shared" si="52"/>
        <v>0</v>
      </c>
      <c r="K99" s="280">
        <v>0</v>
      </c>
      <c r="L99" s="281">
        <f t="shared" si="53"/>
        <v>0</v>
      </c>
      <c r="M99" s="281">
        <f t="shared" si="54"/>
        <v>0</v>
      </c>
      <c r="N99" s="281">
        <f t="shared" si="55"/>
        <v>0</v>
      </c>
      <c r="O99" s="282">
        <v>0</v>
      </c>
      <c r="P99" s="282">
        <v>0</v>
      </c>
      <c r="Q99" s="282">
        <v>0</v>
      </c>
      <c r="R99" s="283">
        <f t="shared" si="56"/>
        <v>0</v>
      </c>
      <c r="S99" s="284">
        <f t="shared" si="45"/>
        <v>0</v>
      </c>
      <c r="T99" s="284">
        <f t="shared" si="57"/>
        <v>0</v>
      </c>
      <c r="U99" s="284">
        <f t="shared" si="58"/>
        <v>0</v>
      </c>
      <c r="V99" s="284">
        <f t="shared" si="59"/>
        <v>0</v>
      </c>
      <c r="W99" s="283">
        <f t="shared" si="60"/>
        <v>0</v>
      </c>
      <c r="X99" s="283">
        <f t="shared" si="61"/>
        <v>0</v>
      </c>
      <c r="Y99" s="283">
        <f t="shared" si="62"/>
        <v>0</v>
      </c>
      <c r="Z99" s="285">
        <f t="shared" si="63"/>
        <v>0</v>
      </c>
      <c r="AA99" s="285">
        <f t="shared" si="64"/>
        <v>0</v>
      </c>
      <c r="AB99" s="285">
        <f t="shared" si="83"/>
        <v>0</v>
      </c>
      <c r="AC99" s="285">
        <f t="shared" si="84"/>
        <v>0</v>
      </c>
      <c r="AD99" s="285">
        <f t="shared" si="85"/>
        <v>0</v>
      </c>
      <c r="AE99" s="286">
        <v>0</v>
      </c>
      <c r="AF99" s="287">
        <f t="shared" si="65"/>
        <v>0</v>
      </c>
      <c r="AG99" s="288">
        <f t="shared" si="66"/>
        <v>0</v>
      </c>
      <c r="AH99" s="285">
        <f t="shared" si="67"/>
        <v>0</v>
      </c>
      <c r="AI99" s="286">
        <v>0</v>
      </c>
      <c r="AJ99" s="286">
        <v>0</v>
      </c>
      <c r="AK99" s="286">
        <v>0</v>
      </c>
      <c r="AL99" s="285">
        <f t="shared" si="68"/>
        <v>0</v>
      </c>
      <c r="AM99" s="285">
        <f t="shared" si="69"/>
        <v>0</v>
      </c>
      <c r="AN99" s="289">
        <f t="shared" si="86"/>
        <v>1</v>
      </c>
      <c r="AO99" s="290">
        <f t="shared" si="70"/>
        <v>0</v>
      </c>
      <c r="AP99" s="290">
        <f t="shared" si="71"/>
        <v>0</v>
      </c>
      <c r="AQ99" s="290">
        <f t="shared" si="72"/>
        <v>0</v>
      </c>
      <c r="AR99" s="290">
        <f t="shared" si="73"/>
        <v>0</v>
      </c>
      <c r="AS99" s="290">
        <f t="shared" si="74"/>
        <v>0</v>
      </c>
      <c r="AT99" s="290">
        <f t="shared" si="75"/>
        <v>0</v>
      </c>
      <c r="AU99" s="291">
        <f t="shared" si="76"/>
        <v>0</v>
      </c>
      <c r="AV99" s="291">
        <f t="shared" si="89"/>
        <v>0</v>
      </c>
      <c r="AW99" s="292">
        <f t="shared" si="78"/>
        <v>0</v>
      </c>
      <c r="AX99" s="293">
        <f t="shared" si="79"/>
        <v>0</v>
      </c>
      <c r="BC99" s="276">
        <f>IF(BI99=1,IF(BC98=MiscData!$F$1,EOMONTH(BC98,-11),EOMONTH(BC98,1)),BC98)</f>
        <v>41729</v>
      </c>
      <c r="BD99" s="275" t="str">
        <f t="shared" si="87"/>
        <v>20140101LGCSR780</v>
      </c>
      <c r="BE99" s="294" t="str">
        <f t="shared" si="88"/>
        <v>20140101CSR</v>
      </c>
      <c r="BF99">
        <f>MiscData!$X$5</f>
        <v>20140101</v>
      </c>
      <c r="BI99" s="265">
        <f>IF(BI98+1&gt;MiscData!$Z$42,1,BI98+1)</f>
        <v>20</v>
      </c>
      <c r="BJ99" s="265" t="str">
        <f>VLOOKUP(BI99,MiscData!$Z$5:$AB$46,2,FALSE)</f>
        <v>LGCSR780</v>
      </c>
      <c r="BK99" s="265" t="str">
        <f>VLOOKUP(BI99,MiscData!$Z$5:$AB$46,3,FALSE)</f>
        <v>CSR</v>
      </c>
    </row>
    <row r="100" spans="1:63">
      <c r="A100" s="275">
        <v>91</v>
      </c>
      <c r="B100" s="276" t="str">
        <f t="shared" si="80"/>
        <v>Mar 2014</v>
      </c>
      <c r="C100" s="277" t="str">
        <f t="shared" si="81"/>
        <v>FK</v>
      </c>
      <c r="D100" s="277" t="str">
        <f t="shared" si="82"/>
        <v>LGINE599</v>
      </c>
      <c r="E100" s="278">
        <f t="shared" si="48"/>
        <v>0</v>
      </c>
      <c r="F100" s="279">
        <v>0</v>
      </c>
      <c r="G100" s="278">
        <f t="shared" si="49"/>
        <v>0</v>
      </c>
      <c r="H100" s="278">
        <f t="shared" si="50"/>
        <v>0</v>
      </c>
      <c r="I100" s="278">
        <f t="shared" si="51"/>
        <v>0</v>
      </c>
      <c r="J100" s="278">
        <f t="shared" si="52"/>
        <v>0</v>
      </c>
      <c r="K100" s="280">
        <v>0</v>
      </c>
      <c r="L100" s="281">
        <f t="shared" si="53"/>
        <v>0</v>
      </c>
      <c r="M100" s="281">
        <f t="shared" si="54"/>
        <v>0</v>
      </c>
      <c r="N100" s="281">
        <f t="shared" si="55"/>
        <v>0</v>
      </c>
      <c r="O100" s="282">
        <v>0</v>
      </c>
      <c r="P100" s="282">
        <v>0</v>
      </c>
      <c r="Q100" s="282">
        <v>0</v>
      </c>
      <c r="R100" s="283">
        <f t="shared" si="56"/>
        <v>0</v>
      </c>
      <c r="S100" s="284">
        <f t="shared" si="45"/>
        <v>3.7400000000000003E-2</v>
      </c>
      <c r="T100" s="284">
        <f t="shared" si="57"/>
        <v>0</v>
      </c>
      <c r="U100" s="284">
        <f t="shared" si="58"/>
        <v>0</v>
      </c>
      <c r="V100" s="284">
        <f t="shared" si="59"/>
        <v>2.725E-2</v>
      </c>
      <c r="W100" s="283">
        <f t="shared" si="60"/>
        <v>0</v>
      </c>
      <c r="X100" s="283">
        <f t="shared" si="61"/>
        <v>12.72</v>
      </c>
      <c r="Y100" s="283">
        <f t="shared" si="62"/>
        <v>15.040000000000001</v>
      </c>
      <c r="Z100" s="285">
        <f t="shared" si="63"/>
        <v>0</v>
      </c>
      <c r="AA100" s="285">
        <f t="shared" si="64"/>
        <v>0</v>
      </c>
      <c r="AB100" s="285">
        <f t="shared" si="83"/>
        <v>0</v>
      </c>
      <c r="AC100" s="285">
        <f t="shared" si="84"/>
        <v>0</v>
      </c>
      <c r="AD100" s="285">
        <f t="shared" si="85"/>
        <v>0</v>
      </c>
      <c r="AE100" s="286">
        <v>0</v>
      </c>
      <c r="AF100" s="287">
        <f t="shared" si="65"/>
        <v>0</v>
      </c>
      <c r="AG100" s="288">
        <f t="shared" si="66"/>
        <v>0</v>
      </c>
      <c r="AH100" s="285">
        <f t="shared" si="67"/>
        <v>0</v>
      </c>
      <c r="AI100" s="286">
        <v>0</v>
      </c>
      <c r="AJ100" s="286">
        <v>0</v>
      </c>
      <c r="AK100" s="286">
        <v>0</v>
      </c>
      <c r="AL100" s="285">
        <f t="shared" si="68"/>
        <v>0</v>
      </c>
      <c r="AM100" s="285">
        <f t="shared" si="69"/>
        <v>0</v>
      </c>
      <c r="AN100" s="289">
        <f t="shared" si="86"/>
        <v>1</v>
      </c>
      <c r="AO100" s="290">
        <f t="shared" si="70"/>
        <v>0</v>
      </c>
      <c r="AP100" s="290">
        <f t="shared" si="71"/>
        <v>0</v>
      </c>
      <c r="AQ100" s="290">
        <f t="shared" si="72"/>
        <v>0</v>
      </c>
      <c r="AR100" s="290">
        <f t="shared" si="73"/>
        <v>0</v>
      </c>
      <c r="AS100" s="290">
        <f t="shared" si="74"/>
        <v>0</v>
      </c>
      <c r="AT100" s="290">
        <f t="shared" si="75"/>
        <v>0</v>
      </c>
      <c r="AU100" s="291">
        <f t="shared" si="76"/>
        <v>0</v>
      </c>
      <c r="AV100" s="291">
        <f t="shared" si="89"/>
        <v>0</v>
      </c>
      <c r="AW100" s="292">
        <f t="shared" si="78"/>
        <v>0</v>
      </c>
      <c r="AX100" s="293">
        <f t="shared" si="79"/>
        <v>0</v>
      </c>
      <c r="BC100" s="276">
        <f>IF(BI100=1,IF(BC99=MiscData!$F$1,EOMONTH(BC99,-11),EOMONTH(BC99,1)),BC99)</f>
        <v>41729</v>
      </c>
      <c r="BD100" s="275" t="str">
        <f t="shared" si="87"/>
        <v>20140101LGINE599</v>
      </c>
      <c r="BE100" s="294" t="str">
        <f t="shared" si="88"/>
        <v>20140101FK</v>
      </c>
      <c r="BF100">
        <f>MiscData!$X$5</f>
        <v>20140101</v>
      </c>
      <c r="BI100" s="265">
        <f>IF(BI99+1&gt;MiscData!$Z$42,1,BI99+1)</f>
        <v>21</v>
      </c>
      <c r="BJ100" s="265" t="str">
        <f>VLOOKUP(BI100,MiscData!$Z$5:$AB$46,2,FALSE)</f>
        <v>LGINE599</v>
      </c>
      <c r="BK100" s="265" t="str">
        <f>VLOOKUP(BI100,MiscData!$Z$5:$AB$46,3,FALSE)</f>
        <v>FK</v>
      </c>
    </row>
    <row r="101" spans="1:63" hidden="1">
      <c r="A101" s="275">
        <v>92</v>
      </c>
      <c r="B101" s="276" t="str">
        <f t="shared" si="80"/>
        <v>Mar 2014</v>
      </c>
      <c r="C101" s="277" t="str">
        <f t="shared" si="81"/>
        <v>RTS</v>
      </c>
      <c r="D101" s="277" t="str">
        <f t="shared" si="82"/>
        <v>LGINE643</v>
      </c>
      <c r="E101" s="278">
        <f t="shared" si="48"/>
        <v>10</v>
      </c>
      <c r="F101" s="279">
        <v>-1</v>
      </c>
      <c r="G101" s="278">
        <f t="shared" si="49"/>
        <v>0</v>
      </c>
      <c r="H101" s="278">
        <f t="shared" si="50"/>
        <v>0</v>
      </c>
      <c r="I101" s="278">
        <f t="shared" si="51"/>
        <v>0</v>
      </c>
      <c r="J101" s="278">
        <f t="shared" si="52"/>
        <v>30798000</v>
      </c>
      <c r="K101" s="280">
        <v>0</v>
      </c>
      <c r="L101" s="281">
        <f t="shared" si="53"/>
        <v>68174.3</v>
      </c>
      <c r="M101" s="281">
        <f t="shared" si="54"/>
        <v>66680.7</v>
      </c>
      <c r="N101" s="281">
        <f t="shared" si="55"/>
        <v>66680.7</v>
      </c>
      <c r="O101" s="282">
        <v>1664.0000000000073</v>
      </c>
      <c r="P101" s="282">
        <v>574.19999999999709</v>
      </c>
      <c r="Q101" s="282">
        <v>162.5</v>
      </c>
      <c r="R101" s="283">
        <f t="shared" si="56"/>
        <v>750</v>
      </c>
      <c r="S101" s="284">
        <f t="shared" si="45"/>
        <v>3.61E-2</v>
      </c>
      <c r="T101" s="284">
        <f t="shared" si="57"/>
        <v>0</v>
      </c>
      <c r="U101" s="284">
        <f t="shared" si="58"/>
        <v>0</v>
      </c>
      <c r="V101" s="284">
        <f t="shared" si="59"/>
        <v>2.725E-2</v>
      </c>
      <c r="W101" s="283">
        <f t="shared" si="60"/>
        <v>2.75</v>
      </c>
      <c r="X101" s="283">
        <f t="shared" si="61"/>
        <v>3</v>
      </c>
      <c r="Y101" s="283">
        <f t="shared" si="62"/>
        <v>4.5500000000000007</v>
      </c>
      <c r="Z101" s="285">
        <f t="shared" si="63"/>
        <v>6750</v>
      </c>
      <c r="AA101" s="285">
        <f t="shared" si="64"/>
        <v>1111807.8</v>
      </c>
      <c r="AB101" s="285">
        <f t="shared" si="83"/>
        <v>187479.33</v>
      </c>
      <c r="AC101" s="285">
        <f t="shared" si="84"/>
        <v>200042.1</v>
      </c>
      <c r="AD101" s="285">
        <f t="shared" si="85"/>
        <v>303397.19</v>
      </c>
      <c r="AE101" s="286">
        <v>0</v>
      </c>
      <c r="AF101" s="287">
        <f t="shared" si="65"/>
        <v>0</v>
      </c>
      <c r="AG101" s="288">
        <f t="shared" si="66"/>
        <v>7037.98</v>
      </c>
      <c r="AH101" s="285">
        <f t="shared" si="67"/>
        <v>697956.6</v>
      </c>
      <c r="AI101" s="286">
        <v>750</v>
      </c>
      <c r="AJ101" s="286">
        <v>0</v>
      </c>
      <c r="AK101" s="286">
        <v>0.02</v>
      </c>
      <c r="AL101" s="285">
        <f t="shared" si="68"/>
        <v>1817264.4200000002</v>
      </c>
      <c r="AM101" s="285">
        <f t="shared" si="69"/>
        <v>1817264.4200000002</v>
      </c>
      <c r="AN101" s="289">
        <f t="shared" si="86"/>
        <v>1</v>
      </c>
      <c r="AO101" s="290">
        <f t="shared" si="70"/>
        <v>58070.16</v>
      </c>
      <c r="AP101" s="290">
        <f t="shared" si="71"/>
        <v>0</v>
      </c>
      <c r="AQ101" s="290">
        <f t="shared" si="72"/>
        <v>39577.51</v>
      </c>
      <c r="AR101" s="290">
        <f t="shared" si="73"/>
        <v>0</v>
      </c>
      <c r="AS101" s="290">
        <f t="shared" si="74"/>
        <v>0</v>
      </c>
      <c r="AT101" s="290">
        <f t="shared" si="75"/>
        <v>1914912.09</v>
      </c>
      <c r="AU101" s="291">
        <f t="shared" si="76"/>
        <v>1914912.09</v>
      </c>
      <c r="AV101" s="291">
        <f t="shared" si="46"/>
        <v>0</v>
      </c>
      <c r="AW101" s="292">
        <f t="shared" si="78"/>
        <v>839245.5</v>
      </c>
      <c r="AX101" s="293">
        <f t="shared" si="79"/>
        <v>272562.30000000005</v>
      </c>
      <c r="BC101" s="276">
        <f>IF(BI101=1,IF(BC100=MiscData!$F$1,EOMONTH(BC100,-11),EOMONTH(BC100,1)),BC100)</f>
        <v>41729</v>
      </c>
      <c r="BD101" s="275" t="str">
        <f t="shared" si="87"/>
        <v>20140101LGINE643</v>
      </c>
      <c r="BE101" s="294" t="str">
        <f t="shared" si="88"/>
        <v>20140101RTS</v>
      </c>
      <c r="BF101">
        <f>MiscData!$X$5</f>
        <v>20140101</v>
      </c>
      <c r="BI101" s="265">
        <f>IF(BI100+1&gt;MiscData!$Z$42,1,BI100+1)</f>
        <v>22</v>
      </c>
      <c r="BJ101" s="265" t="str">
        <f>VLOOKUP(BI101,MiscData!$Z$5:$AB$46,2,FALSE)</f>
        <v>LGINE643</v>
      </c>
      <c r="BK101" s="265" t="str">
        <f>VLOOKUP(BI101,MiscData!$Z$5:$AB$46,3,FALSE)</f>
        <v>RTS</v>
      </c>
    </row>
    <row r="102" spans="1:63" hidden="1">
      <c r="A102" s="275">
        <v>93</v>
      </c>
      <c r="B102" s="276" t="str">
        <f t="shared" si="80"/>
        <v>Mar 2014</v>
      </c>
      <c r="C102" s="277" t="str">
        <f t="shared" si="81"/>
        <v>PSS</v>
      </c>
      <c r="D102" s="277" t="str">
        <f t="shared" si="82"/>
        <v>LGINE661</v>
      </c>
      <c r="E102" s="278">
        <f t="shared" si="48"/>
        <v>253</v>
      </c>
      <c r="F102" s="279">
        <v>-12</v>
      </c>
      <c r="G102" s="278">
        <f t="shared" si="49"/>
        <v>0</v>
      </c>
      <c r="H102" s="278">
        <f t="shared" si="50"/>
        <v>0</v>
      </c>
      <c r="I102" s="278">
        <f t="shared" si="51"/>
        <v>0</v>
      </c>
      <c r="J102" s="278">
        <f t="shared" si="52"/>
        <v>24930937</v>
      </c>
      <c r="K102" s="280">
        <v>0</v>
      </c>
      <c r="L102" s="281">
        <f t="shared" si="53"/>
        <v>0</v>
      </c>
      <c r="M102" s="281">
        <f t="shared" si="54"/>
        <v>66053.7</v>
      </c>
      <c r="N102" s="281">
        <f t="shared" si="55"/>
        <v>0</v>
      </c>
      <c r="O102" s="282">
        <v>0</v>
      </c>
      <c r="P102" s="282">
        <v>439.1</v>
      </c>
      <c r="Q102" s="282">
        <v>0</v>
      </c>
      <c r="R102" s="283">
        <f t="shared" si="56"/>
        <v>90</v>
      </c>
      <c r="S102" s="284">
        <f t="shared" si="45"/>
        <v>4.0599999999999997E-2</v>
      </c>
      <c r="T102" s="284">
        <f t="shared" si="57"/>
        <v>0</v>
      </c>
      <c r="U102" s="284">
        <f t="shared" si="58"/>
        <v>0</v>
      </c>
      <c r="V102" s="284">
        <f t="shared" si="59"/>
        <v>2.725E-2</v>
      </c>
      <c r="W102" s="283">
        <f t="shared" si="60"/>
        <v>0</v>
      </c>
      <c r="X102" s="283">
        <f t="shared" si="61"/>
        <v>14.010000000000002</v>
      </c>
      <c r="Y102" s="283">
        <f t="shared" si="62"/>
        <v>16.399999999999999</v>
      </c>
      <c r="Z102" s="285">
        <f t="shared" si="63"/>
        <v>21690</v>
      </c>
      <c r="AA102" s="285">
        <f t="shared" si="64"/>
        <v>1012196.04</v>
      </c>
      <c r="AB102" s="285">
        <f t="shared" si="83"/>
        <v>0</v>
      </c>
      <c r="AC102" s="285">
        <f t="shared" si="84"/>
        <v>925412.34</v>
      </c>
      <c r="AD102" s="285">
        <f t="shared" si="85"/>
        <v>0</v>
      </c>
      <c r="AE102" s="286">
        <v>0</v>
      </c>
      <c r="AF102" s="287">
        <f t="shared" si="65"/>
        <v>61358.080000000002</v>
      </c>
      <c r="AG102" s="288">
        <f t="shared" si="66"/>
        <v>6151.79</v>
      </c>
      <c r="AH102" s="285">
        <f t="shared" si="67"/>
        <v>992922.21</v>
      </c>
      <c r="AI102" s="286">
        <v>771</v>
      </c>
      <c r="AJ102" s="286">
        <v>0.01</v>
      </c>
      <c r="AK102" s="286">
        <v>-916.44</v>
      </c>
      <c r="AL102" s="285">
        <f t="shared" si="68"/>
        <v>2026662.82</v>
      </c>
      <c r="AM102" s="285">
        <f t="shared" si="69"/>
        <v>2026662.82</v>
      </c>
      <c r="AN102" s="289">
        <f t="shared" si="86"/>
        <v>1</v>
      </c>
      <c r="AO102" s="290">
        <f t="shared" si="70"/>
        <v>54568.22</v>
      </c>
      <c r="AP102" s="290">
        <f t="shared" si="71"/>
        <v>0</v>
      </c>
      <c r="AQ102" s="290">
        <f t="shared" si="72"/>
        <v>38529.440000000002</v>
      </c>
      <c r="AR102" s="290">
        <f t="shared" si="73"/>
        <v>0</v>
      </c>
      <c r="AS102" s="290">
        <f t="shared" si="74"/>
        <v>0</v>
      </c>
      <c r="AT102" s="290">
        <f t="shared" si="75"/>
        <v>2119760.48</v>
      </c>
      <c r="AU102" s="291">
        <f t="shared" si="76"/>
        <v>2119760.48</v>
      </c>
      <c r="AV102" s="291">
        <f t="shared" si="46"/>
        <v>0</v>
      </c>
      <c r="AW102" s="292">
        <f t="shared" si="78"/>
        <v>679368.03</v>
      </c>
      <c r="AX102" s="293">
        <f t="shared" si="79"/>
        <v>332828.02</v>
      </c>
      <c r="BC102" s="276">
        <f>IF(BI102=1,IF(BC101=MiscData!$F$1,EOMONTH(BC101,-11),EOMONTH(BC101,1)),BC101)</f>
        <v>41729</v>
      </c>
      <c r="BD102" s="275" t="str">
        <f t="shared" si="87"/>
        <v>20140101LGINE661</v>
      </c>
      <c r="BE102" s="294" t="str">
        <f t="shared" si="88"/>
        <v>20140101PSS</v>
      </c>
      <c r="BF102">
        <f>MiscData!$X$5</f>
        <v>20140101</v>
      </c>
      <c r="BI102" s="265">
        <f>IF(BI101+1&gt;MiscData!$Z$42,1,BI101+1)</f>
        <v>23</v>
      </c>
      <c r="BJ102" s="265" t="str">
        <f>VLOOKUP(BI102,MiscData!$Z$5:$AB$46,2,FALSE)</f>
        <v>LGINE661</v>
      </c>
      <c r="BK102" s="265" t="str">
        <f>VLOOKUP(BI102,MiscData!$Z$5:$AB$46,3,FALSE)</f>
        <v>PSS</v>
      </c>
    </row>
    <row r="103" spans="1:63" hidden="1">
      <c r="A103" s="275">
        <v>94</v>
      </c>
      <c r="B103" s="276" t="str">
        <f t="shared" si="80"/>
        <v>Mar 2014</v>
      </c>
      <c r="C103" s="277" t="str">
        <f t="shared" si="81"/>
        <v>PSP</v>
      </c>
      <c r="D103" s="277" t="str">
        <f t="shared" si="82"/>
        <v>LGINE663</v>
      </c>
      <c r="E103" s="278">
        <f t="shared" si="48"/>
        <v>21</v>
      </c>
      <c r="F103" s="279">
        <v>-1</v>
      </c>
      <c r="G103" s="278">
        <f t="shared" si="49"/>
        <v>0</v>
      </c>
      <c r="H103" s="278">
        <f t="shared" si="50"/>
        <v>0</v>
      </c>
      <c r="I103" s="278">
        <f t="shared" si="51"/>
        <v>0</v>
      </c>
      <c r="J103" s="278">
        <f t="shared" si="52"/>
        <v>1159155</v>
      </c>
      <c r="K103" s="280">
        <v>0</v>
      </c>
      <c r="L103" s="281">
        <f t="shared" si="53"/>
        <v>0</v>
      </c>
      <c r="M103" s="281">
        <f t="shared" si="54"/>
        <v>4095.4</v>
      </c>
      <c r="N103" s="281">
        <f t="shared" si="55"/>
        <v>0</v>
      </c>
      <c r="O103" s="282">
        <v>0</v>
      </c>
      <c r="P103" s="282">
        <v>147.85</v>
      </c>
      <c r="Q103" s="282">
        <v>0</v>
      </c>
      <c r="R103" s="283">
        <f t="shared" si="56"/>
        <v>170</v>
      </c>
      <c r="S103" s="284">
        <f t="shared" si="45"/>
        <v>3.9260000000000003E-2</v>
      </c>
      <c r="T103" s="284">
        <f t="shared" si="57"/>
        <v>0</v>
      </c>
      <c r="U103" s="284">
        <f t="shared" si="58"/>
        <v>0</v>
      </c>
      <c r="V103" s="284">
        <f t="shared" si="59"/>
        <v>2.725E-2</v>
      </c>
      <c r="W103" s="283">
        <f t="shared" si="60"/>
        <v>0</v>
      </c>
      <c r="X103" s="283">
        <f t="shared" si="61"/>
        <v>11.660000000000002</v>
      </c>
      <c r="Y103" s="283">
        <f t="shared" si="62"/>
        <v>13.950000000000001</v>
      </c>
      <c r="Z103" s="285">
        <f t="shared" si="63"/>
        <v>3400</v>
      </c>
      <c r="AA103" s="285">
        <f t="shared" si="64"/>
        <v>45508.43</v>
      </c>
      <c r="AB103" s="285">
        <f t="shared" si="83"/>
        <v>0</v>
      </c>
      <c r="AC103" s="285">
        <f t="shared" si="84"/>
        <v>47752.36</v>
      </c>
      <c r="AD103" s="285">
        <f t="shared" si="85"/>
        <v>0</v>
      </c>
      <c r="AE103" s="286">
        <v>0</v>
      </c>
      <c r="AF103" s="287">
        <f t="shared" si="65"/>
        <v>8798.65</v>
      </c>
      <c r="AG103" s="288">
        <f t="shared" si="66"/>
        <v>1723.93</v>
      </c>
      <c r="AH103" s="285">
        <f t="shared" si="67"/>
        <v>58274.94</v>
      </c>
      <c r="AI103" s="286">
        <v>170</v>
      </c>
      <c r="AJ103" s="286">
        <v>-0.03</v>
      </c>
      <c r="AK103" s="286">
        <v>0.03</v>
      </c>
      <c r="AL103" s="285">
        <f t="shared" si="68"/>
        <v>107353.37</v>
      </c>
      <c r="AM103" s="285">
        <f t="shared" si="69"/>
        <v>107353.37</v>
      </c>
      <c r="AN103" s="289">
        <f t="shared" si="86"/>
        <v>1</v>
      </c>
      <c r="AO103" s="290">
        <f t="shared" si="70"/>
        <v>2464.4699999999998</v>
      </c>
      <c r="AP103" s="290">
        <f t="shared" si="71"/>
        <v>0</v>
      </c>
      <c r="AQ103" s="290">
        <f t="shared" si="72"/>
        <v>2276.3000000000002</v>
      </c>
      <c r="AR103" s="290">
        <f t="shared" si="73"/>
        <v>0</v>
      </c>
      <c r="AS103" s="290">
        <f t="shared" si="74"/>
        <v>0</v>
      </c>
      <c r="AT103" s="290">
        <f t="shared" si="75"/>
        <v>112094.14</v>
      </c>
      <c r="AU103" s="291">
        <f t="shared" si="76"/>
        <v>112094.14</v>
      </c>
      <c r="AV103" s="291">
        <f t="shared" si="46"/>
        <v>0</v>
      </c>
      <c r="AW103" s="292">
        <f t="shared" si="78"/>
        <v>31586.97</v>
      </c>
      <c r="AX103" s="293">
        <f t="shared" si="79"/>
        <v>13921.43</v>
      </c>
      <c r="BC103" s="276">
        <f>IF(BI103=1,IF(BC102=MiscData!$F$1,EOMONTH(BC102,-11),EOMONTH(BC102,1)),BC102)</f>
        <v>41729</v>
      </c>
      <c r="BD103" s="275" t="str">
        <f t="shared" si="87"/>
        <v>20140101LGINE663</v>
      </c>
      <c r="BE103" s="294" t="str">
        <f t="shared" si="88"/>
        <v>20140101PSP</v>
      </c>
      <c r="BF103">
        <f>MiscData!$X$5</f>
        <v>20140101</v>
      </c>
      <c r="BI103" s="265">
        <f>IF(BI102+1&gt;MiscData!$Z$42,1,BI102+1)</f>
        <v>24</v>
      </c>
      <c r="BJ103" s="265" t="str">
        <f>VLOOKUP(BI103,MiscData!$Z$5:$AB$46,2,FALSE)</f>
        <v>LGINE663</v>
      </c>
      <c r="BK103" s="265" t="str">
        <f>VLOOKUP(BI103,MiscData!$Z$5:$AB$46,3,FALSE)</f>
        <v>PSP</v>
      </c>
    </row>
    <row r="104" spans="1:63" hidden="1">
      <c r="A104" s="275">
        <v>95</v>
      </c>
      <c r="B104" s="276" t="str">
        <f t="shared" si="80"/>
        <v>Mar 2014</v>
      </c>
      <c r="C104" s="277" t="str">
        <f t="shared" si="81"/>
        <v>TODS</v>
      </c>
      <c r="D104" s="277" t="str">
        <f t="shared" si="82"/>
        <v>LGINE691</v>
      </c>
      <c r="E104" s="278">
        <f t="shared" si="48"/>
        <v>74</v>
      </c>
      <c r="F104" s="279">
        <v>-2</v>
      </c>
      <c r="G104" s="278">
        <f t="shared" si="49"/>
        <v>0</v>
      </c>
      <c r="H104" s="278">
        <f t="shared" si="50"/>
        <v>0</v>
      </c>
      <c r="I104" s="278">
        <f t="shared" si="51"/>
        <v>0</v>
      </c>
      <c r="J104" s="278">
        <f t="shared" si="52"/>
        <v>18006720</v>
      </c>
      <c r="K104" s="280">
        <v>0</v>
      </c>
      <c r="L104" s="281">
        <f t="shared" si="53"/>
        <v>43364.400000000016</v>
      </c>
      <c r="M104" s="281">
        <f t="shared" si="54"/>
        <v>42698.100000000013</v>
      </c>
      <c r="N104" s="281">
        <f t="shared" si="55"/>
        <v>40856.9</v>
      </c>
      <c r="O104" s="282">
        <v>2629.25</v>
      </c>
      <c r="P104" s="282">
        <v>73.849999999998545</v>
      </c>
      <c r="Q104" s="282">
        <v>127.90000000000146</v>
      </c>
      <c r="R104" s="283">
        <f t="shared" si="56"/>
        <v>200</v>
      </c>
      <c r="S104" s="284">
        <f t="shared" si="45"/>
        <v>3.9899999999999998E-2</v>
      </c>
      <c r="T104" s="284">
        <f t="shared" si="57"/>
        <v>0</v>
      </c>
      <c r="U104" s="284">
        <f t="shared" si="58"/>
        <v>0</v>
      </c>
      <c r="V104" s="284">
        <f t="shared" si="59"/>
        <v>2.725E-2</v>
      </c>
      <c r="W104" s="283">
        <f t="shared" si="60"/>
        <v>4</v>
      </c>
      <c r="X104" s="283">
        <f t="shared" si="61"/>
        <v>4.5100000000000007</v>
      </c>
      <c r="Y104" s="283">
        <f t="shared" si="62"/>
        <v>6.11</v>
      </c>
      <c r="Z104" s="285">
        <f t="shared" si="63"/>
        <v>14400</v>
      </c>
      <c r="AA104" s="285">
        <f t="shared" si="64"/>
        <v>718468.13</v>
      </c>
      <c r="AB104" s="285">
        <f t="shared" si="83"/>
        <v>173457.6</v>
      </c>
      <c r="AC104" s="285">
        <f t="shared" si="84"/>
        <v>192568.43</v>
      </c>
      <c r="AD104" s="285">
        <f t="shared" si="85"/>
        <v>249635.66</v>
      </c>
      <c r="AE104" s="286">
        <v>0</v>
      </c>
      <c r="AF104" s="287">
        <f t="shared" si="65"/>
        <v>36672.71</v>
      </c>
      <c r="AG104" s="288">
        <f t="shared" si="66"/>
        <v>11631.53</v>
      </c>
      <c r="AH104" s="285">
        <f t="shared" si="67"/>
        <v>663965.93000000005</v>
      </c>
      <c r="AI104" s="286">
        <v>620</v>
      </c>
      <c r="AJ104" s="286">
        <v>0.01</v>
      </c>
      <c r="AK104" s="286">
        <v>7155.6</v>
      </c>
      <c r="AL104" s="285">
        <f t="shared" si="68"/>
        <v>1404609.67</v>
      </c>
      <c r="AM104" s="285">
        <f t="shared" si="69"/>
        <v>1404609.67</v>
      </c>
      <c r="AN104" s="289">
        <f t="shared" si="86"/>
        <v>1</v>
      </c>
      <c r="AO104" s="290">
        <f t="shared" si="70"/>
        <v>39336.69</v>
      </c>
      <c r="AP104" s="290">
        <f t="shared" si="71"/>
        <v>0</v>
      </c>
      <c r="AQ104" s="290">
        <f t="shared" si="72"/>
        <v>26393.08</v>
      </c>
      <c r="AR104" s="290">
        <f t="shared" si="73"/>
        <v>0</v>
      </c>
      <c r="AS104" s="290">
        <f t="shared" si="74"/>
        <v>0</v>
      </c>
      <c r="AT104" s="290">
        <f t="shared" si="75"/>
        <v>1470339.44</v>
      </c>
      <c r="AU104" s="291">
        <f t="shared" si="76"/>
        <v>1470339.44</v>
      </c>
      <c r="AV104" s="291">
        <f t="shared" si="46"/>
        <v>0</v>
      </c>
      <c r="AW104" s="292">
        <f t="shared" si="78"/>
        <v>490683.12</v>
      </c>
      <c r="AX104" s="293">
        <f t="shared" si="79"/>
        <v>227785.02000000002</v>
      </c>
      <c r="BC104" s="276">
        <f>IF(BI104=1,IF(BC103=MiscData!$F$1,EOMONTH(BC103,-11),EOMONTH(BC103,1)),BC103)</f>
        <v>41729</v>
      </c>
      <c r="BD104" s="275" t="str">
        <f t="shared" si="87"/>
        <v>20140101LGINE691</v>
      </c>
      <c r="BE104" s="294" t="str">
        <f t="shared" si="88"/>
        <v>20140101TODS</v>
      </c>
      <c r="BF104">
        <f>MiscData!$X$5</f>
        <v>20140101</v>
      </c>
      <c r="BI104" s="265">
        <f>IF(BI103+1&gt;MiscData!$Z$42,1,BI103+1)</f>
        <v>25</v>
      </c>
      <c r="BJ104" s="265" t="str">
        <f>VLOOKUP(BI104,MiscData!$Z$5:$AB$46,2,FALSE)</f>
        <v>LGINE691</v>
      </c>
      <c r="BK104" s="265" t="str">
        <f>VLOOKUP(BI104,MiscData!$Z$5:$AB$46,3,FALSE)</f>
        <v>TODS</v>
      </c>
    </row>
    <row r="105" spans="1:63" hidden="1">
      <c r="A105" s="275">
        <v>96</v>
      </c>
      <c r="B105" s="276" t="str">
        <f t="shared" si="80"/>
        <v>Mar 2014</v>
      </c>
      <c r="C105" s="277" t="str">
        <f t="shared" si="81"/>
        <v>ITODP</v>
      </c>
      <c r="D105" s="277" t="str">
        <f t="shared" si="82"/>
        <v>LGINE693</v>
      </c>
      <c r="E105" s="278">
        <f t="shared" si="48"/>
        <v>65</v>
      </c>
      <c r="F105" s="279">
        <v>-3</v>
      </c>
      <c r="G105" s="278">
        <f t="shared" si="49"/>
        <v>0</v>
      </c>
      <c r="H105" s="278">
        <f t="shared" si="50"/>
        <v>0</v>
      </c>
      <c r="I105" s="278">
        <f t="shared" si="51"/>
        <v>0</v>
      </c>
      <c r="J105" s="278">
        <f t="shared" si="52"/>
        <v>122528400</v>
      </c>
      <c r="K105" s="280">
        <v>0</v>
      </c>
      <c r="L105" s="281">
        <f t="shared" si="53"/>
        <v>289467.49999999994</v>
      </c>
      <c r="M105" s="281">
        <f t="shared" si="54"/>
        <v>280504.09999999998</v>
      </c>
      <c r="N105" s="281">
        <f t="shared" si="55"/>
        <v>274298.40000000002</v>
      </c>
      <c r="O105" s="282">
        <v>7046.6999999999825</v>
      </c>
      <c r="P105" s="282">
        <v>306.70000000001164</v>
      </c>
      <c r="Q105" s="282">
        <v>1826</v>
      </c>
      <c r="R105" s="283">
        <f t="shared" si="56"/>
        <v>300</v>
      </c>
      <c r="S105" s="284">
        <f t="shared" ref="S105:S168" si="90">SUMIF(L_Rates_Tariff_Rate_Category,$BD105,L_Rates_Energy)</f>
        <v>3.5380000000000002E-2</v>
      </c>
      <c r="T105" s="284">
        <f t="shared" si="57"/>
        <v>0</v>
      </c>
      <c r="U105" s="284">
        <f t="shared" si="58"/>
        <v>0</v>
      </c>
      <c r="V105" s="284">
        <f t="shared" si="59"/>
        <v>2.725E-2</v>
      </c>
      <c r="W105" s="283">
        <f t="shared" si="60"/>
        <v>3.6300000000000003</v>
      </c>
      <c r="X105" s="283">
        <f t="shared" si="61"/>
        <v>3.7900000000000005</v>
      </c>
      <c r="Y105" s="283">
        <f t="shared" si="62"/>
        <v>4.63</v>
      </c>
      <c r="Z105" s="285">
        <f t="shared" si="63"/>
        <v>18600</v>
      </c>
      <c r="AA105" s="285">
        <f t="shared" si="64"/>
        <v>4335054.79</v>
      </c>
      <c r="AB105" s="285">
        <f t="shared" si="83"/>
        <v>1050767.03</v>
      </c>
      <c r="AC105" s="285">
        <f t="shared" si="84"/>
        <v>1063110.54</v>
      </c>
      <c r="AD105" s="285">
        <f t="shared" si="85"/>
        <v>1270001.5900000001</v>
      </c>
      <c r="AE105" s="286">
        <v>0</v>
      </c>
      <c r="AF105" s="287">
        <f t="shared" si="65"/>
        <v>0</v>
      </c>
      <c r="AG105" s="288">
        <f t="shared" si="66"/>
        <v>35196.29</v>
      </c>
      <c r="AH105" s="285">
        <f t="shared" si="67"/>
        <v>3419075.45</v>
      </c>
      <c r="AI105" s="286">
        <v>700</v>
      </c>
      <c r="AJ105" s="286">
        <v>0</v>
      </c>
      <c r="AK105" s="286">
        <v>-932.78</v>
      </c>
      <c r="AL105" s="285">
        <f t="shared" si="68"/>
        <v>7772497.46</v>
      </c>
      <c r="AM105" s="285">
        <f t="shared" si="69"/>
        <v>7772497.46</v>
      </c>
      <c r="AN105" s="289">
        <f t="shared" si="86"/>
        <v>1</v>
      </c>
      <c r="AO105" s="290">
        <f t="shared" si="70"/>
        <v>251458.92</v>
      </c>
      <c r="AP105" s="290">
        <f t="shared" si="71"/>
        <v>0</v>
      </c>
      <c r="AQ105" s="290">
        <f t="shared" si="72"/>
        <v>147158.87</v>
      </c>
      <c r="AR105" s="290">
        <f t="shared" si="73"/>
        <v>0</v>
      </c>
      <c r="AS105" s="290">
        <f t="shared" si="74"/>
        <v>0</v>
      </c>
      <c r="AT105" s="290">
        <f t="shared" si="75"/>
        <v>8171115.25</v>
      </c>
      <c r="AU105" s="291">
        <f t="shared" si="76"/>
        <v>8171115.25</v>
      </c>
      <c r="AV105" s="291">
        <f t="shared" si="46"/>
        <v>0</v>
      </c>
      <c r="AW105" s="292">
        <f t="shared" si="78"/>
        <v>3338898.9</v>
      </c>
      <c r="AX105" s="293">
        <f t="shared" si="79"/>
        <v>996155.89000000013</v>
      </c>
      <c r="BC105" s="276">
        <f>IF(BI105=1,IF(BC104=MiscData!$F$1,EOMONTH(BC104,-11),EOMONTH(BC104,1)),BC104)</f>
        <v>41729</v>
      </c>
      <c r="BD105" s="275" t="str">
        <f t="shared" si="87"/>
        <v>20140101LGINE693</v>
      </c>
      <c r="BE105" s="294" t="str">
        <f t="shared" si="88"/>
        <v>20140101ITODP</v>
      </c>
      <c r="BF105">
        <f>MiscData!$X$5</f>
        <v>20140101</v>
      </c>
      <c r="BI105" s="265">
        <f>IF(BI104+1&gt;MiscData!$Z$42,1,BI104+1)</f>
        <v>26</v>
      </c>
      <c r="BJ105" s="265" t="str">
        <f>VLOOKUP(BI105,MiscData!$Z$5:$AB$46,2,FALSE)</f>
        <v>LGINE693</v>
      </c>
      <c r="BK105" s="265" t="str">
        <f>VLOOKUP(BI105,MiscData!$Z$5:$AB$46,3,FALSE)</f>
        <v>ITODP</v>
      </c>
    </row>
    <row r="106" spans="1:63" hidden="1">
      <c r="A106" s="275">
        <v>97</v>
      </c>
      <c r="B106" s="276" t="str">
        <f t="shared" si="80"/>
        <v>Mar 2014</v>
      </c>
      <c r="C106" s="277" t="str">
        <f t="shared" si="81"/>
        <v>ITODP</v>
      </c>
      <c r="D106" s="277" t="str">
        <f t="shared" si="82"/>
        <v>LGINE694</v>
      </c>
      <c r="E106" s="278">
        <f t="shared" si="48"/>
        <v>0</v>
      </c>
      <c r="F106" s="279">
        <v>0</v>
      </c>
      <c r="G106" s="278">
        <f t="shared" si="49"/>
        <v>0</v>
      </c>
      <c r="H106" s="278">
        <f t="shared" si="50"/>
        <v>0</v>
      </c>
      <c r="I106" s="278">
        <f t="shared" si="51"/>
        <v>0</v>
      </c>
      <c r="J106" s="278">
        <f t="shared" si="52"/>
        <v>0</v>
      </c>
      <c r="K106" s="280">
        <v>0</v>
      </c>
      <c r="L106" s="281">
        <f t="shared" si="53"/>
        <v>0</v>
      </c>
      <c r="M106" s="281">
        <f t="shared" si="54"/>
        <v>0</v>
      </c>
      <c r="N106" s="281">
        <f t="shared" si="55"/>
        <v>0</v>
      </c>
      <c r="O106" s="282">
        <v>0</v>
      </c>
      <c r="P106" s="282">
        <v>0</v>
      </c>
      <c r="Q106" s="282">
        <v>0</v>
      </c>
      <c r="R106" s="283">
        <f t="shared" si="56"/>
        <v>300</v>
      </c>
      <c r="S106" s="284">
        <f t="shared" si="90"/>
        <v>3.5380000000000002E-2</v>
      </c>
      <c r="T106" s="284">
        <f t="shared" si="57"/>
        <v>0</v>
      </c>
      <c r="U106" s="284">
        <f t="shared" si="58"/>
        <v>0</v>
      </c>
      <c r="V106" s="284">
        <f t="shared" si="59"/>
        <v>2.725E-2</v>
      </c>
      <c r="W106" s="283">
        <f t="shared" si="60"/>
        <v>3.6300000000000003</v>
      </c>
      <c r="X106" s="283">
        <f t="shared" si="61"/>
        <v>3.7900000000000005</v>
      </c>
      <c r="Y106" s="283">
        <f t="shared" si="62"/>
        <v>4.63</v>
      </c>
      <c r="Z106" s="285">
        <f t="shared" si="63"/>
        <v>0</v>
      </c>
      <c r="AA106" s="285">
        <f t="shared" si="64"/>
        <v>0</v>
      </c>
      <c r="AB106" s="285">
        <f t="shared" si="83"/>
        <v>0</v>
      </c>
      <c r="AC106" s="285">
        <f t="shared" si="84"/>
        <v>0</v>
      </c>
      <c r="AD106" s="285">
        <f t="shared" si="85"/>
        <v>0</v>
      </c>
      <c r="AE106" s="286">
        <v>0</v>
      </c>
      <c r="AF106" s="287">
        <f t="shared" si="65"/>
        <v>0</v>
      </c>
      <c r="AG106" s="288">
        <f t="shared" si="66"/>
        <v>0</v>
      </c>
      <c r="AH106" s="285">
        <f t="shared" si="67"/>
        <v>0</v>
      </c>
      <c r="AI106" s="286">
        <v>0</v>
      </c>
      <c r="AJ106" s="286">
        <v>0</v>
      </c>
      <c r="AK106" s="286">
        <v>0</v>
      </c>
      <c r="AL106" s="285">
        <f t="shared" si="68"/>
        <v>0</v>
      </c>
      <c r="AM106" s="285">
        <f t="shared" si="69"/>
        <v>0</v>
      </c>
      <c r="AN106" s="289">
        <f t="shared" si="86"/>
        <v>1</v>
      </c>
      <c r="AO106" s="290">
        <f t="shared" si="70"/>
        <v>0</v>
      </c>
      <c r="AP106" s="290">
        <f t="shared" si="71"/>
        <v>0</v>
      </c>
      <c r="AQ106" s="290">
        <f t="shared" si="72"/>
        <v>0</v>
      </c>
      <c r="AR106" s="290">
        <f t="shared" si="73"/>
        <v>0</v>
      </c>
      <c r="AS106" s="290">
        <f t="shared" si="74"/>
        <v>0</v>
      </c>
      <c r="AT106" s="290">
        <f t="shared" si="75"/>
        <v>0</v>
      </c>
      <c r="AU106" s="291">
        <f t="shared" si="76"/>
        <v>0</v>
      </c>
      <c r="AV106" s="291">
        <f>ROUND(AT106-AU106,2)</f>
        <v>0</v>
      </c>
      <c r="AW106" s="292">
        <f t="shared" si="78"/>
        <v>0</v>
      </c>
      <c r="AX106" s="293">
        <f t="shared" si="79"/>
        <v>0</v>
      </c>
      <c r="BC106" s="276">
        <f>IF(BI106=1,IF(BC105=MiscData!$F$1,EOMONTH(BC105,-11),EOMONTH(BC105,1)),BC105)</f>
        <v>41729</v>
      </c>
      <c r="BD106" s="275" t="str">
        <f t="shared" si="87"/>
        <v>20140101LGINE694</v>
      </c>
      <c r="BE106" s="294" t="str">
        <f t="shared" si="88"/>
        <v>20140101ITODP</v>
      </c>
      <c r="BF106">
        <f>MiscData!$X$5</f>
        <v>20140101</v>
      </c>
      <c r="BI106" s="265">
        <f>IF(BI105+1&gt;MiscData!$Z$42,1,BI105+1)</f>
        <v>27</v>
      </c>
      <c r="BJ106" s="265" t="str">
        <f>VLOOKUP(BI106,MiscData!$Z$5:$AB$46,2,FALSE)</f>
        <v>LGINE694</v>
      </c>
      <c r="BK106" s="265" t="str">
        <f>VLOOKUP(BI106,MiscData!$Z$5:$AB$46,3,FALSE)</f>
        <v>ITODP</v>
      </c>
    </row>
    <row r="107" spans="1:63" hidden="1">
      <c r="A107" s="275">
        <v>98</v>
      </c>
      <c r="B107" s="276" t="str">
        <f t="shared" si="80"/>
        <v>Mar 2014</v>
      </c>
      <c r="C107" s="277" t="str">
        <f t="shared" si="81"/>
        <v>LE</v>
      </c>
      <c r="D107" s="277" t="str">
        <f t="shared" si="82"/>
        <v>LGMLE570</v>
      </c>
      <c r="E107" s="278">
        <f t="shared" si="48"/>
        <v>1</v>
      </c>
      <c r="F107" s="279">
        <v>0</v>
      </c>
      <c r="G107" s="278">
        <f t="shared" si="49"/>
        <v>0</v>
      </c>
      <c r="H107" s="278">
        <f t="shared" si="50"/>
        <v>0</v>
      </c>
      <c r="I107" s="278">
        <f t="shared" si="51"/>
        <v>0</v>
      </c>
      <c r="J107" s="278">
        <f t="shared" si="52"/>
        <v>196</v>
      </c>
      <c r="K107" s="280">
        <v>0</v>
      </c>
      <c r="L107" s="281">
        <f t="shared" si="53"/>
        <v>0</v>
      </c>
      <c r="M107" s="281">
        <f t="shared" si="54"/>
        <v>0</v>
      </c>
      <c r="N107" s="281">
        <f t="shared" si="55"/>
        <v>0</v>
      </c>
      <c r="O107" s="282">
        <v>0</v>
      </c>
      <c r="P107" s="282">
        <v>0</v>
      </c>
      <c r="Q107" s="282">
        <v>0</v>
      </c>
      <c r="R107" s="283">
        <f t="shared" si="56"/>
        <v>0</v>
      </c>
      <c r="S107" s="284">
        <f t="shared" si="90"/>
        <v>6.4610000000000001E-2</v>
      </c>
      <c r="T107" s="284">
        <f t="shared" si="57"/>
        <v>0</v>
      </c>
      <c r="U107" s="284">
        <f t="shared" si="58"/>
        <v>0</v>
      </c>
      <c r="V107" s="284">
        <f t="shared" si="59"/>
        <v>2.725E-2</v>
      </c>
      <c r="W107" s="283">
        <f t="shared" si="60"/>
        <v>0</v>
      </c>
      <c r="X107" s="283">
        <f t="shared" si="61"/>
        <v>0</v>
      </c>
      <c r="Y107" s="283">
        <f t="shared" si="62"/>
        <v>0</v>
      </c>
      <c r="Z107" s="285">
        <f t="shared" si="63"/>
        <v>0</v>
      </c>
      <c r="AA107" s="285">
        <f t="shared" si="64"/>
        <v>12.66</v>
      </c>
      <c r="AB107" s="285">
        <f t="shared" si="83"/>
        <v>0</v>
      </c>
      <c r="AC107" s="285">
        <f t="shared" si="84"/>
        <v>0</v>
      </c>
      <c r="AD107" s="285">
        <f t="shared" si="85"/>
        <v>0</v>
      </c>
      <c r="AE107" s="286">
        <v>0</v>
      </c>
      <c r="AF107" s="287">
        <f t="shared" si="65"/>
        <v>0</v>
      </c>
      <c r="AG107" s="288">
        <f t="shared" si="66"/>
        <v>0</v>
      </c>
      <c r="AH107" s="285">
        <f t="shared" si="67"/>
        <v>0</v>
      </c>
      <c r="AI107" s="286">
        <v>0</v>
      </c>
      <c r="AJ107" s="286">
        <v>0</v>
      </c>
      <c r="AK107" s="286">
        <v>0</v>
      </c>
      <c r="AL107" s="285">
        <f t="shared" si="68"/>
        <v>12.66</v>
      </c>
      <c r="AM107" s="285">
        <f t="shared" si="69"/>
        <v>12.66</v>
      </c>
      <c r="AN107" s="289">
        <f t="shared" si="86"/>
        <v>1</v>
      </c>
      <c r="AO107" s="290">
        <f t="shared" si="70"/>
        <v>0.43</v>
      </c>
      <c r="AP107" s="290">
        <f t="shared" si="71"/>
        <v>0</v>
      </c>
      <c r="AQ107" s="290">
        <f t="shared" si="72"/>
        <v>0.23</v>
      </c>
      <c r="AR107" s="290">
        <f t="shared" si="73"/>
        <v>0</v>
      </c>
      <c r="AS107" s="290">
        <f t="shared" si="74"/>
        <v>0</v>
      </c>
      <c r="AT107" s="290">
        <f t="shared" si="75"/>
        <v>13.32</v>
      </c>
      <c r="AU107" s="291">
        <f t="shared" si="76"/>
        <v>13.32</v>
      </c>
      <c r="AV107" s="291">
        <f t="shared" si="46"/>
        <v>0</v>
      </c>
      <c r="AW107" s="292">
        <f t="shared" si="78"/>
        <v>5.34</v>
      </c>
      <c r="AX107" s="293">
        <f t="shared" si="79"/>
        <v>7.32</v>
      </c>
      <c r="BC107" s="276">
        <f>IF(BI107=1,IF(BC106=MiscData!$F$1,EOMONTH(BC106,-11),EOMONTH(BC106,1)),BC106)</f>
        <v>41729</v>
      </c>
      <c r="BD107" s="275" t="str">
        <f t="shared" si="87"/>
        <v>20140101LGMLE570</v>
      </c>
      <c r="BE107" s="294" t="str">
        <f t="shared" si="88"/>
        <v>20140101LE</v>
      </c>
      <c r="BF107">
        <f>MiscData!$X$5</f>
        <v>20140101</v>
      </c>
      <c r="BI107" s="265">
        <f>IF(BI106+1&gt;MiscData!$Z$42,1,BI106+1)</f>
        <v>28</v>
      </c>
      <c r="BJ107" s="265" t="str">
        <f>VLOOKUP(BI107,MiscData!$Z$5:$AB$46,2,FALSE)</f>
        <v>LGMLE570</v>
      </c>
      <c r="BK107" s="265" t="str">
        <f>VLOOKUP(BI107,MiscData!$Z$5:$AB$46,3,FALSE)</f>
        <v>LE</v>
      </c>
    </row>
    <row r="108" spans="1:63" hidden="1">
      <c r="A108" s="275">
        <v>99</v>
      </c>
      <c r="B108" s="276" t="str">
        <f t="shared" si="80"/>
        <v>Mar 2014</v>
      </c>
      <c r="C108" s="277" t="str">
        <f t="shared" si="81"/>
        <v>LE</v>
      </c>
      <c r="D108" s="277" t="str">
        <f t="shared" si="82"/>
        <v>LGMLE571</v>
      </c>
      <c r="E108" s="278">
        <f t="shared" si="48"/>
        <v>157</v>
      </c>
      <c r="F108" s="279">
        <v>0</v>
      </c>
      <c r="G108" s="278">
        <f t="shared" si="49"/>
        <v>0</v>
      </c>
      <c r="H108" s="278">
        <f t="shared" si="50"/>
        <v>0</v>
      </c>
      <c r="I108" s="278">
        <f t="shared" si="51"/>
        <v>0</v>
      </c>
      <c r="J108" s="278">
        <f t="shared" si="52"/>
        <v>177718</v>
      </c>
      <c r="K108" s="280">
        <v>0</v>
      </c>
      <c r="L108" s="281">
        <f t="shared" si="53"/>
        <v>0</v>
      </c>
      <c r="M108" s="281">
        <f t="shared" si="54"/>
        <v>0</v>
      </c>
      <c r="N108" s="281">
        <f t="shared" si="55"/>
        <v>0</v>
      </c>
      <c r="O108" s="282">
        <v>0</v>
      </c>
      <c r="P108" s="282">
        <v>0</v>
      </c>
      <c r="Q108" s="282">
        <v>0</v>
      </c>
      <c r="R108" s="283">
        <f t="shared" si="56"/>
        <v>0</v>
      </c>
      <c r="S108" s="284">
        <f t="shared" si="90"/>
        <v>6.4610000000000001E-2</v>
      </c>
      <c r="T108" s="284">
        <f t="shared" si="57"/>
        <v>0</v>
      </c>
      <c r="U108" s="284">
        <f t="shared" si="58"/>
        <v>0</v>
      </c>
      <c r="V108" s="284">
        <f t="shared" si="59"/>
        <v>2.725E-2</v>
      </c>
      <c r="W108" s="283">
        <f t="shared" si="60"/>
        <v>0</v>
      </c>
      <c r="X108" s="283">
        <f t="shared" si="61"/>
        <v>0</v>
      </c>
      <c r="Y108" s="283">
        <f t="shared" si="62"/>
        <v>0</v>
      </c>
      <c r="Z108" s="285">
        <f t="shared" si="63"/>
        <v>0</v>
      </c>
      <c r="AA108" s="285">
        <f t="shared" si="64"/>
        <v>11482.36</v>
      </c>
      <c r="AB108" s="285">
        <f t="shared" si="83"/>
        <v>0</v>
      </c>
      <c r="AC108" s="285">
        <f t="shared" si="84"/>
        <v>0</v>
      </c>
      <c r="AD108" s="285">
        <f t="shared" si="85"/>
        <v>0</v>
      </c>
      <c r="AE108" s="286">
        <v>0</v>
      </c>
      <c r="AF108" s="287">
        <f t="shared" si="65"/>
        <v>0</v>
      </c>
      <c r="AG108" s="288">
        <f t="shared" si="66"/>
        <v>0</v>
      </c>
      <c r="AH108" s="285">
        <f t="shared" si="67"/>
        <v>0</v>
      </c>
      <c r="AI108" s="286">
        <v>0</v>
      </c>
      <c r="AJ108" s="286">
        <v>0.02</v>
      </c>
      <c r="AK108" s="286">
        <v>0</v>
      </c>
      <c r="AL108" s="285">
        <f t="shared" si="68"/>
        <v>11482.380000000001</v>
      </c>
      <c r="AM108" s="285">
        <f t="shared" si="69"/>
        <v>11482.38</v>
      </c>
      <c r="AN108" s="289">
        <f t="shared" si="86"/>
        <v>1</v>
      </c>
      <c r="AO108" s="290">
        <f t="shared" si="70"/>
        <v>382.94</v>
      </c>
      <c r="AP108" s="290">
        <f t="shared" si="71"/>
        <v>0</v>
      </c>
      <c r="AQ108" s="290">
        <f t="shared" si="72"/>
        <v>222.83</v>
      </c>
      <c r="AR108" s="290">
        <f t="shared" si="73"/>
        <v>0</v>
      </c>
      <c r="AS108" s="290">
        <f t="shared" si="74"/>
        <v>0</v>
      </c>
      <c r="AT108" s="290">
        <f t="shared" si="75"/>
        <v>12088.15</v>
      </c>
      <c r="AU108" s="291">
        <f t="shared" si="76"/>
        <v>12088.150000000001</v>
      </c>
      <c r="AV108" s="291">
        <f t="shared" ref="AV108:AV171" si="91">AT108-AU108</f>
        <v>0</v>
      </c>
      <c r="AW108" s="292">
        <f t="shared" si="78"/>
        <v>4842.82</v>
      </c>
      <c r="AX108" s="293">
        <f t="shared" si="79"/>
        <v>6639.5600000000013</v>
      </c>
      <c r="BC108" s="276">
        <f>IF(BI108=1,IF(BC107=MiscData!$F$1,EOMONTH(BC107,-11),EOMONTH(BC107,1)),BC107)</f>
        <v>41729</v>
      </c>
      <c r="BD108" s="275" t="str">
        <f t="shared" si="87"/>
        <v>20140101LGMLE571</v>
      </c>
      <c r="BE108" s="294" t="str">
        <f t="shared" si="88"/>
        <v>20140101LE</v>
      </c>
      <c r="BF108">
        <f>MiscData!$X$5</f>
        <v>20140101</v>
      </c>
      <c r="BI108" s="265">
        <f>IF(BI107+1&gt;MiscData!$Z$42,1,BI107+1)</f>
        <v>29</v>
      </c>
      <c r="BJ108" s="265" t="str">
        <f>VLOOKUP(BI108,MiscData!$Z$5:$AB$46,2,FALSE)</f>
        <v>LGMLE571</v>
      </c>
      <c r="BK108" s="265" t="str">
        <f>VLOOKUP(BI108,MiscData!$Z$5:$AB$46,3,FALSE)</f>
        <v>LE</v>
      </c>
    </row>
    <row r="109" spans="1:63" hidden="1">
      <c r="A109" s="275">
        <v>100</v>
      </c>
      <c r="B109" s="276" t="str">
        <f t="shared" si="80"/>
        <v>Mar 2014</v>
      </c>
      <c r="C109" s="277" t="str">
        <f t="shared" si="81"/>
        <v>LE</v>
      </c>
      <c r="D109" s="277" t="str">
        <f t="shared" si="82"/>
        <v>LGMLE572</v>
      </c>
      <c r="E109" s="278">
        <f t="shared" si="48"/>
        <v>13</v>
      </c>
      <c r="F109" s="279">
        <v>0</v>
      </c>
      <c r="G109" s="278">
        <f t="shared" si="49"/>
        <v>0</v>
      </c>
      <c r="H109" s="278">
        <f t="shared" si="50"/>
        <v>0</v>
      </c>
      <c r="I109" s="278">
        <f t="shared" si="51"/>
        <v>0</v>
      </c>
      <c r="J109" s="278">
        <f t="shared" si="52"/>
        <v>87003</v>
      </c>
      <c r="K109" s="280">
        <v>0</v>
      </c>
      <c r="L109" s="281">
        <f t="shared" si="53"/>
        <v>0</v>
      </c>
      <c r="M109" s="281">
        <f t="shared" si="54"/>
        <v>0</v>
      </c>
      <c r="N109" s="281">
        <f t="shared" si="55"/>
        <v>0</v>
      </c>
      <c r="O109" s="282">
        <v>0</v>
      </c>
      <c r="P109" s="282">
        <v>0</v>
      </c>
      <c r="Q109" s="282">
        <v>0</v>
      </c>
      <c r="R109" s="283">
        <f t="shared" si="56"/>
        <v>0</v>
      </c>
      <c r="S109" s="284">
        <f t="shared" si="90"/>
        <v>6.4610000000000001E-2</v>
      </c>
      <c r="T109" s="284">
        <f t="shared" si="57"/>
        <v>0</v>
      </c>
      <c r="U109" s="284">
        <f t="shared" si="58"/>
        <v>0</v>
      </c>
      <c r="V109" s="284">
        <f t="shared" si="59"/>
        <v>2.725E-2</v>
      </c>
      <c r="W109" s="283">
        <f t="shared" si="60"/>
        <v>0</v>
      </c>
      <c r="X109" s="283">
        <f t="shared" si="61"/>
        <v>0</v>
      </c>
      <c r="Y109" s="283">
        <f t="shared" si="62"/>
        <v>0</v>
      </c>
      <c r="Z109" s="285">
        <f t="shared" si="63"/>
        <v>0</v>
      </c>
      <c r="AA109" s="285">
        <f t="shared" si="64"/>
        <v>5621.26</v>
      </c>
      <c r="AB109" s="285">
        <f t="shared" si="83"/>
        <v>0</v>
      </c>
      <c r="AC109" s="285">
        <f t="shared" si="84"/>
        <v>0</v>
      </c>
      <c r="AD109" s="285">
        <f t="shared" si="85"/>
        <v>0</v>
      </c>
      <c r="AE109" s="286">
        <v>0</v>
      </c>
      <c r="AF109" s="287">
        <f t="shared" si="65"/>
        <v>0</v>
      </c>
      <c r="AG109" s="288">
        <f t="shared" si="66"/>
        <v>0</v>
      </c>
      <c r="AH109" s="285">
        <f t="shared" si="67"/>
        <v>0</v>
      </c>
      <c r="AI109" s="286">
        <v>0</v>
      </c>
      <c r="AJ109" s="286">
        <v>-0.01</v>
      </c>
      <c r="AK109" s="286">
        <v>0</v>
      </c>
      <c r="AL109" s="285">
        <f t="shared" si="68"/>
        <v>5621.25</v>
      </c>
      <c r="AM109" s="285">
        <f t="shared" si="69"/>
        <v>5621.25</v>
      </c>
      <c r="AN109" s="289">
        <f t="shared" si="86"/>
        <v>1</v>
      </c>
      <c r="AO109" s="290">
        <f t="shared" si="70"/>
        <v>190.75</v>
      </c>
      <c r="AP109" s="290">
        <f t="shared" si="71"/>
        <v>0</v>
      </c>
      <c r="AQ109" s="290">
        <f t="shared" si="72"/>
        <v>103.46</v>
      </c>
      <c r="AR109" s="290">
        <f t="shared" si="73"/>
        <v>0</v>
      </c>
      <c r="AS109" s="290">
        <f t="shared" si="74"/>
        <v>0</v>
      </c>
      <c r="AT109" s="290">
        <f t="shared" si="75"/>
        <v>5915.46</v>
      </c>
      <c r="AU109" s="291">
        <f t="shared" si="76"/>
        <v>5915.46</v>
      </c>
      <c r="AV109" s="291">
        <f t="shared" ref="AV109:AV115" si="92">ROUND(AT109-AU109,2)</f>
        <v>0</v>
      </c>
      <c r="AW109" s="292">
        <f t="shared" si="78"/>
        <v>2370.83</v>
      </c>
      <c r="AX109" s="293">
        <f t="shared" si="79"/>
        <v>3250.42</v>
      </c>
      <c r="BC109" s="276">
        <f>IF(BI109=1,IF(BC108=MiscData!$F$1,EOMONTH(BC108,-11),EOMONTH(BC108,1)),BC108)</f>
        <v>41729</v>
      </c>
      <c r="BD109" s="275" t="str">
        <f t="shared" si="87"/>
        <v>20140101LGMLE572</v>
      </c>
      <c r="BE109" s="294" t="str">
        <f t="shared" si="88"/>
        <v>20140101LE</v>
      </c>
      <c r="BF109">
        <f>MiscData!$X$5</f>
        <v>20140101</v>
      </c>
      <c r="BI109" s="265">
        <f>IF(BI108+1&gt;MiscData!$Z$42,1,BI108+1)</f>
        <v>30</v>
      </c>
      <c r="BJ109" s="265" t="str">
        <f>VLOOKUP(BI109,MiscData!$Z$5:$AB$46,2,FALSE)</f>
        <v>LGMLE572</v>
      </c>
      <c r="BK109" s="265" t="str">
        <f>VLOOKUP(BI109,MiscData!$Z$5:$AB$46,3,FALSE)</f>
        <v>LE</v>
      </c>
    </row>
    <row r="110" spans="1:63" hidden="1">
      <c r="A110" s="275">
        <v>101</v>
      </c>
      <c r="B110" s="276" t="str">
        <f t="shared" si="80"/>
        <v>Mar 2014</v>
      </c>
      <c r="C110" s="277" t="str">
        <f t="shared" si="81"/>
        <v>TE</v>
      </c>
      <c r="D110" s="277" t="str">
        <f t="shared" si="82"/>
        <v>LGMLE573</v>
      </c>
      <c r="E110" s="278">
        <f t="shared" si="48"/>
        <v>898</v>
      </c>
      <c r="F110" s="279">
        <v>-63</v>
      </c>
      <c r="G110" s="278">
        <f t="shared" si="49"/>
        <v>0</v>
      </c>
      <c r="H110" s="278">
        <f t="shared" si="50"/>
        <v>0</v>
      </c>
      <c r="I110" s="278">
        <f t="shared" si="51"/>
        <v>0</v>
      </c>
      <c r="J110" s="278">
        <f t="shared" si="52"/>
        <v>186880</v>
      </c>
      <c r="K110" s="280">
        <v>0</v>
      </c>
      <c r="L110" s="281">
        <f t="shared" si="53"/>
        <v>0</v>
      </c>
      <c r="M110" s="281">
        <f t="shared" si="54"/>
        <v>0</v>
      </c>
      <c r="N110" s="281">
        <f t="shared" si="55"/>
        <v>0</v>
      </c>
      <c r="O110" s="282">
        <v>0</v>
      </c>
      <c r="P110" s="282">
        <v>0</v>
      </c>
      <c r="Q110" s="282">
        <v>0</v>
      </c>
      <c r="R110" s="283">
        <f t="shared" si="56"/>
        <v>3.25</v>
      </c>
      <c r="S110" s="284">
        <f t="shared" si="90"/>
        <v>7.6579999999999995E-2</v>
      </c>
      <c r="T110" s="284">
        <f t="shared" si="57"/>
        <v>0</v>
      </c>
      <c r="U110" s="284">
        <f t="shared" si="58"/>
        <v>0</v>
      </c>
      <c r="V110" s="284">
        <f t="shared" si="59"/>
        <v>2.725E-2</v>
      </c>
      <c r="W110" s="283">
        <f t="shared" si="60"/>
        <v>0</v>
      </c>
      <c r="X110" s="283">
        <f t="shared" si="61"/>
        <v>0</v>
      </c>
      <c r="Y110" s="283">
        <f t="shared" si="62"/>
        <v>0</v>
      </c>
      <c r="Z110" s="285">
        <f t="shared" si="63"/>
        <v>2713.75</v>
      </c>
      <c r="AA110" s="285">
        <f t="shared" si="64"/>
        <v>14311.27</v>
      </c>
      <c r="AB110" s="285">
        <f t="shared" si="83"/>
        <v>0</v>
      </c>
      <c r="AC110" s="285">
        <f t="shared" si="84"/>
        <v>0</v>
      </c>
      <c r="AD110" s="285">
        <f t="shared" si="85"/>
        <v>0</v>
      </c>
      <c r="AE110" s="286">
        <v>0</v>
      </c>
      <c r="AF110" s="287">
        <f t="shared" si="65"/>
        <v>0</v>
      </c>
      <c r="AG110" s="288">
        <f t="shared" si="66"/>
        <v>0</v>
      </c>
      <c r="AH110" s="285">
        <f t="shared" si="67"/>
        <v>0</v>
      </c>
      <c r="AI110" s="286">
        <v>208</v>
      </c>
      <c r="AJ110" s="286">
        <v>0.08</v>
      </c>
      <c r="AK110" s="286">
        <v>0</v>
      </c>
      <c r="AL110" s="285">
        <f t="shared" si="68"/>
        <v>17233.100000000002</v>
      </c>
      <c r="AM110" s="285">
        <f t="shared" si="69"/>
        <v>17233.099999999999</v>
      </c>
      <c r="AN110" s="289">
        <f t="shared" si="86"/>
        <v>1</v>
      </c>
      <c r="AO110" s="290">
        <f t="shared" si="70"/>
        <v>401.61</v>
      </c>
      <c r="AP110" s="290">
        <f t="shared" si="71"/>
        <v>0</v>
      </c>
      <c r="AQ110" s="290">
        <f t="shared" si="72"/>
        <v>333.31</v>
      </c>
      <c r="AR110" s="290">
        <f t="shared" si="73"/>
        <v>0</v>
      </c>
      <c r="AS110" s="290">
        <f t="shared" si="74"/>
        <v>0</v>
      </c>
      <c r="AT110" s="290">
        <f t="shared" si="75"/>
        <v>17968.02</v>
      </c>
      <c r="AU110" s="291">
        <f t="shared" si="76"/>
        <v>17968.020000000004</v>
      </c>
      <c r="AV110" s="291">
        <f t="shared" si="92"/>
        <v>0</v>
      </c>
      <c r="AW110" s="292">
        <f t="shared" si="78"/>
        <v>5092.4799999999996</v>
      </c>
      <c r="AX110" s="293">
        <f t="shared" si="79"/>
        <v>9218.8700000000008</v>
      </c>
      <c r="BC110" s="276">
        <f>IF(BI110=1,IF(BC109=MiscData!$F$1,EOMONTH(BC109,-11),EOMONTH(BC109,1)),BC109)</f>
        <v>41729</v>
      </c>
      <c r="BD110" s="275" t="str">
        <f t="shared" si="87"/>
        <v>20140101LGMLE573</v>
      </c>
      <c r="BE110" s="294" t="str">
        <f t="shared" si="88"/>
        <v>20140101TE</v>
      </c>
      <c r="BF110">
        <f>MiscData!$X$5</f>
        <v>20140101</v>
      </c>
      <c r="BI110" s="265">
        <f>IF(BI109+1&gt;MiscData!$Z$42,1,BI109+1)</f>
        <v>31</v>
      </c>
      <c r="BJ110" s="265" t="str">
        <f>VLOOKUP(BI110,MiscData!$Z$5:$AB$46,2,FALSE)</f>
        <v>LGMLE573</v>
      </c>
      <c r="BK110" s="265" t="str">
        <f>VLOOKUP(BI110,MiscData!$Z$5:$AB$46,3,FALSE)</f>
        <v>TE</v>
      </c>
    </row>
    <row r="111" spans="1:63" hidden="1">
      <c r="A111" s="275">
        <v>102</v>
      </c>
      <c r="B111" s="276" t="str">
        <f t="shared" si="80"/>
        <v>Mar 2014</v>
      </c>
      <c r="C111" s="277" t="str">
        <f t="shared" si="81"/>
        <v>TE</v>
      </c>
      <c r="D111" s="277" t="str">
        <f t="shared" si="82"/>
        <v>LGMLE574</v>
      </c>
      <c r="E111" s="278">
        <f t="shared" si="48"/>
        <v>8</v>
      </c>
      <c r="F111" s="279">
        <v>126</v>
      </c>
      <c r="G111" s="278">
        <f t="shared" si="49"/>
        <v>0</v>
      </c>
      <c r="H111" s="278">
        <f t="shared" si="50"/>
        <v>0</v>
      </c>
      <c r="I111" s="278">
        <f t="shared" si="51"/>
        <v>0</v>
      </c>
      <c r="J111" s="278">
        <f t="shared" si="52"/>
        <v>68742</v>
      </c>
      <c r="K111" s="280">
        <v>0</v>
      </c>
      <c r="L111" s="281">
        <f t="shared" si="53"/>
        <v>0</v>
      </c>
      <c r="M111" s="281">
        <f t="shared" si="54"/>
        <v>0</v>
      </c>
      <c r="N111" s="281">
        <f t="shared" si="55"/>
        <v>0</v>
      </c>
      <c r="O111" s="282">
        <v>0</v>
      </c>
      <c r="P111" s="282">
        <v>0</v>
      </c>
      <c r="Q111" s="282">
        <v>0</v>
      </c>
      <c r="R111" s="283">
        <f t="shared" si="56"/>
        <v>3.25</v>
      </c>
      <c r="S111" s="284">
        <f t="shared" si="90"/>
        <v>7.6579999999999995E-2</v>
      </c>
      <c r="T111" s="284">
        <f t="shared" si="57"/>
        <v>0</v>
      </c>
      <c r="U111" s="284">
        <f t="shared" si="58"/>
        <v>0</v>
      </c>
      <c r="V111" s="284">
        <f t="shared" si="59"/>
        <v>2.725E-2</v>
      </c>
      <c r="W111" s="283">
        <f t="shared" si="60"/>
        <v>0</v>
      </c>
      <c r="X111" s="283">
        <f t="shared" si="61"/>
        <v>0</v>
      </c>
      <c r="Y111" s="283">
        <f t="shared" si="62"/>
        <v>0</v>
      </c>
      <c r="Z111" s="285">
        <f t="shared" si="63"/>
        <v>435.5</v>
      </c>
      <c r="AA111" s="285">
        <f t="shared" si="64"/>
        <v>5264.26</v>
      </c>
      <c r="AB111" s="285">
        <f t="shared" si="83"/>
        <v>0</v>
      </c>
      <c r="AC111" s="285">
        <f t="shared" si="84"/>
        <v>0</v>
      </c>
      <c r="AD111" s="285">
        <f t="shared" si="85"/>
        <v>0</v>
      </c>
      <c r="AE111" s="286">
        <v>0</v>
      </c>
      <c r="AF111" s="287">
        <f t="shared" si="65"/>
        <v>0</v>
      </c>
      <c r="AG111" s="288">
        <f t="shared" si="66"/>
        <v>0</v>
      </c>
      <c r="AH111" s="285">
        <f t="shared" si="67"/>
        <v>0</v>
      </c>
      <c r="AI111" s="286">
        <v>0</v>
      </c>
      <c r="AJ111" s="286">
        <v>0</v>
      </c>
      <c r="AK111" s="286">
        <v>0</v>
      </c>
      <c r="AL111" s="285">
        <f t="shared" si="68"/>
        <v>5699.76</v>
      </c>
      <c r="AM111" s="285">
        <f t="shared" si="69"/>
        <v>5699.76</v>
      </c>
      <c r="AN111" s="289">
        <f t="shared" si="86"/>
        <v>1</v>
      </c>
      <c r="AO111" s="290">
        <f t="shared" si="70"/>
        <v>151.24</v>
      </c>
      <c r="AP111" s="290">
        <f t="shared" si="71"/>
        <v>0</v>
      </c>
      <c r="AQ111" s="290">
        <f t="shared" si="72"/>
        <v>102.97</v>
      </c>
      <c r="AR111" s="290">
        <f t="shared" si="73"/>
        <v>0</v>
      </c>
      <c r="AS111" s="290">
        <f t="shared" si="74"/>
        <v>0</v>
      </c>
      <c r="AT111" s="290">
        <f t="shared" si="75"/>
        <v>5953.97</v>
      </c>
      <c r="AU111" s="291">
        <f t="shared" si="76"/>
        <v>5953.97</v>
      </c>
      <c r="AV111" s="291">
        <f t="shared" si="92"/>
        <v>0</v>
      </c>
      <c r="AW111" s="292">
        <f t="shared" si="78"/>
        <v>1873.22</v>
      </c>
      <c r="AX111" s="293">
        <f t="shared" si="79"/>
        <v>3391.04</v>
      </c>
      <c r="BC111" s="276">
        <f>IF(BI111=1,IF(BC110=MiscData!$F$1,EOMONTH(BC110,-11),EOMONTH(BC110,1)),BC110)</f>
        <v>41729</v>
      </c>
      <c r="BD111" s="275" t="str">
        <f t="shared" si="87"/>
        <v>20140101LGMLE574</v>
      </c>
      <c r="BE111" s="294" t="str">
        <f t="shared" si="88"/>
        <v>20140101TE</v>
      </c>
      <c r="BF111">
        <f>MiscData!$X$5</f>
        <v>20140101</v>
      </c>
      <c r="BI111" s="265">
        <f>IF(BI110+1&gt;MiscData!$Z$42,1,BI110+1)</f>
        <v>32</v>
      </c>
      <c r="BJ111" s="265" t="str">
        <f>VLOOKUP(BI111,MiscData!$Z$5:$AB$46,2,FALSE)</f>
        <v>LGMLE574</v>
      </c>
      <c r="BK111" s="265" t="str">
        <f>VLOOKUP(BI111,MiscData!$Z$5:$AB$46,3,FALSE)</f>
        <v>TE</v>
      </c>
    </row>
    <row r="112" spans="1:63" hidden="1">
      <c r="A112" s="275">
        <v>103</v>
      </c>
      <c r="B112" s="276" t="str">
        <f t="shared" si="80"/>
        <v>Mar 2014</v>
      </c>
      <c r="C112" s="277" t="str">
        <f t="shared" si="81"/>
        <v>RS</v>
      </c>
      <c r="D112" s="277" t="str">
        <f t="shared" si="82"/>
        <v>LGRSE411</v>
      </c>
      <c r="E112" s="278">
        <f t="shared" si="48"/>
        <v>3471</v>
      </c>
      <c r="F112" s="279">
        <f>-E112</f>
        <v>-3471</v>
      </c>
      <c r="G112" s="278">
        <f t="shared" si="49"/>
        <v>0</v>
      </c>
      <c r="H112" s="278">
        <f t="shared" si="50"/>
        <v>0</v>
      </c>
      <c r="I112" s="278">
        <f t="shared" si="51"/>
        <v>0</v>
      </c>
      <c r="J112" s="278">
        <f t="shared" si="52"/>
        <v>927781</v>
      </c>
      <c r="K112" s="280">
        <v>0</v>
      </c>
      <c r="L112" s="281">
        <f t="shared" si="53"/>
        <v>0</v>
      </c>
      <c r="M112" s="281">
        <f t="shared" si="54"/>
        <v>0</v>
      </c>
      <c r="N112" s="281">
        <f t="shared" si="55"/>
        <v>0</v>
      </c>
      <c r="O112" s="282">
        <v>0</v>
      </c>
      <c r="P112" s="282">
        <v>0</v>
      </c>
      <c r="Q112" s="282">
        <v>0</v>
      </c>
      <c r="R112" s="283">
        <f t="shared" si="56"/>
        <v>0</v>
      </c>
      <c r="S112" s="284">
        <f t="shared" si="90"/>
        <v>8.0760000000000012E-2</v>
      </c>
      <c r="T112" s="284">
        <f t="shared" si="57"/>
        <v>0</v>
      </c>
      <c r="U112" s="284">
        <f t="shared" si="58"/>
        <v>0</v>
      </c>
      <c r="V112" s="284">
        <f t="shared" si="59"/>
        <v>2.725E-2</v>
      </c>
      <c r="W112" s="283">
        <f t="shared" si="60"/>
        <v>0</v>
      </c>
      <c r="X112" s="283">
        <f t="shared" si="61"/>
        <v>0</v>
      </c>
      <c r="Y112" s="283">
        <f t="shared" si="62"/>
        <v>0</v>
      </c>
      <c r="Z112" s="285">
        <f t="shared" si="63"/>
        <v>0</v>
      </c>
      <c r="AA112" s="285">
        <f t="shared" si="64"/>
        <v>74927.59</v>
      </c>
      <c r="AB112" s="285">
        <f t="shared" si="83"/>
        <v>0</v>
      </c>
      <c r="AC112" s="285">
        <f t="shared" si="84"/>
        <v>0</v>
      </c>
      <c r="AD112" s="285">
        <f t="shared" si="85"/>
        <v>0</v>
      </c>
      <c r="AE112" s="286">
        <v>0</v>
      </c>
      <c r="AF112" s="287">
        <f t="shared" si="65"/>
        <v>0</v>
      </c>
      <c r="AG112" s="288">
        <f t="shared" si="66"/>
        <v>0</v>
      </c>
      <c r="AH112" s="285">
        <f t="shared" si="67"/>
        <v>0</v>
      </c>
      <c r="AI112" s="286">
        <v>0</v>
      </c>
      <c r="AJ112" s="286">
        <v>-0.11</v>
      </c>
      <c r="AK112" s="286">
        <v>0</v>
      </c>
      <c r="AL112" s="285">
        <f t="shared" si="68"/>
        <v>74927.48</v>
      </c>
      <c r="AM112" s="285">
        <f t="shared" si="69"/>
        <v>74927.48</v>
      </c>
      <c r="AN112" s="289">
        <f t="shared" si="86"/>
        <v>1</v>
      </c>
      <c r="AO112" s="290">
        <f t="shared" si="70"/>
        <v>2043.53</v>
      </c>
      <c r="AP112" s="290">
        <f t="shared" si="71"/>
        <v>4073.15</v>
      </c>
      <c r="AQ112" s="290">
        <f t="shared" si="72"/>
        <v>1422.73</v>
      </c>
      <c r="AR112" s="290">
        <f t="shared" si="73"/>
        <v>0</v>
      </c>
      <c r="AS112" s="290">
        <f t="shared" si="74"/>
        <v>0</v>
      </c>
      <c r="AT112" s="290">
        <f t="shared" si="75"/>
        <v>82466.89</v>
      </c>
      <c r="AU112" s="291">
        <f t="shared" si="76"/>
        <v>82466.889999999985</v>
      </c>
      <c r="AV112" s="291">
        <f t="shared" si="92"/>
        <v>0</v>
      </c>
      <c r="AW112" s="292">
        <f t="shared" si="78"/>
        <v>25282.03</v>
      </c>
      <c r="AX112" s="293">
        <f t="shared" si="79"/>
        <v>49645.45</v>
      </c>
      <c r="BC112" s="276">
        <f>IF(BI112=1,IF(BC111=MiscData!$F$1,EOMONTH(BC111,-11),EOMONTH(BC111,1)),BC111)</f>
        <v>41729</v>
      </c>
      <c r="BD112" s="275" t="str">
        <f t="shared" si="87"/>
        <v>20140101LGRSE411</v>
      </c>
      <c r="BE112" s="294" t="str">
        <f t="shared" si="88"/>
        <v>20140101RS</v>
      </c>
      <c r="BF112">
        <f>MiscData!$X$5</f>
        <v>20140101</v>
      </c>
      <c r="BI112" s="265">
        <f>IF(BI111+1&gt;MiscData!$Z$42,1,BI111+1)</f>
        <v>33</v>
      </c>
      <c r="BJ112" s="265" t="str">
        <f>VLOOKUP(BI112,MiscData!$Z$5:$AB$46,2,FALSE)</f>
        <v>LGRSE411</v>
      </c>
      <c r="BK112" s="265" t="str">
        <f>VLOOKUP(BI112,MiscData!$Z$5:$AB$46,3,FALSE)</f>
        <v>RS</v>
      </c>
    </row>
    <row r="113" spans="1:63" hidden="1">
      <c r="A113" s="275">
        <v>104</v>
      </c>
      <c r="B113" s="276" t="str">
        <f t="shared" si="80"/>
        <v>Mar 2014</v>
      </c>
      <c r="C113" s="277" t="str">
        <f t="shared" si="81"/>
        <v>RS</v>
      </c>
      <c r="D113" s="277" t="str">
        <f t="shared" si="82"/>
        <v>LGRSE511</v>
      </c>
      <c r="E113" s="278">
        <f t="shared" si="48"/>
        <v>353499</v>
      </c>
      <c r="F113" s="279">
        <v>-421</v>
      </c>
      <c r="G113" s="278">
        <f t="shared" si="49"/>
        <v>0</v>
      </c>
      <c r="H113" s="278">
        <f t="shared" si="50"/>
        <v>0</v>
      </c>
      <c r="I113" s="278">
        <f t="shared" si="51"/>
        <v>0</v>
      </c>
      <c r="J113" s="278">
        <f t="shared" si="52"/>
        <v>325379194</v>
      </c>
      <c r="K113" s="280">
        <v>0</v>
      </c>
      <c r="L113" s="281">
        <f t="shared" si="53"/>
        <v>0</v>
      </c>
      <c r="M113" s="281">
        <f t="shared" si="54"/>
        <v>0</v>
      </c>
      <c r="N113" s="281">
        <f t="shared" si="55"/>
        <v>0</v>
      </c>
      <c r="O113" s="282">
        <v>0</v>
      </c>
      <c r="P113" s="282">
        <v>0</v>
      </c>
      <c r="Q113" s="282">
        <v>0</v>
      </c>
      <c r="R113" s="283">
        <f t="shared" si="56"/>
        <v>10.75</v>
      </c>
      <c r="S113" s="284">
        <f t="shared" si="90"/>
        <v>8.0760000000000012E-2</v>
      </c>
      <c r="T113" s="284">
        <f t="shared" si="57"/>
        <v>0</v>
      </c>
      <c r="U113" s="284">
        <f t="shared" si="58"/>
        <v>0</v>
      </c>
      <c r="V113" s="284">
        <f t="shared" si="59"/>
        <v>2.725E-2</v>
      </c>
      <c r="W113" s="283">
        <f t="shared" si="60"/>
        <v>0</v>
      </c>
      <c r="X113" s="283">
        <f t="shared" si="61"/>
        <v>0</v>
      </c>
      <c r="Y113" s="283">
        <f t="shared" si="62"/>
        <v>0</v>
      </c>
      <c r="Z113" s="285">
        <f t="shared" si="63"/>
        <v>3795588.5</v>
      </c>
      <c r="AA113" s="285">
        <f t="shared" si="64"/>
        <v>26277623.710000001</v>
      </c>
      <c r="AB113" s="285">
        <f t="shared" si="83"/>
        <v>0</v>
      </c>
      <c r="AC113" s="285">
        <f t="shared" si="84"/>
        <v>0</v>
      </c>
      <c r="AD113" s="285">
        <f t="shared" si="85"/>
        <v>0</v>
      </c>
      <c r="AE113" s="286">
        <v>0</v>
      </c>
      <c r="AF113" s="287">
        <f t="shared" si="65"/>
        <v>0</v>
      </c>
      <c r="AG113" s="288">
        <f t="shared" si="66"/>
        <v>0</v>
      </c>
      <c r="AH113" s="285">
        <f t="shared" si="67"/>
        <v>0</v>
      </c>
      <c r="AI113" s="286">
        <v>-17146.14</v>
      </c>
      <c r="AJ113" s="286">
        <v>-510.36</v>
      </c>
      <c r="AK113" s="286">
        <v>0</v>
      </c>
      <c r="AL113" s="285">
        <f t="shared" si="68"/>
        <v>30055555.710000001</v>
      </c>
      <c r="AM113" s="285">
        <f t="shared" si="69"/>
        <v>30055555.710000001</v>
      </c>
      <c r="AN113" s="289">
        <f t="shared" si="86"/>
        <v>1</v>
      </c>
      <c r="AO113" s="290">
        <f t="shared" si="70"/>
        <v>716073.8</v>
      </c>
      <c r="AP113" s="290">
        <f t="shared" si="71"/>
        <v>1428321.26</v>
      </c>
      <c r="AQ113" s="290">
        <f t="shared" si="72"/>
        <v>566403.81999999995</v>
      </c>
      <c r="AR113" s="290">
        <f t="shared" si="73"/>
        <v>0.67</v>
      </c>
      <c r="AS113" s="290">
        <f t="shared" si="74"/>
        <v>0</v>
      </c>
      <c r="AT113" s="290">
        <f t="shared" si="75"/>
        <v>32766355.260000002</v>
      </c>
      <c r="AU113" s="291">
        <f t="shared" si="76"/>
        <v>32766355.260000005</v>
      </c>
      <c r="AV113" s="291">
        <f t="shared" si="92"/>
        <v>0</v>
      </c>
      <c r="AW113" s="292">
        <f t="shared" si="78"/>
        <v>8866583.0399999991</v>
      </c>
      <c r="AX113" s="293">
        <f t="shared" si="79"/>
        <v>17410530.310000002</v>
      </c>
      <c r="BC113" s="276">
        <f>IF(BI113=1,IF(BC112=MiscData!$F$1,EOMONTH(BC112,-11),EOMONTH(BC112,1)),BC112)</f>
        <v>41729</v>
      </c>
      <c r="BD113" s="275" t="str">
        <f t="shared" si="87"/>
        <v>20140101LGRSE511</v>
      </c>
      <c r="BE113" s="294" t="str">
        <f t="shared" si="88"/>
        <v>20140101RS</v>
      </c>
      <c r="BF113">
        <f>MiscData!$X$5</f>
        <v>20140101</v>
      </c>
      <c r="BI113" s="265">
        <f>IF(BI112+1&gt;MiscData!$Z$42,1,BI112+1)</f>
        <v>34</v>
      </c>
      <c r="BJ113" s="265" t="str">
        <f>VLOOKUP(BI113,MiscData!$Z$5:$AB$46,2,FALSE)</f>
        <v>LGRSE511</v>
      </c>
      <c r="BK113" s="265" t="str">
        <f>VLOOKUP(BI113,MiscData!$Z$5:$AB$46,3,FALSE)</f>
        <v>RS</v>
      </c>
    </row>
    <row r="114" spans="1:63" hidden="1">
      <c r="A114" s="275">
        <v>105</v>
      </c>
      <c r="B114" s="276" t="str">
        <f t="shared" si="80"/>
        <v>Mar 2014</v>
      </c>
      <c r="C114" s="277" t="str">
        <f t="shared" si="81"/>
        <v>RS</v>
      </c>
      <c r="D114" s="277" t="str">
        <f t="shared" si="82"/>
        <v>LGRSE519</v>
      </c>
      <c r="E114" s="278">
        <f t="shared" si="48"/>
        <v>127</v>
      </c>
      <c r="F114" s="279">
        <v>0</v>
      </c>
      <c r="G114" s="278">
        <f t="shared" si="49"/>
        <v>0</v>
      </c>
      <c r="H114" s="278">
        <f t="shared" si="50"/>
        <v>0</v>
      </c>
      <c r="I114" s="278">
        <f t="shared" si="51"/>
        <v>0</v>
      </c>
      <c r="J114" s="278">
        <f t="shared" si="52"/>
        <v>133746</v>
      </c>
      <c r="K114" s="280">
        <v>0</v>
      </c>
      <c r="L114" s="281">
        <f t="shared" si="53"/>
        <v>0</v>
      </c>
      <c r="M114" s="281">
        <f t="shared" si="54"/>
        <v>0</v>
      </c>
      <c r="N114" s="281">
        <f t="shared" si="55"/>
        <v>0</v>
      </c>
      <c r="O114" s="282">
        <v>0</v>
      </c>
      <c r="P114" s="282">
        <v>0</v>
      </c>
      <c r="Q114" s="282">
        <v>0</v>
      </c>
      <c r="R114" s="283">
        <f t="shared" si="56"/>
        <v>10.75</v>
      </c>
      <c r="S114" s="284">
        <f t="shared" si="90"/>
        <v>8.0760000000000012E-2</v>
      </c>
      <c r="T114" s="284">
        <f t="shared" si="57"/>
        <v>0</v>
      </c>
      <c r="U114" s="284">
        <f t="shared" si="58"/>
        <v>0</v>
      </c>
      <c r="V114" s="284">
        <f t="shared" si="59"/>
        <v>2.725E-2</v>
      </c>
      <c r="W114" s="283">
        <f t="shared" si="60"/>
        <v>0</v>
      </c>
      <c r="X114" s="283">
        <f t="shared" si="61"/>
        <v>0</v>
      </c>
      <c r="Y114" s="283">
        <f t="shared" si="62"/>
        <v>0</v>
      </c>
      <c r="Z114" s="285">
        <f t="shared" si="63"/>
        <v>1365.25</v>
      </c>
      <c r="AA114" s="285">
        <f t="shared" si="64"/>
        <v>10801.33</v>
      </c>
      <c r="AB114" s="285">
        <f t="shared" si="83"/>
        <v>0</v>
      </c>
      <c r="AC114" s="285">
        <f t="shared" si="84"/>
        <v>0</v>
      </c>
      <c r="AD114" s="285">
        <f t="shared" si="85"/>
        <v>0</v>
      </c>
      <c r="AE114" s="286">
        <v>0</v>
      </c>
      <c r="AF114" s="287">
        <f t="shared" si="65"/>
        <v>0</v>
      </c>
      <c r="AG114" s="288">
        <f t="shared" si="66"/>
        <v>0</v>
      </c>
      <c r="AH114" s="285">
        <f t="shared" si="67"/>
        <v>0</v>
      </c>
      <c r="AI114" s="286">
        <v>12.9</v>
      </c>
      <c r="AJ114" s="286">
        <v>0</v>
      </c>
      <c r="AK114" s="286">
        <v>0</v>
      </c>
      <c r="AL114" s="285">
        <f t="shared" si="68"/>
        <v>12179.48</v>
      </c>
      <c r="AM114" s="285">
        <f t="shared" si="69"/>
        <v>12179.48</v>
      </c>
      <c r="AN114" s="289">
        <f t="shared" si="86"/>
        <v>1</v>
      </c>
      <c r="AO114" s="290">
        <f t="shared" si="70"/>
        <v>293.74</v>
      </c>
      <c r="AP114" s="290">
        <f t="shared" si="71"/>
        <v>587.20000000000005</v>
      </c>
      <c r="AQ114" s="290">
        <f t="shared" si="72"/>
        <v>231.36</v>
      </c>
      <c r="AR114" s="290">
        <f t="shared" si="73"/>
        <v>0</v>
      </c>
      <c r="AS114" s="290">
        <f t="shared" si="74"/>
        <v>0</v>
      </c>
      <c r="AT114" s="290">
        <f t="shared" si="75"/>
        <v>13291.78</v>
      </c>
      <c r="AU114" s="291">
        <f t="shared" si="76"/>
        <v>13291.78</v>
      </c>
      <c r="AV114" s="291">
        <f t="shared" si="92"/>
        <v>0</v>
      </c>
      <c r="AW114" s="292">
        <f t="shared" si="78"/>
        <v>3644.58</v>
      </c>
      <c r="AX114" s="293">
        <f t="shared" si="79"/>
        <v>7156.75</v>
      </c>
      <c r="BC114" s="276">
        <f>IF(BI114=1,IF(BC113=MiscData!$F$1,EOMONTH(BC113,-11),EOMONTH(BC113,1)),BC113)</f>
        <v>41729</v>
      </c>
      <c r="BD114" s="275" t="str">
        <f t="shared" si="87"/>
        <v>20140101LGRSE519</v>
      </c>
      <c r="BE114" s="294" t="str">
        <f t="shared" si="88"/>
        <v>20140101RS</v>
      </c>
      <c r="BF114">
        <f>MiscData!$X$5</f>
        <v>20140101</v>
      </c>
      <c r="BI114" s="265">
        <f>IF(BI113+1&gt;MiscData!$Z$42,1,BI113+1)</f>
        <v>35</v>
      </c>
      <c r="BJ114" s="265" t="str">
        <f>VLOOKUP(BI114,MiscData!$Z$5:$AB$46,2,FALSE)</f>
        <v>LGRSE519</v>
      </c>
      <c r="BK114" s="265" t="str">
        <f>VLOOKUP(BI114,MiscData!$Z$5:$AB$46,3,FALSE)</f>
        <v>RS</v>
      </c>
    </row>
    <row r="115" spans="1:63" hidden="1">
      <c r="A115" s="275">
        <v>106</v>
      </c>
      <c r="B115" s="276" t="str">
        <f t="shared" si="80"/>
        <v>Mar 2014</v>
      </c>
      <c r="C115" s="277" t="s">
        <v>13</v>
      </c>
      <c r="D115" s="277" t="str">
        <f t="shared" si="82"/>
        <v>LGRSE540</v>
      </c>
      <c r="E115" s="278">
        <f t="shared" si="48"/>
        <v>6</v>
      </c>
      <c r="F115" s="279">
        <v>0</v>
      </c>
      <c r="G115" s="278">
        <f t="shared" si="49"/>
        <v>0</v>
      </c>
      <c r="H115" s="278">
        <f t="shared" si="50"/>
        <v>0</v>
      </c>
      <c r="I115" s="278">
        <f t="shared" si="51"/>
        <v>0</v>
      </c>
      <c r="J115" s="278">
        <f t="shared" si="52"/>
        <v>30870</v>
      </c>
      <c r="K115" s="280">
        <v>0</v>
      </c>
      <c r="L115" s="281">
        <f t="shared" si="53"/>
        <v>0</v>
      </c>
      <c r="M115" s="281">
        <f t="shared" si="54"/>
        <v>0</v>
      </c>
      <c r="N115" s="281">
        <f t="shared" si="55"/>
        <v>0</v>
      </c>
      <c r="O115" s="282">
        <v>0</v>
      </c>
      <c r="P115" s="282">
        <v>0</v>
      </c>
      <c r="Q115" s="282">
        <v>0</v>
      </c>
      <c r="R115" s="283">
        <f t="shared" si="56"/>
        <v>10.75</v>
      </c>
      <c r="S115" s="284">
        <f t="shared" si="90"/>
        <v>8.0760000000000012E-2</v>
      </c>
      <c r="T115" s="284">
        <f t="shared" si="57"/>
        <v>0</v>
      </c>
      <c r="U115" s="284">
        <f t="shared" si="58"/>
        <v>0</v>
      </c>
      <c r="V115" s="284">
        <f t="shared" si="59"/>
        <v>2.725E-2</v>
      </c>
      <c r="W115" s="283">
        <f t="shared" si="60"/>
        <v>0</v>
      </c>
      <c r="X115" s="283">
        <f t="shared" si="61"/>
        <v>0</v>
      </c>
      <c r="Y115" s="283">
        <f t="shared" si="62"/>
        <v>0</v>
      </c>
      <c r="Z115" s="285">
        <f t="shared" si="63"/>
        <v>64.5</v>
      </c>
      <c r="AA115" s="285">
        <f t="shared" si="64"/>
        <v>2493.06</v>
      </c>
      <c r="AB115" s="285">
        <f t="shared" si="83"/>
        <v>0</v>
      </c>
      <c r="AC115" s="285">
        <f t="shared" si="84"/>
        <v>0</v>
      </c>
      <c r="AD115" s="285">
        <f t="shared" si="85"/>
        <v>0</v>
      </c>
      <c r="AE115" s="286">
        <v>0</v>
      </c>
      <c r="AF115" s="287">
        <f t="shared" si="65"/>
        <v>0</v>
      </c>
      <c r="AG115" s="288">
        <f t="shared" si="66"/>
        <v>0</v>
      </c>
      <c r="AH115" s="285">
        <f t="shared" si="67"/>
        <v>0</v>
      </c>
      <c r="AI115" s="286">
        <v>0</v>
      </c>
      <c r="AJ115" s="286">
        <v>0.01</v>
      </c>
      <c r="AK115" s="286">
        <v>0</v>
      </c>
      <c r="AL115" s="285">
        <f t="shared" si="68"/>
        <v>2557.5700000000002</v>
      </c>
      <c r="AM115" s="285">
        <f t="shared" si="69"/>
        <v>2557.5699999999997</v>
      </c>
      <c r="AN115" s="289">
        <f t="shared" si="86"/>
        <v>1</v>
      </c>
      <c r="AO115" s="290">
        <f t="shared" si="70"/>
        <v>67.91</v>
      </c>
      <c r="AP115" s="290">
        <f t="shared" si="71"/>
        <v>135.52000000000001</v>
      </c>
      <c r="AQ115" s="290">
        <f t="shared" si="72"/>
        <v>48.58</v>
      </c>
      <c r="AR115" s="290">
        <f t="shared" si="73"/>
        <v>0</v>
      </c>
      <c r="AS115" s="290">
        <f t="shared" si="74"/>
        <v>0</v>
      </c>
      <c r="AT115" s="290">
        <f t="shared" si="75"/>
        <v>2809.58</v>
      </c>
      <c r="AU115" s="291">
        <f t="shared" si="76"/>
        <v>2809.58</v>
      </c>
      <c r="AV115" s="291">
        <f t="shared" si="92"/>
        <v>0</v>
      </c>
      <c r="AW115" s="292">
        <f t="shared" si="78"/>
        <v>841.21</v>
      </c>
      <c r="AX115" s="293">
        <f t="shared" si="79"/>
        <v>1651.8600000000001</v>
      </c>
      <c r="BC115" s="276">
        <f>IF(BI115=1,IF(BC114=MiscData!$F$1,EOMONTH(BC114,-11),EOMONTH(BC114,1)),BC114)</f>
        <v>41729</v>
      </c>
      <c r="BD115" s="275" t="str">
        <f t="shared" si="87"/>
        <v>20140101LGRSE540</v>
      </c>
      <c r="BE115" s="294" t="str">
        <f t="shared" si="88"/>
        <v>20140101VFD</v>
      </c>
      <c r="BF115">
        <f>MiscData!$X$5</f>
        <v>20140101</v>
      </c>
      <c r="BI115" s="265">
        <f>IF(BI114+1&gt;MiscData!$Z$42,1,BI114+1)</f>
        <v>36</v>
      </c>
      <c r="BJ115" s="265" t="str">
        <f>VLOOKUP(BI115,MiscData!$Z$5:$AB$46,2,FALSE)</f>
        <v>LGRSE540</v>
      </c>
      <c r="BK115" s="265" t="str">
        <f>VLOOKUP(BI115,MiscData!$Z$5:$AB$46,3,FALSE)</f>
        <v>VFD</v>
      </c>
    </row>
    <row r="116" spans="1:63" hidden="1">
      <c r="A116" s="275">
        <v>107</v>
      </c>
      <c r="B116" s="276" t="str">
        <f t="shared" si="80"/>
        <v>Mar 2014</v>
      </c>
      <c r="C116" s="277" t="str">
        <f t="shared" si="81"/>
        <v>LEV</v>
      </c>
      <c r="D116" s="277" t="str">
        <f t="shared" si="82"/>
        <v>LGRSE543</v>
      </c>
      <c r="E116" s="278">
        <f t="shared" si="48"/>
        <v>17</v>
      </c>
      <c r="F116" s="279">
        <v>0</v>
      </c>
      <c r="G116" s="278">
        <f t="shared" si="49"/>
        <v>15238</v>
      </c>
      <c r="H116" s="278">
        <f t="shared" si="50"/>
        <v>7392</v>
      </c>
      <c r="I116" s="278">
        <f t="shared" si="51"/>
        <v>5213</v>
      </c>
      <c r="J116" s="278">
        <f t="shared" si="52"/>
        <v>27843</v>
      </c>
      <c r="K116" s="280">
        <v>0</v>
      </c>
      <c r="L116" s="281">
        <f t="shared" si="53"/>
        <v>0</v>
      </c>
      <c r="M116" s="281">
        <f t="shared" si="54"/>
        <v>0</v>
      </c>
      <c r="N116" s="281">
        <f t="shared" si="55"/>
        <v>0</v>
      </c>
      <c r="O116" s="282">
        <v>0</v>
      </c>
      <c r="P116" s="282">
        <v>0</v>
      </c>
      <c r="Q116" s="282">
        <v>0</v>
      </c>
      <c r="R116" s="283">
        <f t="shared" si="56"/>
        <v>10.75</v>
      </c>
      <c r="S116" s="284">
        <f t="shared" si="90"/>
        <v>5.8200000000000002E-2</v>
      </c>
      <c r="T116" s="284">
        <f t="shared" si="57"/>
        <v>7.8990000000000005E-2</v>
      </c>
      <c r="U116" s="284">
        <f t="shared" si="58"/>
        <v>0.14451000000000003</v>
      </c>
      <c r="V116" s="284">
        <f t="shared" si="59"/>
        <v>2.725E-2</v>
      </c>
      <c r="W116" s="283">
        <f t="shared" si="60"/>
        <v>0</v>
      </c>
      <c r="X116" s="283">
        <f t="shared" si="61"/>
        <v>0</v>
      </c>
      <c r="Y116" s="283">
        <f t="shared" si="62"/>
        <v>0</v>
      </c>
      <c r="Z116" s="285">
        <f t="shared" si="63"/>
        <v>182.75</v>
      </c>
      <c r="AA116" s="285">
        <f t="shared" si="64"/>
        <v>2224.08</v>
      </c>
      <c r="AB116" s="285">
        <f t="shared" si="83"/>
        <v>0</v>
      </c>
      <c r="AC116" s="285">
        <f t="shared" si="84"/>
        <v>0</v>
      </c>
      <c r="AD116" s="285">
        <f t="shared" si="85"/>
        <v>0</v>
      </c>
      <c r="AE116" s="286">
        <v>0</v>
      </c>
      <c r="AF116" s="287">
        <f t="shared" si="65"/>
        <v>0</v>
      </c>
      <c r="AG116" s="288">
        <f t="shared" si="66"/>
        <v>0</v>
      </c>
      <c r="AH116" s="285">
        <f t="shared" si="67"/>
        <v>0</v>
      </c>
      <c r="AI116" s="286">
        <v>-12.47</v>
      </c>
      <c r="AJ116" s="286">
        <v>-0.01</v>
      </c>
      <c r="AK116" s="286">
        <v>0</v>
      </c>
      <c r="AL116" s="285">
        <f t="shared" si="68"/>
        <v>2394.35</v>
      </c>
      <c r="AM116" s="285">
        <f t="shared" si="69"/>
        <v>2394.35</v>
      </c>
      <c r="AN116" s="289">
        <f t="shared" si="86"/>
        <v>1</v>
      </c>
      <c r="AO116" s="290">
        <f t="shared" si="70"/>
        <v>61.26</v>
      </c>
      <c r="AP116" s="290">
        <f t="shared" si="71"/>
        <v>122.24</v>
      </c>
      <c r="AQ116" s="290">
        <f t="shared" si="72"/>
        <v>45.34</v>
      </c>
      <c r="AR116" s="290">
        <f t="shared" si="73"/>
        <v>0</v>
      </c>
      <c r="AS116" s="290">
        <f t="shared" si="74"/>
        <v>0</v>
      </c>
      <c r="AT116" s="290">
        <f t="shared" si="75"/>
        <v>2623.19</v>
      </c>
      <c r="AU116" s="291">
        <f t="shared" si="76"/>
        <v>2623.19</v>
      </c>
      <c r="AV116" s="291">
        <f t="shared" si="91"/>
        <v>0</v>
      </c>
      <c r="AW116" s="292">
        <f t="shared" si="78"/>
        <v>758.72</v>
      </c>
      <c r="AX116" s="293">
        <f t="shared" si="79"/>
        <v>1465.3499999999997</v>
      </c>
      <c r="BC116" s="276">
        <f>IF(BI116=1,IF(BC115=MiscData!$F$1,EOMONTH(BC115,-11),EOMONTH(BC115,1)),BC115)</f>
        <v>41729</v>
      </c>
      <c r="BD116" s="275" t="str">
        <f t="shared" si="87"/>
        <v>20140101LGRSE543</v>
      </c>
      <c r="BE116" s="294" t="str">
        <f t="shared" si="88"/>
        <v>20140101LEV</v>
      </c>
      <c r="BF116">
        <f>MiscData!$X$5</f>
        <v>20140101</v>
      </c>
      <c r="BI116" s="265">
        <f>IF(BI115+1&gt;MiscData!$Z$42,1,BI115+1)</f>
        <v>37</v>
      </c>
      <c r="BJ116" s="265" t="str">
        <f>VLOOKUP(BI116,MiscData!$Z$5:$AB$46,2,FALSE)</f>
        <v>LGRSE543</v>
      </c>
      <c r="BK116" s="265" t="str">
        <f>VLOOKUP(BI116,MiscData!$Z$5:$AB$46,3,FALSE)</f>
        <v>LEV</v>
      </c>
    </row>
    <row r="117" spans="1:63" hidden="1">
      <c r="A117" s="275">
        <v>108</v>
      </c>
      <c r="B117" s="276" t="str">
        <f t="shared" si="80"/>
        <v>Mar 2014</v>
      </c>
      <c r="C117" s="277" t="str">
        <f t="shared" si="81"/>
        <v>LEV</v>
      </c>
      <c r="D117" s="277" t="str">
        <f t="shared" si="82"/>
        <v>LGRSE547</v>
      </c>
      <c r="E117" s="278">
        <f t="shared" si="48"/>
        <v>1</v>
      </c>
      <c r="F117" s="279">
        <v>0</v>
      </c>
      <c r="G117" s="278">
        <f t="shared" si="49"/>
        <v>89</v>
      </c>
      <c r="H117" s="278">
        <f t="shared" si="50"/>
        <v>0</v>
      </c>
      <c r="I117" s="278">
        <f t="shared" si="51"/>
        <v>0</v>
      </c>
      <c r="J117" s="278">
        <f t="shared" si="52"/>
        <v>89</v>
      </c>
      <c r="K117" s="280">
        <v>0</v>
      </c>
      <c r="L117" s="281">
        <f t="shared" si="53"/>
        <v>0</v>
      </c>
      <c r="M117" s="281">
        <f t="shared" si="54"/>
        <v>0</v>
      </c>
      <c r="N117" s="281">
        <f t="shared" si="55"/>
        <v>0</v>
      </c>
      <c r="O117" s="282">
        <v>0</v>
      </c>
      <c r="P117" s="282">
        <v>0</v>
      </c>
      <c r="Q117" s="282">
        <v>0</v>
      </c>
      <c r="R117" s="283">
        <f t="shared" si="56"/>
        <v>10.75</v>
      </c>
      <c r="S117" s="284">
        <f t="shared" si="90"/>
        <v>5.8200000000000002E-2</v>
      </c>
      <c r="T117" s="284">
        <f t="shared" si="57"/>
        <v>7.8990000000000005E-2</v>
      </c>
      <c r="U117" s="284">
        <f t="shared" si="58"/>
        <v>0.14451000000000003</v>
      </c>
      <c r="V117" s="284">
        <f t="shared" si="59"/>
        <v>2.725E-2</v>
      </c>
      <c r="W117" s="283">
        <f t="shared" si="60"/>
        <v>0</v>
      </c>
      <c r="X117" s="283">
        <f t="shared" si="61"/>
        <v>0</v>
      </c>
      <c r="Y117" s="283">
        <f t="shared" si="62"/>
        <v>0</v>
      </c>
      <c r="Z117" s="285">
        <f t="shared" si="63"/>
        <v>10.75</v>
      </c>
      <c r="AA117" s="285">
        <f t="shared" si="64"/>
        <v>5.18</v>
      </c>
      <c r="AB117" s="285">
        <f t="shared" si="83"/>
        <v>0</v>
      </c>
      <c r="AC117" s="285">
        <f t="shared" si="84"/>
        <v>0</v>
      </c>
      <c r="AD117" s="285">
        <f t="shared" si="85"/>
        <v>0</v>
      </c>
      <c r="AE117" s="286">
        <v>0</v>
      </c>
      <c r="AF117" s="287">
        <f t="shared" si="65"/>
        <v>0</v>
      </c>
      <c r="AG117" s="288">
        <f t="shared" si="66"/>
        <v>0</v>
      </c>
      <c r="AH117" s="285">
        <f t="shared" si="67"/>
        <v>0</v>
      </c>
      <c r="AI117" s="286">
        <v>0</v>
      </c>
      <c r="AJ117" s="286">
        <v>0</v>
      </c>
      <c r="AK117" s="286">
        <v>0</v>
      </c>
      <c r="AL117" s="285">
        <f t="shared" si="68"/>
        <v>15.93</v>
      </c>
      <c r="AM117" s="285">
        <f t="shared" si="69"/>
        <v>15.929999999999998</v>
      </c>
      <c r="AN117" s="289">
        <f t="shared" si="86"/>
        <v>1</v>
      </c>
      <c r="AO117" s="290">
        <f t="shared" si="70"/>
        <v>0.2</v>
      </c>
      <c r="AP117" s="290">
        <f t="shared" si="71"/>
        <v>0.39</v>
      </c>
      <c r="AQ117" s="290">
        <f t="shared" si="72"/>
        <v>0.28999999999999998</v>
      </c>
      <c r="AR117" s="290">
        <f t="shared" si="73"/>
        <v>0</v>
      </c>
      <c r="AS117" s="290">
        <f t="shared" si="74"/>
        <v>0</v>
      </c>
      <c r="AT117" s="290">
        <f t="shared" si="75"/>
        <v>16.809999999999999</v>
      </c>
      <c r="AU117" s="291">
        <f t="shared" si="76"/>
        <v>16.809999999999999</v>
      </c>
      <c r="AV117" s="291">
        <f t="shared" si="91"/>
        <v>0</v>
      </c>
      <c r="AW117" s="292">
        <f t="shared" si="78"/>
        <v>2.4300000000000002</v>
      </c>
      <c r="AX117" s="293">
        <f t="shared" si="79"/>
        <v>2.7499999999999996</v>
      </c>
      <c r="BC117" s="276">
        <f>IF(BI117=1,IF(BC116=MiscData!$F$1,EOMONTH(BC116,-11),EOMONTH(BC116,1)),BC116)</f>
        <v>41729</v>
      </c>
      <c r="BD117" s="275" t="str">
        <f t="shared" si="87"/>
        <v>20140101LGRSE547</v>
      </c>
      <c r="BE117" s="294" t="str">
        <f t="shared" si="88"/>
        <v>20140101LEV</v>
      </c>
      <c r="BF117">
        <f>MiscData!$X$5</f>
        <v>20140101</v>
      </c>
      <c r="BI117" s="265">
        <f>IF(BI116+1&gt;MiscData!$Z$42,1,BI116+1)</f>
        <v>38</v>
      </c>
      <c r="BJ117" s="265" t="str">
        <f>VLOOKUP(BI117,MiscData!$Z$5:$AB$46,2,FALSE)</f>
        <v>LGRSE547</v>
      </c>
      <c r="BK117" s="265" t="str">
        <f>VLOOKUP(BI117,MiscData!$Z$5:$AB$46,3,FALSE)</f>
        <v>LEV</v>
      </c>
    </row>
    <row r="118" spans="1:63" hidden="1">
      <c r="A118" s="275">
        <v>109</v>
      </c>
      <c r="B118" s="276" t="str">
        <f t="shared" si="80"/>
        <v>Apr 2014</v>
      </c>
      <c r="C118" s="277" t="str">
        <f t="shared" si="81"/>
        <v>FLSP</v>
      </c>
      <c r="D118" s="277" t="str">
        <f t="shared" si="82"/>
        <v>LGINE682</v>
      </c>
      <c r="E118" s="278">
        <f t="shared" si="48"/>
        <v>0</v>
      </c>
      <c r="F118" s="279">
        <v>0</v>
      </c>
      <c r="G118" s="278">
        <f t="shared" si="49"/>
        <v>0</v>
      </c>
      <c r="H118" s="278">
        <f t="shared" si="50"/>
        <v>0</v>
      </c>
      <c r="I118" s="278">
        <f t="shared" si="51"/>
        <v>0</v>
      </c>
      <c r="J118" s="278">
        <f t="shared" si="52"/>
        <v>0</v>
      </c>
      <c r="K118" s="280">
        <v>0</v>
      </c>
      <c r="L118" s="281">
        <f t="shared" si="53"/>
        <v>0</v>
      </c>
      <c r="M118" s="281">
        <f t="shared" si="54"/>
        <v>0</v>
      </c>
      <c r="N118" s="281">
        <f t="shared" si="55"/>
        <v>0</v>
      </c>
      <c r="O118" s="282">
        <v>0</v>
      </c>
      <c r="P118" s="282">
        <v>0</v>
      </c>
      <c r="Q118" s="282">
        <v>0</v>
      </c>
      <c r="R118" s="283">
        <f t="shared" si="56"/>
        <v>750</v>
      </c>
      <c r="S118" s="284">
        <f t="shared" si="90"/>
        <v>3.61E-2</v>
      </c>
      <c r="T118" s="284">
        <f t="shared" si="57"/>
        <v>0</v>
      </c>
      <c r="U118" s="284">
        <f t="shared" si="58"/>
        <v>0</v>
      </c>
      <c r="V118" s="284">
        <f t="shared" si="59"/>
        <v>2.725E-2</v>
      </c>
      <c r="W118" s="283">
        <f t="shared" si="60"/>
        <v>1.8900000000000001</v>
      </c>
      <c r="X118" s="283">
        <f t="shared" si="61"/>
        <v>1.8900000000000001</v>
      </c>
      <c r="Y118" s="283">
        <f t="shared" si="62"/>
        <v>2.94</v>
      </c>
      <c r="Z118" s="285">
        <f t="shared" si="63"/>
        <v>0</v>
      </c>
      <c r="AA118" s="285">
        <f t="shared" si="64"/>
        <v>0</v>
      </c>
      <c r="AB118" s="285">
        <f t="shared" si="83"/>
        <v>0</v>
      </c>
      <c r="AC118" s="285">
        <f t="shared" si="84"/>
        <v>0</v>
      </c>
      <c r="AD118" s="285">
        <f t="shared" si="85"/>
        <v>0</v>
      </c>
      <c r="AE118" s="286">
        <v>0</v>
      </c>
      <c r="AF118" s="287">
        <f t="shared" si="65"/>
        <v>0</v>
      </c>
      <c r="AG118" s="288">
        <f t="shared" si="66"/>
        <v>0</v>
      </c>
      <c r="AH118" s="285">
        <f t="shared" si="67"/>
        <v>0</v>
      </c>
      <c r="AI118" s="286">
        <v>0</v>
      </c>
      <c r="AJ118" s="286">
        <v>0</v>
      </c>
      <c r="AK118" s="286">
        <v>0</v>
      </c>
      <c r="AL118" s="285">
        <f t="shared" si="68"/>
        <v>0</v>
      </c>
      <c r="AM118" s="285">
        <f t="shared" si="69"/>
        <v>0</v>
      </c>
      <c r="AN118" s="289">
        <f t="shared" si="86"/>
        <v>1</v>
      </c>
      <c r="AO118" s="290">
        <f t="shared" si="70"/>
        <v>0</v>
      </c>
      <c r="AP118" s="290">
        <f t="shared" si="71"/>
        <v>0</v>
      </c>
      <c r="AQ118" s="290">
        <f t="shared" si="72"/>
        <v>0</v>
      </c>
      <c r="AR118" s="290">
        <f t="shared" si="73"/>
        <v>0</v>
      </c>
      <c r="AS118" s="290">
        <f t="shared" si="74"/>
        <v>0</v>
      </c>
      <c r="AT118" s="290">
        <f t="shared" si="75"/>
        <v>0</v>
      </c>
      <c r="AU118" s="291">
        <f t="shared" si="76"/>
        <v>0</v>
      </c>
      <c r="AV118" s="291">
        <f t="shared" si="91"/>
        <v>0</v>
      </c>
      <c r="AW118" s="292">
        <f t="shared" si="78"/>
        <v>0</v>
      </c>
      <c r="AX118" s="293">
        <f t="shared" si="79"/>
        <v>0</v>
      </c>
      <c r="BC118" s="276">
        <f>IF(BI118=1,IF(BC117=MiscData!$F$1,EOMONTH(BC117,-11),EOMONTH(BC117,1)),BC117)</f>
        <v>41759</v>
      </c>
      <c r="BD118" s="275" t="str">
        <f t="shared" si="87"/>
        <v>20140101LGINE682</v>
      </c>
      <c r="BE118" s="294" t="str">
        <f t="shared" si="88"/>
        <v>20140101FLSP</v>
      </c>
      <c r="BF118">
        <f>MiscData!$X$5</f>
        <v>20140101</v>
      </c>
      <c r="BI118" s="265">
        <f>IF(BI117+1&gt;MiscData!$Z$42,1,BI117+1)</f>
        <v>1</v>
      </c>
      <c r="BJ118" s="265" t="str">
        <f>VLOOKUP(BI118,MiscData!$Z$5:$AB$46,2,FALSE)</f>
        <v>LGINE682</v>
      </c>
      <c r="BK118" s="265" t="str">
        <f>VLOOKUP(BI118,MiscData!$Z$5:$AB$46,3,FALSE)</f>
        <v>FLSP</v>
      </c>
    </row>
    <row r="119" spans="1:63" hidden="1">
      <c r="A119" s="275">
        <v>110</v>
      </c>
      <c r="B119" s="276" t="str">
        <f t="shared" si="80"/>
        <v>Apr 2014</v>
      </c>
      <c r="C119" s="277" t="str">
        <f t="shared" si="81"/>
        <v>FLST</v>
      </c>
      <c r="D119" s="277" t="str">
        <f t="shared" si="82"/>
        <v>LGINE683</v>
      </c>
      <c r="E119" s="278">
        <f t="shared" si="48"/>
        <v>0</v>
      </c>
      <c r="F119" s="279">
        <v>0</v>
      </c>
      <c r="G119" s="278">
        <f t="shared" si="49"/>
        <v>0</v>
      </c>
      <c r="H119" s="278">
        <f t="shared" si="50"/>
        <v>0</v>
      </c>
      <c r="I119" s="278">
        <f t="shared" si="51"/>
        <v>0</v>
      </c>
      <c r="J119" s="278">
        <f t="shared" si="52"/>
        <v>0</v>
      </c>
      <c r="K119" s="280">
        <v>0</v>
      </c>
      <c r="L119" s="281">
        <f t="shared" si="53"/>
        <v>0</v>
      </c>
      <c r="M119" s="281">
        <f t="shared" si="54"/>
        <v>0</v>
      </c>
      <c r="N119" s="281">
        <f t="shared" si="55"/>
        <v>0</v>
      </c>
      <c r="O119" s="282">
        <v>0</v>
      </c>
      <c r="P119" s="282">
        <v>0</v>
      </c>
      <c r="Q119" s="282">
        <v>0</v>
      </c>
      <c r="R119" s="283">
        <f t="shared" si="56"/>
        <v>750</v>
      </c>
      <c r="S119" s="284">
        <f t="shared" si="90"/>
        <v>3.61E-2</v>
      </c>
      <c r="T119" s="284">
        <f t="shared" si="57"/>
        <v>0</v>
      </c>
      <c r="U119" s="284">
        <f t="shared" si="58"/>
        <v>0</v>
      </c>
      <c r="V119" s="284">
        <f t="shared" si="59"/>
        <v>2.725E-2</v>
      </c>
      <c r="W119" s="283">
        <f t="shared" si="60"/>
        <v>1.1400000000000001</v>
      </c>
      <c r="X119" s="283">
        <f t="shared" si="61"/>
        <v>1.8900000000000001</v>
      </c>
      <c r="Y119" s="283">
        <f t="shared" si="62"/>
        <v>2.94</v>
      </c>
      <c r="Z119" s="285">
        <f t="shared" si="63"/>
        <v>0</v>
      </c>
      <c r="AA119" s="285">
        <f t="shared" si="64"/>
        <v>0</v>
      </c>
      <c r="AB119" s="285">
        <f t="shared" si="83"/>
        <v>0</v>
      </c>
      <c r="AC119" s="285">
        <f t="shared" si="84"/>
        <v>0</v>
      </c>
      <c r="AD119" s="285">
        <f t="shared" si="85"/>
        <v>0</v>
      </c>
      <c r="AE119" s="286">
        <v>0</v>
      </c>
      <c r="AF119" s="287">
        <f t="shared" si="65"/>
        <v>0</v>
      </c>
      <c r="AG119" s="288">
        <f t="shared" si="66"/>
        <v>0</v>
      </c>
      <c r="AH119" s="285">
        <f t="shared" si="67"/>
        <v>0</v>
      </c>
      <c r="AI119" s="286">
        <v>0</v>
      </c>
      <c r="AJ119" s="286">
        <v>0</v>
      </c>
      <c r="AK119" s="286">
        <v>0</v>
      </c>
      <c r="AL119" s="285">
        <f t="shared" si="68"/>
        <v>0</v>
      </c>
      <c r="AM119" s="285">
        <f t="shared" si="69"/>
        <v>0</v>
      </c>
      <c r="AN119" s="289">
        <f t="shared" si="86"/>
        <v>1</v>
      </c>
      <c r="AO119" s="290">
        <f t="shared" si="70"/>
        <v>0</v>
      </c>
      <c r="AP119" s="290">
        <f t="shared" si="71"/>
        <v>0</v>
      </c>
      <c r="AQ119" s="290">
        <f t="shared" si="72"/>
        <v>0</v>
      </c>
      <c r="AR119" s="290">
        <f t="shared" si="73"/>
        <v>0</v>
      </c>
      <c r="AS119" s="290">
        <f t="shared" si="74"/>
        <v>0</v>
      </c>
      <c r="AT119" s="290">
        <f t="shared" si="75"/>
        <v>0</v>
      </c>
      <c r="AU119" s="291">
        <f t="shared" si="76"/>
        <v>0</v>
      </c>
      <c r="AV119" s="291">
        <f t="shared" si="91"/>
        <v>0</v>
      </c>
      <c r="AW119" s="292">
        <f t="shared" si="78"/>
        <v>0</v>
      </c>
      <c r="AX119" s="293">
        <f t="shared" si="79"/>
        <v>0</v>
      </c>
      <c r="BC119" s="276">
        <f>IF(BI119=1,IF(BC118=MiscData!$F$1,EOMONTH(BC118,-11),EOMONTH(BC118,1)),BC118)</f>
        <v>41759</v>
      </c>
      <c r="BD119" s="275" t="str">
        <f t="shared" si="87"/>
        <v>20140101LGINE683</v>
      </c>
      <c r="BE119" s="294" t="str">
        <f t="shared" si="88"/>
        <v>20140101FLST</v>
      </c>
      <c r="BF119">
        <f>MiscData!$X$5</f>
        <v>20140101</v>
      </c>
      <c r="BI119" s="265">
        <f>IF(BI118+1&gt;MiscData!$Z$42,1,BI118+1)</f>
        <v>2</v>
      </c>
      <c r="BJ119" s="265" t="str">
        <f>VLOOKUP(BI119,MiscData!$Z$5:$AB$46,2,FALSE)</f>
        <v>LGINE683</v>
      </c>
      <c r="BK119" s="265" t="str">
        <f>VLOOKUP(BI119,MiscData!$Z$5:$AB$46,3,FALSE)</f>
        <v>FLST</v>
      </c>
    </row>
    <row r="120" spans="1:63" hidden="1">
      <c r="A120" s="275">
        <v>111</v>
      </c>
      <c r="B120" s="276" t="str">
        <f t="shared" si="80"/>
        <v>Apr 2014</v>
      </c>
      <c r="C120" s="277" t="s">
        <v>892</v>
      </c>
      <c r="D120" s="277" t="str">
        <f t="shared" si="82"/>
        <v>LGCME451</v>
      </c>
      <c r="E120" s="278">
        <f t="shared" si="48"/>
        <v>56</v>
      </c>
      <c r="F120" s="279">
        <f>-E120</f>
        <v>-56</v>
      </c>
      <c r="G120" s="278">
        <f t="shared" si="49"/>
        <v>0</v>
      </c>
      <c r="H120" s="278">
        <f t="shared" si="50"/>
        <v>0</v>
      </c>
      <c r="I120" s="278">
        <f t="shared" si="51"/>
        <v>0</v>
      </c>
      <c r="J120" s="278">
        <f t="shared" si="52"/>
        <v>9858</v>
      </c>
      <c r="K120" s="280">
        <v>0</v>
      </c>
      <c r="L120" s="281">
        <f t="shared" si="53"/>
        <v>0</v>
      </c>
      <c r="M120" s="281">
        <f t="shared" si="54"/>
        <v>0</v>
      </c>
      <c r="N120" s="281">
        <f t="shared" si="55"/>
        <v>0</v>
      </c>
      <c r="O120" s="282">
        <v>0</v>
      </c>
      <c r="P120" s="282">
        <v>0</v>
      </c>
      <c r="Q120" s="282">
        <v>0</v>
      </c>
      <c r="R120" s="283">
        <f t="shared" si="56"/>
        <v>0</v>
      </c>
      <c r="S120" s="284">
        <f t="shared" si="90"/>
        <v>9.1340000000000005E-2</v>
      </c>
      <c r="T120" s="284">
        <f t="shared" si="57"/>
        <v>0</v>
      </c>
      <c r="U120" s="284">
        <f t="shared" si="58"/>
        <v>0</v>
      </c>
      <c r="V120" s="284">
        <f t="shared" si="59"/>
        <v>2.725E-2</v>
      </c>
      <c r="W120" s="283">
        <f t="shared" si="60"/>
        <v>0</v>
      </c>
      <c r="X120" s="283">
        <f t="shared" si="61"/>
        <v>0</v>
      </c>
      <c r="Y120" s="283">
        <f t="shared" si="62"/>
        <v>0</v>
      </c>
      <c r="Z120" s="285">
        <f t="shared" si="63"/>
        <v>0</v>
      </c>
      <c r="AA120" s="285">
        <f t="shared" si="64"/>
        <v>900.43</v>
      </c>
      <c r="AB120" s="285">
        <f t="shared" si="83"/>
        <v>0</v>
      </c>
      <c r="AC120" s="285">
        <f t="shared" si="84"/>
        <v>0</v>
      </c>
      <c r="AD120" s="285">
        <f t="shared" si="85"/>
        <v>0</v>
      </c>
      <c r="AE120" s="286">
        <v>0</v>
      </c>
      <c r="AF120" s="287">
        <f t="shared" si="65"/>
        <v>0</v>
      </c>
      <c r="AG120" s="288">
        <f t="shared" si="66"/>
        <v>0</v>
      </c>
      <c r="AH120" s="285">
        <f t="shared" si="67"/>
        <v>0</v>
      </c>
      <c r="AI120" s="286">
        <v>0</v>
      </c>
      <c r="AJ120" s="286">
        <v>0</v>
      </c>
      <c r="AK120" s="286">
        <v>0</v>
      </c>
      <c r="AL120" s="285">
        <f t="shared" si="68"/>
        <v>900.43</v>
      </c>
      <c r="AM120" s="285">
        <f t="shared" si="69"/>
        <v>900.43000000000006</v>
      </c>
      <c r="AN120" s="289">
        <f t="shared" si="86"/>
        <v>1</v>
      </c>
      <c r="AO120" s="290">
        <f t="shared" si="70"/>
        <v>14.75</v>
      </c>
      <c r="AP120" s="290">
        <f t="shared" si="71"/>
        <v>29.87</v>
      </c>
      <c r="AQ120" s="290">
        <f t="shared" si="72"/>
        <v>19.78</v>
      </c>
      <c r="AR120" s="290">
        <f t="shared" si="73"/>
        <v>0</v>
      </c>
      <c r="AS120" s="290">
        <f t="shared" si="74"/>
        <v>0</v>
      </c>
      <c r="AT120" s="290">
        <f t="shared" si="75"/>
        <v>964.83</v>
      </c>
      <c r="AU120" s="291">
        <f t="shared" si="76"/>
        <v>964.82999999999993</v>
      </c>
      <c r="AV120" s="291">
        <f t="shared" si="91"/>
        <v>0</v>
      </c>
      <c r="AW120" s="292">
        <f t="shared" si="78"/>
        <v>268.63</v>
      </c>
      <c r="AX120" s="293">
        <f t="shared" si="79"/>
        <v>631.79999999999995</v>
      </c>
      <c r="BC120" s="276">
        <f>IF(BI120=1,IF(BC119=MiscData!$F$1,EOMONTH(BC119,-11),EOMONTH(BC119,1)),BC119)</f>
        <v>41759</v>
      </c>
      <c r="BD120" s="275" t="str">
        <f t="shared" si="87"/>
        <v>20140101LGCME451</v>
      </c>
      <c r="BE120" s="294" t="str">
        <f t="shared" si="88"/>
        <v>20140101GSS</v>
      </c>
      <c r="BF120">
        <f>MiscData!$X$5</f>
        <v>20140101</v>
      </c>
      <c r="BI120" s="265">
        <f>IF(BI119+1&gt;MiscData!$Z$42,1,BI119+1)</f>
        <v>3</v>
      </c>
      <c r="BJ120" s="265" t="str">
        <f>VLOOKUP(BI120,MiscData!$Z$5:$AB$46,2,FALSE)</f>
        <v>LGCME451</v>
      </c>
      <c r="BK120" s="265" t="str">
        <f>VLOOKUP(BI120,MiscData!$Z$5:$AB$46,3,FALSE)</f>
        <v>GSS</v>
      </c>
    </row>
    <row r="121" spans="1:63" hidden="1">
      <c r="A121" s="275">
        <v>112</v>
      </c>
      <c r="B121" s="276" t="str">
        <f t="shared" si="80"/>
        <v>Apr 2014</v>
      </c>
      <c r="C121" s="277" t="s">
        <v>892</v>
      </c>
      <c r="D121" s="277" t="str">
        <f t="shared" si="82"/>
        <v>LGCME550</v>
      </c>
      <c r="E121" s="278">
        <f t="shared" si="48"/>
        <v>0</v>
      </c>
      <c r="F121" s="279">
        <v>0</v>
      </c>
      <c r="G121" s="278">
        <f t="shared" si="49"/>
        <v>0</v>
      </c>
      <c r="H121" s="278">
        <f t="shared" si="50"/>
        <v>0</v>
      </c>
      <c r="I121" s="278">
        <f t="shared" si="51"/>
        <v>0</v>
      </c>
      <c r="J121" s="278">
        <f t="shared" si="52"/>
        <v>0</v>
      </c>
      <c r="K121" s="280">
        <v>0</v>
      </c>
      <c r="L121" s="281">
        <f t="shared" si="53"/>
        <v>0</v>
      </c>
      <c r="M121" s="281">
        <f t="shared" si="54"/>
        <v>0</v>
      </c>
      <c r="N121" s="281">
        <f t="shared" si="55"/>
        <v>0</v>
      </c>
      <c r="O121" s="282">
        <v>0</v>
      </c>
      <c r="P121" s="282">
        <v>0</v>
      </c>
      <c r="Q121" s="282">
        <v>0</v>
      </c>
      <c r="R121" s="283">
        <f t="shared" si="56"/>
        <v>20</v>
      </c>
      <c r="S121" s="284">
        <f t="shared" si="90"/>
        <v>9.1340000000000005E-2</v>
      </c>
      <c r="T121" s="284">
        <f t="shared" si="57"/>
        <v>0</v>
      </c>
      <c r="U121" s="284">
        <f t="shared" si="58"/>
        <v>0</v>
      </c>
      <c r="V121" s="284">
        <f t="shared" si="59"/>
        <v>2.725E-2</v>
      </c>
      <c r="W121" s="283">
        <f t="shared" si="60"/>
        <v>0</v>
      </c>
      <c r="X121" s="283">
        <f t="shared" si="61"/>
        <v>0</v>
      </c>
      <c r="Y121" s="283">
        <f t="shared" si="62"/>
        <v>0</v>
      </c>
      <c r="Z121" s="285">
        <f t="shared" si="63"/>
        <v>0</v>
      </c>
      <c r="AA121" s="285">
        <f t="shared" si="64"/>
        <v>0</v>
      </c>
      <c r="AB121" s="285">
        <f t="shared" si="83"/>
        <v>0</v>
      </c>
      <c r="AC121" s="285">
        <f t="shared" si="84"/>
        <v>0</v>
      </c>
      <c r="AD121" s="285">
        <f t="shared" si="85"/>
        <v>0</v>
      </c>
      <c r="AE121" s="286">
        <v>0</v>
      </c>
      <c r="AF121" s="287">
        <f t="shared" si="65"/>
        <v>0</v>
      </c>
      <c r="AG121" s="288">
        <f t="shared" si="66"/>
        <v>0</v>
      </c>
      <c r="AH121" s="285">
        <f t="shared" si="67"/>
        <v>0</v>
      </c>
      <c r="AI121" s="286">
        <v>0</v>
      </c>
      <c r="AJ121" s="286">
        <v>0</v>
      </c>
      <c r="AK121" s="286">
        <v>0</v>
      </c>
      <c r="AL121" s="285">
        <f t="shared" si="68"/>
        <v>0</v>
      </c>
      <c r="AM121" s="285">
        <f t="shared" si="69"/>
        <v>0</v>
      </c>
      <c r="AN121" s="289">
        <f t="shared" si="86"/>
        <v>1</v>
      </c>
      <c r="AO121" s="290">
        <f t="shared" si="70"/>
        <v>0</v>
      </c>
      <c r="AP121" s="290">
        <f t="shared" si="71"/>
        <v>0</v>
      </c>
      <c r="AQ121" s="290">
        <f t="shared" si="72"/>
        <v>0</v>
      </c>
      <c r="AR121" s="290">
        <f t="shared" si="73"/>
        <v>0</v>
      </c>
      <c r="AS121" s="290">
        <f t="shared" si="74"/>
        <v>0</v>
      </c>
      <c r="AT121" s="290">
        <f t="shared" si="75"/>
        <v>0</v>
      </c>
      <c r="AU121" s="291">
        <f t="shared" si="76"/>
        <v>0</v>
      </c>
      <c r="AV121" s="291">
        <f t="shared" si="91"/>
        <v>0</v>
      </c>
      <c r="AW121" s="292">
        <f t="shared" si="78"/>
        <v>0</v>
      </c>
      <c r="AX121" s="293">
        <f t="shared" si="79"/>
        <v>0</v>
      </c>
      <c r="BC121" s="276">
        <f>IF(BI121=1,IF(BC120=MiscData!$F$1,EOMONTH(BC120,-11),EOMONTH(BC120,1)),BC120)</f>
        <v>41759</v>
      </c>
      <c r="BD121" s="275" t="str">
        <f t="shared" si="87"/>
        <v>20140101LGCME550</v>
      </c>
      <c r="BE121" s="294" t="str">
        <f t="shared" si="88"/>
        <v>20140101GSS</v>
      </c>
      <c r="BF121">
        <f>MiscData!$X$5</f>
        <v>20140101</v>
      </c>
      <c r="BI121" s="265">
        <f>IF(BI120+1&gt;MiscData!$Z$42,1,BI120+1)</f>
        <v>4</v>
      </c>
      <c r="BJ121" s="265" t="str">
        <f>VLOOKUP(BI121,MiscData!$Z$5:$AB$46,2,FALSE)</f>
        <v>LGCME550</v>
      </c>
      <c r="BK121" s="265" t="str">
        <f>VLOOKUP(BI121,MiscData!$Z$5:$AB$46,3,FALSE)</f>
        <v>GSS</v>
      </c>
    </row>
    <row r="122" spans="1:63" hidden="1">
      <c r="A122" s="275">
        <v>113</v>
      </c>
      <c r="B122" s="276" t="str">
        <f t="shared" si="80"/>
        <v>Apr 2014</v>
      </c>
      <c r="C122" s="277" t="s">
        <v>892</v>
      </c>
      <c r="D122" s="277" t="str">
        <f t="shared" si="82"/>
        <v>LGCME551</v>
      </c>
      <c r="E122" s="278">
        <f t="shared" si="48"/>
        <v>28829</v>
      </c>
      <c r="F122" s="279">
        <v>115</v>
      </c>
      <c r="G122" s="278">
        <f t="shared" si="49"/>
        <v>0</v>
      </c>
      <c r="H122" s="278">
        <f t="shared" si="50"/>
        <v>0</v>
      </c>
      <c r="I122" s="278">
        <f t="shared" si="51"/>
        <v>0</v>
      </c>
      <c r="J122" s="278">
        <f t="shared" si="52"/>
        <v>31085013</v>
      </c>
      <c r="K122" s="280">
        <v>0</v>
      </c>
      <c r="L122" s="281">
        <f t="shared" si="53"/>
        <v>12996.7</v>
      </c>
      <c r="M122" s="281">
        <f t="shared" si="54"/>
        <v>0</v>
      </c>
      <c r="N122" s="281">
        <f t="shared" si="55"/>
        <v>0</v>
      </c>
      <c r="O122" s="282">
        <v>0</v>
      </c>
      <c r="P122" s="282">
        <v>0</v>
      </c>
      <c r="Q122" s="282">
        <v>0</v>
      </c>
      <c r="R122" s="283">
        <f t="shared" si="56"/>
        <v>20</v>
      </c>
      <c r="S122" s="284">
        <f t="shared" si="90"/>
        <v>9.1340000000000005E-2</v>
      </c>
      <c r="T122" s="284">
        <f t="shared" si="57"/>
        <v>0</v>
      </c>
      <c r="U122" s="284">
        <f t="shared" si="58"/>
        <v>0</v>
      </c>
      <c r="V122" s="284">
        <f t="shared" si="59"/>
        <v>2.725E-2</v>
      </c>
      <c r="W122" s="283">
        <f t="shared" si="60"/>
        <v>0</v>
      </c>
      <c r="X122" s="283">
        <f t="shared" si="61"/>
        <v>0</v>
      </c>
      <c r="Y122" s="283">
        <f t="shared" si="62"/>
        <v>0</v>
      </c>
      <c r="Z122" s="285">
        <f t="shared" si="63"/>
        <v>578880</v>
      </c>
      <c r="AA122" s="285">
        <f t="shared" si="64"/>
        <v>2839305.09</v>
      </c>
      <c r="AB122" s="285">
        <f t="shared" si="83"/>
        <v>0</v>
      </c>
      <c r="AC122" s="285">
        <f t="shared" si="84"/>
        <v>0</v>
      </c>
      <c r="AD122" s="285">
        <f t="shared" si="85"/>
        <v>0</v>
      </c>
      <c r="AE122" s="286">
        <v>0</v>
      </c>
      <c r="AF122" s="287">
        <f t="shared" si="65"/>
        <v>0</v>
      </c>
      <c r="AG122" s="288">
        <f t="shared" si="66"/>
        <v>0</v>
      </c>
      <c r="AH122" s="285">
        <f t="shared" si="67"/>
        <v>0</v>
      </c>
      <c r="AI122" s="286">
        <v>-3178.58</v>
      </c>
      <c r="AJ122" s="286">
        <v>-29.69</v>
      </c>
      <c r="AK122" s="286">
        <v>0</v>
      </c>
      <c r="AL122" s="285">
        <f t="shared" si="68"/>
        <v>3414976.82</v>
      </c>
      <c r="AM122" s="285">
        <f t="shared" si="69"/>
        <v>3414976.82</v>
      </c>
      <c r="AN122" s="289">
        <f t="shared" si="86"/>
        <v>1</v>
      </c>
      <c r="AO122" s="290">
        <f t="shared" si="70"/>
        <v>46725.77</v>
      </c>
      <c r="AP122" s="290">
        <f t="shared" si="71"/>
        <v>94046</v>
      </c>
      <c r="AQ122" s="290">
        <f t="shared" si="72"/>
        <v>79435.5</v>
      </c>
      <c r="AR122" s="290">
        <f t="shared" si="73"/>
        <v>0</v>
      </c>
      <c r="AS122" s="290">
        <f t="shared" si="74"/>
        <v>0</v>
      </c>
      <c r="AT122" s="290">
        <f t="shared" si="75"/>
        <v>3635184.09</v>
      </c>
      <c r="AU122" s="291">
        <f t="shared" si="76"/>
        <v>3635184.09</v>
      </c>
      <c r="AV122" s="291">
        <f t="shared" si="91"/>
        <v>0</v>
      </c>
      <c r="AW122" s="292">
        <f t="shared" si="78"/>
        <v>847066.6</v>
      </c>
      <c r="AX122" s="293">
        <f t="shared" si="79"/>
        <v>1992208.7999999998</v>
      </c>
      <c r="BC122" s="276">
        <f>IF(BI122=1,IF(BC121=MiscData!$F$1,EOMONTH(BC121,-11),EOMONTH(BC121,1)),BC121)</f>
        <v>41759</v>
      </c>
      <c r="BD122" s="275" t="str">
        <f t="shared" si="87"/>
        <v>20140101LGCME551</v>
      </c>
      <c r="BE122" s="294" t="str">
        <f t="shared" si="88"/>
        <v>20140101GSS</v>
      </c>
      <c r="BF122">
        <f>MiscData!$X$5</f>
        <v>20140101</v>
      </c>
      <c r="BI122" s="265">
        <f>IF(BI121+1&gt;MiscData!$Z$42,1,BI121+1)</f>
        <v>5</v>
      </c>
      <c r="BJ122" s="265" t="str">
        <f>VLOOKUP(BI122,MiscData!$Z$5:$AB$46,2,FALSE)</f>
        <v>LGCME551</v>
      </c>
      <c r="BK122" s="265" t="str">
        <f>VLOOKUP(BI122,MiscData!$Z$5:$AB$46,3,FALSE)</f>
        <v>GSS</v>
      </c>
    </row>
    <row r="123" spans="1:63" hidden="1">
      <c r="A123" s="275">
        <v>114</v>
      </c>
      <c r="B123" s="276" t="str">
        <f t="shared" si="80"/>
        <v>Apr 2014</v>
      </c>
      <c r="C123" s="277" t="s">
        <v>892</v>
      </c>
      <c r="D123" s="277" t="str">
        <f t="shared" si="82"/>
        <v>LGCME551UM</v>
      </c>
      <c r="E123" s="278">
        <f t="shared" si="48"/>
        <v>1</v>
      </c>
      <c r="F123" s="279">
        <v>102</v>
      </c>
      <c r="G123" s="278">
        <f t="shared" si="49"/>
        <v>0</v>
      </c>
      <c r="H123" s="278">
        <f t="shared" si="50"/>
        <v>0</v>
      </c>
      <c r="I123" s="278">
        <f t="shared" si="51"/>
        <v>0</v>
      </c>
      <c r="J123" s="278">
        <f t="shared" si="52"/>
        <v>13802</v>
      </c>
      <c r="K123" s="280">
        <v>0</v>
      </c>
      <c r="L123" s="281">
        <f t="shared" si="53"/>
        <v>0</v>
      </c>
      <c r="M123" s="281">
        <f t="shared" si="54"/>
        <v>0</v>
      </c>
      <c r="N123" s="281">
        <f t="shared" si="55"/>
        <v>0</v>
      </c>
      <c r="O123" s="282">
        <v>0</v>
      </c>
      <c r="P123" s="282">
        <v>0</v>
      </c>
      <c r="Q123" s="282">
        <v>0</v>
      </c>
      <c r="R123" s="283">
        <f t="shared" si="56"/>
        <v>20</v>
      </c>
      <c r="S123" s="284">
        <f t="shared" si="90"/>
        <v>9.1340000000000005E-2</v>
      </c>
      <c r="T123" s="284">
        <f t="shared" si="57"/>
        <v>0</v>
      </c>
      <c r="U123" s="284">
        <f t="shared" si="58"/>
        <v>0</v>
      </c>
      <c r="V123" s="284">
        <f t="shared" si="59"/>
        <v>2.725E-2</v>
      </c>
      <c r="W123" s="283">
        <f t="shared" si="60"/>
        <v>0</v>
      </c>
      <c r="X123" s="283">
        <f t="shared" si="61"/>
        <v>0</v>
      </c>
      <c r="Y123" s="283">
        <f t="shared" si="62"/>
        <v>0</v>
      </c>
      <c r="Z123" s="285">
        <f t="shared" si="63"/>
        <v>2060</v>
      </c>
      <c r="AA123" s="285">
        <f t="shared" si="64"/>
        <v>1260.67</v>
      </c>
      <c r="AB123" s="285">
        <f t="shared" si="83"/>
        <v>0</v>
      </c>
      <c r="AC123" s="285">
        <f t="shared" si="84"/>
        <v>0</v>
      </c>
      <c r="AD123" s="285">
        <f t="shared" si="85"/>
        <v>0</v>
      </c>
      <c r="AE123" s="286">
        <v>0</v>
      </c>
      <c r="AF123" s="287">
        <f t="shared" si="65"/>
        <v>0</v>
      </c>
      <c r="AG123" s="288">
        <f t="shared" si="66"/>
        <v>0</v>
      </c>
      <c r="AH123" s="285">
        <f t="shared" si="67"/>
        <v>0</v>
      </c>
      <c r="AI123" s="286">
        <v>0</v>
      </c>
      <c r="AJ123" s="286">
        <v>0</v>
      </c>
      <c r="AK123" s="286">
        <v>0</v>
      </c>
      <c r="AL123" s="285">
        <f t="shared" si="68"/>
        <v>3320.67</v>
      </c>
      <c r="AM123" s="285">
        <f t="shared" si="69"/>
        <v>3320.67</v>
      </c>
      <c r="AN123" s="289">
        <f t="shared" si="86"/>
        <v>1</v>
      </c>
      <c r="AO123" s="290">
        <f t="shared" si="70"/>
        <v>20.56</v>
      </c>
      <c r="AP123" s="290">
        <f t="shared" si="71"/>
        <v>41.82</v>
      </c>
      <c r="AQ123" s="290">
        <f t="shared" si="72"/>
        <v>89.29</v>
      </c>
      <c r="AR123" s="290">
        <f t="shared" si="73"/>
        <v>0</v>
      </c>
      <c r="AS123" s="290">
        <f t="shared" si="74"/>
        <v>0</v>
      </c>
      <c r="AT123" s="290">
        <f t="shared" si="75"/>
        <v>3472.34</v>
      </c>
      <c r="AU123" s="291">
        <f t="shared" si="76"/>
        <v>3472.34</v>
      </c>
      <c r="AV123" s="291">
        <f t="shared" si="91"/>
        <v>0</v>
      </c>
      <c r="AW123" s="292">
        <f t="shared" si="78"/>
        <v>376.1</v>
      </c>
      <c r="AX123" s="293">
        <f t="shared" si="79"/>
        <v>884.57</v>
      </c>
      <c r="BC123" s="276">
        <f>IF(BI123=1,IF(BC122=MiscData!$F$1,EOMONTH(BC122,-11),EOMONTH(BC122,1)),BC122)</f>
        <v>41759</v>
      </c>
      <c r="BD123" s="275" t="str">
        <f t="shared" si="87"/>
        <v>20140101LGCME551UM</v>
      </c>
      <c r="BE123" s="294" t="str">
        <f t="shared" si="88"/>
        <v>20140101GSS</v>
      </c>
      <c r="BF123">
        <f>MiscData!$X$5</f>
        <v>20140101</v>
      </c>
      <c r="BI123" s="265">
        <f>IF(BI122+1&gt;MiscData!$Z$42,1,BI122+1)</f>
        <v>6</v>
      </c>
      <c r="BJ123" s="265" t="str">
        <f>VLOOKUP(BI123,MiscData!$Z$5:$AB$46,2,FALSE)</f>
        <v>LGCME551UM</v>
      </c>
      <c r="BK123" s="265" t="str">
        <f>VLOOKUP(BI123,MiscData!$Z$5:$AB$46,3,FALSE)</f>
        <v>GSS</v>
      </c>
    </row>
    <row r="124" spans="1:63" hidden="1">
      <c r="A124" s="275">
        <v>115</v>
      </c>
      <c r="B124" s="276" t="str">
        <f t="shared" si="80"/>
        <v>Apr 2014</v>
      </c>
      <c r="C124" s="277" t="s">
        <v>892</v>
      </c>
      <c r="D124" s="277" t="str">
        <f t="shared" si="82"/>
        <v>LGCME552</v>
      </c>
      <c r="E124" s="278">
        <f t="shared" si="48"/>
        <v>119</v>
      </c>
      <c r="F124" s="279">
        <f>-E124</f>
        <v>-119</v>
      </c>
      <c r="G124" s="278">
        <f t="shared" si="49"/>
        <v>0</v>
      </c>
      <c r="H124" s="278">
        <f t="shared" si="50"/>
        <v>0</v>
      </c>
      <c r="I124" s="278">
        <f t="shared" si="51"/>
        <v>0</v>
      </c>
      <c r="J124" s="278">
        <f t="shared" si="52"/>
        <v>142709</v>
      </c>
      <c r="K124" s="280">
        <v>0</v>
      </c>
      <c r="L124" s="281">
        <f t="shared" si="53"/>
        <v>1.3</v>
      </c>
      <c r="M124" s="281">
        <f t="shared" si="54"/>
        <v>0</v>
      </c>
      <c r="N124" s="281">
        <f t="shared" si="55"/>
        <v>0</v>
      </c>
      <c r="O124" s="282">
        <v>0</v>
      </c>
      <c r="P124" s="282">
        <v>0</v>
      </c>
      <c r="Q124" s="282">
        <v>0</v>
      </c>
      <c r="R124" s="283">
        <f t="shared" si="56"/>
        <v>0</v>
      </c>
      <c r="S124" s="284">
        <f t="shared" si="90"/>
        <v>9.1340000000000005E-2</v>
      </c>
      <c r="T124" s="284">
        <f t="shared" si="57"/>
        <v>0</v>
      </c>
      <c r="U124" s="284">
        <f t="shared" si="58"/>
        <v>0</v>
      </c>
      <c r="V124" s="284">
        <f t="shared" si="59"/>
        <v>2.725E-2</v>
      </c>
      <c r="W124" s="283">
        <f t="shared" si="60"/>
        <v>0</v>
      </c>
      <c r="X124" s="283">
        <f t="shared" si="61"/>
        <v>0</v>
      </c>
      <c r="Y124" s="283">
        <f t="shared" si="62"/>
        <v>0</v>
      </c>
      <c r="Z124" s="285">
        <f t="shared" si="63"/>
        <v>0</v>
      </c>
      <c r="AA124" s="285">
        <f t="shared" si="64"/>
        <v>13035.04</v>
      </c>
      <c r="AB124" s="285">
        <f t="shared" si="83"/>
        <v>0</v>
      </c>
      <c r="AC124" s="285">
        <f t="shared" si="84"/>
        <v>0</v>
      </c>
      <c r="AD124" s="285">
        <f t="shared" si="85"/>
        <v>0</v>
      </c>
      <c r="AE124" s="286">
        <v>0</v>
      </c>
      <c r="AF124" s="287">
        <f t="shared" si="65"/>
        <v>0</v>
      </c>
      <c r="AG124" s="288">
        <f t="shared" si="66"/>
        <v>0</v>
      </c>
      <c r="AH124" s="285">
        <f t="shared" si="67"/>
        <v>0</v>
      </c>
      <c r="AI124" s="286">
        <v>0</v>
      </c>
      <c r="AJ124" s="286">
        <v>-0.03</v>
      </c>
      <c r="AK124" s="286">
        <v>0</v>
      </c>
      <c r="AL124" s="285">
        <f t="shared" si="68"/>
        <v>13035.01</v>
      </c>
      <c r="AM124" s="285">
        <f t="shared" si="69"/>
        <v>13035.01</v>
      </c>
      <c r="AN124" s="289">
        <f t="shared" si="86"/>
        <v>1</v>
      </c>
      <c r="AO124" s="290">
        <f t="shared" si="70"/>
        <v>215.04</v>
      </c>
      <c r="AP124" s="290">
        <f t="shared" si="71"/>
        <v>432.08</v>
      </c>
      <c r="AQ124" s="290">
        <f t="shared" si="72"/>
        <v>285.91000000000003</v>
      </c>
      <c r="AR124" s="290">
        <f t="shared" si="73"/>
        <v>0</v>
      </c>
      <c r="AS124" s="290">
        <f t="shared" si="74"/>
        <v>0</v>
      </c>
      <c r="AT124" s="290">
        <f t="shared" si="75"/>
        <v>13968.04</v>
      </c>
      <c r="AU124" s="291">
        <f t="shared" si="76"/>
        <v>13968.04</v>
      </c>
      <c r="AV124" s="291">
        <f t="shared" si="91"/>
        <v>0</v>
      </c>
      <c r="AW124" s="292">
        <f t="shared" si="78"/>
        <v>3888.82</v>
      </c>
      <c r="AX124" s="293">
        <f t="shared" si="79"/>
        <v>9146.19</v>
      </c>
      <c r="BC124" s="276">
        <f>IF(BI124=1,IF(BC123=MiscData!$F$1,EOMONTH(BC123,-11),EOMONTH(BC123,1)),BC123)</f>
        <v>41759</v>
      </c>
      <c r="BD124" s="275" t="str">
        <f t="shared" si="87"/>
        <v>20140101LGCME552</v>
      </c>
      <c r="BE124" s="294" t="str">
        <f t="shared" si="88"/>
        <v>20140101GSS</v>
      </c>
      <c r="BF124">
        <f>MiscData!$X$5</f>
        <v>20140101</v>
      </c>
      <c r="BI124" s="265">
        <f>IF(BI123+1&gt;MiscData!$Z$42,1,BI123+1)</f>
        <v>7</v>
      </c>
      <c r="BJ124" s="265" t="str">
        <f>VLOOKUP(BI124,MiscData!$Z$5:$AB$46,2,FALSE)</f>
        <v>LGCME552</v>
      </c>
      <c r="BK124" s="265" t="str">
        <f>VLOOKUP(BI124,MiscData!$Z$5:$AB$46,3,FALSE)</f>
        <v>GSS</v>
      </c>
    </row>
    <row r="125" spans="1:63" hidden="1">
      <c r="A125" s="275">
        <v>116</v>
      </c>
      <c r="B125" s="276" t="str">
        <f t="shared" si="80"/>
        <v>Apr 2014</v>
      </c>
      <c r="C125" s="277" t="s">
        <v>892</v>
      </c>
      <c r="D125" s="277" t="str">
        <f t="shared" si="82"/>
        <v>LGCME557</v>
      </c>
      <c r="E125" s="278">
        <f t="shared" si="48"/>
        <v>7</v>
      </c>
      <c r="F125" s="279">
        <v>0</v>
      </c>
      <c r="G125" s="278">
        <f t="shared" si="49"/>
        <v>0</v>
      </c>
      <c r="H125" s="278">
        <f t="shared" si="50"/>
        <v>0</v>
      </c>
      <c r="I125" s="278">
        <f t="shared" si="51"/>
        <v>0</v>
      </c>
      <c r="J125" s="278">
        <f t="shared" si="52"/>
        <v>2779</v>
      </c>
      <c r="K125" s="280">
        <v>0</v>
      </c>
      <c r="L125" s="281">
        <f t="shared" si="53"/>
        <v>0</v>
      </c>
      <c r="M125" s="281">
        <f t="shared" si="54"/>
        <v>0</v>
      </c>
      <c r="N125" s="281">
        <f t="shared" si="55"/>
        <v>0</v>
      </c>
      <c r="O125" s="282">
        <v>0</v>
      </c>
      <c r="P125" s="282">
        <v>0</v>
      </c>
      <c r="Q125" s="282">
        <v>0</v>
      </c>
      <c r="R125" s="283">
        <f t="shared" si="56"/>
        <v>20</v>
      </c>
      <c r="S125" s="284">
        <f t="shared" si="90"/>
        <v>9.1340000000000005E-2</v>
      </c>
      <c r="T125" s="284">
        <f t="shared" si="57"/>
        <v>0</v>
      </c>
      <c r="U125" s="284">
        <f t="shared" si="58"/>
        <v>0</v>
      </c>
      <c r="V125" s="284">
        <f t="shared" si="59"/>
        <v>2.725E-2</v>
      </c>
      <c r="W125" s="283">
        <f t="shared" si="60"/>
        <v>0</v>
      </c>
      <c r="X125" s="283">
        <f t="shared" si="61"/>
        <v>0</v>
      </c>
      <c r="Y125" s="283">
        <f t="shared" si="62"/>
        <v>0</v>
      </c>
      <c r="Z125" s="285">
        <f t="shared" si="63"/>
        <v>140</v>
      </c>
      <c r="AA125" s="285">
        <f t="shared" si="64"/>
        <v>253.83</v>
      </c>
      <c r="AB125" s="285">
        <f t="shared" si="83"/>
        <v>0</v>
      </c>
      <c r="AC125" s="285">
        <f t="shared" si="84"/>
        <v>0</v>
      </c>
      <c r="AD125" s="285">
        <f t="shared" si="85"/>
        <v>0</v>
      </c>
      <c r="AE125" s="286">
        <v>0</v>
      </c>
      <c r="AF125" s="287">
        <f t="shared" si="65"/>
        <v>0</v>
      </c>
      <c r="AG125" s="288">
        <f t="shared" si="66"/>
        <v>0</v>
      </c>
      <c r="AH125" s="285">
        <f t="shared" si="67"/>
        <v>0</v>
      </c>
      <c r="AI125" s="286">
        <v>0</v>
      </c>
      <c r="AJ125" s="286">
        <v>0.01</v>
      </c>
      <c r="AK125" s="286">
        <v>0</v>
      </c>
      <c r="AL125" s="285">
        <f t="shared" si="68"/>
        <v>393.84000000000003</v>
      </c>
      <c r="AM125" s="285">
        <f t="shared" si="69"/>
        <v>393.84000000000003</v>
      </c>
      <c r="AN125" s="289">
        <f t="shared" si="86"/>
        <v>1</v>
      </c>
      <c r="AO125" s="290">
        <f t="shared" si="70"/>
        <v>4.1399999999999997</v>
      </c>
      <c r="AP125" s="290">
        <f t="shared" si="71"/>
        <v>8.42</v>
      </c>
      <c r="AQ125" s="290">
        <f t="shared" si="72"/>
        <v>9.77</v>
      </c>
      <c r="AR125" s="290">
        <f t="shared" si="73"/>
        <v>0</v>
      </c>
      <c r="AS125" s="290">
        <f t="shared" si="74"/>
        <v>0</v>
      </c>
      <c r="AT125" s="290">
        <f t="shared" si="75"/>
        <v>416.17</v>
      </c>
      <c r="AU125" s="291">
        <f t="shared" si="76"/>
        <v>416.17</v>
      </c>
      <c r="AV125" s="291">
        <f t="shared" si="91"/>
        <v>0</v>
      </c>
      <c r="AW125" s="292">
        <f t="shared" si="78"/>
        <v>75.73</v>
      </c>
      <c r="AX125" s="293">
        <f t="shared" si="79"/>
        <v>178.11</v>
      </c>
      <c r="BC125" s="276">
        <f>IF(BI125=1,IF(BC124=MiscData!$F$1,EOMONTH(BC124,-11),EOMONTH(BC124,1)),BC124)</f>
        <v>41759</v>
      </c>
      <c r="BD125" s="275" t="str">
        <f t="shared" si="87"/>
        <v>20140101LGCME557</v>
      </c>
      <c r="BE125" s="294" t="str">
        <f t="shared" si="88"/>
        <v>20140101GSS</v>
      </c>
      <c r="BF125">
        <f>MiscData!$X$5</f>
        <v>20140101</v>
      </c>
      <c r="BI125" s="265">
        <f>IF(BI124+1&gt;MiscData!$Z$42,1,BI124+1)</f>
        <v>8</v>
      </c>
      <c r="BJ125" s="265" t="str">
        <f>VLOOKUP(BI125,MiscData!$Z$5:$AB$46,2,FALSE)</f>
        <v>LGCME557</v>
      </c>
      <c r="BK125" s="265" t="str">
        <f>VLOOKUP(BI125,MiscData!$Z$5:$AB$46,3,FALSE)</f>
        <v>GSS</v>
      </c>
    </row>
    <row r="126" spans="1:63" hidden="1">
      <c r="A126" s="275">
        <v>117</v>
      </c>
      <c r="B126" s="276" t="str">
        <f t="shared" si="80"/>
        <v>Apr 2014</v>
      </c>
      <c r="C126" s="277" t="str">
        <f t="shared" si="81"/>
        <v>PSS</v>
      </c>
      <c r="D126" s="277" t="str">
        <f t="shared" si="82"/>
        <v>LGCME561</v>
      </c>
      <c r="E126" s="278">
        <f t="shared" si="48"/>
        <v>2528</v>
      </c>
      <c r="F126" s="279">
        <v>11</v>
      </c>
      <c r="G126" s="278">
        <f t="shared" si="49"/>
        <v>0</v>
      </c>
      <c r="H126" s="278">
        <f t="shared" si="50"/>
        <v>0</v>
      </c>
      <c r="I126" s="278">
        <f t="shared" si="51"/>
        <v>0</v>
      </c>
      <c r="J126" s="278">
        <f t="shared" si="52"/>
        <v>122572976</v>
      </c>
      <c r="K126" s="280">
        <v>0</v>
      </c>
      <c r="L126" s="281">
        <f t="shared" si="53"/>
        <v>0</v>
      </c>
      <c r="M126" s="281">
        <f t="shared" si="54"/>
        <v>338566.8</v>
      </c>
      <c r="N126" s="281">
        <f t="shared" si="55"/>
        <v>0</v>
      </c>
      <c r="O126" s="282">
        <v>0</v>
      </c>
      <c r="P126" s="282">
        <v>12040.5</v>
      </c>
      <c r="Q126" s="282">
        <v>0</v>
      </c>
      <c r="R126" s="283">
        <f t="shared" si="56"/>
        <v>90</v>
      </c>
      <c r="S126" s="284">
        <f t="shared" si="90"/>
        <v>4.0599999999999997E-2</v>
      </c>
      <c r="T126" s="284">
        <f t="shared" ref="T126" si="93">SUMIF(L_Rates_Tariff_Rate_Category,$BD126,L_Rates_Energy_P2)</f>
        <v>0</v>
      </c>
      <c r="U126" s="284">
        <f t="shared" si="58"/>
        <v>0</v>
      </c>
      <c r="V126" s="284">
        <f t="shared" si="59"/>
        <v>2.725E-2</v>
      </c>
      <c r="W126" s="283">
        <f t="shared" si="60"/>
        <v>0</v>
      </c>
      <c r="X126" s="283">
        <f t="shared" si="61"/>
        <v>14.010000000000002</v>
      </c>
      <c r="Y126" s="283">
        <f t="shared" si="62"/>
        <v>16.399999999999999</v>
      </c>
      <c r="Z126" s="285">
        <f t="shared" si="63"/>
        <v>228510</v>
      </c>
      <c r="AA126" s="285">
        <f t="shared" si="64"/>
        <v>4976462.83</v>
      </c>
      <c r="AB126" s="285">
        <f t="shared" si="83"/>
        <v>0</v>
      </c>
      <c r="AC126" s="285">
        <f t="shared" si="84"/>
        <v>4743320.87</v>
      </c>
      <c r="AD126" s="285">
        <f t="shared" si="85"/>
        <v>0</v>
      </c>
      <c r="AE126" s="286">
        <v>0</v>
      </c>
      <c r="AF126" s="287">
        <f t="shared" si="65"/>
        <v>9853.2800000000007</v>
      </c>
      <c r="AG126" s="288">
        <f t="shared" si="66"/>
        <v>168687.41</v>
      </c>
      <c r="AH126" s="285">
        <f t="shared" si="67"/>
        <v>4921861.5600000005</v>
      </c>
      <c r="AI126" s="286">
        <v>-1611.41</v>
      </c>
      <c r="AJ126" s="286">
        <v>-4214.72</v>
      </c>
      <c r="AK126" s="286">
        <v>-22779.14</v>
      </c>
      <c r="AL126" s="285">
        <f t="shared" si="68"/>
        <v>10098229.119999997</v>
      </c>
      <c r="AM126" s="285">
        <f t="shared" si="69"/>
        <v>10098229.119999999</v>
      </c>
      <c r="AN126" s="289">
        <f t="shared" si="86"/>
        <v>1</v>
      </c>
      <c r="AO126" s="290">
        <f t="shared" si="70"/>
        <v>188883.83</v>
      </c>
      <c r="AP126" s="290">
        <f t="shared" si="71"/>
        <v>168343.37</v>
      </c>
      <c r="AQ126" s="290">
        <f t="shared" si="72"/>
        <v>206396.46</v>
      </c>
      <c r="AR126" s="290">
        <f t="shared" si="73"/>
        <v>0</v>
      </c>
      <c r="AS126" s="290">
        <f t="shared" si="74"/>
        <v>0</v>
      </c>
      <c r="AT126" s="290">
        <f t="shared" si="75"/>
        <v>10661852.779999999</v>
      </c>
      <c r="AU126" s="291">
        <f t="shared" si="76"/>
        <v>10661852.779999997</v>
      </c>
      <c r="AV126" s="291">
        <f t="shared" si="91"/>
        <v>0</v>
      </c>
      <c r="AW126" s="292">
        <f t="shared" si="78"/>
        <v>3340113.6</v>
      </c>
      <c r="AX126" s="293">
        <f t="shared" si="79"/>
        <v>1632134.5100000002</v>
      </c>
      <c r="BC126" s="276">
        <f>IF(BI126=1,IF(BC125=MiscData!$F$1,EOMONTH(BC125,-11),EOMONTH(BC125,1)),BC125)</f>
        <v>41759</v>
      </c>
      <c r="BD126" s="275" t="str">
        <f t="shared" si="87"/>
        <v>20140101LGCME561</v>
      </c>
      <c r="BE126" s="294" t="str">
        <f t="shared" si="88"/>
        <v>20140101PSS</v>
      </c>
      <c r="BF126">
        <f>MiscData!$X$5</f>
        <v>20140101</v>
      </c>
      <c r="BI126" s="265">
        <f>IF(BI125+1&gt;MiscData!$Z$42,1,BI125+1)</f>
        <v>9</v>
      </c>
      <c r="BJ126" s="265" t="str">
        <f>VLOOKUP(BI126,MiscData!$Z$5:$AB$46,2,FALSE)</f>
        <v>LGCME561</v>
      </c>
      <c r="BK126" s="265" t="str">
        <f>VLOOKUP(BI126,MiscData!$Z$5:$AB$46,3,FALSE)</f>
        <v>PSS</v>
      </c>
    </row>
    <row r="127" spans="1:63" hidden="1">
      <c r="A127" s="275">
        <v>118</v>
      </c>
      <c r="B127" s="276" t="str">
        <f t="shared" si="80"/>
        <v>Apr 2014</v>
      </c>
      <c r="C127" s="277" t="str">
        <f t="shared" si="81"/>
        <v>PSP</v>
      </c>
      <c r="D127" s="277" t="str">
        <f t="shared" si="82"/>
        <v>LGCME563</v>
      </c>
      <c r="E127" s="278">
        <f t="shared" si="48"/>
        <v>55</v>
      </c>
      <c r="F127" s="279">
        <v>0</v>
      </c>
      <c r="G127" s="278">
        <f t="shared" si="49"/>
        <v>0</v>
      </c>
      <c r="H127" s="278">
        <f t="shared" si="50"/>
        <v>0</v>
      </c>
      <c r="I127" s="278">
        <f t="shared" si="51"/>
        <v>0</v>
      </c>
      <c r="J127" s="278">
        <f t="shared" si="52"/>
        <v>10973920</v>
      </c>
      <c r="K127" s="280">
        <v>0</v>
      </c>
      <c r="L127" s="281">
        <f t="shared" si="53"/>
        <v>0</v>
      </c>
      <c r="M127" s="281">
        <f t="shared" si="54"/>
        <v>23983.9</v>
      </c>
      <c r="N127" s="281">
        <f t="shared" si="55"/>
        <v>0</v>
      </c>
      <c r="O127" s="282">
        <v>0</v>
      </c>
      <c r="P127" s="282">
        <v>98.8</v>
      </c>
      <c r="Q127" s="282">
        <v>0</v>
      </c>
      <c r="R127" s="283">
        <f>SUMIF(L_Rates_Tariff_Rate_Category,BD127,L_Rates_BSC)</f>
        <v>170</v>
      </c>
      <c r="S127" s="284">
        <f t="shared" si="90"/>
        <v>3.9260000000000003E-2</v>
      </c>
      <c r="T127" s="284">
        <f t="shared" si="57"/>
        <v>0</v>
      </c>
      <c r="U127" s="284">
        <f t="shared" si="58"/>
        <v>0</v>
      </c>
      <c r="V127" s="284">
        <f t="shared" si="59"/>
        <v>2.725E-2</v>
      </c>
      <c r="W127" s="283">
        <f t="shared" si="60"/>
        <v>0</v>
      </c>
      <c r="X127" s="283">
        <f t="shared" si="61"/>
        <v>11.660000000000002</v>
      </c>
      <c r="Y127" s="283">
        <f t="shared" si="62"/>
        <v>13.950000000000001</v>
      </c>
      <c r="Z127" s="285">
        <f t="shared" si="63"/>
        <v>9350</v>
      </c>
      <c r="AA127" s="285">
        <f t="shared" si="64"/>
        <v>430836.1</v>
      </c>
      <c r="AB127" s="285">
        <f t="shared" si="83"/>
        <v>0</v>
      </c>
      <c r="AC127" s="285">
        <f t="shared" si="84"/>
        <v>279652.27</v>
      </c>
      <c r="AD127" s="285">
        <f t="shared" si="85"/>
        <v>0</v>
      </c>
      <c r="AE127" s="286">
        <v>0</v>
      </c>
      <c r="AF127" s="287">
        <f t="shared" si="65"/>
        <v>12459.86</v>
      </c>
      <c r="AG127" s="288">
        <f t="shared" si="66"/>
        <v>1152.01</v>
      </c>
      <c r="AH127" s="285">
        <f t="shared" si="67"/>
        <v>293264.14</v>
      </c>
      <c r="AI127" s="286">
        <v>22.67</v>
      </c>
      <c r="AJ127" s="286">
        <v>0.01</v>
      </c>
      <c r="AK127" s="286">
        <v>-545.67999999999995</v>
      </c>
      <c r="AL127" s="285">
        <f t="shared" si="68"/>
        <v>732927.24</v>
      </c>
      <c r="AM127" s="285">
        <f t="shared" si="69"/>
        <v>732927.24</v>
      </c>
      <c r="AN127" s="289">
        <f t="shared" si="86"/>
        <v>1</v>
      </c>
      <c r="AO127" s="290">
        <f t="shared" si="70"/>
        <v>16654.349999999999</v>
      </c>
      <c r="AP127" s="290">
        <f t="shared" si="71"/>
        <v>15146.98</v>
      </c>
      <c r="AQ127" s="290">
        <f t="shared" si="72"/>
        <v>13393.98</v>
      </c>
      <c r="AR127" s="290">
        <f t="shared" si="73"/>
        <v>0</v>
      </c>
      <c r="AS127" s="290">
        <f t="shared" si="74"/>
        <v>0</v>
      </c>
      <c r="AT127" s="290">
        <f t="shared" si="75"/>
        <v>778122.55</v>
      </c>
      <c r="AU127" s="291">
        <f t="shared" si="76"/>
        <v>778122.54999999993</v>
      </c>
      <c r="AV127" s="291">
        <f t="shared" si="91"/>
        <v>0</v>
      </c>
      <c r="AW127" s="292">
        <f t="shared" si="78"/>
        <v>299039.32</v>
      </c>
      <c r="AX127" s="293">
        <f t="shared" si="79"/>
        <v>131796.78999999998</v>
      </c>
      <c r="BC127" s="276">
        <f>IF(BI127=1,IF(BC126=MiscData!$F$1,EOMONTH(BC126,-11),EOMONTH(BC126,1)),BC126)</f>
        <v>41759</v>
      </c>
      <c r="BD127" s="275" t="str">
        <f t="shared" si="87"/>
        <v>20140101LGCME563</v>
      </c>
      <c r="BE127" s="294" t="str">
        <f t="shared" si="88"/>
        <v>20140101PSP</v>
      </c>
      <c r="BF127">
        <f>MiscData!$X$5</f>
        <v>20140101</v>
      </c>
      <c r="BI127" s="265">
        <f>IF(BI126+1&gt;MiscData!$Z$42,1,BI126+1)</f>
        <v>10</v>
      </c>
      <c r="BJ127" s="265" t="str">
        <f>VLOOKUP(BI127,MiscData!$Z$5:$AB$46,2,FALSE)</f>
        <v>LGCME563</v>
      </c>
      <c r="BK127" s="265" t="str">
        <f>VLOOKUP(BI127,MiscData!$Z$5:$AB$46,3,FALSE)</f>
        <v>PSP</v>
      </c>
    </row>
    <row r="128" spans="1:63" hidden="1">
      <c r="A128" s="275">
        <v>119</v>
      </c>
      <c r="B128" s="276" t="str">
        <f t="shared" si="80"/>
        <v>Apr 2014</v>
      </c>
      <c r="C128" s="277" t="str">
        <f t="shared" si="81"/>
        <v>PSS</v>
      </c>
      <c r="D128" s="277" t="str">
        <f t="shared" si="82"/>
        <v>LGCME567</v>
      </c>
      <c r="E128" s="278">
        <f t="shared" si="48"/>
        <v>1</v>
      </c>
      <c r="F128" s="279">
        <v>0</v>
      </c>
      <c r="G128" s="278">
        <f t="shared" si="49"/>
        <v>0</v>
      </c>
      <c r="H128" s="278">
        <f t="shared" si="50"/>
        <v>0</v>
      </c>
      <c r="I128" s="278">
        <f t="shared" si="51"/>
        <v>0</v>
      </c>
      <c r="J128" s="278">
        <f t="shared" si="52"/>
        <v>89040</v>
      </c>
      <c r="K128" s="280">
        <v>0</v>
      </c>
      <c r="L128" s="281">
        <f t="shared" si="53"/>
        <v>0</v>
      </c>
      <c r="M128" s="281">
        <f t="shared" si="54"/>
        <v>233.4</v>
      </c>
      <c r="N128" s="281">
        <f t="shared" si="55"/>
        <v>0</v>
      </c>
      <c r="O128" s="282">
        <v>0</v>
      </c>
      <c r="P128" s="282">
        <v>1.55</v>
      </c>
      <c r="Q128" s="282">
        <v>0</v>
      </c>
      <c r="R128" s="283">
        <f t="shared" si="56"/>
        <v>90</v>
      </c>
      <c r="S128" s="284">
        <f t="shared" si="90"/>
        <v>4.0599999999999997E-2</v>
      </c>
      <c r="T128" s="284">
        <f t="shared" si="57"/>
        <v>0</v>
      </c>
      <c r="U128" s="284">
        <f t="shared" si="58"/>
        <v>0</v>
      </c>
      <c r="V128" s="284">
        <f t="shared" si="59"/>
        <v>2.725E-2</v>
      </c>
      <c r="W128" s="283">
        <f t="shared" si="60"/>
        <v>0</v>
      </c>
      <c r="X128" s="283">
        <f t="shared" si="61"/>
        <v>14.010000000000002</v>
      </c>
      <c r="Y128" s="283">
        <f t="shared" si="62"/>
        <v>16.399999999999999</v>
      </c>
      <c r="Z128" s="285">
        <f t="shared" si="63"/>
        <v>90</v>
      </c>
      <c r="AA128" s="285">
        <f t="shared" si="64"/>
        <v>3615.02</v>
      </c>
      <c r="AB128" s="285">
        <f t="shared" si="83"/>
        <v>0</v>
      </c>
      <c r="AC128" s="285">
        <f t="shared" si="84"/>
        <v>3269.93</v>
      </c>
      <c r="AD128" s="285">
        <f t="shared" si="85"/>
        <v>0</v>
      </c>
      <c r="AE128" s="286">
        <v>0</v>
      </c>
      <c r="AF128" s="287">
        <f t="shared" si="65"/>
        <v>0</v>
      </c>
      <c r="AG128" s="288">
        <f t="shared" si="66"/>
        <v>21.72</v>
      </c>
      <c r="AH128" s="285">
        <f t="shared" si="67"/>
        <v>3291.6499999999996</v>
      </c>
      <c r="AI128" s="286">
        <v>0</v>
      </c>
      <c r="AJ128" s="286">
        <v>0</v>
      </c>
      <c r="AK128" s="286">
        <v>0</v>
      </c>
      <c r="AL128" s="285">
        <f t="shared" si="68"/>
        <v>6996.67</v>
      </c>
      <c r="AM128" s="285">
        <f t="shared" si="69"/>
        <v>6996.67</v>
      </c>
      <c r="AN128" s="289">
        <f t="shared" si="86"/>
        <v>1</v>
      </c>
      <c r="AO128" s="290">
        <f t="shared" si="70"/>
        <v>195.89</v>
      </c>
      <c r="AP128" s="290">
        <f t="shared" si="71"/>
        <v>101.51</v>
      </c>
      <c r="AQ128" s="290">
        <f t="shared" si="72"/>
        <v>131.28</v>
      </c>
      <c r="AR128" s="290">
        <f t="shared" si="73"/>
        <v>0</v>
      </c>
      <c r="AS128" s="290">
        <f t="shared" si="74"/>
        <v>0</v>
      </c>
      <c r="AT128" s="290">
        <f t="shared" si="75"/>
        <v>7425.35</v>
      </c>
      <c r="AU128" s="291">
        <f t="shared" si="76"/>
        <v>7425.35</v>
      </c>
      <c r="AV128" s="291">
        <f t="shared" si="91"/>
        <v>0</v>
      </c>
      <c r="AW128" s="292">
        <f t="shared" si="78"/>
        <v>2426.34</v>
      </c>
      <c r="AX128" s="293">
        <f t="shared" si="79"/>
        <v>1188.6799999999998</v>
      </c>
      <c r="BC128" s="276">
        <f>IF(BI128=1,IF(BC127=MiscData!$F$1,EOMONTH(BC127,-11),EOMONTH(BC127,1)),BC127)</f>
        <v>41759</v>
      </c>
      <c r="BD128" s="275" t="str">
        <f t="shared" si="87"/>
        <v>20140101LGCME567</v>
      </c>
      <c r="BE128" s="294" t="str">
        <f t="shared" si="88"/>
        <v>20140101PSS</v>
      </c>
      <c r="BF128">
        <f>MiscData!$X$5</f>
        <v>20140101</v>
      </c>
      <c r="BI128" s="265">
        <f>IF(BI127+1&gt;MiscData!$Z$42,1,BI127+1)</f>
        <v>11</v>
      </c>
      <c r="BJ128" s="265" t="str">
        <f>VLOOKUP(BI128,MiscData!$Z$5:$AB$46,2,FALSE)</f>
        <v>LGCME567</v>
      </c>
      <c r="BK128" s="265" t="str">
        <f>VLOOKUP(BI128,MiscData!$Z$5:$AB$46,3,FALSE)</f>
        <v>PSS</v>
      </c>
    </row>
    <row r="129" spans="1:63" hidden="1">
      <c r="A129" s="275">
        <v>120</v>
      </c>
      <c r="B129" s="276" t="str">
        <f t="shared" si="80"/>
        <v>Apr 2014</v>
      </c>
      <c r="C129" s="277" t="str">
        <f t="shared" si="81"/>
        <v>TODS</v>
      </c>
      <c r="D129" s="277" t="str">
        <f t="shared" si="82"/>
        <v>LGCME591</v>
      </c>
      <c r="E129" s="278">
        <f t="shared" si="48"/>
        <v>205</v>
      </c>
      <c r="F129" s="279">
        <v>2</v>
      </c>
      <c r="G129" s="278">
        <f t="shared" si="49"/>
        <v>0</v>
      </c>
      <c r="H129" s="278">
        <f t="shared" si="50"/>
        <v>0</v>
      </c>
      <c r="I129" s="278">
        <f t="shared" si="51"/>
        <v>0</v>
      </c>
      <c r="J129" s="278">
        <f t="shared" si="52"/>
        <v>51325675</v>
      </c>
      <c r="K129" s="280">
        <v>0</v>
      </c>
      <c r="L129" s="281">
        <f t="shared" si="53"/>
        <v>112917.5</v>
      </c>
      <c r="M129" s="281">
        <f t="shared" si="54"/>
        <v>111337.7</v>
      </c>
      <c r="N129" s="281">
        <f t="shared" si="55"/>
        <v>108054</v>
      </c>
      <c r="O129" s="282">
        <v>7481.27</v>
      </c>
      <c r="P129" s="282">
        <v>323.55</v>
      </c>
      <c r="Q129" s="282">
        <v>596.95000000000005</v>
      </c>
      <c r="R129" s="283">
        <f t="shared" si="56"/>
        <v>200</v>
      </c>
      <c r="S129" s="284">
        <f t="shared" si="90"/>
        <v>3.9899999999999998E-2</v>
      </c>
      <c r="T129" s="284">
        <f t="shared" si="57"/>
        <v>0</v>
      </c>
      <c r="U129" s="284">
        <f t="shared" si="58"/>
        <v>0</v>
      </c>
      <c r="V129" s="284">
        <f t="shared" si="59"/>
        <v>2.725E-2</v>
      </c>
      <c r="W129" s="283">
        <f t="shared" si="60"/>
        <v>4</v>
      </c>
      <c r="X129" s="283">
        <f t="shared" si="61"/>
        <v>4.5100000000000007</v>
      </c>
      <c r="Y129" s="283">
        <f t="shared" si="62"/>
        <v>6.11</v>
      </c>
      <c r="Z129" s="285">
        <f t="shared" si="63"/>
        <v>41400</v>
      </c>
      <c r="AA129" s="285">
        <f t="shared" si="64"/>
        <v>2047894.43</v>
      </c>
      <c r="AB129" s="285">
        <f t="shared" si="83"/>
        <v>451670</v>
      </c>
      <c r="AC129" s="285">
        <f t="shared" si="84"/>
        <v>502133.03</v>
      </c>
      <c r="AD129" s="285">
        <f t="shared" si="85"/>
        <v>660209.93999999994</v>
      </c>
      <c r="AE129" s="286">
        <v>1755</v>
      </c>
      <c r="AF129" s="287">
        <f t="shared" si="65"/>
        <v>16204.97</v>
      </c>
      <c r="AG129" s="288">
        <f t="shared" si="66"/>
        <v>35031.660000000003</v>
      </c>
      <c r="AH129" s="285">
        <f t="shared" si="67"/>
        <v>1667004.5999999999</v>
      </c>
      <c r="AI129" s="286">
        <v>-1527.82</v>
      </c>
      <c r="AJ129" s="286">
        <v>0.03</v>
      </c>
      <c r="AK129" s="286">
        <v>-9323.93</v>
      </c>
      <c r="AL129" s="285">
        <f t="shared" si="68"/>
        <v>3745447.31</v>
      </c>
      <c r="AM129" s="285">
        <f t="shared" si="69"/>
        <v>3745447.31</v>
      </c>
      <c r="AN129" s="289">
        <f t="shared" si="86"/>
        <v>1</v>
      </c>
      <c r="AO129" s="290">
        <f t="shared" si="70"/>
        <v>78793.06</v>
      </c>
      <c r="AP129" s="290">
        <f t="shared" si="71"/>
        <v>38606.04</v>
      </c>
      <c r="AQ129" s="290">
        <f t="shared" si="72"/>
        <v>71027.44</v>
      </c>
      <c r="AR129" s="290">
        <f t="shared" si="73"/>
        <v>0</v>
      </c>
      <c r="AS129" s="290">
        <f t="shared" si="74"/>
        <v>0</v>
      </c>
      <c r="AT129" s="290">
        <f t="shared" si="75"/>
        <v>3933873.85</v>
      </c>
      <c r="AU129" s="291">
        <f t="shared" si="76"/>
        <v>3933873.85</v>
      </c>
      <c r="AV129" s="291">
        <f t="shared" si="91"/>
        <v>0</v>
      </c>
      <c r="AW129" s="292">
        <f t="shared" si="78"/>
        <v>1398624.64</v>
      </c>
      <c r="AX129" s="293">
        <f t="shared" si="79"/>
        <v>649269.82000000007</v>
      </c>
      <c r="BC129" s="276">
        <f>IF(BI129=1,IF(BC128=MiscData!$F$1,EOMONTH(BC128,-11),EOMONTH(BC128,1)),BC128)</f>
        <v>41759</v>
      </c>
      <c r="BD129" s="275" t="str">
        <f t="shared" si="87"/>
        <v>20140101LGCME591</v>
      </c>
      <c r="BE129" s="294" t="str">
        <f t="shared" si="88"/>
        <v>20140101TODS</v>
      </c>
      <c r="BF129">
        <f>MiscData!$X$5</f>
        <v>20140101</v>
      </c>
      <c r="BI129" s="265">
        <f>IF(BI128+1&gt;MiscData!$Z$42,1,BI128+1)</f>
        <v>12</v>
      </c>
      <c r="BJ129" s="265" t="str">
        <f>VLOOKUP(BI129,MiscData!$Z$5:$AB$46,2,FALSE)</f>
        <v>LGCME591</v>
      </c>
      <c r="BK129" s="265" t="str">
        <f>VLOOKUP(BI129,MiscData!$Z$5:$AB$46,3,FALSE)</f>
        <v>TODS</v>
      </c>
    </row>
    <row r="130" spans="1:63" hidden="1">
      <c r="A130" s="275">
        <v>121</v>
      </c>
      <c r="B130" s="276" t="str">
        <f t="shared" si="80"/>
        <v>Apr 2014</v>
      </c>
      <c r="C130" s="277" t="str">
        <f t="shared" si="81"/>
        <v>CTODP</v>
      </c>
      <c r="D130" s="277" t="str">
        <f t="shared" si="82"/>
        <v>LGCME593</v>
      </c>
      <c r="E130" s="278">
        <f t="shared" si="48"/>
        <v>34</v>
      </c>
      <c r="F130" s="279">
        <v>1</v>
      </c>
      <c r="G130" s="278">
        <f t="shared" si="49"/>
        <v>0</v>
      </c>
      <c r="H130" s="278">
        <f t="shared" si="50"/>
        <v>0</v>
      </c>
      <c r="I130" s="278">
        <f t="shared" si="51"/>
        <v>0</v>
      </c>
      <c r="J130" s="278">
        <f t="shared" si="52"/>
        <v>28902300</v>
      </c>
      <c r="K130" s="280">
        <v>0</v>
      </c>
      <c r="L130" s="281">
        <f t="shared" si="53"/>
        <v>64723.1</v>
      </c>
      <c r="M130" s="281">
        <f t="shared" si="54"/>
        <v>64244.4</v>
      </c>
      <c r="N130" s="281">
        <f t="shared" si="55"/>
        <v>61843.6</v>
      </c>
      <c r="O130" s="282">
        <v>5890.5999999999913</v>
      </c>
      <c r="P130" s="282">
        <v>715.19999999999709</v>
      </c>
      <c r="Q130" s="282">
        <v>918.69999999999709</v>
      </c>
      <c r="R130" s="283">
        <f t="shared" si="56"/>
        <v>300</v>
      </c>
      <c r="S130" s="284">
        <f t="shared" si="90"/>
        <v>3.8100000000000002E-2</v>
      </c>
      <c r="T130" s="284">
        <f t="shared" si="57"/>
        <v>0</v>
      </c>
      <c r="U130" s="284">
        <f t="shared" si="58"/>
        <v>0</v>
      </c>
      <c r="V130" s="284">
        <f t="shared" si="59"/>
        <v>2.725E-2</v>
      </c>
      <c r="W130" s="283">
        <f t="shared" si="60"/>
        <v>3.9800000000000004</v>
      </c>
      <c r="X130" s="283">
        <f t="shared" si="61"/>
        <v>4.13</v>
      </c>
      <c r="Y130" s="283">
        <f t="shared" si="62"/>
        <v>5.83</v>
      </c>
      <c r="Z130" s="285">
        <f t="shared" si="63"/>
        <v>10500</v>
      </c>
      <c r="AA130" s="285">
        <f t="shared" si="64"/>
        <v>1101177.6299999999</v>
      </c>
      <c r="AB130" s="285">
        <f t="shared" si="83"/>
        <v>257597.94</v>
      </c>
      <c r="AC130" s="285">
        <f t="shared" si="84"/>
        <v>265329.37</v>
      </c>
      <c r="AD130" s="285">
        <f t="shared" si="85"/>
        <v>360548.19</v>
      </c>
      <c r="AE130" s="286">
        <v>0</v>
      </c>
      <c r="AF130" s="287">
        <f t="shared" si="65"/>
        <v>0</v>
      </c>
      <c r="AG130" s="288">
        <f t="shared" si="66"/>
        <v>31754.38</v>
      </c>
      <c r="AH130" s="285">
        <f t="shared" si="67"/>
        <v>915229.88</v>
      </c>
      <c r="AI130" s="286">
        <v>0</v>
      </c>
      <c r="AJ130" s="286">
        <v>0</v>
      </c>
      <c r="AK130" s="286">
        <v>0.05</v>
      </c>
      <c r="AL130" s="285">
        <f t="shared" si="68"/>
        <v>2026907.5599999998</v>
      </c>
      <c r="AM130" s="285">
        <f t="shared" si="69"/>
        <v>2026907.56</v>
      </c>
      <c r="AN130" s="289">
        <f t="shared" si="86"/>
        <v>1</v>
      </c>
      <c r="AO130" s="290">
        <f t="shared" si="70"/>
        <v>49597.57</v>
      </c>
      <c r="AP130" s="290">
        <f t="shared" si="71"/>
        <v>21597.68</v>
      </c>
      <c r="AQ130" s="290">
        <f t="shared" si="72"/>
        <v>37056.83</v>
      </c>
      <c r="AR130" s="290">
        <f t="shared" si="73"/>
        <v>0</v>
      </c>
      <c r="AS130" s="290">
        <f t="shared" si="74"/>
        <v>0</v>
      </c>
      <c r="AT130" s="290">
        <f t="shared" si="75"/>
        <v>2135159.64</v>
      </c>
      <c r="AU130" s="291">
        <f t="shared" si="76"/>
        <v>2135159.64</v>
      </c>
      <c r="AV130" s="291">
        <f t="shared" si="91"/>
        <v>0</v>
      </c>
      <c r="AW130" s="292">
        <f t="shared" si="78"/>
        <v>787587.68</v>
      </c>
      <c r="AX130" s="293">
        <f t="shared" si="79"/>
        <v>313589.94999999984</v>
      </c>
      <c r="BC130" s="276">
        <f>IF(BI130=1,IF(BC129=MiscData!$F$1,EOMONTH(BC129,-11),EOMONTH(BC129,1)),BC129)</f>
        <v>41759</v>
      </c>
      <c r="BD130" s="275" t="str">
        <f>CONCATENATE(BF130&amp;BJ130)</f>
        <v>20140101LGCME593</v>
      </c>
      <c r="BE130" s="294" t="str">
        <f t="shared" si="88"/>
        <v>20140101CTODP</v>
      </c>
      <c r="BF130">
        <f>MiscData!$X$5</f>
        <v>20140101</v>
      </c>
      <c r="BI130" s="265">
        <f>IF(BI129+1&gt;MiscData!$Z$42,1,BI129+1)</f>
        <v>13</v>
      </c>
      <c r="BJ130" s="265" t="str">
        <f>VLOOKUP(BI130,MiscData!$Z$5:$AB$46,2,FALSE)</f>
        <v>LGCME593</v>
      </c>
      <c r="BK130" s="265" t="str">
        <f>VLOOKUP(BI130,MiscData!$Z$5:$AB$46,3,FALSE)</f>
        <v>CTODP</v>
      </c>
    </row>
    <row r="131" spans="1:63" hidden="1">
      <c r="A131" s="275">
        <v>122</v>
      </c>
      <c r="B131" s="276" t="str">
        <f t="shared" si="80"/>
        <v>Apr 2014</v>
      </c>
      <c r="C131" s="277" t="str">
        <f t="shared" si="81"/>
        <v>GS3</v>
      </c>
      <c r="D131" s="277" t="str">
        <f t="shared" si="82"/>
        <v>LGCME650</v>
      </c>
      <c r="E131" s="278">
        <f t="shared" si="48"/>
        <v>0</v>
      </c>
      <c r="F131" s="279">
        <v>0</v>
      </c>
      <c r="G131" s="278">
        <f t="shared" si="49"/>
        <v>0</v>
      </c>
      <c r="H131" s="278">
        <f t="shared" si="50"/>
        <v>0</v>
      </c>
      <c r="I131" s="278">
        <f t="shared" si="51"/>
        <v>0</v>
      </c>
      <c r="J131" s="278">
        <f t="shared" si="52"/>
        <v>0</v>
      </c>
      <c r="K131" s="280">
        <v>0</v>
      </c>
      <c r="L131" s="281">
        <f t="shared" si="53"/>
        <v>0</v>
      </c>
      <c r="M131" s="281">
        <f t="shared" si="54"/>
        <v>0</v>
      </c>
      <c r="N131" s="281">
        <f t="shared" si="55"/>
        <v>0</v>
      </c>
      <c r="O131" s="282">
        <v>0</v>
      </c>
      <c r="P131" s="282">
        <v>0</v>
      </c>
      <c r="Q131" s="282">
        <v>0</v>
      </c>
      <c r="R131" s="283">
        <f>SUMIF(L_Rates_Tariff_Rate_Category,BD131,L_Rates_BSC)</f>
        <v>35</v>
      </c>
      <c r="S131" s="284">
        <f t="shared" si="90"/>
        <v>9.1340000000000005E-2</v>
      </c>
      <c r="T131" s="284">
        <f t="shared" si="57"/>
        <v>0</v>
      </c>
      <c r="U131" s="284">
        <f t="shared" si="58"/>
        <v>0</v>
      </c>
      <c r="V131" s="284">
        <f t="shared" si="59"/>
        <v>2.725E-2</v>
      </c>
      <c r="W131" s="283">
        <f t="shared" si="60"/>
        <v>0</v>
      </c>
      <c r="X131" s="283">
        <f t="shared" si="61"/>
        <v>0</v>
      </c>
      <c r="Y131" s="283">
        <f t="shared" si="62"/>
        <v>0</v>
      </c>
      <c r="Z131" s="285">
        <f t="shared" si="63"/>
        <v>0</v>
      </c>
      <c r="AA131" s="285">
        <f t="shared" si="64"/>
        <v>0</v>
      </c>
      <c r="AB131" s="285">
        <f t="shared" si="83"/>
        <v>0</v>
      </c>
      <c r="AC131" s="285">
        <f t="shared" si="84"/>
        <v>0</v>
      </c>
      <c r="AD131" s="285">
        <f t="shared" si="85"/>
        <v>0</v>
      </c>
      <c r="AE131" s="286">
        <v>0</v>
      </c>
      <c r="AF131" s="287">
        <f t="shared" si="65"/>
        <v>0</v>
      </c>
      <c r="AG131" s="288">
        <f t="shared" si="66"/>
        <v>0</v>
      </c>
      <c r="AH131" s="285">
        <f t="shared" si="67"/>
        <v>0</v>
      </c>
      <c r="AI131" s="286">
        <v>0</v>
      </c>
      <c r="AJ131" s="286">
        <v>0</v>
      </c>
      <c r="AK131" s="286">
        <v>0</v>
      </c>
      <c r="AL131" s="285">
        <f t="shared" si="68"/>
        <v>0</v>
      </c>
      <c r="AM131" s="285">
        <f t="shared" si="69"/>
        <v>0</v>
      </c>
      <c r="AN131" s="289">
        <f t="shared" si="86"/>
        <v>1</v>
      </c>
      <c r="AO131" s="290">
        <f t="shared" si="70"/>
        <v>0</v>
      </c>
      <c r="AP131" s="290">
        <f t="shared" si="71"/>
        <v>0</v>
      </c>
      <c r="AQ131" s="290">
        <f t="shared" si="72"/>
        <v>0</v>
      </c>
      <c r="AR131" s="290">
        <f t="shared" si="73"/>
        <v>0</v>
      </c>
      <c r="AS131" s="290">
        <f t="shared" si="74"/>
        <v>0</v>
      </c>
      <c r="AT131" s="290">
        <f t="shared" si="75"/>
        <v>0</v>
      </c>
      <c r="AU131" s="291">
        <f t="shared" si="76"/>
        <v>0</v>
      </c>
      <c r="AV131" s="291">
        <f t="shared" si="91"/>
        <v>0</v>
      </c>
      <c r="AW131" s="292">
        <f t="shared" si="78"/>
        <v>0</v>
      </c>
      <c r="AX131" s="293">
        <f t="shared" si="79"/>
        <v>0</v>
      </c>
      <c r="BC131" s="276">
        <f>IF(BI131=1,IF(BC130=MiscData!$F$1,EOMONTH(BC130,-11),EOMONTH(BC130,1)),BC130)</f>
        <v>41759</v>
      </c>
      <c r="BD131" s="275" t="str">
        <f t="shared" si="87"/>
        <v>20140101LGCME650</v>
      </c>
      <c r="BE131" s="294" t="str">
        <f t="shared" si="88"/>
        <v>20140101GS3</v>
      </c>
      <c r="BF131">
        <f>MiscData!$X$5</f>
        <v>20140101</v>
      </c>
      <c r="BI131" s="265">
        <f>IF(BI130+1&gt;MiscData!$Z$42,1,BI130+1)</f>
        <v>14</v>
      </c>
      <c r="BJ131" s="265" t="str">
        <f>VLOOKUP(BI131,MiscData!$Z$5:$AB$46,2,FALSE)</f>
        <v>LGCME650</v>
      </c>
      <c r="BK131" s="265" t="str">
        <f>VLOOKUP(BI131,MiscData!$Z$5:$AB$46,3,FALSE)</f>
        <v>GS3</v>
      </c>
    </row>
    <row r="132" spans="1:63" hidden="1">
      <c r="A132" s="275">
        <v>123</v>
      </c>
      <c r="B132" s="276" t="str">
        <f t="shared" si="80"/>
        <v>Apr 2014</v>
      </c>
      <c r="C132" s="277" t="str">
        <f t="shared" si="81"/>
        <v>GS3</v>
      </c>
      <c r="D132" s="277" t="str">
        <f t="shared" si="82"/>
        <v>LGCME651</v>
      </c>
      <c r="E132" s="278">
        <f t="shared" ref="E132:E195" si="94">SUMIFS(L_1022_Count,L_1022_Revenue_Month,$B132,L_1022_Rate_Category,$D132)</f>
        <v>14497</v>
      </c>
      <c r="F132" s="279">
        <v>85</v>
      </c>
      <c r="G132" s="278">
        <f t="shared" ref="G132:G195" si="95">SUMIFS(L_1022_KWH_P1,L_1022_Revenue_Month,$B132,L_1022_Rate_Category,$D132)</f>
        <v>0</v>
      </c>
      <c r="H132" s="278">
        <f t="shared" ref="H132:H195" si="96">SUMIFS(L_1022_KWH_P2,L_1022_Revenue_Month,$B132,L_1022_Rate_Category,$D132)</f>
        <v>0</v>
      </c>
      <c r="I132" s="278">
        <f t="shared" ref="I132:I195" si="97">SUMIFS(L_1022_KWH_P3,L_1022_Revenue_Month,$B132,L_1022_Rate_Category,$D132)</f>
        <v>0</v>
      </c>
      <c r="J132" s="278">
        <f t="shared" ref="J132:J195" si="98">SUMIFS(L_1022_KWH_Total,L_1022_Revenue_Month,$B132,L_1022_Rate_Category,$D132)</f>
        <v>61163635</v>
      </c>
      <c r="K132" s="280">
        <v>0</v>
      </c>
      <c r="L132" s="281">
        <f t="shared" ref="L132:L195" si="99">SUMIFS(L_1022_Demand_Base_Measured,L_1022_Revenue_Month,$B132,L_1022_Rate_Category,$D132)</f>
        <v>175181.6</v>
      </c>
      <c r="M132" s="281">
        <f t="shared" ref="M132:M195" si="100">SUMIFS(L_1022_Demand_Inter_Measured,L_1022_Revenue_Month,$B132,L_1022_Rate_Category,$D132)</f>
        <v>0</v>
      </c>
      <c r="N132" s="281">
        <f t="shared" ref="N132:N195" si="101">SUMIFS(L_1022_Demand_Peak_Measured,L_1022_Revenue_Month,$B132,L_1022_Rate_Category,$D132)</f>
        <v>0</v>
      </c>
      <c r="O132" s="282">
        <v>0</v>
      </c>
      <c r="P132" s="282">
        <v>0</v>
      </c>
      <c r="Q132" s="282">
        <v>0</v>
      </c>
      <c r="R132" s="283">
        <f t="shared" ref="R132:R195" si="102">SUMIF(L_Rates_Tariff_Rate_Category,BD132,L_Rates_BSC)</f>
        <v>35</v>
      </c>
      <c r="S132" s="284">
        <f t="shared" si="90"/>
        <v>9.1340000000000005E-2</v>
      </c>
      <c r="T132" s="284">
        <f t="shared" ref="T132:T195" si="103">SUMIF(L_Rates_Tariff_Rate_Category,$BD132,L_Rates_Energy_P2)</f>
        <v>0</v>
      </c>
      <c r="U132" s="284">
        <f t="shared" ref="U132:U195" si="104">SUMIF(L_Rates_Tariff_Rate_Category,$BD132,L_Rates_Energy_P3)</f>
        <v>0</v>
      </c>
      <c r="V132" s="284">
        <f t="shared" ref="V132:V195" si="105">SUMIF(L_Rates_Tariff_Rate_Category,$BD132,L_Rates_Energy_Base_Fuel)</f>
        <v>2.725E-2</v>
      </c>
      <c r="W132" s="283">
        <f t="shared" ref="W132:W195" si="106">SUMIF(L_Rates_Tariff_Rate_Category,$BD132,L_Rates_Demand_Base)</f>
        <v>0</v>
      </c>
      <c r="X132" s="283">
        <f t="shared" ref="X132:X195" si="107">SUMIF(L_Rates_Tariff_Rate_Category,$BD132,L_Rates_Demand_Intermediate)</f>
        <v>0</v>
      </c>
      <c r="Y132" s="283">
        <f t="shared" ref="Y132:Y195" si="108">SUMIF(L_Rates_Tariff_Rate_Category,$BD132,L_Rates_Demand_Peak)</f>
        <v>0</v>
      </c>
      <c r="Z132" s="285">
        <f t="shared" ref="Z132:Z195" si="109">ROUND(($E132+$F132)*$R132,2)</f>
        <v>510370</v>
      </c>
      <c r="AA132" s="285">
        <f t="shared" ref="AA132:AA195" si="110">ROUND(IF(G132=0,(J132+K132)*S132,SUMPRODUCT(G132:I132,S132:U132)),2)</f>
        <v>5586686.4199999999</v>
      </c>
      <c r="AB132" s="285">
        <f t="shared" si="83"/>
        <v>0</v>
      </c>
      <c r="AC132" s="285">
        <f t="shared" si="84"/>
        <v>0</v>
      </c>
      <c r="AD132" s="285">
        <f t="shared" si="85"/>
        <v>0</v>
      </c>
      <c r="AE132" s="286">
        <v>0</v>
      </c>
      <c r="AF132" s="287">
        <f t="shared" ref="AF132:AF195" si="111">SUMIFS(L_1022_Revenue_Power_Factor,L_1022_Revenue_Month,$B132,L_1022_Rate_Category,$D132)</f>
        <v>0</v>
      </c>
      <c r="AG132" s="288">
        <f t="shared" ref="AG132:AG195" si="112">ROUND(Q132*Y132+P132*X132+O132*W132,2)</f>
        <v>0</v>
      </c>
      <c r="AH132" s="285">
        <f t="shared" ref="AH132:AH195" si="113">SUM(AB132:AG132)</f>
        <v>0</v>
      </c>
      <c r="AI132" s="286">
        <v>-6667.99</v>
      </c>
      <c r="AJ132" s="286">
        <v>293.99</v>
      </c>
      <c r="AK132" s="286">
        <v>0</v>
      </c>
      <c r="AL132" s="285">
        <f t="shared" ref="AL132:AL195" si="114">SUM(Z132:AG132,AI132:AK132)</f>
        <v>6090682.4199999999</v>
      </c>
      <c r="AM132" s="285">
        <f t="shared" ref="AM132:AM195" si="115">AT132-SUM(AO132:AS132)</f>
        <v>6090682.4199999999</v>
      </c>
      <c r="AN132" s="289">
        <f t="shared" si="86"/>
        <v>1</v>
      </c>
      <c r="AO132" s="290">
        <f t="shared" ref="AO132:AO195" si="116">SUMIFS(L_SBR_FAC,L_SBR_Revenue_Month,$B132,L_SBR_Rate_Category,$D132)</f>
        <v>92074.78</v>
      </c>
      <c r="AP132" s="290">
        <f t="shared" ref="AP132:AP195" si="117">SUMIFS(L_SBR_DSM,L_SBR_Revenue_Month,$B132,L_SBR_Rate_Category,$D132)</f>
        <v>174070.16</v>
      </c>
      <c r="AQ132" s="290">
        <f t="shared" ref="AQ132:AQ195" si="118">SUMIFS(L_SBR_ECR,L_SBR_Revenue_Month,$B132,L_SBR_Rate_Category,$D132)</f>
        <v>137345.28999999998</v>
      </c>
      <c r="AR132" s="290">
        <f t="shared" ref="AR132:AR195" si="119">SUMIFS(L_SBR_MSR,L_SBR_Revenue_Month,$B132,L_SBR_Rate_Category,$D132)</f>
        <v>0</v>
      </c>
      <c r="AS132" s="290">
        <f t="shared" ref="AS132:AS195" si="120">SUMIFS(L_SBR_CSR,L_SBR_Revenue_Month,$B132,L_SBR_Rate_Category,$D132)</f>
        <v>0</v>
      </c>
      <c r="AT132" s="290">
        <f t="shared" ref="AT132:AT195" si="121">SUMIFS(L_SBR_Revenue_Total,L_SBR_Revenue_Month,$B132,L_SBR_Rate_Category,$D132)</f>
        <v>6494172.6500000004</v>
      </c>
      <c r="AU132" s="291">
        <f t="shared" ref="AU132:AU195" si="122">SUM(AL132,AO132:AS132)</f>
        <v>6494172.6500000004</v>
      </c>
      <c r="AV132" s="291">
        <f t="shared" si="91"/>
        <v>0</v>
      </c>
      <c r="AW132" s="292">
        <f t="shared" ref="AW132:AW195" si="123">ROUND(J132*V132,2)</f>
        <v>1666709.05</v>
      </c>
      <c r="AX132" s="293">
        <f t="shared" ref="AX132:AX195" si="124">AA132+AJ132-AW132</f>
        <v>3920271.3600000003</v>
      </c>
      <c r="BC132" s="276">
        <f>IF(BI132=1,IF(BC131=MiscData!$F$1,EOMONTH(BC131,-11),EOMONTH(BC131,1)),BC131)</f>
        <v>41759</v>
      </c>
      <c r="BD132" s="275" t="str">
        <f t="shared" si="87"/>
        <v>20140101LGCME651</v>
      </c>
      <c r="BE132" s="294" t="str">
        <f t="shared" si="88"/>
        <v>20140101GS3</v>
      </c>
      <c r="BF132">
        <f>MiscData!$X$5</f>
        <v>20140101</v>
      </c>
      <c r="BI132" s="265">
        <f>IF(BI131+1&gt;MiscData!$Z$42,1,BI131+1)</f>
        <v>15</v>
      </c>
      <c r="BJ132" s="265" t="str">
        <f>VLOOKUP(BI132,MiscData!$Z$5:$AB$46,2,FALSE)</f>
        <v>LGCME651</v>
      </c>
      <c r="BK132" s="265" t="str">
        <f>VLOOKUP(BI132,MiscData!$Z$5:$AB$46,3,FALSE)</f>
        <v>GS3</v>
      </c>
    </row>
    <row r="133" spans="1:63" hidden="1">
      <c r="A133" s="275">
        <v>124</v>
      </c>
      <c r="B133" s="276" t="str">
        <f t="shared" ref="B133:B196" si="125">TEXT(BC133,"mmm yyyy")</f>
        <v>Apr 2014</v>
      </c>
      <c r="C133" s="277" t="str">
        <f t="shared" ref="C133:C195" si="126">BK133</f>
        <v>GS3</v>
      </c>
      <c r="D133" s="277" t="str">
        <f t="shared" ref="D133:D196" si="127">BJ133</f>
        <v>LGCME652</v>
      </c>
      <c r="E133" s="278">
        <f t="shared" si="94"/>
        <v>667</v>
      </c>
      <c r="F133" s="279">
        <f>-E133</f>
        <v>-667</v>
      </c>
      <c r="G133" s="278">
        <f t="shared" si="95"/>
        <v>0</v>
      </c>
      <c r="H133" s="278">
        <f t="shared" si="96"/>
        <v>0</v>
      </c>
      <c r="I133" s="278">
        <f t="shared" si="97"/>
        <v>0</v>
      </c>
      <c r="J133" s="278">
        <f t="shared" si="98"/>
        <v>1365373</v>
      </c>
      <c r="K133" s="280">
        <v>0</v>
      </c>
      <c r="L133" s="281">
        <f t="shared" si="99"/>
        <v>2754.5</v>
      </c>
      <c r="M133" s="281">
        <f t="shared" si="100"/>
        <v>0</v>
      </c>
      <c r="N133" s="281">
        <f t="shared" si="101"/>
        <v>0</v>
      </c>
      <c r="O133" s="282">
        <v>0</v>
      </c>
      <c r="P133" s="282">
        <v>0</v>
      </c>
      <c r="Q133" s="282">
        <v>0</v>
      </c>
      <c r="R133" s="283">
        <f t="shared" si="102"/>
        <v>0</v>
      </c>
      <c r="S133" s="284">
        <f t="shared" si="90"/>
        <v>9.1340000000000005E-2</v>
      </c>
      <c r="T133" s="284">
        <f t="shared" si="103"/>
        <v>0</v>
      </c>
      <c r="U133" s="284">
        <f t="shared" si="104"/>
        <v>0</v>
      </c>
      <c r="V133" s="284">
        <f t="shared" si="105"/>
        <v>2.725E-2</v>
      </c>
      <c r="W133" s="283">
        <f t="shared" si="106"/>
        <v>0</v>
      </c>
      <c r="X133" s="283">
        <f t="shared" si="107"/>
        <v>0</v>
      </c>
      <c r="Y133" s="283">
        <f t="shared" si="108"/>
        <v>0</v>
      </c>
      <c r="Z133" s="285">
        <f t="shared" si="109"/>
        <v>0</v>
      </c>
      <c r="AA133" s="285">
        <f t="shared" si="110"/>
        <v>124713.17</v>
      </c>
      <c r="AB133" s="285">
        <f t="shared" ref="AB133:AB196" si="128">ROUND(L133*W133,2)</f>
        <v>0</v>
      </c>
      <c r="AC133" s="285">
        <f t="shared" ref="AC133:AC196" si="129">ROUND(M133*X133,2)</f>
        <v>0</v>
      </c>
      <c r="AD133" s="285">
        <f t="shared" ref="AD133:AD196" si="130">ROUND(N133*Y133,2)</f>
        <v>0</v>
      </c>
      <c r="AE133" s="286">
        <v>0</v>
      </c>
      <c r="AF133" s="287">
        <f t="shared" si="111"/>
        <v>0</v>
      </c>
      <c r="AG133" s="288">
        <f t="shared" si="112"/>
        <v>0</v>
      </c>
      <c r="AH133" s="285">
        <f t="shared" si="113"/>
        <v>0</v>
      </c>
      <c r="AI133" s="286">
        <v>0</v>
      </c>
      <c r="AJ133" s="286">
        <v>0.05</v>
      </c>
      <c r="AK133" s="286">
        <v>0</v>
      </c>
      <c r="AL133" s="285">
        <f t="shared" si="114"/>
        <v>124713.22</v>
      </c>
      <c r="AM133" s="285">
        <f t="shared" si="115"/>
        <v>124713.21999999999</v>
      </c>
      <c r="AN133" s="289">
        <f t="shared" ref="AN133:AN196" si="131">IF(AND(AL133=0,AM133=0),1,IF(AL133=0,0,ROUND(AM133/AL133,6)))</f>
        <v>1</v>
      </c>
      <c r="AO133" s="290">
        <f t="shared" si="116"/>
        <v>2045.09</v>
      </c>
      <c r="AP133" s="290">
        <f t="shared" si="117"/>
        <v>4135.51</v>
      </c>
      <c r="AQ133" s="290">
        <f t="shared" si="118"/>
        <v>2738.2</v>
      </c>
      <c r="AR133" s="290">
        <f t="shared" si="119"/>
        <v>0</v>
      </c>
      <c r="AS133" s="290">
        <f t="shared" si="120"/>
        <v>0</v>
      </c>
      <c r="AT133" s="290">
        <f t="shared" si="121"/>
        <v>133632.01999999999</v>
      </c>
      <c r="AU133" s="291">
        <f t="shared" si="122"/>
        <v>133632.01999999999</v>
      </c>
      <c r="AV133" s="291">
        <f t="shared" si="91"/>
        <v>0</v>
      </c>
      <c r="AW133" s="292">
        <f t="shared" si="123"/>
        <v>37206.410000000003</v>
      </c>
      <c r="AX133" s="293">
        <f t="shared" si="124"/>
        <v>87506.81</v>
      </c>
      <c r="BC133" s="276">
        <f>IF(BI133=1,IF(BC132=MiscData!$F$1,EOMONTH(BC132,-11),EOMONTH(BC132,1)),BC132)</f>
        <v>41759</v>
      </c>
      <c r="BD133" s="275" t="str">
        <f t="shared" ref="BD133:BD196" si="132">CONCATENATE(BF133&amp;BJ133)</f>
        <v>20140101LGCME652</v>
      </c>
      <c r="BE133" s="294" t="str">
        <f t="shared" ref="BE133:BE196" si="133">CONCATENATE(BF133&amp;BK133)</f>
        <v>20140101GS3</v>
      </c>
      <c r="BF133">
        <f>MiscData!$X$5</f>
        <v>20140101</v>
      </c>
      <c r="BI133" s="265">
        <f>IF(BI132+1&gt;MiscData!$Z$42,1,BI132+1)</f>
        <v>16</v>
      </c>
      <c r="BJ133" s="265" t="str">
        <f>VLOOKUP(BI133,MiscData!$Z$5:$AB$46,2,FALSE)</f>
        <v>LGCME652</v>
      </c>
      <c r="BK133" s="265" t="str">
        <f>VLOOKUP(BI133,MiscData!$Z$5:$AB$46,3,FALSE)</f>
        <v>GS3</v>
      </c>
    </row>
    <row r="134" spans="1:63" hidden="1">
      <c r="A134" s="275">
        <v>125</v>
      </c>
      <c r="B134" s="276" t="str">
        <f t="shared" si="125"/>
        <v>Apr 2014</v>
      </c>
      <c r="C134" s="277" t="str">
        <f t="shared" si="126"/>
        <v>GS3</v>
      </c>
      <c r="D134" s="277" t="str">
        <f t="shared" si="127"/>
        <v>LGCME657</v>
      </c>
      <c r="E134" s="278">
        <f t="shared" si="94"/>
        <v>8</v>
      </c>
      <c r="F134" s="279">
        <v>0</v>
      </c>
      <c r="G134" s="278">
        <f t="shared" si="95"/>
        <v>0</v>
      </c>
      <c r="H134" s="278">
        <f t="shared" si="96"/>
        <v>0</v>
      </c>
      <c r="I134" s="278">
        <f t="shared" si="97"/>
        <v>0</v>
      </c>
      <c r="J134" s="278">
        <f t="shared" si="98"/>
        <v>123699</v>
      </c>
      <c r="K134" s="280">
        <v>0</v>
      </c>
      <c r="L134" s="281">
        <f t="shared" si="99"/>
        <v>392.2</v>
      </c>
      <c r="M134" s="281">
        <f t="shared" si="100"/>
        <v>0</v>
      </c>
      <c r="N134" s="281">
        <f t="shared" si="101"/>
        <v>0</v>
      </c>
      <c r="O134" s="282">
        <v>0</v>
      </c>
      <c r="P134" s="282">
        <v>0</v>
      </c>
      <c r="Q134" s="282">
        <v>0</v>
      </c>
      <c r="R134" s="283">
        <f t="shared" si="102"/>
        <v>35</v>
      </c>
      <c r="S134" s="284">
        <f t="shared" si="90"/>
        <v>9.1340000000000005E-2</v>
      </c>
      <c r="T134" s="284">
        <f t="shared" si="103"/>
        <v>0</v>
      </c>
      <c r="U134" s="284">
        <f t="shared" si="104"/>
        <v>0</v>
      </c>
      <c r="V134" s="284">
        <f t="shared" si="105"/>
        <v>2.725E-2</v>
      </c>
      <c r="W134" s="283">
        <f t="shared" si="106"/>
        <v>0</v>
      </c>
      <c r="X134" s="283">
        <f t="shared" si="107"/>
        <v>0</v>
      </c>
      <c r="Y134" s="283">
        <f t="shared" si="108"/>
        <v>0</v>
      </c>
      <c r="Z134" s="285">
        <f t="shared" si="109"/>
        <v>280</v>
      </c>
      <c r="AA134" s="285">
        <f t="shared" si="110"/>
        <v>11298.67</v>
      </c>
      <c r="AB134" s="285">
        <f t="shared" si="128"/>
        <v>0</v>
      </c>
      <c r="AC134" s="285">
        <f t="shared" si="129"/>
        <v>0</v>
      </c>
      <c r="AD134" s="285">
        <f t="shared" si="130"/>
        <v>0</v>
      </c>
      <c r="AE134" s="286">
        <v>0</v>
      </c>
      <c r="AF134" s="287">
        <f t="shared" si="111"/>
        <v>0</v>
      </c>
      <c r="AG134" s="288">
        <f t="shared" si="112"/>
        <v>0</v>
      </c>
      <c r="AH134" s="285">
        <f t="shared" si="113"/>
        <v>0</v>
      </c>
      <c r="AI134" s="286">
        <v>0</v>
      </c>
      <c r="AJ134" s="286">
        <v>-0.01</v>
      </c>
      <c r="AK134" s="286">
        <v>0</v>
      </c>
      <c r="AL134" s="285">
        <f t="shared" si="114"/>
        <v>11578.66</v>
      </c>
      <c r="AM134" s="285">
        <f t="shared" si="115"/>
        <v>11578.66</v>
      </c>
      <c r="AN134" s="289">
        <f t="shared" si="131"/>
        <v>1</v>
      </c>
      <c r="AO134" s="290">
        <f t="shared" si="116"/>
        <v>190.91</v>
      </c>
      <c r="AP134" s="290">
        <f t="shared" si="117"/>
        <v>373.79</v>
      </c>
      <c r="AQ134" s="290">
        <f t="shared" si="118"/>
        <v>255.41</v>
      </c>
      <c r="AR134" s="290">
        <f t="shared" si="119"/>
        <v>0</v>
      </c>
      <c r="AS134" s="290">
        <f t="shared" si="120"/>
        <v>0</v>
      </c>
      <c r="AT134" s="290">
        <f t="shared" si="121"/>
        <v>12398.77</v>
      </c>
      <c r="AU134" s="291">
        <f t="shared" si="122"/>
        <v>12398.77</v>
      </c>
      <c r="AV134" s="291">
        <f t="shared" si="91"/>
        <v>0</v>
      </c>
      <c r="AW134" s="292">
        <f t="shared" si="123"/>
        <v>3370.8</v>
      </c>
      <c r="AX134" s="293">
        <f t="shared" si="124"/>
        <v>7927.86</v>
      </c>
      <c r="BC134" s="276">
        <f>IF(BI134=1,IF(BC133=MiscData!$F$1,EOMONTH(BC133,-11),EOMONTH(BC133,1)),BC133)</f>
        <v>41759</v>
      </c>
      <c r="BD134" s="275" t="str">
        <f t="shared" si="132"/>
        <v>20140101LGCME657</v>
      </c>
      <c r="BE134" s="294" t="str">
        <f t="shared" si="133"/>
        <v>20140101GS3</v>
      </c>
      <c r="BF134">
        <f>MiscData!$X$5</f>
        <v>20140101</v>
      </c>
      <c r="BI134" s="265">
        <f>IF(BI133+1&gt;MiscData!$Z$42,1,BI133+1)</f>
        <v>17</v>
      </c>
      <c r="BJ134" s="265" t="str">
        <f>VLOOKUP(BI134,MiscData!$Z$5:$AB$46,2,FALSE)</f>
        <v>LGCME657</v>
      </c>
      <c r="BK134" s="265" t="str">
        <f>VLOOKUP(BI134,MiscData!$Z$5:$AB$46,3,FALSE)</f>
        <v>GS3</v>
      </c>
    </row>
    <row r="135" spans="1:63" hidden="1">
      <c r="A135" s="275">
        <v>126</v>
      </c>
      <c r="B135" s="276" t="str">
        <f t="shared" si="125"/>
        <v>Apr 2014</v>
      </c>
      <c r="C135" s="277" t="str">
        <f t="shared" si="126"/>
        <v>LWC</v>
      </c>
      <c r="D135" s="277" t="str">
        <f t="shared" si="127"/>
        <v>LGCME671</v>
      </c>
      <c r="E135" s="278">
        <f t="shared" si="94"/>
        <v>2</v>
      </c>
      <c r="F135" s="279">
        <v>0</v>
      </c>
      <c r="G135" s="278">
        <f t="shared" si="95"/>
        <v>0</v>
      </c>
      <c r="H135" s="278">
        <f t="shared" si="96"/>
        <v>0</v>
      </c>
      <c r="I135" s="278">
        <f t="shared" si="97"/>
        <v>0</v>
      </c>
      <c r="J135" s="278">
        <f t="shared" si="98"/>
        <v>4389600</v>
      </c>
      <c r="K135" s="280">
        <v>0</v>
      </c>
      <c r="L135" s="281">
        <f t="shared" si="99"/>
        <v>0</v>
      </c>
      <c r="M135" s="281">
        <f t="shared" si="100"/>
        <v>8836.7999999999993</v>
      </c>
      <c r="N135" s="281">
        <f t="shared" si="101"/>
        <v>0</v>
      </c>
      <c r="O135" s="282">
        <v>0</v>
      </c>
      <c r="P135" s="282">
        <f>489.6+288</f>
        <v>777.6</v>
      </c>
      <c r="Q135" s="282">
        <v>0</v>
      </c>
      <c r="R135" s="283">
        <f t="shared" si="102"/>
        <v>0</v>
      </c>
      <c r="S135" s="284">
        <f t="shared" si="90"/>
        <v>3.7019999999999997E-2</v>
      </c>
      <c r="T135" s="284">
        <f t="shared" si="103"/>
        <v>0</v>
      </c>
      <c r="U135" s="284">
        <f t="shared" si="104"/>
        <v>0</v>
      </c>
      <c r="V135" s="284">
        <f t="shared" si="105"/>
        <v>2.725E-2</v>
      </c>
      <c r="W135" s="283">
        <f t="shared" si="106"/>
        <v>0</v>
      </c>
      <c r="X135" s="283">
        <f t="shared" si="107"/>
        <v>10.35</v>
      </c>
      <c r="Y135" s="283">
        <f t="shared" si="108"/>
        <v>10.35</v>
      </c>
      <c r="Z135" s="285">
        <f t="shared" si="109"/>
        <v>0</v>
      </c>
      <c r="AA135" s="285">
        <f t="shared" si="110"/>
        <v>162502.99</v>
      </c>
      <c r="AB135" s="285">
        <f t="shared" si="128"/>
        <v>0</v>
      </c>
      <c r="AC135" s="285">
        <f t="shared" si="129"/>
        <v>91460.88</v>
      </c>
      <c r="AD135" s="285">
        <f t="shared" si="130"/>
        <v>0</v>
      </c>
      <c r="AE135" s="286">
        <v>0</v>
      </c>
      <c r="AF135" s="287">
        <f t="shared" si="111"/>
        <v>0</v>
      </c>
      <c r="AG135" s="288">
        <f t="shared" si="112"/>
        <v>8048.16</v>
      </c>
      <c r="AH135" s="285">
        <f t="shared" si="113"/>
        <v>99509.040000000008</v>
      </c>
      <c r="AI135" s="286">
        <v>0</v>
      </c>
      <c r="AJ135" s="286">
        <v>0</v>
      </c>
      <c r="AK135" s="286">
        <v>0</v>
      </c>
      <c r="AL135" s="285">
        <f t="shared" si="114"/>
        <v>262012.03</v>
      </c>
      <c r="AM135" s="285">
        <f t="shared" si="115"/>
        <v>262012.02999999997</v>
      </c>
      <c r="AN135" s="289">
        <f t="shared" si="131"/>
        <v>1</v>
      </c>
      <c r="AO135" s="290">
        <f t="shared" si="116"/>
        <v>6540.51</v>
      </c>
      <c r="AP135" s="290">
        <f t="shared" si="117"/>
        <v>0</v>
      </c>
      <c r="AQ135" s="290">
        <f t="shared" si="118"/>
        <v>4257.62</v>
      </c>
      <c r="AR135" s="290">
        <f t="shared" si="119"/>
        <v>0</v>
      </c>
      <c r="AS135" s="290">
        <f t="shared" si="120"/>
        <v>0</v>
      </c>
      <c r="AT135" s="290">
        <f t="shared" si="121"/>
        <v>272810.15999999997</v>
      </c>
      <c r="AU135" s="291">
        <f t="shared" si="122"/>
        <v>272810.15999999997</v>
      </c>
      <c r="AV135" s="291">
        <f t="shared" si="91"/>
        <v>0</v>
      </c>
      <c r="AW135" s="292">
        <f t="shared" si="123"/>
        <v>119616.6</v>
      </c>
      <c r="AX135" s="293">
        <f t="shared" si="124"/>
        <v>42886.389999999985</v>
      </c>
      <c r="BC135" s="276">
        <f>IF(BI135=1,IF(BC134=MiscData!$F$1,EOMONTH(BC134,-11),EOMONTH(BC134,1)),BC134)</f>
        <v>41759</v>
      </c>
      <c r="BD135" s="275" t="str">
        <f t="shared" si="132"/>
        <v>20140101LGCME671</v>
      </c>
      <c r="BE135" s="294" t="str">
        <f t="shared" si="133"/>
        <v>20140101LWC</v>
      </c>
      <c r="BF135">
        <f>MiscData!$X$5</f>
        <v>20140101</v>
      </c>
      <c r="BI135" s="265">
        <f>IF(BI134+1&gt;MiscData!$Z$42,1,BI134+1)</f>
        <v>18</v>
      </c>
      <c r="BJ135" s="265" t="str">
        <f>VLOOKUP(BI135,MiscData!$Z$5:$AB$46,2,FALSE)</f>
        <v>LGCME671</v>
      </c>
      <c r="BK135" s="265" t="str">
        <f>VLOOKUP(BI135,MiscData!$Z$5:$AB$46,3,FALSE)</f>
        <v>LWC</v>
      </c>
    </row>
    <row r="136" spans="1:63" hidden="1">
      <c r="A136" s="275">
        <v>127</v>
      </c>
      <c r="B136" s="276" t="str">
        <f t="shared" si="125"/>
        <v>Apr 2014</v>
      </c>
      <c r="C136" s="277" t="str">
        <f t="shared" si="126"/>
        <v>CSR</v>
      </c>
      <c r="D136" s="277" t="str">
        <f t="shared" si="127"/>
        <v>LGCSR760</v>
      </c>
      <c r="E136" s="278">
        <f t="shared" si="94"/>
        <v>1</v>
      </c>
      <c r="F136" s="279">
        <v>0</v>
      </c>
      <c r="G136" s="278">
        <f t="shared" si="95"/>
        <v>0</v>
      </c>
      <c r="H136" s="278">
        <f t="shared" si="96"/>
        <v>0</v>
      </c>
      <c r="I136" s="278">
        <f t="shared" si="97"/>
        <v>0</v>
      </c>
      <c r="J136" s="278">
        <f t="shared" si="98"/>
        <v>0</v>
      </c>
      <c r="K136" s="280">
        <v>0</v>
      </c>
      <c r="L136" s="281">
        <f t="shared" si="99"/>
        <v>0</v>
      </c>
      <c r="M136" s="281">
        <f t="shared" si="100"/>
        <v>0</v>
      </c>
      <c r="N136" s="281">
        <f t="shared" si="101"/>
        <v>0</v>
      </c>
      <c r="O136" s="282">
        <v>0</v>
      </c>
      <c r="P136" s="282">
        <v>0</v>
      </c>
      <c r="Q136" s="282">
        <v>0</v>
      </c>
      <c r="R136" s="283">
        <f t="shared" si="102"/>
        <v>0</v>
      </c>
      <c r="S136" s="284">
        <f t="shared" si="90"/>
        <v>0</v>
      </c>
      <c r="T136" s="284">
        <f t="shared" si="103"/>
        <v>0</v>
      </c>
      <c r="U136" s="284">
        <f t="shared" si="104"/>
        <v>0</v>
      </c>
      <c r="V136" s="284">
        <f t="shared" si="105"/>
        <v>0</v>
      </c>
      <c r="W136" s="283">
        <f t="shared" si="106"/>
        <v>0</v>
      </c>
      <c r="X136" s="283">
        <f t="shared" si="107"/>
        <v>0</v>
      </c>
      <c r="Y136" s="283">
        <f t="shared" si="108"/>
        <v>0</v>
      </c>
      <c r="Z136" s="285">
        <f t="shared" si="109"/>
        <v>0</v>
      </c>
      <c r="AA136" s="285">
        <f t="shared" si="110"/>
        <v>0</v>
      </c>
      <c r="AB136" s="285">
        <f t="shared" si="128"/>
        <v>0</v>
      </c>
      <c r="AC136" s="285">
        <f t="shared" si="129"/>
        <v>0</v>
      </c>
      <c r="AD136" s="285">
        <f t="shared" si="130"/>
        <v>0</v>
      </c>
      <c r="AE136" s="286">
        <v>0</v>
      </c>
      <c r="AF136" s="287">
        <f t="shared" si="111"/>
        <v>0</v>
      </c>
      <c r="AG136" s="288">
        <f t="shared" si="112"/>
        <v>0</v>
      </c>
      <c r="AH136" s="285">
        <f t="shared" si="113"/>
        <v>0</v>
      </c>
      <c r="AI136" s="286">
        <v>0</v>
      </c>
      <c r="AJ136" s="286">
        <v>0</v>
      </c>
      <c r="AK136" s="286">
        <v>0</v>
      </c>
      <c r="AL136" s="285">
        <f t="shared" si="114"/>
        <v>0</v>
      </c>
      <c r="AM136" s="285">
        <f t="shared" si="115"/>
        <v>0</v>
      </c>
      <c r="AN136" s="289">
        <f t="shared" si="131"/>
        <v>1</v>
      </c>
      <c r="AO136" s="290">
        <f t="shared" si="116"/>
        <v>0</v>
      </c>
      <c r="AP136" s="290">
        <f t="shared" si="117"/>
        <v>0</v>
      </c>
      <c r="AQ136" s="290">
        <f t="shared" si="118"/>
        <v>0</v>
      </c>
      <c r="AR136" s="290">
        <f t="shared" si="119"/>
        <v>0</v>
      </c>
      <c r="AS136" s="290">
        <f t="shared" si="120"/>
        <v>-217811.92</v>
      </c>
      <c r="AT136" s="290">
        <f t="shared" si="121"/>
        <v>-217811.92</v>
      </c>
      <c r="AU136" s="291">
        <f t="shared" si="122"/>
        <v>-217811.92</v>
      </c>
      <c r="AV136" s="291">
        <f t="shared" si="91"/>
        <v>0</v>
      </c>
      <c r="AW136" s="292">
        <f t="shared" si="123"/>
        <v>0</v>
      </c>
      <c r="AX136" s="293">
        <f t="shared" si="124"/>
        <v>0</v>
      </c>
      <c r="BC136" s="276">
        <f>IF(BI136=1,IF(BC135=MiscData!$F$1,EOMONTH(BC135,-11),EOMONTH(BC135,1)),BC135)</f>
        <v>41759</v>
      </c>
      <c r="BD136" s="275" t="str">
        <f t="shared" si="132"/>
        <v>20140101LGCSR760</v>
      </c>
      <c r="BE136" s="294" t="str">
        <f t="shared" si="133"/>
        <v>20140101CSR</v>
      </c>
      <c r="BF136">
        <f>MiscData!$X$5</f>
        <v>20140101</v>
      </c>
      <c r="BI136" s="265">
        <f>IF(BI135+1&gt;MiscData!$Z$42,1,BI135+1)</f>
        <v>19</v>
      </c>
      <c r="BJ136" s="265" t="str">
        <f>VLOOKUP(BI136,MiscData!$Z$5:$AB$46,2,FALSE)</f>
        <v>LGCSR760</v>
      </c>
      <c r="BK136" s="265" t="str">
        <f>VLOOKUP(BI136,MiscData!$Z$5:$AB$46,3,FALSE)</f>
        <v>CSR</v>
      </c>
    </row>
    <row r="137" spans="1:63" hidden="1">
      <c r="A137" s="275">
        <v>128</v>
      </c>
      <c r="B137" s="276" t="str">
        <f t="shared" si="125"/>
        <v>Apr 2014</v>
      </c>
      <c r="C137" s="277" t="str">
        <f t="shared" si="126"/>
        <v>CSR</v>
      </c>
      <c r="D137" s="277" t="str">
        <f t="shared" si="127"/>
        <v>LGCSR780</v>
      </c>
      <c r="E137" s="278">
        <f t="shared" si="94"/>
        <v>1</v>
      </c>
      <c r="F137" s="279">
        <v>0</v>
      </c>
      <c r="G137" s="278">
        <f t="shared" si="95"/>
        <v>0</v>
      </c>
      <c r="H137" s="278">
        <f t="shared" si="96"/>
        <v>0</v>
      </c>
      <c r="I137" s="278">
        <f t="shared" si="97"/>
        <v>0</v>
      </c>
      <c r="J137" s="278">
        <f t="shared" si="98"/>
        <v>0</v>
      </c>
      <c r="K137" s="280">
        <v>0</v>
      </c>
      <c r="L137" s="281">
        <f t="shared" si="99"/>
        <v>0</v>
      </c>
      <c r="M137" s="281">
        <f t="shared" si="100"/>
        <v>0</v>
      </c>
      <c r="N137" s="281">
        <f t="shared" si="101"/>
        <v>0</v>
      </c>
      <c r="O137" s="282">
        <v>0</v>
      </c>
      <c r="P137" s="282">
        <v>0</v>
      </c>
      <c r="Q137" s="282">
        <v>0</v>
      </c>
      <c r="R137" s="283">
        <f t="shared" si="102"/>
        <v>0</v>
      </c>
      <c r="S137" s="284">
        <f t="shared" si="90"/>
        <v>0</v>
      </c>
      <c r="T137" s="284">
        <f t="shared" si="103"/>
        <v>0</v>
      </c>
      <c r="U137" s="284">
        <f t="shared" si="104"/>
        <v>0</v>
      </c>
      <c r="V137" s="284">
        <f t="shared" si="105"/>
        <v>0</v>
      </c>
      <c r="W137" s="283">
        <f t="shared" si="106"/>
        <v>0</v>
      </c>
      <c r="X137" s="283">
        <f t="shared" si="107"/>
        <v>0</v>
      </c>
      <c r="Y137" s="283">
        <f t="shared" si="108"/>
        <v>0</v>
      </c>
      <c r="Z137" s="285">
        <f t="shared" si="109"/>
        <v>0</v>
      </c>
      <c r="AA137" s="285">
        <f t="shared" si="110"/>
        <v>0</v>
      </c>
      <c r="AB137" s="285">
        <f t="shared" si="128"/>
        <v>0</v>
      </c>
      <c r="AC137" s="285">
        <f t="shared" si="129"/>
        <v>0</v>
      </c>
      <c r="AD137" s="285">
        <f t="shared" si="130"/>
        <v>0</v>
      </c>
      <c r="AE137" s="286">
        <v>0</v>
      </c>
      <c r="AF137" s="287">
        <f t="shared" si="111"/>
        <v>0</v>
      </c>
      <c r="AG137" s="288">
        <f t="shared" si="112"/>
        <v>0</v>
      </c>
      <c r="AH137" s="285">
        <f>SUM(AB137:AG137)</f>
        <v>0</v>
      </c>
      <c r="AI137" s="286">
        <v>0</v>
      </c>
      <c r="AJ137" s="286">
        <v>0</v>
      </c>
      <c r="AK137" s="286">
        <v>0</v>
      </c>
      <c r="AL137" s="285">
        <f t="shared" si="114"/>
        <v>0</v>
      </c>
      <c r="AM137" s="285">
        <f t="shared" si="115"/>
        <v>0</v>
      </c>
      <c r="AN137" s="289">
        <f t="shared" si="131"/>
        <v>1</v>
      </c>
      <c r="AO137" s="290">
        <f t="shared" si="116"/>
        <v>0</v>
      </c>
      <c r="AP137" s="290">
        <f t="shared" si="117"/>
        <v>0</v>
      </c>
      <c r="AQ137" s="290">
        <f t="shared" si="118"/>
        <v>0</v>
      </c>
      <c r="AR137" s="290">
        <f t="shared" si="119"/>
        <v>0</v>
      </c>
      <c r="AS137" s="290">
        <f t="shared" si="120"/>
        <v>-79921.22</v>
      </c>
      <c r="AT137" s="290">
        <f t="shared" si="121"/>
        <v>-79921.22</v>
      </c>
      <c r="AU137" s="291">
        <f t="shared" si="122"/>
        <v>-79921.22</v>
      </c>
      <c r="AV137" s="291">
        <f t="shared" ref="AV137:AV141" si="134">ROUND(AT137-AU137,2)</f>
        <v>0</v>
      </c>
      <c r="AW137" s="292">
        <f t="shared" si="123"/>
        <v>0</v>
      </c>
      <c r="AX137" s="293">
        <f t="shared" si="124"/>
        <v>0</v>
      </c>
      <c r="BC137" s="276">
        <f>IF(BI137=1,IF(BC136=MiscData!$F$1,EOMONTH(BC136,-11),EOMONTH(BC136,1)),BC136)</f>
        <v>41759</v>
      </c>
      <c r="BD137" s="275" t="str">
        <f t="shared" si="132"/>
        <v>20140101LGCSR780</v>
      </c>
      <c r="BE137" s="294" t="str">
        <f t="shared" si="133"/>
        <v>20140101CSR</v>
      </c>
      <c r="BF137">
        <f>MiscData!$X$5</f>
        <v>20140101</v>
      </c>
      <c r="BI137" s="265">
        <f>IF(BI136+1&gt;MiscData!$Z$42,1,BI136+1)</f>
        <v>20</v>
      </c>
      <c r="BJ137" s="265" t="str">
        <f>VLOOKUP(BI137,MiscData!$Z$5:$AB$46,2,FALSE)</f>
        <v>LGCSR780</v>
      </c>
      <c r="BK137" s="265" t="str">
        <f>VLOOKUP(BI137,MiscData!$Z$5:$AB$46,3,FALSE)</f>
        <v>CSR</v>
      </c>
    </row>
    <row r="138" spans="1:63">
      <c r="A138" s="275">
        <v>129</v>
      </c>
      <c r="B138" s="276" t="str">
        <f t="shared" si="125"/>
        <v>Apr 2014</v>
      </c>
      <c r="C138" s="277" t="str">
        <f t="shared" si="126"/>
        <v>FK</v>
      </c>
      <c r="D138" s="277" t="str">
        <f t="shared" si="127"/>
        <v>LGINE599</v>
      </c>
      <c r="E138" s="278">
        <f t="shared" si="94"/>
        <v>1</v>
      </c>
      <c r="F138" s="279">
        <v>0</v>
      </c>
      <c r="G138" s="278">
        <f t="shared" si="95"/>
        <v>0</v>
      </c>
      <c r="H138" s="278">
        <f t="shared" si="96"/>
        <v>0</v>
      </c>
      <c r="I138" s="278">
        <f t="shared" si="97"/>
        <v>0</v>
      </c>
      <c r="J138" s="278">
        <f t="shared" si="98"/>
        <v>16319000</v>
      </c>
      <c r="K138" s="280">
        <v>0</v>
      </c>
      <c r="L138" s="281">
        <f t="shared" si="99"/>
        <v>0</v>
      </c>
      <c r="M138" s="281">
        <f t="shared" si="100"/>
        <v>32760</v>
      </c>
      <c r="N138" s="281">
        <f t="shared" si="101"/>
        <v>0</v>
      </c>
      <c r="O138" s="282">
        <v>0</v>
      </c>
      <c r="P138" s="282">
        <v>0</v>
      </c>
      <c r="Q138" s="282">
        <v>0</v>
      </c>
      <c r="R138" s="283">
        <f>SUMIF(L_Rates_Tariff_Rate_Category,BD138,L_Rates_BSC)</f>
        <v>0</v>
      </c>
      <c r="S138" s="284">
        <f t="shared" si="90"/>
        <v>3.7400000000000003E-2</v>
      </c>
      <c r="T138" s="284">
        <f t="shared" si="103"/>
        <v>0</v>
      </c>
      <c r="U138" s="284">
        <f t="shared" si="104"/>
        <v>0</v>
      </c>
      <c r="V138" s="284">
        <f t="shared" si="105"/>
        <v>2.725E-2</v>
      </c>
      <c r="W138" s="283">
        <f t="shared" si="106"/>
        <v>0</v>
      </c>
      <c r="X138" s="283">
        <f t="shared" si="107"/>
        <v>12.72</v>
      </c>
      <c r="Y138" s="283">
        <f t="shared" si="108"/>
        <v>15.040000000000001</v>
      </c>
      <c r="Z138" s="285">
        <f t="shared" si="109"/>
        <v>0</v>
      </c>
      <c r="AA138" s="285">
        <f t="shared" si="110"/>
        <v>610330.6</v>
      </c>
      <c r="AB138" s="285">
        <f t="shared" si="128"/>
        <v>0</v>
      </c>
      <c r="AC138" s="285">
        <f t="shared" si="129"/>
        <v>416707.2</v>
      </c>
      <c r="AD138" s="285">
        <f t="shared" si="130"/>
        <v>0</v>
      </c>
      <c r="AE138" s="286">
        <v>0</v>
      </c>
      <c r="AF138" s="287">
        <f t="shared" si="111"/>
        <v>-30002.92</v>
      </c>
      <c r="AG138" s="288">
        <f t="shared" si="112"/>
        <v>0</v>
      </c>
      <c r="AH138" s="285">
        <f>SUM(AB138:AG138)</f>
        <v>386704.28</v>
      </c>
      <c r="AI138" s="286">
        <v>0</v>
      </c>
      <c r="AJ138" s="286">
        <v>0</v>
      </c>
      <c r="AK138" s="286">
        <v>0</v>
      </c>
      <c r="AL138" s="285">
        <f t="shared" si="114"/>
        <v>997034.88</v>
      </c>
      <c r="AM138" s="285">
        <f t="shared" si="115"/>
        <v>997034.88</v>
      </c>
      <c r="AN138" s="289">
        <f t="shared" si="131"/>
        <v>1</v>
      </c>
      <c r="AO138" s="290">
        <f t="shared" si="116"/>
        <v>35901.800000000003</v>
      </c>
      <c r="AP138" s="290">
        <f t="shared" si="117"/>
        <v>0</v>
      </c>
      <c r="AQ138" s="290">
        <f t="shared" si="118"/>
        <v>15520.81</v>
      </c>
      <c r="AR138" s="290">
        <f t="shared" si="119"/>
        <v>0</v>
      </c>
      <c r="AS138" s="290">
        <f t="shared" si="120"/>
        <v>0</v>
      </c>
      <c r="AT138" s="290">
        <f t="shared" si="121"/>
        <v>1048457.49</v>
      </c>
      <c r="AU138" s="291">
        <f t="shared" si="122"/>
        <v>1048457.4900000001</v>
      </c>
      <c r="AV138" s="291">
        <f t="shared" si="134"/>
        <v>0</v>
      </c>
      <c r="AW138" s="292">
        <f t="shared" si="123"/>
        <v>444692.75</v>
      </c>
      <c r="AX138" s="293">
        <f t="shared" si="124"/>
        <v>165637.84999999998</v>
      </c>
      <c r="BC138" s="276">
        <f>IF(BI138=1,IF(BC137=MiscData!$F$1,EOMONTH(BC137,-11),EOMONTH(BC137,1)),BC137)</f>
        <v>41759</v>
      </c>
      <c r="BD138" s="275" t="str">
        <f t="shared" si="132"/>
        <v>20140101LGINE599</v>
      </c>
      <c r="BE138" s="294" t="str">
        <f t="shared" si="133"/>
        <v>20140101FK</v>
      </c>
      <c r="BF138">
        <f>MiscData!$X$5</f>
        <v>20140101</v>
      </c>
      <c r="BI138" s="265">
        <f>IF(BI137+1&gt;MiscData!$Z$42,1,BI137+1)</f>
        <v>21</v>
      </c>
      <c r="BJ138" s="265" t="str">
        <f>VLOOKUP(BI138,MiscData!$Z$5:$AB$46,2,FALSE)</f>
        <v>LGINE599</v>
      </c>
      <c r="BK138" s="265" t="str">
        <f>VLOOKUP(BI138,MiscData!$Z$5:$AB$46,3,FALSE)</f>
        <v>FK</v>
      </c>
    </row>
    <row r="139" spans="1:63" hidden="1">
      <c r="A139" s="275">
        <v>130</v>
      </c>
      <c r="B139" s="276" t="str">
        <f t="shared" si="125"/>
        <v>Apr 2014</v>
      </c>
      <c r="C139" s="277" t="str">
        <f t="shared" si="126"/>
        <v>RTS</v>
      </c>
      <c r="D139" s="277" t="str">
        <f t="shared" si="127"/>
        <v>LGINE643</v>
      </c>
      <c r="E139" s="278">
        <f t="shared" si="94"/>
        <v>12</v>
      </c>
      <c r="F139" s="279">
        <v>0</v>
      </c>
      <c r="G139" s="278">
        <f t="shared" si="95"/>
        <v>0</v>
      </c>
      <c r="H139" s="278">
        <f t="shared" si="96"/>
        <v>0</v>
      </c>
      <c r="I139" s="278">
        <f t="shared" si="97"/>
        <v>0</v>
      </c>
      <c r="J139" s="278">
        <f t="shared" si="98"/>
        <v>63755110</v>
      </c>
      <c r="K139" s="280">
        <v>0</v>
      </c>
      <c r="L139" s="281">
        <f t="shared" si="99"/>
        <v>145069.70000000001</v>
      </c>
      <c r="M139" s="281">
        <f t="shared" si="100"/>
        <v>141733.29999999999</v>
      </c>
      <c r="N139" s="281">
        <f t="shared" si="101"/>
        <v>102121.4</v>
      </c>
      <c r="O139" s="282">
        <v>1623.2999999999884</v>
      </c>
      <c r="P139" s="282">
        <v>628</v>
      </c>
      <c r="Q139" s="282">
        <v>156.19999999999709</v>
      </c>
      <c r="R139" s="283">
        <f t="shared" si="102"/>
        <v>750</v>
      </c>
      <c r="S139" s="284">
        <f t="shared" si="90"/>
        <v>3.61E-2</v>
      </c>
      <c r="T139" s="284">
        <f t="shared" si="103"/>
        <v>0</v>
      </c>
      <c r="U139" s="284">
        <f t="shared" si="104"/>
        <v>0</v>
      </c>
      <c r="V139" s="284">
        <f t="shared" si="105"/>
        <v>2.725E-2</v>
      </c>
      <c r="W139" s="283">
        <f t="shared" si="106"/>
        <v>2.75</v>
      </c>
      <c r="X139" s="283">
        <f t="shared" si="107"/>
        <v>3</v>
      </c>
      <c r="Y139" s="283">
        <f t="shared" si="108"/>
        <v>4.5500000000000007</v>
      </c>
      <c r="Z139" s="285">
        <f t="shared" si="109"/>
        <v>9000</v>
      </c>
      <c r="AA139" s="285">
        <f t="shared" si="110"/>
        <v>2301559.4700000002</v>
      </c>
      <c r="AB139" s="285">
        <f t="shared" si="128"/>
        <v>398941.68</v>
      </c>
      <c r="AC139" s="285">
        <f t="shared" si="129"/>
        <v>425199.9</v>
      </c>
      <c r="AD139" s="285">
        <f t="shared" si="130"/>
        <v>464652.37</v>
      </c>
      <c r="AE139" s="286">
        <v>0</v>
      </c>
      <c r="AF139" s="287">
        <f t="shared" si="111"/>
        <v>0</v>
      </c>
      <c r="AG139" s="288">
        <f t="shared" si="112"/>
        <v>7058.78</v>
      </c>
      <c r="AH139" s="285">
        <f t="shared" si="113"/>
        <v>1295852.7300000002</v>
      </c>
      <c r="AI139" s="286">
        <v>0</v>
      </c>
      <c r="AJ139" s="286">
        <v>0</v>
      </c>
      <c r="AK139" s="286">
        <v>0.03</v>
      </c>
      <c r="AL139" s="285">
        <f t="shared" si="114"/>
        <v>3606412.23</v>
      </c>
      <c r="AM139" s="285">
        <f t="shared" si="115"/>
        <v>3606412.23</v>
      </c>
      <c r="AN139" s="289">
        <f t="shared" si="131"/>
        <v>1</v>
      </c>
      <c r="AO139" s="290">
        <f t="shared" si="116"/>
        <v>130405.73</v>
      </c>
      <c r="AP139" s="290">
        <f t="shared" si="117"/>
        <v>0</v>
      </c>
      <c r="AQ139" s="290">
        <f t="shared" si="118"/>
        <v>53451.88</v>
      </c>
      <c r="AR139" s="290">
        <f t="shared" si="119"/>
        <v>0</v>
      </c>
      <c r="AS139" s="290">
        <f t="shared" si="120"/>
        <v>0</v>
      </c>
      <c r="AT139" s="290">
        <f>SUMIFS(L_SBR_Revenue_Total,L_SBR_Revenue_Month,$B139,L_SBR_Rate_Category,$D139)</f>
        <v>3790269.84</v>
      </c>
      <c r="AU139" s="291">
        <f t="shared" si="122"/>
        <v>3790269.84</v>
      </c>
      <c r="AV139" s="291">
        <f t="shared" si="134"/>
        <v>0</v>
      </c>
      <c r="AW139" s="292">
        <f t="shared" si="123"/>
        <v>1737326.75</v>
      </c>
      <c r="AX139" s="293">
        <f t="shared" si="124"/>
        <v>564232.7200000002</v>
      </c>
      <c r="BC139" s="276">
        <f>IF(BI139=1,IF(BC138=MiscData!$F$1,EOMONTH(BC138,-11),EOMONTH(BC138,1)),BC138)</f>
        <v>41759</v>
      </c>
      <c r="BD139" s="275" t="str">
        <f t="shared" si="132"/>
        <v>20140101LGINE643</v>
      </c>
      <c r="BE139" s="294" t="str">
        <f t="shared" si="133"/>
        <v>20140101RTS</v>
      </c>
      <c r="BF139">
        <f>MiscData!$X$5</f>
        <v>20140101</v>
      </c>
      <c r="BI139" s="265">
        <f>IF(BI138+1&gt;MiscData!$Z$42,1,BI138+1)</f>
        <v>22</v>
      </c>
      <c r="BJ139" s="265" t="str">
        <f>VLOOKUP(BI139,MiscData!$Z$5:$AB$46,2,FALSE)</f>
        <v>LGINE643</v>
      </c>
      <c r="BK139" s="265" t="str">
        <f>VLOOKUP(BI139,MiscData!$Z$5:$AB$46,3,FALSE)</f>
        <v>RTS</v>
      </c>
    </row>
    <row r="140" spans="1:63" hidden="1">
      <c r="A140" s="275">
        <v>131</v>
      </c>
      <c r="B140" s="276" t="str">
        <f t="shared" si="125"/>
        <v>Apr 2014</v>
      </c>
      <c r="C140" s="277" t="str">
        <f t="shared" si="126"/>
        <v>PSS</v>
      </c>
      <c r="D140" s="277" t="str">
        <f t="shared" si="127"/>
        <v>LGINE661</v>
      </c>
      <c r="E140" s="278">
        <f t="shared" si="94"/>
        <v>241</v>
      </c>
      <c r="F140" s="279">
        <v>1</v>
      </c>
      <c r="G140" s="278">
        <f t="shared" si="95"/>
        <v>0</v>
      </c>
      <c r="H140" s="278">
        <f t="shared" si="96"/>
        <v>0</v>
      </c>
      <c r="I140" s="278">
        <f t="shared" si="97"/>
        <v>0</v>
      </c>
      <c r="J140" s="278">
        <f t="shared" si="98"/>
        <v>23614645</v>
      </c>
      <c r="K140" s="280">
        <v>0</v>
      </c>
      <c r="L140" s="281">
        <f t="shared" si="99"/>
        <v>0</v>
      </c>
      <c r="M140" s="281">
        <f t="shared" si="100"/>
        <v>64748.2</v>
      </c>
      <c r="N140" s="281">
        <f t="shared" si="101"/>
        <v>0</v>
      </c>
      <c r="O140" s="282">
        <v>0</v>
      </c>
      <c r="P140" s="282">
        <v>483.85</v>
      </c>
      <c r="Q140" s="282">
        <v>0</v>
      </c>
      <c r="R140" s="283">
        <f t="shared" si="102"/>
        <v>90</v>
      </c>
      <c r="S140" s="284">
        <f t="shared" si="90"/>
        <v>4.0599999999999997E-2</v>
      </c>
      <c r="T140" s="284">
        <f t="shared" si="103"/>
        <v>0</v>
      </c>
      <c r="U140" s="284">
        <f t="shared" si="104"/>
        <v>0</v>
      </c>
      <c r="V140" s="284">
        <f t="shared" si="105"/>
        <v>2.725E-2</v>
      </c>
      <c r="W140" s="283">
        <f t="shared" si="106"/>
        <v>0</v>
      </c>
      <c r="X140" s="283">
        <f t="shared" si="107"/>
        <v>14.010000000000002</v>
      </c>
      <c r="Y140" s="283">
        <f t="shared" si="108"/>
        <v>16.399999999999999</v>
      </c>
      <c r="Z140" s="285">
        <f t="shared" si="109"/>
        <v>21780</v>
      </c>
      <c r="AA140" s="285">
        <f t="shared" si="110"/>
        <v>958754.59</v>
      </c>
      <c r="AB140" s="285">
        <f t="shared" si="128"/>
        <v>0</v>
      </c>
      <c r="AC140" s="285">
        <f t="shared" si="129"/>
        <v>907122.28</v>
      </c>
      <c r="AD140" s="285">
        <f t="shared" si="130"/>
        <v>0</v>
      </c>
      <c r="AE140" s="286">
        <v>0</v>
      </c>
      <c r="AF140" s="287">
        <f t="shared" si="111"/>
        <v>61416.29</v>
      </c>
      <c r="AG140" s="288">
        <f t="shared" si="112"/>
        <v>6778.74</v>
      </c>
      <c r="AH140" s="285">
        <f t="shared" si="113"/>
        <v>975317.31</v>
      </c>
      <c r="AI140" s="286">
        <v>-16.03</v>
      </c>
      <c r="AJ140" s="286">
        <v>0.02</v>
      </c>
      <c r="AK140" s="286">
        <v>-834.38</v>
      </c>
      <c r="AL140" s="285">
        <f t="shared" si="114"/>
        <v>1955001.5100000002</v>
      </c>
      <c r="AM140" s="285">
        <f t="shared" si="115"/>
        <v>1955001.51</v>
      </c>
      <c r="AN140" s="289">
        <f t="shared" si="131"/>
        <v>1</v>
      </c>
      <c r="AO140" s="290">
        <f t="shared" si="116"/>
        <v>35322.11</v>
      </c>
      <c r="AP140" s="290">
        <f t="shared" si="117"/>
        <v>0</v>
      </c>
      <c r="AQ140" s="290">
        <f t="shared" si="118"/>
        <v>39116.050000000003</v>
      </c>
      <c r="AR140" s="290">
        <f t="shared" si="119"/>
        <v>0</v>
      </c>
      <c r="AS140" s="290">
        <f t="shared" si="120"/>
        <v>0</v>
      </c>
      <c r="AT140" s="290">
        <f t="shared" si="121"/>
        <v>2029439.67</v>
      </c>
      <c r="AU140" s="291">
        <f t="shared" si="122"/>
        <v>2029439.6700000004</v>
      </c>
      <c r="AV140" s="291">
        <f t="shared" si="134"/>
        <v>0</v>
      </c>
      <c r="AW140" s="292">
        <f t="shared" si="123"/>
        <v>643499.07999999996</v>
      </c>
      <c r="AX140" s="293">
        <f t="shared" si="124"/>
        <v>315255.53000000003</v>
      </c>
      <c r="BC140" s="276">
        <f>IF(BI140=1,IF(BC139=MiscData!$F$1,EOMONTH(BC139,-11),EOMONTH(BC139,1)),BC139)</f>
        <v>41759</v>
      </c>
      <c r="BD140" s="275" t="str">
        <f t="shared" si="132"/>
        <v>20140101LGINE661</v>
      </c>
      <c r="BE140" s="294" t="str">
        <f t="shared" si="133"/>
        <v>20140101PSS</v>
      </c>
      <c r="BF140">
        <f>MiscData!$X$5</f>
        <v>20140101</v>
      </c>
      <c r="BI140" s="265">
        <f>IF(BI139+1&gt;MiscData!$Z$42,1,BI139+1)</f>
        <v>23</v>
      </c>
      <c r="BJ140" s="265" t="str">
        <f>VLOOKUP(BI140,MiscData!$Z$5:$AB$46,2,FALSE)</f>
        <v>LGINE661</v>
      </c>
      <c r="BK140" s="265" t="str">
        <f>VLOOKUP(BI140,MiscData!$Z$5:$AB$46,3,FALSE)</f>
        <v>PSS</v>
      </c>
    </row>
    <row r="141" spans="1:63" hidden="1">
      <c r="A141" s="275">
        <v>132</v>
      </c>
      <c r="B141" s="276" t="str">
        <f t="shared" si="125"/>
        <v>Apr 2014</v>
      </c>
      <c r="C141" s="277" t="str">
        <f t="shared" si="126"/>
        <v>PSP</v>
      </c>
      <c r="D141" s="277" t="str">
        <f t="shared" si="127"/>
        <v>LGINE663</v>
      </c>
      <c r="E141" s="278">
        <f t="shared" si="94"/>
        <v>21</v>
      </c>
      <c r="F141" s="279">
        <v>1</v>
      </c>
      <c r="G141" s="278">
        <f t="shared" si="95"/>
        <v>0</v>
      </c>
      <c r="H141" s="278">
        <f t="shared" si="96"/>
        <v>0</v>
      </c>
      <c r="I141" s="278">
        <f t="shared" si="97"/>
        <v>0</v>
      </c>
      <c r="J141" s="278">
        <f t="shared" si="98"/>
        <v>1014660</v>
      </c>
      <c r="K141" s="280">
        <v>0</v>
      </c>
      <c r="L141" s="281">
        <f t="shared" si="99"/>
        <v>0</v>
      </c>
      <c r="M141" s="281">
        <f t="shared" si="100"/>
        <v>3437.1</v>
      </c>
      <c r="N141" s="281">
        <f t="shared" si="101"/>
        <v>0</v>
      </c>
      <c r="O141" s="282">
        <v>0</v>
      </c>
      <c r="P141" s="282">
        <v>73.150000000000006</v>
      </c>
      <c r="Q141" s="282">
        <v>0</v>
      </c>
      <c r="R141" s="283">
        <f t="shared" si="102"/>
        <v>170</v>
      </c>
      <c r="S141" s="284">
        <f t="shared" si="90"/>
        <v>3.9260000000000003E-2</v>
      </c>
      <c r="T141" s="284">
        <f t="shared" si="103"/>
        <v>0</v>
      </c>
      <c r="U141" s="284">
        <f t="shared" si="104"/>
        <v>0</v>
      </c>
      <c r="V141" s="284">
        <f t="shared" si="105"/>
        <v>2.725E-2</v>
      </c>
      <c r="W141" s="283">
        <f t="shared" si="106"/>
        <v>0</v>
      </c>
      <c r="X141" s="283">
        <f t="shared" si="107"/>
        <v>11.660000000000002</v>
      </c>
      <c r="Y141" s="283">
        <f t="shared" si="108"/>
        <v>13.950000000000001</v>
      </c>
      <c r="Z141" s="285">
        <f t="shared" si="109"/>
        <v>3740</v>
      </c>
      <c r="AA141" s="285">
        <f t="shared" si="110"/>
        <v>39835.550000000003</v>
      </c>
      <c r="AB141" s="285">
        <f t="shared" si="128"/>
        <v>0</v>
      </c>
      <c r="AC141" s="285">
        <f t="shared" si="129"/>
        <v>40076.589999999997</v>
      </c>
      <c r="AD141" s="285">
        <f t="shared" si="130"/>
        <v>0</v>
      </c>
      <c r="AE141" s="286">
        <v>0</v>
      </c>
      <c r="AF141" s="287">
        <f t="shared" si="111"/>
        <v>10832.13</v>
      </c>
      <c r="AG141" s="288">
        <f t="shared" si="112"/>
        <v>852.93</v>
      </c>
      <c r="AH141" s="285">
        <f t="shared" si="113"/>
        <v>51761.649999999994</v>
      </c>
      <c r="AI141" s="286">
        <v>0</v>
      </c>
      <c r="AJ141" s="286">
        <v>-0.02</v>
      </c>
      <c r="AK141" s="286">
        <v>-0.02</v>
      </c>
      <c r="AL141" s="285">
        <f t="shared" si="114"/>
        <v>95337.159999999989</v>
      </c>
      <c r="AM141" s="285">
        <f t="shared" si="115"/>
        <v>95337.16</v>
      </c>
      <c r="AN141" s="289">
        <f t="shared" si="131"/>
        <v>1</v>
      </c>
      <c r="AO141" s="290">
        <f t="shared" si="116"/>
        <v>1654.58</v>
      </c>
      <c r="AP141" s="290">
        <f t="shared" si="117"/>
        <v>0</v>
      </c>
      <c r="AQ141" s="290">
        <f t="shared" si="118"/>
        <v>2008.56</v>
      </c>
      <c r="AR141" s="290">
        <f t="shared" si="119"/>
        <v>0</v>
      </c>
      <c r="AS141" s="290">
        <f t="shared" si="120"/>
        <v>0</v>
      </c>
      <c r="AT141" s="290">
        <f t="shared" si="121"/>
        <v>99000.3</v>
      </c>
      <c r="AU141" s="291">
        <f t="shared" si="122"/>
        <v>99000.299999999988</v>
      </c>
      <c r="AV141" s="291">
        <f t="shared" si="134"/>
        <v>0</v>
      </c>
      <c r="AW141" s="292">
        <f t="shared" si="123"/>
        <v>27649.49</v>
      </c>
      <c r="AX141" s="293">
        <f t="shared" si="124"/>
        <v>12186.040000000005</v>
      </c>
      <c r="BC141" s="276">
        <f>IF(BI141=1,IF(BC140=MiscData!$F$1,EOMONTH(BC140,-11),EOMONTH(BC140,1)),BC140)</f>
        <v>41759</v>
      </c>
      <c r="BD141" s="275" t="str">
        <f t="shared" si="132"/>
        <v>20140101LGINE663</v>
      </c>
      <c r="BE141" s="294" t="str">
        <f t="shared" si="133"/>
        <v>20140101PSP</v>
      </c>
      <c r="BF141">
        <f>MiscData!$X$5</f>
        <v>20140101</v>
      </c>
      <c r="BI141" s="265">
        <f>IF(BI140+1&gt;MiscData!$Z$42,1,BI140+1)</f>
        <v>24</v>
      </c>
      <c r="BJ141" s="265" t="str">
        <f>VLOOKUP(BI141,MiscData!$Z$5:$AB$46,2,FALSE)</f>
        <v>LGINE663</v>
      </c>
      <c r="BK141" s="265" t="str">
        <f>VLOOKUP(BI141,MiscData!$Z$5:$AB$46,3,FALSE)</f>
        <v>PSP</v>
      </c>
    </row>
    <row r="142" spans="1:63" hidden="1">
      <c r="A142" s="275">
        <v>133</v>
      </c>
      <c r="B142" s="276" t="str">
        <f t="shared" si="125"/>
        <v>Apr 2014</v>
      </c>
      <c r="C142" s="277" t="str">
        <f t="shared" si="126"/>
        <v>TODS</v>
      </c>
      <c r="D142" s="277" t="str">
        <f t="shared" si="127"/>
        <v>LGINE691</v>
      </c>
      <c r="E142" s="278">
        <f t="shared" si="94"/>
        <v>74</v>
      </c>
      <c r="F142" s="279">
        <v>0</v>
      </c>
      <c r="G142" s="278">
        <f t="shared" si="95"/>
        <v>0</v>
      </c>
      <c r="H142" s="278">
        <f t="shared" si="96"/>
        <v>0</v>
      </c>
      <c r="I142" s="278">
        <f t="shared" si="97"/>
        <v>0</v>
      </c>
      <c r="J142" s="278">
        <f t="shared" si="98"/>
        <v>17924420</v>
      </c>
      <c r="K142" s="280">
        <v>0</v>
      </c>
      <c r="L142" s="281">
        <f t="shared" si="99"/>
        <v>43473.599999999999</v>
      </c>
      <c r="M142" s="281">
        <f t="shared" si="100"/>
        <v>42888.9</v>
      </c>
      <c r="N142" s="281">
        <f t="shared" si="101"/>
        <v>41686.1</v>
      </c>
      <c r="O142" s="282">
        <v>2307.9250000000102</v>
      </c>
      <c r="P142" s="282">
        <v>205.80000000000291</v>
      </c>
      <c r="Q142" s="282">
        <v>216.45000000000437</v>
      </c>
      <c r="R142" s="283">
        <f t="shared" si="102"/>
        <v>200</v>
      </c>
      <c r="S142" s="284">
        <f t="shared" si="90"/>
        <v>3.9899999999999998E-2</v>
      </c>
      <c r="T142" s="284">
        <f t="shared" si="103"/>
        <v>0</v>
      </c>
      <c r="U142" s="284">
        <f t="shared" si="104"/>
        <v>0</v>
      </c>
      <c r="V142" s="284">
        <f t="shared" si="105"/>
        <v>2.725E-2</v>
      </c>
      <c r="W142" s="283">
        <f t="shared" si="106"/>
        <v>4</v>
      </c>
      <c r="X142" s="283">
        <f t="shared" si="107"/>
        <v>4.5100000000000007</v>
      </c>
      <c r="Y142" s="283">
        <f t="shared" si="108"/>
        <v>6.11</v>
      </c>
      <c r="Z142" s="285">
        <f t="shared" si="109"/>
        <v>14800</v>
      </c>
      <c r="AA142" s="285">
        <f t="shared" si="110"/>
        <v>715184.36</v>
      </c>
      <c r="AB142" s="285">
        <f t="shared" si="128"/>
        <v>173894.39999999999</v>
      </c>
      <c r="AC142" s="285">
        <f t="shared" si="129"/>
        <v>193428.94</v>
      </c>
      <c r="AD142" s="285">
        <f t="shared" si="130"/>
        <v>254702.07</v>
      </c>
      <c r="AE142" s="286">
        <v>0</v>
      </c>
      <c r="AF142" s="287">
        <f t="shared" si="111"/>
        <v>36861.1</v>
      </c>
      <c r="AG142" s="288">
        <f t="shared" si="112"/>
        <v>11482.37</v>
      </c>
      <c r="AH142" s="285">
        <f t="shared" si="113"/>
        <v>670368.87999999989</v>
      </c>
      <c r="AI142" s="286">
        <v>-131.03</v>
      </c>
      <c r="AJ142" s="286">
        <v>-0.01</v>
      </c>
      <c r="AK142" s="286">
        <v>1811.94</v>
      </c>
      <c r="AL142" s="285">
        <f t="shared" si="114"/>
        <v>1402034.1400000001</v>
      </c>
      <c r="AM142" s="285">
        <f t="shared" si="115"/>
        <v>1402034.1400000001</v>
      </c>
      <c r="AN142" s="289">
        <f t="shared" si="131"/>
        <v>1</v>
      </c>
      <c r="AO142" s="290">
        <f t="shared" si="116"/>
        <v>26896.95</v>
      </c>
      <c r="AP142" s="290">
        <f t="shared" si="117"/>
        <v>0</v>
      </c>
      <c r="AQ142" s="290">
        <f t="shared" si="118"/>
        <v>27290.2</v>
      </c>
      <c r="AR142" s="290">
        <f t="shared" si="119"/>
        <v>0</v>
      </c>
      <c r="AS142" s="290">
        <f t="shared" si="120"/>
        <v>0</v>
      </c>
      <c r="AT142" s="290">
        <f t="shared" si="121"/>
        <v>1456221.29</v>
      </c>
      <c r="AU142" s="291">
        <f t="shared" si="122"/>
        <v>1456221.29</v>
      </c>
      <c r="AV142" s="291">
        <f t="shared" si="91"/>
        <v>0</v>
      </c>
      <c r="AW142" s="292">
        <f t="shared" si="123"/>
        <v>488440.45</v>
      </c>
      <c r="AX142" s="293">
        <f t="shared" si="124"/>
        <v>226743.89999999997</v>
      </c>
      <c r="BC142" s="276">
        <f>IF(BI142=1,IF(BC141=MiscData!$F$1,EOMONTH(BC141,-11),EOMONTH(BC141,1)),BC141)</f>
        <v>41759</v>
      </c>
      <c r="BD142" s="275" t="str">
        <f t="shared" si="132"/>
        <v>20140101LGINE691</v>
      </c>
      <c r="BE142" s="294" t="str">
        <f t="shared" si="133"/>
        <v>20140101TODS</v>
      </c>
      <c r="BF142">
        <f>MiscData!$X$5</f>
        <v>20140101</v>
      </c>
      <c r="BI142" s="265">
        <f>IF(BI141+1&gt;MiscData!$Z$42,1,BI141+1)</f>
        <v>25</v>
      </c>
      <c r="BJ142" s="265" t="str">
        <f>VLOOKUP(BI142,MiscData!$Z$5:$AB$46,2,FALSE)</f>
        <v>LGINE691</v>
      </c>
      <c r="BK142" s="265" t="str">
        <f>VLOOKUP(BI142,MiscData!$Z$5:$AB$46,3,FALSE)</f>
        <v>TODS</v>
      </c>
    </row>
    <row r="143" spans="1:63" hidden="1">
      <c r="A143" s="275">
        <v>134</v>
      </c>
      <c r="B143" s="276" t="str">
        <f t="shared" si="125"/>
        <v>Apr 2014</v>
      </c>
      <c r="C143" s="277" t="str">
        <f t="shared" si="126"/>
        <v>ITODP</v>
      </c>
      <c r="D143" s="277" t="str">
        <f t="shared" si="127"/>
        <v>LGINE693</v>
      </c>
      <c r="E143" s="278">
        <f t="shared" si="94"/>
        <v>62</v>
      </c>
      <c r="F143" s="279">
        <v>0</v>
      </c>
      <c r="G143" s="278">
        <f t="shared" si="95"/>
        <v>0</v>
      </c>
      <c r="H143" s="278">
        <f t="shared" si="96"/>
        <v>0</v>
      </c>
      <c r="I143" s="278">
        <f t="shared" si="97"/>
        <v>0</v>
      </c>
      <c r="J143" s="278">
        <f t="shared" si="98"/>
        <v>119109000</v>
      </c>
      <c r="K143" s="280">
        <v>0</v>
      </c>
      <c r="L143" s="281">
        <f t="shared" si="99"/>
        <v>273675.7</v>
      </c>
      <c r="M143" s="281">
        <f t="shared" si="100"/>
        <v>264630.5</v>
      </c>
      <c r="N143" s="281">
        <f t="shared" si="101"/>
        <v>260028.1</v>
      </c>
      <c r="O143" s="282">
        <v>1534.8999999999651</v>
      </c>
      <c r="P143" s="282">
        <v>0</v>
      </c>
      <c r="Q143" s="282">
        <v>0</v>
      </c>
      <c r="R143" s="283">
        <f t="shared" si="102"/>
        <v>300</v>
      </c>
      <c r="S143" s="284">
        <f t="shared" si="90"/>
        <v>3.5380000000000002E-2</v>
      </c>
      <c r="T143" s="284">
        <f t="shared" si="103"/>
        <v>0</v>
      </c>
      <c r="U143" s="284">
        <f t="shared" si="104"/>
        <v>0</v>
      </c>
      <c r="V143" s="284">
        <f t="shared" si="105"/>
        <v>2.725E-2</v>
      </c>
      <c r="W143" s="283">
        <f t="shared" si="106"/>
        <v>3.6300000000000003</v>
      </c>
      <c r="X143" s="283">
        <f t="shared" si="107"/>
        <v>3.7900000000000005</v>
      </c>
      <c r="Y143" s="283">
        <f t="shared" si="108"/>
        <v>4.63</v>
      </c>
      <c r="Z143" s="285">
        <f t="shared" si="109"/>
        <v>18600</v>
      </c>
      <c r="AA143" s="285">
        <f t="shared" si="110"/>
        <v>4214076.42</v>
      </c>
      <c r="AB143" s="285">
        <f t="shared" si="128"/>
        <v>993442.79</v>
      </c>
      <c r="AC143" s="285">
        <f t="shared" si="129"/>
        <v>1002949.6</v>
      </c>
      <c r="AD143" s="285">
        <f t="shared" si="130"/>
        <v>1203930.1000000001</v>
      </c>
      <c r="AE143" s="286">
        <v>0</v>
      </c>
      <c r="AF143" s="287">
        <f t="shared" si="111"/>
        <v>0</v>
      </c>
      <c r="AG143" s="288">
        <f t="shared" si="112"/>
        <v>5571.69</v>
      </c>
      <c r="AH143" s="285">
        <f t="shared" si="113"/>
        <v>3205894.18</v>
      </c>
      <c r="AI143" s="286">
        <v>0</v>
      </c>
      <c r="AJ143" s="286">
        <v>-0.02</v>
      </c>
      <c r="AK143" s="286">
        <v>7.0000000000000007E-2</v>
      </c>
      <c r="AL143" s="285">
        <f t="shared" si="114"/>
        <v>7438570.6500000013</v>
      </c>
      <c r="AM143" s="285">
        <f t="shared" si="115"/>
        <v>7438570.6500000004</v>
      </c>
      <c r="AN143" s="289">
        <f t="shared" si="131"/>
        <v>1</v>
      </c>
      <c r="AO143" s="290">
        <f t="shared" si="116"/>
        <v>199200.98</v>
      </c>
      <c r="AP143" s="290">
        <f t="shared" si="117"/>
        <v>0</v>
      </c>
      <c r="AQ143" s="290">
        <f t="shared" si="118"/>
        <v>123714.35</v>
      </c>
      <c r="AR143" s="290">
        <f t="shared" si="119"/>
        <v>0</v>
      </c>
      <c r="AS143" s="290">
        <f t="shared" si="120"/>
        <v>0</v>
      </c>
      <c r="AT143" s="290">
        <f t="shared" si="121"/>
        <v>7761485.9800000004</v>
      </c>
      <c r="AU143" s="291">
        <f t="shared" si="122"/>
        <v>7761485.9800000014</v>
      </c>
      <c r="AV143" s="291">
        <f t="shared" si="91"/>
        <v>0</v>
      </c>
      <c r="AW143" s="292">
        <f t="shared" si="123"/>
        <v>3245720.25</v>
      </c>
      <c r="AX143" s="293">
        <f t="shared" si="124"/>
        <v>968356.15000000037</v>
      </c>
      <c r="BC143" s="276">
        <f>IF(BI143=1,IF(BC142=MiscData!$F$1,EOMONTH(BC142,-11),EOMONTH(BC142,1)),BC142)</f>
        <v>41759</v>
      </c>
      <c r="BD143" s="275" t="str">
        <f t="shared" si="132"/>
        <v>20140101LGINE693</v>
      </c>
      <c r="BE143" s="294" t="str">
        <f t="shared" si="133"/>
        <v>20140101ITODP</v>
      </c>
      <c r="BF143">
        <f>MiscData!$X$5</f>
        <v>20140101</v>
      </c>
      <c r="BI143" s="265">
        <f>IF(BI142+1&gt;MiscData!$Z$42,1,BI142+1)</f>
        <v>26</v>
      </c>
      <c r="BJ143" s="265" t="str">
        <f>VLOOKUP(BI143,MiscData!$Z$5:$AB$46,2,FALSE)</f>
        <v>LGINE693</v>
      </c>
      <c r="BK143" s="265" t="str">
        <f>VLOOKUP(BI143,MiscData!$Z$5:$AB$46,3,FALSE)</f>
        <v>ITODP</v>
      </c>
    </row>
    <row r="144" spans="1:63" hidden="1">
      <c r="A144" s="275">
        <v>135</v>
      </c>
      <c r="B144" s="276" t="str">
        <f t="shared" si="125"/>
        <v>Apr 2014</v>
      </c>
      <c r="C144" s="277" t="str">
        <f t="shared" si="126"/>
        <v>ITODP</v>
      </c>
      <c r="D144" s="277" t="str">
        <f t="shared" si="127"/>
        <v>LGINE694</v>
      </c>
      <c r="E144" s="278">
        <f t="shared" si="94"/>
        <v>0</v>
      </c>
      <c r="F144" s="279">
        <v>0</v>
      </c>
      <c r="G144" s="278">
        <f t="shared" si="95"/>
        <v>0</v>
      </c>
      <c r="H144" s="278">
        <f t="shared" si="96"/>
        <v>0</v>
      </c>
      <c r="I144" s="278">
        <f t="shared" si="97"/>
        <v>0</v>
      </c>
      <c r="J144" s="278">
        <f t="shared" si="98"/>
        <v>0</v>
      </c>
      <c r="K144" s="280">
        <v>0</v>
      </c>
      <c r="L144" s="281">
        <f t="shared" si="99"/>
        <v>0</v>
      </c>
      <c r="M144" s="281">
        <f t="shared" si="100"/>
        <v>0</v>
      </c>
      <c r="N144" s="281">
        <f t="shared" si="101"/>
        <v>0</v>
      </c>
      <c r="O144" s="282">
        <v>0</v>
      </c>
      <c r="P144" s="282">
        <v>0</v>
      </c>
      <c r="Q144" s="282">
        <v>0</v>
      </c>
      <c r="R144" s="283">
        <f t="shared" si="102"/>
        <v>300</v>
      </c>
      <c r="S144" s="284">
        <f t="shared" si="90"/>
        <v>3.5380000000000002E-2</v>
      </c>
      <c r="T144" s="284">
        <f t="shared" si="103"/>
        <v>0</v>
      </c>
      <c r="U144" s="284">
        <f t="shared" si="104"/>
        <v>0</v>
      </c>
      <c r="V144" s="284">
        <f t="shared" si="105"/>
        <v>2.725E-2</v>
      </c>
      <c r="W144" s="283">
        <f t="shared" si="106"/>
        <v>3.6300000000000003</v>
      </c>
      <c r="X144" s="283">
        <f t="shared" si="107"/>
        <v>3.7900000000000005</v>
      </c>
      <c r="Y144" s="283">
        <f t="shared" si="108"/>
        <v>4.63</v>
      </c>
      <c r="Z144" s="285">
        <f t="shared" si="109"/>
        <v>0</v>
      </c>
      <c r="AA144" s="285">
        <f t="shared" si="110"/>
        <v>0</v>
      </c>
      <c r="AB144" s="285">
        <f t="shared" si="128"/>
        <v>0</v>
      </c>
      <c r="AC144" s="285">
        <f t="shared" si="129"/>
        <v>0</v>
      </c>
      <c r="AD144" s="285">
        <f t="shared" si="130"/>
        <v>0</v>
      </c>
      <c r="AE144" s="286">
        <v>0</v>
      </c>
      <c r="AF144" s="287">
        <f t="shared" si="111"/>
        <v>0</v>
      </c>
      <c r="AG144" s="288">
        <f t="shared" si="112"/>
        <v>0</v>
      </c>
      <c r="AH144" s="285">
        <f t="shared" si="113"/>
        <v>0</v>
      </c>
      <c r="AI144" s="286">
        <v>0</v>
      </c>
      <c r="AJ144" s="286">
        <v>0</v>
      </c>
      <c r="AK144" s="286">
        <v>0</v>
      </c>
      <c r="AL144" s="285">
        <f t="shared" si="114"/>
        <v>0</v>
      </c>
      <c r="AM144" s="285">
        <f t="shared" si="115"/>
        <v>0</v>
      </c>
      <c r="AN144" s="289">
        <f t="shared" si="131"/>
        <v>1</v>
      </c>
      <c r="AO144" s="290">
        <f t="shared" si="116"/>
        <v>0</v>
      </c>
      <c r="AP144" s="290">
        <f t="shared" si="117"/>
        <v>0</v>
      </c>
      <c r="AQ144" s="290">
        <f t="shared" si="118"/>
        <v>0</v>
      </c>
      <c r="AR144" s="290">
        <f t="shared" si="119"/>
        <v>0</v>
      </c>
      <c r="AS144" s="290">
        <f t="shared" si="120"/>
        <v>0</v>
      </c>
      <c r="AT144" s="290">
        <f t="shared" si="121"/>
        <v>0</v>
      </c>
      <c r="AU144" s="291">
        <f t="shared" si="122"/>
        <v>0</v>
      </c>
      <c r="AV144" s="291">
        <f t="shared" si="91"/>
        <v>0</v>
      </c>
      <c r="AW144" s="292">
        <f t="shared" si="123"/>
        <v>0</v>
      </c>
      <c r="AX144" s="293">
        <f t="shared" si="124"/>
        <v>0</v>
      </c>
      <c r="BC144" s="276">
        <f>IF(BI144=1,IF(BC143=MiscData!$F$1,EOMONTH(BC143,-11),EOMONTH(BC143,1)),BC143)</f>
        <v>41759</v>
      </c>
      <c r="BD144" s="275" t="str">
        <f t="shared" si="132"/>
        <v>20140101LGINE694</v>
      </c>
      <c r="BE144" s="294" t="str">
        <f t="shared" si="133"/>
        <v>20140101ITODP</v>
      </c>
      <c r="BF144">
        <f>MiscData!$X$5</f>
        <v>20140101</v>
      </c>
      <c r="BI144" s="265">
        <f>IF(BI143+1&gt;MiscData!$Z$42,1,BI143+1)</f>
        <v>27</v>
      </c>
      <c r="BJ144" s="265" t="str">
        <f>VLOOKUP(BI144,MiscData!$Z$5:$AB$46,2,FALSE)</f>
        <v>LGINE694</v>
      </c>
      <c r="BK144" s="265" t="str">
        <f>VLOOKUP(BI144,MiscData!$Z$5:$AB$46,3,FALSE)</f>
        <v>ITODP</v>
      </c>
    </row>
    <row r="145" spans="1:63" hidden="1">
      <c r="A145" s="275">
        <v>136</v>
      </c>
      <c r="B145" s="276" t="str">
        <f t="shared" si="125"/>
        <v>Apr 2014</v>
      </c>
      <c r="C145" s="277" t="str">
        <f t="shared" si="126"/>
        <v>LE</v>
      </c>
      <c r="D145" s="277" t="str">
        <f t="shared" si="127"/>
        <v>LGMLE570</v>
      </c>
      <c r="E145" s="278">
        <f t="shared" si="94"/>
        <v>1</v>
      </c>
      <c r="F145" s="279">
        <v>0</v>
      </c>
      <c r="G145" s="278">
        <f t="shared" si="95"/>
        <v>0</v>
      </c>
      <c r="H145" s="278">
        <f t="shared" si="96"/>
        <v>0</v>
      </c>
      <c r="I145" s="278">
        <f t="shared" si="97"/>
        <v>0</v>
      </c>
      <c r="J145" s="278">
        <f t="shared" si="98"/>
        <v>196</v>
      </c>
      <c r="K145" s="280">
        <v>0</v>
      </c>
      <c r="L145" s="281">
        <f t="shared" si="99"/>
        <v>0</v>
      </c>
      <c r="M145" s="281">
        <f t="shared" si="100"/>
        <v>0</v>
      </c>
      <c r="N145" s="281">
        <f t="shared" si="101"/>
        <v>0</v>
      </c>
      <c r="O145" s="282">
        <v>0</v>
      </c>
      <c r="P145" s="282">
        <v>0</v>
      </c>
      <c r="Q145" s="282">
        <v>0</v>
      </c>
      <c r="R145" s="283">
        <f t="shared" si="102"/>
        <v>0</v>
      </c>
      <c r="S145" s="284">
        <f t="shared" si="90"/>
        <v>6.4610000000000001E-2</v>
      </c>
      <c r="T145" s="284">
        <f t="shared" si="103"/>
        <v>0</v>
      </c>
      <c r="U145" s="284">
        <f t="shared" si="104"/>
        <v>0</v>
      </c>
      <c r="V145" s="284">
        <f t="shared" si="105"/>
        <v>2.725E-2</v>
      </c>
      <c r="W145" s="283">
        <f t="shared" si="106"/>
        <v>0</v>
      </c>
      <c r="X145" s="283">
        <f t="shared" si="107"/>
        <v>0</v>
      </c>
      <c r="Y145" s="283">
        <f t="shared" si="108"/>
        <v>0</v>
      </c>
      <c r="Z145" s="285">
        <f t="shared" si="109"/>
        <v>0</v>
      </c>
      <c r="AA145" s="285">
        <f t="shared" si="110"/>
        <v>12.66</v>
      </c>
      <c r="AB145" s="285">
        <f t="shared" si="128"/>
        <v>0</v>
      </c>
      <c r="AC145" s="285">
        <f t="shared" si="129"/>
        <v>0</v>
      </c>
      <c r="AD145" s="285">
        <f t="shared" si="130"/>
        <v>0</v>
      </c>
      <c r="AE145" s="286">
        <v>0</v>
      </c>
      <c r="AF145" s="287">
        <f t="shared" si="111"/>
        <v>0</v>
      </c>
      <c r="AG145" s="288">
        <f t="shared" si="112"/>
        <v>0</v>
      </c>
      <c r="AH145" s="285">
        <f t="shared" si="113"/>
        <v>0</v>
      </c>
      <c r="AI145" s="286">
        <v>0</v>
      </c>
      <c r="AJ145" s="286">
        <v>0</v>
      </c>
      <c r="AK145" s="286">
        <v>0</v>
      </c>
      <c r="AL145" s="285">
        <f t="shared" si="114"/>
        <v>12.66</v>
      </c>
      <c r="AM145" s="285">
        <f t="shared" si="115"/>
        <v>12.66</v>
      </c>
      <c r="AN145" s="289">
        <f t="shared" si="131"/>
        <v>1</v>
      </c>
      <c r="AO145" s="290">
        <f t="shared" si="116"/>
        <v>0.28999999999999998</v>
      </c>
      <c r="AP145" s="290">
        <f t="shared" si="117"/>
        <v>0</v>
      </c>
      <c r="AQ145" s="290">
        <f t="shared" si="118"/>
        <v>0.24</v>
      </c>
      <c r="AR145" s="290">
        <f t="shared" si="119"/>
        <v>0</v>
      </c>
      <c r="AS145" s="290">
        <f t="shared" si="120"/>
        <v>0</v>
      </c>
      <c r="AT145" s="290">
        <f t="shared" si="121"/>
        <v>13.19</v>
      </c>
      <c r="AU145" s="291">
        <f t="shared" si="122"/>
        <v>13.19</v>
      </c>
      <c r="AV145" s="291">
        <f t="shared" si="91"/>
        <v>0</v>
      </c>
      <c r="AW145" s="292">
        <f t="shared" si="123"/>
        <v>5.34</v>
      </c>
      <c r="AX145" s="293">
        <f t="shared" si="124"/>
        <v>7.32</v>
      </c>
      <c r="BC145" s="276">
        <f>IF(BI145=1,IF(BC144=MiscData!$F$1,EOMONTH(BC144,-11),EOMONTH(BC144,1)),BC144)</f>
        <v>41759</v>
      </c>
      <c r="BD145" s="275" t="str">
        <f t="shared" si="132"/>
        <v>20140101LGMLE570</v>
      </c>
      <c r="BE145" s="294" t="str">
        <f t="shared" si="133"/>
        <v>20140101LE</v>
      </c>
      <c r="BF145">
        <f>MiscData!$X$5</f>
        <v>20140101</v>
      </c>
      <c r="BI145" s="265">
        <f>IF(BI144+1&gt;MiscData!$Z$42,1,BI144+1)</f>
        <v>28</v>
      </c>
      <c r="BJ145" s="265" t="str">
        <f>VLOOKUP(BI145,MiscData!$Z$5:$AB$46,2,FALSE)</f>
        <v>LGMLE570</v>
      </c>
      <c r="BK145" s="265" t="str">
        <f>VLOOKUP(BI145,MiscData!$Z$5:$AB$46,3,FALSE)</f>
        <v>LE</v>
      </c>
    </row>
    <row r="146" spans="1:63" hidden="1">
      <c r="A146" s="275">
        <v>137</v>
      </c>
      <c r="B146" s="276" t="str">
        <f t="shared" si="125"/>
        <v>Apr 2014</v>
      </c>
      <c r="C146" s="277" t="str">
        <f t="shared" si="126"/>
        <v>LE</v>
      </c>
      <c r="D146" s="277" t="str">
        <f t="shared" si="127"/>
        <v>LGMLE571</v>
      </c>
      <c r="E146" s="278">
        <f t="shared" si="94"/>
        <v>159</v>
      </c>
      <c r="F146" s="279">
        <v>0</v>
      </c>
      <c r="G146" s="278">
        <f t="shared" si="95"/>
        <v>0</v>
      </c>
      <c r="H146" s="278">
        <f t="shared" si="96"/>
        <v>0</v>
      </c>
      <c r="I146" s="278">
        <f t="shared" si="97"/>
        <v>0</v>
      </c>
      <c r="J146" s="278">
        <f t="shared" si="98"/>
        <v>170467</v>
      </c>
      <c r="K146" s="280">
        <v>0</v>
      </c>
      <c r="L146" s="281">
        <f t="shared" si="99"/>
        <v>0</v>
      </c>
      <c r="M146" s="281">
        <f t="shared" si="100"/>
        <v>0</v>
      </c>
      <c r="N146" s="281">
        <f t="shared" si="101"/>
        <v>0</v>
      </c>
      <c r="O146" s="282">
        <v>0</v>
      </c>
      <c r="P146" s="282">
        <v>0</v>
      </c>
      <c r="Q146" s="282">
        <v>0</v>
      </c>
      <c r="R146" s="283">
        <f t="shared" si="102"/>
        <v>0</v>
      </c>
      <c r="S146" s="284">
        <f t="shared" si="90"/>
        <v>6.4610000000000001E-2</v>
      </c>
      <c r="T146" s="284">
        <f t="shared" si="103"/>
        <v>0</v>
      </c>
      <c r="U146" s="284">
        <f t="shared" si="104"/>
        <v>0</v>
      </c>
      <c r="V146" s="284">
        <f t="shared" si="105"/>
        <v>2.725E-2</v>
      </c>
      <c r="W146" s="283">
        <f t="shared" si="106"/>
        <v>0</v>
      </c>
      <c r="X146" s="283">
        <f t="shared" si="107"/>
        <v>0</v>
      </c>
      <c r="Y146" s="283">
        <f t="shared" si="108"/>
        <v>0</v>
      </c>
      <c r="Z146" s="285">
        <f t="shared" si="109"/>
        <v>0</v>
      </c>
      <c r="AA146" s="285">
        <f t="shared" si="110"/>
        <v>11013.87</v>
      </c>
      <c r="AB146" s="285">
        <f t="shared" si="128"/>
        <v>0</v>
      </c>
      <c r="AC146" s="285">
        <f t="shared" si="129"/>
        <v>0</v>
      </c>
      <c r="AD146" s="285">
        <f t="shared" si="130"/>
        <v>0</v>
      </c>
      <c r="AE146" s="286">
        <v>0</v>
      </c>
      <c r="AF146" s="287">
        <f t="shared" si="111"/>
        <v>0</v>
      </c>
      <c r="AG146" s="288">
        <f t="shared" si="112"/>
        <v>0</v>
      </c>
      <c r="AH146" s="285">
        <f t="shared" si="113"/>
        <v>0</v>
      </c>
      <c r="AI146" s="286">
        <v>0</v>
      </c>
      <c r="AJ146" s="286">
        <v>0.02</v>
      </c>
      <c r="AK146" s="286">
        <v>0</v>
      </c>
      <c r="AL146" s="285">
        <f t="shared" si="114"/>
        <v>11013.890000000001</v>
      </c>
      <c r="AM146" s="285">
        <f t="shared" si="115"/>
        <v>11013.89</v>
      </c>
      <c r="AN146" s="289">
        <f t="shared" si="131"/>
        <v>1</v>
      </c>
      <c r="AO146" s="290">
        <f t="shared" si="116"/>
        <v>264.68</v>
      </c>
      <c r="AP146" s="290">
        <f t="shared" si="117"/>
        <v>0</v>
      </c>
      <c r="AQ146" s="290">
        <f t="shared" si="118"/>
        <v>209.75</v>
      </c>
      <c r="AR146" s="290">
        <f t="shared" si="119"/>
        <v>0</v>
      </c>
      <c r="AS146" s="290">
        <f t="shared" si="120"/>
        <v>0</v>
      </c>
      <c r="AT146" s="290">
        <f t="shared" si="121"/>
        <v>11488.32</v>
      </c>
      <c r="AU146" s="291">
        <f t="shared" si="122"/>
        <v>11488.320000000002</v>
      </c>
      <c r="AV146" s="291">
        <f t="shared" si="91"/>
        <v>0</v>
      </c>
      <c r="AW146" s="292">
        <f t="shared" si="123"/>
        <v>4645.2299999999996</v>
      </c>
      <c r="AX146" s="293">
        <f t="shared" si="124"/>
        <v>6368.6600000000017</v>
      </c>
      <c r="BC146" s="276">
        <f>IF(BI146=1,IF(BC145=MiscData!$F$1,EOMONTH(BC145,-11),EOMONTH(BC145,1)),BC145)</f>
        <v>41759</v>
      </c>
      <c r="BD146" s="275" t="str">
        <f t="shared" si="132"/>
        <v>20140101LGMLE571</v>
      </c>
      <c r="BE146" s="294" t="str">
        <f t="shared" si="133"/>
        <v>20140101LE</v>
      </c>
      <c r="BF146">
        <f>MiscData!$X$5</f>
        <v>20140101</v>
      </c>
      <c r="BI146" s="265">
        <f>IF(BI145+1&gt;MiscData!$Z$42,1,BI145+1)</f>
        <v>29</v>
      </c>
      <c r="BJ146" s="265" t="str">
        <f>VLOOKUP(BI146,MiscData!$Z$5:$AB$46,2,FALSE)</f>
        <v>LGMLE571</v>
      </c>
      <c r="BK146" s="265" t="str">
        <f>VLOOKUP(BI146,MiscData!$Z$5:$AB$46,3,FALSE)</f>
        <v>LE</v>
      </c>
    </row>
    <row r="147" spans="1:63" hidden="1">
      <c r="A147" s="275">
        <v>138</v>
      </c>
      <c r="B147" s="276" t="str">
        <f t="shared" si="125"/>
        <v>Apr 2014</v>
      </c>
      <c r="C147" s="277" t="str">
        <f t="shared" si="126"/>
        <v>LE</v>
      </c>
      <c r="D147" s="277" t="str">
        <f t="shared" si="127"/>
        <v>LGMLE572</v>
      </c>
      <c r="E147" s="278">
        <f t="shared" si="94"/>
        <v>13</v>
      </c>
      <c r="F147" s="279">
        <v>0</v>
      </c>
      <c r="G147" s="278">
        <f t="shared" si="95"/>
        <v>0</v>
      </c>
      <c r="H147" s="278">
        <f t="shared" si="96"/>
        <v>0</v>
      </c>
      <c r="I147" s="278">
        <f t="shared" si="97"/>
        <v>0</v>
      </c>
      <c r="J147" s="278">
        <f t="shared" si="98"/>
        <v>86895</v>
      </c>
      <c r="K147" s="280">
        <v>0</v>
      </c>
      <c r="L147" s="281">
        <f t="shared" si="99"/>
        <v>0</v>
      </c>
      <c r="M147" s="281">
        <f t="shared" si="100"/>
        <v>0</v>
      </c>
      <c r="N147" s="281">
        <f t="shared" si="101"/>
        <v>0</v>
      </c>
      <c r="O147" s="282">
        <v>0</v>
      </c>
      <c r="P147" s="282">
        <v>0</v>
      </c>
      <c r="Q147" s="282">
        <v>0</v>
      </c>
      <c r="R147" s="283">
        <f t="shared" si="102"/>
        <v>0</v>
      </c>
      <c r="S147" s="284">
        <f t="shared" si="90"/>
        <v>6.4610000000000001E-2</v>
      </c>
      <c r="T147" s="284">
        <f t="shared" si="103"/>
        <v>0</v>
      </c>
      <c r="U147" s="284">
        <f t="shared" si="104"/>
        <v>0</v>
      </c>
      <c r="V147" s="284">
        <f t="shared" si="105"/>
        <v>2.725E-2</v>
      </c>
      <c r="W147" s="283">
        <f t="shared" si="106"/>
        <v>0</v>
      </c>
      <c r="X147" s="283">
        <f t="shared" si="107"/>
        <v>0</v>
      </c>
      <c r="Y147" s="283">
        <f t="shared" si="108"/>
        <v>0</v>
      </c>
      <c r="Z147" s="285">
        <f t="shared" si="109"/>
        <v>0</v>
      </c>
      <c r="AA147" s="285">
        <f t="shared" si="110"/>
        <v>5614.29</v>
      </c>
      <c r="AB147" s="285">
        <f t="shared" si="128"/>
        <v>0</v>
      </c>
      <c r="AC147" s="285">
        <f t="shared" si="129"/>
        <v>0</v>
      </c>
      <c r="AD147" s="285">
        <f t="shared" si="130"/>
        <v>0</v>
      </c>
      <c r="AE147" s="286">
        <v>0</v>
      </c>
      <c r="AF147" s="287">
        <f t="shared" si="111"/>
        <v>0</v>
      </c>
      <c r="AG147" s="288">
        <f t="shared" si="112"/>
        <v>0</v>
      </c>
      <c r="AH147" s="285">
        <f t="shared" si="113"/>
        <v>0</v>
      </c>
      <c r="AI147" s="286">
        <v>0</v>
      </c>
      <c r="AJ147" s="286">
        <v>-0.01</v>
      </c>
      <c r="AK147" s="286">
        <v>0</v>
      </c>
      <c r="AL147" s="285">
        <f t="shared" si="114"/>
        <v>5614.28</v>
      </c>
      <c r="AM147" s="285">
        <f t="shared" si="115"/>
        <v>5614.28</v>
      </c>
      <c r="AN147" s="289">
        <f t="shared" si="131"/>
        <v>1</v>
      </c>
      <c r="AO147" s="290">
        <f t="shared" si="116"/>
        <v>130.19999999999999</v>
      </c>
      <c r="AP147" s="290">
        <f t="shared" si="117"/>
        <v>0</v>
      </c>
      <c r="AQ147" s="290">
        <f t="shared" si="118"/>
        <v>107.36</v>
      </c>
      <c r="AR147" s="290">
        <f t="shared" si="119"/>
        <v>0</v>
      </c>
      <c r="AS147" s="290">
        <f t="shared" si="120"/>
        <v>0</v>
      </c>
      <c r="AT147" s="290">
        <f t="shared" si="121"/>
        <v>5851.84</v>
      </c>
      <c r="AU147" s="291">
        <f t="shared" si="122"/>
        <v>5851.8399999999992</v>
      </c>
      <c r="AV147" s="291">
        <f>ROUND(AT147-AU147,2)</f>
        <v>0</v>
      </c>
      <c r="AW147" s="292">
        <f t="shared" si="123"/>
        <v>2367.89</v>
      </c>
      <c r="AX147" s="293">
        <f t="shared" si="124"/>
        <v>3246.39</v>
      </c>
      <c r="BC147" s="276">
        <f>IF(BI147=1,IF(BC146=MiscData!$F$1,EOMONTH(BC146,-11),EOMONTH(BC146,1)),BC146)</f>
        <v>41759</v>
      </c>
      <c r="BD147" s="275" t="str">
        <f t="shared" si="132"/>
        <v>20140101LGMLE572</v>
      </c>
      <c r="BE147" s="294" t="str">
        <f t="shared" si="133"/>
        <v>20140101LE</v>
      </c>
      <c r="BF147">
        <f>MiscData!$X$5</f>
        <v>20140101</v>
      </c>
      <c r="BI147" s="265">
        <f>IF(BI146+1&gt;MiscData!$Z$42,1,BI146+1)</f>
        <v>30</v>
      </c>
      <c r="BJ147" s="265" t="str">
        <f>VLOOKUP(BI147,MiscData!$Z$5:$AB$46,2,FALSE)</f>
        <v>LGMLE572</v>
      </c>
      <c r="BK147" s="265" t="str">
        <f>VLOOKUP(BI147,MiscData!$Z$5:$AB$46,3,FALSE)</f>
        <v>LE</v>
      </c>
    </row>
    <row r="148" spans="1:63" hidden="1">
      <c r="A148" s="275">
        <v>139</v>
      </c>
      <c r="B148" s="276" t="str">
        <f t="shared" si="125"/>
        <v>Apr 2014</v>
      </c>
      <c r="C148" s="277" t="str">
        <f t="shared" si="126"/>
        <v>TE</v>
      </c>
      <c r="D148" s="277" t="str">
        <f t="shared" si="127"/>
        <v>LGMLE573</v>
      </c>
      <c r="E148" s="278">
        <f t="shared" si="94"/>
        <v>899</v>
      </c>
      <c r="F148" s="279">
        <v>1</v>
      </c>
      <c r="G148" s="278">
        <f t="shared" si="95"/>
        <v>0</v>
      </c>
      <c r="H148" s="278">
        <f t="shared" si="96"/>
        <v>0</v>
      </c>
      <c r="I148" s="278">
        <f t="shared" si="97"/>
        <v>0</v>
      </c>
      <c r="J148" s="278">
        <f t="shared" si="98"/>
        <v>181626</v>
      </c>
      <c r="K148" s="280">
        <v>0</v>
      </c>
      <c r="L148" s="281">
        <f t="shared" si="99"/>
        <v>0</v>
      </c>
      <c r="M148" s="281">
        <f t="shared" si="100"/>
        <v>0</v>
      </c>
      <c r="N148" s="281">
        <f t="shared" si="101"/>
        <v>0</v>
      </c>
      <c r="O148" s="282">
        <v>0</v>
      </c>
      <c r="P148" s="282">
        <v>0</v>
      </c>
      <c r="Q148" s="282">
        <v>0</v>
      </c>
      <c r="R148" s="283">
        <f t="shared" si="102"/>
        <v>3.25</v>
      </c>
      <c r="S148" s="284">
        <f t="shared" si="90"/>
        <v>7.6579999999999995E-2</v>
      </c>
      <c r="T148" s="284">
        <f t="shared" si="103"/>
        <v>0</v>
      </c>
      <c r="U148" s="284">
        <f t="shared" si="104"/>
        <v>0</v>
      </c>
      <c r="V148" s="284">
        <f t="shared" si="105"/>
        <v>2.725E-2</v>
      </c>
      <c r="W148" s="283">
        <f t="shared" si="106"/>
        <v>0</v>
      </c>
      <c r="X148" s="283">
        <f t="shared" si="107"/>
        <v>0</v>
      </c>
      <c r="Y148" s="283">
        <f t="shared" si="108"/>
        <v>0</v>
      </c>
      <c r="Z148" s="285">
        <f t="shared" si="109"/>
        <v>2925</v>
      </c>
      <c r="AA148" s="285">
        <f t="shared" si="110"/>
        <v>13908.92</v>
      </c>
      <c r="AB148" s="285">
        <f t="shared" si="128"/>
        <v>0</v>
      </c>
      <c r="AC148" s="285">
        <f t="shared" si="129"/>
        <v>0</v>
      </c>
      <c r="AD148" s="285">
        <f t="shared" si="130"/>
        <v>0</v>
      </c>
      <c r="AE148" s="286">
        <v>0</v>
      </c>
      <c r="AF148" s="287">
        <f t="shared" si="111"/>
        <v>0</v>
      </c>
      <c r="AG148" s="288">
        <f t="shared" si="112"/>
        <v>0</v>
      </c>
      <c r="AH148" s="285">
        <f t="shared" si="113"/>
        <v>0</v>
      </c>
      <c r="AI148" s="286">
        <v>-26.05</v>
      </c>
      <c r="AJ148" s="286">
        <v>0.63</v>
      </c>
      <c r="AK148" s="286">
        <v>0</v>
      </c>
      <c r="AL148" s="285">
        <f t="shared" si="114"/>
        <v>16808.5</v>
      </c>
      <c r="AM148" s="285">
        <f t="shared" si="115"/>
        <v>16808.5</v>
      </c>
      <c r="AN148" s="289">
        <f t="shared" si="131"/>
        <v>1</v>
      </c>
      <c r="AO148" s="290">
        <f t="shared" si="116"/>
        <v>282.72000000000003</v>
      </c>
      <c r="AP148" s="290">
        <f t="shared" si="117"/>
        <v>0</v>
      </c>
      <c r="AQ148" s="290">
        <f t="shared" si="118"/>
        <v>317.64</v>
      </c>
      <c r="AR148" s="290">
        <f t="shared" si="119"/>
        <v>0</v>
      </c>
      <c r="AS148" s="290">
        <f t="shared" si="120"/>
        <v>0</v>
      </c>
      <c r="AT148" s="290">
        <f t="shared" si="121"/>
        <v>17408.86</v>
      </c>
      <c r="AU148" s="291">
        <f t="shared" si="122"/>
        <v>17408.86</v>
      </c>
      <c r="AV148" s="291">
        <f t="shared" si="91"/>
        <v>0</v>
      </c>
      <c r="AW148" s="292">
        <f t="shared" si="123"/>
        <v>4949.3100000000004</v>
      </c>
      <c r="AX148" s="293">
        <f t="shared" si="124"/>
        <v>8960.239999999998</v>
      </c>
      <c r="BC148" s="276">
        <f>IF(BI148=1,IF(BC147=MiscData!$F$1,EOMONTH(BC147,-11),EOMONTH(BC147,1)),BC147)</f>
        <v>41759</v>
      </c>
      <c r="BD148" s="275" t="str">
        <f t="shared" si="132"/>
        <v>20140101LGMLE573</v>
      </c>
      <c r="BE148" s="294" t="str">
        <f t="shared" si="133"/>
        <v>20140101TE</v>
      </c>
      <c r="BF148">
        <f>MiscData!$X$5</f>
        <v>20140101</v>
      </c>
      <c r="BI148" s="265">
        <f>IF(BI147+1&gt;MiscData!$Z$42,1,BI147+1)</f>
        <v>31</v>
      </c>
      <c r="BJ148" s="265" t="str">
        <f>VLOOKUP(BI148,MiscData!$Z$5:$AB$46,2,FALSE)</f>
        <v>LGMLE573</v>
      </c>
      <c r="BK148" s="265" t="str">
        <f>VLOOKUP(BI148,MiscData!$Z$5:$AB$46,3,FALSE)</f>
        <v>TE</v>
      </c>
    </row>
    <row r="149" spans="1:63" hidden="1">
      <c r="A149" s="275">
        <v>140</v>
      </c>
      <c r="B149" s="276" t="str">
        <f t="shared" si="125"/>
        <v>Apr 2014</v>
      </c>
      <c r="C149" s="277" t="str">
        <f t="shared" si="126"/>
        <v>TE</v>
      </c>
      <c r="D149" s="277" t="str">
        <f t="shared" si="127"/>
        <v>LGMLE574</v>
      </c>
      <c r="E149" s="278">
        <f t="shared" si="94"/>
        <v>8</v>
      </c>
      <c r="F149" s="279">
        <v>126</v>
      </c>
      <c r="G149" s="278">
        <f t="shared" si="95"/>
        <v>0</v>
      </c>
      <c r="H149" s="278">
        <f t="shared" si="96"/>
        <v>0</v>
      </c>
      <c r="I149" s="278">
        <f t="shared" si="97"/>
        <v>0</v>
      </c>
      <c r="J149" s="278">
        <f t="shared" si="98"/>
        <v>68742</v>
      </c>
      <c r="K149" s="280">
        <v>0</v>
      </c>
      <c r="L149" s="281">
        <f t="shared" si="99"/>
        <v>0</v>
      </c>
      <c r="M149" s="281">
        <f t="shared" si="100"/>
        <v>0</v>
      </c>
      <c r="N149" s="281">
        <f t="shared" si="101"/>
        <v>0</v>
      </c>
      <c r="O149" s="282">
        <v>0</v>
      </c>
      <c r="P149" s="282">
        <v>0</v>
      </c>
      <c r="Q149" s="282">
        <v>0</v>
      </c>
      <c r="R149" s="283">
        <f t="shared" si="102"/>
        <v>3.25</v>
      </c>
      <c r="S149" s="284">
        <f t="shared" si="90"/>
        <v>7.6579999999999995E-2</v>
      </c>
      <c r="T149" s="284">
        <f t="shared" si="103"/>
        <v>0</v>
      </c>
      <c r="U149" s="284">
        <f t="shared" si="104"/>
        <v>0</v>
      </c>
      <c r="V149" s="284">
        <f t="shared" si="105"/>
        <v>2.725E-2</v>
      </c>
      <c r="W149" s="283">
        <f t="shared" si="106"/>
        <v>0</v>
      </c>
      <c r="X149" s="283">
        <f t="shared" si="107"/>
        <v>0</v>
      </c>
      <c r="Y149" s="283">
        <f t="shared" si="108"/>
        <v>0</v>
      </c>
      <c r="Z149" s="285">
        <f t="shared" si="109"/>
        <v>435.5</v>
      </c>
      <c r="AA149" s="285">
        <f t="shared" si="110"/>
        <v>5264.26</v>
      </c>
      <c r="AB149" s="285">
        <f t="shared" si="128"/>
        <v>0</v>
      </c>
      <c r="AC149" s="285">
        <f t="shared" si="129"/>
        <v>0</v>
      </c>
      <c r="AD149" s="285">
        <f t="shared" si="130"/>
        <v>0</v>
      </c>
      <c r="AE149" s="286">
        <v>0</v>
      </c>
      <c r="AF149" s="287">
        <f t="shared" si="111"/>
        <v>0</v>
      </c>
      <c r="AG149" s="288">
        <f t="shared" si="112"/>
        <v>0</v>
      </c>
      <c r="AH149" s="285">
        <f t="shared" si="113"/>
        <v>0</v>
      </c>
      <c r="AI149" s="286">
        <v>0</v>
      </c>
      <c r="AJ149" s="286">
        <v>0</v>
      </c>
      <c r="AK149" s="286">
        <v>0</v>
      </c>
      <c r="AL149" s="285">
        <f t="shared" si="114"/>
        <v>5699.76</v>
      </c>
      <c r="AM149" s="285">
        <f t="shared" si="115"/>
        <v>5699.76</v>
      </c>
      <c r="AN149" s="289">
        <f t="shared" si="131"/>
        <v>1</v>
      </c>
      <c r="AO149" s="290">
        <f t="shared" si="116"/>
        <v>102.43</v>
      </c>
      <c r="AP149" s="290">
        <f t="shared" si="117"/>
        <v>0</v>
      </c>
      <c r="AQ149" s="290">
        <f t="shared" si="118"/>
        <v>108.49</v>
      </c>
      <c r="AR149" s="290">
        <f t="shared" si="119"/>
        <v>0</v>
      </c>
      <c r="AS149" s="290">
        <f t="shared" si="120"/>
        <v>0</v>
      </c>
      <c r="AT149" s="290">
        <f t="shared" si="121"/>
        <v>5910.68</v>
      </c>
      <c r="AU149" s="291">
        <f t="shared" si="122"/>
        <v>5910.68</v>
      </c>
      <c r="AV149" s="291">
        <f t="shared" si="91"/>
        <v>0</v>
      </c>
      <c r="AW149" s="292">
        <f t="shared" si="123"/>
        <v>1873.22</v>
      </c>
      <c r="AX149" s="293">
        <f t="shared" si="124"/>
        <v>3391.04</v>
      </c>
      <c r="BC149" s="276">
        <f>IF(BI149=1,IF(BC148=MiscData!$F$1,EOMONTH(BC148,-11),EOMONTH(BC148,1)),BC148)</f>
        <v>41759</v>
      </c>
      <c r="BD149" s="275" t="str">
        <f t="shared" si="132"/>
        <v>20140101LGMLE574</v>
      </c>
      <c r="BE149" s="294" t="str">
        <f t="shared" si="133"/>
        <v>20140101TE</v>
      </c>
      <c r="BF149">
        <f>MiscData!$X$5</f>
        <v>20140101</v>
      </c>
      <c r="BI149" s="265">
        <f>IF(BI148+1&gt;MiscData!$Z$42,1,BI148+1)</f>
        <v>32</v>
      </c>
      <c r="BJ149" s="265" t="str">
        <f>VLOOKUP(BI149,MiscData!$Z$5:$AB$46,2,FALSE)</f>
        <v>LGMLE574</v>
      </c>
      <c r="BK149" s="265" t="str">
        <f>VLOOKUP(BI149,MiscData!$Z$5:$AB$46,3,FALSE)</f>
        <v>TE</v>
      </c>
    </row>
    <row r="150" spans="1:63" hidden="1">
      <c r="A150" s="275">
        <v>141</v>
      </c>
      <c r="B150" s="276" t="str">
        <f t="shared" si="125"/>
        <v>Apr 2014</v>
      </c>
      <c r="C150" s="277" t="str">
        <f t="shared" si="126"/>
        <v>RS</v>
      </c>
      <c r="D150" s="277" t="str">
        <f t="shared" si="127"/>
        <v>LGRSE411</v>
      </c>
      <c r="E150" s="278">
        <f t="shared" si="94"/>
        <v>3478</v>
      </c>
      <c r="F150" s="279">
        <f>-E150</f>
        <v>-3478</v>
      </c>
      <c r="G150" s="278">
        <f t="shared" si="95"/>
        <v>0</v>
      </c>
      <c r="H150" s="278">
        <f t="shared" si="96"/>
        <v>0</v>
      </c>
      <c r="I150" s="278">
        <f t="shared" si="97"/>
        <v>0</v>
      </c>
      <c r="J150" s="278">
        <f t="shared" si="98"/>
        <v>831206</v>
      </c>
      <c r="K150" s="280">
        <v>0</v>
      </c>
      <c r="L150" s="281">
        <f t="shared" si="99"/>
        <v>0</v>
      </c>
      <c r="M150" s="281">
        <f t="shared" si="100"/>
        <v>0</v>
      </c>
      <c r="N150" s="281">
        <f t="shared" si="101"/>
        <v>0</v>
      </c>
      <c r="O150" s="282">
        <v>0</v>
      </c>
      <c r="P150" s="282">
        <v>0</v>
      </c>
      <c r="Q150" s="282">
        <v>0</v>
      </c>
      <c r="R150" s="283">
        <f t="shared" si="102"/>
        <v>0</v>
      </c>
      <c r="S150" s="284">
        <f t="shared" si="90"/>
        <v>8.0760000000000012E-2</v>
      </c>
      <c r="T150" s="284">
        <f t="shared" si="103"/>
        <v>0</v>
      </c>
      <c r="U150" s="284">
        <f t="shared" si="104"/>
        <v>0</v>
      </c>
      <c r="V150" s="284">
        <f t="shared" si="105"/>
        <v>2.725E-2</v>
      </c>
      <c r="W150" s="283">
        <f t="shared" si="106"/>
        <v>0</v>
      </c>
      <c r="X150" s="283">
        <f t="shared" si="107"/>
        <v>0</v>
      </c>
      <c r="Y150" s="283">
        <f t="shared" si="108"/>
        <v>0</v>
      </c>
      <c r="Z150" s="285">
        <f t="shared" si="109"/>
        <v>0</v>
      </c>
      <c r="AA150" s="285">
        <f t="shared" si="110"/>
        <v>67128.2</v>
      </c>
      <c r="AB150" s="285">
        <f t="shared" si="128"/>
        <v>0</v>
      </c>
      <c r="AC150" s="285">
        <f t="shared" si="129"/>
        <v>0</v>
      </c>
      <c r="AD150" s="285">
        <f t="shared" si="130"/>
        <v>0</v>
      </c>
      <c r="AE150" s="286">
        <v>0</v>
      </c>
      <c r="AF150" s="287">
        <f t="shared" si="111"/>
        <v>0</v>
      </c>
      <c r="AG150" s="288">
        <f t="shared" si="112"/>
        <v>0</v>
      </c>
      <c r="AH150" s="285">
        <f t="shared" si="113"/>
        <v>0</v>
      </c>
      <c r="AI150" s="286">
        <v>0</v>
      </c>
      <c r="AJ150" s="286">
        <v>0.61</v>
      </c>
      <c r="AK150" s="286">
        <v>0</v>
      </c>
      <c r="AL150" s="285">
        <f t="shared" si="114"/>
        <v>67128.81</v>
      </c>
      <c r="AM150" s="285">
        <f t="shared" si="115"/>
        <v>67128.81</v>
      </c>
      <c r="AN150" s="289">
        <f t="shared" si="131"/>
        <v>1</v>
      </c>
      <c r="AO150" s="290">
        <f t="shared" si="116"/>
        <v>1242.07</v>
      </c>
      <c r="AP150" s="290">
        <f t="shared" si="117"/>
        <v>4512.66</v>
      </c>
      <c r="AQ150" s="290">
        <f t="shared" si="118"/>
        <v>1360.07</v>
      </c>
      <c r="AR150" s="290">
        <f t="shared" si="119"/>
        <v>0</v>
      </c>
      <c r="AS150" s="290">
        <f t="shared" si="120"/>
        <v>0</v>
      </c>
      <c r="AT150" s="290">
        <f t="shared" si="121"/>
        <v>74243.61</v>
      </c>
      <c r="AU150" s="291">
        <f t="shared" si="122"/>
        <v>74243.610000000015</v>
      </c>
      <c r="AV150" s="291">
        <f t="shared" ref="AV150:AV156" si="135">ROUND(AT150-AU150,2)</f>
        <v>0</v>
      </c>
      <c r="AW150" s="292">
        <f t="shared" si="123"/>
        <v>22650.36</v>
      </c>
      <c r="AX150" s="293">
        <f t="shared" si="124"/>
        <v>44478.45</v>
      </c>
      <c r="BC150" s="276">
        <f>IF(BI150=1,IF(BC149=MiscData!$F$1,EOMONTH(BC149,-11),EOMONTH(BC149,1)),BC149)</f>
        <v>41759</v>
      </c>
      <c r="BD150" s="275" t="str">
        <f t="shared" si="132"/>
        <v>20140101LGRSE411</v>
      </c>
      <c r="BE150" s="294" t="str">
        <f t="shared" si="133"/>
        <v>20140101RS</v>
      </c>
      <c r="BF150">
        <f>MiscData!$X$5</f>
        <v>20140101</v>
      </c>
      <c r="BI150" s="265">
        <f>IF(BI149+1&gt;MiscData!$Z$42,1,BI149+1)</f>
        <v>33</v>
      </c>
      <c r="BJ150" s="265" t="str">
        <f>VLOOKUP(BI150,MiscData!$Z$5:$AB$46,2,FALSE)</f>
        <v>LGRSE411</v>
      </c>
      <c r="BK150" s="265" t="str">
        <f>VLOOKUP(BI150,MiscData!$Z$5:$AB$46,3,FALSE)</f>
        <v>RS</v>
      </c>
    </row>
    <row r="151" spans="1:63" s="329" customFormat="1" hidden="1">
      <c r="A151" s="311">
        <v>142</v>
      </c>
      <c r="B151" s="312" t="str">
        <f t="shared" si="125"/>
        <v>Apr 2014</v>
      </c>
      <c r="C151" s="313" t="str">
        <f t="shared" si="126"/>
        <v>RS</v>
      </c>
      <c r="D151" s="313" t="str">
        <f t="shared" si="127"/>
        <v>LGRSE511</v>
      </c>
      <c r="E151" s="314">
        <f t="shared" si="94"/>
        <v>353170</v>
      </c>
      <c r="F151" s="315">
        <v>687</v>
      </c>
      <c r="G151" s="314">
        <f t="shared" si="95"/>
        <v>0</v>
      </c>
      <c r="H151" s="314">
        <f t="shared" si="96"/>
        <v>0</v>
      </c>
      <c r="I151" s="314">
        <f t="shared" si="97"/>
        <v>0</v>
      </c>
      <c r="J151" s="314">
        <f t="shared" si="98"/>
        <v>249761470</v>
      </c>
      <c r="K151" s="280">
        <v>0</v>
      </c>
      <c r="L151" s="316">
        <f t="shared" si="99"/>
        <v>0</v>
      </c>
      <c r="M151" s="316">
        <f t="shared" si="100"/>
        <v>0</v>
      </c>
      <c r="N151" s="316">
        <f t="shared" si="101"/>
        <v>0</v>
      </c>
      <c r="O151" s="282">
        <v>0</v>
      </c>
      <c r="P151" s="282">
        <v>0</v>
      </c>
      <c r="Q151" s="282">
        <v>0</v>
      </c>
      <c r="R151" s="318">
        <f t="shared" si="102"/>
        <v>10.75</v>
      </c>
      <c r="S151" s="319">
        <f t="shared" si="90"/>
        <v>8.0760000000000012E-2</v>
      </c>
      <c r="T151" s="319">
        <f t="shared" si="103"/>
        <v>0</v>
      </c>
      <c r="U151" s="319">
        <f t="shared" si="104"/>
        <v>0</v>
      </c>
      <c r="V151" s="319">
        <f t="shared" si="105"/>
        <v>2.725E-2</v>
      </c>
      <c r="W151" s="318">
        <f t="shared" si="106"/>
        <v>0</v>
      </c>
      <c r="X151" s="318">
        <f t="shared" si="107"/>
        <v>0</v>
      </c>
      <c r="Y151" s="318">
        <f t="shared" si="108"/>
        <v>0</v>
      </c>
      <c r="Z151" s="320">
        <f t="shared" si="109"/>
        <v>3803962.75</v>
      </c>
      <c r="AA151" s="320">
        <f t="shared" si="110"/>
        <v>20170736.32</v>
      </c>
      <c r="AB151" s="285">
        <f t="shared" si="128"/>
        <v>0</v>
      </c>
      <c r="AC151" s="285">
        <f t="shared" si="129"/>
        <v>0</v>
      </c>
      <c r="AD151" s="285">
        <f t="shared" si="130"/>
        <v>0</v>
      </c>
      <c r="AE151" s="286">
        <v>0</v>
      </c>
      <c r="AF151" s="322">
        <f t="shared" si="111"/>
        <v>0</v>
      </c>
      <c r="AG151" s="323">
        <f t="shared" si="112"/>
        <v>0</v>
      </c>
      <c r="AH151" s="320">
        <f t="shared" si="113"/>
        <v>0</v>
      </c>
      <c r="AI151" s="286">
        <v>-24895.49</v>
      </c>
      <c r="AJ151" s="286">
        <v>34.950000000000003</v>
      </c>
      <c r="AK151" s="286">
        <v>0</v>
      </c>
      <c r="AL151" s="320">
        <f t="shared" si="114"/>
        <v>23949838.530000001</v>
      </c>
      <c r="AM151" s="320">
        <f t="shared" si="115"/>
        <v>23949838.530000001</v>
      </c>
      <c r="AN151" s="324">
        <f t="shared" si="131"/>
        <v>1</v>
      </c>
      <c r="AO151" s="325">
        <f t="shared" si="116"/>
        <v>372129.37</v>
      </c>
      <c r="AP151" s="325">
        <f t="shared" si="117"/>
        <v>1356276.92</v>
      </c>
      <c r="AQ151" s="325">
        <f t="shared" si="118"/>
        <v>480139.54</v>
      </c>
      <c r="AR151" s="325">
        <f t="shared" si="119"/>
        <v>0</v>
      </c>
      <c r="AS151" s="325">
        <f t="shared" si="120"/>
        <v>0</v>
      </c>
      <c r="AT151" s="325">
        <f t="shared" si="121"/>
        <v>26158384.359999999</v>
      </c>
      <c r="AU151" s="326">
        <f t="shared" si="122"/>
        <v>26158384.359999999</v>
      </c>
      <c r="AV151" s="326">
        <f t="shared" si="135"/>
        <v>0</v>
      </c>
      <c r="AW151" s="327">
        <f t="shared" si="123"/>
        <v>6806000.0599999996</v>
      </c>
      <c r="AX151" s="328">
        <f t="shared" si="124"/>
        <v>13364771.210000001</v>
      </c>
      <c r="BC151" s="312">
        <f>IF(BI151=1,IF(BC150=MiscData!$F$1,EOMONTH(BC150,-11),EOMONTH(BC150,1)),BC150)</f>
        <v>41759</v>
      </c>
      <c r="BD151" s="311" t="str">
        <f t="shared" si="132"/>
        <v>20140101LGRSE511</v>
      </c>
      <c r="BE151" s="330" t="str">
        <f t="shared" si="133"/>
        <v>20140101RS</v>
      </c>
      <c r="BF151">
        <f>MiscData!$X$5</f>
        <v>20140101</v>
      </c>
      <c r="BI151" s="329">
        <f>IF(BI150+1&gt;MiscData!$Z$42,1,BI150+1)</f>
        <v>34</v>
      </c>
      <c r="BJ151" s="329" t="str">
        <f>VLOOKUP(BI151,MiscData!$Z$5:$AB$46,2,FALSE)</f>
        <v>LGRSE511</v>
      </c>
      <c r="BK151" s="329" t="str">
        <f>VLOOKUP(BI151,MiscData!$Z$5:$AB$46,3,FALSE)</f>
        <v>RS</v>
      </c>
    </row>
    <row r="152" spans="1:63" hidden="1">
      <c r="A152" s="275">
        <v>143</v>
      </c>
      <c r="B152" s="276" t="str">
        <f t="shared" si="125"/>
        <v>Apr 2014</v>
      </c>
      <c r="C152" s="277" t="str">
        <f t="shared" si="126"/>
        <v>RS</v>
      </c>
      <c r="D152" s="277" t="str">
        <f t="shared" si="127"/>
        <v>LGRSE519</v>
      </c>
      <c r="E152" s="278">
        <f t="shared" si="94"/>
        <v>127</v>
      </c>
      <c r="F152" s="279">
        <v>0</v>
      </c>
      <c r="G152" s="278">
        <f t="shared" si="95"/>
        <v>0</v>
      </c>
      <c r="H152" s="278">
        <f t="shared" si="96"/>
        <v>0</v>
      </c>
      <c r="I152" s="278">
        <f t="shared" si="97"/>
        <v>0</v>
      </c>
      <c r="J152" s="278">
        <f t="shared" si="98"/>
        <v>88307</v>
      </c>
      <c r="K152" s="280">
        <v>0</v>
      </c>
      <c r="L152" s="281">
        <f t="shared" si="99"/>
        <v>0</v>
      </c>
      <c r="M152" s="281">
        <f t="shared" si="100"/>
        <v>0</v>
      </c>
      <c r="N152" s="281">
        <f t="shared" si="101"/>
        <v>0</v>
      </c>
      <c r="O152" s="282">
        <v>0</v>
      </c>
      <c r="P152" s="282">
        <v>0</v>
      </c>
      <c r="Q152" s="282">
        <v>0</v>
      </c>
      <c r="R152" s="283">
        <f t="shared" si="102"/>
        <v>10.75</v>
      </c>
      <c r="S152" s="284">
        <f t="shared" si="90"/>
        <v>8.0760000000000012E-2</v>
      </c>
      <c r="T152" s="284">
        <f t="shared" si="103"/>
        <v>0</v>
      </c>
      <c r="U152" s="284">
        <f t="shared" si="104"/>
        <v>0</v>
      </c>
      <c r="V152" s="284">
        <f t="shared" si="105"/>
        <v>2.725E-2</v>
      </c>
      <c r="W152" s="283">
        <f t="shared" si="106"/>
        <v>0</v>
      </c>
      <c r="X152" s="283">
        <f t="shared" si="107"/>
        <v>0</v>
      </c>
      <c r="Y152" s="283">
        <f t="shared" si="108"/>
        <v>0</v>
      </c>
      <c r="Z152" s="285">
        <f t="shared" si="109"/>
        <v>1365.25</v>
      </c>
      <c r="AA152" s="285">
        <f t="shared" si="110"/>
        <v>7131.67</v>
      </c>
      <c r="AB152" s="285">
        <f t="shared" si="128"/>
        <v>0</v>
      </c>
      <c r="AC152" s="285">
        <f t="shared" si="129"/>
        <v>0</v>
      </c>
      <c r="AD152" s="285">
        <f t="shared" si="130"/>
        <v>0</v>
      </c>
      <c r="AE152" s="286">
        <v>0</v>
      </c>
      <c r="AF152" s="287">
        <f t="shared" si="111"/>
        <v>0</v>
      </c>
      <c r="AG152" s="288">
        <f t="shared" si="112"/>
        <v>0</v>
      </c>
      <c r="AH152" s="285">
        <f t="shared" si="113"/>
        <v>0</v>
      </c>
      <c r="AI152" s="286">
        <v>0</v>
      </c>
      <c r="AJ152" s="286">
        <v>0.05</v>
      </c>
      <c r="AK152" s="286">
        <v>0</v>
      </c>
      <c r="AL152" s="285">
        <f t="shared" si="114"/>
        <v>8496.9699999999993</v>
      </c>
      <c r="AM152" s="285">
        <f t="shared" si="115"/>
        <v>8496.9700000000012</v>
      </c>
      <c r="AN152" s="289">
        <f t="shared" si="131"/>
        <v>1</v>
      </c>
      <c r="AO152" s="290">
        <f t="shared" si="116"/>
        <v>131.58000000000001</v>
      </c>
      <c r="AP152" s="290">
        <f t="shared" si="117"/>
        <v>479.53</v>
      </c>
      <c r="AQ152" s="290">
        <f t="shared" si="118"/>
        <v>170.27</v>
      </c>
      <c r="AR152" s="290">
        <f t="shared" si="119"/>
        <v>0</v>
      </c>
      <c r="AS152" s="290">
        <f t="shared" si="120"/>
        <v>0</v>
      </c>
      <c r="AT152" s="290">
        <f t="shared" si="121"/>
        <v>9278.35</v>
      </c>
      <c r="AU152" s="291">
        <f t="shared" si="122"/>
        <v>9278.35</v>
      </c>
      <c r="AV152" s="291">
        <f t="shared" si="135"/>
        <v>0</v>
      </c>
      <c r="AW152" s="292">
        <f t="shared" si="123"/>
        <v>2406.37</v>
      </c>
      <c r="AX152" s="293">
        <f t="shared" si="124"/>
        <v>4725.3500000000004</v>
      </c>
      <c r="BC152" s="276">
        <f>IF(BI152=1,IF(BC151=MiscData!$F$1,EOMONTH(BC151,-11),EOMONTH(BC151,1)),BC151)</f>
        <v>41759</v>
      </c>
      <c r="BD152" s="275" t="str">
        <f t="shared" si="132"/>
        <v>20140101LGRSE519</v>
      </c>
      <c r="BE152" s="294" t="str">
        <f t="shared" si="133"/>
        <v>20140101RS</v>
      </c>
      <c r="BF152">
        <f>MiscData!$X$5</f>
        <v>20140101</v>
      </c>
      <c r="BI152" s="265">
        <f>IF(BI151+1&gt;MiscData!$Z$42,1,BI151+1)</f>
        <v>35</v>
      </c>
      <c r="BJ152" s="265" t="str">
        <f>VLOOKUP(BI152,MiscData!$Z$5:$AB$46,2,FALSE)</f>
        <v>LGRSE519</v>
      </c>
      <c r="BK152" s="265" t="str">
        <f>VLOOKUP(BI152,MiscData!$Z$5:$AB$46,3,FALSE)</f>
        <v>RS</v>
      </c>
    </row>
    <row r="153" spans="1:63" hidden="1">
      <c r="A153" s="275">
        <v>144</v>
      </c>
      <c r="B153" s="276" t="str">
        <f t="shared" si="125"/>
        <v>Apr 2014</v>
      </c>
      <c r="C153" s="277" t="s">
        <v>13</v>
      </c>
      <c r="D153" s="277" t="str">
        <f t="shared" si="127"/>
        <v>LGRSE540</v>
      </c>
      <c r="E153" s="278">
        <f t="shared" si="94"/>
        <v>6</v>
      </c>
      <c r="F153" s="279">
        <v>0</v>
      </c>
      <c r="G153" s="278">
        <f t="shared" si="95"/>
        <v>0</v>
      </c>
      <c r="H153" s="278">
        <f t="shared" si="96"/>
        <v>0</v>
      </c>
      <c r="I153" s="278">
        <f t="shared" si="97"/>
        <v>0</v>
      </c>
      <c r="J153" s="278">
        <f t="shared" si="98"/>
        <v>27519</v>
      </c>
      <c r="K153" s="280">
        <v>0</v>
      </c>
      <c r="L153" s="281">
        <f t="shared" si="99"/>
        <v>0</v>
      </c>
      <c r="M153" s="281">
        <f t="shared" si="100"/>
        <v>0</v>
      </c>
      <c r="N153" s="281">
        <f t="shared" si="101"/>
        <v>0</v>
      </c>
      <c r="O153" s="282">
        <v>0</v>
      </c>
      <c r="P153" s="282">
        <v>0</v>
      </c>
      <c r="Q153" s="282">
        <v>0</v>
      </c>
      <c r="R153" s="283">
        <f t="shared" si="102"/>
        <v>10.75</v>
      </c>
      <c r="S153" s="284">
        <f t="shared" si="90"/>
        <v>8.0760000000000012E-2</v>
      </c>
      <c r="T153" s="284">
        <f t="shared" si="103"/>
        <v>0</v>
      </c>
      <c r="U153" s="284">
        <f t="shared" si="104"/>
        <v>0</v>
      </c>
      <c r="V153" s="284">
        <f t="shared" si="105"/>
        <v>2.725E-2</v>
      </c>
      <c r="W153" s="283">
        <f t="shared" si="106"/>
        <v>0</v>
      </c>
      <c r="X153" s="283">
        <f t="shared" si="107"/>
        <v>0</v>
      </c>
      <c r="Y153" s="283">
        <f t="shared" si="108"/>
        <v>0</v>
      </c>
      <c r="Z153" s="285">
        <f t="shared" si="109"/>
        <v>64.5</v>
      </c>
      <c r="AA153" s="285">
        <f t="shared" si="110"/>
        <v>2222.4299999999998</v>
      </c>
      <c r="AB153" s="285">
        <f t="shared" si="128"/>
        <v>0</v>
      </c>
      <c r="AC153" s="285">
        <f t="shared" si="129"/>
        <v>0</v>
      </c>
      <c r="AD153" s="285">
        <f t="shared" si="130"/>
        <v>0</v>
      </c>
      <c r="AE153" s="286">
        <v>0</v>
      </c>
      <c r="AF153" s="287">
        <f t="shared" si="111"/>
        <v>0</v>
      </c>
      <c r="AG153" s="288">
        <f t="shared" si="112"/>
        <v>0</v>
      </c>
      <c r="AH153" s="285">
        <f t="shared" si="113"/>
        <v>0</v>
      </c>
      <c r="AI153" s="286">
        <v>0</v>
      </c>
      <c r="AJ153" s="286">
        <v>0</v>
      </c>
      <c r="AK153" s="286">
        <v>0</v>
      </c>
      <c r="AL153" s="285">
        <f t="shared" si="114"/>
        <v>2286.9299999999998</v>
      </c>
      <c r="AM153" s="285">
        <f t="shared" si="115"/>
        <v>2286.9299999999998</v>
      </c>
      <c r="AN153" s="289">
        <f t="shared" si="131"/>
        <v>1</v>
      </c>
      <c r="AO153" s="290">
        <f t="shared" si="116"/>
        <v>41.01</v>
      </c>
      <c r="AP153" s="290">
        <f t="shared" si="117"/>
        <v>149.43</v>
      </c>
      <c r="AQ153" s="290">
        <f t="shared" si="118"/>
        <v>46.34</v>
      </c>
      <c r="AR153" s="290">
        <f t="shared" si="119"/>
        <v>0</v>
      </c>
      <c r="AS153" s="290">
        <f t="shared" si="120"/>
        <v>0</v>
      </c>
      <c r="AT153" s="290">
        <f t="shared" si="121"/>
        <v>2523.71</v>
      </c>
      <c r="AU153" s="291">
        <f t="shared" si="122"/>
        <v>2523.71</v>
      </c>
      <c r="AV153" s="291">
        <f t="shared" si="135"/>
        <v>0</v>
      </c>
      <c r="AW153" s="292">
        <f t="shared" si="123"/>
        <v>749.89</v>
      </c>
      <c r="AX153" s="293">
        <f t="shared" si="124"/>
        <v>1472.54</v>
      </c>
      <c r="BC153" s="276">
        <f>IF(BI153=1,IF(BC152=MiscData!$F$1,EOMONTH(BC152,-11),EOMONTH(BC152,1)),BC152)</f>
        <v>41759</v>
      </c>
      <c r="BD153" s="275" t="str">
        <f t="shared" si="132"/>
        <v>20140101LGRSE540</v>
      </c>
      <c r="BE153" s="294" t="str">
        <f t="shared" si="133"/>
        <v>20140101VFD</v>
      </c>
      <c r="BF153">
        <f>MiscData!$X$5</f>
        <v>20140101</v>
      </c>
      <c r="BI153" s="265">
        <f>IF(BI152+1&gt;MiscData!$Z$42,1,BI152+1)</f>
        <v>36</v>
      </c>
      <c r="BJ153" s="265" t="str">
        <f>VLOOKUP(BI153,MiscData!$Z$5:$AB$46,2,FALSE)</f>
        <v>LGRSE540</v>
      </c>
      <c r="BK153" s="265" t="str">
        <f>VLOOKUP(BI153,MiscData!$Z$5:$AB$46,3,FALSE)</f>
        <v>VFD</v>
      </c>
    </row>
    <row r="154" spans="1:63" hidden="1">
      <c r="A154" s="275">
        <v>145</v>
      </c>
      <c r="B154" s="276" t="str">
        <f t="shared" si="125"/>
        <v>Apr 2014</v>
      </c>
      <c r="C154" s="277" t="str">
        <f t="shared" si="126"/>
        <v>LEV</v>
      </c>
      <c r="D154" s="277" t="str">
        <f t="shared" si="127"/>
        <v>LGRSE543</v>
      </c>
      <c r="E154" s="278">
        <f t="shared" si="94"/>
        <v>17</v>
      </c>
      <c r="F154" s="279">
        <v>0</v>
      </c>
      <c r="G154" s="278">
        <f t="shared" si="95"/>
        <v>11784</v>
      </c>
      <c r="H154" s="278">
        <f t="shared" si="96"/>
        <v>6179</v>
      </c>
      <c r="I154" s="278">
        <f t="shared" si="97"/>
        <v>3689</v>
      </c>
      <c r="J154" s="278">
        <f t="shared" si="98"/>
        <v>21652</v>
      </c>
      <c r="K154" s="280">
        <v>0</v>
      </c>
      <c r="L154" s="281">
        <f t="shared" si="99"/>
        <v>0</v>
      </c>
      <c r="M154" s="281">
        <f t="shared" si="100"/>
        <v>0</v>
      </c>
      <c r="N154" s="281">
        <f t="shared" si="101"/>
        <v>0</v>
      </c>
      <c r="O154" s="317">
        <v>0</v>
      </c>
      <c r="P154" s="317">
        <v>0</v>
      </c>
      <c r="Q154" s="317">
        <v>0</v>
      </c>
      <c r="R154" s="283">
        <f t="shared" si="102"/>
        <v>10.75</v>
      </c>
      <c r="S154" s="284">
        <f t="shared" si="90"/>
        <v>5.8200000000000002E-2</v>
      </c>
      <c r="T154" s="284">
        <f t="shared" si="103"/>
        <v>7.8990000000000005E-2</v>
      </c>
      <c r="U154" s="284">
        <f t="shared" si="104"/>
        <v>0.14451000000000003</v>
      </c>
      <c r="V154" s="284">
        <f t="shared" si="105"/>
        <v>2.725E-2</v>
      </c>
      <c r="W154" s="283">
        <f t="shared" si="106"/>
        <v>0</v>
      </c>
      <c r="X154" s="283">
        <f t="shared" si="107"/>
        <v>0</v>
      </c>
      <c r="Y154" s="283">
        <f t="shared" si="108"/>
        <v>0</v>
      </c>
      <c r="Z154" s="285">
        <f t="shared" si="109"/>
        <v>182.75</v>
      </c>
      <c r="AA154" s="285">
        <f t="shared" si="110"/>
        <v>1707.01</v>
      </c>
      <c r="AB154" s="285">
        <f t="shared" si="128"/>
        <v>0</v>
      </c>
      <c r="AC154" s="285">
        <f t="shared" si="129"/>
        <v>0</v>
      </c>
      <c r="AD154" s="285">
        <f t="shared" si="130"/>
        <v>0</v>
      </c>
      <c r="AE154" s="321">
        <v>0</v>
      </c>
      <c r="AF154" s="287">
        <f t="shared" si="111"/>
        <v>0</v>
      </c>
      <c r="AG154" s="288">
        <f t="shared" si="112"/>
        <v>0</v>
      </c>
      <c r="AH154" s="285">
        <f t="shared" si="113"/>
        <v>0</v>
      </c>
      <c r="AI154" s="321">
        <v>-2.5099999999999998</v>
      </c>
      <c r="AJ154" s="321">
        <v>-0.02</v>
      </c>
      <c r="AK154" s="321">
        <v>0</v>
      </c>
      <c r="AL154" s="285">
        <f t="shared" si="114"/>
        <v>1887.23</v>
      </c>
      <c r="AM154" s="285">
        <f t="shared" si="115"/>
        <v>1887.2299999999998</v>
      </c>
      <c r="AN154" s="289">
        <f t="shared" si="131"/>
        <v>1</v>
      </c>
      <c r="AO154" s="290">
        <f t="shared" si="116"/>
        <v>32.25</v>
      </c>
      <c r="AP154" s="290">
        <f t="shared" si="117"/>
        <v>117.59</v>
      </c>
      <c r="AQ154" s="290">
        <f t="shared" si="118"/>
        <v>38.090000000000003</v>
      </c>
      <c r="AR154" s="290">
        <f t="shared" si="119"/>
        <v>0</v>
      </c>
      <c r="AS154" s="290">
        <f t="shared" si="120"/>
        <v>0</v>
      </c>
      <c r="AT154" s="290">
        <f t="shared" si="121"/>
        <v>2075.16</v>
      </c>
      <c r="AU154" s="291">
        <f t="shared" si="122"/>
        <v>2075.16</v>
      </c>
      <c r="AV154" s="291">
        <f t="shared" si="135"/>
        <v>0</v>
      </c>
      <c r="AW154" s="292">
        <f t="shared" si="123"/>
        <v>590.02</v>
      </c>
      <c r="AX154" s="293">
        <f t="shared" si="124"/>
        <v>1116.97</v>
      </c>
      <c r="BC154" s="276">
        <f>IF(BI154=1,IF(BC153=MiscData!$F$1,EOMONTH(BC153,-11),EOMONTH(BC153,1)),BC153)</f>
        <v>41759</v>
      </c>
      <c r="BD154" s="275" t="str">
        <f t="shared" si="132"/>
        <v>20140101LGRSE543</v>
      </c>
      <c r="BE154" s="294" t="str">
        <f t="shared" si="133"/>
        <v>20140101LEV</v>
      </c>
      <c r="BF154">
        <f>MiscData!$X$5</f>
        <v>20140101</v>
      </c>
      <c r="BI154" s="265">
        <f>IF(BI153+1&gt;MiscData!$Z$42,1,BI153+1)</f>
        <v>37</v>
      </c>
      <c r="BJ154" s="265" t="str">
        <f>VLOOKUP(BI154,MiscData!$Z$5:$AB$46,2,FALSE)</f>
        <v>LGRSE543</v>
      </c>
      <c r="BK154" s="265" t="str">
        <f>VLOOKUP(BI154,MiscData!$Z$5:$AB$46,3,FALSE)</f>
        <v>LEV</v>
      </c>
    </row>
    <row r="155" spans="1:63" hidden="1">
      <c r="A155" s="275">
        <v>146</v>
      </c>
      <c r="B155" s="276" t="str">
        <f t="shared" si="125"/>
        <v>Apr 2014</v>
      </c>
      <c r="C155" s="277" t="str">
        <f t="shared" si="126"/>
        <v>LEV</v>
      </c>
      <c r="D155" s="277" t="str">
        <f t="shared" si="127"/>
        <v>LGRSE547</v>
      </c>
      <c r="E155" s="278">
        <f t="shared" si="94"/>
        <v>1</v>
      </c>
      <c r="F155" s="279">
        <v>0</v>
      </c>
      <c r="G155" s="278">
        <f t="shared" si="95"/>
        <v>114</v>
      </c>
      <c r="H155" s="278">
        <f t="shared" si="96"/>
        <v>0</v>
      </c>
      <c r="I155" s="278">
        <f t="shared" si="97"/>
        <v>0</v>
      </c>
      <c r="J155" s="278">
        <f t="shared" si="98"/>
        <v>114</v>
      </c>
      <c r="K155" s="280">
        <v>0</v>
      </c>
      <c r="L155" s="281">
        <f t="shared" si="99"/>
        <v>0</v>
      </c>
      <c r="M155" s="281">
        <f t="shared" si="100"/>
        <v>0</v>
      </c>
      <c r="N155" s="281">
        <f t="shared" si="101"/>
        <v>0</v>
      </c>
      <c r="O155" s="282">
        <v>0</v>
      </c>
      <c r="P155" s="282">
        <v>0</v>
      </c>
      <c r="Q155" s="282">
        <v>0</v>
      </c>
      <c r="R155" s="283">
        <f t="shared" si="102"/>
        <v>10.75</v>
      </c>
      <c r="S155" s="284">
        <f t="shared" si="90"/>
        <v>5.8200000000000002E-2</v>
      </c>
      <c r="T155" s="284">
        <f t="shared" si="103"/>
        <v>7.8990000000000005E-2</v>
      </c>
      <c r="U155" s="284">
        <f t="shared" si="104"/>
        <v>0.14451000000000003</v>
      </c>
      <c r="V155" s="284">
        <f t="shared" si="105"/>
        <v>2.725E-2</v>
      </c>
      <c r="W155" s="283">
        <f t="shared" si="106"/>
        <v>0</v>
      </c>
      <c r="X155" s="283">
        <f t="shared" si="107"/>
        <v>0</v>
      </c>
      <c r="Y155" s="283">
        <f t="shared" si="108"/>
        <v>0</v>
      </c>
      <c r="Z155" s="285">
        <f t="shared" si="109"/>
        <v>10.75</v>
      </c>
      <c r="AA155" s="285">
        <f t="shared" si="110"/>
        <v>6.63</v>
      </c>
      <c r="AB155" s="285">
        <f t="shared" si="128"/>
        <v>0</v>
      </c>
      <c r="AC155" s="285">
        <f t="shared" si="129"/>
        <v>0</v>
      </c>
      <c r="AD155" s="285">
        <f t="shared" si="130"/>
        <v>0</v>
      </c>
      <c r="AE155" s="286">
        <v>0</v>
      </c>
      <c r="AF155" s="287">
        <f t="shared" si="111"/>
        <v>0</v>
      </c>
      <c r="AG155" s="288">
        <f t="shared" si="112"/>
        <v>0</v>
      </c>
      <c r="AH155" s="285">
        <f t="shared" si="113"/>
        <v>0</v>
      </c>
      <c r="AI155" s="286">
        <v>0</v>
      </c>
      <c r="AJ155" s="286">
        <v>0</v>
      </c>
      <c r="AK155" s="286">
        <v>0</v>
      </c>
      <c r="AL155" s="285">
        <f t="shared" si="114"/>
        <v>17.38</v>
      </c>
      <c r="AM155" s="285">
        <f t="shared" si="115"/>
        <v>17.380000000000003</v>
      </c>
      <c r="AN155" s="289">
        <f t="shared" si="131"/>
        <v>1</v>
      </c>
      <c r="AO155" s="290">
        <f t="shared" si="116"/>
        <v>0.17</v>
      </c>
      <c r="AP155" s="290">
        <f t="shared" si="117"/>
        <v>0.62</v>
      </c>
      <c r="AQ155" s="290">
        <f t="shared" si="118"/>
        <v>0.34</v>
      </c>
      <c r="AR155" s="290">
        <f t="shared" si="119"/>
        <v>0</v>
      </c>
      <c r="AS155" s="290">
        <f t="shared" si="120"/>
        <v>0</v>
      </c>
      <c r="AT155" s="290">
        <f t="shared" si="121"/>
        <v>18.510000000000002</v>
      </c>
      <c r="AU155" s="291">
        <f t="shared" si="122"/>
        <v>18.510000000000002</v>
      </c>
      <c r="AV155" s="291">
        <f t="shared" si="135"/>
        <v>0</v>
      </c>
      <c r="AW155" s="292">
        <f t="shared" si="123"/>
        <v>3.11</v>
      </c>
      <c r="AX155" s="293">
        <f t="shared" si="124"/>
        <v>3.52</v>
      </c>
      <c r="BC155" s="276">
        <f>IF(BI155=1,IF(BC154=MiscData!$F$1,EOMONTH(BC154,-11),EOMONTH(BC154,1)),BC154)</f>
        <v>41759</v>
      </c>
      <c r="BD155" s="275" t="str">
        <f t="shared" si="132"/>
        <v>20140101LGRSE547</v>
      </c>
      <c r="BE155" s="294" t="str">
        <f t="shared" si="133"/>
        <v>20140101LEV</v>
      </c>
      <c r="BF155">
        <f>MiscData!$X$5</f>
        <v>20140101</v>
      </c>
      <c r="BI155" s="265">
        <f>IF(BI154+1&gt;MiscData!$Z$42,1,BI154+1)</f>
        <v>38</v>
      </c>
      <c r="BJ155" s="265" t="str">
        <f>VLOOKUP(BI155,MiscData!$Z$5:$AB$46,2,FALSE)</f>
        <v>LGRSE547</v>
      </c>
      <c r="BK155" s="265" t="str">
        <f>VLOOKUP(BI155,MiscData!$Z$5:$AB$46,3,FALSE)</f>
        <v>LEV</v>
      </c>
    </row>
    <row r="156" spans="1:63" hidden="1">
      <c r="A156" s="275">
        <v>147</v>
      </c>
      <c r="B156" s="276" t="str">
        <f t="shared" si="125"/>
        <v>May 2014</v>
      </c>
      <c r="C156" s="277" t="str">
        <f t="shared" si="126"/>
        <v>FLSP</v>
      </c>
      <c r="D156" s="277" t="str">
        <f t="shared" si="127"/>
        <v>LGINE682</v>
      </c>
      <c r="E156" s="278">
        <f t="shared" si="94"/>
        <v>0</v>
      </c>
      <c r="F156" s="279">
        <v>0</v>
      </c>
      <c r="G156" s="278">
        <f t="shared" si="95"/>
        <v>0</v>
      </c>
      <c r="H156" s="278">
        <f t="shared" si="96"/>
        <v>0</v>
      </c>
      <c r="I156" s="278">
        <f t="shared" si="97"/>
        <v>0</v>
      </c>
      <c r="J156" s="278">
        <f t="shared" si="98"/>
        <v>0</v>
      </c>
      <c r="K156" s="280">
        <v>0</v>
      </c>
      <c r="L156" s="281">
        <f t="shared" si="99"/>
        <v>0</v>
      </c>
      <c r="M156" s="281">
        <f t="shared" si="100"/>
        <v>0</v>
      </c>
      <c r="N156" s="281">
        <f t="shared" si="101"/>
        <v>0</v>
      </c>
      <c r="O156" s="282">
        <v>0</v>
      </c>
      <c r="P156" s="282">
        <v>0</v>
      </c>
      <c r="Q156" s="282">
        <v>0</v>
      </c>
      <c r="R156" s="283">
        <f t="shared" si="102"/>
        <v>750</v>
      </c>
      <c r="S156" s="284">
        <f t="shared" si="90"/>
        <v>3.61E-2</v>
      </c>
      <c r="T156" s="284">
        <f t="shared" si="103"/>
        <v>0</v>
      </c>
      <c r="U156" s="284">
        <f t="shared" si="104"/>
        <v>0</v>
      </c>
      <c r="V156" s="284">
        <f t="shared" si="105"/>
        <v>2.725E-2</v>
      </c>
      <c r="W156" s="283">
        <f t="shared" si="106"/>
        <v>1.8900000000000001</v>
      </c>
      <c r="X156" s="283">
        <f t="shared" si="107"/>
        <v>1.8900000000000001</v>
      </c>
      <c r="Y156" s="283">
        <f t="shared" si="108"/>
        <v>2.94</v>
      </c>
      <c r="Z156" s="285">
        <f t="shared" si="109"/>
        <v>0</v>
      </c>
      <c r="AA156" s="285">
        <f t="shared" si="110"/>
        <v>0</v>
      </c>
      <c r="AB156" s="285">
        <f t="shared" si="128"/>
        <v>0</v>
      </c>
      <c r="AC156" s="285">
        <f t="shared" si="129"/>
        <v>0</v>
      </c>
      <c r="AD156" s="285">
        <f t="shared" si="130"/>
        <v>0</v>
      </c>
      <c r="AE156" s="286">
        <v>0</v>
      </c>
      <c r="AF156" s="287">
        <f t="shared" si="111"/>
        <v>0</v>
      </c>
      <c r="AG156" s="288">
        <f t="shared" si="112"/>
        <v>0</v>
      </c>
      <c r="AH156" s="285">
        <f t="shared" si="113"/>
        <v>0</v>
      </c>
      <c r="AI156" s="286">
        <v>0</v>
      </c>
      <c r="AJ156" s="286">
        <v>0</v>
      </c>
      <c r="AK156" s="286">
        <v>0</v>
      </c>
      <c r="AL156" s="285">
        <f t="shared" si="114"/>
        <v>0</v>
      </c>
      <c r="AM156" s="285">
        <f t="shared" si="115"/>
        <v>0</v>
      </c>
      <c r="AN156" s="289">
        <f t="shared" si="131"/>
        <v>1</v>
      </c>
      <c r="AO156" s="290">
        <f t="shared" si="116"/>
        <v>0</v>
      </c>
      <c r="AP156" s="290">
        <f t="shared" si="117"/>
        <v>0</v>
      </c>
      <c r="AQ156" s="290">
        <f t="shared" si="118"/>
        <v>0</v>
      </c>
      <c r="AR156" s="290">
        <f t="shared" si="119"/>
        <v>0</v>
      </c>
      <c r="AS156" s="290">
        <f t="shared" si="120"/>
        <v>0</v>
      </c>
      <c r="AT156" s="290">
        <f t="shared" si="121"/>
        <v>0</v>
      </c>
      <c r="AU156" s="291">
        <f t="shared" si="122"/>
        <v>0</v>
      </c>
      <c r="AV156" s="291">
        <f t="shared" si="135"/>
        <v>0</v>
      </c>
      <c r="AW156" s="292">
        <f t="shared" si="123"/>
        <v>0</v>
      </c>
      <c r="AX156" s="293">
        <f t="shared" si="124"/>
        <v>0</v>
      </c>
      <c r="BC156" s="276">
        <f>IF(BI156=1,IF(BC155=MiscData!$F$1,EOMONTH(BC155,-11),EOMONTH(BC155,1)),BC155)</f>
        <v>41790</v>
      </c>
      <c r="BD156" s="275" t="str">
        <f t="shared" si="132"/>
        <v>20140101LGINE682</v>
      </c>
      <c r="BE156" s="294" t="str">
        <f t="shared" si="133"/>
        <v>20140101FLSP</v>
      </c>
      <c r="BF156">
        <f>MiscData!$X$5</f>
        <v>20140101</v>
      </c>
      <c r="BI156" s="265">
        <f>IF(BI155+1&gt;MiscData!$Z$42,1,BI155+1)</f>
        <v>1</v>
      </c>
      <c r="BJ156" s="265" t="str">
        <f>VLOOKUP(BI156,MiscData!$Z$5:$AB$46,2,FALSE)</f>
        <v>LGINE682</v>
      </c>
      <c r="BK156" s="265" t="str">
        <f>VLOOKUP(BI156,MiscData!$Z$5:$AB$46,3,FALSE)</f>
        <v>FLSP</v>
      </c>
    </row>
    <row r="157" spans="1:63" hidden="1">
      <c r="A157" s="275">
        <v>148</v>
      </c>
      <c r="B157" s="276" t="str">
        <f t="shared" si="125"/>
        <v>May 2014</v>
      </c>
      <c r="C157" s="277" t="str">
        <f t="shared" si="126"/>
        <v>FLST</v>
      </c>
      <c r="D157" s="277" t="str">
        <f t="shared" si="127"/>
        <v>LGINE683</v>
      </c>
      <c r="E157" s="278">
        <f t="shared" si="94"/>
        <v>0</v>
      </c>
      <c r="F157" s="279">
        <v>0</v>
      </c>
      <c r="G157" s="278">
        <f t="shared" si="95"/>
        <v>0</v>
      </c>
      <c r="H157" s="278">
        <f t="shared" si="96"/>
        <v>0</v>
      </c>
      <c r="I157" s="278">
        <f t="shared" si="97"/>
        <v>0</v>
      </c>
      <c r="J157" s="278">
        <f t="shared" si="98"/>
        <v>0</v>
      </c>
      <c r="K157" s="280">
        <v>0</v>
      </c>
      <c r="L157" s="281">
        <f t="shared" si="99"/>
        <v>0</v>
      </c>
      <c r="M157" s="281">
        <f t="shared" si="100"/>
        <v>0</v>
      </c>
      <c r="N157" s="281">
        <f t="shared" si="101"/>
        <v>0</v>
      </c>
      <c r="O157" s="282">
        <v>0</v>
      </c>
      <c r="P157" s="282">
        <v>0</v>
      </c>
      <c r="Q157" s="282">
        <v>0</v>
      </c>
      <c r="R157" s="283">
        <f t="shared" si="102"/>
        <v>750</v>
      </c>
      <c r="S157" s="284">
        <f t="shared" si="90"/>
        <v>3.61E-2</v>
      </c>
      <c r="T157" s="284">
        <f t="shared" si="103"/>
        <v>0</v>
      </c>
      <c r="U157" s="284">
        <f t="shared" si="104"/>
        <v>0</v>
      </c>
      <c r="V157" s="284">
        <f t="shared" si="105"/>
        <v>2.725E-2</v>
      </c>
      <c r="W157" s="283">
        <f t="shared" si="106"/>
        <v>1.1400000000000001</v>
      </c>
      <c r="X157" s="283">
        <f t="shared" si="107"/>
        <v>1.8900000000000001</v>
      </c>
      <c r="Y157" s="283">
        <f t="shared" si="108"/>
        <v>2.94</v>
      </c>
      <c r="Z157" s="285">
        <f t="shared" si="109"/>
        <v>0</v>
      </c>
      <c r="AA157" s="285">
        <f t="shared" si="110"/>
        <v>0</v>
      </c>
      <c r="AB157" s="285">
        <f t="shared" si="128"/>
        <v>0</v>
      </c>
      <c r="AC157" s="285">
        <f t="shared" si="129"/>
        <v>0</v>
      </c>
      <c r="AD157" s="285">
        <f t="shared" si="130"/>
        <v>0</v>
      </c>
      <c r="AE157" s="286">
        <v>0</v>
      </c>
      <c r="AF157" s="287">
        <f t="shared" si="111"/>
        <v>0</v>
      </c>
      <c r="AG157" s="288">
        <f t="shared" si="112"/>
        <v>0</v>
      </c>
      <c r="AH157" s="285">
        <f t="shared" si="113"/>
        <v>0</v>
      </c>
      <c r="AI157" s="286">
        <v>0</v>
      </c>
      <c r="AJ157" s="286">
        <v>0</v>
      </c>
      <c r="AK157" s="286">
        <v>0</v>
      </c>
      <c r="AL157" s="285">
        <f t="shared" si="114"/>
        <v>0</v>
      </c>
      <c r="AM157" s="285">
        <f t="shared" si="115"/>
        <v>0</v>
      </c>
      <c r="AN157" s="289">
        <f t="shared" si="131"/>
        <v>1</v>
      </c>
      <c r="AO157" s="290">
        <f t="shared" si="116"/>
        <v>0</v>
      </c>
      <c r="AP157" s="290">
        <f t="shared" si="117"/>
        <v>0</v>
      </c>
      <c r="AQ157" s="290">
        <f t="shared" si="118"/>
        <v>0</v>
      </c>
      <c r="AR157" s="290">
        <f t="shared" si="119"/>
        <v>0</v>
      </c>
      <c r="AS157" s="290">
        <f t="shared" si="120"/>
        <v>0</v>
      </c>
      <c r="AT157" s="290">
        <f t="shared" si="121"/>
        <v>0</v>
      </c>
      <c r="AU157" s="291">
        <f t="shared" si="122"/>
        <v>0</v>
      </c>
      <c r="AV157" s="291">
        <f t="shared" si="91"/>
        <v>0</v>
      </c>
      <c r="AW157" s="292">
        <f t="shared" si="123"/>
        <v>0</v>
      </c>
      <c r="AX157" s="293">
        <f t="shared" si="124"/>
        <v>0</v>
      </c>
      <c r="BC157" s="276">
        <f>IF(BI157=1,IF(BC156=MiscData!$F$1,EOMONTH(BC156,-11),EOMONTH(BC156,1)),BC156)</f>
        <v>41790</v>
      </c>
      <c r="BD157" s="275" t="str">
        <f t="shared" si="132"/>
        <v>20140101LGINE683</v>
      </c>
      <c r="BE157" s="294" t="str">
        <f t="shared" si="133"/>
        <v>20140101FLST</v>
      </c>
      <c r="BF157">
        <f>MiscData!$X$5</f>
        <v>20140101</v>
      </c>
      <c r="BI157" s="265">
        <f>IF(BI156+1&gt;MiscData!$Z$42,1,BI156+1)</f>
        <v>2</v>
      </c>
      <c r="BJ157" s="265" t="str">
        <f>VLOOKUP(BI157,MiscData!$Z$5:$AB$46,2,FALSE)</f>
        <v>LGINE683</v>
      </c>
      <c r="BK157" s="265" t="str">
        <f>VLOOKUP(BI157,MiscData!$Z$5:$AB$46,3,FALSE)</f>
        <v>FLST</v>
      </c>
    </row>
    <row r="158" spans="1:63" hidden="1">
      <c r="A158" s="275">
        <v>149</v>
      </c>
      <c r="B158" s="276" t="str">
        <f t="shared" si="125"/>
        <v>May 2014</v>
      </c>
      <c r="C158" s="277" t="s">
        <v>892</v>
      </c>
      <c r="D158" s="277" t="str">
        <f t="shared" si="127"/>
        <v>LGCME451</v>
      </c>
      <c r="E158" s="278">
        <f t="shared" si="94"/>
        <v>54</v>
      </c>
      <c r="F158" s="279">
        <f>-E158</f>
        <v>-54</v>
      </c>
      <c r="G158" s="278">
        <f t="shared" si="95"/>
        <v>0</v>
      </c>
      <c r="H158" s="278">
        <f t="shared" si="96"/>
        <v>0</v>
      </c>
      <c r="I158" s="278">
        <f t="shared" si="97"/>
        <v>0</v>
      </c>
      <c r="J158" s="278">
        <f t="shared" si="98"/>
        <v>10322</v>
      </c>
      <c r="K158" s="280">
        <v>0</v>
      </c>
      <c r="L158" s="281">
        <f t="shared" si="99"/>
        <v>0</v>
      </c>
      <c r="M158" s="281">
        <f t="shared" si="100"/>
        <v>0</v>
      </c>
      <c r="N158" s="281">
        <f t="shared" si="101"/>
        <v>0</v>
      </c>
      <c r="O158" s="282">
        <v>0</v>
      </c>
      <c r="P158" s="282">
        <v>0</v>
      </c>
      <c r="Q158" s="282">
        <v>0</v>
      </c>
      <c r="R158" s="283">
        <f t="shared" si="102"/>
        <v>0</v>
      </c>
      <c r="S158" s="284">
        <f t="shared" si="90"/>
        <v>9.1340000000000005E-2</v>
      </c>
      <c r="T158" s="284">
        <f t="shared" si="103"/>
        <v>0</v>
      </c>
      <c r="U158" s="284">
        <f t="shared" si="104"/>
        <v>0</v>
      </c>
      <c r="V158" s="284">
        <f t="shared" si="105"/>
        <v>2.725E-2</v>
      </c>
      <c r="W158" s="283">
        <f t="shared" si="106"/>
        <v>0</v>
      </c>
      <c r="X158" s="283">
        <f t="shared" si="107"/>
        <v>0</v>
      </c>
      <c r="Y158" s="283">
        <f t="shared" si="108"/>
        <v>0</v>
      </c>
      <c r="Z158" s="285">
        <f t="shared" si="109"/>
        <v>0</v>
      </c>
      <c r="AA158" s="285">
        <f t="shared" si="110"/>
        <v>942.81</v>
      </c>
      <c r="AB158" s="285">
        <f t="shared" si="128"/>
        <v>0</v>
      </c>
      <c r="AC158" s="285">
        <f t="shared" si="129"/>
        <v>0</v>
      </c>
      <c r="AD158" s="285">
        <f t="shared" si="130"/>
        <v>0</v>
      </c>
      <c r="AE158" s="286">
        <v>0</v>
      </c>
      <c r="AF158" s="287">
        <f t="shared" si="111"/>
        <v>0</v>
      </c>
      <c r="AG158" s="288">
        <f t="shared" si="112"/>
        <v>0</v>
      </c>
      <c r="AH158" s="285">
        <f t="shared" si="113"/>
        <v>0</v>
      </c>
      <c r="AI158" s="286">
        <v>0</v>
      </c>
      <c r="AJ158" s="286">
        <v>0</v>
      </c>
      <c r="AK158" s="286">
        <v>0</v>
      </c>
      <c r="AL158" s="285">
        <f t="shared" si="114"/>
        <v>942.81</v>
      </c>
      <c r="AM158" s="285">
        <f t="shared" si="115"/>
        <v>942.81</v>
      </c>
      <c r="AN158" s="289">
        <f t="shared" si="131"/>
        <v>1</v>
      </c>
      <c r="AO158" s="290">
        <f t="shared" si="116"/>
        <v>16.5</v>
      </c>
      <c r="AP158" s="290">
        <f t="shared" si="117"/>
        <v>31.27</v>
      </c>
      <c r="AQ158" s="290">
        <f t="shared" si="118"/>
        <v>25.8</v>
      </c>
      <c r="AR158" s="290">
        <f t="shared" si="119"/>
        <v>0</v>
      </c>
      <c r="AS158" s="290">
        <f t="shared" si="120"/>
        <v>0</v>
      </c>
      <c r="AT158" s="290">
        <f t="shared" si="121"/>
        <v>1016.38</v>
      </c>
      <c r="AU158" s="291">
        <f t="shared" si="122"/>
        <v>1016.3799999999999</v>
      </c>
      <c r="AV158" s="291">
        <f t="shared" si="91"/>
        <v>0</v>
      </c>
      <c r="AW158" s="292">
        <f t="shared" si="123"/>
        <v>281.27</v>
      </c>
      <c r="AX158" s="293">
        <f t="shared" si="124"/>
        <v>661.54</v>
      </c>
      <c r="BC158" s="276">
        <f>IF(BI158=1,IF(BC157=MiscData!$F$1,EOMONTH(BC157,-11),EOMONTH(BC157,1)),BC157)</f>
        <v>41790</v>
      </c>
      <c r="BD158" s="275" t="str">
        <f t="shared" si="132"/>
        <v>20140101LGCME451</v>
      </c>
      <c r="BE158" s="294" t="str">
        <f t="shared" si="133"/>
        <v>20140101GSS</v>
      </c>
      <c r="BF158">
        <f>MiscData!$X$5</f>
        <v>20140101</v>
      </c>
      <c r="BI158" s="265">
        <f>IF(BI157+1&gt;MiscData!$Z$42,1,BI157+1)</f>
        <v>3</v>
      </c>
      <c r="BJ158" s="265" t="str">
        <f>VLOOKUP(BI158,MiscData!$Z$5:$AB$46,2,FALSE)</f>
        <v>LGCME451</v>
      </c>
      <c r="BK158" s="265" t="str">
        <f>VLOOKUP(BI158,MiscData!$Z$5:$AB$46,3,FALSE)</f>
        <v>GSS</v>
      </c>
    </row>
    <row r="159" spans="1:63" hidden="1">
      <c r="A159" s="275">
        <v>150</v>
      </c>
      <c r="B159" s="276" t="str">
        <f t="shared" si="125"/>
        <v>May 2014</v>
      </c>
      <c r="C159" s="277" t="s">
        <v>892</v>
      </c>
      <c r="D159" s="277" t="str">
        <f t="shared" si="127"/>
        <v>LGCME550</v>
      </c>
      <c r="E159" s="278">
        <f t="shared" si="94"/>
        <v>0</v>
      </c>
      <c r="F159" s="279">
        <v>0</v>
      </c>
      <c r="G159" s="278">
        <f t="shared" si="95"/>
        <v>0</v>
      </c>
      <c r="H159" s="278">
        <f t="shared" si="96"/>
        <v>0</v>
      </c>
      <c r="I159" s="278">
        <f t="shared" si="97"/>
        <v>0</v>
      </c>
      <c r="J159" s="278">
        <f t="shared" si="98"/>
        <v>0</v>
      </c>
      <c r="K159" s="280">
        <v>0</v>
      </c>
      <c r="L159" s="281">
        <f t="shared" si="99"/>
        <v>0</v>
      </c>
      <c r="M159" s="281">
        <f t="shared" si="100"/>
        <v>0</v>
      </c>
      <c r="N159" s="281">
        <f t="shared" si="101"/>
        <v>0</v>
      </c>
      <c r="O159" s="282">
        <v>0</v>
      </c>
      <c r="P159" s="282">
        <v>0</v>
      </c>
      <c r="Q159" s="282">
        <v>0</v>
      </c>
      <c r="R159" s="283">
        <f t="shared" si="102"/>
        <v>20</v>
      </c>
      <c r="S159" s="284">
        <f t="shared" si="90"/>
        <v>9.1340000000000005E-2</v>
      </c>
      <c r="T159" s="284">
        <f t="shared" si="103"/>
        <v>0</v>
      </c>
      <c r="U159" s="284">
        <f t="shared" si="104"/>
        <v>0</v>
      </c>
      <c r="V159" s="284">
        <f t="shared" si="105"/>
        <v>2.725E-2</v>
      </c>
      <c r="W159" s="283">
        <f t="shared" si="106"/>
        <v>0</v>
      </c>
      <c r="X159" s="283">
        <f t="shared" si="107"/>
        <v>0</v>
      </c>
      <c r="Y159" s="283">
        <f t="shared" si="108"/>
        <v>0</v>
      </c>
      <c r="Z159" s="285">
        <f t="shared" si="109"/>
        <v>0</v>
      </c>
      <c r="AA159" s="285">
        <f t="shared" si="110"/>
        <v>0</v>
      </c>
      <c r="AB159" s="285">
        <f t="shared" si="128"/>
        <v>0</v>
      </c>
      <c r="AC159" s="285">
        <f t="shared" si="129"/>
        <v>0</v>
      </c>
      <c r="AD159" s="285">
        <f t="shared" si="130"/>
        <v>0</v>
      </c>
      <c r="AE159" s="286">
        <v>0</v>
      </c>
      <c r="AF159" s="287">
        <f t="shared" si="111"/>
        <v>0</v>
      </c>
      <c r="AG159" s="288">
        <f t="shared" si="112"/>
        <v>0</v>
      </c>
      <c r="AH159" s="285">
        <f t="shared" si="113"/>
        <v>0</v>
      </c>
      <c r="AI159" s="286">
        <v>0</v>
      </c>
      <c r="AJ159" s="286">
        <v>0</v>
      </c>
      <c r="AK159" s="286">
        <v>0</v>
      </c>
      <c r="AL159" s="285">
        <f t="shared" si="114"/>
        <v>0</v>
      </c>
      <c r="AM159" s="285">
        <f t="shared" si="115"/>
        <v>0</v>
      </c>
      <c r="AN159" s="289">
        <f t="shared" si="131"/>
        <v>1</v>
      </c>
      <c r="AO159" s="290">
        <f t="shared" si="116"/>
        <v>0</v>
      </c>
      <c r="AP159" s="290">
        <f t="shared" si="117"/>
        <v>0</v>
      </c>
      <c r="AQ159" s="290">
        <f t="shared" si="118"/>
        <v>0</v>
      </c>
      <c r="AR159" s="290">
        <f t="shared" si="119"/>
        <v>0</v>
      </c>
      <c r="AS159" s="290">
        <f t="shared" si="120"/>
        <v>0</v>
      </c>
      <c r="AT159" s="290">
        <f t="shared" si="121"/>
        <v>0</v>
      </c>
      <c r="AU159" s="291">
        <f t="shared" si="122"/>
        <v>0</v>
      </c>
      <c r="AV159" s="291">
        <f t="shared" si="91"/>
        <v>0</v>
      </c>
      <c r="AW159" s="292">
        <f t="shared" si="123"/>
        <v>0</v>
      </c>
      <c r="AX159" s="293">
        <f t="shared" si="124"/>
        <v>0</v>
      </c>
      <c r="BC159" s="276">
        <f>IF(BI159=1,IF(BC158=MiscData!$F$1,EOMONTH(BC158,-11),EOMONTH(BC158,1)),BC158)</f>
        <v>41790</v>
      </c>
      <c r="BD159" s="275" t="str">
        <f t="shared" si="132"/>
        <v>20140101LGCME550</v>
      </c>
      <c r="BE159" s="294" t="str">
        <f t="shared" si="133"/>
        <v>20140101GSS</v>
      </c>
      <c r="BF159">
        <f>MiscData!$X$5</f>
        <v>20140101</v>
      </c>
      <c r="BI159" s="265">
        <f>IF(BI158+1&gt;MiscData!$Z$42,1,BI158+1)</f>
        <v>4</v>
      </c>
      <c r="BJ159" s="265" t="str">
        <f>VLOOKUP(BI159,MiscData!$Z$5:$AB$46,2,FALSE)</f>
        <v>LGCME550</v>
      </c>
      <c r="BK159" s="265" t="str">
        <f>VLOOKUP(BI159,MiscData!$Z$5:$AB$46,3,FALSE)</f>
        <v>GSS</v>
      </c>
    </row>
    <row r="160" spans="1:63" hidden="1">
      <c r="A160" s="275">
        <v>151</v>
      </c>
      <c r="B160" s="276" t="str">
        <f t="shared" si="125"/>
        <v>May 2014</v>
      </c>
      <c r="C160" s="277" t="s">
        <v>892</v>
      </c>
      <c r="D160" s="277" t="str">
        <f t="shared" si="127"/>
        <v>LGCME551</v>
      </c>
      <c r="E160" s="278">
        <f t="shared" si="94"/>
        <v>29196</v>
      </c>
      <c r="F160" s="279">
        <v>149</v>
      </c>
      <c r="G160" s="278">
        <f t="shared" si="95"/>
        <v>0</v>
      </c>
      <c r="H160" s="278">
        <f t="shared" si="96"/>
        <v>0</v>
      </c>
      <c r="I160" s="278">
        <f t="shared" si="97"/>
        <v>0</v>
      </c>
      <c r="J160" s="278">
        <f t="shared" si="98"/>
        <v>33603505</v>
      </c>
      <c r="K160" s="280">
        <v>0</v>
      </c>
      <c r="L160" s="281">
        <f t="shared" si="99"/>
        <v>15660.5</v>
      </c>
      <c r="M160" s="281">
        <f t="shared" si="100"/>
        <v>0</v>
      </c>
      <c r="N160" s="281">
        <f t="shared" si="101"/>
        <v>0</v>
      </c>
      <c r="O160" s="282">
        <v>0</v>
      </c>
      <c r="P160" s="282">
        <v>0</v>
      </c>
      <c r="Q160" s="282">
        <v>0</v>
      </c>
      <c r="R160" s="283">
        <f t="shared" si="102"/>
        <v>20</v>
      </c>
      <c r="S160" s="284">
        <f t="shared" si="90"/>
        <v>9.1340000000000005E-2</v>
      </c>
      <c r="T160" s="284">
        <f t="shared" si="103"/>
        <v>0</v>
      </c>
      <c r="U160" s="284">
        <f t="shared" si="104"/>
        <v>0</v>
      </c>
      <c r="V160" s="284">
        <f t="shared" si="105"/>
        <v>2.725E-2</v>
      </c>
      <c r="W160" s="283">
        <f t="shared" si="106"/>
        <v>0</v>
      </c>
      <c r="X160" s="283">
        <f t="shared" si="107"/>
        <v>0</v>
      </c>
      <c r="Y160" s="283">
        <f t="shared" si="108"/>
        <v>0</v>
      </c>
      <c r="Z160" s="285">
        <f t="shared" si="109"/>
        <v>586900</v>
      </c>
      <c r="AA160" s="285">
        <f t="shared" si="110"/>
        <v>3069344.15</v>
      </c>
      <c r="AB160" s="285">
        <f t="shared" si="128"/>
        <v>0</v>
      </c>
      <c r="AC160" s="285">
        <f t="shared" si="129"/>
        <v>0</v>
      </c>
      <c r="AD160" s="285">
        <f t="shared" si="130"/>
        <v>0</v>
      </c>
      <c r="AE160" s="286">
        <v>0</v>
      </c>
      <c r="AF160" s="287">
        <f t="shared" si="111"/>
        <v>0</v>
      </c>
      <c r="AG160" s="288">
        <f t="shared" si="112"/>
        <v>0</v>
      </c>
      <c r="AH160" s="285">
        <f t="shared" si="113"/>
        <v>0</v>
      </c>
      <c r="AI160" s="286">
        <v>-3364.48</v>
      </c>
      <c r="AJ160" s="286">
        <v>-575.62</v>
      </c>
      <c r="AK160" s="286">
        <v>0</v>
      </c>
      <c r="AL160" s="285">
        <f t="shared" si="114"/>
        <v>3652304.05</v>
      </c>
      <c r="AM160" s="285">
        <f t="shared" si="115"/>
        <v>3652304.05</v>
      </c>
      <c r="AN160" s="289">
        <f t="shared" si="131"/>
        <v>1</v>
      </c>
      <c r="AO160" s="290">
        <f t="shared" si="116"/>
        <v>53924.78</v>
      </c>
      <c r="AP160" s="290">
        <f t="shared" si="117"/>
        <v>101640.21</v>
      </c>
      <c r="AQ160" s="290">
        <f t="shared" si="118"/>
        <v>105389.51</v>
      </c>
      <c r="AR160" s="290">
        <f t="shared" si="119"/>
        <v>0</v>
      </c>
      <c r="AS160" s="290">
        <f t="shared" si="120"/>
        <v>0</v>
      </c>
      <c r="AT160" s="290">
        <f t="shared" si="121"/>
        <v>3913258.55</v>
      </c>
      <c r="AU160" s="291">
        <f t="shared" si="122"/>
        <v>3913258.5499999993</v>
      </c>
      <c r="AV160" s="291">
        <f t="shared" si="91"/>
        <v>0</v>
      </c>
      <c r="AW160" s="292">
        <f t="shared" si="123"/>
        <v>915695.51</v>
      </c>
      <c r="AX160" s="293">
        <f t="shared" si="124"/>
        <v>2153073.0199999996</v>
      </c>
      <c r="BC160" s="276">
        <f>IF(BI160=1,IF(BC159=MiscData!$F$1,EOMONTH(BC159,-11),EOMONTH(BC159,1)),BC159)</f>
        <v>41790</v>
      </c>
      <c r="BD160" s="275" t="str">
        <f t="shared" si="132"/>
        <v>20140101LGCME551</v>
      </c>
      <c r="BE160" s="294" t="str">
        <f t="shared" si="133"/>
        <v>20140101GSS</v>
      </c>
      <c r="BF160">
        <f>MiscData!$X$5</f>
        <v>20140101</v>
      </c>
      <c r="BI160" s="265">
        <f>IF(BI159+1&gt;MiscData!$Z$42,1,BI159+1)</f>
        <v>5</v>
      </c>
      <c r="BJ160" s="265" t="str">
        <f>VLOOKUP(BI160,MiscData!$Z$5:$AB$46,2,FALSE)</f>
        <v>LGCME551</v>
      </c>
      <c r="BK160" s="265" t="str">
        <f>VLOOKUP(BI160,MiscData!$Z$5:$AB$46,3,FALSE)</f>
        <v>GSS</v>
      </c>
    </row>
    <row r="161" spans="1:63" hidden="1">
      <c r="A161" s="275">
        <v>152</v>
      </c>
      <c r="B161" s="276" t="str">
        <f t="shared" si="125"/>
        <v>May 2014</v>
      </c>
      <c r="C161" s="277" t="s">
        <v>892</v>
      </c>
      <c r="D161" s="277" t="str">
        <f t="shared" si="127"/>
        <v>LGCME551UM</v>
      </c>
      <c r="E161" s="278">
        <f t="shared" si="94"/>
        <v>1</v>
      </c>
      <c r="F161" s="279">
        <v>102</v>
      </c>
      <c r="G161" s="278">
        <f t="shared" si="95"/>
        <v>0</v>
      </c>
      <c r="H161" s="278">
        <f t="shared" si="96"/>
        <v>0</v>
      </c>
      <c r="I161" s="278">
        <f t="shared" si="97"/>
        <v>0</v>
      </c>
      <c r="J161" s="278">
        <f t="shared" si="98"/>
        <v>13802</v>
      </c>
      <c r="K161" s="280">
        <v>0</v>
      </c>
      <c r="L161" s="281">
        <f t="shared" si="99"/>
        <v>0</v>
      </c>
      <c r="M161" s="281">
        <f t="shared" si="100"/>
        <v>0</v>
      </c>
      <c r="N161" s="281">
        <f t="shared" si="101"/>
        <v>0</v>
      </c>
      <c r="O161" s="282">
        <v>0</v>
      </c>
      <c r="P161" s="282">
        <v>0</v>
      </c>
      <c r="Q161" s="282">
        <v>0</v>
      </c>
      <c r="R161" s="283">
        <f t="shared" si="102"/>
        <v>20</v>
      </c>
      <c r="S161" s="284">
        <f t="shared" si="90"/>
        <v>9.1340000000000005E-2</v>
      </c>
      <c r="T161" s="284">
        <f t="shared" si="103"/>
        <v>0</v>
      </c>
      <c r="U161" s="284">
        <f t="shared" si="104"/>
        <v>0</v>
      </c>
      <c r="V161" s="284">
        <f t="shared" si="105"/>
        <v>2.725E-2</v>
      </c>
      <c r="W161" s="283">
        <f t="shared" si="106"/>
        <v>0</v>
      </c>
      <c r="X161" s="283">
        <f t="shared" si="107"/>
        <v>0</v>
      </c>
      <c r="Y161" s="283">
        <f t="shared" si="108"/>
        <v>0</v>
      </c>
      <c r="Z161" s="285">
        <f t="shared" si="109"/>
        <v>2060</v>
      </c>
      <c r="AA161" s="285">
        <f t="shared" si="110"/>
        <v>1260.67</v>
      </c>
      <c r="AB161" s="285">
        <f t="shared" si="128"/>
        <v>0</v>
      </c>
      <c r="AC161" s="285">
        <f t="shared" si="129"/>
        <v>0</v>
      </c>
      <c r="AD161" s="285">
        <f t="shared" si="130"/>
        <v>0</v>
      </c>
      <c r="AE161" s="286">
        <v>0</v>
      </c>
      <c r="AF161" s="287">
        <f t="shared" si="111"/>
        <v>0</v>
      </c>
      <c r="AG161" s="288">
        <f t="shared" si="112"/>
        <v>0</v>
      </c>
      <c r="AH161" s="285">
        <f t="shared" si="113"/>
        <v>0</v>
      </c>
      <c r="AI161" s="286">
        <v>0</v>
      </c>
      <c r="AJ161" s="286">
        <v>0</v>
      </c>
      <c r="AK161" s="286">
        <v>0</v>
      </c>
      <c r="AL161" s="285">
        <f t="shared" si="114"/>
        <v>3320.67</v>
      </c>
      <c r="AM161" s="285">
        <f t="shared" si="115"/>
        <v>3320.67</v>
      </c>
      <c r="AN161" s="289">
        <f t="shared" si="131"/>
        <v>1</v>
      </c>
      <c r="AO161" s="290">
        <f t="shared" si="116"/>
        <v>22.08</v>
      </c>
      <c r="AP161" s="290">
        <f t="shared" si="117"/>
        <v>41.82</v>
      </c>
      <c r="AQ161" s="290">
        <f t="shared" si="118"/>
        <v>111.39</v>
      </c>
      <c r="AR161" s="290">
        <f t="shared" si="119"/>
        <v>0</v>
      </c>
      <c r="AS161" s="290">
        <f t="shared" si="120"/>
        <v>0</v>
      </c>
      <c r="AT161" s="290">
        <f t="shared" si="121"/>
        <v>3495.96</v>
      </c>
      <c r="AU161" s="291">
        <f t="shared" si="122"/>
        <v>3495.96</v>
      </c>
      <c r="AV161" s="291">
        <f t="shared" si="91"/>
        <v>0</v>
      </c>
      <c r="AW161" s="292">
        <f t="shared" si="123"/>
        <v>376.1</v>
      </c>
      <c r="AX161" s="293">
        <f t="shared" si="124"/>
        <v>884.57</v>
      </c>
      <c r="BC161" s="276">
        <f>IF(BI161=1,IF(BC160=MiscData!$F$1,EOMONTH(BC160,-11),EOMONTH(BC160,1)),BC160)</f>
        <v>41790</v>
      </c>
      <c r="BD161" s="275" t="str">
        <f t="shared" si="132"/>
        <v>20140101LGCME551UM</v>
      </c>
      <c r="BE161" s="294" t="str">
        <f t="shared" si="133"/>
        <v>20140101GSS</v>
      </c>
      <c r="BF161">
        <f>MiscData!$X$5</f>
        <v>20140101</v>
      </c>
      <c r="BI161" s="265">
        <f>IF(BI160+1&gt;MiscData!$Z$42,1,BI160+1)</f>
        <v>6</v>
      </c>
      <c r="BJ161" s="265" t="str">
        <f>VLOOKUP(BI161,MiscData!$Z$5:$AB$46,2,FALSE)</f>
        <v>LGCME551UM</v>
      </c>
      <c r="BK161" s="265" t="str">
        <f>VLOOKUP(BI161,MiscData!$Z$5:$AB$46,3,FALSE)</f>
        <v>GSS</v>
      </c>
    </row>
    <row r="162" spans="1:63" hidden="1">
      <c r="A162" s="275">
        <v>153</v>
      </c>
      <c r="B162" s="276" t="str">
        <f t="shared" si="125"/>
        <v>May 2014</v>
      </c>
      <c r="C162" s="277" t="s">
        <v>892</v>
      </c>
      <c r="D162" s="277" t="str">
        <f t="shared" si="127"/>
        <v>LGCME552</v>
      </c>
      <c r="E162" s="278">
        <f t="shared" si="94"/>
        <v>120</v>
      </c>
      <c r="F162" s="279">
        <f>-E162</f>
        <v>-120</v>
      </c>
      <c r="G162" s="278">
        <f t="shared" si="95"/>
        <v>0</v>
      </c>
      <c r="H162" s="278">
        <f t="shared" si="96"/>
        <v>0</v>
      </c>
      <c r="I162" s="278">
        <f t="shared" si="97"/>
        <v>0</v>
      </c>
      <c r="J162" s="278">
        <f t="shared" si="98"/>
        <v>86350</v>
      </c>
      <c r="K162" s="280">
        <v>0</v>
      </c>
      <c r="L162" s="281">
        <f t="shared" si="99"/>
        <v>1.3</v>
      </c>
      <c r="M162" s="281">
        <f t="shared" si="100"/>
        <v>0</v>
      </c>
      <c r="N162" s="281">
        <f t="shared" si="101"/>
        <v>0</v>
      </c>
      <c r="O162" s="282">
        <v>0</v>
      </c>
      <c r="P162" s="282">
        <v>0</v>
      </c>
      <c r="Q162" s="282">
        <v>0</v>
      </c>
      <c r="R162" s="283">
        <f t="shared" si="102"/>
        <v>0</v>
      </c>
      <c r="S162" s="284">
        <f t="shared" si="90"/>
        <v>9.1340000000000005E-2</v>
      </c>
      <c r="T162" s="284">
        <f t="shared" si="103"/>
        <v>0</v>
      </c>
      <c r="U162" s="284">
        <f t="shared" si="104"/>
        <v>0</v>
      </c>
      <c r="V162" s="284">
        <f t="shared" si="105"/>
        <v>2.725E-2</v>
      </c>
      <c r="W162" s="283">
        <f t="shared" si="106"/>
        <v>0</v>
      </c>
      <c r="X162" s="283">
        <f t="shared" si="107"/>
        <v>0</v>
      </c>
      <c r="Y162" s="283">
        <f t="shared" si="108"/>
        <v>0</v>
      </c>
      <c r="Z162" s="285">
        <f t="shared" si="109"/>
        <v>0</v>
      </c>
      <c r="AA162" s="285">
        <f t="shared" si="110"/>
        <v>7887.21</v>
      </c>
      <c r="AB162" s="285">
        <f t="shared" si="128"/>
        <v>0</v>
      </c>
      <c r="AC162" s="285">
        <f t="shared" si="129"/>
        <v>0</v>
      </c>
      <c r="AD162" s="285">
        <f t="shared" si="130"/>
        <v>0</v>
      </c>
      <c r="AE162" s="286">
        <v>0</v>
      </c>
      <c r="AF162" s="287">
        <f t="shared" si="111"/>
        <v>0</v>
      </c>
      <c r="AG162" s="288">
        <f t="shared" si="112"/>
        <v>0</v>
      </c>
      <c r="AH162" s="285">
        <f t="shared" si="113"/>
        <v>0</v>
      </c>
      <c r="AI162" s="286">
        <v>0</v>
      </c>
      <c r="AJ162" s="286">
        <v>0.03</v>
      </c>
      <c r="AK162" s="286">
        <v>0</v>
      </c>
      <c r="AL162" s="285">
        <f t="shared" si="114"/>
        <v>7887.24</v>
      </c>
      <c r="AM162" s="285">
        <f t="shared" si="115"/>
        <v>7887.24</v>
      </c>
      <c r="AN162" s="289">
        <f t="shared" si="131"/>
        <v>1</v>
      </c>
      <c r="AO162" s="290">
        <f t="shared" si="116"/>
        <v>137.96</v>
      </c>
      <c r="AP162" s="290">
        <f t="shared" si="117"/>
        <v>261.63</v>
      </c>
      <c r="AQ162" s="290">
        <f t="shared" si="118"/>
        <v>215.09</v>
      </c>
      <c r="AR162" s="290">
        <f t="shared" si="119"/>
        <v>0</v>
      </c>
      <c r="AS162" s="290">
        <f t="shared" si="120"/>
        <v>0</v>
      </c>
      <c r="AT162" s="290">
        <f t="shared" si="121"/>
        <v>8501.92</v>
      </c>
      <c r="AU162" s="291">
        <f t="shared" si="122"/>
        <v>8501.92</v>
      </c>
      <c r="AV162" s="291">
        <f t="shared" si="91"/>
        <v>0</v>
      </c>
      <c r="AW162" s="292">
        <f t="shared" si="123"/>
        <v>2353.04</v>
      </c>
      <c r="AX162" s="293">
        <f t="shared" si="124"/>
        <v>5534.2</v>
      </c>
      <c r="BC162" s="276">
        <f>IF(BI162=1,IF(BC161=MiscData!$F$1,EOMONTH(BC161,-11),EOMONTH(BC161,1)),BC161)</f>
        <v>41790</v>
      </c>
      <c r="BD162" s="275" t="str">
        <f t="shared" si="132"/>
        <v>20140101LGCME552</v>
      </c>
      <c r="BE162" s="294" t="str">
        <f t="shared" si="133"/>
        <v>20140101GSS</v>
      </c>
      <c r="BF162">
        <f>MiscData!$X$5</f>
        <v>20140101</v>
      </c>
      <c r="BI162" s="265">
        <f>IF(BI161+1&gt;MiscData!$Z$42,1,BI161+1)</f>
        <v>7</v>
      </c>
      <c r="BJ162" s="265" t="str">
        <f>VLOOKUP(BI162,MiscData!$Z$5:$AB$46,2,FALSE)</f>
        <v>LGCME552</v>
      </c>
      <c r="BK162" s="265" t="str">
        <f>VLOOKUP(BI162,MiscData!$Z$5:$AB$46,3,FALSE)</f>
        <v>GSS</v>
      </c>
    </row>
    <row r="163" spans="1:63" hidden="1">
      <c r="A163" s="275">
        <v>154</v>
      </c>
      <c r="B163" s="276" t="str">
        <f t="shared" si="125"/>
        <v>May 2014</v>
      </c>
      <c r="C163" s="277" t="s">
        <v>892</v>
      </c>
      <c r="D163" s="277" t="str">
        <f t="shared" si="127"/>
        <v>LGCME557</v>
      </c>
      <c r="E163" s="278">
        <f t="shared" si="94"/>
        <v>7</v>
      </c>
      <c r="F163" s="279">
        <v>0</v>
      </c>
      <c r="G163" s="278">
        <f t="shared" si="95"/>
        <v>0</v>
      </c>
      <c r="H163" s="278">
        <f t="shared" si="96"/>
        <v>0</v>
      </c>
      <c r="I163" s="278">
        <f t="shared" si="97"/>
        <v>0</v>
      </c>
      <c r="J163" s="278">
        <f t="shared" si="98"/>
        <v>1464</v>
      </c>
      <c r="K163" s="280">
        <v>0</v>
      </c>
      <c r="L163" s="281">
        <f t="shared" si="99"/>
        <v>0</v>
      </c>
      <c r="M163" s="281">
        <f t="shared" si="100"/>
        <v>0</v>
      </c>
      <c r="N163" s="281">
        <f t="shared" si="101"/>
        <v>0</v>
      </c>
      <c r="O163" s="282">
        <v>0</v>
      </c>
      <c r="P163" s="282">
        <v>0</v>
      </c>
      <c r="Q163" s="282">
        <v>0</v>
      </c>
      <c r="R163" s="283">
        <f t="shared" si="102"/>
        <v>20</v>
      </c>
      <c r="S163" s="284">
        <f t="shared" si="90"/>
        <v>9.1340000000000005E-2</v>
      </c>
      <c r="T163" s="284">
        <f t="shared" si="103"/>
        <v>0</v>
      </c>
      <c r="U163" s="284">
        <f t="shared" si="104"/>
        <v>0</v>
      </c>
      <c r="V163" s="284">
        <f t="shared" si="105"/>
        <v>2.725E-2</v>
      </c>
      <c r="W163" s="283">
        <f t="shared" si="106"/>
        <v>0</v>
      </c>
      <c r="X163" s="283">
        <f t="shared" si="107"/>
        <v>0</v>
      </c>
      <c r="Y163" s="283">
        <f t="shared" si="108"/>
        <v>0</v>
      </c>
      <c r="Z163" s="285">
        <f t="shared" si="109"/>
        <v>140</v>
      </c>
      <c r="AA163" s="285">
        <f t="shared" si="110"/>
        <v>133.72</v>
      </c>
      <c r="AB163" s="285">
        <f t="shared" si="128"/>
        <v>0</v>
      </c>
      <c r="AC163" s="285">
        <f t="shared" si="129"/>
        <v>0</v>
      </c>
      <c r="AD163" s="285">
        <f t="shared" si="130"/>
        <v>0</v>
      </c>
      <c r="AE163" s="286">
        <v>0</v>
      </c>
      <c r="AF163" s="287">
        <f t="shared" si="111"/>
        <v>0</v>
      </c>
      <c r="AG163" s="288">
        <f t="shared" si="112"/>
        <v>0</v>
      </c>
      <c r="AH163" s="285">
        <f t="shared" si="113"/>
        <v>0</v>
      </c>
      <c r="AI163" s="286">
        <v>0</v>
      </c>
      <c r="AJ163" s="286">
        <v>0</v>
      </c>
      <c r="AK163" s="286">
        <v>0</v>
      </c>
      <c r="AL163" s="285">
        <f t="shared" si="114"/>
        <v>273.72000000000003</v>
      </c>
      <c r="AM163" s="285">
        <f t="shared" si="115"/>
        <v>273.72000000000003</v>
      </c>
      <c r="AN163" s="289">
        <f t="shared" si="131"/>
        <v>1</v>
      </c>
      <c r="AO163" s="290">
        <f t="shared" si="116"/>
        <v>2.34</v>
      </c>
      <c r="AP163" s="290">
        <f t="shared" si="117"/>
        <v>4.4400000000000004</v>
      </c>
      <c r="AQ163" s="290">
        <f t="shared" si="118"/>
        <v>8.91</v>
      </c>
      <c r="AR163" s="290">
        <f t="shared" si="119"/>
        <v>0</v>
      </c>
      <c r="AS163" s="290">
        <f t="shared" si="120"/>
        <v>0</v>
      </c>
      <c r="AT163" s="290">
        <f t="shared" si="121"/>
        <v>289.41000000000003</v>
      </c>
      <c r="AU163" s="291">
        <f t="shared" si="122"/>
        <v>289.41000000000003</v>
      </c>
      <c r="AV163" s="291">
        <f t="shared" si="91"/>
        <v>0</v>
      </c>
      <c r="AW163" s="292">
        <f t="shared" si="123"/>
        <v>39.89</v>
      </c>
      <c r="AX163" s="293">
        <f t="shared" si="124"/>
        <v>93.83</v>
      </c>
      <c r="BC163" s="276">
        <f>IF(BI163=1,IF(BC162=MiscData!$F$1,EOMONTH(BC162,-11),EOMONTH(BC162,1)),BC162)</f>
        <v>41790</v>
      </c>
      <c r="BD163" s="275" t="str">
        <f t="shared" si="132"/>
        <v>20140101LGCME557</v>
      </c>
      <c r="BE163" s="294" t="str">
        <f t="shared" si="133"/>
        <v>20140101GSS</v>
      </c>
      <c r="BF163">
        <f>MiscData!$X$5</f>
        <v>20140101</v>
      </c>
      <c r="BI163" s="265">
        <f>IF(BI162+1&gt;MiscData!$Z$42,1,BI162+1)</f>
        <v>8</v>
      </c>
      <c r="BJ163" s="265" t="str">
        <f>VLOOKUP(BI163,MiscData!$Z$5:$AB$46,2,FALSE)</f>
        <v>LGCME557</v>
      </c>
      <c r="BK163" s="265" t="str">
        <f>VLOOKUP(BI163,MiscData!$Z$5:$AB$46,3,FALSE)</f>
        <v>GSS</v>
      </c>
    </row>
    <row r="164" spans="1:63" hidden="1">
      <c r="A164" s="275">
        <v>155</v>
      </c>
      <c r="B164" s="276" t="str">
        <f t="shared" si="125"/>
        <v>May 2014</v>
      </c>
      <c r="C164" s="277" t="str">
        <f t="shared" si="126"/>
        <v>PSS</v>
      </c>
      <c r="D164" s="277" t="str">
        <f t="shared" si="127"/>
        <v>LGCME561</v>
      </c>
      <c r="E164" s="278">
        <f t="shared" si="94"/>
        <v>2573</v>
      </c>
      <c r="F164" s="279">
        <v>70</v>
      </c>
      <c r="G164" s="278">
        <f t="shared" si="95"/>
        <v>0</v>
      </c>
      <c r="H164" s="278">
        <f t="shared" si="96"/>
        <v>0</v>
      </c>
      <c r="I164" s="278">
        <f t="shared" si="97"/>
        <v>0</v>
      </c>
      <c r="J164" s="278">
        <f t="shared" si="98"/>
        <v>137149217</v>
      </c>
      <c r="K164" s="280">
        <v>0</v>
      </c>
      <c r="L164" s="281">
        <f t="shared" si="99"/>
        <v>0</v>
      </c>
      <c r="M164" s="281">
        <f t="shared" si="100"/>
        <v>0</v>
      </c>
      <c r="N164" s="281">
        <f t="shared" si="101"/>
        <v>375096.9</v>
      </c>
      <c r="O164" s="282">
        <v>0</v>
      </c>
      <c r="P164" s="282">
        <v>0</v>
      </c>
      <c r="Q164" s="282">
        <v>11815.7</v>
      </c>
      <c r="R164" s="283">
        <f t="shared" si="102"/>
        <v>90</v>
      </c>
      <c r="S164" s="284">
        <f t="shared" si="90"/>
        <v>4.0599999999999997E-2</v>
      </c>
      <c r="T164" s="284">
        <f t="shared" si="103"/>
        <v>0</v>
      </c>
      <c r="U164" s="284">
        <f t="shared" si="104"/>
        <v>0</v>
      </c>
      <c r="V164" s="284">
        <f t="shared" si="105"/>
        <v>2.725E-2</v>
      </c>
      <c r="W164" s="283">
        <f t="shared" si="106"/>
        <v>0</v>
      </c>
      <c r="X164" s="283">
        <f t="shared" si="107"/>
        <v>14.010000000000002</v>
      </c>
      <c r="Y164" s="283">
        <f t="shared" si="108"/>
        <v>16.399999999999999</v>
      </c>
      <c r="Z164" s="285">
        <f t="shared" si="109"/>
        <v>237870</v>
      </c>
      <c r="AA164" s="285">
        <f t="shared" si="110"/>
        <v>5568258.21</v>
      </c>
      <c r="AB164" s="285">
        <f t="shared" si="128"/>
        <v>0</v>
      </c>
      <c r="AC164" s="285">
        <f t="shared" si="129"/>
        <v>0</v>
      </c>
      <c r="AD164" s="285">
        <f t="shared" si="130"/>
        <v>6151589.1600000001</v>
      </c>
      <c r="AE164" s="286">
        <v>0</v>
      </c>
      <c r="AF164" s="287">
        <f t="shared" si="111"/>
        <v>14857.6</v>
      </c>
      <c r="AG164" s="288">
        <f t="shared" si="112"/>
        <v>193777.48</v>
      </c>
      <c r="AH164" s="285">
        <f t="shared" si="113"/>
        <v>6360224.2400000002</v>
      </c>
      <c r="AI164" s="286">
        <v>-1369.45</v>
      </c>
      <c r="AJ164" s="286">
        <v>0.01</v>
      </c>
      <c r="AK164" s="286">
        <v>-97229.67</v>
      </c>
      <c r="AL164" s="285">
        <f t="shared" si="114"/>
        <v>12067753.340000002</v>
      </c>
      <c r="AM164" s="285">
        <f t="shared" si="115"/>
        <v>12067753.34</v>
      </c>
      <c r="AN164" s="289">
        <f t="shared" si="131"/>
        <v>1</v>
      </c>
      <c r="AO164" s="290">
        <f t="shared" si="116"/>
        <v>218630.09</v>
      </c>
      <c r="AP164" s="290">
        <f t="shared" si="117"/>
        <v>190641.82</v>
      </c>
      <c r="AQ164" s="290">
        <f t="shared" si="118"/>
        <v>315845.73000000004</v>
      </c>
      <c r="AR164" s="290">
        <f t="shared" si="119"/>
        <v>0</v>
      </c>
      <c r="AS164" s="290">
        <f t="shared" si="120"/>
        <v>0</v>
      </c>
      <c r="AT164" s="290">
        <f t="shared" si="121"/>
        <v>12792870.98</v>
      </c>
      <c r="AU164" s="291">
        <f t="shared" si="122"/>
        <v>12792870.980000002</v>
      </c>
      <c r="AV164" s="291">
        <f t="shared" si="91"/>
        <v>0</v>
      </c>
      <c r="AW164" s="292">
        <f t="shared" si="123"/>
        <v>3737316.16</v>
      </c>
      <c r="AX164" s="293">
        <f t="shared" si="124"/>
        <v>1830942.0599999996</v>
      </c>
      <c r="BC164" s="276">
        <f>IF(BI164=1,IF(BC163=MiscData!$F$1,EOMONTH(BC163,-11),EOMONTH(BC163,1)),BC163)</f>
        <v>41790</v>
      </c>
      <c r="BD164" s="275" t="str">
        <f t="shared" si="132"/>
        <v>20140101LGCME561</v>
      </c>
      <c r="BE164" s="294" t="str">
        <f t="shared" si="133"/>
        <v>20140101PSS</v>
      </c>
      <c r="BF164">
        <f>MiscData!$X$5</f>
        <v>20140101</v>
      </c>
      <c r="BI164" s="265">
        <f>IF(BI163+1&gt;MiscData!$Z$42,1,BI163+1)</f>
        <v>9</v>
      </c>
      <c r="BJ164" s="265" t="str">
        <f>VLOOKUP(BI164,MiscData!$Z$5:$AB$46,2,FALSE)</f>
        <v>LGCME561</v>
      </c>
      <c r="BK164" s="265" t="str">
        <f>VLOOKUP(BI164,MiscData!$Z$5:$AB$46,3,FALSE)</f>
        <v>PSS</v>
      </c>
    </row>
    <row r="165" spans="1:63" hidden="1">
      <c r="A165" s="275">
        <v>155</v>
      </c>
      <c r="B165" s="276" t="str">
        <f t="shared" si="125"/>
        <v>May 2014</v>
      </c>
      <c r="C165" s="277" t="str">
        <f t="shared" si="126"/>
        <v>PSP</v>
      </c>
      <c r="D165" s="277" t="str">
        <f t="shared" si="127"/>
        <v>LGCME563</v>
      </c>
      <c r="E165" s="278">
        <f t="shared" si="94"/>
        <v>59</v>
      </c>
      <c r="F165" s="279">
        <v>3</v>
      </c>
      <c r="G165" s="278">
        <f t="shared" si="95"/>
        <v>0</v>
      </c>
      <c r="H165" s="278">
        <f t="shared" si="96"/>
        <v>0</v>
      </c>
      <c r="I165" s="278">
        <f t="shared" si="97"/>
        <v>0</v>
      </c>
      <c r="J165" s="278">
        <f t="shared" si="98"/>
        <v>1758760</v>
      </c>
      <c r="K165" s="280">
        <v>0</v>
      </c>
      <c r="L165" s="281">
        <f t="shared" si="99"/>
        <v>0</v>
      </c>
      <c r="M165" s="281">
        <f t="shared" si="100"/>
        <v>0</v>
      </c>
      <c r="N165" s="281">
        <f t="shared" si="101"/>
        <v>13270.3</v>
      </c>
      <c r="O165" s="282">
        <v>0</v>
      </c>
      <c r="P165" s="282">
        <v>0</v>
      </c>
      <c r="Q165" s="282">
        <v>56.4</v>
      </c>
      <c r="R165" s="283">
        <f t="shared" si="102"/>
        <v>170</v>
      </c>
      <c r="S165" s="284">
        <f t="shared" si="90"/>
        <v>3.9260000000000003E-2</v>
      </c>
      <c r="T165" s="284">
        <f t="shared" si="103"/>
        <v>0</v>
      </c>
      <c r="U165" s="284">
        <f t="shared" si="104"/>
        <v>0</v>
      </c>
      <c r="V165" s="284">
        <f t="shared" si="105"/>
        <v>2.725E-2</v>
      </c>
      <c r="W165" s="283">
        <f t="shared" si="106"/>
        <v>0</v>
      </c>
      <c r="X165" s="283">
        <f t="shared" si="107"/>
        <v>11.660000000000002</v>
      </c>
      <c r="Y165" s="283">
        <f t="shared" si="108"/>
        <v>13.950000000000001</v>
      </c>
      <c r="Z165" s="285">
        <f t="shared" si="109"/>
        <v>10540</v>
      </c>
      <c r="AA165" s="285">
        <f t="shared" si="110"/>
        <v>69048.92</v>
      </c>
      <c r="AB165" s="285">
        <f t="shared" si="128"/>
        <v>0</v>
      </c>
      <c r="AC165" s="285">
        <f t="shared" si="129"/>
        <v>0</v>
      </c>
      <c r="AD165" s="285">
        <f t="shared" si="130"/>
        <v>185120.69</v>
      </c>
      <c r="AE165" s="286">
        <v>0</v>
      </c>
      <c r="AF165" s="287">
        <f t="shared" si="111"/>
        <v>81266.149999999994</v>
      </c>
      <c r="AG165" s="288">
        <f t="shared" si="112"/>
        <v>786.78</v>
      </c>
      <c r="AH165" s="285">
        <f t="shared" si="113"/>
        <v>267173.62</v>
      </c>
      <c r="AI165" s="286">
        <v>-3378.78</v>
      </c>
      <c r="AJ165" s="286">
        <v>28413.16</v>
      </c>
      <c r="AK165" s="286">
        <v>29005.54</v>
      </c>
      <c r="AL165" s="285">
        <f t="shared" si="114"/>
        <v>400802.45999999996</v>
      </c>
      <c r="AM165" s="285">
        <f t="shared" si="115"/>
        <v>400802.46</v>
      </c>
      <c r="AN165" s="289">
        <f t="shared" si="131"/>
        <v>1</v>
      </c>
      <c r="AO165" s="290">
        <f t="shared" si="116"/>
        <v>-19977.78</v>
      </c>
      <c r="AP165" s="290">
        <f t="shared" si="117"/>
        <v>7224.2</v>
      </c>
      <c r="AQ165" s="290">
        <f t="shared" si="118"/>
        <v>15476.37</v>
      </c>
      <c r="AR165" s="290">
        <f t="shared" si="119"/>
        <v>0</v>
      </c>
      <c r="AS165" s="290">
        <f t="shared" si="120"/>
        <v>0</v>
      </c>
      <c r="AT165" s="290">
        <f t="shared" si="121"/>
        <v>403525.25</v>
      </c>
      <c r="AU165" s="291">
        <f t="shared" si="122"/>
        <v>403525.24999999994</v>
      </c>
      <c r="AV165" s="291">
        <f t="shared" si="91"/>
        <v>0</v>
      </c>
      <c r="AW165" s="292">
        <f t="shared" si="123"/>
        <v>47926.21</v>
      </c>
      <c r="AX165" s="293">
        <f t="shared" si="124"/>
        <v>49535.87</v>
      </c>
      <c r="BC165" s="276">
        <f>IF(BI165=1,IF(BC164=MiscData!$F$1,EOMONTH(BC164,-11),EOMONTH(BC164,1)),BC164)</f>
        <v>41790</v>
      </c>
      <c r="BD165" s="275" t="str">
        <f t="shared" si="132"/>
        <v>20140101LGCME563</v>
      </c>
      <c r="BE165" s="294" t="str">
        <f t="shared" si="133"/>
        <v>20140101PSP</v>
      </c>
      <c r="BF165">
        <f>MiscData!$X$5</f>
        <v>20140101</v>
      </c>
      <c r="BI165" s="265">
        <f>IF(BI164+1&gt;MiscData!$Z$42,1,BI164+1)</f>
        <v>10</v>
      </c>
      <c r="BJ165" s="265" t="str">
        <f>VLOOKUP(BI165,MiscData!$Z$5:$AB$46,2,FALSE)</f>
        <v>LGCME563</v>
      </c>
      <c r="BK165" s="265" t="str">
        <f>VLOOKUP(BI165,MiscData!$Z$5:$AB$46,3,FALSE)</f>
        <v>PSP</v>
      </c>
    </row>
    <row r="166" spans="1:63" hidden="1">
      <c r="A166" s="275">
        <v>156</v>
      </c>
      <c r="B166" s="276" t="str">
        <f t="shared" si="125"/>
        <v>May 2014</v>
      </c>
      <c r="C166" s="277" t="str">
        <f t="shared" si="126"/>
        <v>PSS</v>
      </c>
      <c r="D166" s="277" t="str">
        <f t="shared" si="127"/>
        <v>LGCME567</v>
      </c>
      <c r="E166" s="278">
        <f t="shared" si="94"/>
        <v>1</v>
      </c>
      <c r="F166" s="279">
        <v>0</v>
      </c>
      <c r="G166" s="278">
        <f t="shared" si="95"/>
        <v>0</v>
      </c>
      <c r="H166" s="278">
        <f t="shared" si="96"/>
        <v>0</v>
      </c>
      <c r="I166" s="278">
        <f t="shared" si="97"/>
        <v>0</v>
      </c>
      <c r="J166" s="278">
        <f t="shared" si="98"/>
        <v>89760</v>
      </c>
      <c r="K166" s="280">
        <v>0</v>
      </c>
      <c r="L166" s="281">
        <f t="shared" si="99"/>
        <v>0</v>
      </c>
      <c r="M166" s="281">
        <f t="shared" si="100"/>
        <v>0</v>
      </c>
      <c r="N166" s="281">
        <f t="shared" si="101"/>
        <v>310.5</v>
      </c>
      <c r="O166" s="282">
        <v>0</v>
      </c>
      <c r="P166" s="282">
        <v>0</v>
      </c>
      <c r="Q166" s="282">
        <v>0</v>
      </c>
      <c r="R166" s="283">
        <f t="shared" si="102"/>
        <v>90</v>
      </c>
      <c r="S166" s="284">
        <f t="shared" si="90"/>
        <v>4.0599999999999997E-2</v>
      </c>
      <c r="T166" s="284">
        <f t="shared" si="103"/>
        <v>0</v>
      </c>
      <c r="U166" s="284">
        <f t="shared" si="104"/>
        <v>0</v>
      </c>
      <c r="V166" s="284">
        <f t="shared" si="105"/>
        <v>2.725E-2</v>
      </c>
      <c r="W166" s="283">
        <f t="shared" si="106"/>
        <v>0</v>
      </c>
      <c r="X166" s="283">
        <f t="shared" si="107"/>
        <v>14.010000000000002</v>
      </c>
      <c r="Y166" s="283">
        <f t="shared" si="108"/>
        <v>16.399999999999999</v>
      </c>
      <c r="Z166" s="285">
        <f t="shared" si="109"/>
        <v>90</v>
      </c>
      <c r="AA166" s="285">
        <f t="shared" si="110"/>
        <v>3644.26</v>
      </c>
      <c r="AB166" s="285">
        <f t="shared" si="128"/>
        <v>0</v>
      </c>
      <c r="AC166" s="285">
        <f t="shared" si="129"/>
        <v>0</v>
      </c>
      <c r="AD166" s="285">
        <f t="shared" si="130"/>
        <v>5092.2</v>
      </c>
      <c r="AE166" s="286">
        <v>0</v>
      </c>
      <c r="AF166" s="287">
        <f t="shared" si="111"/>
        <v>0</v>
      </c>
      <c r="AG166" s="288">
        <f t="shared" si="112"/>
        <v>0</v>
      </c>
      <c r="AH166" s="285">
        <f t="shared" si="113"/>
        <v>5092.2</v>
      </c>
      <c r="AI166" s="286">
        <v>0</v>
      </c>
      <c r="AJ166" s="286">
        <v>0</v>
      </c>
      <c r="AK166" s="286">
        <v>-742.09</v>
      </c>
      <c r="AL166" s="285">
        <f t="shared" si="114"/>
        <v>8084.369999999999</v>
      </c>
      <c r="AM166" s="285">
        <f t="shared" si="115"/>
        <v>8084.3700000000008</v>
      </c>
      <c r="AN166" s="289">
        <f t="shared" si="131"/>
        <v>1</v>
      </c>
      <c r="AO166" s="290">
        <f t="shared" si="116"/>
        <v>133.74</v>
      </c>
      <c r="AP166" s="290">
        <f t="shared" si="117"/>
        <v>124.77</v>
      </c>
      <c r="AQ166" s="290">
        <f t="shared" si="118"/>
        <v>172.32</v>
      </c>
      <c r="AR166" s="290">
        <f t="shared" si="119"/>
        <v>0</v>
      </c>
      <c r="AS166" s="290">
        <f t="shared" si="120"/>
        <v>0</v>
      </c>
      <c r="AT166" s="290">
        <f t="shared" si="121"/>
        <v>8515.2000000000007</v>
      </c>
      <c r="AU166" s="291">
        <f t="shared" si="122"/>
        <v>8515.1999999999989</v>
      </c>
      <c r="AV166" s="291">
        <f t="shared" si="91"/>
        <v>0</v>
      </c>
      <c r="AW166" s="292">
        <f t="shared" si="123"/>
        <v>2445.96</v>
      </c>
      <c r="AX166" s="293">
        <f t="shared" si="124"/>
        <v>1198.3000000000002</v>
      </c>
      <c r="BC166" s="276">
        <f>IF(BI166=1,IF(BC165=MiscData!$F$1,EOMONTH(BC165,-11),EOMONTH(BC165,1)),BC165)</f>
        <v>41790</v>
      </c>
      <c r="BD166" s="275" t="str">
        <f t="shared" si="132"/>
        <v>20140101LGCME567</v>
      </c>
      <c r="BE166" s="294" t="str">
        <f t="shared" si="133"/>
        <v>20140101PSS</v>
      </c>
      <c r="BF166">
        <f>MiscData!$X$5</f>
        <v>20140101</v>
      </c>
      <c r="BI166" s="265">
        <f>IF(BI165+1&gt;MiscData!$Z$42,1,BI165+1)</f>
        <v>11</v>
      </c>
      <c r="BJ166" s="265" t="str">
        <f>VLOOKUP(BI166,MiscData!$Z$5:$AB$46,2,FALSE)</f>
        <v>LGCME567</v>
      </c>
      <c r="BK166" s="265" t="str">
        <f>VLOOKUP(BI166,MiscData!$Z$5:$AB$46,3,FALSE)</f>
        <v>PSS</v>
      </c>
    </row>
    <row r="167" spans="1:63" hidden="1">
      <c r="A167" s="275">
        <v>156</v>
      </c>
      <c r="B167" s="276" t="str">
        <f t="shared" si="125"/>
        <v>May 2014</v>
      </c>
      <c r="C167" s="277" t="str">
        <f t="shared" si="126"/>
        <v>TODS</v>
      </c>
      <c r="D167" s="277" t="str">
        <f t="shared" si="127"/>
        <v>LGCME591</v>
      </c>
      <c r="E167" s="278">
        <f t="shared" si="94"/>
        <v>216</v>
      </c>
      <c r="F167" s="279">
        <v>8</v>
      </c>
      <c r="G167" s="278">
        <f t="shared" si="95"/>
        <v>0</v>
      </c>
      <c r="H167" s="278">
        <f t="shared" si="96"/>
        <v>0</v>
      </c>
      <c r="I167" s="278">
        <f t="shared" si="97"/>
        <v>0</v>
      </c>
      <c r="J167" s="278">
        <f t="shared" si="98"/>
        <v>56220092</v>
      </c>
      <c r="K167" s="280">
        <v>0</v>
      </c>
      <c r="L167" s="281">
        <f t="shared" si="99"/>
        <v>122971.5</v>
      </c>
      <c r="M167" s="281">
        <f t="shared" si="100"/>
        <v>121931.1</v>
      </c>
      <c r="N167" s="281">
        <f t="shared" si="101"/>
        <v>120187.1</v>
      </c>
      <c r="O167" s="282">
        <v>7242.7250000000349</v>
      </c>
      <c r="P167" s="282">
        <v>746.85000000000582</v>
      </c>
      <c r="Q167" s="282">
        <v>809.75000000001455</v>
      </c>
      <c r="R167" s="283">
        <f t="shared" si="102"/>
        <v>200</v>
      </c>
      <c r="S167" s="284">
        <f t="shared" si="90"/>
        <v>3.9899999999999998E-2</v>
      </c>
      <c r="T167" s="284">
        <f t="shared" si="103"/>
        <v>0</v>
      </c>
      <c r="U167" s="284">
        <f t="shared" si="104"/>
        <v>0</v>
      </c>
      <c r="V167" s="284">
        <f t="shared" si="105"/>
        <v>2.725E-2</v>
      </c>
      <c r="W167" s="283">
        <f t="shared" si="106"/>
        <v>4</v>
      </c>
      <c r="X167" s="283">
        <f t="shared" si="107"/>
        <v>4.5100000000000007</v>
      </c>
      <c r="Y167" s="283">
        <f t="shared" si="108"/>
        <v>6.11</v>
      </c>
      <c r="Z167" s="285">
        <f t="shared" si="109"/>
        <v>44800</v>
      </c>
      <c r="AA167" s="285">
        <f t="shared" si="110"/>
        <v>2243181.67</v>
      </c>
      <c r="AB167" s="285">
        <f t="shared" si="128"/>
        <v>491886</v>
      </c>
      <c r="AC167" s="285">
        <f t="shared" si="129"/>
        <v>549909.26</v>
      </c>
      <c r="AD167" s="285">
        <f t="shared" si="130"/>
        <v>734343.18</v>
      </c>
      <c r="AE167" s="286">
        <v>1755</v>
      </c>
      <c r="AF167" s="287">
        <f t="shared" si="111"/>
        <v>31089.69</v>
      </c>
      <c r="AG167" s="288">
        <f t="shared" si="112"/>
        <v>37286.769999999997</v>
      </c>
      <c r="AH167" s="285">
        <f t="shared" si="113"/>
        <v>1846269.9</v>
      </c>
      <c r="AI167" s="286">
        <v>-722.79</v>
      </c>
      <c r="AJ167" s="286">
        <v>0.03</v>
      </c>
      <c r="AK167" s="286">
        <v>27427.49</v>
      </c>
      <c r="AL167" s="285">
        <f t="shared" si="114"/>
        <v>4160956.3</v>
      </c>
      <c r="AM167" s="285">
        <f t="shared" si="115"/>
        <v>4160956.3000000003</v>
      </c>
      <c r="AN167" s="289">
        <f t="shared" si="131"/>
        <v>1</v>
      </c>
      <c r="AO167" s="290">
        <f t="shared" si="116"/>
        <v>89598.54</v>
      </c>
      <c r="AP167" s="290">
        <f t="shared" si="117"/>
        <v>42727.27</v>
      </c>
      <c r="AQ167" s="290">
        <f t="shared" si="118"/>
        <v>98390.42</v>
      </c>
      <c r="AR167" s="290">
        <f t="shared" si="119"/>
        <v>0</v>
      </c>
      <c r="AS167" s="290">
        <f t="shared" si="120"/>
        <v>0</v>
      </c>
      <c r="AT167" s="290">
        <f t="shared" si="121"/>
        <v>4391672.53</v>
      </c>
      <c r="AU167" s="291">
        <f t="shared" si="122"/>
        <v>4391672.5299999993</v>
      </c>
      <c r="AV167" s="291">
        <f t="shared" si="91"/>
        <v>0</v>
      </c>
      <c r="AW167" s="292">
        <f t="shared" si="123"/>
        <v>1531997.51</v>
      </c>
      <c r="AX167" s="293">
        <f t="shared" si="124"/>
        <v>711184.18999999971</v>
      </c>
      <c r="BC167" s="276">
        <f>IF(BI167=1,IF(BC166=MiscData!$F$1,EOMONTH(BC166,-11),EOMONTH(BC166,1)),BC166)</f>
        <v>41790</v>
      </c>
      <c r="BD167" s="275" t="str">
        <f t="shared" si="132"/>
        <v>20140101LGCME591</v>
      </c>
      <c r="BE167" s="294" t="str">
        <f t="shared" si="133"/>
        <v>20140101TODS</v>
      </c>
      <c r="BF167">
        <f>MiscData!$X$5</f>
        <v>20140101</v>
      </c>
      <c r="BI167" s="265">
        <f>IF(BI166+1&gt;MiscData!$Z$42,1,BI166+1)</f>
        <v>12</v>
      </c>
      <c r="BJ167" s="265" t="str">
        <f>VLOOKUP(BI167,MiscData!$Z$5:$AB$46,2,FALSE)</f>
        <v>LGCME591</v>
      </c>
      <c r="BK167" s="265" t="str">
        <f>VLOOKUP(BI167,MiscData!$Z$5:$AB$46,3,FALSE)</f>
        <v>TODS</v>
      </c>
    </row>
    <row r="168" spans="1:63" hidden="1">
      <c r="A168" s="275">
        <v>156</v>
      </c>
      <c r="B168" s="276" t="str">
        <f t="shared" si="125"/>
        <v>May 2014</v>
      </c>
      <c r="C168" s="277" t="str">
        <f t="shared" si="126"/>
        <v>CTODP</v>
      </c>
      <c r="D168" s="277" t="str">
        <f t="shared" si="127"/>
        <v>LGCME593</v>
      </c>
      <c r="E168" s="278">
        <f t="shared" si="94"/>
        <v>36</v>
      </c>
      <c r="F168" s="279">
        <v>2</v>
      </c>
      <c r="G168" s="278">
        <f t="shared" si="95"/>
        <v>0</v>
      </c>
      <c r="H168" s="278">
        <f t="shared" si="96"/>
        <v>0</v>
      </c>
      <c r="I168" s="278">
        <f t="shared" si="97"/>
        <v>0</v>
      </c>
      <c r="J168" s="278">
        <f t="shared" si="98"/>
        <v>33395700</v>
      </c>
      <c r="K168" s="280">
        <v>0</v>
      </c>
      <c r="L168" s="281">
        <f t="shared" si="99"/>
        <v>72951.3</v>
      </c>
      <c r="M168" s="281">
        <f t="shared" si="100"/>
        <v>71231.899999999994</v>
      </c>
      <c r="N168" s="281">
        <f t="shared" si="101"/>
        <v>69425.8</v>
      </c>
      <c r="O168" s="282">
        <v>4185.1000000000058</v>
      </c>
      <c r="P168" s="282">
        <v>1284.0999999999913</v>
      </c>
      <c r="Q168" s="282">
        <v>1415.8000000000029</v>
      </c>
      <c r="R168" s="283">
        <f t="shared" si="102"/>
        <v>300</v>
      </c>
      <c r="S168" s="284">
        <f t="shared" si="90"/>
        <v>3.8100000000000002E-2</v>
      </c>
      <c r="T168" s="284">
        <f t="shared" si="103"/>
        <v>0</v>
      </c>
      <c r="U168" s="284">
        <f t="shared" si="104"/>
        <v>0</v>
      </c>
      <c r="V168" s="284">
        <f t="shared" si="105"/>
        <v>2.725E-2</v>
      </c>
      <c r="W168" s="283">
        <f t="shared" si="106"/>
        <v>3.9800000000000004</v>
      </c>
      <c r="X168" s="283">
        <f t="shared" si="107"/>
        <v>4.13</v>
      </c>
      <c r="Y168" s="283">
        <f t="shared" si="108"/>
        <v>5.83</v>
      </c>
      <c r="Z168" s="285">
        <f t="shared" si="109"/>
        <v>11400</v>
      </c>
      <c r="AA168" s="285">
        <f t="shared" si="110"/>
        <v>1272376.17</v>
      </c>
      <c r="AB168" s="285">
        <f t="shared" si="128"/>
        <v>290346.17</v>
      </c>
      <c r="AC168" s="285">
        <f t="shared" si="129"/>
        <v>294187.75</v>
      </c>
      <c r="AD168" s="285">
        <f t="shared" si="130"/>
        <v>404752.41</v>
      </c>
      <c r="AE168" s="286">
        <v>0</v>
      </c>
      <c r="AF168" s="287">
        <f t="shared" si="111"/>
        <v>0</v>
      </c>
      <c r="AG168" s="288">
        <f t="shared" si="112"/>
        <v>30214.15</v>
      </c>
      <c r="AH168" s="285">
        <f t="shared" si="113"/>
        <v>1019500.4799999999</v>
      </c>
      <c r="AI168" s="286">
        <v>-280</v>
      </c>
      <c r="AJ168" s="286">
        <v>0</v>
      </c>
      <c r="AK168" s="286">
        <v>-4129.49</v>
      </c>
      <c r="AL168" s="285">
        <f t="shared" si="114"/>
        <v>2298867.1599999997</v>
      </c>
      <c r="AM168" s="285">
        <f t="shared" si="115"/>
        <v>2298867.1599999997</v>
      </c>
      <c r="AN168" s="289">
        <f t="shared" si="131"/>
        <v>1</v>
      </c>
      <c r="AO168" s="290">
        <f t="shared" si="116"/>
        <v>52253.84</v>
      </c>
      <c r="AP168" s="290">
        <f t="shared" si="117"/>
        <v>25380.720000000001</v>
      </c>
      <c r="AQ168" s="290">
        <f t="shared" si="118"/>
        <v>49740.35</v>
      </c>
      <c r="AR168" s="290">
        <f t="shared" si="119"/>
        <v>0</v>
      </c>
      <c r="AS168" s="290">
        <f t="shared" si="120"/>
        <v>0</v>
      </c>
      <c r="AT168" s="290">
        <f t="shared" si="121"/>
        <v>2426242.0699999998</v>
      </c>
      <c r="AU168" s="291">
        <f t="shared" si="122"/>
        <v>2426242.0699999998</v>
      </c>
      <c r="AV168" s="291">
        <f t="shared" si="91"/>
        <v>0</v>
      </c>
      <c r="AW168" s="292">
        <f t="shared" si="123"/>
        <v>910032.83</v>
      </c>
      <c r="AX168" s="293">
        <f t="shared" si="124"/>
        <v>362343.33999999997</v>
      </c>
      <c r="BC168" s="276">
        <f>IF(BI168=1,IF(BC167=MiscData!$F$1,EOMONTH(BC167,-11),EOMONTH(BC167,1)),BC167)</f>
        <v>41790</v>
      </c>
      <c r="BD168" s="275" t="str">
        <f t="shared" si="132"/>
        <v>20140101LGCME593</v>
      </c>
      <c r="BE168" s="294" t="str">
        <f t="shared" si="133"/>
        <v>20140101CTODP</v>
      </c>
      <c r="BF168">
        <f>MiscData!$X$5</f>
        <v>20140101</v>
      </c>
      <c r="BI168" s="265">
        <f>IF(BI167+1&gt;MiscData!$Z$42,1,BI167+1)</f>
        <v>13</v>
      </c>
      <c r="BJ168" s="265" t="str">
        <f>VLOOKUP(BI168,MiscData!$Z$5:$AB$46,2,FALSE)</f>
        <v>LGCME593</v>
      </c>
      <c r="BK168" s="265" t="str">
        <f>VLOOKUP(BI168,MiscData!$Z$5:$AB$46,3,FALSE)</f>
        <v>CTODP</v>
      </c>
    </row>
    <row r="169" spans="1:63" hidden="1">
      <c r="A169" s="275">
        <v>157</v>
      </c>
      <c r="B169" s="276" t="str">
        <f t="shared" si="125"/>
        <v>May 2014</v>
      </c>
      <c r="C169" s="277" t="str">
        <f t="shared" si="126"/>
        <v>GS3</v>
      </c>
      <c r="D169" s="277" t="str">
        <f t="shared" si="127"/>
        <v>LGCME650</v>
      </c>
      <c r="E169" s="278">
        <f t="shared" si="94"/>
        <v>0</v>
      </c>
      <c r="F169" s="279">
        <v>0</v>
      </c>
      <c r="G169" s="278">
        <f t="shared" si="95"/>
        <v>0</v>
      </c>
      <c r="H169" s="278">
        <f t="shared" si="96"/>
        <v>0</v>
      </c>
      <c r="I169" s="278">
        <f t="shared" si="97"/>
        <v>0</v>
      </c>
      <c r="J169" s="278">
        <f t="shared" si="98"/>
        <v>0</v>
      </c>
      <c r="K169" s="280">
        <v>0</v>
      </c>
      <c r="L169" s="281">
        <f t="shared" si="99"/>
        <v>0</v>
      </c>
      <c r="M169" s="281">
        <f t="shared" si="100"/>
        <v>0</v>
      </c>
      <c r="N169" s="281">
        <f t="shared" si="101"/>
        <v>0</v>
      </c>
      <c r="O169" s="282">
        <v>0</v>
      </c>
      <c r="P169" s="282">
        <v>0</v>
      </c>
      <c r="Q169" s="282">
        <v>0</v>
      </c>
      <c r="R169" s="283">
        <f t="shared" si="102"/>
        <v>35</v>
      </c>
      <c r="S169" s="284">
        <f t="shared" ref="S169:S232" si="136">SUMIF(L_Rates_Tariff_Rate_Category,$BD169,L_Rates_Energy)</f>
        <v>9.1340000000000005E-2</v>
      </c>
      <c r="T169" s="284">
        <f t="shared" si="103"/>
        <v>0</v>
      </c>
      <c r="U169" s="284">
        <f t="shared" si="104"/>
        <v>0</v>
      </c>
      <c r="V169" s="284">
        <f t="shared" si="105"/>
        <v>2.725E-2</v>
      </c>
      <c r="W169" s="283">
        <f t="shared" si="106"/>
        <v>0</v>
      </c>
      <c r="X169" s="283">
        <f t="shared" si="107"/>
        <v>0</v>
      </c>
      <c r="Y169" s="283">
        <f t="shared" si="108"/>
        <v>0</v>
      </c>
      <c r="Z169" s="285">
        <f t="shared" si="109"/>
        <v>0</v>
      </c>
      <c r="AA169" s="285">
        <f t="shared" si="110"/>
        <v>0</v>
      </c>
      <c r="AB169" s="285">
        <f t="shared" si="128"/>
        <v>0</v>
      </c>
      <c r="AC169" s="285">
        <f t="shared" si="129"/>
        <v>0</v>
      </c>
      <c r="AD169" s="285">
        <f t="shared" si="130"/>
        <v>0</v>
      </c>
      <c r="AE169" s="286">
        <v>0</v>
      </c>
      <c r="AF169" s="287">
        <f t="shared" si="111"/>
        <v>0</v>
      </c>
      <c r="AG169" s="288">
        <f t="shared" si="112"/>
        <v>0</v>
      </c>
      <c r="AH169" s="285">
        <f t="shared" si="113"/>
        <v>0</v>
      </c>
      <c r="AI169" s="286">
        <v>0</v>
      </c>
      <c r="AJ169" s="286">
        <v>0</v>
      </c>
      <c r="AK169" s="286">
        <v>0</v>
      </c>
      <c r="AL169" s="285">
        <f t="shared" si="114"/>
        <v>0</v>
      </c>
      <c r="AM169" s="285">
        <f t="shared" si="115"/>
        <v>0</v>
      </c>
      <c r="AN169" s="289">
        <f t="shared" si="131"/>
        <v>1</v>
      </c>
      <c r="AO169" s="290">
        <f t="shared" si="116"/>
        <v>0</v>
      </c>
      <c r="AP169" s="290">
        <f t="shared" si="117"/>
        <v>0</v>
      </c>
      <c r="AQ169" s="290">
        <f t="shared" si="118"/>
        <v>0</v>
      </c>
      <c r="AR169" s="290">
        <f t="shared" si="119"/>
        <v>0</v>
      </c>
      <c r="AS169" s="290">
        <f t="shared" si="120"/>
        <v>0</v>
      </c>
      <c r="AT169" s="290">
        <f t="shared" si="121"/>
        <v>0</v>
      </c>
      <c r="AU169" s="291">
        <f t="shared" si="122"/>
        <v>0</v>
      </c>
      <c r="AV169" s="291">
        <f t="shared" si="91"/>
        <v>0</v>
      </c>
      <c r="AW169" s="292">
        <f t="shared" si="123"/>
        <v>0</v>
      </c>
      <c r="AX169" s="293">
        <f t="shared" si="124"/>
        <v>0</v>
      </c>
      <c r="BC169" s="276">
        <f>IF(BI169=1,IF(BC168=MiscData!$F$1,EOMONTH(BC168,-11),EOMONTH(BC168,1)),BC168)</f>
        <v>41790</v>
      </c>
      <c r="BD169" s="275" t="str">
        <f t="shared" si="132"/>
        <v>20140101LGCME650</v>
      </c>
      <c r="BE169" s="294" t="str">
        <f t="shared" si="133"/>
        <v>20140101GS3</v>
      </c>
      <c r="BF169">
        <f>MiscData!$X$5</f>
        <v>20140101</v>
      </c>
      <c r="BI169" s="265">
        <f>IF(BI168+1&gt;MiscData!$Z$42,1,BI168+1)</f>
        <v>14</v>
      </c>
      <c r="BJ169" s="265" t="str">
        <f>VLOOKUP(BI169,MiscData!$Z$5:$AB$46,2,FALSE)</f>
        <v>LGCME650</v>
      </c>
      <c r="BK169" s="265" t="str">
        <f>VLOOKUP(BI169,MiscData!$Z$5:$AB$46,3,FALSE)</f>
        <v>GS3</v>
      </c>
    </row>
    <row r="170" spans="1:63" hidden="1">
      <c r="A170" s="275">
        <v>157</v>
      </c>
      <c r="B170" s="276" t="str">
        <f t="shared" si="125"/>
        <v>May 2014</v>
      </c>
      <c r="C170" s="277" t="str">
        <f t="shared" si="126"/>
        <v>GS3</v>
      </c>
      <c r="D170" s="277" t="str">
        <f t="shared" si="127"/>
        <v>LGCME651</v>
      </c>
      <c r="E170" s="278">
        <f t="shared" si="94"/>
        <v>14307</v>
      </c>
      <c r="F170" s="279">
        <v>277</v>
      </c>
      <c r="G170" s="278">
        <f t="shared" si="95"/>
        <v>0</v>
      </c>
      <c r="H170" s="278">
        <f t="shared" si="96"/>
        <v>0</v>
      </c>
      <c r="I170" s="278">
        <f t="shared" si="97"/>
        <v>0</v>
      </c>
      <c r="J170" s="278">
        <f t="shared" si="98"/>
        <v>69079625</v>
      </c>
      <c r="K170" s="280">
        <v>0</v>
      </c>
      <c r="L170" s="281">
        <f t="shared" si="99"/>
        <v>204735.2</v>
      </c>
      <c r="M170" s="281">
        <f t="shared" si="100"/>
        <v>0</v>
      </c>
      <c r="N170" s="281">
        <f t="shared" si="101"/>
        <v>0</v>
      </c>
      <c r="O170" s="282">
        <v>0</v>
      </c>
      <c r="P170" s="282">
        <v>0</v>
      </c>
      <c r="Q170" s="282">
        <v>0</v>
      </c>
      <c r="R170" s="283">
        <f t="shared" si="102"/>
        <v>35</v>
      </c>
      <c r="S170" s="284">
        <f t="shared" si="136"/>
        <v>9.1340000000000005E-2</v>
      </c>
      <c r="T170" s="284">
        <f t="shared" si="103"/>
        <v>0</v>
      </c>
      <c r="U170" s="284">
        <f t="shared" si="104"/>
        <v>0</v>
      </c>
      <c r="V170" s="284">
        <f t="shared" si="105"/>
        <v>2.725E-2</v>
      </c>
      <c r="W170" s="283">
        <f t="shared" si="106"/>
        <v>0</v>
      </c>
      <c r="X170" s="283">
        <f t="shared" si="107"/>
        <v>0</v>
      </c>
      <c r="Y170" s="283">
        <f t="shared" si="108"/>
        <v>0</v>
      </c>
      <c r="Z170" s="285">
        <f t="shared" si="109"/>
        <v>510440</v>
      </c>
      <c r="AA170" s="285">
        <f t="shared" si="110"/>
        <v>6309732.9500000002</v>
      </c>
      <c r="AB170" s="285">
        <f t="shared" si="128"/>
        <v>0</v>
      </c>
      <c r="AC170" s="285">
        <f t="shared" si="129"/>
        <v>0</v>
      </c>
      <c r="AD170" s="285">
        <f t="shared" si="130"/>
        <v>0</v>
      </c>
      <c r="AE170" s="286">
        <v>0</v>
      </c>
      <c r="AF170" s="287">
        <f t="shared" si="111"/>
        <v>0</v>
      </c>
      <c r="AG170" s="288">
        <f t="shared" si="112"/>
        <v>0</v>
      </c>
      <c r="AH170" s="285">
        <f t="shared" si="113"/>
        <v>0</v>
      </c>
      <c r="AI170" s="286">
        <v>-4322.87</v>
      </c>
      <c r="AJ170" s="286">
        <v>-1.07</v>
      </c>
      <c r="AK170" s="286">
        <v>0</v>
      </c>
      <c r="AL170" s="285">
        <f t="shared" si="114"/>
        <v>6815849.0099999998</v>
      </c>
      <c r="AM170" s="285">
        <f t="shared" si="115"/>
        <v>6815849.0100000007</v>
      </c>
      <c r="AN170" s="289">
        <f t="shared" si="131"/>
        <v>1</v>
      </c>
      <c r="AO170" s="290">
        <f t="shared" si="116"/>
        <v>110260.56</v>
      </c>
      <c r="AP170" s="290">
        <f t="shared" si="117"/>
        <v>206230.13</v>
      </c>
      <c r="AQ170" s="290">
        <f t="shared" si="118"/>
        <v>190407.41</v>
      </c>
      <c r="AR170" s="290">
        <f t="shared" si="119"/>
        <v>0</v>
      </c>
      <c r="AS170" s="290">
        <f t="shared" si="120"/>
        <v>0</v>
      </c>
      <c r="AT170" s="290">
        <f t="shared" si="121"/>
        <v>7322747.1100000003</v>
      </c>
      <c r="AU170" s="291">
        <f t="shared" si="122"/>
        <v>7322747.1099999994</v>
      </c>
      <c r="AV170" s="291">
        <f t="shared" si="91"/>
        <v>0</v>
      </c>
      <c r="AW170" s="292">
        <f t="shared" si="123"/>
        <v>1882419.78</v>
      </c>
      <c r="AX170" s="293">
        <f t="shared" si="124"/>
        <v>4427312.0999999996</v>
      </c>
      <c r="BC170" s="276">
        <f>IF(BI170=1,IF(BC169=MiscData!$F$1,EOMONTH(BC169,-11),EOMONTH(BC169,1)),BC169)</f>
        <v>41790</v>
      </c>
      <c r="BD170" s="275" t="str">
        <f t="shared" si="132"/>
        <v>20140101LGCME651</v>
      </c>
      <c r="BE170" s="294" t="str">
        <f t="shared" si="133"/>
        <v>20140101GS3</v>
      </c>
      <c r="BF170">
        <f>MiscData!$X$5</f>
        <v>20140101</v>
      </c>
      <c r="BI170" s="265">
        <f>IF(BI169+1&gt;MiscData!$Z$42,1,BI169+1)</f>
        <v>15</v>
      </c>
      <c r="BJ170" s="265" t="str">
        <f>VLOOKUP(BI170,MiscData!$Z$5:$AB$46,2,FALSE)</f>
        <v>LGCME651</v>
      </c>
      <c r="BK170" s="265" t="str">
        <f>VLOOKUP(BI170,MiscData!$Z$5:$AB$46,3,FALSE)</f>
        <v>GS3</v>
      </c>
    </row>
    <row r="171" spans="1:63" hidden="1">
      <c r="A171" s="275">
        <v>158</v>
      </c>
      <c r="B171" s="276" t="str">
        <f t="shared" si="125"/>
        <v>May 2014</v>
      </c>
      <c r="C171" s="277" t="str">
        <f t="shared" si="126"/>
        <v>GS3</v>
      </c>
      <c r="D171" s="277" t="str">
        <f t="shared" si="127"/>
        <v>LGCME652</v>
      </c>
      <c r="E171" s="278">
        <f t="shared" si="94"/>
        <v>677</v>
      </c>
      <c r="F171" s="279">
        <f>-E171</f>
        <v>-677</v>
      </c>
      <c r="G171" s="278">
        <f t="shared" si="95"/>
        <v>0</v>
      </c>
      <c r="H171" s="278">
        <f t="shared" si="96"/>
        <v>0</v>
      </c>
      <c r="I171" s="278">
        <f t="shared" si="97"/>
        <v>0</v>
      </c>
      <c r="J171" s="278">
        <f t="shared" si="98"/>
        <v>1231413</v>
      </c>
      <c r="K171" s="280">
        <v>0</v>
      </c>
      <c r="L171" s="281">
        <f t="shared" si="99"/>
        <v>2807.6</v>
      </c>
      <c r="M171" s="281">
        <f t="shared" si="100"/>
        <v>0</v>
      </c>
      <c r="N171" s="281">
        <f t="shared" si="101"/>
        <v>0</v>
      </c>
      <c r="O171" s="282">
        <v>0</v>
      </c>
      <c r="P171" s="282">
        <v>0</v>
      </c>
      <c r="Q171" s="282">
        <v>0</v>
      </c>
      <c r="R171" s="283">
        <f t="shared" si="102"/>
        <v>0</v>
      </c>
      <c r="S171" s="284">
        <f t="shared" si="136"/>
        <v>9.1340000000000005E-2</v>
      </c>
      <c r="T171" s="284">
        <f t="shared" si="103"/>
        <v>0</v>
      </c>
      <c r="U171" s="284">
        <f t="shared" si="104"/>
        <v>0</v>
      </c>
      <c r="V171" s="284">
        <f t="shared" si="105"/>
        <v>2.725E-2</v>
      </c>
      <c r="W171" s="283">
        <f t="shared" si="106"/>
        <v>0</v>
      </c>
      <c r="X171" s="283">
        <f t="shared" si="107"/>
        <v>0</v>
      </c>
      <c r="Y171" s="283">
        <f t="shared" si="108"/>
        <v>0</v>
      </c>
      <c r="Z171" s="285">
        <f t="shared" si="109"/>
        <v>0</v>
      </c>
      <c r="AA171" s="285">
        <f t="shared" si="110"/>
        <v>112477.26</v>
      </c>
      <c r="AB171" s="285">
        <f t="shared" si="128"/>
        <v>0</v>
      </c>
      <c r="AC171" s="285">
        <f t="shared" si="129"/>
        <v>0</v>
      </c>
      <c r="AD171" s="285">
        <f t="shared" si="130"/>
        <v>0</v>
      </c>
      <c r="AE171" s="286">
        <v>0</v>
      </c>
      <c r="AF171" s="287">
        <f t="shared" si="111"/>
        <v>0</v>
      </c>
      <c r="AG171" s="288">
        <f t="shared" si="112"/>
        <v>0</v>
      </c>
      <c r="AH171" s="285">
        <f t="shared" si="113"/>
        <v>0</v>
      </c>
      <c r="AI171" s="286">
        <v>0</v>
      </c>
      <c r="AJ171" s="286">
        <v>0.03</v>
      </c>
      <c r="AK171" s="286">
        <v>0</v>
      </c>
      <c r="AL171" s="285">
        <f t="shared" si="114"/>
        <v>112477.29</v>
      </c>
      <c r="AM171" s="285">
        <f t="shared" si="115"/>
        <v>112477.29</v>
      </c>
      <c r="AN171" s="289">
        <f t="shared" si="131"/>
        <v>1</v>
      </c>
      <c r="AO171" s="290">
        <f t="shared" si="116"/>
        <v>1962.85</v>
      </c>
      <c r="AP171" s="290">
        <f t="shared" si="117"/>
        <v>3731.18</v>
      </c>
      <c r="AQ171" s="290">
        <f t="shared" si="118"/>
        <v>3049.85</v>
      </c>
      <c r="AR171" s="290">
        <f t="shared" si="119"/>
        <v>0</v>
      </c>
      <c r="AS171" s="290">
        <f t="shared" si="120"/>
        <v>0</v>
      </c>
      <c r="AT171" s="290">
        <f t="shared" si="121"/>
        <v>121221.17</v>
      </c>
      <c r="AU171" s="291">
        <f t="shared" si="122"/>
        <v>121221.17</v>
      </c>
      <c r="AV171" s="291">
        <f t="shared" si="91"/>
        <v>0</v>
      </c>
      <c r="AW171" s="292">
        <f t="shared" si="123"/>
        <v>33556</v>
      </c>
      <c r="AX171" s="293">
        <f t="shared" si="124"/>
        <v>78921.289999999994</v>
      </c>
      <c r="BC171" s="276">
        <f>IF(BI171=1,IF(BC170=MiscData!$F$1,EOMONTH(BC170,-11),EOMONTH(BC170,1)),BC170)</f>
        <v>41790</v>
      </c>
      <c r="BD171" s="275" t="str">
        <f t="shared" si="132"/>
        <v>20140101LGCME652</v>
      </c>
      <c r="BE171" s="294" t="str">
        <f t="shared" si="133"/>
        <v>20140101GS3</v>
      </c>
      <c r="BF171">
        <f>MiscData!$X$5</f>
        <v>20140101</v>
      </c>
      <c r="BI171" s="265">
        <f>IF(BI170+1&gt;MiscData!$Z$42,1,BI170+1)</f>
        <v>16</v>
      </c>
      <c r="BJ171" s="265" t="str">
        <f>VLOOKUP(BI171,MiscData!$Z$5:$AB$46,2,FALSE)</f>
        <v>LGCME652</v>
      </c>
      <c r="BK171" s="265" t="str">
        <f>VLOOKUP(BI171,MiscData!$Z$5:$AB$46,3,FALSE)</f>
        <v>GS3</v>
      </c>
    </row>
    <row r="172" spans="1:63" hidden="1">
      <c r="A172" s="275">
        <v>159</v>
      </c>
      <c r="B172" s="276" t="str">
        <f t="shared" si="125"/>
        <v>May 2014</v>
      </c>
      <c r="C172" s="277" t="str">
        <f t="shared" si="126"/>
        <v>GS3</v>
      </c>
      <c r="D172" s="277" t="str">
        <f t="shared" si="127"/>
        <v>LGCME657</v>
      </c>
      <c r="E172" s="278">
        <f t="shared" si="94"/>
        <v>8</v>
      </c>
      <c r="F172" s="279">
        <v>0</v>
      </c>
      <c r="G172" s="278">
        <f t="shared" si="95"/>
        <v>0</v>
      </c>
      <c r="H172" s="278">
        <f t="shared" si="96"/>
        <v>0</v>
      </c>
      <c r="I172" s="278">
        <f t="shared" si="97"/>
        <v>0</v>
      </c>
      <c r="J172" s="278">
        <f t="shared" si="98"/>
        <v>134835</v>
      </c>
      <c r="K172" s="280">
        <v>0</v>
      </c>
      <c r="L172" s="281">
        <f t="shared" si="99"/>
        <v>510.6</v>
      </c>
      <c r="M172" s="281">
        <f t="shared" si="100"/>
        <v>0</v>
      </c>
      <c r="N172" s="281">
        <f t="shared" si="101"/>
        <v>0</v>
      </c>
      <c r="O172" s="282">
        <v>0</v>
      </c>
      <c r="P172" s="282">
        <v>0</v>
      </c>
      <c r="Q172" s="282">
        <v>0</v>
      </c>
      <c r="R172" s="283">
        <f t="shared" si="102"/>
        <v>35</v>
      </c>
      <c r="S172" s="284">
        <f t="shared" si="136"/>
        <v>9.1340000000000005E-2</v>
      </c>
      <c r="T172" s="284">
        <f t="shared" si="103"/>
        <v>0</v>
      </c>
      <c r="U172" s="284">
        <f t="shared" si="104"/>
        <v>0</v>
      </c>
      <c r="V172" s="284">
        <f t="shared" si="105"/>
        <v>2.725E-2</v>
      </c>
      <c r="W172" s="283">
        <f t="shared" si="106"/>
        <v>0</v>
      </c>
      <c r="X172" s="283">
        <f t="shared" si="107"/>
        <v>0</v>
      </c>
      <c r="Y172" s="283">
        <f t="shared" si="108"/>
        <v>0</v>
      </c>
      <c r="Z172" s="285">
        <f t="shared" si="109"/>
        <v>280</v>
      </c>
      <c r="AA172" s="285">
        <f t="shared" si="110"/>
        <v>12315.83</v>
      </c>
      <c r="AB172" s="285">
        <f t="shared" si="128"/>
        <v>0</v>
      </c>
      <c r="AC172" s="285">
        <f t="shared" si="129"/>
        <v>0</v>
      </c>
      <c r="AD172" s="285">
        <f t="shared" si="130"/>
        <v>0</v>
      </c>
      <c r="AE172" s="286">
        <v>0</v>
      </c>
      <c r="AF172" s="287">
        <f t="shared" si="111"/>
        <v>0</v>
      </c>
      <c r="AG172" s="288">
        <f t="shared" si="112"/>
        <v>0</v>
      </c>
      <c r="AH172" s="285">
        <f t="shared" si="113"/>
        <v>0</v>
      </c>
      <c r="AI172" s="286">
        <v>0</v>
      </c>
      <c r="AJ172" s="286">
        <v>-0.02</v>
      </c>
      <c r="AK172" s="286">
        <v>0</v>
      </c>
      <c r="AL172" s="285">
        <f t="shared" si="114"/>
        <v>12595.81</v>
      </c>
      <c r="AM172" s="285">
        <f t="shared" si="115"/>
        <v>12595.81</v>
      </c>
      <c r="AN172" s="289">
        <f t="shared" si="131"/>
        <v>1</v>
      </c>
      <c r="AO172" s="290">
        <f t="shared" si="116"/>
        <v>214.99</v>
      </c>
      <c r="AP172" s="290">
        <f t="shared" si="117"/>
        <v>408.54</v>
      </c>
      <c r="AQ172" s="290">
        <f t="shared" si="118"/>
        <v>344.41</v>
      </c>
      <c r="AR172" s="290">
        <f t="shared" si="119"/>
        <v>0</v>
      </c>
      <c r="AS172" s="290">
        <f t="shared" si="120"/>
        <v>0</v>
      </c>
      <c r="AT172" s="290">
        <f t="shared" si="121"/>
        <v>13563.75</v>
      </c>
      <c r="AU172" s="291">
        <f t="shared" si="122"/>
        <v>13563.75</v>
      </c>
      <c r="AV172" s="291">
        <f t="shared" ref="AV172:AV231" si="137">AT172-AU172</f>
        <v>0</v>
      </c>
      <c r="AW172" s="292">
        <f t="shared" si="123"/>
        <v>3674.25</v>
      </c>
      <c r="AX172" s="293">
        <f t="shared" si="124"/>
        <v>8641.56</v>
      </c>
      <c r="BC172" s="276">
        <f>IF(BI172=1,IF(BC171=MiscData!$F$1,EOMONTH(BC171,-11),EOMONTH(BC171,1)),BC171)</f>
        <v>41790</v>
      </c>
      <c r="BD172" s="275" t="str">
        <f t="shared" si="132"/>
        <v>20140101LGCME657</v>
      </c>
      <c r="BE172" s="294" t="str">
        <f t="shared" si="133"/>
        <v>20140101GS3</v>
      </c>
      <c r="BF172">
        <f>MiscData!$X$5</f>
        <v>20140101</v>
      </c>
      <c r="BI172" s="265">
        <f>IF(BI171+1&gt;MiscData!$Z$42,1,BI171+1)</f>
        <v>17</v>
      </c>
      <c r="BJ172" s="265" t="str">
        <f>VLOOKUP(BI172,MiscData!$Z$5:$AB$46,2,FALSE)</f>
        <v>LGCME657</v>
      </c>
      <c r="BK172" s="265" t="str">
        <f>VLOOKUP(BI172,MiscData!$Z$5:$AB$46,3,FALSE)</f>
        <v>GS3</v>
      </c>
    </row>
    <row r="173" spans="1:63" hidden="1">
      <c r="A173" s="275">
        <v>160</v>
      </c>
      <c r="B173" s="276" t="str">
        <f t="shared" si="125"/>
        <v>May 2014</v>
      </c>
      <c r="C173" s="277" t="str">
        <f t="shared" si="126"/>
        <v>LWC</v>
      </c>
      <c r="D173" s="277" t="str">
        <f t="shared" si="127"/>
        <v>LGCME671</v>
      </c>
      <c r="E173" s="278">
        <f t="shared" si="94"/>
        <v>2</v>
      </c>
      <c r="F173" s="279">
        <v>0</v>
      </c>
      <c r="G173" s="278">
        <f t="shared" si="95"/>
        <v>0</v>
      </c>
      <c r="H173" s="278">
        <f t="shared" si="96"/>
        <v>0</v>
      </c>
      <c r="I173" s="278">
        <f t="shared" si="97"/>
        <v>0</v>
      </c>
      <c r="J173" s="278">
        <f t="shared" si="98"/>
        <v>4348800</v>
      </c>
      <c r="K173" s="280">
        <v>0</v>
      </c>
      <c r="L173" s="281">
        <f t="shared" si="99"/>
        <v>0</v>
      </c>
      <c r="M173" s="281">
        <f t="shared" si="100"/>
        <v>0</v>
      </c>
      <c r="N173" s="281">
        <f t="shared" si="101"/>
        <v>8822.4</v>
      </c>
      <c r="O173" s="282">
        <v>0</v>
      </c>
      <c r="P173" s="282">
        <v>0</v>
      </c>
      <c r="Q173" s="282">
        <f>504+288</f>
        <v>792</v>
      </c>
      <c r="R173" s="283">
        <f t="shared" si="102"/>
        <v>0</v>
      </c>
      <c r="S173" s="284">
        <f t="shared" si="136"/>
        <v>3.7019999999999997E-2</v>
      </c>
      <c r="T173" s="284">
        <f t="shared" si="103"/>
        <v>0</v>
      </c>
      <c r="U173" s="284">
        <f t="shared" si="104"/>
        <v>0</v>
      </c>
      <c r="V173" s="284">
        <f t="shared" si="105"/>
        <v>2.725E-2</v>
      </c>
      <c r="W173" s="283">
        <f t="shared" si="106"/>
        <v>0</v>
      </c>
      <c r="X173" s="283">
        <f t="shared" si="107"/>
        <v>10.35</v>
      </c>
      <c r="Y173" s="283">
        <f t="shared" si="108"/>
        <v>10.35</v>
      </c>
      <c r="Z173" s="285">
        <f t="shared" si="109"/>
        <v>0</v>
      </c>
      <c r="AA173" s="285">
        <f t="shared" si="110"/>
        <v>160992.57999999999</v>
      </c>
      <c r="AB173" s="285">
        <f t="shared" si="128"/>
        <v>0</v>
      </c>
      <c r="AC173" s="285">
        <f t="shared" si="129"/>
        <v>0</v>
      </c>
      <c r="AD173" s="285">
        <f t="shared" si="130"/>
        <v>91311.84</v>
      </c>
      <c r="AE173" s="286">
        <v>0</v>
      </c>
      <c r="AF173" s="287">
        <f t="shared" si="111"/>
        <v>0</v>
      </c>
      <c r="AG173" s="288">
        <f t="shared" si="112"/>
        <v>8197.2000000000007</v>
      </c>
      <c r="AH173" s="285">
        <f t="shared" si="113"/>
        <v>99509.04</v>
      </c>
      <c r="AI173" s="286">
        <v>0</v>
      </c>
      <c r="AJ173" s="286">
        <v>0</v>
      </c>
      <c r="AK173" s="286">
        <v>0</v>
      </c>
      <c r="AL173" s="285">
        <f t="shared" si="114"/>
        <v>260501.62</v>
      </c>
      <c r="AM173" s="285">
        <f t="shared" si="115"/>
        <v>260501.62</v>
      </c>
      <c r="AN173" s="289">
        <f t="shared" si="131"/>
        <v>1</v>
      </c>
      <c r="AO173" s="290">
        <f t="shared" si="116"/>
        <v>6958.08</v>
      </c>
      <c r="AP173" s="290">
        <f t="shared" si="117"/>
        <v>0</v>
      </c>
      <c r="AQ173" s="290">
        <f t="shared" si="118"/>
        <v>5296.48</v>
      </c>
      <c r="AR173" s="290">
        <f t="shared" si="119"/>
        <v>0</v>
      </c>
      <c r="AS173" s="290">
        <f t="shared" si="120"/>
        <v>0</v>
      </c>
      <c r="AT173" s="290">
        <f t="shared" si="121"/>
        <v>272756.18</v>
      </c>
      <c r="AU173" s="291">
        <f t="shared" si="122"/>
        <v>272756.18</v>
      </c>
      <c r="AV173" s="291">
        <f t="shared" si="137"/>
        <v>0</v>
      </c>
      <c r="AW173" s="292">
        <f t="shared" si="123"/>
        <v>118504.8</v>
      </c>
      <c r="AX173" s="293">
        <f t="shared" si="124"/>
        <v>42487.779999999984</v>
      </c>
      <c r="BC173" s="276">
        <f>IF(BI173=1,IF(BC172=MiscData!$F$1,EOMONTH(BC172,-11),EOMONTH(BC172,1)),BC172)</f>
        <v>41790</v>
      </c>
      <c r="BD173" s="275" t="str">
        <f t="shared" si="132"/>
        <v>20140101LGCME671</v>
      </c>
      <c r="BE173" s="294" t="str">
        <f t="shared" si="133"/>
        <v>20140101LWC</v>
      </c>
      <c r="BF173">
        <f>MiscData!$X$5</f>
        <v>20140101</v>
      </c>
      <c r="BI173" s="265">
        <f>IF(BI172+1&gt;MiscData!$Z$42,1,BI172+1)</f>
        <v>18</v>
      </c>
      <c r="BJ173" s="265" t="str">
        <f>VLOOKUP(BI173,MiscData!$Z$5:$AB$46,2,FALSE)</f>
        <v>LGCME671</v>
      </c>
      <c r="BK173" s="265" t="str">
        <f>VLOOKUP(BI173,MiscData!$Z$5:$AB$46,3,FALSE)</f>
        <v>LWC</v>
      </c>
    </row>
    <row r="174" spans="1:63" hidden="1">
      <c r="A174" s="275">
        <v>161</v>
      </c>
      <c r="B174" s="276" t="str">
        <f t="shared" si="125"/>
        <v>May 2014</v>
      </c>
      <c r="C174" s="277" t="str">
        <f t="shared" si="126"/>
        <v>CSR</v>
      </c>
      <c r="D174" s="277" t="str">
        <f t="shared" si="127"/>
        <v>LGCSR760</v>
      </c>
      <c r="E174" s="278">
        <f t="shared" si="94"/>
        <v>1</v>
      </c>
      <c r="F174" s="279">
        <v>0</v>
      </c>
      <c r="G174" s="278">
        <f t="shared" si="95"/>
        <v>0</v>
      </c>
      <c r="H174" s="278">
        <f t="shared" si="96"/>
        <v>0</v>
      </c>
      <c r="I174" s="278">
        <f t="shared" si="97"/>
        <v>0</v>
      </c>
      <c r="J174" s="278">
        <f t="shared" si="98"/>
        <v>0</v>
      </c>
      <c r="K174" s="280">
        <v>0</v>
      </c>
      <c r="L174" s="281">
        <f t="shared" si="99"/>
        <v>0</v>
      </c>
      <c r="M174" s="281">
        <f t="shared" si="100"/>
        <v>0</v>
      </c>
      <c r="N174" s="281">
        <f t="shared" si="101"/>
        <v>0</v>
      </c>
      <c r="O174" s="282">
        <v>0</v>
      </c>
      <c r="P174" s="282">
        <v>0</v>
      </c>
      <c r="Q174" s="282">
        <v>0</v>
      </c>
      <c r="R174" s="283">
        <f t="shared" si="102"/>
        <v>0</v>
      </c>
      <c r="S174" s="284">
        <f t="shared" si="136"/>
        <v>0</v>
      </c>
      <c r="T174" s="284">
        <f t="shared" si="103"/>
        <v>0</v>
      </c>
      <c r="U174" s="284">
        <f t="shared" si="104"/>
        <v>0</v>
      </c>
      <c r="V174" s="284">
        <f t="shared" si="105"/>
        <v>0</v>
      </c>
      <c r="W174" s="283">
        <f t="shared" si="106"/>
        <v>0</v>
      </c>
      <c r="X174" s="283">
        <f t="shared" si="107"/>
        <v>0</v>
      </c>
      <c r="Y174" s="283">
        <f t="shared" si="108"/>
        <v>0</v>
      </c>
      <c r="Z174" s="285">
        <f t="shared" si="109"/>
        <v>0</v>
      </c>
      <c r="AA174" s="285">
        <f t="shared" si="110"/>
        <v>0</v>
      </c>
      <c r="AB174" s="285">
        <f t="shared" si="128"/>
        <v>0</v>
      </c>
      <c r="AC174" s="285">
        <f t="shared" si="129"/>
        <v>0</v>
      </c>
      <c r="AD174" s="285">
        <f t="shared" si="130"/>
        <v>0</v>
      </c>
      <c r="AE174" s="286">
        <v>0</v>
      </c>
      <c r="AF174" s="287">
        <f t="shared" si="111"/>
        <v>0</v>
      </c>
      <c r="AG174" s="288">
        <f t="shared" si="112"/>
        <v>0</v>
      </c>
      <c r="AH174" s="285">
        <f t="shared" si="113"/>
        <v>0</v>
      </c>
      <c r="AI174" s="286">
        <v>0</v>
      </c>
      <c r="AJ174" s="286">
        <v>0</v>
      </c>
      <c r="AK174" s="286">
        <v>0</v>
      </c>
      <c r="AL174" s="285">
        <f t="shared" si="114"/>
        <v>0</v>
      </c>
      <c r="AM174" s="285">
        <f t="shared" si="115"/>
        <v>0</v>
      </c>
      <c r="AN174" s="289">
        <f t="shared" si="131"/>
        <v>1</v>
      </c>
      <c r="AO174" s="290">
        <f t="shared" si="116"/>
        <v>0</v>
      </c>
      <c r="AP174" s="290">
        <f t="shared" si="117"/>
        <v>0</v>
      </c>
      <c r="AQ174" s="290">
        <f t="shared" si="118"/>
        <v>0</v>
      </c>
      <c r="AR174" s="290">
        <f t="shared" si="119"/>
        <v>0</v>
      </c>
      <c r="AS174" s="290">
        <f t="shared" si="120"/>
        <v>-225370.78</v>
      </c>
      <c r="AT174" s="290">
        <f t="shared" si="121"/>
        <v>-225370.78</v>
      </c>
      <c r="AU174" s="291">
        <f t="shared" si="122"/>
        <v>-225370.78</v>
      </c>
      <c r="AV174" s="291">
        <f t="shared" si="137"/>
        <v>0</v>
      </c>
      <c r="AW174" s="292">
        <f t="shared" si="123"/>
        <v>0</v>
      </c>
      <c r="AX174" s="293">
        <f t="shared" si="124"/>
        <v>0</v>
      </c>
      <c r="BC174" s="276">
        <f>IF(BI174=1,IF(BC173=MiscData!$F$1,EOMONTH(BC173,-11),EOMONTH(BC173,1)),BC173)</f>
        <v>41790</v>
      </c>
      <c r="BD174" s="275" t="str">
        <f t="shared" si="132"/>
        <v>20140101LGCSR760</v>
      </c>
      <c r="BE174" s="294" t="str">
        <f t="shared" si="133"/>
        <v>20140101CSR</v>
      </c>
      <c r="BF174">
        <f>MiscData!$X$5</f>
        <v>20140101</v>
      </c>
      <c r="BI174" s="265">
        <f>IF(BI173+1&gt;MiscData!$Z$42,1,BI173+1)</f>
        <v>19</v>
      </c>
      <c r="BJ174" s="265" t="str">
        <f>VLOOKUP(BI174,MiscData!$Z$5:$AB$46,2,FALSE)</f>
        <v>LGCSR760</v>
      </c>
      <c r="BK174" s="265" t="str">
        <f>VLOOKUP(BI174,MiscData!$Z$5:$AB$46,3,FALSE)</f>
        <v>CSR</v>
      </c>
    </row>
    <row r="175" spans="1:63" hidden="1">
      <c r="A175" s="275">
        <v>162</v>
      </c>
      <c r="B175" s="276" t="str">
        <f t="shared" si="125"/>
        <v>May 2014</v>
      </c>
      <c r="C175" s="277" t="str">
        <f t="shared" si="126"/>
        <v>CSR</v>
      </c>
      <c r="D175" s="277" t="str">
        <f t="shared" si="127"/>
        <v>LGCSR780</v>
      </c>
      <c r="E175" s="278">
        <f t="shared" si="94"/>
        <v>1</v>
      </c>
      <c r="F175" s="279">
        <v>0</v>
      </c>
      <c r="G175" s="278">
        <f t="shared" si="95"/>
        <v>0</v>
      </c>
      <c r="H175" s="278">
        <f t="shared" si="96"/>
        <v>0</v>
      </c>
      <c r="I175" s="278">
        <f t="shared" si="97"/>
        <v>0</v>
      </c>
      <c r="J175" s="278">
        <f t="shared" si="98"/>
        <v>0</v>
      </c>
      <c r="K175" s="280">
        <v>0</v>
      </c>
      <c r="L175" s="281">
        <f t="shared" si="99"/>
        <v>0</v>
      </c>
      <c r="M175" s="281">
        <f t="shared" si="100"/>
        <v>0</v>
      </c>
      <c r="N175" s="281">
        <f t="shared" si="101"/>
        <v>0</v>
      </c>
      <c r="O175" s="282">
        <v>0</v>
      </c>
      <c r="P175" s="282">
        <v>0</v>
      </c>
      <c r="Q175" s="282">
        <v>0</v>
      </c>
      <c r="R175" s="283">
        <f t="shared" si="102"/>
        <v>0</v>
      </c>
      <c r="S175" s="284">
        <f t="shared" si="136"/>
        <v>0</v>
      </c>
      <c r="T175" s="284">
        <f t="shared" si="103"/>
        <v>0</v>
      </c>
      <c r="U175" s="284">
        <f t="shared" si="104"/>
        <v>0</v>
      </c>
      <c r="V175" s="284">
        <f t="shared" si="105"/>
        <v>0</v>
      </c>
      <c r="W175" s="283">
        <f t="shared" si="106"/>
        <v>0</v>
      </c>
      <c r="X175" s="283">
        <f t="shared" si="107"/>
        <v>0</v>
      </c>
      <c r="Y175" s="283">
        <f t="shared" si="108"/>
        <v>0</v>
      </c>
      <c r="Z175" s="285">
        <f t="shared" si="109"/>
        <v>0</v>
      </c>
      <c r="AA175" s="285">
        <f t="shared" si="110"/>
        <v>0</v>
      </c>
      <c r="AB175" s="285">
        <f t="shared" si="128"/>
        <v>0</v>
      </c>
      <c r="AC175" s="285">
        <f t="shared" si="129"/>
        <v>0</v>
      </c>
      <c r="AD175" s="285">
        <f t="shared" si="130"/>
        <v>0</v>
      </c>
      <c r="AE175" s="286">
        <v>0</v>
      </c>
      <c r="AF175" s="287">
        <f t="shared" si="111"/>
        <v>0</v>
      </c>
      <c r="AG175" s="288">
        <f t="shared" si="112"/>
        <v>0</v>
      </c>
      <c r="AH175" s="285">
        <f t="shared" si="113"/>
        <v>0</v>
      </c>
      <c r="AI175" s="286">
        <v>0</v>
      </c>
      <c r="AJ175" s="286">
        <v>0</v>
      </c>
      <c r="AK175" s="286">
        <v>0</v>
      </c>
      <c r="AL175" s="285">
        <f t="shared" si="114"/>
        <v>0</v>
      </c>
      <c r="AM175" s="285">
        <f t="shared" si="115"/>
        <v>0</v>
      </c>
      <c r="AN175" s="289">
        <f t="shared" si="131"/>
        <v>1</v>
      </c>
      <c r="AO175" s="290">
        <f t="shared" si="116"/>
        <v>0</v>
      </c>
      <c r="AP175" s="290">
        <f t="shared" si="117"/>
        <v>0</v>
      </c>
      <c r="AQ175" s="290">
        <f t="shared" si="118"/>
        <v>0</v>
      </c>
      <c r="AR175" s="290">
        <f t="shared" si="119"/>
        <v>0</v>
      </c>
      <c r="AS175" s="290">
        <f t="shared" si="120"/>
        <v>-93846.25</v>
      </c>
      <c r="AT175" s="290">
        <f t="shared" si="121"/>
        <v>-93846.25</v>
      </c>
      <c r="AU175" s="291">
        <f t="shared" si="122"/>
        <v>-93846.25</v>
      </c>
      <c r="AV175" s="291">
        <f t="shared" si="137"/>
        <v>0</v>
      </c>
      <c r="AW175" s="292">
        <f t="shared" si="123"/>
        <v>0</v>
      </c>
      <c r="AX175" s="293">
        <f t="shared" si="124"/>
        <v>0</v>
      </c>
      <c r="BC175" s="276">
        <f>IF(BI175=1,IF(BC174=MiscData!$F$1,EOMONTH(BC174,-11),EOMONTH(BC174,1)),BC174)</f>
        <v>41790</v>
      </c>
      <c r="BD175" s="275" t="str">
        <f t="shared" si="132"/>
        <v>20140101LGCSR780</v>
      </c>
      <c r="BE175" s="294" t="str">
        <f t="shared" si="133"/>
        <v>20140101CSR</v>
      </c>
      <c r="BF175">
        <f>MiscData!$X$5</f>
        <v>20140101</v>
      </c>
      <c r="BI175" s="265">
        <f>IF(BI174+1&gt;MiscData!$Z$42,1,BI174+1)</f>
        <v>20</v>
      </c>
      <c r="BJ175" s="265" t="str">
        <f>VLOOKUP(BI175,MiscData!$Z$5:$AB$46,2,FALSE)</f>
        <v>LGCSR780</v>
      </c>
      <c r="BK175" s="265" t="str">
        <f>VLOOKUP(BI175,MiscData!$Z$5:$AB$46,3,FALSE)</f>
        <v>CSR</v>
      </c>
    </row>
    <row r="176" spans="1:63">
      <c r="A176" s="275">
        <v>163</v>
      </c>
      <c r="B176" s="276" t="str">
        <f t="shared" si="125"/>
        <v>May 2014</v>
      </c>
      <c r="C176" s="277" t="str">
        <f t="shared" si="126"/>
        <v>FK</v>
      </c>
      <c r="D176" s="277" t="str">
        <f t="shared" si="127"/>
        <v>LGINE599</v>
      </c>
      <c r="E176" s="278">
        <f t="shared" si="94"/>
        <v>1</v>
      </c>
      <c r="F176" s="279">
        <v>0</v>
      </c>
      <c r="G176" s="278">
        <f t="shared" si="95"/>
        <v>0</v>
      </c>
      <c r="H176" s="278">
        <f t="shared" si="96"/>
        <v>0</v>
      </c>
      <c r="I176" s="278">
        <f t="shared" si="97"/>
        <v>0</v>
      </c>
      <c r="J176" s="278">
        <f t="shared" si="98"/>
        <v>14360000</v>
      </c>
      <c r="K176" s="280">
        <v>0</v>
      </c>
      <c r="L176" s="281">
        <f t="shared" si="99"/>
        <v>0</v>
      </c>
      <c r="M176" s="281">
        <f t="shared" si="100"/>
        <v>27108</v>
      </c>
      <c r="N176" s="281">
        <f t="shared" si="101"/>
        <v>0</v>
      </c>
      <c r="O176" s="282">
        <v>0</v>
      </c>
      <c r="P176" s="282">
        <v>0</v>
      </c>
      <c r="Q176" s="282">
        <v>0</v>
      </c>
      <c r="R176" s="283">
        <f t="shared" si="102"/>
        <v>0</v>
      </c>
      <c r="S176" s="284">
        <f t="shared" si="136"/>
        <v>3.7400000000000003E-2</v>
      </c>
      <c r="T176" s="284">
        <f t="shared" si="103"/>
        <v>0</v>
      </c>
      <c r="U176" s="284">
        <f t="shared" si="104"/>
        <v>0</v>
      </c>
      <c r="V176" s="284">
        <f t="shared" si="105"/>
        <v>2.725E-2</v>
      </c>
      <c r="W176" s="283">
        <f t="shared" si="106"/>
        <v>0</v>
      </c>
      <c r="X176" s="283">
        <f t="shared" si="107"/>
        <v>12.72</v>
      </c>
      <c r="Y176" s="283">
        <f t="shared" si="108"/>
        <v>15.040000000000001</v>
      </c>
      <c r="Z176" s="285">
        <f t="shared" si="109"/>
        <v>0</v>
      </c>
      <c r="AA176" s="285">
        <f t="shared" si="110"/>
        <v>537064</v>
      </c>
      <c r="AB176" s="285">
        <f t="shared" si="128"/>
        <v>0</v>
      </c>
      <c r="AC176" s="285">
        <f t="shared" si="129"/>
        <v>344813.76</v>
      </c>
      <c r="AD176" s="285">
        <f t="shared" si="130"/>
        <v>0</v>
      </c>
      <c r="AE176" s="286">
        <v>0</v>
      </c>
      <c r="AF176" s="287">
        <f t="shared" si="111"/>
        <v>-24826.59</v>
      </c>
      <c r="AG176" s="288">
        <f t="shared" si="112"/>
        <v>0</v>
      </c>
      <c r="AH176" s="285">
        <f t="shared" si="113"/>
        <v>319987.17</v>
      </c>
      <c r="AI176" s="286">
        <v>0</v>
      </c>
      <c r="AJ176" s="286">
        <v>0</v>
      </c>
      <c r="AK176" s="286">
        <v>0</v>
      </c>
      <c r="AL176" s="285">
        <f t="shared" si="114"/>
        <v>857051.17</v>
      </c>
      <c r="AM176" s="285">
        <f t="shared" si="115"/>
        <v>857051.16999999993</v>
      </c>
      <c r="AN176" s="289">
        <f t="shared" si="131"/>
        <v>1</v>
      </c>
      <c r="AO176" s="290">
        <f t="shared" si="116"/>
        <v>21396.400000000001</v>
      </c>
      <c r="AP176" s="290">
        <f t="shared" si="117"/>
        <v>0</v>
      </c>
      <c r="AQ176" s="290">
        <f t="shared" si="118"/>
        <v>13925.66</v>
      </c>
      <c r="AR176" s="290">
        <f t="shared" si="119"/>
        <v>0</v>
      </c>
      <c r="AS176" s="290">
        <f t="shared" si="120"/>
        <v>0</v>
      </c>
      <c r="AT176" s="290">
        <f t="shared" si="121"/>
        <v>892373.23</v>
      </c>
      <c r="AU176" s="291">
        <f t="shared" si="122"/>
        <v>892373.2300000001</v>
      </c>
      <c r="AV176" s="291">
        <f t="shared" si="137"/>
        <v>0</v>
      </c>
      <c r="AW176" s="292">
        <f t="shared" si="123"/>
        <v>391310</v>
      </c>
      <c r="AX176" s="293">
        <f t="shared" si="124"/>
        <v>145754</v>
      </c>
      <c r="BC176" s="276">
        <f>IF(BI176=1,IF(BC175=MiscData!$F$1,EOMONTH(BC175,-11),EOMONTH(BC175,1)),BC175)</f>
        <v>41790</v>
      </c>
      <c r="BD176" s="275" t="str">
        <f t="shared" si="132"/>
        <v>20140101LGINE599</v>
      </c>
      <c r="BE176" s="294" t="str">
        <f t="shared" si="133"/>
        <v>20140101FK</v>
      </c>
      <c r="BF176">
        <f>MiscData!$X$5</f>
        <v>20140101</v>
      </c>
      <c r="BI176" s="265">
        <f>IF(BI175+1&gt;MiscData!$Z$42,1,BI175+1)</f>
        <v>21</v>
      </c>
      <c r="BJ176" s="265" t="str">
        <f>VLOOKUP(BI176,MiscData!$Z$5:$AB$46,2,FALSE)</f>
        <v>LGINE599</v>
      </c>
      <c r="BK176" s="265" t="str">
        <f>VLOOKUP(BI176,MiscData!$Z$5:$AB$46,3,FALSE)</f>
        <v>FK</v>
      </c>
    </row>
    <row r="177" spans="1:63" hidden="1">
      <c r="A177" s="275">
        <v>164</v>
      </c>
      <c r="B177" s="276" t="str">
        <f t="shared" si="125"/>
        <v>May 2014</v>
      </c>
      <c r="C177" s="277" t="str">
        <f t="shared" si="126"/>
        <v>RTS</v>
      </c>
      <c r="D177" s="277" t="str">
        <f t="shared" si="127"/>
        <v>LGINE643</v>
      </c>
      <c r="E177" s="278">
        <f t="shared" si="94"/>
        <v>10</v>
      </c>
      <c r="F177" s="279">
        <v>0</v>
      </c>
      <c r="G177" s="278">
        <f t="shared" si="95"/>
        <v>0</v>
      </c>
      <c r="H177" s="278">
        <f t="shared" si="96"/>
        <v>0</v>
      </c>
      <c r="I177" s="278">
        <f t="shared" si="97"/>
        <v>0</v>
      </c>
      <c r="J177" s="278">
        <f t="shared" si="98"/>
        <v>69750524</v>
      </c>
      <c r="K177" s="280">
        <v>0</v>
      </c>
      <c r="L177" s="281">
        <f t="shared" si="99"/>
        <v>139801.70000000001</v>
      </c>
      <c r="M177" s="281">
        <f t="shared" si="100"/>
        <v>138755.1</v>
      </c>
      <c r="N177" s="281">
        <f t="shared" si="101"/>
        <v>96825.1</v>
      </c>
      <c r="O177" s="282">
        <v>1472.1999999999825</v>
      </c>
      <c r="P177" s="282">
        <v>520.79999999998836</v>
      </c>
      <c r="Q177" s="282">
        <v>0</v>
      </c>
      <c r="R177" s="283">
        <f t="shared" si="102"/>
        <v>750</v>
      </c>
      <c r="S177" s="284">
        <f t="shared" si="136"/>
        <v>3.61E-2</v>
      </c>
      <c r="T177" s="284">
        <f t="shared" si="103"/>
        <v>0</v>
      </c>
      <c r="U177" s="284">
        <f t="shared" si="104"/>
        <v>0</v>
      </c>
      <c r="V177" s="284">
        <f t="shared" si="105"/>
        <v>2.725E-2</v>
      </c>
      <c r="W177" s="283">
        <f t="shared" si="106"/>
        <v>2.75</v>
      </c>
      <c r="X177" s="283">
        <f t="shared" si="107"/>
        <v>3</v>
      </c>
      <c r="Y177" s="283">
        <f t="shared" si="108"/>
        <v>4.5500000000000007</v>
      </c>
      <c r="Z177" s="285">
        <f t="shared" si="109"/>
        <v>7500</v>
      </c>
      <c r="AA177" s="285">
        <f t="shared" si="110"/>
        <v>2517993.92</v>
      </c>
      <c r="AB177" s="285">
        <f t="shared" si="128"/>
        <v>384454.68</v>
      </c>
      <c r="AC177" s="285">
        <f t="shared" si="129"/>
        <v>416265.3</v>
      </c>
      <c r="AD177" s="285">
        <f t="shared" si="130"/>
        <v>440554.21</v>
      </c>
      <c r="AE177" s="286">
        <v>0</v>
      </c>
      <c r="AF177" s="287">
        <f t="shared" si="111"/>
        <v>0</v>
      </c>
      <c r="AG177" s="288">
        <f t="shared" si="112"/>
        <v>5610.95</v>
      </c>
      <c r="AH177" s="285">
        <f t="shared" si="113"/>
        <v>1246885.1399999999</v>
      </c>
      <c r="AI177" s="286">
        <v>0</v>
      </c>
      <c r="AJ177" s="286">
        <v>0</v>
      </c>
      <c r="AK177" s="286">
        <v>0.04</v>
      </c>
      <c r="AL177" s="285">
        <f t="shared" si="114"/>
        <v>3772379.1</v>
      </c>
      <c r="AM177" s="285">
        <f t="shared" si="115"/>
        <v>3772379.0999999996</v>
      </c>
      <c r="AN177" s="289">
        <f t="shared" si="131"/>
        <v>1</v>
      </c>
      <c r="AO177" s="290">
        <f t="shared" si="116"/>
        <v>105454.53</v>
      </c>
      <c r="AP177" s="290">
        <f t="shared" si="117"/>
        <v>0</v>
      </c>
      <c r="AQ177" s="290">
        <f t="shared" si="118"/>
        <v>59286.67</v>
      </c>
      <c r="AR177" s="290">
        <f t="shared" si="119"/>
        <v>0</v>
      </c>
      <c r="AS177" s="290">
        <f t="shared" si="120"/>
        <v>0</v>
      </c>
      <c r="AT177" s="290">
        <f t="shared" si="121"/>
        <v>3937120.3</v>
      </c>
      <c r="AU177" s="291">
        <f t="shared" si="122"/>
        <v>3937120.3</v>
      </c>
      <c r="AV177" s="291">
        <f t="shared" si="137"/>
        <v>0</v>
      </c>
      <c r="AW177" s="292">
        <f t="shared" si="123"/>
        <v>1900701.78</v>
      </c>
      <c r="AX177" s="293">
        <f t="shared" si="124"/>
        <v>617292.1399999999</v>
      </c>
      <c r="BC177" s="276">
        <f>IF(BI177=1,IF(BC176=MiscData!$F$1,EOMONTH(BC176,-11),EOMONTH(BC176,1)),BC176)</f>
        <v>41790</v>
      </c>
      <c r="BD177" s="275" t="str">
        <f t="shared" si="132"/>
        <v>20140101LGINE643</v>
      </c>
      <c r="BE177" s="294" t="str">
        <f t="shared" si="133"/>
        <v>20140101RTS</v>
      </c>
      <c r="BF177">
        <f>MiscData!$X$5</f>
        <v>20140101</v>
      </c>
      <c r="BI177" s="265">
        <f>IF(BI176+1&gt;MiscData!$Z$42,1,BI176+1)</f>
        <v>22</v>
      </c>
      <c r="BJ177" s="265" t="str">
        <f>VLOOKUP(BI177,MiscData!$Z$5:$AB$46,2,FALSE)</f>
        <v>LGINE643</v>
      </c>
      <c r="BK177" s="265" t="str">
        <f>VLOOKUP(BI177,MiscData!$Z$5:$AB$46,3,FALSE)</f>
        <v>RTS</v>
      </c>
    </row>
    <row r="178" spans="1:63" hidden="1">
      <c r="A178" s="275">
        <v>165</v>
      </c>
      <c r="B178" s="276" t="str">
        <f t="shared" si="125"/>
        <v>May 2014</v>
      </c>
      <c r="C178" s="277" t="str">
        <f t="shared" si="126"/>
        <v>PSS</v>
      </c>
      <c r="D178" s="277" t="str">
        <f t="shared" si="127"/>
        <v>LGINE661</v>
      </c>
      <c r="E178" s="278">
        <f t="shared" si="94"/>
        <v>244</v>
      </c>
      <c r="F178" s="279">
        <v>5</v>
      </c>
      <c r="G178" s="278">
        <f t="shared" si="95"/>
        <v>0</v>
      </c>
      <c r="H178" s="278">
        <f t="shared" si="96"/>
        <v>0</v>
      </c>
      <c r="I178" s="278">
        <f t="shared" si="97"/>
        <v>0</v>
      </c>
      <c r="J178" s="278">
        <f t="shared" si="98"/>
        <v>24660519</v>
      </c>
      <c r="K178" s="280">
        <v>0</v>
      </c>
      <c r="L178" s="281">
        <f t="shared" si="99"/>
        <v>0</v>
      </c>
      <c r="M178" s="281">
        <f t="shared" si="100"/>
        <v>0</v>
      </c>
      <c r="N178" s="281">
        <f t="shared" si="101"/>
        <v>67815.399999999994</v>
      </c>
      <c r="O178" s="282">
        <v>0</v>
      </c>
      <c r="P178" s="282">
        <v>0</v>
      </c>
      <c r="Q178" s="282">
        <v>483.95</v>
      </c>
      <c r="R178" s="283">
        <f t="shared" si="102"/>
        <v>90</v>
      </c>
      <c r="S178" s="284">
        <f t="shared" si="136"/>
        <v>4.0599999999999997E-2</v>
      </c>
      <c r="T178" s="284">
        <f t="shared" si="103"/>
        <v>0</v>
      </c>
      <c r="U178" s="284">
        <f t="shared" si="104"/>
        <v>0</v>
      </c>
      <c r="V178" s="284">
        <f t="shared" si="105"/>
        <v>2.725E-2</v>
      </c>
      <c r="W178" s="283">
        <f t="shared" si="106"/>
        <v>0</v>
      </c>
      <c r="X178" s="283">
        <f t="shared" si="107"/>
        <v>14.010000000000002</v>
      </c>
      <c r="Y178" s="283">
        <f t="shared" si="108"/>
        <v>16.399999999999999</v>
      </c>
      <c r="Z178" s="285">
        <f t="shared" si="109"/>
        <v>22410</v>
      </c>
      <c r="AA178" s="285">
        <f t="shared" si="110"/>
        <v>1001217.07</v>
      </c>
      <c r="AB178" s="285">
        <f t="shared" si="128"/>
        <v>0</v>
      </c>
      <c r="AC178" s="285">
        <f t="shared" si="129"/>
        <v>0</v>
      </c>
      <c r="AD178" s="285">
        <f t="shared" si="130"/>
        <v>1112172.56</v>
      </c>
      <c r="AE178" s="286">
        <v>0</v>
      </c>
      <c r="AF178" s="287">
        <f t="shared" si="111"/>
        <v>79371.66</v>
      </c>
      <c r="AG178" s="288">
        <f t="shared" si="112"/>
        <v>7936.78</v>
      </c>
      <c r="AH178" s="285">
        <f t="shared" si="113"/>
        <v>1199481</v>
      </c>
      <c r="AI178" s="286">
        <v>0</v>
      </c>
      <c r="AJ178" s="286">
        <v>0.03</v>
      </c>
      <c r="AK178" s="286">
        <v>-1940.79</v>
      </c>
      <c r="AL178" s="285">
        <f t="shared" si="114"/>
        <v>2221167.3099999996</v>
      </c>
      <c r="AM178" s="285">
        <f t="shared" si="115"/>
        <v>2221167.31</v>
      </c>
      <c r="AN178" s="289">
        <f t="shared" si="131"/>
        <v>1</v>
      </c>
      <c r="AO178" s="290">
        <f t="shared" si="116"/>
        <v>39435.089999999997</v>
      </c>
      <c r="AP178" s="290">
        <f t="shared" si="117"/>
        <v>0</v>
      </c>
      <c r="AQ178" s="290">
        <f t="shared" si="118"/>
        <v>57535.99</v>
      </c>
      <c r="AR178" s="290">
        <f t="shared" si="119"/>
        <v>0</v>
      </c>
      <c r="AS178" s="290">
        <f t="shared" si="120"/>
        <v>0</v>
      </c>
      <c r="AT178" s="290">
        <f t="shared" si="121"/>
        <v>2318138.39</v>
      </c>
      <c r="AU178" s="291">
        <f t="shared" si="122"/>
        <v>2318138.3899999997</v>
      </c>
      <c r="AV178" s="291">
        <f t="shared" ref="AV178:AV182" si="138">ROUND(AT178-AU178,2)</f>
        <v>0</v>
      </c>
      <c r="AW178" s="292">
        <f t="shared" si="123"/>
        <v>671999.14</v>
      </c>
      <c r="AX178" s="293">
        <f t="shared" si="124"/>
        <v>329217.95999999996</v>
      </c>
      <c r="BC178" s="276">
        <f>IF(BI178=1,IF(BC177=MiscData!$F$1,EOMONTH(BC177,-11),EOMONTH(BC177,1)),BC177)</f>
        <v>41790</v>
      </c>
      <c r="BD178" s="275" t="str">
        <f t="shared" si="132"/>
        <v>20140101LGINE661</v>
      </c>
      <c r="BE178" s="294" t="str">
        <f t="shared" si="133"/>
        <v>20140101PSS</v>
      </c>
      <c r="BF178">
        <f>MiscData!$X$5</f>
        <v>20140101</v>
      </c>
      <c r="BI178" s="265">
        <f>IF(BI177+1&gt;MiscData!$Z$42,1,BI177+1)</f>
        <v>23</v>
      </c>
      <c r="BJ178" s="265" t="str">
        <f>VLOOKUP(BI178,MiscData!$Z$5:$AB$46,2,FALSE)</f>
        <v>LGINE661</v>
      </c>
      <c r="BK178" s="265" t="str">
        <f>VLOOKUP(BI178,MiscData!$Z$5:$AB$46,3,FALSE)</f>
        <v>PSS</v>
      </c>
    </row>
    <row r="179" spans="1:63" hidden="1">
      <c r="A179" s="275">
        <v>166</v>
      </c>
      <c r="B179" s="276" t="str">
        <f t="shared" si="125"/>
        <v>May 2014</v>
      </c>
      <c r="C179" s="277" t="str">
        <f t="shared" si="126"/>
        <v>PSP</v>
      </c>
      <c r="D179" s="277" t="str">
        <f t="shared" si="127"/>
        <v>LGINE663</v>
      </c>
      <c r="E179" s="278">
        <f t="shared" si="94"/>
        <v>23</v>
      </c>
      <c r="F179" s="279">
        <v>1</v>
      </c>
      <c r="G179" s="278">
        <f t="shared" si="95"/>
        <v>0</v>
      </c>
      <c r="H179" s="278">
        <f t="shared" si="96"/>
        <v>0</v>
      </c>
      <c r="I179" s="278">
        <f t="shared" si="97"/>
        <v>0</v>
      </c>
      <c r="J179" s="278">
        <f t="shared" si="98"/>
        <v>11983995</v>
      </c>
      <c r="K179" s="280">
        <v>0</v>
      </c>
      <c r="L179" s="281">
        <f t="shared" si="99"/>
        <v>0</v>
      </c>
      <c r="M179" s="281">
        <f t="shared" si="100"/>
        <v>0</v>
      </c>
      <c r="N179" s="281">
        <f t="shared" si="101"/>
        <v>27252.5</v>
      </c>
      <c r="O179" s="282">
        <v>0</v>
      </c>
      <c r="P179" s="282">
        <v>0</v>
      </c>
      <c r="Q179" s="282">
        <v>302.39999999999998</v>
      </c>
      <c r="R179" s="283">
        <f t="shared" si="102"/>
        <v>170</v>
      </c>
      <c r="S179" s="284">
        <f t="shared" si="136"/>
        <v>3.9260000000000003E-2</v>
      </c>
      <c r="T179" s="284">
        <f t="shared" si="103"/>
        <v>0</v>
      </c>
      <c r="U179" s="284">
        <f t="shared" si="104"/>
        <v>0</v>
      </c>
      <c r="V179" s="284">
        <f t="shared" si="105"/>
        <v>2.725E-2</v>
      </c>
      <c r="W179" s="283">
        <f t="shared" si="106"/>
        <v>0</v>
      </c>
      <c r="X179" s="283">
        <f t="shared" si="107"/>
        <v>11.660000000000002</v>
      </c>
      <c r="Y179" s="283">
        <f t="shared" si="108"/>
        <v>13.950000000000001</v>
      </c>
      <c r="Z179" s="285">
        <f t="shared" si="109"/>
        <v>4080</v>
      </c>
      <c r="AA179" s="285">
        <f t="shared" si="110"/>
        <v>470491.64</v>
      </c>
      <c r="AB179" s="285">
        <f t="shared" si="128"/>
        <v>0</v>
      </c>
      <c r="AC179" s="285">
        <f t="shared" si="129"/>
        <v>0</v>
      </c>
      <c r="AD179" s="285">
        <f t="shared" si="130"/>
        <v>380172.38</v>
      </c>
      <c r="AE179" s="286">
        <v>0</v>
      </c>
      <c r="AF179" s="287">
        <f t="shared" si="111"/>
        <v>15785.69</v>
      </c>
      <c r="AG179" s="288">
        <f t="shared" si="112"/>
        <v>4218.4799999999996</v>
      </c>
      <c r="AH179" s="285">
        <f t="shared" si="113"/>
        <v>400176.55</v>
      </c>
      <c r="AI179" s="286">
        <v>2698.78</v>
      </c>
      <c r="AJ179" s="286">
        <v>-28412.959999999999</v>
      </c>
      <c r="AK179" s="286">
        <v>-44496.35</v>
      </c>
      <c r="AL179" s="285">
        <f t="shared" si="114"/>
        <v>804537.66</v>
      </c>
      <c r="AM179" s="285">
        <f t="shared" si="115"/>
        <v>804537.66</v>
      </c>
      <c r="AN179" s="289">
        <f t="shared" si="131"/>
        <v>1</v>
      </c>
      <c r="AO179" s="290">
        <f t="shared" si="116"/>
        <v>42502.5</v>
      </c>
      <c r="AP179" s="290">
        <f t="shared" si="117"/>
        <v>0</v>
      </c>
      <c r="AQ179" s="290">
        <f t="shared" si="118"/>
        <v>14984.39</v>
      </c>
      <c r="AR179" s="290">
        <f t="shared" si="119"/>
        <v>0</v>
      </c>
      <c r="AS179" s="290">
        <f t="shared" si="120"/>
        <v>0</v>
      </c>
      <c r="AT179" s="290">
        <f t="shared" si="121"/>
        <v>862024.55</v>
      </c>
      <c r="AU179" s="291">
        <f t="shared" si="122"/>
        <v>862024.55</v>
      </c>
      <c r="AV179" s="291">
        <f t="shared" si="138"/>
        <v>0</v>
      </c>
      <c r="AW179" s="292">
        <f t="shared" si="123"/>
        <v>326563.86</v>
      </c>
      <c r="AX179" s="293">
        <f t="shared" si="124"/>
        <v>115514.82</v>
      </c>
      <c r="BC179" s="276">
        <f>IF(BI179=1,IF(BC178=MiscData!$F$1,EOMONTH(BC178,-11),EOMONTH(BC178,1)),BC178)</f>
        <v>41790</v>
      </c>
      <c r="BD179" s="275" t="str">
        <f t="shared" si="132"/>
        <v>20140101LGINE663</v>
      </c>
      <c r="BE179" s="294" t="str">
        <f t="shared" si="133"/>
        <v>20140101PSP</v>
      </c>
      <c r="BF179">
        <f>MiscData!$X$5</f>
        <v>20140101</v>
      </c>
      <c r="BI179" s="265">
        <f>IF(BI178+1&gt;MiscData!$Z$42,1,BI178+1)</f>
        <v>24</v>
      </c>
      <c r="BJ179" s="265" t="str">
        <f>VLOOKUP(BI179,MiscData!$Z$5:$AB$46,2,FALSE)</f>
        <v>LGINE663</v>
      </c>
      <c r="BK179" s="265" t="str">
        <f>VLOOKUP(BI179,MiscData!$Z$5:$AB$46,3,FALSE)</f>
        <v>PSP</v>
      </c>
    </row>
    <row r="180" spans="1:63" hidden="1">
      <c r="A180" s="275">
        <v>167</v>
      </c>
      <c r="B180" s="276" t="str">
        <f t="shared" si="125"/>
        <v>May 2014</v>
      </c>
      <c r="C180" s="277" t="str">
        <f t="shared" si="126"/>
        <v>TODS</v>
      </c>
      <c r="D180" s="277" t="str">
        <f t="shared" si="127"/>
        <v>LGINE691</v>
      </c>
      <c r="E180" s="278">
        <f t="shared" si="94"/>
        <v>75</v>
      </c>
      <c r="F180" s="279">
        <v>1</v>
      </c>
      <c r="G180" s="278">
        <f t="shared" si="95"/>
        <v>0</v>
      </c>
      <c r="H180" s="278">
        <f t="shared" si="96"/>
        <v>0</v>
      </c>
      <c r="I180" s="278">
        <f t="shared" si="97"/>
        <v>0</v>
      </c>
      <c r="J180" s="278">
        <f t="shared" si="98"/>
        <v>18380980</v>
      </c>
      <c r="K180" s="280">
        <v>0</v>
      </c>
      <c r="L180" s="281">
        <f t="shared" si="99"/>
        <v>45022</v>
      </c>
      <c r="M180" s="281">
        <f t="shared" si="100"/>
        <v>44108.4</v>
      </c>
      <c r="N180" s="281">
        <f t="shared" si="101"/>
        <v>43034.7</v>
      </c>
      <c r="O180" s="282">
        <v>1838.9249999999956</v>
      </c>
      <c r="P180" s="282">
        <v>102.20000000000437</v>
      </c>
      <c r="Q180" s="282">
        <v>79.150000000001455</v>
      </c>
      <c r="R180" s="283">
        <f t="shared" si="102"/>
        <v>200</v>
      </c>
      <c r="S180" s="284">
        <f t="shared" si="136"/>
        <v>3.9899999999999998E-2</v>
      </c>
      <c r="T180" s="284">
        <f t="shared" si="103"/>
        <v>0</v>
      </c>
      <c r="U180" s="284">
        <f t="shared" si="104"/>
        <v>0</v>
      </c>
      <c r="V180" s="284">
        <f t="shared" si="105"/>
        <v>2.725E-2</v>
      </c>
      <c r="W180" s="283">
        <f t="shared" si="106"/>
        <v>4</v>
      </c>
      <c r="X180" s="283">
        <f t="shared" si="107"/>
        <v>4.5100000000000007</v>
      </c>
      <c r="Y180" s="283">
        <f t="shared" si="108"/>
        <v>6.11</v>
      </c>
      <c r="Z180" s="285">
        <f t="shared" si="109"/>
        <v>15200</v>
      </c>
      <c r="AA180" s="285">
        <f t="shared" si="110"/>
        <v>733401.1</v>
      </c>
      <c r="AB180" s="285">
        <f t="shared" si="128"/>
        <v>180088</v>
      </c>
      <c r="AC180" s="285">
        <f t="shared" si="129"/>
        <v>198928.88</v>
      </c>
      <c r="AD180" s="285">
        <f t="shared" si="130"/>
        <v>262942.02</v>
      </c>
      <c r="AE180" s="286">
        <v>0</v>
      </c>
      <c r="AF180" s="287">
        <f t="shared" si="111"/>
        <v>39074.660000000003</v>
      </c>
      <c r="AG180" s="288">
        <f t="shared" si="112"/>
        <v>8300.23</v>
      </c>
      <c r="AH180" s="285">
        <f t="shared" si="113"/>
        <v>689333.79</v>
      </c>
      <c r="AI180" s="286">
        <v>0</v>
      </c>
      <c r="AJ180" s="286">
        <v>0.02</v>
      </c>
      <c r="AK180" s="286">
        <v>0.04</v>
      </c>
      <c r="AL180" s="285">
        <f t="shared" si="114"/>
        <v>1437934.95</v>
      </c>
      <c r="AM180" s="285">
        <f t="shared" si="115"/>
        <v>1437934.95</v>
      </c>
      <c r="AN180" s="289">
        <f t="shared" si="131"/>
        <v>1</v>
      </c>
      <c r="AO180" s="290">
        <f t="shared" si="116"/>
        <v>29370.81</v>
      </c>
      <c r="AP180" s="290">
        <f t="shared" si="117"/>
        <v>0</v>
      </c>
      <c r="AQ180" s="290">
        <f t="shared" si="118"/>
        <v>34807.25</v>
      </c>
      <c r="AR180" s="290">
        <f t="shared" si="119"/>
        <v>0</v>
      </c>
      <c r="AS180" s="290">
        <f t="shared" si="120"/>
        <v>0</v>
      </c>
      <c r="AT180" s="290">
        <f t="shared" si="121"/>
        <v>1502113.01</v>
      </c>
      <c r="AU180" s="291">
        <f t="shared" si="122"/>
        <v>1502113.01</v>
      </c>
      <c r="AV180" s="291">
        <f t="shared" si="138"/>
        <v>0</v>
      </c>
      <c r="AW180" s="292">
        <f t="shared" si="123"/>
        <v>500881.71</v>
      </c>
      <c r="AX180" s="293">
        <f t="shared" si="124"/>
        <v>232519.40999999997</v>
      </c>
      <c r="BC180" s="276">
        <f>IF(BI180=1,IF(BC179=MiscData!$F$1,EOMONTH(BC179,-11),EOMONTH(BC179,1)),BC179)</f>
        <v>41790</v>
      </c>
      <c r="BD180" s="275" t="str">
        <f t="shared" si="132"/>
        <v>20140101LGINE691</v>
      </c>
      <c r="BE180" s="294" t="str">
        <f t="shared" si="133"/>
        <v>20140101TODS</v>
      </c>
      <c r="BF180">
        <f>MiscData!$X$5</f>
        <v>20140101</v>
      </c>
      <c r="BI180" s="265">
        <f>IF(BI179+1&gt;MiscData!$Z$42,1,BI179+1)</f>
        <v>25</v>
      </c>
      <c r="BJ180" s="265" t="str">
        <f>VLOOKUP(BI180,MiscData!$Z$5:$AB$46,2,FALSE)</f>
        <v>LGINE691</v>
      </c>
      <c r="BK180" s="265" t="str">
        <f>VLOOKUP(BI180,MiscData!$Z$5:$AB$46,3,FALSE)</f>
        <v>TODS</v>
      </c>
    </row>
    <row r="181" spans="1:63" hidden="1">
      <c r="A181" s="275">
        <v>168</v>
      </c>
      <c r="B181" s="276" t="str">
        <f t="shared" si="125"/>
        <v>May 2014</v>
      </c>
      <c r="C181" s="277" t="str">
        <f t="shared" si="126"/>
        <v>ITODP</v>
      </c>
      <c r="D181" s="277" t="str">
        <f t="shared" si="127"/>
        <v>LGINE693</v>
      </c>
      <c r="E181" s="278">
        <f t="shared" si="94"/>
        <v>66</v>
      </c>
      <c r="F181" s="279">
        <v>4</v>
      </c>
      <c r="G181" s="278">
        <f t="shared" si="95"/>
        <v>0</v>
      </c>
      <c r="H181" s="278">
        <f t="shared" si="96"/>
        <v>0</v>
      </c>
      <c r="I181" s="278">
        <f t="shared" si="97"/>
        <v>0</v>
      </c>
      <c r="J181" s="278">
        <f t="shared" si="98"/>
        <v>147409800</v>
      </c>
      <c r="K181" s="280">
        <v>0</v>
      </c>
      <c r="L181" s="281">
        <f t="shared" si="99"/>
        <v>336833.70000000013</v>
      </c>
      <c r="M181" s="281">
        <f t="shared" si="100"/>
        <v>328875.59999999998</v>
      </c>
      <c r="N181" s="281">
        <f t="shared" si="101"/>
        <v>325088.09999999998</v>
      </c>
      <c r="O181" s="282">
        <v>3645.4000000000233</v>
      </c>
      <c r="P181" s="282">
        <v>0</v>
      </c>
      <c r="Q181" s="282">
        <v>0</v>
      </c>
      <c r="R181" s="283">
        <f t="shared" si="102"/>
        <v>300</v>
      </c>
      <c r="S181" s="284">
        <f t="shared" si="136"/>
        <v>3.5380000000000002E-2</v>
      </c>
      <c r="T181" s="284">
        <f t="shared" si="103"/>
        <v>0</v>
      </c>
      <c r="U181" s="284">
        <f t="shared" si="104"/>
        <v>0</v>
      </c>
      <c r="V181" s="284">
        <f t="shared" si="105"/>
        <v>2.725E-2</v>
      </c>
      <c r="W181" s="283">
        <f t="shared" si="106"/>
        <v>3.6300000000000003</v>
      </c>
      <c r="X181" s="283">
        <f t="shared" si="107"/>
        <v>3.7900000000000005</v>
      </c>
      <c r="Y181" s="283">
        <f t="shared" si="108"/>
        <v>4.63</v>
      </c>
      <c r="Z181" s="285">
        <f t="shared" si="109"/>
        <v>21000</v>
      </c>
      <c r="AA181" s="285">
        <f t="shared" si="110"/>
        <v>5215358.72</v>
      </c>
      <c r="AB181" s="285">
        <f t="shared" si="128"/>
        <v>1222706.33</v>
      </c>
      <c r="AC181" s="285">
        <f t="shared" si="129"/>
        <v>1246438.52</v>
      </c>
      <c r="AD181" s="285">
        <f t="shared" si="130"/>
        <v>1505157.9</v>
      </c>
      <c r="AE181" s="286">
        <v>0</v>
      </c>
      <c r="AF181" s="287">
        <f t="shared" si="111"/>
        <v>0</v>
      </c>
      <c r="AG181" s="288">
        <f t="shared" si="112"/>
        <v>13232.8</v>
      </c>
      <c r="AH181" s="285">
        <f t="shared" si="113"/>
        <v>3987535.55</v>
      </c>
      <c r="AI181" s="286">
        <v>0</v>
      </c>
      <c r="AJ181" s="286">
        <v>0.04</v>
      </c>
      <c r="AK181" s="286">
        <v>0.14000000000000001</v>
      </c>
      <c r="AL181" s="285">
        <f t="shared" si="114"/>
        <v>9223894.4500000011</v>
      </c>
      <c r="AM181" s="285">
        <f t="shared" si="115"/>
        <v>9223894.4500000011</v>
      </c>
      <c r="AN181" s="289">
        <f t="shared" si="131"/>
        <v>1</v>
      </c>
      <c r="AO181" s="290">
        <f t="shared" si="116"/>
        <v>230843.92</v>
      </c>
      <c r="AP181" s="290">
        <f t="shared" si="117"/>
        <v>0</v>
      </c>
      <c r="AQ181" s="290">
        <f t="shared" si="118"/>
        <v>184084.78</v>
      </c>
      <c r="AR181" s="290">
        <f t="shared" si="119"/>
        <v>0</v>
      </c>
      <c r="AS181" s="290">
        <f t="shared" si="120"/>
        <v>0</v>
      </c>
      <c r="AT181" s="290">
        <f t="shared" si="121"/>
        <v>9638823.1500000004</v>
      </c>
      <c r="AU181" s="291">
        <f t="shared" si="122"/>
        <v>9638823.1500000004</v>
      </c>
      <c r="AV181" s="291">
        <f t="shared" si="138"/>
        <v>0</v>
      </c>
      <c r="AW181" s="292">
        <f t="shared" si="123"/>
        <v>4016917.05</v>
      </c>
      <c r="AX181" s="293">
        <f t="shared" si="124"/>
        <v>1198441.71</v>
      </c>
      <c r="BC181" s="276">
        <f>IF(BI181=1,IF(BC180=MiscData!$F$1,EOMONTH(BC180,-11),EOMONTH(BC180,1)),BC180)</f>
        <v>41790</v>
      </c>
      <c r="BD181" s="275" t="str">
        <f t="shared" si="132"/>
        <v>20140101LGINE693</v>
      </c>
      <c r="BE181" s="294" t="str">
        <f t="shared" si="133"/>
        <v>20140101ITODP</v>
      </c>
      <c r="BF181">
        <f>MiscData!$X$5</f>
        <v>20140101</v>
      </c>
      <c r="BI181" s="265">
        <f>IF(BI180+1&gt;MiscData!$Z$42,1,BI180+1)</f>
        <v>26</v>
      </c>
      <c r="BJ181" s="265" t="str">
        <f>VLOOKUP(BI181,MiscData!$Z$5:$AB$46,2,FALSE)</f>
        <v>LGINE693</v>
      </c>
      <c r="BK181" s="265" t="str">
        <f>VLOOKUP(BI181,MiscData!$Z$5:$AB$46,3,FALSE)</f>
        <v>ITODP</v>
      </c>
    </row>
    <row r="182" spans="1:63" hidden="1">
      <c r="A182" s="275">
        <v>169</v>
      </c>
      <c r="B182" s="276" t="str">
        <f t="shared" si="125"/>
        <v>May 2014</v>
      </c>
      <c r="C182" s="277" t="str">
        <f t="shared" si="126"/>
        <v>ITODP</v>
      </c>
      <c r="D182" s="277" t="str">
        <f t="shared" si="127"/>
        <v>LGINE694</v>
      </c>
      <c r="E182" s="278">
        <f t="shared" si="94"/>
        <v>0</v>
      </c>
      <c r="F182" s="279">
        <v>0</v>
      </c>
      <c r="G182" s="278">
        <f t="shared" si="95"/>
        <v>0</v>
      </c>
      <c r="H182" s="278">
        <f t="shared" si="96"/>
        <v>0</v>
      </c>
      <c r="I182" s="278">
        <f t="shared" si="97"/>
        <v>0</v>
      </c>
      <c r="J182" s="278">
        <f t="shared" si="98"/>
        <v>0</v>
      </c>
      <c r="K182" s="280">
        <v>0</v>
      </c>
      <c r="L182" s="281">
        <f t="shared" si="99"/>
        <v>0</v>
      </c>
      <c r="M182" s="281">
        <f t="shared" si="100"/>
        <v>0</v>
      </c>
      <c r="N182" s="281">
        <f t="shared" si="101"/>
        <v>0</v>
      </c>
      <c r="O182" s="282">
        <v>0</v>
      </c>
      <c r="P182" s="282">
        <v>0</v>
      </c>
      <c r="Q182" s="282">
        <v>0</v>
      </c>
      <c r="R182" s="283">
        <f t="shared" si="102"/>
        <v>300</v>
      </c>
      <c r="S182" s="284">
        <f t="shared" si="136"/>
        <v>3.5380000000000002E-2</v>
      </c>
      <c r="T182" s="284">
        <f t="shared" si="103"/>
        <v>0</v>
      </c>
      <c r="U182" s="284">
        <f t="shared" si="104"/>
        <v>0</v>
      </c>
      <c r="V182" s="284">
        <f t="shared" si="105"/>
        <v>2.725E-2</v>
      </c>
      <c r="W182" s="283">
        <f t="shared" si="106"/>
        <v>3.6300000000000003</v>
      </c>
      <c r="X182" s="283">
        <f t="shared" si="107"/>
        <v>3.7900000000000005</v>
      </c>
      <c r="Y182" s="283">
        <f t="shared" si="108"/>
        <v>4.63</v>
      </c>
      <c r="Z182" s="285">
        <f t="shared" si="109"/>
        <v>0</v>
      </c>
      <c r="AA182" s="285">
        <f t="shared" si="110"/>
        <v>0</v>
      </c>
      <c r="AB182" s="285">
        <f t="shared" si="128"/>
        <v>0</v>
      </c>
      <c r="AC182" s="285">
        <f t="shared" si="129"/>
        <v>0</v>
      </c>
      <c r="AD182" s="285">
        <f t="shared" si="130"/>
        <v>0</v>
      </c>
      <c r="AE182" s="286">
        <v>0</v>
      </c>
      <c r="AF182" s="287">
        <f t="shared" si="111"/>
        <v>0</v>
      </c>
      <c r="AG182" s="288">
        <f t="shared" si="112"/>
        <v>0</v>
      </c>
      <c r="AH182" s="285">
        <f t="shared" si="113"/>
        <v>0</v>
      </c>
      <c r="AI182" s="286">
        <v>0</v>
      </c>
      <c r="AJ182" s="286">
        <v>0</v>
      </c>
      <c r="AK182" s="286">
        <v>0</v>
      </c>
      <c r="AL182" s="285">
        <f t="shared" si="114"/>
        <v>0</v>
      </c>
      <c r="AM182" s="285">
        <f t="shared" si="115"/>
        <v>0</v>
      </c>
      <c r="AN182" s="289">
        <f>IF(AND(AL182=0,AM182=0),1,IF(AL182=0,0,ROUND(AM182/AL182,6)))</f>
        <v>1</v>
      </c>
      <c r="AO182" s="290">
        <f t="shared" si="116"/>
        <v>0</v>
      </c>
      <c r="AP182" s="290">
        <f t="shared" si="117"/>
        <v>0</v>
      </c>
      <c r="AQ182" s="290">
        <f t="shared" si="118"/>
        <v>0</v>
      </c>
      <c r="AR182" s="290">
        <f t="shared" si="119"/>
        <v>0</v>
      </c>
      <c r="AS182" s="290">
        <f t="shared" si="120"/>
        <v>0</v>
      </c>
      <c r="AT182" s="290">
        <f t="shared" si="121"/>
        <v>0</v>
      </c>
      <c r="AU182" s="291">
        <f t="shared" si="122"/>
        <v>0</v>
      </c>
      <c r="AV182" s="291">
        <f t="shared" si="138"/>
        <v>0</v>
      </c>
      <c r="AW182" s="292">
        <f t="shared" si="123"/>
        <v>0</v>
      </c>
      <c r="AX182" s="293">
        <f t="shared" si="124"/>
        <v>0</v>
      </c>
      <c r="BC182" s="276">
        <f>IF(BI182=1,IF(BC181=MiscData!$F$1,EOMONTH(BC181,-11),EOMONTH(BC181,1)),BC181)</f>
        <v>41790</v>
      </c>
      <c r="BD182" s="275" t="str">
        <f t="shared" si="132"/>
        <v>20140101LGINE694</v>
      </c>
      <c r="BE182" s="294" t="str">
        <f t="shared" si="133"/>
        <v>20140101ITODP</v>
      </c>
      <c r="BF182">
        <f>MiscData!$X$5</f>
        <v>20140101</v>
      </c>
      <c r="BI182" s="265">
        <f>IF(BI181+1&gt;MiscData!$Z$42,1,BI181+1)</f>
        <v>27</v>
      </c>
      <c r="BJ182" s="265" t="str">
        <f>VLOOKUP(BI182,MiscData!$Z$5:$AB$46,2,FALSE)</f>
        <v>LGINE694</v>
      </c>
      <c r="BK182" s="265" t="str">
        <f>VLOOKUP(BI182,MiscData!$Z$5:$AB$46,3,FALSE)</f>
        <v>ITODP</v>
      </c>
    </row>
    <row r="183" spans="1:63" hidden="1">
      <c r="A183" s="275">
        <v>170</v>
      </c>
      <c r="B183" s="276" t="str">
        <f t="shared" si="125"/>
        <v>May 2014</v>
      </c>
      <c r="C183" s="277" t="str">
        <f t="shared" si="126"/>
        <v>LE</v>
      </c>
      <c r="D183" s="277" t="str">
        <f t="shared" si="127"/>
        <v>LGMLE570</v>
      </c>
      <c r="E183" s="278">
        <f t="shared" si="94"/>
        <v>1</v>
      </c>
      <c r="F183" s="279">
        <v>0</v>
      </c>
      <c r="G183" s="278">
        <f t="shared" si="95"/>
        <v>0</v>
      </c>
      <c r="H183" s="278">
        <f t="shared" si="96"/>
        <v>0</v>
      </c>
      <c r="I183" s="278">
        <f t="shared" si="97"/>
        <v>0</v>
      </c>
      <c r="J183" s="278">
        <f t="shared" si="98"/>
        <v>196</v>
      </c>
      <c r="K183" s="280">
        <v>0</v>
      </c>
      <c r="L183" s="281">
        <f t="shared" si="99"/>
        <v>0</v>
      </c>
      <c r="M183" s="281">
        <f t="shared" si="100"/>
        <v>0</v>
      </c>
      <c r="N183" s="281">
        <f t="shared" si="101"/>
        <v>0</v>
      </c>
      <c r="O183" s="282">
        <v>0</v>
      </c>
      <c r="P183" s="282">
        <v>0</v>
      </c>
      <c r="Q183" s="282">
        <v>0</v>
      </c>
      <c r="R183" s="283">
        <f t="shared" si="102"/>
        <v>0</v>
      </c>
      <c r="S183" s="284">
        <f t="shared" si="136"/>
        <v>6.4610000000000001E-2</v>
      </c>
      <c r="T183" s="284">
        <f t="shared" si="103"/>
        <v>0</v>
      </c>
      <c r="U183" s="284">
        <f t="shared" si="104"/>
        <v>0</v>
      </c>
      <c r="V183" s="284">
        <f t="shared" si="105"/>
        <v>2.725E-2</v>
      </c>
      <c r="W183" s="283">
        <f t="shared" si="106"/>
        <v>0</v>
      </c>
      <c r="X183" s="283">
        <f t="shared" si="107"/>
        <v>0</v>
      </c>
      <c r="Y183" s="283">
        <f t="shared" si="108"/>
        <v>0</v>
      </c>
      <c r="Z183" s="285">
        <f t="shared" si="109"/>
        <v>0</v>
      </c>
      <c r="AA183" s="285">
        <f t="shared" si="110"/>
        <v>12.66</v>
      </c>
      <c r="AB183" s="285">
        <f t="shared" si="128"/>
        <v>0</v>
      </c>
      <c r="AC183" s="285">
        <f t="shared" si="129"/>
        <v>0</v>
      </c>
      <c r="AD183" s="285">
        <f t="shared" si="130"/>
        <v>0</v>
      </c>
      <c r="AE183" s="286">
        <v>0</v>
      </c>
      <c r="AF183" s="287">
        <f t="shared" si="111"/>
        <v>0</v>
      </c>
      <c r="AG183" s="288">
        <f t="shared" si="112"/>
        <v>0</v>
      </c>
      <c r="AH183" s="285">
        <f t="shared" si="113"/>
        <v>0</v>
      </c>
      <c r="AI183" s="286">
        <v>0</v>
      </c>
      <c r="AJ183" s="286">
        <v>0</v>
      </c>
      <c r="AK183" s="286">
        <v>0</v>
      </c>
      <c r="AL183" s="285">
        <f t="shared" si="114"/>
        <v>12.66</v>
      </c>
      <c r="AM183" s="285">
        <f t="shared" si="115"/>
        <v>12.66</v>
      </c>
      <c r="AN183" s="289">
        <f t="shared" si="131"/>
        <v>1</v>
      </c>
      <c r="AO183" s="290">
        <f t="shared" si="116"/>
        <v>0.31</v>
      </c>
      <c r="AP183" s="290">
        <f t="shared" si="117"/>
        <v>0</v>
      </c>
      <c r="AQ183" s="290">
        <f t="shared" si="118"/>
        <v>0.3</v>
      </c>
      <c r="AR183" s="290">
        <f t="shared" si="119"/>
        <v>0</v>
      </c>
      <c r="AS183" s="290">
        <f t="shared" si="120"/>
        <v>0</v>
      </c>
      <c r="AT183" s="290">
        <f t="shared" si="121"/>
        <v>13.27</v>
      </c>
      <c r="AU183" s="291">
        <f t="shared" si="122"/>
        <v>13.270000000000001</v>
      </c>
      <c r="AV183" s="291">
        <f t="shared" si="137"/>
        <v>0</v>
      </c>
      <c r="AW183" s="292">
        <f t="shared" si="123"/>
        <v>5.34</v>
      </c>
      <c r="AX183" s="293">
        <f t="shared" si="124"/>
        <v>7.32</v>
      </c>
      <c r="BC183" s="276">
        <f>IF(BI183=1,IF(BC182=MiscData!$F$1,EOMONTH(BC182,-11),EOMONTH(BC182,1)),BC182)</f>
        <v>41790</v>
      </c>
      <c r="BD183" s="275" t="str">
        <f t="shared" si="132"/>
        <v>20140101LGMLE570</v>
      </c>
      <c r="BE183" s="294" t="str">
        <f t="shared" si="133"/>
        <v>20140101LE</v>
      </c>
      <c r="BF183">
        <f>MiscData!$X$5</f>
        <v>20140101</v>
      </c>
      <c r="BI183" s="265">
        <f>IF(BI182+1&gt;MiscData!$Z$42,1,BI182+1)</f>
        <v>28</v>
      </c>
      <c r="BJ183" s="265" t="str">
        <f>VLOOKUP(BI183,MiscData!$Z$5:$AB$46,2,FALSE)</f>
        <v>LGMLE570</v>
      </c>
      <c r="BK183" s="265" t="str">
        <f>VLOOKUP(BI183,MiscData!$Z$5:$AB$46,3,FALSE)</f>
        <v>LE</v>
      </c>
    </row>
    <row r="184" spans="1:63" hidden="1">
      <c r="A184" s="275">
        <v>171</v>
      </c>
      <c r="B184" s="276" t="str">
        <f t="shared" si="125"/>
        <v>May 2014</v>
      </c>
      <c r="C184" s="277" t="str">
        <f t="shared" si="126"/>
        <v>LE</v>
      </c>
      <c r="D184" s="277" t="str">
        <f t="shared" si="127"/>
        <v>LGMLE571</v>
      </c>
      <c r="E184" s="278">
        <f t="shared" si="94"/>
        <v>158</v>
      </c>
      <c r="F184" s="279">
        <v>0</v>
      </c>
      <c r="G184" s="278">
        <f t="shared" si="95"/>
        <v>0</v>
      </c>
      <c r="H184" s="278">
        <f t="shared" si="96"/>
        <v>0</v>
      </c>
      <c r="I184" s="278">
        <f t="shared" si="97"/>
        <v>0</v>
      </c>
      <c r="J184" s="278">
        <f t="shared" si="98"/>
        <v>152460</v>
      </c>
      <c r="K184" s="280">
        <v>0</v>
      </c>
      <c r="L184" s="281">
        <f t="shared" si="99"/>
        <v>0</v>
      </c>
      <c r="M184" s="281">
        <f t="shared" si="100"/>
        <v>0</v>
      </c>
      <c r="N184" s="281">
        <f t="shared" si="101"/>
        <v>0</v>
      </c>
      <c r="O184" s="282">
        <v>0</v>
      </c>
      <c r="P184" s="282">
        <v>0</v>
      </c>
      <c r="Q184" s="282">
        <v>0</v>
      </c>
      <c r="R184" s="283">
        <f t="shared" si="102"/>
        <v>0</v>
      </c>
      <c r="S184" s="284">
        <f t="shared" si="136"/>
        <v>6.4610000000000001E-2</v>
      </c>
      <c r="T184" s="284">
        <f t="shared" si="103"/>
        <v>0</v>
      </c>
      <c r="U184" s="284">
        <f t="shared" si="104"/>
        <v>0</v>
      </c>
      <c r="V184" s="284">
        <f t="shared" si="105"/>
        <v>2.725E-2</v>
      </c>
      <c r="W184" s="283">
        <f t="shared" si="106"/>
        <v>0</v>
      </c>
      <c r="X184" s="283">
        <f t="shared" si="107"/>
        <v>0</v>
      </c>
      <c r="Y184" s="283">
        <f t="shared" si="108"/>
        <v>0</v>
      </c>
      <c r="Z184" s="285">
        <f t="shared" si="109"/>
        <v>0</v>
      </c>
      <c r="AA184" s="285">
        <f t="shared" si="110"/>
        <v>9850.44</v>
      </c>
      <c r="AB184" s="285">
        <f t="shared" si="128"/>
        <v>0</v>
      </c>
      <c r="AC184" s="285">
        <f t="shared" si="129"/>
        <v>0</v>
      </c>
      <c r="AD184" s="285">
        <f t="shared" si="130"/>
        <v>0</v>
      </c>
      <c r="AE184" s="286">
        <v>0</v>
      </c>
      <c r="AF184" s="287">
        <f t="shared" si="111"/>
        <v>0</v>
      </c>
      <c r="AG184" s="288">
        <f t="shared" si="112"/>
        <v>0</v>
      </c>
      <c r="AH184" s="285">
        <f t="shared" si="113"/>
        <v>0</v>
      </c>
      <c r="AI184" s="286">
        <v>0</v>
      </c>
      <c r="AJ184" s="286">
        <v>0.04</v>
      </c>
      <c r="AK184" s="286">
        <v>0</v>
      </c>
      <c r="AL184" s="285">
        <f t="shared" si="114"/>
        <v>9850.4800000000014</v>
      </c>
      <c r="AM184" s="285">
        <f t="shared" si="115"/>
        <v>9850.48</v>
      </c>
      <c r="AN184" s="289">
        <f t="shared" si="131"/>
        <v>1</v>
      </c>
      <c r="AO184" s="290">
        <f t="shared" si="116"/>
        <v>242.71</v>
      </c>
      <c r="AP184" s="290">
        <f t="shared" si="117"/>
        <v>0</v>
      </c>
      <c r="AQ184" s="290">
        <f t="shared" si="118"/>
        <v>231.75</v>
      </c>
      <c r="AR184" s="290">
        <f t="shared" si="119"/>
        <v>0</v>
      </c>
      <c r="AS184" s="290">
        <f t="shared" si="120"/>
        <v>0</v>
      </c>
      <c r="AT184" s="290">
        <f t="shared" si="121"/>
        <v>10324.94</v>
      </c>
      <c r="AU184" s="291">
        <f t="shared" si="122"/>
        <v>10324.94</v>
      </c>
      <c r="AV184" s="291">
        <f t="shared" si="137"/>
        <v>0</v>
      </c>
      <c r="AW184" s="292">
        <f t="shared" si="123"/>
        <v>4154.54</v>
      </c>
      <c r="AX184" s="293">
        <f t="shared" si="124"/>
        <v>5695.9400000000014</v>
      </c>
      <c r="BC184" s="276">
        <f>IF(BI184=1,IF(BC183=MiscData!$F$1,EOMONTH(BC183,-11),EOMONTH(BC183,1)),BC183)</f>
        <v>41790</v>
      </c>
      <c r="BD184" s="275" t="str">
        <f t="shared" si="132"/>
        <v>20140101LGMLE571</v>
      </c>
      <c r="BE184" s="294" t="str">
        <f t="shared" si="133"/>
        <v>20140101LE</v>
      </c>
      <c r="BF184">
        <f>MiscData!$X$5</f>
        <v>20140101</v>
      </c>
      <c r="BI184" s="265">
        <f>IF(BI183+1&gt;MiscData!$Z$42,1,BI183+1)</f>
        <v>29</v>
      </c>
      <c r="BJ184" s="265" t="str">
        <f>VLOOKUP(BI184,MiscData!$Z$5:$AB$46,2,FALSE)</f>
        <v>LGMLE571</v>
      </c>
      <c r="BK184" s="265" t="str">
        <f>VLOOKUP(BI184,MiscData!$Z$5:$AB$46,3,FALSE)</f>
        <v>LE</v>
      </c>
    </row>
    <row r="185" spans="1:63" hidden="1">
      <c r="A185" s="275">
        <v>172</v>
      </c>
      <c r="B185" s="276" t="str">
        <f t="shared" si="125"/>
        <v>May 2014</v>
      </c>
      <c r="C185" s="277" t="str">
        <f t="shared" si="126"/>
        <v>LE</v>
      </c>
      <c r="D185" s="277" t="str">
        <f t="shared" si="127"/>
        <v>LGMLE572</v>
      </c>
      <c r="E185" s="278">
        <f t="shared" si="94"/>
        <v>7</v>
      </c>
      <c r="F185" s="279">
        <v>0</v>
      </c>
      <c r="G185" s="278">
        <f t="shared" si="95"/>
        <v>0</v>
      </c>
      <c r="H185" s="278">
        <f t="shared" si="96"/>
        <v>0</v>
      </c>
      <c r="I185" s="278">
        <f t="shared" si="97"/>
        <v>0</v>
      </c>
      <c r="J185" s="278">
        <f t="shared" si="98"/>
        <v>8149</v>
      </c>
      <c r="K185" s="280">
        <v>0</v>
      </c>
      <c r="L185" s="281">
        <f t="shared" si="99"/>
        <v>0</v>
      </c>
      <c r="M185" s="281">
        <f t="shared" si="100"/>
        <v>0</v>
      </c>
      <c r="N185" s="281">
        <f t="shared" si="101"/>
        <v>0</v>
      </c>
      <c r="O185" s="282">
        <v>0</v>
      </c>
      <c r="P185" s="282">
        <v>0</v>
      </c>
      <c r="Q185" s="282">
        <v>0</v>
      </c>
      <c r="R185" s="283">
        <f t="shared" si="102"/>
        <v>0</v>
      </c>
      <c r="S185" s="284">
        <f t="shared" si="136"/>
        <v>6.4610000000000001E-2</v>
      </c>
      <c r="T185" s="284">
        <f t="shared" si="103"/>
        <v>0</v>
      </c>
      <c r="U185" s="284">
        <f t="shared" si="104"/>
        <v>0</v>
      </c>
      <c r="V185" s="284">
        <f t="shared" si="105"/>
        <v>2.725E-2</v>
      </c>
      <c r="W185" s="283">
        <f t="shared" si="106"/>
        <v>0</v>
      </c>
      <c r="X185" s="283">
        <f t="shared" si="107"/>
        <v>0</v>
      </c>
      <c r="Y185" s="283">
        <f t="shared" si="108"/>
        <v>0</v>
      </c>
      <c r="Z185" s="285">
        <f t="shared" si="109"/>
        <v>0</v>
      </c>
      <c r="AA185" s="285">
        <f t="shared" si="110"/>
        <v>526.51</v>
      </c>
      <c r="AB185" s="285">
        <f t="shared" si="128"/>
        <v>0</v>
      </c>
      <c r="AC185" s="285">
        <f t="shared" si="129"/>
        <v>0</v>
      </c>
      <c r="AD185" s="285">
        <f t="shared" si="130"/>
        <v>0</v>
      </c>
      <c r="AE185" s="286">
        <v>0</v>
      </c>
      <c r="AF185" s="287">
        <f t="shared" si="111"/>
        <v>0</v>
      </c>
      <c r="AG185" s="288">
        <f t="shared" si="112"/>
        <v>0</v>
      </c>
      <c r="AH185" s="285">
        <f t="shared" si="113"/>
        <v>0</v>
      </c>
      <c r="AI185" s="286">
        <v>0</v>
      </c>
      <c r="AJ185" s="286">
        <v>0.01</v>
      </c>
      <c r="AK185" s="286">
        <v>0</v>
      </c>
      <c r="AL185" s="285">
        <f t="shared" si="114"/>
        <v>526.52</v>
      </c>
      <c r="AM185" s="285">
        <f t="shared" si="115"/>
        <v>526.5200000000001</v>
      </c>
      <c r="AN185" s="289">
        <f t="shared" si="131"/>
        <v>1</v>
      </c>
      <c r="AO185" s="290">
        <f t="shared" si="116"/>
        <v>12.92</v>
      </c>
      <c r="AP185" s="290">
        <f t="shared" si="117"/>
        <v>0</v>
      </c>
      <c r="AQ185" s="290">
        <f t="shared" si="118"/>
        <v>12.25</v>
      </c>
      <c r="AR185" s="290">
        <f t="shared" si="119"/>
        <v>0</v>
      </c>
      <c r="AS185" s="290">
        <f t="shared" si="120"/>
        <v>0</v>
      </c>
      <c r="AT185" s="290">
        <f t="shared" si="121"/>
        <v>551.69000000000005</v>
      </c>
      <c r="AU185" s="291">
        <f t="shared" si="122"/>
        <v>551.68999999999994</v>
      </c>
      <c r="AV185" s="291">
        <f t="shared" si="137"/>
        <v>0</v>
      </c>
      <c r="AW185" s="292">
        <f t="shared" si="123"/>
        <v>222.06</v>
      </c>
      <c r="AX185" s="293">
        <f t="shared" si="124"/>
        <v>304.45999999999998</v>
      </c>
      <c r="BC185" s="276">
        <f>IF(BI185=1,IF(BC184=MiscData!$F$1,EOMONTH(BC184,-11),EOMONTH(BC184,1)),BC184)</f>
        <v>41790</v>
      </c>
      <c r="BD185" s="275" t="str">
        <f t="shared" si="132"/>
        <v>20140101LGMLE572</v>
      </c>
      <c r="BE185" s="294" t="str">
        <f t="shared" si="133"/>
        <v>20140101LE</v>
      </c>
      <c r="BF185">
        <f>MiscData!$X$5</f>
        <v>20140101</v>
      </c>
      <c r="BI185" s="265">
        <f>IF(BI184+1&gt;MiscData!$Z$42,1,BI184+1)</f>
        <v>30</v>
      </c>
      <c r="BJ185" s="265" t="str">
        <f>VLOOKUP(BI185,MiscData!$Z$5:$AB$46,2,FALSE)</f>
        <v>LGMLE572</v>
      </c>
      <c r="BK185" s="265" t="str">
        <f>VLOOKUP(BI185,MiscData!$Z$5:$AB$46,3,FALSE)</f>
        <v>LE</v>
      </c>
    </row>
    <row r="186" spans="1:63" hidden="1">
      <c r="A186" s="275">
        <v>173</v>
      </c>
      <c r="B186" s="276" t="str">
        <f t="shared" si="125"/>
        <v>May 2014</v>
      </c>
      <c r="C186" s="277" t="str">
        <f t="shared" si="126"/>
        <v>TE</v>
      </c>
      <c r="D186" s="277" t="str">
        <f t="shared" si="127"/>
        <v>LGMLE573</v>
      </c>
      <c r="E186" s="278">
        <f t="shared" si="94"/>
        <v>896</v>
      </c>
      <c r="F186" s="279">
        <v>1</v>
      </c>
      <c r="G186" s="278">
        <f t="shared" si="95"/>
        <v>0</v>
      </c>
      <c r="H186" s="278">
        <f t="shared" si="96"/>
        <v>0</v>
      </c>
      <c r="I186" s="278">
        <f t="shared" si="97"/>
        <v>0</v>
      </c>
      <c r="J186" s="278">
        <f t="shared" si="98"/>
        <v>177436</v>
      </c>
      <c r="K186" s="280">
        <v>0</v>
      </c>
      <c r="L186" s="281">
        <f t="shared" si="99"/>
        <v>0</v>
      </c>
      <c r="M186" s="281">
        <f t="shared" si="100"/>
        <v>0</v>
      </c>
      <c r="N186" s="281">
        <f t="shared" si="101"/>
        <v>0</v>
      </c>
      <c r="O186" s="282">
        <v>0</v>
      </c>
      <c r="P186" s="282">
        <v>0</v>
      </c>
      <c r="Q186" s="282">
        <v>0</v>
      </c>
      <c r="R186" s="283">
        <f t="shared" si="102"/>
        <v>3.25</v>
      </c>
      <c r="S186" s="284">
        <f t="shared" si="136"/>
        <v>7.6579999999999995E-2</v>
      </c>
      <c r="T186" s="284">
        <f t="shared" si="103"/>
        <v>0</v>
      </c>
      <c r="U186" s="284">
        <f t="shared" si="104"/>
        <v>0</v>
      </c>
      <c r="V186" s="284">
        <f t="shared" si="105"/>
        <v>2.725E-2</v>
      </c>
      <c r="W186" s="283">
        <f t="shared" si="106"/>
        <v>0</v>
      </c>
      <c r="X186" s="283">
        <f t="shared" si="107"/>
        <v>0</v>
      </c>
      <c r="Y186" s="283">
        <f t="shared" si="108"/>
        <v>0</v>
      </c>
      <c r="Z186" s="285">
        <f t="shared" si="109"/>
        <v>2915.25</v>
      </c>
      <c r="AA186" s="285">
        <f t="shared" si="110"/>
        <v>13588.05</v>
      </c>
      <c r="AB186" s="285">
        <f t="shared" si="128"/>
        <v>0</v>
      </c>
      <c r="AC186" s="285">
        <f t="shared" si="129"/>
        <v>0</v>
      </c>
      <c r="AD186" s="285">
        <f t="shared" si="130"/>
        <v>0</v>
      </c>
      <c r="AE186" s="286">
        <v>0</v>
      </c>
      <c r="AF186" s="287">
        <f t="shared" si="111"/>
        <v>0</v>
      </c>
      <c r="AG186" s="288">
        <f t="shared" si="112"/>
        <v>0</v>
      </c>
      <c r="AH186" s="285">
        <f t="shared" si="113"/>
        <v>0</v>
      </c>
      <c r="AI186" s="286">
        <v>-3.25</v>
      </c>
      <c r="AJ186" s="286">
        <v>-0.06</v>
      </c>
      <c r="AK186" s="286">
        <v>0</v>
      </c>
      <c r="AL186" s="285">
        <f t="shared" si="114"/>
        <v>16499.989999999998</v>
      </c>
      <c r="AM186" s="285">
        <f t="shared" si="115"/>
        <v>16499.989999999998</v>
      </c>
      <c r="AN186" s="289">
        <f t="shared" si="131"/>
        <v>1</v>
      </c>
      <c r="AO186" s="290">
        <f t="shared" si="116"/>
        <v>282.60000000000002</v>
      </c>
      <c r="AP186" s="290">
        <f t="shared" si="117"/>
        <v>0</v>
      </c>
      <c r="AQ186" s="290">
        <f t="shared" si="118"/>
        <v>385.17</v>
      </c>
      <c r="AR186" s="290">
        <f t="shared" si="119"/>
        <v>0</v>
      </c>
      <c r="AS186" s="290">
        <f t="shared" si="120"/>
        <v>0</v>
      </c>
      <c r="AT186" s="290">
        <f t="shared" si="121"/>
        <v>17167.759999999998</v>
      </c>
      <c r="AU186" s="291">
        <f t="shared" si="122"/>
        <v>17167.759999999995</v>
      </c>
      <c r="AV186" s="291">
        <f t="shared" si="137"/>
        <v>0</v>
      </c>
      <c r="AW186" s="292">
        <f t="shared" si="123"/>
        <v>4835.13</v>
      </c>
      <c r="AX186" s="293">
        <f t="shared" si="124"/>
        <v>8752.86</v>
      </c>
      <c r="BC186" s="276">
        <f>IF(BI186=1,IF(BC185=MiscData!$F$1,EOMONTH(BC185,-11),EOMONTH(BC185,1)),BC185)</f>
        <v>41790</v>
      </c>
      <c r="BD186" s="275" t="str">
        <f t="shared" si="132"/>
        <v>20140101LGMLE573</v>
      </c>
      <c r="BE186" s="294" t="str">
        <f t="shared" si="133"/>
        <v>20140101TE</v>
      </c>
      <c r="BF186">
        <f>MiscData!$X$5</f>
        <v>20140101</v>
      </c>
      <c r="BI186" s="265">
        <f>IF(BI185+1&gt;MiscData!$Z$42,1,BI185+1)</f>
        <v>31</v>
      </c>
      <c r="BJ186" s="265" t="str">
        <f>VLOOKUP(BI186,MiscData!$Z$5:$AB$46,2,FALSE)</f>
        <v>LGMLE573</v>
      </c>
      <c r="BK186" s="265" t="str">
        <f>VLOOKUP(BI186,MiscData!$Z$5:$AB$46,3,FALSE)</f>
        <v>TE</v>
      </c>
    </row>
    <row r="187" spans="1:63" hidden="1">
      <c r="A187" s="275">
        <v>174</v>
      </c>
      <c r="B187" s="276" t="str">
        <f t="shared" si="125"/>
        <v>May 2014</v>
      </c>
      <c r="C187" s="277" t="str">
        <f t="shared" si="126"/>
        <v>TE</v>
      </c>
      <c r="D187" s="277" t="str">
        <f t="shared" si="127"/>
        <v>LGMLE574</v>
      </c>
      <c r="E187" s="278">
        <f t="shared" si="94"/>
        <v>8</v>
      </c>
      <c r="F187" s="279">
        <v>126</v>
      </c>
      <c r="G187" s="278">
        <f t="shared" si="95"/>
        <v>0</v>
      </c>
      <c r="H187" s="278">
        <f t="shared" si="96"/>
        <v>0</v>
      </c>
      <c r="I187" s="278">
        <f t="shared" si="97"/>
        <v>0</v>
      </c>
      <c r="J187" s="278">
        <f t="shared" si="98"/>
        <v>68742</v>
      </c>
      <c r="K187" s="280">
        <v>0</v>
      </c>
      <c r="L187" s="281">
        <f t="shared" si="99"/>
        <v>0</v>
      </c>
      <c r="M187" s="281">
        <f t="shared" si="100"/>
        <v>0</v>
      </c>
      <c r="N187" s="281">
        <f t="shared" si="101"/>
        <v>0</v>
      </c>
      <c r="O187" s="282">
        <v>0</v>
      </c>
      <c r="P187" s="282">
        <v>0</v>
      </c>
      <c r="Q187" s="282">
        <v>0</v>
      </c>
      <c r="R187" s="283">
        <f t="shared" si="102"/>
        <v>3.25</v>
      </c>
      <c r="S187" s="284">
        <f t="shared" si="136"/>
        <v>7.6579999999999995E-2</v>
      </c>
      <c r="T187" s="284">
        <f t="shared" si="103"/>
        <v>0</v>
      </c>
      <c r="U187" s="284">
        <f t="shared" si="104"/>
        <v>0</v>
      </c>
      <c r="V187" s="284">
        <f t="shared" si="105"/>
        <v>2.725E-2</v>
      </c>
      <c r="W187" s="283">
        <f t="shared" si="106"/>
        <v>0</v>
      </c>
      <c r="X187" s="283">
        <f t="shared" si="107"/>
        <v>0</v>
      </c>
      <c r="Y187" s="283">
        <f t="shared" si="108"/>
        <v>0</v>
      </c>
      <c r="Z187" s="285">
        <f t="shared" si="109"/>
        <v>435.5</v>
      </c>
      <c r="AA187" s="285">
        <f t="shared" si="110"/>
        <v>5264.26</v>
      </c>
      <c r="AB187" s="285">
        <f t="shared" si="128"/>
        <v>0</v>
      </c>
      <c r="AC187" s="285">
        <f t="shared" si="129"/>
        <v>0</v>
      </c>
      <c r="AD187" s="285">
        <f t="shared" si="130"/>
        <v>0</v>
      </c>
      <c r="AE187" s="286">
        <v>0</v>
      </c>
      <c r="AF187" s="287">
        <f t="shared" si="111"/>
        <v>0</v>
      </c>
      <c r="AG187" s="288">
        <f t="shared" si="112"/>
        <v>0</v>
      </c>
      <c r="AH187" s="285">
        <f t="shared" si="113"/>
        <v>0</v>
      </c>
      <c r="AI187" s="286">
        <v>0</v>
      </c>
      <c r="AJ187" s="286">
        <v>0</v>
      </c>
      <c r="AK187" s="286">
        <v>0</v>
      </c>
      <c r="AL187" s="285">
        <f t="shared" si="114"/>
        <v>5699.76</v>
      </c>
      <c r="AM187" s="285">
        <f t="shared" si="115"/>
        <v>5699.76</v>
      </c>
      <c r="AN187" s="289">
        <f t="shared" si="131"/>
        <v>1</v>
      </c>
      <c r="AO187" s="290">
        <f t="shared" si="116"/>
        <v>110</v>
      </c>
      <c r="AP187" s="290">
        <f t="shared" si="117"/>
        <v>0</v>
      </c>
      <c r="AQ187" s="290">
        <f t="shared" si="118"/>
        <v>135.37</v>
      </c>
      <c r="AR187" s="290">
        <f t="shared" si="119"/>
        <v>0</v>
      </c>
      <c r="AS187" s="290">
        <f t="shared" si="120"/>
        <v>0</v>
      </c>
      <c r="AT187" s="290">
        <f t="shared" si="121"/>
        <v>5945.13</v>
      </c>
      <c r="AU187" s="291">
        <f t="shared" si="122"/>
        <v>5945.13</v>
      </c>
      <c r="AV187" s="291">
        <f t="shared" si="137"/>
        <v>0</v>
      </c>
      <c r="AW187" s="292">
        <f t="shared" si="123"/>
        <v>1873.22</v>
      </c>
      <c r="AX187" s="293">
        <f t="shared" si="124"/>
        <v>3391.04</v>
      </c>
      <c r="BC187" s="276">
        <f>IF(BI187=1,IF(BC186=MiscData!$F$1,EOMONTH(BC186,-11),EOMONTH(BC186,1)),BC186)</f>
        <v>41790</v>
      </c>
      <c r="BD187" s="275" t="str">
        <f t="shared" si="132"/>
        <v>20140101LGMLE574</v>
      </c>
      <c r="BE187" s="294" t="str">
        <f t="shared" si="133"/>
        <v>20140101TE</v>
      </c>
      <c r="BF187">
        <f>MiscData!$X$5</f>
        <v>20140101</v>
      </c>
      <c r="BI187" s="265">
        <f>IF(BI186+1&gt;MiscData!$Z$42,1,BI186+1)</f>
        <v>32</v>
      </c>
      <c r="BJ187" s="265" t="str">
        <f>VLOOKUP(BI187,MiscData!$Z$5:$AB$46,2,FALSE)</f>
        <v>LGMLE574</v>
      </c>
      <c r="BK187" s="265" t="str">
        <f>VLOOKUP(BI187,MiscData!$Z$5:$AB$46,3,FALSE)</f>
        <v>TE</v>
      </c>
    </row>
    <row r="188" spans="1:63" hidden="1">
      <c r="A188" s="275">
        <v>175</v>
      </c>
      <c r="B188" s="276" t="str">
        <f t="shared" si="125"/>
        <v>May 2014</v>
      </c>
      <c r="C188" s="277" t="str">
        <f t="shared" si="126"/>
        <v>RS</v>
      </c>
      <c r="D188" s="277" t="str">
        <f t="shared" si="127"/>
        <v>LGRSE411</v>
      </c>
      <c r="E188" s="278">
        <f t="shared" si="94"/>
        <v>3484</v>
      </c>
      <c r="F188" s="279">
        <f>-E188</f>
        <v>-3484</v>
      </c>
      <c r="G188" s="278">
        <f t="shared" si="95"/>
        <v>0</v>
      </c>
      <c r="H188" s="278">
        <f t="shared" si="96"/>
        <v>0</v>
      </c>
      <c r="I188" s="278">
        <f t="shared" si="97"/>
        <v>0</v>
      </c>
      <c r="J188" s="278">
        <f t="shared" si="98"/>
        <v>768882</v>
      </c>
      <c r="K188" s="280">
        <v>0</v>
      </c>
      <c r="L188" s="281">
        <f t="shared" si="99"/>
        <v>0</v>
      </c>
      <c r="M188" s="281">
        <f t="shared" si="100"/>
        <v>0</v>
      </c>
      <c r="N188" s="281">
        <f t="shared" si="101"/>
        <v>0</v>
      </c>
      <c r="O188" s="282">
        <v>0</v>
      </c>
      <c r="P188" s="282">
        <v>0</v>
      </c>
      <c r="Q188" s="282">
        <v>0</v>
      </c>
      <c r="R188" s="283">
        <f t="shared" si="102"/>
        <v>0</v>
      </c>
      <c r="S188" s="284">
        <f t="shared" si="136"/>
        <v>8.0760000000000012E-2</v>
      </c>
      <c r="T188" s="284">
        <f t="shared" si="103"/>
        <v>0</v>
      </c>
      <c r="U188" s="284">
        <f t="shared" si="104"/>
        <v>0</v>
      </c>
      <c r="V188" s="284">
        <f t="shared" si="105"/>
        <v>2.725E-2</v>
      </c>
      <c r="W188" s="283">
        <f t="shared" si="106"/>
        <v>0</v>
      </c>
      <c r="X188" s="283">
        <f t="shared" si="107"/>
        <v>0</v>
      </c>
      <c r="Y188" s="283">
        <f t="shared" si="108"/>
        <v>0</v>
      </c>
      <c r="Z188" s="285">
        <f t="shared" si="109"/>
        <v>0</v>
      </c>
      <c r="AA188" s="285">
        <f t="shared" si="110"/>
        <v>62094.91</v>
      </c>
      <c r="AB188" s="285">
        <f t="shared" si="128"/>
        <v>0</v>
      </c>
      <c r="AC188" s="285">
        <f t="shared" si="129"/>
        <v>0</v>
      </c>
      <c r="AD188" s="285">
        <f t="shared" si="130"/>
        <v>0</v>
      </c>
      <c r="AE188" s="286">
        <v>0</v>
      </c>
      <c r="AF188" s="287">
        <f t="shared" si="111"/>
        <v>0</v>
      </c>
      <c r="AG188" s="288">
        <f t="shared" si="112"/>
        <v>0</v>
      </c>
      <c r="AH188" s="285">
        <f t="shared" si="113"/>
        <v>0</v>
      </c>
      <c r="AI188" s="286">
        <v>0</v>
      </c>
      <c r="AJ188" s="286">
        <v>0.09</v>
      </c>
      <c r="AK188" s="286">
        <v>0</v>
      </c>
      <c r="AL188" s="285">
        <f t="shared" si="114"/>
        <v>62095</v>
      </c>
      <c r="AM188" s="285">
        <f t="shared" si="115"/>
        <v>62094.999999999993</v>
      </c>
      <c r="AN188" s="289">
        <f t="shared" si="131"/>
        <v>1</v>
      </c>
      <c r="AO188" s="290">
        <f t="shared" si="116"/>
        <v>1230.56</v>
      </c>
      <c r="AP188" s="290">
        <f t="shared" si="117"/>
        <v>4175.67</v>
      </c>
      <c r="AQ188" s="290">
        <f t="shared" si="118"/>
        <v>1572.64</v>
      </c>
      <c r="AR188" s="290">
        <f t="shared" si="119"/>
        <v>0</v>
      </c>
      <c r="AS188" s="290">
        <f t="shared" si="120"/>
        <v>0</v>
      </c>
      <c r="AT188" s="290">
        <f t="shared" si="121"/>
        <v>69073.87</v>
      </c>
      <c r="AU188" s="291">
        <f t="shared" si="122"/>
        <v>69073.87</v>
      </c>
      <c r="AV188" s="291">
        <f>ROUND(AT188-AU188,2)</f>
        <v>0</v>
      </c>
      <c r="AW188" s="292">
        <f t="shared" si="123"/>
        <v>20952.03</v>
      </c>
      <c r="AX188" s="293">
        <f t="shared" si="124"/>
        <v>41142.97</v>
      </c>
      <c r="BC188" s="276">
        <f>IF(BI188=1,IF(BC187=MiscData!$F$1,EOMONTH(BC187,-11),EOMONTH(BC187,1)),BC187)</f>
        <v>41790</v>
      </c>
      <c r="BD188" s="275" t="str">
        <f t="shared" si="132"/>
        <v>20140101LGRSE411</v>
      </c>
      <c r="BE188" s="294" t="str">
        <f t="shared" si="133"/>
        <v>20140101RS</v>
      </c>
      <c r="BF188">
        <f>MiscData!$X$5</f>
        <v>20140101</v>
      </c>
      <c r="BI188" s="265">
        <f>IF(BI187+1&gt;MiscData!$Z$42,1,BI187+1)</f>
        <v>33</v>
      </c>
      <c r="BJ188" s="265" t="str">
        <f>VLOOKUP(BI188,MiscData!$Z$5:$AB$46,2,FALSE)</f>
        <v>LGRSE411</v>
      </c>
      <c r="BK188" s="265" t="str">
        <f>VLOOKUP(BI188,MiscData!$Z$5:$AB$46,3,FALSE)</f>
        <v>RS</v>
      </c>
    </row>
    <row r="189" spans="1:63" hidden="1">
      <c r="A189" s="275">
        <v>176</v>
      </c>
      <c r="B189" s="276" t="str">
        <f t="shared" si="125"/>
        <v>May 2014</v>
      </c>
      <c r="C189" s="277" t="str">
        <f t="shared" si="126"/>
        <v>RS</v>
      </c>
      <c r="D189" s="277" t="str">
        <f t="shared" si="127"/>
        <v>LGRSE511</v>
      </c>
      <c r="E189" s="278">
        <f t="shared" si="94"/>
        <v>352912</v>
      </c>
      <c r="F189" s="279">
        <v>638</v>
      </c>
      <c r="G189" s="278">
        <f t="shared" si="95"/>
        <v>0</v>
      </c>
      <c r="H189" s="278">
        <f t="shared" si="96"/>
        <v>0</v>
      </c>
      <c r="I189" s="278">
        <f t="shared" si="97"/>
        <v>0</v>
      </c>
      <c r="J189" s="278">
        <f t="shared" si="98"/>
        <v>262861434</v>
      </c>
      <c r="K189" s="280">
        <v>0</v>
      </c>
      <c r="L189" s="281">
        <f t="shared" si="99"/>
        <v>0</v>
      </c>
      <c r="M189" s="281">
        <f t="shared" si="100"/>
        <v>0</v>
      </c>
      <c r="N189" s="281">
        <f t="shared" si="101"/>
        <v>0</v>
      </c>
      <c r="O189" s="282">
        <v>0</v>
      </c>
      <c r="P189" s="282">
        <v>0</v>
      </c>
      <c r="Q189" s="282">
        <v>0</v>
      </c>
      <c r="R189" s="283">
        <f t="shared" si="102"/>
        <v>10.75</v>
      </c>
      <c r="S189" s="284">
        <f t="shared" si="136"/>
        <v>8.0760000000000012E-2</v>
      </c>
      <c r="T189" s="284">
        <f t="shared" si="103"/>
        <v>0</v>
      </c>
      <c r="U189" s="284">
        <f t="shared" si="104"/>
        <v>0</v>
      </c>
      <c r="V189" s="284">
        <f t="shared" si="105"/>
        <v>2.725E-2</v>
      </c>
      <c r="W189" s="283">
        <f t="shared" si="106"/>
        <v>0</v>
      </c>
      <c r="X189" s="283">
        <f t="shared" si="107"/>
        <v>0</v>
      </c>
      <c r="Y189" s="283">
        <f t="shared" si="108"/>
        <v>0</v>
      </c>
      <c r="Z189" s="285">
        <f t="shared" si="109"/>
        <v>3800662.5</v>
      </c>
      <c r="AA189" s="285">
        <f t="shared" si="110"/>
        <v>21228689.41</v>
      </c>
      <c r="AB189" s="285">
        <f t="shared" si="128"/>
        <v>0</v>
      </c>
      <c r="AC189" s="285">
        <f t="shared" si="129"/>
        <v>0</v>
      </c>
      <c r="AD189" s="285">
        <f t="shared" si="130"/>
        <v>0</v>
      </c>
      <c r="AE189" s="286">
        <v>0</v>
      </c>
      <c r="AF189" s="287">
        <f t="shared" si="111"/>
        <v>0</v>
      </c>
      <c r="AG189" s="288">
        <f t="shared" si="112"/>
        <v>0</v>
      </c>
      <c r="AH189" s="285">
        <f t="shared" si="113"/>
        <v>0</v>
      </c>
      <c r="AI189" s="286">
        <v>-25765.81</v>
      </c>
      <c r="AJ189" s="286">
        <v>-38.22</v>
      </c>
      <c r="AK189" s="286">
        <v>0</v>
      </c>
      <c r="AL189" s="285">
        <f t="shared" si="114"/>
        <v>25003547.880000003</v>
      </c>
      <c r="AM189" s="285">
        <f t="shared" si="115"/>
        <v>25003547.879999999</v>
      </c>
      <c r="AN189" s="289">
        <f t="shared" si="131"/>
        <v>1</v>
      </c>
      <c r="AO189" s="290">
        <f t="shared" si="116"/>
        <v>420602.84</v>
      </c>
      <c r="AP189" s="290">
        <f t="shared" si="117"/>
        <v>1427341.6</v>
      </c>
      <c r="AQ189" s="290">
        <f t="shared" si="118"/>
        <v>625624.16</v>
      </c>
      <c r="AR189" s="290">
        <f t="shared" si="119"/>
        <v>0</v>
      </c>
      <c r="AS189" s="290">
        <f t="shared" si="120"/>
        <v>0</v>
      </c>
      <c r="AT189" s="290">
        <f t="shared" si="121"/>
        <v>27477116.48</v>
      </c>
      <c r="AU189" s="291">
        <f t="shared" si="122"/>
        <v>27477116.480000004</v>
      </c>
      <c r="AV189" s="291">
        <f t="shared" si="137"/>
        <v>0</v>
      </c>
      <c r="AW189" s="292">
        <f t="shared" si="123"/>
        <v>7162974.0800000001</v>
      </c>
      <c r="AX189" s="293">
        <f t="shared" si="124"/>
        <v>14065677.110000001</v>
      </c>
      <c r="BC189" s="276">
        <f>IF(BI189=1,IF(BC188=MiscData!$F$1,EOMONTH(BC188,-11),EOMONTH(BC188,1)),BC188)</f>
        <v>41790</v>
      </c>
      <c r="BD189" s="275" t="str">
        <f t="shared" si="132"/>
        <v>20140101LGRSE511</v>
      </c>
      <c r="BE189" s="294" t="str">
        <f t="shared" si="133"/>
        <v>20140101RS</v>
      </c>
      <c r="BF189">
        <f>MiscData!$X$5</f>
        <v>20140101</v>
      </c>
      <c r="BI189" s="265">
        <f>IF(BI188+1&gt;MiscData!$Z$42,1,BI188+1)</f>
        <v>34</v>
      </c>
      <c r="BJ189" s="265" t="str">
        <f>VLOOKUP(BI189,MiscData!$Z$5:$AB$46,2,FALSE)</f>
        <v>LGRSE511</v>
      </c>
      <c r="BK189" s="265" t="str">
        <f>VLOOKUP(BI189,MiscData!$Z$5:$AB$46,3,FALSE)</f>
        <v>RS</v>
      </c>
    </row>
    <row r="190" spans="1:63" hidden="1">
      <c r="A190" s="275">
        <v>177</v>
      </c>
      <c r="B190" s="276" t="str">
        <f t="shared" si="125"/>
        <v>May 2014</v>
      </c>
      <c r="C190" s="277" t="str">
        <f t="shared" si="126"/>
        <v>RS</v>
      </c>
      <c r="D190" s="277" t="str">
        <f t="shared" si="127"/>
        <v>LGRSE519</v>
      </c>
      <c r="E190" s="278">
        <f t="shared" si="94"/>
        <v>127</v>
      </c>
      <c r="F190" s="279">
        <v>1</v>
      </c>
      <c r="G190" s="278">
        <f t="shared" si="95"/>
        <v>0</v>
      </c>
      <c r="H190" s="278">
        <f t="shared" si="96"/>
        <v>0</v>
      </c>
      <c r="I190" s="278">
        <f t="shared" si="97"/>
        <v>0</v>
      </c>
      <c r="J190" s="278">
        <f t="shared" si="98"/>
        <v>79310</v>
      </c>
      <c r="K190" s="280">
        <v>0</v>
      </c>
      <c r="L190" s="281">
        <f t="shared" si="99"/>
        <v>0</v>
      </c>
      <c r="M190" s="281">
        <f t="shared" si="100"/>
        <v>0</v>
      </c>
      <c r="N190" s="281">
        <f t="shared" si="101"/>
        <v>0</v>
      </c>
      <c r="O190" s="282">
        <v>0</v>
      </c>
      <c r="P190" s="282">
        <v>0</v>
      </c>
      <c r="Q190" s="282">
        <v>0</v>
      </c>
      <c r="R190" s="283">
        <f t="shared" si="102"/>
        <v>10.75</v>
      </c>
      <c r="S190" s="284">
        <f t="shared" si="136"/>
        <v>8.0760000000000012E-2</v>
      </c>
      <c r="T190" s="284">
        <f t="shared" si="103"/>
        <v>0</v>
      </c>
      <c r="U190" s="284">
        <f t="shared" si="104"/>
        <v>0</v>
      </c>
      <c r="V190" s="284">
        <f t="shared" si="105"/>
        <v>2.725E-2</v>
      </c>
      <c r="W190" s="283">
        <f t="shared" si="106"/>
        <v>0</v>
      </c>
      <c r="X190" s="283">
        <f t="shared" si="107"/>
        <v>0</v>
      </c>
      <c r="Y190" s="283">
        <f t="shared" si="108"/>
        <v>0</v>
      </c>
      <c r="Z190" s="285">
        <f t="shared" si="109"/>
        <v>1376</v>
      </c>
      <c r="AA190" s="285">
        <f t="shared" si="110"/>
        <v>6405.08</v>
      </c>
      <c r="AB190" s="285">
        <f t="shared" si="128"/>
        <v>0</v>
      </c>
      <c r="AC190" s="285">
        <f t="shared" si="129"/>
        <v>0</v>
      </c>
      <c r="AD190" s="285">
        <f t="shared" si="130"/>
        <v>0</v>
      </c>
      <c r="AE190" s="286">
        <v>0</v>
      </c>
      <c r="AF190" s="287">
        <f t="shared" si="111"/>
        <v>0</v>
      </c>
      <c r="AG190" s="288">
        <f t="shared" si="112"/>
        <v>0</v>
      </c>
      <c r="AH190" s="285">
        <f t="shared" si="113"/>
        <v>0</v>
      </c>
      <c r="AI190" s="286">
        <v>-20.43</v>
      </c>
      <c r="AJ190" s="286">
        <v>0.01</v>
      </c>
      <c r="AK190" s="286">
        <v>0</v>
      </c>
      <c r="AL190" s="285">
        <f t="shared" si="114"/>
        <v>7760.66</v>
      </c>
      <c r="AM190" s="285">
        <f t="shared" si="115"/>
        <v>7760.6600000000008</v>
      </c>
      <c r="AN190" s="289">
        <f t="shared" si="131"/>
        <v>1</v>
      </c>
      <c r="AO190" s="290">
        <f t="shared" si="116"/>
        <v>126.92</v>
      </c>
      <c r="AP190" s="290">
        <f t="shared" si="117"/>
        <v>430.7</v>
      </c>
      <c r="AQ190" s="290">
        <f t="shared" si="118"/>
        <v>193.84</v>
      </c>
      <c r="AR190" s="290">
        <f t="shared" si="119"/>
        <v>0</v>
      </c>
      <c r="AS190" s="290">
        <f t="shared" si="120"/>
        <v>0</v>
      </c>
      <c r="AT190" s="290">
        <f t="shared" si="121"/>
        <v>8512.1200000000008</v>
      </c>
      <c r="AU190" s="291">
        <f t="shared" si="122"/>
        <v>8512.1200000000008</v>
      </c>
      <c r="AV190" s="291">
        <f t="shared" si="137"/>
        <v>0</v>
      </c>
      <c r="AW190" s="292">
        <f t="shared" si="123"/>
        <v>2161.1999999999998</v>
      </c>
      <c r="AX190" s="293">
        <f t="shared" si="124"/>
        <v>4243.8900000000003</v>
      </c>
      <c r="BC190" s="276">
        <f>IF(BI190=1,IF(BC189=MiscData!$F$1,EOMONTH(BC189,-11),EOMONTH(BC189,1)),BC189)</f>
        <v>41790</v>
      </c>
      <c r="BD190" s="275" t="str">
        <f t="shared" si="132"/>
        <v>20140101LGRSE519</v>
      </c>
      <c r="BE190" s="294" t="str">
        <f t="shared" si="133"/>
        <v>20140101RS</v>
      </c>
      <c r="BF190">
        <f>MiscData!$X$5</f>
        <v>20140101</v>
      </c>
      <c r="BI190" s="265">
        <f>IF(BI189+1&gt;MiscData!$Z$42,1,BI189+1)</f>
        <v>35</v>
      </c>
      <c r="BJ190" s="265" t="str">
        <f>VLOOKUP(BI190,MiscData!$Z$5:$AB$46,2,FALSE)</f>
        <v>LGRSE519</v>
      </c>
      <c r="BK190" s="265" t="str">
        <f>VLOOKUP(BI190,MiscData!$Z$5:$AB$46,3,FALSE)</f>
        <v>RS</v>
      </c>
    </row>
    <row r="191" spans="1:63" hidden="1">
      <c r="A191" s="275">
        <v>178</v>
      </c>
      <c r="B191" s="276" t="str">
        <f t="shared" si="125"/>
        <v>May 2014</v>
      </c>
      <c r="C191" s="277" t="s">
        <v>13</v>
      </c>
      <c r="D191" s="277" t="str">
        <f t="shared" si="127"/>
        <v>LGRSE540</v>
      </c>
      <c r="E191" s="278">
        <f t="shared" si="94"/>
        <v>6</v>
      </c>
      <c r="F191" s="279">
        <v>0</v>
      </c>
      <c r="G191" s="278">
        <f t="shared" si="95"/>
        <v>0</v>
      </c>
      <c r="H191" s="278">
        <f t="shared" si="96"/>
        <v>0</v>
      </c>
      <c r="I191" s="278">
        <f t="shared" si="97"/>
        <v>0</v>
      </c>
      <c r="J191" s="278">
        <f t="shared" si="98"/>
        <v>32308</v>
      </c>
      <c r="K191" s="280">
        <v>0</v>
      </c>
      <c r="L191" s="281">
        <f t="shared" si="99"/>
        <v>0</v>
      </c>
      <c r="M191" s="281">
        <f t="shared" si="100"/>
        <v>0</v>
      </c>
      <c r="N191" s="281">
        <f t="shared" si="101"/>
        <v>0</v>
      </c>
      <c r="O191" s="282">
        <v>0</v>
      </c>
      <c r="P191" s="282">
        <v>0</v>
      </c>
      <c r="Q191" s="282">
        <v>0</v>
      </c>
      <c r="R191" s="283">
        <f t="shared" si="102"/>
        <v>10.75</v>
      </c>
      <c r="S191" s="284">
        <f t="shared" si="136"/>
        <v>8.0760000000000012E-2</v>
      </c>
      <c r="T191" s="284">
        <f t="shared" si="103"/>
        <v>0</v>
      </c>
      <c r="U191" s="284">
        <f t="shared" si="104"/>
        <v>0</v>
      </c>
      <c r="V191" s="284">
        <f t="shared" si="105"/>
        <v>2.725E-2</v>
      </c>
      <c r="W191" s="283">
        <f t="shared" si="106"/>
        <v>0</v>
      </c>
      <c r="X191" s="283">
        <f t="shared" si="107"/>
        <v>0</v>
      </c>
      <c r="Y191" s="283">
        <f t="shared" si="108"/>
        <v>0</v>
      </c>
      <c r="Z191" s="285">
        <f t="shared" si="109"/>
        <v>64.5</v>
      </c>
      <c r="AA191" s="285">
        <f t="shared" si="110"/>
        <v>2609.19</v>
      </c>
      <c r="AB191" s="285">
        <f t="shared" si="128"/>
        <v>0</v>
      </c>
      <c r="AC191" s="285">
        <f t="shared" si="129"/>
        <v>0</v>
      </c>
      <c r="AD191" s="285">
        <f t="shared" si="130"/>
        <v>0</v>
      </c>
      <c r="AE191" s="286">
        <v>0</v>
      </c>
      <c r="AF191" s="287">
        <f t="shared" si="111"/>
        <v>0</v>
      </c>
      <c r="AG191" s="288">
        <f t="shared" si="112"/>
        <v>0</v>
      </c>
      <c r="AH191" s="285">
        <f t="shared" si="113"/>
        <v>0</v>
      </c>
      <c r="AI191" s="286">
        <v>0</v>
      </c>
      <c r="AJ191" s="286">
        <v>0.01</v>
      </c>
      <c r="AK191" s="286">
        <v>0</v>
      </c>
      <c r="AL191" s="285">
        <f t="shared" si="114"/>
        <v>2673.7000000000003</v>
      </c>
      <c r="AM191" s="285">
        <f t="shared" si="115"/>
        <v>2673.7</v>
      </c>
      <c r="AN191" s="289">
        <f t="shared" si="131"/>
        <v>1</v>
      </c>
      <c r="AO191" s="290">
        <f t="shared" si="116"/>
        <v>51.69</v>
      </c>
      <c r="AP191" s="290">
        <f t="shared" si="117"/>
        <v>175.43</v>
      </c>
      <c r="AQ191" s="290">
        <f t="shared" si="118"/>
        <v>67.59</v>
      </c>
      <c r="AR191" s="290">
        <f t="shared" si="119"/>
        <v>0</v>
      </c>
      <c r="AS191" s="290">
        <f t="shared" si="120"/>
        <v>0</v>
      </c>
      <c r="AT191" s="290">
        <f t="shared" si="121"/>
        <v>2968.41</v>
      </c>
      <c r="AU191" s="291">
        <f t="shared" si="122"/>
        <v>2968.4100000000003</v>
      </c>
      <c r="AV191" s="291">
        <f t="shared" ref="AV191:AV197" si="139">ROUND(AT191-AU191,2)</f>
        <v>0</v>
      </c>
      <c r="AW191" s="292">
        <f t="shared" si="123"/>
        <v>880.39</v>
      </c>
      <c r="AX191" s="293">
        <f t="shared" si="124"/>
        <v>1728.8100000000004</v>
      </c>
      <c r="BC191" s="276">
        <f>IF(BI191=1,IF(BC190=MiscData!$F$1,EOMONTH(BC190,-11),EOMONTH(BC190,1)),BC190)</f>
        <v>41790</v>
      </c>
      <c r="BD191" s="275" t="str">
        <f t="shared" si="132"/>
        <v>20140101LGRSE540</v>
      </c>
      <c r="BE191" s="294" t="str">
        <f t="shared" si="133"/>
        <v>20140101VFD</v>
      </c>
      <c r="BF191">
        <f>MiscData!$X$5</f>
        <v>20140101</v>
      </c>
      <c r="BI191" s="265">
        <f>IF(BI190+1&gt;MiscData!$Z$42,1,BI190+1)</f>
        <v>36</v>
      </c>
      <c r="BJ191" s="265" t="str">
        <f>VLOOKUP(BI191,MiscData!$Z$5:$AB$46,2,FALSE)</f>
        <v>LGRSE540</v>
      </c>
      <c r="BK191" s="265" t="str">
        <f>VLOOKUP(BI191,MiscData!$Z$5:$AB$46,3,FALSE)</f>
        <v>VFD</v>
      </c>
    </row>
    <row r="192" spans="1:63" hidden="1">
      <c r="A192" s="275">
        <v>179</v>
      </c>
      <c r="B192" s="276" t="str">
        <f t="shared" si="125"/>
        <v>May 2014</v>
      </c>
      <c r="C192" s="277" t="str">
        <f t="shared" si="126"/>
        <v>LEV</v>
      </c>
      <c r="D192" s="277" t="str">
        <f t="shared" si="127"/>
        <v>LGRSE543</v>
      </c>
      <c r="E192" s="278">
        <f t="shared" si="94"/>
        <v>18</v>
      </c>
      <c r="F192" s="279">
        <v>0</v>
      </c>
      <c r="G192" s="278">
        <f t="shared" si="95"/>
        <v>11987</v>
      </c>
      <c r="H192" s="278">
        <f t="shared" si="96"/>
        <v>5858</v>
      </c>
      <c r="I192" s="278">
        <f t="shared" si="97"/>
        <v>3658</v>
      </c>
      <c r="J192" s="278">
        <f t="shared" si="98"/>
        <v>21503</v>
      </c>
      <c r="K192" s="280">
        <v>0</v>
      </c>
      <c r="L192" s="281">
        <f t="shared" si="99"/>
        <v>0</v>
      </c>
      <c r="M192" s="281">
        <f t="shared" si="100"/>
        <v>0</v>
      </c>
      <c r="N192" s="281">
        <f t="shared" si="101"/>
        <v>0</v>
      </c>
      <c r="O192" s="282">
        <v>0</v>
      </c>
      <c r="P192" s="282">
        <v>0</v>
      </c>
      <c r="Q192" s="282">
        <v>0</v>
      </c>
      <c r="R192" s="283">
        <f t="shared" si="102"/>
        <v>10.75</v>
      </c>
      <c r="S192" s="284">
        <f t="shared" si="136"/>
        <v>5.8200000000000002E-2</v>
      </c>
      <c r="T192" s="284">
        <f t="shared" si="103"/>
        <v>7.8990000000000005E-2</v>
      </c>
      <c r="U192" s="284">
        <f t="shared" si="104"/>
        <v>0.14451000000000003</v>
      </c>
      <c r="V192" s="284">
        <f t="shared" si="105"/>
        <v>2.725E-2</v>
      </c>
      <c r="W192" s="283">
        <f t="shared" si="106"/>
        <v>0</v>
      </c>
      <c r="X192" s="283">
        <f t="shared" si="107"/>
        <v>0</v>
      </c>
      <c r="Y192" s="283">
        <f t="shared" si="108"/>
        <v>0</v>
      </c>
      <c r="Z192" s="285">
        <f t="shared" si="109"/>
        <v>193.5</v>
      </c>
      <c r="AA192" s="285">
        <f t="shared" si="110"/>
        <v>1688.98</v>
      </c>
      <c r="AB192" s="285">
        <f t="shared" si="128"/>
        <v>0</v>
      </c>
      <c r="AC192" s="285">
        <f t="shared" si="129"/>
        <v>0</v>
      </c>
      <c r="AD192" s="285">
        <f t="shared" si="130"/>
        <v>0</v>
      </c>
      <c r="AE192" s="286">
        <v>0</v>
      </c>
      <c r="AF192" s="287">
        <f t="shared" si="111"/>
        <v>0</v>
      </c>
      <c r="AG192" s="288">
        <f t="shared" si="112"/>
        <v>0</v>
      </c>
      <c r="AH192" s="285">
        <f t="shared" si="113"/>
        <v>0</v>
      </c>
      <c r="AI192" s="286">
        <v>10.75</v>
      </c>
      <c r="AJ192" s="286">
        <v>0.01</v>
      </c>
      <c r="AK192" s="286">
        <v>0</v>
      </c>
      <c r="AL192" s="285">
        <f t="shared" si="114"/>
        <v>1893.24</v>
      </c>
      <c r="AM192" s="285">
        <f t="shared" si="115"/>
        <v>1893.2399999999998</v>
      </c>
      <c r="AN192" s="289">
        <f t="shared" si="131"/>
        <v>1</v>
      </c>
      <c r="AO192" s="290">
        <f t="shared" si="116"/>
        <v>34.21</v>
      </c>
      <c r="AP192" s="290">
        <f t="shared" si="117"/>
        <v>116.77</v>
      </c>
      <c r="AQ192" s="290">
        <f t="shared" si="118"/>
        <v>46.92</v>
      </c>
      <c r="AR192" s="290">
        <f t="shared" si="119"/>
        <v>0</v>
      </c>
      <c r="AS192" s="290">
        <f t="shared" si="120"/>
        <v>0</v>
      </c>
      <c r="AT192" s="290">
        <f t="shared" si="121"/>
        <v>2091.14</v>
      </c>
      <c r="AU192" s="291">
        <f t="shared" si="122"/>
        <v>2091.14</v>
      </c>
      <c r="AV192" s="291">
        <f t="shared" si="139"/>
        <v>0</v>
      </c>
      <c r="AW192" s="292">
        <f t="shared" si="123"/>
        <v>585.96</v>
      </c>
      <c r="AX192" s="293">
        <f t="shared" si="124"/>
        <v>1103.03</v>
      </c>
      <c r="BC192" s="276">
        <f>IF(BI192=1,IF(BC191=MiscData!$F$1,EOMONTH(BC191,-11),EOMONTH(BC191,1)),BC191)</f>
        <v>41790</v>
      </c>
      <c r="BD192" s="275" t="str">
        <f t="shared" si="132"/>
        <v>20140101LGRSE543</v>
      </c>
      <c r="BE192" s="294" t="str">
        <f t="shared" si="133"/>
        <v>20140101LEV</v>
      </c>
      <c r="BF192">
        <f>MiscData!$X$5</f>
        <v>20140101</v>
      </c>
      <c r="BI192" s="265">
        <f>IF(BI191+1&gt;MiscData!$Z$42,1,BI191+1)</f>
        <v>37</v>
      </c>
      <c r="BJ192" s="265" t="str">
        <f>VLOOKUP(BI192,MiscData!$Z$5:$AB$46,2,FALSE)</f>
        <v>LGRSE543</v>
      </c>
      <c r="BK192" s="265" t="str">
        <f>VLOOKUP(BI192,MiscData!$Z$5:$AB$46,3,FALSE)</f>
        <v>LEV</v>
      </c>
    </row>
    <row r="193" spans="1:63" hidden="1">
      <c r="A193" s="275">
        <v>180</v>
      </c>
      <c r="B193" s="276" t="str">
        <f t="shared" si="125"/>
        <v>May 2014</v>
      </c>
      <c r="C193" s="277" t="str">
        <f t="shared" si="126"/>
        <v>LEV</v>
      </c>
      <c r="D193" s="277" t="str">
        <f t="shared" si="127"/>
        <v>LGRSE547</v>
      </c>
      <c r="E193" s="278">
        <f t="shared" si="94"/>
        <v>1</v>
      </c>
      <c r="F193" s="279">
        <v>0</v>
      </c>
      <c r="G193" s="278">
        <f t="shared" si="95"/>
        <v>79</v>
      </c>
      <c r="H193" s="278">
        <f t="shared" si="96"/>
        <v>0</v>
      </c>
      <c r="I193" s="278">
        <f t="shared" si="97"/>
        <v>0</v>
      </c>
      <c r="J193" s="278">
        <f t="shared" si="98"/>
        <v>79</v>
      </c>
      <c r="K193" s="280">
        <v>0</v>
      </c>
      <c r="L193" s="281">
        <f t="shared" si="99"/>
        <v>0</v>
      </c>
      <c r="M193" s="281">
        <f t="shared" si="100"/>
        <v>0</v>
      </c>
      <c r="N193" s="281">
        <f t="shared" si="101"/>
        <v>0</v>
      </c>
      <c r="O193" s="282">
        <v>0</v>
      </c>
      <c r="P193" s="282">
        <v>0</v>
      </c>
      <c r="Q193" s="282">
        <v>0</v>
      </c>
      <c r="R193" s="283">
        <f t="shared" si="102"/>
        <v>10.75</v>
      </c>
      <c r="S193" s="284">
        <f t="shared" si="136"/>
        <v>5.8200000000000002E-2</v>
      </c>
      <c r="T193" s="284">
        <f t="shared" si="103"/>
        <v>7.8990000000000005E-2</v>
      </c>
      <c r="U193" s="284">
        <f t="shared" si="104"/>
        <v>0.14451000000000003</v>
      </c>
      <c r="V193" s="284">
        <f t="shared" si="105"/>
        <v>2.725E-2</v>
      </c>
      <c r="W193" s="283">
        <f t="shared" si="106"/>
        <v>0</v>
      </c>
      <c r="X193" s="283">
        <f t="shared" si="107"/>
        <v>0</v>
      </c>
      <c r="Y193" s="283">
        <f t="shared" si="108"/>
        <v>0</v>
      </c>
      <c r="Z193" s="285">
        <f t="shared" si="109"/>
        <v>10.75</v>
      </c>
      <c r="AA193" s="285">
        <f t="shared" si="110"/>
        <v>4.5999999999999996</v>
      </c>
      <c r="AB193" s="285">
        <f t="shared" si="128"/>
        <v>0</v>
      </c>
      <c r="AC193" s="285">
        <f t="shared" si="129"/>
        <v>0</v>
      </c>
      <c r="AD193" s="285">
        <f t="shared" si="130"/>
        <v>0</v>
      </c>
      <c r="AE193" s="286">
        <v>0</v>
      </c>
      <c r="AF193" s="287">
        <f t="shared" si="111"/>
        <v>0</v>
      </c>
      <c r="AG193" s="288">
        <f t="shared" si="112"/>
        <v>0</v>
      </c>
      <c r="AH193" s="285">
        <f t="shared" si="113"/>
        <v>0</v>
      </c>
      <c r="AI193" s="286">
        <v>0</v>
      </c>
      <c r="AJ193" s="286">
        <v>0</v>
      </c>
      <c r="AK193" s="286">
        <v>0</v>
      </c>
      <c r="AL193" s="285">
        <f t="shared" si="114"/>
        <v>15.35</v>
      </c>
      <c r="AM193" s="285">
        <f t="shared" si="115"/>
        <v>15.350000000000001</v>
      </c>
      <c r="AN193" s="289">
        <f t="shared" si="131"/>
        <v>1</v>
      </c>
      <c r="AO193" s="290">
        <f t="shared" si="116"/>
        <v>0.13</v>
      </c>
      <c r="AP193" s="290">
        <f t="shared" si="117"/>
        <v>0.43</v>
      </c>
      <c r="AQ193" s="290">
        <f t="shared" si="118"/>
        <v>0.37</v>
      </c>
      <c r="AR193" s="290">
        <f t="shared" si="119"/>
        <v>0</v>
      </c>
      <c r="AS193" s="290">
        <f t="shared" si="120"/>
        <v>0</v>
      </c>
      <c r="AT193" s="290">
        <f t="shared" si="121"/>
        <v>16.28</v>
      </c>
      <c r="AU193" s="291">
        <f t="shared" si="122"/>
        <v>16.28</v>
      </c>
      <c r="AV193" s="291">
        <f t="shared" si="139"/>
        <v>0</v>
      </c>
      <c r="AW193" s="292">
        <f t="shared" si="123"/>
        <v>2.15</v>
      </c>
      <c r="AX193" s="293">
        <f t="shared" si="124"/>
        <v>2.4499999999999997</v>
      </c>
      <c r="BC193" s="276">
        <f>IF(BI193=1,IF(BC192=MiscData!$F$1,EOMONTH(BC192,-11),EOMONTH(BC192,1)),BC192)</f>
        <v>41790</v>
      </c>
      <c r="BD193" s="275" t="str">
        <f t="shared" si="132"/>
        <v>20140101LGRSE547</v>
      </c>
      <c r="BE193" s="294" t="str">
        <f t="shared" si="133"/>
        <v>20140101LEV</v>
      </c>
      <c r="BF193">
        <f>MiscData!$X$5</f>
        <v>20140101</v>
      </c>
      <c r="BI193" s="265">
        <f>IF(BI192+1&gt;MiscData!$Z$42,1,BI192+1)</f>
        <v>38</v>
      </c>
      <c r="BJ193" s="265" t="str">
        <f>VLOOKUP(BI193,MiscData!$Z$5:$AB$46,2,FALSE)</f>
        <v>LGRSE547</v>
      </c>
      <c r="BK193" s="265" t="str">
        <f>VLOOKUP(BI193,MiscData!$Z$5:$AB$46,3,FALSE)</f>
        <v>LEV</v>
      </c>
    </row>
    <row r="194" spans="1:63" hidden="1">
      <c r="A194" s="275">
        <v>181</v>
      </c>
      <c r="B194" s="276" t="str">
        <f t="shared" si="125"/>
        <v>Jun 2014</v>
      </c>
      <c r="C194" s="277" t="str">
        <f t="shared" si="126"/>
        <v>FLSP</v>
      </c>
      <c r="D194" s="277" t="str">
        <f t="shared" si="127"/>
        <v>LGINE682</v>
      </c>
      <c r="E194" s="278">
        <f t="shared" si="94"/>
        <v>0</v>
      </c>
      <c r="F194" s="279">
        <v>0</v>
      </c>
      <c r="G194" s="278">
        <f t="shared" si="95"/>
        <v>0</v>
      </c>
      <c r="H194" s="278">
        <f t="shared" si="96"/>
        <v>0</v>
      </c>
      <c r="I194" s="278">
        <f t="shared" si="97"/>
        <v>0</v>
      </c>
      <c r="J194" s="278">
        <f t="shared" si="98"/>
        <v>0</v>
      </c>
      <c r="K194" s="280">
        <v>0</v>
      </c>
      <c r="L194" s="281">
        <f t="shared" si="99"/>
        <v>0</v>
      </c>
      <c r="M194" s="281">
        <f t="shared" si="100"/>
        <v>0</v>
      </c>
      <c r="N194" s="281">
        <f t="shared" si="101"/>
        <v>0</v>
      </c>
      <c r="O194" s="282">
        <v>0</v>
      </c>
      <c r="P194" s="282">
        <v>0</v>
      </c>
      <c r="Q194" s="282">
        <v>0</v>
      </c>
      <c r="R194" s="283">
        <f t="shared" si="102"/>
        <v>750</v>
      </c>
      <c r="S194" s="284">
        <f t="shared" si="136"/>
        <v>3.61E-2</v>
      </c>
      <c r="T194" s="284">
        <f t="shared" si="103"/>
        <v>0</v>
      </c>
      <c r="U194" s="284">
        <f t="shared" si="104"/>
        <v>0</v>
      </c>
      <c r="V194" s="284">
        <f t="shared" si="105"/>
        <v>2.725E-2</v>
      </c>
      <c r="W194" s="283">
        <f t="shared" si="106"/>
        <v>1.8900000000000001</v>
      </c>
      <c r="X194" s="283">
        <f t="shared" si="107"/>
        <v>1.8900000000000001</v>
      </c>
      <c r="Y194" s="283">
        <f t="shared" si="108"/>
        <v>2.94</v>
      </c>
      <c r="Z194" s="285">
        <f t="shared" si="109"/>
        <v>0</v>
      </c>
      <c r="AA194" s="285">
        <f t="shared" si="110"/>
        <v>0</v>
      </c>
      <c r="AB194" s="285">
        <f t="shared" si="128"/>
        <v>0</v>
      </c>
      <c r="AC194" s="285">
        <f t="shared" si="129"/>
        <v>0</v>
      </c>
      <c r="AD194" s="285">
        <f t="shared" si="130"/>
        <v>0</v>
      </c>
      <c r="AE194" s="286">
        <v>0</v>
      </c>
      <c r="AF194" s="287">
        <f t="shared" si="111"/>
        <v>0</v>
      </c>
      <c r="AG194" s="288">
        <f t="shared" si="112"/>
        <v>0</v>
      </c>
      <c r="AH194" s="285">
        <f t="shared" si="113"/>
        <v>0</v>
      </c>
      <c r="AI194" s="286">
        <v>0</v>
      </c>
      <c r="AJ194" s="286">
        <v>0</v>
      </c>
      <c r="AK194" s="286">
        <v>0</v>
      </c>
      <c r="AL194" s="285">
        <f t="shared" si="114"/>
        <v>0</v>
      </c>
      <c r="AM194" s="285">
        <f t="shared" si="115"/>
        <v>0</v>
      </c>
      <c r="AN194" s="289">
        <f t="shared" si="131"/>
        <v>1</v>
      </c>
      <c r="AO194" s="290">
        <f t="shared" si="116"/>
        <v>0</v>
      </c>
      <c r="AP194" s="290">
        <f t="shared" si="117"/>
        <v>0</v>
      </c>
      <c r="AQ194" s="290">
        <f t="shared" si="118"/>
        <v>0</v>
      </c>
      <c r="AR194" s="290">
        <f t="shared" si="119"/>
        <v>0</v>
      </c>
      <c r="AS194" s="290">
        <f t="shared" si="120"/>
        <v>0</v>
      </c>
      <c r="AT194" s="290">
        <f t="shared" si="121"/>
        <v>0</v>
      </c>
      <c r="AU194" s="291">
        <f t="shared" si="122"/>
        <v>0</v>
      </c>
      <c r="AV194" s="291">
        <f t="shared" si="139"/>
        <v>0</v>
      </c>
      <c r="AW194" s="292">
        <f t="shared" si="123"/>
        <v>0</v>
      </c>
      <c r="AX194" s="293">
        <f t="shared" si="124"/>
        <v>0</v>
      </c>
      <c r="BC194" s="276">
        <f>IF(BI194=1,IF(BC193=MiscData!$F$1,EOMONTH(BC193,-11),EOMONTH(BC193,1)),BC193)</f>
        <v>41820</v>
      </c>
      <c r="BD194" s="275" t="str">
        <f t="shared" si="132"/>
        <v>20140101LGINE682</v>
      </c>
      <c r="BE194" s="294" t="str">
        <f t="shared" si="133"/>
        <v>20140101FLSP</v>
      </c>
      <c r="BF194">
        <f>MiscData!$X$5</f>
        <v>20140101</v>
      </c>
      <c r="BI194" s="265">
        <f>IF(BI193+1&gt;MiscData!$Z$42,1,BI193+1)</f>
        <v>1</v>
      </c>
      <c r="BJ194" s="265" t="str">
        <f>VLOOKUP(BI194,MiscData!$Z$5:$AB$46,2,FALSE)</f>
        <v>LGINE682</v>
      </c>
      <c r="BK194" s="265" t="str">
        <f>VLOOKUP(BI194,MiscData!$Z$5:$AB$46,3,FALSE)</f>
        <v>FLSP</v>
      </c>
    </row>
    <row r="195" spans="1:63" hidden="1">
      <c r="A195" s="275">
        <v>182</v>
      </c>
      <c r="B195" s="276" t="str">
        <f t="shared" si="125"/>
        <v>Jun 2014</v>
      </c>
      <c r="C195" s="277" t="str">
        <f t="shared" si="126"/>
        <v>FLST</v>
      </c>
      <c r="D195" s="277" t="str">
        <f t="shared" si="127"/>
        <v>LGINE683</v>
      </c>
      <c r="E195" s="278">
        <f t="shared" si="94"/>
        <v>0</v>
      </c>
      <c r="F195" s="279">
        <v>0</v>
      </c>
      <c r="G195" s="278">
        <f t="shared" si="95"/>
        <v>0</v>
      </c>
      <c r="H195" s="278">
        <f t="shared" si="96"/>
        <v>0</v>
      </c>
      <c r="I195" s="278">
        <f t="shared" si="97"/>
        <v>0</v>
      </c>
      <c r="J195" s="278">
        <f t="shared" si="98"/>
        <v>0</v>
      </c>
      <c r="K195" s="280">
        <v>0</v>
      </c>
      <c r="L195" s="281">
        <f t="shared" si="99"/>
        <v>0</v>
      </c>
      <c r="M195" s="281">
        <f t="shared" si="100"/>
        <v>0</v>
      </c>
      <c r="N195" s="281">
        <f t="shared" si="101"/>
        <v>0</v>
      </c>
      <c r="O195" s="282">
        <v>0</v>
      </c>
      <c r="P195" s="282">
        <v>0</v>
      </c>
      <c r="Q195" s="282">
        <v>0</v>
      </c>
      <c r="R195" s="283">
        <f t="shared" si="102"/>
        <v>750</v>
      </c>
      <c r="S195" s="284">
        <f t="shared" si="136"/>
        <v>3.61E-2</v>
      </c>
      <c r="T195" s="284">
        <f t="shared" si="103"/>
        <v>0</v>
      </c>
      <c r="U195" s="284">
        <f t="shared" si="104"/>
        <v>0</v>
      </c>
      <c r="V195" s="284">
        <f t="shared" si="105"/>
        <v>2.725E-2</v>
      </c>
      <c r="W195" s="283">
        <f t="shared" si="106"/>
        <v>1.1400000000000001</v>
      </c>
      <c r="X195" s="283">
        <f t="shared" si="107"/>
        <v>1.8900000000000001</v>
      </c>
      <c r="Y195" s="283">
        <f t="shared" si="108"/>
        <v>2.94</v>
      </c>
      <c r="Z195" s="285">
        <f t="shared" si="109"/>
        <v>0</v>
      </c>
      <c r="AA195" s="285">
        <f t="shared" si="110"/>
        <v>0</v>
      </c>
      <c r="AB195" s="285">
        <f t="shared" si="128"/>
        <v>0</v>
      </c>
      <c r="AC195" s="285">
        <f t="shared" si="129"/>
        <v>0</v>
      </c>
      <c r="AD195" s="285">
        <f t="shared" si="130"/>
        <v>0</v>
      </c>
      <c r="AE195" s="286">
        <v>0</v>
      </c>
      <c r="AF195" s="287">
        <f t="shared" si="111"/>
        <v>0</v>
      </c>
      <c r="AG195" s="288">
        <f t="shared" si="112"/>
        <v>0</v>
      </c>
      <c r="AH195" s="285">
        <f t="shared" si="113"/>
        <v>0</v>
      </c>
      <c r="AI195" s="286">
        <v>0</v>
      </c>
      <c r="AJ195" s="286">
        <v>0</v>
      </c>
      <c r="AK195" s="286">
        <v>0</v>
      </c>
      <c r="AL195" s="285">
        <f t="shared" si="114"/>
        <v>0</v>
      </c>
      <c r="AM195" s="285">
        <f t="shared" si="115"/>
        <v>0</v>
      </c>
      <c r="AN195" s="289">
        <f t="shared" si="131"/>
        <v>1</v>
      </c>
      <c r="AO195" s="290">
        <f t="shared" si="116"/>
        <v>0</v>
      </c>
      <c r="AP195" s="290">
        <f t="shared" si="117"/>
        <v>0</v>
      </c>
      <c r="AQ195" s="290">
        <f t="shared" si="118"/>
        <v>0</v>
      </c>
      <c r="AR195" s="290">
        <f t="shared" si="119"/>
        <v>0</v>
      </c>
      <c r="AS195" s="290">
        <f t="shared" si="120"/>
        <v>0</v>
      </c>
      <c r="AT195" s="290">
        <f t="shared" si="121"/>
        <v>0</v>
      </c>
      <c r="AU195" s="291">
        <f t="shared" si="122"/>
        <v>0</v>
      </c>
      <c r="AV195" s="291">
        <f t="shared" si="139"/>
        <v>0</v>
      </c>
      <c r="AW195" s="292">
        <f t="shared" si="123"/>
        <v>0</v>
      </c>
      <c r="AX195" s="293">
        <f t="shared" si="124"/>
        <v>0</v>
      </c>
      <c r="BC195" s="276">
        <f>IF(BI195=1,IF(BC194=MiscData!$F$1,EOMONTH(BC194,-11),EOMONTH(BC194,1)),BC194)</f>
        <v>41820</v>
      </c>
      <c r="BD195" s="275" t="str">
        <f t="shared" si="132"/>
        <v>20140101LGINE683</v>
      </c>
      <c r="BE195" s="294" t="str">
        <f t="shared" si="133"/>
        <v>20140101FLST</v>
      </c>
      <c r="BF195">
        <f>MiscData!$X$5</f>
        <v>20140101</v>
      </c>
      <c r="BI195" s="265">
        <f>IF(BI194+1&gt;MiscData!$Z$42,1,BI194+1)</f>
        <v>2</v>
      </c>
      <c r="BJ195" s="265" t="str">
        <f>VLOOKUP(BI195,MiscData!$Z$5:$AB$46,2,FALSE)</f>
        <v>LGINE683</v>
      </c>
      <c r="BK195" s="265" t="str">
        <f>VLOOKUP(BI195,MiscData!$Z$5:$AB$46,3,FALSE)</f>
        <v>FLST</v>
      </c>
    </row>
    <row r="196" spans="1:63" hidden="1">
      <c r="A196" s="275">
        <v>183</v>
      </c>
      <c r="B196" s="276" t="str">
        <f t="shared" si="125"/>
        <v>Jun 2014</v>
      </c>
      <c r="C196" s="277" t="s">
        <v>892</v>
      </c>
      <c r="D196" s="277" t="str">
        <f t="shared" si="127"/>
        <v>LGCME451</v>
      </c>
      <c r="E196" s="278">
        <f t="shared" ref="E196:E259" si="140">SUMIFS(L_1022_Count,L_1022_Revenue_Month,$B196,L_1022_Rate_Category,$D196)</f>
        <v>55</v>
      </c>
      <c r="F196" s="279">
        <f>-E196</f>
        <v>-55</v>
      </c>
      <c r="G196" s="278">
        <f t="shared" ref="G196:G259" si="141">SUMIFS(L_1022_KWH_P1,L_1022_Revenue_Month,$B196,L_1022_Rate_Category,$D196)</f>
        <v>0</v>
      </c>
      <c r="H196" s="278">
        <f t="shared" ref="H196:H259" si="142">SUMIFS(L_1022_KWH_P2,L_1022_Revenue_Month,$B196,L_1022_Rate_Category,$D196)</f>
        <v>0</v>
      </c>
      <c r="I196" s="278">
        <f t="shared" ref="I196:I259" si="143">SUMIFS(L_1022_KWH_P3,L_1022_Revenue_Month,$B196,L_1022_Rate_Category,$D196)</f>
        <v>0</v>
      </c>
      <c r="J196" s="278">
        <f t="shared" ref="J196:J259" si="144">SUMIFS(L_1022_KWH_Total,L_1022_Revenue_Month,$B196,L_1022_Rate_Category,$D196)</f>
        <v>9362</v>
      </c>
      <c r="K196" s="280">
        <v>0</v>
      </c>
      <c r="L196" s="281">
        <f t="shared" ref="L196:L259" si="145">SUMIFS(L_1022_Demand_Base_Measured,L_1022_Revenue_Month,$B196,L_1022_Rate_Category,$D196)</f>
        <v>0</v>
      </c>
      <c r="M196" s="281">
        <f t="shared" ref="M196:M259" si="146">SUMIFS(L_1022_Demand_Inter_Measured,L_1022_Revenue_Month,$B196,L_1022_Rate_Category,$D196)</f>
        <v>0</v>
      </c>
      <c r="N196" s="281">
        <f t="shared" ref="N196:N259" si="147">SUMIFS(L_1022_Demand_Peak_Measured,L_1022_Revenue_Month,$B196,L_1022_Rate_Category,$D196)</f>
        <v>0</v>
      </c>
      <c r="O196" s="282">
        <v>0</v>
      </c>
      <c r="P196" s="282">
        <v>0</v>
      </c>
      <c r="Q196" s="282">
        <v>0</v>
      </c>
      <c r="R196" s="283">
        <f t="shared" ref="R196:R259" si="148">SUMIF(L_Rates_Tariff_Rate_Category,BD196,L_Rates_BSC)</f>
        <v>0</v>
      </c>
      <c r="S196" s="284">
        <f t="shared" si="136"/>
        <v>9.1340000000000005E-2</v>
      </c>
      <c r="T196" s="284">
        <f t="shared" ref="T196:T259" si="149">SUMIF(L_Rates_Tariff_Rate_Category,$BD196,L_Rates_Energy_P2)</f>
        <v>0</v>
      </c>
      <c r="U196" s="284">
        <f t="shared" ref="U196:U259" si="150">SUMIF(L_Rates_Tariff_Rate_Category,$BD196,L_Rates_Energy_P3)</f>
        <v>0</v>
      </c>
      <c r="V196" s="284">
        <f t="shared" ref="V196:V259" si="151">SUMIF(L_Rates_Tariff_Rate_Category,$BD196,L_Rates_Energy_Base_Fuel)</f>
        <v>2.725E-2</v>
      </c>
      <c r="W196" s="283">
        <f t="shared" ref="W196:W259" si="152">SUMIF(L_Rates_Tariff_Rate_Category,$BD196,L_Rates_Demand_Base)</f>
        <v>0</v>
      </c>
      <c r="X196" s="283">
        <f t="shared" ref="X196:X259" si="153">SUMIF(L_Rates_Tariff_Rate_Category,$BD196,L_Rates_Demand_Intermediate)</f>
        <v>0</v>
      </c>
      <c r="Y196" s="283">
        <f t="shared" ref="Y196:Y259" si="154">SUMIF(L_Rates_Tariff_Rate_Category,$BD196,L_Rates_Demand_Peak)</f>
        <v>0</v>
      </c>
      <c r="Z196" s="285">
        <f t="shared" ref="Z196:Z259" si="155">ROUND(($E196+$F196)*$R196,2)</f>
        <v>0</v>
      </c>
      <c r="AA196" s="285">
        <f t="shared" ref="AA196:AA259" si="156">ROUND(IF(G196=0,(J196+K196)*S196,SUMPRODUCT(G196:I196,S196:U196)),2)</f>
        <v>855.13</v>
      </c>
      <c r="AB196" s="285">
        <f t="shared" si="128"/>
        <v>0</v>
      </c>
      <c r="AC196" s="285">
        <f t="shared" si="129"/>
        <v>0</v>
      </c>
      <c r="AD196" s="285">
        <f t="shared" si="130"/>
        <v>0</v>
      </c>
      <c r="AE196" s="286">
        <v>0</v>
      </c>
      <c r="AF196" s="287">
        <f t="shared" ref="AF196:AF259" si="157">SUMIFS(L_1022_Revenue_Power_Factor,L_1022_Revenue_Month,$B196,L_1022_Rate_Category,$D196)</f>
        <v>0</v>
      </c>
      <c r="AG196" s="288">
        <f t="shared" ref="AG196:AG259" si="158">ROUND(Q196*Y196+P196*X196+O196*W196,2)</f>
        <v>0</v>
      </c>
      <c r="AH196" s="285">
        <f t="shared" ref="AH196:AH208" si="159">SUM(AB196:AG196)</f>
        <v>0</v>
      </c>
      <c r="AI196" s="286">
        <v>0</v>
      </c>
      <c r="AJ196" s="286">
        <v>0.01</v>
      </c>
      <c r="AK196" s="286">
        <v>0</v>
      </c>
      <c r="AL196" s="285">
        <f t="shared" ref="AL196:AL259" si="160">SUM(Z196:AG196,AI196:AK196)</f>
        <v>855.14</v>
      </c>
      <c r="AM196" s="285">
        <f t="shared" ref="AM196:AM259" si="161">AT196-SUM(AO196:AS196)</f>
        <v>855.14</v>
      </c>
      <c r="AN196" s="289">
        <f t="shared" si="131"/>
        <v>1</v>
      </c>
      <c r="AO196" s="290">
        <f t="shared" ref="AO196:AO259" si="162">SUMIFS(L_SBR_FAC,L_SBR_Revenue_Month,$B196,L_SBR_Rate_Category,$D196)</f>
        <v>29.54</v>
      </c>
      <c r="AP196" s="290">
        <f t="shared" ref="AP196:AP259" si="163">SUMIFS(L_SBR_DSM,L_SBR_Revenue_Month,$B196,L_SBR_Rate_Category,$D196)</f>
        <v>28.35</v>
      </c>
      <c r="AQ196" s="290">
        <f t="shared" ref="AQ196:AQ259" si="164">SUMIFS(L_SBR_ECR,L_SBR_Revenue_Month,$B196,L_SBR_Rate_Category,$D196)</f>
        <v>30.03</v>
      </c>
      <c r="AR196" s="290">
        <f t="shared" ref="AR196:AR259" si="165">SUMIFS(L_SBR_MSR,L_SBR_Revenue_Month,$B196,L_SBR_Rate_Category,$D196)</f>
        <v>0</v>
      </c>
      <c r="AS196" s="290">
        <f t="shared" ref="AS196:AS259" si="166">SUMIFS(L_SBR_CSR,L_SBR_Revenue_Month,$B196,L_SBR_Rate_Category,$D196)</f>
        <v>0</v>
      </c>
      <c r="AT196" s="290">
        <f t="shared" ref="AT196:AT259" si="167">SUMIFS(L_SBR_Revenue_Total,L_SBR_Revenue_Month,$B196,L_SBR_Rate_Category,$D196)</f>
        <v>943.06</v>
      </c>
      <c r="AU196" s="291">
        <f t="shared" ref="AU196:AU259" si="168">SUM(AL196,AO196:AS196)</f>
        <v>943.06</v>
      </c>
      <c r="AV196" s="291">
        <f t="shared" si="139"/>
        <v>0</v>
      </c>
      <c r="AW196" s="292">
        <f t="shared" ref="AW196:AW259" si="169">ROUND(J196*V196,2)</f>
        <v>255.11</v>
      </c>
      <c r="AX196" s="293">
        <f t="shared" ref="AX196:AX259" si="170">AA196+AJ196-AW196</f>
        <v>600.03</v>
      </c>
      <c r="BC196" s="276">
        <f>IF(BI196=1,IF(BC195=MiscData!$F$1,EOMONTH(BC195,-11),EOMONTH(BC195,1)),BC195)</f>
        <v>41820</v>
      </c>
      <c r="BD196" s="275" t="str">
        <f t="shared" si="132"/>
        <v>20140101LGCME451</v>
      </c>
      <c r="BE196" s="294" t="str">
        <f t="shared" si="133"/>
        <v>20140101GSS</v>
      </c>
      <c r="BF196">
        <f>MiscData!$X$5</f>
        <v>20140101</v>
      </c>
      <c r="BI196" s="265">
        <f>IF(BI195+1&gt;MiscData!$Z$42,1,BI195+1)</f>
        <v>3</v>
      </c>
      <c r="BJ196" s="265" t="str">
        <f>VLOOKUP(BI196,MiscData!$Z$5:$AB$46,2,FALSE)</f>
        <v>LGCME451</v>
      </c>
      <c r="BK196" s="265" t="str">
        <f>VLOOKUP(BI196,MiscData!$Z$5:$AB$46,3,FALSE)</f>
        <v>GSS</v>
      </c>
    </row>
    <row r="197" spans="1:63" hidden="1">
      <c r="A197" s="275">
        <v>184</v>
      </c>
      <c r="B197" s="276" t="str">
        <f t="shared" ref="B197:B260" si="171">TEXT(BC197,"mmm yyyy")</f>
        <v>Jun 2014</v>
      </c>
      <c r="C197" s="277" t="s">
        <v>892</v>
      </c>
      <c r="D197" s="277" t="str">
        <f t="shared" ref="D197:D260" si="172">BJ197</f>
        <v>LGCME550</v>
      </c>
      <c r="E197" s="278">
        <f t="shared" si="140"/>
        <v>0</v>
      </c>
      <c r="F197" s="279">
        <v>0</v>
      </c>
      <c r="G197" s="278">
        <f t="shared" si="141"/>
        <v>0</v>
      </c>
      <c r="H197" s="278">
        <f t="shared" si="142"/>
        <v>0</v>
      </c>
      <c r="I197" s="278">
        <f t="shared" si="143"/>
        <v>0</v>
      </c>
      <c r="J197" s="278">
        <f t="shared" si="144"/>
        <v>0</v>
      </c>
      <c r="K197" s="280">
        <v>0</v>
      </c>
      <c r="L197" s="281">
        <f t="shared" si="145"/>
        <v>0</v>
      </c>
      <c r="M197" s="281">
        <f t="shared" si="146"/>
        <v>0</v>
      </c>
      <c r="N197" s="281">
        <f t="shared" si="147"/>
        <v>0</v>
      </c>
      <c r="O197" s="282">
        <v>0</v>
      </c>
      <c r="P197" s="282">
        <v>0</v>
      </c>
      <c r="Q197" s="282">
        <v>0</v>
      </c>
      <c r="R197" s="283">
        <f t="shared" si="148"/>
        <v>20</v>
      </c>
      <c r="S197" s="284">
        <f t="shared" si="136"/>
        <v>9.1340000000000005E-2</v>
      </c>
      <c r="T197" s="284">
        <f t="shared" si="149"/>
        <v>0</v>
      </c>
      <c r="U197" s="284">
        <f t="shared" si="150"/>
        <v>0</v>
      </c>
      <c r="V197" s="284">
        <f t="shared" si="151"/>
        <v>2.725E-2</v>
      </c>
      <c r="W197" s="283">
        <f t="shared" si="152"/>
        <v>0</v>
      </c>
      <c r="X197" s="283">
        <f t="shared" si="153"/>
        <v>0</v>
      </c>
      <c r="Y197" s="283">
        <f t="shared" si="154"/>
        <v>0</v>
      </c>
      <c r="Z197" s="285">
        <f t="shared" si="155"/>
        <v>0</v>
      </c>
      <c r="AA197" s="285">
        <f t="shared" si="156"/>
        <v>0</v>
      </c>
      <c r="AB197" s="285">
        <f t="shared" ref="AB197:AB260" si="173">ROUND(L197*W197,2)</f>
        <v>0</v>
      </c>
      <c r="AC197" s="285">
        <f t="shared" ref="AC197:AC260" si="174">ROUND(M197*X197,2)</f>
        <v>0</v>
      </c>
      <c r="AD197" s="285">
        <f t="shared" ref="AD197:AD260" si="175">ROUND(N197*Y197,2)</f>
        <v>0</v>
      </c>
      <c r="AE197" s="286">
        <v>0</v>
      </c>
      <c r="AF197" s="287">
        <f t="shared" si="157"/>
        <v>0</v>
      </c>
      <c r="AG197" s="288">
        <f t="shared" si="158"/>
        <v>0</v>
      </c>
      <c r="AH197" s="285">
        <f t="shared" si="159"/>
        <v>0</v>
      </c>
      <c r="AI197" s="286">
        <v>0</v>
      </c>
      <c r="AJ197" s="286">
        <v>0</v>
      </c>
      <c r="AK197" s="286">
        <v>0</v>
      </c>
      <c r="AL197" s="285">
        <f t="shared" si="160"/>
        <v>0</v>
      </c>
      <c r="AM197" s="285">
        <f t="shared" si="161"/>
        <v>0</v>
      </c>
      <c r="AN197" s="289">
        <f t="shared" ref="AN197:AN260" si="176">IF(AND(AL197=0,AM197=0),1,IF(AL197=0,0,ROUND(AM197/AL197,6)))</f>
        <v>1</v>
      </c>
      <c r="AO197" s="290">
        <f t="shared" si="162"/>
        <v>0</v>
      </c>
      <c r="AP197" s="290">
        <f t="shared" si="163"/>
        <v>0</v>
      </c>
      <c r="AQ197" s="290">
        <f t="shared" si="164"/>
        <v>0</v>
      </c>
      <c r="AR197" s="290">
        <f t="shared" si="165"/>
        <v>0</v>
      </c>
      <c r="AS197" s="290">
        <f t="shared" si="166"/>
        <v>0</v>
      </c>
      <c r="AT197" s="290">
        <f t="shared" si="167"/>
        <v>0</v>
      </c>
      <c r="AU197" s="291">
        <f t="shared" si="168"/>
        <v>0</v>
      </c>
      <c r="AV197" s="291">
        <f t="shared" si="139"/>
        <v>0</v>
      </c>
      <c r="AW197" s="292">
        <f t="shared" si="169"/>
        <v>0</v>
      </c>
      <c r="AX197" s="293">
        <f t="shared" si="170"/>
        <v>0</v>
      </c>
      <c r="BC197" s="276">
        <f>IF(BI197=1,IF(BC196=MiscData!$F$1,EOMONTH(BC196,-11),EOMONTH(BC196,1)),BC196)</f>
        <v>41820</v>
      </c>
      <c r="BD197" s="275" t="str">
        <f t="shared" ref="BD197:BD260" si="177">CONCATENATE(BF197&amp;BJ197)</f>
        <v>20140101LGCME550</v>
      </c>
      <c r="BE197" s="294" t="str">
        <f t="shared" ref="BE197:BE260" si="178">CONCATENATE(BF197&amp;BK197)</f>
        <v>20140101GSS</v>
      </c>
      <c r="BF197">
        <f>MiscData!$X$5</f>
        <v>20140101</v>
      </c>
      <c r="BI197" s="265">
        <f>IF(BI196+1&gt;MiscData!$Z$42,1,BI196+1)</f>
        <v>4</v>
      </c>
      <c r="BJ197" s="265" t="str">
        <f>VLOOKUP(BI197,MiscData!$Z$5:$AB$46,2,FALSE)</f>
        <v>LGCME550</v>
      </c>
      <c r="BK197" s="265" t="str">
        <f>VLOOKUP(BI197,MiscData!$Z$5:$AB$46,3,FALSE)</f>
        <v>GSS</v>
      </c>
    </row>
    <row r="198" spans="1:63" hidden="1">
      <c r="A198" s="275">
        <v>185</v>
      </c>
      <c r="B198" s="276" t="str">
        <f t="shared" si="171"/>
        <v>Jun 2014</v>
      </c>
      <c r="C198" s="277" t="s">
        <v>892</v>
      </c>
      <c r="D198" s="277" t="str">
        <f t="shared" si="172"/>
        <v>LGCME551</v>
      </c>
      <c r="E198" s="278">
        <f t="shared" si="140"/>
        <v>27922</v>
      </c>
      <c r="F198" s="279">
        <v>135</v>
      </c>
      <c r="G198" s="278">
        <f t="shared" si="141"/>
        <v>0</v>
      </c>
      <c r="H198" s="278">
        <f t="shared" si="142"/>
        <v>0</v>
      </c>
      <c r="I198" s="278">
        <f t="shared" si="143"/>
        <v>0</v>
      </c>
      <c r="J198" s="278">
        <f t="shared" si="144"/>
        <v>34548076</v>
      </c>
      <c r="K198" s="280">
        <v>0</v>
      </c>
      <c r="L198" s="281">
        <f t="shared" si="145"/>
        <v>8265.5</v>
      </c>
      <c r="M198" s="281">
        <f t="shared" si="146"/>
        <v>0</v>
      </c>
      <c r="N198" s="281">
        <f t="shared" si="147"/>
        <v>0</v>
      </c>
      <c r="O198" s="282">
        <v>0</v>
      </c>
      <c r="P198" s="282">
        <v>0</v>
      </c>
      <c r="Q198" s="282">
        <v>0</v>
      </c>
      <c r="R198" s="283">
        <f t="shared" si="148"/>
        <v>20</v>
      </c>
      <c r="S198" s="284">
        <f t="shared" si="136"/>
        <v>9.1340000000000005E-2</v>
      </c>
      <c r="T198" s="284">
        <f t="shared" si="149"/>
        <v>0</v>
      </c>
      <c r="U198" s="284">
        <f t="shared" si="150"/>
        <v>0</v>
      </c>
      <c r="V198" s="284">
        <f t="shared" si="151"/>
        <v>2.725E-2</v>
      </c>
      <c r="W198" s="283">
        <f t="shared" si="152"/>
        <v>0</v>
      </c>
      <c r="X198" s="283">
        <f t="shared" si="153"/>
        <v>0</v>
      </c>
      <c r="Y198" s="283">
        <f t="shared" si="154"/>
        <v>0</v>
      </c>
      <c r="Z198" s="285">
        <f t="shared" si="155"/>
        <v>561140</v>
      </c>
      <c r="AA198" s="285">
        <f t="shared" si="156"/>
        <v>3155621.26</v>
      </c>
      <c r="AB198" s="285">
        <f t="shared" si="173"/>
        <v>0</v>
      </c>
      <c r="AC198" s="285">
        <f t="shared" si="174"/>
        <v>0</v>
      </c>
      <c r="AD198" s="285">
        <f t="shared" si="175"/>
        <v>0</v>
      </c>
      <c r="AE198" s="286">
        <v>0</v>
      </c>
      <c r="AF198" s="287">
        <f t="shared" si="157"/>
        <v>0</v>
      </c>
      <c r="AG198" s="288">
        <f t="shared" si="158"/>
        <v>0</v>
      </c>
      <c r="AH198" s="285">
        <f t="shared" si="159"/>
        <v>0</v>
      </c>
      <c r="AI198" s="286">
        <v>-1482.37</v>
      </c>
      <c r="AJ198" s="286">
        <v>-119.81</v>
      </c>
      <c r="AK198" s="286">
        <v>0</v>
      </c>
      <c r="AL198" s="285">
        <f t="shared" si="160"/>
        <v>3715159.0799999996</v>
      </c>
      <c r="AM198" s="285">
        <f t="shared" si="161"/>
        <v>3715159.0799999996</v>
      </c>
      <c r="AN198" s="289">
        <f t="shared" si="176"/>
        <v>1</v>
      </c>
      <c r="AO198" s="290">
        <f t="shared" si="162"/>
        <v>108755.27</v>
      </c>
      <c r="AP198" s="290">
        <f t="shared" si="163"/>
        <v>104581.63</v>
      </c>
      <c r="AQ198" s="290">
        <f t="shared" si="164"/>
        <v>137378.82</v>
      </c>
      <c r="AR198" s="290">
        <f t="shared" si="165"/>
        <v>0</v>
      </c>
      <c r="AS198" s="290">
        <f t="shared" si="166"/>
        <v>0</v>
      </c>
      <c r="AT198" s="290">
        <f t="shared" si="167"/>
        <v>4065874.8</v>
      </c>
      <c r="AU198" s="291">
        <f t="shared" si="168"/>
        <v>4065874.7999999993</v>
      </c>
      <c r="AV198" s="291">
        <f t="shared" si="137"/>
        <v>0</v>
      </c>
      <c r="AW198" s="292">
        <f t="shared" si="169"/>
        <v>941435.07</v>
      </c>
      <c r="AX198" s="293">
        <f t="shared" si="170"/>
        <v>2214066.38</v>
      </c>
      <c r="BC198" s="276">
        <f>IF(BI198=1,IF(BC197=MiscData!$F$1,EOMONTH(BC197,-11),EOMONTH(BC197,1)),BC197)</f>
        <v>41820</v>
      </c>
      <c r="BD198" s="275" t="str">
        <f t="shared" si="177"/>
        <v>20140101LGCME551</v>
      </c>
      <c r="BE198" s="294" t="str">
        <f t="shared" si="178"/>
        <v>20140101GSS</v>
      </c>
      <c r="BF198">
        <f>MiscData!$X$5</f>
        <v>20140101</v>
      </c>
      <c r="BI198" s="265">
        <f>IF(BI197+1&gt;MiscData!$Z$42,1,BI197+1)</f>
        <v>5</v>
      </c>
      <c r="BJ198" s="265" t="str">
        <f>VLOOKUP(BI198,MiscData!$Z$5:$AB$46,2,FALSE)</f>
        <v>LGCME551</v>
      </c>
      <c r="BK198" s="265" t="str">
        <f>VLOOKUP(BI198,MiscData!$Z$5:$AB$46,3,FALSE)</f>
        <v>GSS</v>
      </c>
    </row>
    <row r="199" spans="1:63" hidden="1">
      <c r="A199" s="275">
        <v>186</v>
      </c>
      <c r="B199" s="276" t="str">
        <f t="shared" si="171"/>
        <v>Jun 2014</v>
      </c>
      <c r="C199" s="277" t="s">
        <v>892</v>
      </c>
      <c r="D199" s="277" t="str">
        <f t="shared" si="172"/>
        <v>LGCME551UM</v>
      </c>
      <c r="E199" s="278">
        <f t="shared" si="140"/>
        <v>1</v>
      </c>
      <c r="F199" s="279">
        <v>102</v>
      </c>
      <c r="G199" s="278">
        <f t="shared" si="141"/>
        <v>0</v>
      </c>
      <c r="H199" s="278">
        <f t="shared" si="142"/>
        <v>0</v>
      </c>
      <c r="I199" s="278">
        <f t="shared" si="143"/>
        <v>0</v>
      </c>
      <c r="J199" s="278">
        <f t="shared" si="144"/>
        <v>13802</v>
      </c>
      <c r="K199" s="280">
        <v>0</v>
      </c>
      <c r="L199" s="281">
        <f t="shared" si="145"/>
        <v>0</v>
      </c>
      <c r="M199" s="281">
        <f t="shared" si="146"/>
        <v>0</v>
      </c>
      <c r="N199" s="281">
        <f t="shared" si="147"/>
        <v>0</v>
      </c>
      <c r="O199" s="282">
        <v>0</v>
      </c>
      <c r="P199" s="282">
        <v>0</v>
      </c>
      <c r="Q199" s="282">
        <v>0</v>
      </c>
      <c r="R199" s="283">
        <f t="shared" si="148"/>
        <v>20</v>
      </c>
      <c r="S199" s="284">
        <f t="shared" si="136"/>
        <v>9.1340000000000005E-2</v>
      </c>
      <c r="T199" s="284">
        <f t="shared" si="149"/>
        <v>0</v>
      </c>
      <c r="U199" s="284">
        <f t="shared" si="150"/>
        <v>0</v>
      </c>
      <c r="V199" s="284">
        <f t="shared" si="151"/>
        <v>2.725E-2</v>
      </c>
      <c r="W199" s="283">
        <f t="shared" si="152"/>
        <v>0</v>
      </c>
      <c r="X199" s="283">
        <f t="shared" si="153"/>
        <v>0</v>
      </c>
      <c r="Y199" s="283">
        <f t="shared" si="154"/>
        <v>0</v>
      </c>
      <c r="Z199" s="285">
        <f t="shared" si="155"/>
        <v>2060</v>
      </c>
      <c r="AA199" s="285">
        <f t="shared" si="156"/>
        <v>1260.67</v>
      </c>
      <c r="AB199" s="285">
        <f t="shared" si="173"/>
        <v>0</v>
      </c>
      <c r="AC199" s="285">
        <f t="shared" si="174"/>
        <v>0</v>
      </c>
      <c r="AD199" s="285">
        <f t="shared" si="175"/>
        <v>0</v>
      </c>
      <c r="AE199" s="286">
        <v>0</v>
      </c>
      <c r="AF199" s="287">
        <f t="shared" si="157"/>
        <v>0</v>
      </c>
      <c r="AG199" s="288">
        <f t="shared" si="158"/>
        <v>0</v>
      </c>
      <c r="AH199" s="285">
        <f t="shared" si="159"/>
        <v>0</v>
      </c>
      <c r="AI199" s="286">
        <v>0</v>
      </c>
      <c r="AJ199" s="286">
        <v>0</v>
      </c>
      <c r="AK199" s="286">
        <v>0</v>
      </c>
      <c r="AL199" s="285">
        <f t="shared" si="160"/>
        <v>3320.67</v>
      </c>
      <c r="AM199" s="285">
        <f t="shared" si="161"/>
        <v>3320.67</v>
      </c>
      <c r="AN199" s="289">
        <f t="shared" si="176"/>
        <v>1</v>
      </c>
      <c r="AO199" s="290">
        <f t="shared" si="162"/>
        <v>43.75</v>
      </c>
      <c r="AP199" s="290">
        <f t="shared" si="163"/>
        <v>41.82</v>
      </c>
      <c r="AQ199" s="290">
        <f t="shared" si="164"/>
        <v>143.05000000000001</v>
      </c>
      <c r="AR199" s="290">
        <f t="shared" si="165"/>
        <v>0</v>
      </c>
      <c r="AS199" s="290">
        <f t="shared" si="166"/>
        <v>0</v>
      </c>
      <c r="AT199" s="290">
        <f t="shared" si="167"/>
        <v>3549.29</v>
      </c>
      <c r="AU199" s="291">
        <f t="shared" si="168"/>
        <v>3549.2900000000004</v>
      </c>
      <c r="AV199" s="291">
        <f t="shared" si="137"/>
        <v>0</v>
      </c>
      <c r="AW199" s="292">
        <f t="shared" si="169"/>
        <v>376.1</v>
      </c>
      <c r="AX199" s="293">
        <f t="shared" si="170"/>
        <v>884.57</v>
      </c>
      <c r="BC199" s="276">
        <f>IF(BI199=1,IF(BC198=MiscData!$F$1,EOMONTH(BC198,-11),EOMONTH(BC198,1)),BC198)</f>
        <v>41820</v>
      </c>
      <c r="BD199" s="275" t="str">
        <f t="shared" si="177"/>
        <v>20140101LGCME551UM</v>
      </c>
      <c r="BE199" s="294" t="str">
        <f t="shared" si="178"/>
        <v>20140101GSS</v>
      </c>
      <c r="BF199">
        <f>MiscData!$X$5</f>
        <v>20140101</v>
      </c>
      <c r="BI199" s="265">
        <f>IF(BI198+1&gt;MiscData!$Z$42,1,BI198+1)</f>
        <v>6</v>
      </c>
      <c r="BJ199" s="265" t="str">
        <f>VLOOKUP(BI199,MiscData!$Z$5:$AB$46,2,FALSE)</f>
        <v>LGCME551UM</v>
      </c>
      <c r="BK199" s="265" t="str">
        <f>VLOOKUP(BI199,MiscData!$Z$5:$AB$46,3,FALSE)</f>
        <v>GSS</v>
      </c>
    </row>
    <row r="200" spans="1:63" hidden="1">
      <c r="A200" s="275">
        <v>187</v>
      </c>
      <c r="B200" s="276" t="str">
        <f t="shared" si="171"/>
        <v>Jun 2014</v>
      </c>
      <c r="C200" s="277" t="s">
        <v>892</v>
      </c>
      <c r="D200" s="277" t="str">
        <f t="shared" si="172"/>
        <v>LGCME552</v>
      </c>
      <c r="E200" s="278">
        <f t="shared" si="140"/>
        <v>121</v>
      </c>
      <c r="F200" s="279">
        <f>-E200</f>
        <v>-121</v>
      </c>
      <c r="G200" s="278">
        <f t="shared" si="141"/>
        <v>0</v>
      </c>
      <c r="H200" s="278">
        <f t="shared" si="142"/>
        <v>0</v>
      </c>
      <c r="I200" s="278">
        <f t="shared" si="143"/>
        <v>0</v>
      </c>
      <c r="J200" s="278">
        <f t="shared" si="144"/>
        <v>127719</v>
      </c>
      <c r="K200" s="280">
        <v>0</v>
      </c>
      <c r="L200" s="281">
        <f>SUMIFS(L_1022_Demand_Base_Measured,L_1022_Revenue_Month,$B200,L_1022_Rate_Category,$D200)</f>
        <v>1.3</v>
      </c>
      <c r="M200" s="281">
        <f>SUMIFS(L_1022_Demand_Inter_Measured,L_1022_Revenue_Month,$B200,L_1022_Rate_Category,$D200)</f>
        <v>0</v>
      </c>
      <c r="N200" s="281">
        <f t="shared" si="147"/>
        <v>0</v>
      </c>
      <c r="O200" s="282">
        <v>0</v>
      </c>
      <c r="P200" s="282">
        <v>0</v>
      </c>
      <c r="Q200" s="282">
        <v>0</v>
      </c>
      <c r="R200" s="283">
        <f t="shared" si="148"/>
        <v>0</v>
      </c>
      <c r="S200" s="284">
        <f t="shared" si="136"/>
        <v>9.1340000000000005E-2</v>
      </c>
      <c r="T200" s="284">
        <f t="shared" si="149"/>
        <v>0</v>
      </c>
      <c r="U200" s="284">
        <f t="shared" si="150"/>
        <v>0</v>
      </c>
      <c r="V200" s="284">
        <f t="shared" si="151"/>
        <v>2.725E-2</v>
      </c>
      <c r="W200" s="283">
        <f t="shared" si="152"/>
        <v>0</v>
      </c>
      <c r="X200" s="283">
        <f t="shared" si="153"/>
        <v>0</v>
      </c>
      <c r="Y200" s="283">
        <f t="shared" si="154"/>
        <v>0</v>
      </c>
      <c r="Z200" s="285">
        <f t="shared" si="155"/>
        <v>0</v>
      </c>
      <c r="AA200" s="285">
        <f t="shared" si="156"/>
        <v>11665.85</v>
      </c>
      <c r="AB200" s="285">
        <f t="shared" si="173"/>
        <v>0</v>
      </c>
      <c r="AC200" s="285">
        <f t="shared" si="174"/>
        <v>0</v>
      </c>
      <c r="AD200" s="285">
        <f t="shared" si="175"/>
        <v>0</v>
      </c>
      <c r="AE200" s="286">
        <v>0</v>
      </c>
      <c r="AF200" s="287">
        <f t="shared" si="157"/>
        <v>0</v>
      </c>
      <c r="AG200" s="288">
        <f t="shared" si="158"/>
        <v>0</v>
      </c>
      <c r="AH200" s="285">
        <f t="shared" si="159"/>
        <v>0</v>
      </c>
      <c r="AI200" s="286">
        <v>0</v>
      </c>
      <c r="AJ200" s="286">
        <v>0.01</v>
      </c>
      <c r="AK200" s="286">
        <v>0</v>
      </c>
      <c r="AL200" s="285">
        <f t="shared" si="160"/>
        <v>11665.86</v>
      </c>
      <c r="AM200" s="285">
        <f t="shared" si="161"/>
        <v>11665.86</v>
      </c>
      <c r="AN200" s="289">
        <f t="shared" si="176"/>
        <v>1</v>
      </c>
      <c r="AO200" s="290">
        <f t="shared" si="162"/>
        <v>396.88</v>
      </c>
      <c r="AP200" s="290">
        <f t="shared" si="163"/>
        <v>387</v>
      </c>
      <c r="AQ200" s="290">
        <f t="shared" si="164"/>
        <v>406.95</v>
      </c>
      <c r="AR200" s="290">
        <f t="shared" si="165"/>
        <v>0</v>
      </c>
      <c r="AS200" s="290">
        <f t="shared" si="166"/>
        <v>0</v>
      </c>
      <c r="AT200" s="290">
        <f t="shared" si="167"/>
        <v>12856.69</v>
      </c>
      <c r="AU200" s="291">
        <f t="shared" si="168"/>
        <v>12856.69</v>
      </c>
      <c r="AV200" s="291">
        <f t="shared" si="137"/>
        <v>0</v>
      </c>
      <c r="AW200" s="292">
        <f t="shared" si="169"/>
        <v>3480.34</v>
      </c>
      <c r="AX200" s="293">
        <f t="shared" si="170"/>
        <v>8185.52</v>
      </c>
      <c r="BC200" s="276">
        <f>IF(BI200=1,IF(BC199=MiscData!$F$1,EOMONTH(BC199,-11),EOMONTH(BC199,1)),BC199)</f>
        <v>41820</v>
      </c>
      <c r="BD200" s="275" t="str">
        <f t="shared" si="177"/>
        <v>20140101LGCME552</v>
      </c>
      <c r="BE200" s="294" t="str">
        <f t="shared" si="178"/>
        <v>20140101GSS</v>
      </c>
      <c r="BF200">
        <f>MiscData!$X$5</f>
        <v>20140101</v>
      </c>
      <c r="BI200" s="265">
        <f>IF(BI199+1&gt;MiscData!$Z$42,1,BI199+1)</f>
        <v>7</v>
      </c>
      <c r="BJ200" s="265" t="str">
        <f>VLOOKUP(BI200,MiscData!$Z$5:$AB$46,2,FALSE)</f>
        <v>LGCME552</v>
      </c>
      <c r="BK200" s="265" t="str">
        <f>VLOOKUP(BI200,MiscData!$Z$5:$AB$46,3,FALSE)</f>
        <v>GSS</v>
      </c>
    </row>
    <row r="201" spans="1:63" hidden="1">
      <c r="A201" s="275">
        <v>188</v>
      </c>
      <c r="B201" s="276" t="str">
        <f t="shared" si="171"/>
        <v>Jun 2014</v>
      </c>
      <c r="C201" s="277" t="s">
        <v>892</v>
      </c>
      <c r="D201" s="277" t="str">
        <f t="shared" si="172"/>
        <v>LGCME557</v>
      </c>
      <c r="E201" s="278">
        <f t="shared" si="140"/>
        <v>7</v>
      </c>
      <c r="F201" s="279">
        <v>0</v>
      </c>
      <c r="G201" s="278">
        <f t="shared" si="141"/>
        <v>0</v>
      </c>
      <c r="H201" s="278">
        <f t="shared" si="142"/>
        <v>0</v>
      </c>
      <c r="I201" s="278">
        <f t="shared" si="143"/>
        <v>0</v>
      </c>
      <c r="J201" s="278">
        <f t="shared" si="144"/>
        <v>2634</v>
      </c>
      <c r="K201" s="280">
        <v>0</v>
      </c>
      <c r="L201" s="281">
        <f t="shared" si="145"/>
        <v>0</v>
      </c>
      <c r="M201" s="281">
        <f t="shared" si="146"/>
        <v>0</v>
      </c>
      <c r="N201" s="281">
        <f t="shared" si="147"/>
        <v>0</v>
      </c>
      <c r="O201" s="282">
        <v>0</v>
      </c>
      <c r="P201" s="282">
        <v>0</v>
      </c>
      <c r="Q201" s="282">
        <v>0</v>
      </c>
      <c r="R201" s="283">
        <f t="shared" si="148"/>
        <v>20</v>
      </c>
      <c r="S201" s="284">
        <f t="shared" si="136"/>
        <v>9.1340000000000005E-2</v>
      </c>
      <c r="T201" s="284">
        <f t="shared" si="149"/>
        <v>0</v>
      </c>
      <c r="U201" s="284">
        <f t="shared" si="150"/>
        <v>0</v>
      </c>
      <c r="V201" s="284">
        <f t="shared" si="151"/>
        <v>2.725E-2</v>
      </c>
      <c r="W201" s="283">
        <f t="shared" si="152"/>
        <v>0</v>
      </c>
      <c r="X201" s="283">
        <f t="shared" si="153"/>
        <v>0</v>
      </c>
      <c r="Y201" s="283">
        <f t="shared" si="154"/>
        <v>0</v>
      </c>
      <c r="Z201" s="285">
        <f t="shared" si="155"/>
        <v>140</v>
      </c>
      <c r="AA201" s="285">
        <f t="shared" si="156"/>
        <v>240.59</v>
      </c>
      <c r="AB201" s="285">
        <f t="shared" si="173"/>
        <v>0</v>
      </c>
      <c r="AC201" s="285">
        <f t="shared" si="174"/>
        <v>0</v>
      </c>
      <c r="AD201" s="285">
        <f t="shared" si="175"/>
        <v>0</v>
      </c>
      <c r="AE201" s="286">
        <v>0</v>
      </c>
      <c r="AF201" s="287">
        <f t="shared" si="157"/>
        <v>0</v>
      </c>
      <c r="AG201" s="288">
        <f t="shared" si="158"/>
        <v>0</v>
      </c>
      <c r="AH201" s="285">
        <f t="shared" si="159"/>
        <v>0</v>
      </c>
      <c r="AI201" s="286">
        <v>0</v>
      </c>
      <c r="AJ201" s="286">
        <v>0</v>
      </c>
      <c r="AK201" s="286">
        <v>0</v>
      </c>
      <c r="AL201" s="285">
        <f t="shared" si="160"/>
        <v>380.59000000000003</v>
      </c>
      <c r="AM201" s="285">
        <f t="shared" si="161"/>
        <v>380.59000000000003</v>
      </c>
      <c r="AN201" s="289">
        <f t="shared" si="176"/>
        <v>1</v>
      </c>
      <c r="AO201" s="290">
        <f t="shared" si="162"/>
        <v>8.35</v>
      </c>
      <c r="AP201" s="290">
        <f t="shared" si="163"/>
        <v>7.98</v>
      </c>
      <c r="AQ201" s="290">
        <f t="shared" si="164"/>
        <v>15.18</v>
      </c>
      <c r="AR201" s="290">
        <f t="shared" si="165"/>
        <v>0</v>
      </c>
      <c r="AS201" s="290">
        <f t="shared" si="166"/>
        <v>0</v>
      </c>
      <c r="AT201" s="290">
        <f t="shared" si="167"/>
        <v>412.1</v>
      </c>
      <c r="AU201" s="291">
        <f t="shared" si="168"/>
        <v>412.10000000000008</v>
      </c>
      <c r="AV201" s="291">
        <f t="shared" si="137"/>
        <v>0</v>
      </c>
      <c r="AW201" s="292">
        <f t="shared" si="169"/>
        <v>71.78</v>
      </c>
      <c r="AX201" s="293">
        <f t="shared" si="170"/>
        <v>168.81</v>
      </c>
      <c r="BC201" s="276">
        <f>IF(BI201=1,IF(BC200=MiscData!$F$1,EOMONTH(BC200,-11),EOMONTH(BC200,1)),BC200)</f>
        <v>41820</v>
      </c>
      <c r="BD201" s="275" t="str">
        <f t="shared" si="177"/>
        <v>20140101LGCME557</v>
      </c>
      <c r="BE201" s="294" t="str">
        <f t="shared" si="178"/>
        <v>20140101GSS</v>
      </c>
      <c r="BF201">
        <f>MiscData!$X$5</f>
        <v>20140101</v>
      </c>
      <c r="BI201" s="265">
        <f>IF(BI200+1&gt;MiscData!$Z$42,1,BI200+1)</f>
        <v>8</v>
      </c>
      <c r="BJ201" s="265" t="str">
        <f>VLOOKUP(BI201,MiscData!$Z$5:$AB$46,2,FALSE)</f>
        <v>LGCME557</v>
      </c>
      <c r="BK201" s="265" t="str">
        <f>VLOOKUP(BI201,MiscData!$Z$5:$AB$46,3,FALSE)</f>
        <v>GSS</v>
      </c>
    </row>
    <row r="202" spans="1:63" hidden="1">
      <c r="A202" s="275">
        <v>189</v>
      </c>
      <c r="B202" s="276" t="str">
        <f t="shared" si="171"/>
        <v>Jun 2014</v>
      </c>
      <c r="C202" s="277" t="str">
        <f t="shared" ref="C202:C260" si="179">BK202</f>
        <v>PSS</v>
      </c>
      <c r="D202" s="277" t="str">
        <f t="shared" si="172"/>
        <v>LGCME561</v>
      </c>
      <c r="E202" s="278">
        <f t="shared" si="140"/>
        <v>2585</v>
      </c>
      <c r="F202" s="279">
        <v>17</v>
      </c>
      <c r="G202" s="278">
        <f t="shared" si="141"/>
        <v>0</v>
      </c>
      <c r="H202" s="278">
        <f t="shared" si="142"/>
        <v>0</v>
      </c>
      <c r="I202" s="278">
        <f t="shared" si="143"/>
        <v>0</v>
      </c>
      <c r="J202" s="278">
        <f t="shared" si="144"/>
        <v>154034270</v>
      </c>
      <c r="K202" s="280">
        <v>0</v>
      </c>
      <c r="L202" s="281">
        <f t="shared" si="145"/>
        <v>0</v>
      </c>
      <c r="M202" s="281">
        <f t="shared" si="146"/>
        <v>0</v>
      </c>
      <c r="N202" s="281">
        <f t="shared" si="147"/>
        <v>391313.9</v>
      </c>
      <c r="O202" s="282">
        <v>0</v>
      </c>
      <c r="P202" s="282">
        <v>0</v>
      </c>
      <c r="Q202" s="282">
        <v>10643.15</v>
      </c>
      <c r="R202" s="283">
        <f t="shared" si="148"/>
        <v>90</v>
      </c>
      <c r="S202" s="284">
        <f t="shared" si="136"/>
        <v>4.0599999999999997E-2</v>
      </c>
      <c r="T202" s="284">
        <f t="shared" si="149"/>
        <v>0</v>
      </c>
      <c r="U202" s="284">
        <f t="shared" si="150"/>
        <v>0</v>
      </c>
      <c r="V202" s="284">
        <f t="shared" si="151"/>
        <v>2.725E-2</v>
      </c>
      <c r="W202" s="283">
        <f t="shared" si="152"/>
        <v>0</v>
      </c>
      <c r="X202" s="283">
        <f t="shared" si="153"/>
        <v>14.010000000000002</v>
      </c>
      <c r="Y202" s="283">
        <f t="shared" si="154"/>
        <v>16.399999999999999</v>
      </c>
      <c r="Z202" s="285">
        <f t="shared" si="155"/>
        <v>234180</v>
      </c>
      <c r="AA202" s="285">
        <f t="shared" si="156"/>
        <v>6253791.3600000003</v>
      </c>
      <c r="AB202" s="285">
        <f t="shared" si="173"/>
        <v>0</v>
      </c>
      <c r="AC202" s="285">
        <f t="shared" si="174"/>
        <v>0</v>
      </c>
      <c r="AD202" s="285">
        <f t="shared" si="175"/>
        <v>6417547.96</v>
      </c>
      <c r="AE202" s="286">
        <v>0</v>
      </c>
      <c r="AF202" s="287">
        <f t="shared" si="157"/>
        <v>17494.73</v>
      </c>
      <c r="AG202" s="288">
        <f t="shared" si="158"/>
        <v>174547.66</v>
      </c>
      <c r="AH202" s="285">
        <f t="shared" si="159"/>
        <v>6609590.3500000006</v>
      </c>
      <c r="AI202" s="286">
        <v>-996.85</v>
      </c>
      <c r="AJ202" s="286">
        <v>0.02</v>
      </c>
      <c r="AK202" s="286">
        <v>-9774.4599999999991</v>
      </c>
      <c r="AL202" s="285">
        <f t="shared" si="160"/>
        <v>13086790.42</v>
      </c>
      <c r="AM202" s="285">
        <f t="shared" si="161"/>
        <v>13086790.42</v>
      </c>
      <c r="AN202" s="289">
        <f t="shared" si="176"/>
        <v>1</v>
      </c>
      <c r="AO202" s="290">
        <f t="shared" si="162"/>
        <v>479419.47</v>
      </c>
      <c r="AP202" s="290">
        <f t="shared" si="163"/>
        <v>212648.77</v>
      </c>
      <c r="AQ202" s="290">
        <f t="shared" si="164"/>
        <v>432150.24</v>
      </c>
      <c r="AR202" s="290">
        <f t="shared" si="165"/>
        <v>0</v>
      </c>
      <c r="AS202" s="290">
        <f t="shared" si="166"/>
        <v>0</v>
      </c>
      <c r="AT202" s="290">
        <f t="shared" si="167"/>
        <v>14211008.9</v>
      </c>
      <c r="AU202" s="291">
        <f t="shared" si="168"/>
        <v>14211008.9</v>
      </c>
      <c r="AV202" s="291">
        <f t="shared" si="137"/>
        <v>0</v>
      </c>
      <c r="AW202" s="292">
        <f t="shared" si="169"/>
        <v>4197433.8600000003</v>
      </c>
      <c r="AX202" s="293">
        <f t="shared" si="170"/>
        <v>2056357.5199999996</v>
      </c>
      <c r="BC202" s="276">
        <f>IF(BI202=1,IF(BC201=MiscData!$F$1,EOMONTH(BC201,-11),EOMONTH(BC201,1)),BC201)</f>
        <v>41820</v>
      </c>
      <c r="BD202" s="275" t="str">
        <f t="shared" si="177"/>
        <v>20140101LGCME561</v>
      </c>
      <c r="BE202" s="294" t="str">
        <f t="shared" si="178"/>
        <v>20140101PSS</v>
      </c>
      <c r="BF202">
        <f>MiscData!$X$5</f>
        <v>20140101</v>
      </c>
      <c r="BI202" s="265">
        <f>IF(BI201+1&gt;MiscData!$Z$42,1,BI201+1)</f>
        <v>9</v>
      </c>
      <c r="BJ202" s="265" t="str">
        <f>VLOOKUP(BI202,MiscData!$Z$5:$AB$46,2,FALSE)</f>
        <v>LGCME561</v>
      </c>
      <c r="BK202" s="265" t="str">
        <f>VLOOKUP(BI202,MiscData!$Z$5:$AB$46,3,FALSE)</f>
        <v>PSS</v>
      </c>
    </row>
    <row r="203" spans="1:63" hidden="1">
      <c r="A203" s="275">
        <v>190</v>
      </c>
      <c r="B203" s="276" t="str">
        <f t="shared" si="171"/>
        <v>Jun 2014</v>
      </c>
      <c r="C203" s="277" t="str">
        <f t="shared" si="179"/>
        <v>PSP</v>
      </c>
      <c r="D203" s="277" t="str">
        <f t="shared" si="172"/>
        <v>LGCME563</v>
      </c>
      <c r="E203" s="278">
        <f t="shared" si="140"/>
        <v>58</v>
      </c>
      <c r="F203" s="279">
        <v>0</v>
      </c>
      <c r="G203" s="278">
        <f t="shared" si="141"/>
        <v>0</v>
      </c>
      <c r="H203" s="278">
        <f t="shared" si="142"/>
        <v>0</v>
      </c>
      <c r="I203" s="278">
        <f t="shared" si="143"/>
        <v>0</v>
      </c>
      <c r="J203" s="278">
        <f t="shared" si="144"/>
        <v>13891540</v>
      </c>
      <c r="K203" s="280">
        <v>0</v>
      </c>
      <c r="L203" s="281">
        <f t="shared" si="145"/>
        <v>0</v>
      </c>
      <c r="M203" s="281">
        <f t="shared" si="146"/>
        <v>0</v>
      </c>
      <c r="N203" s="281">
        <f t="shared" si="147"/>
        <v>30195.7</v>
      </c>
      <c r="O203" s="282">
        <v>0</v>
      </c>
      <c r="P203" s="282">
        <v>0</v>
      </c>
      <c r="Q203" s="282">
        <v>6691</v>
      </c>
      <c r="R203" s="283">
        <f t="shared" si="148"/>
        <v>170</v>
      </c>
      <c r="S203" s="284">
        <f t="shared" si="136"/>
        <v>3.9260000000000003E-2</v>
      </c>
      <c r="T203" s="284">
        <f t="shared" si="149"/>
        <v>0</v>
      </c>
      <c r="U203" s="284">
        <f t="shared" si="150"/>
        <v>0</v>
      </c>
      <c r="V203" s="284">
        <f t="shared" si="151"/>
        <v>2.725E-2</v>
      </c>
      <c r="W203" s="283">
        <f t="shared" si="152"/>
        <v>0</v>
      </c>
      <c r="X203" s="283">
        <f t="shared" si="153"/>
        <v>11.660000000000002</v>
      </c>
      <c r="Y203" s="283">
        <f t="shared" si="154"/>
        <v>13.950000000000001</v>
      </c>
      <c r="Z203" s="285">
        <f t="shared" si="155"/>
        <v>9860</v>
      </c>
      <c r="AA203" s="285">
        <f t="shared" si="156"/>
        <v>545381.86</v>
      </c>
      <c r="AB203" s="285">
        <f t="shared" si="173"/>
        <v>0</v>
      </c>
      <c r="AC203" s="285">
        <f t="shared" si="174"/>
        <v>0</v>
      </c>
      <c r="AD203" s="285">
        <f t="shared" si="175"/>
        <v>421230.02</v>
      </c>
      <c r="AE203" s="286">
        <v>0</v>
      </c>
      <c r="AF203" s="287">
        <f t="shared" si="157"/>
        <v>5912.05</v>
      </c>
      <c r="AG203" s="288">
        <f t="shared" si="158"/>
        <v>93339.45</v>
      </c>
      <c r="AH203" s="285">
        <f t="shared" si="159"/>
        <v>520481.52</v>
      </c>
      <c r="AI203" s="286">
        <v>-102</v>
      </c>
      <c r="AJ203" s="286">
        <v>0.02</v>
      </c>
      <c r="AK203" s="286">
        <v>-1350.15</v>
      </c>
      <c r="AL203" s="285">
        <f t="shared" si="160"/>
        <v>1074271.2500000002</v>
      </c>
      <c r="AM203" s="285">
        <f t="shared" si="161"/>
        <v>1074271.25</v>
      </c>
      <c r="AN203" s="289">
        <f t="shared" si="176"/>
        <v>1</v>
      </c>
      <c r="AO203" s="290">
        <f t="shared" si="162"/>
        <v>42126.2</v>
      </c>
      <c r="AP203" s="290">
        <f t="shared" si="163"/>
        <v>19309.23</v>
      </c>
      <c r="AQ203" s="290">
        <f t="shared" si="164"/>
        <v>33585.57</v>
      </c>
      <c r="AR203" s="290">
        <f t="shared" si="165"/>
        <v>0</v>
      </c>
      <c r="AS203" s="290">
        <f t="shared" si="166"/>
        <v>0</v>
      </c>
      <c r="AT203" s="290">
        <f t="shared" si="167"/>
        <v>1169292.25</v>
      </c>
      <c r="AU203" s="291">
        <f t="shared" si="168"/>
        <v>1169292.2500000002</v>
      </c>
      <c r="AV203" s="291">
        <f t="shared" si="137"/>
        <v>0</v>
      </c>
      <c r="AW203" s="292">
        <f t="shared" si="169"/>
        <v>378544.47</v>
      </c>
      <c r="AX203" s="293">
        <f t="shared" si="170"/>
        <v>166837.41000000003</v>
      </c>
      <c r="BC203" s="276">
        <f>IF(BI203=1,IF(BC202=MiscData!$F$1,EOMONTH(BC202,-11),EOMONTH(BC202,1)),BC202)</f>
        <v>41820</v>
      </c>
      <c r="BD203" s="275" t="str">
        <f t="shared" si="177"/>
        <v>20140101LGCME563</v>
      </c>
      <c r="BE203" s="294" t="str">
        <f t="shared" si="178"/>
        <v>20140101PSP</v>
      </c>
      <c r="BF203">
        <f>MiscData!$X$5</f>
        <v>20140101</v>
      </c>
      <c r="BI203" s="265">
        <f>IF(BI202+1&gt;MiscData!$Z$42,1,BI202+1)</f>
        <v>10</v>
      </c>
      <c r="BJ203" s="265" t="str">
        <f>VLOOKUP(BI203,MiscData!$Z$5:$AB$46,2,FALSE)</f>
        <v>LGCME563</v>
      </c>
      <c r="BK203" s="265" t="str">
        <f>VLOOKUP(BI203,MiscData!$Z$5:$AB$46,3,FALSE)</f>
        <v>PSP</v>
      </c>
    </row>
    <row r="204" spans="1:63" hidden="1">
      <c r="A204" s="275">
        <v>191</v>
      </c>
      <c r="B204" s="276" t="str">
        <f t="shared" si="171"/>
        <v>Jun 2014</v>
      </c>
      <c r="C204" s="277" t="str">
        <f t="shared" si="179"/>
        <v>PSS</v>
      </c>
      <c r="D204" s="277" t="str">
        <f t="shared" si="172"/>
        <v>LGCME567</v>
      </c>
      <c r="E204" s="278">
        <f t="shared" si="140"/>
        <v>1</v>
      </c>
      <c r="F204" s="279">
        <v>0</v>
      </c>
      <c r="G204" s="278">
        <f t="shared" si="141"/>
        <v>0</v>
      </c>
      <c r="H204" s="278">
        <f t="shared" si="142"/>
        <v>0</v>
      </c>
      <c r="I204" s="278">
        <f t="shared" si="143"/>
        <v>0</v>
      </c>
      <c r="J204" s="278">
        <f t="shared" si="144"/>
        <v>118320</v>
      </c>
      <c r="K204" s="280">
        <v>0</v>
      </c>
      <c r="L204" s="281">
        <f t="shared" si="145"/>
        <v>0</v>
      </c>
      <c r="M204" s="281">
        <f t="shared" si="146"/>
        <v>0</v>
      </c>
      <c r="N204" s="281">
        <f t="shared" si="147"/>
        <v>401.1</v>
      </c>
      <c r="O204" s="282">
        <v>0</v>
      </c>
      <c r="P204" s="282">
        <v>0</v>
      </c>
      <c r="Q204" s="282">
        <v>0</v>
      </c>
      <c r="R204" s="283">
        <f t="shared" si="148"/>
        <v>90</v>
      </c>
      <c r="S204" s="284">
        <f t="shared" si="136"/>
        <v>4.0599999999999997E-2</v>
      </c>
      <c r="T204" s="284">
        <f t="shared" si="149"/>
        <v>0</v>
      </c>
      <c r="U204" s="284">
        <f t="shared" si="150"/>
        <v>0</v>
      </c>
      <c r="V204" s="284">
        <f t="shared" si="151"/>
        <v>2.725E-2</v>
      </c>
      <c r="W204" s="283">
        <f t="shared" si="152"/>
        <v>0</v>
      </c>
      <c r="X204" s="283">
        <f t="shared" si="153"/>
        <v>14.010000000000002</v>
      </c>
      <c r="Y204" s="283">
        <f t="shared" si="154"/>
        <v>16.399999999999999</v>
      </c>
      <c r="Z204" s="285">
        <f t="shared" si="155"/>
        <v>90</v>
      </c>
      <c r="AA204" s="285">
        <f t="shared" si="156"/>
        <v>4803.79</v>
      </c>
      <c r="AB204" s="285">
        <f t="shared" si="173"/>
        <v>0</v>
      </c>
      <c r="AC204" s="285">
        <f t="shared" si="174"/>
        <v>0</v>
      </c>
      <c r="AD204" s="285">
        <f t="shared" si="175"/>
        <v>6578.04</v>
      </c>
      <c r="AE204" s="286">
        <v>0</v>
      </c>
      <c r="AF204" s="287">
        <f t="shared" si="157"/>
        <v>0</v>
      </c>
      <c r="AG204" s="288">
        <f t="shared" si="158"/>
        <v>0</v>
      </c>
      <c r="AH204" s="285">
        <f t="shared" si="159"/>
        <v>6578.04</v>
      </c>
      <c r="AI204" s="286">
        <v>0</v>
      </c>
      <c r="AJ204" s="286">
        <v>0</v>
      </c>
      <c r="AK204" s="286">
        <v>0</v>
      </c>
      <c r="AL204" s="285">
        <f t="shared" si="160"/>
        <v>11471.83</v>
      </c>
      <c r="AM204" s="285">
        <f t="shared" si="161"/>
        <v>11471.830000000002</v>
      </c>
      <c r="AN204" s="289">
        <f t="shared" si="176"/>
        <v>1</v>
      </c>
      <c r="AO204" s="290">
        <f t="shared" si="162"/>
        <v>189.31</v>
      </c>
      <c r="AP204" s="290">
        <f t="shared" si="163"/>
        <v>164.46</v>
      </c>
      <c r="AQ204" s="290">
        <f t="shared" si="164"/>
        <v>313.77</v>
      </c>
      <c r="AR204" s="290">
        <f t="shared" si="165"/>
        <v>0</v>
      </c>
      <c r="AS204" s="290">
        <f t="shared" si="166"/>
        <v>0</v>
      </c>
      <c r="AT204" s="290">
        <f t="shared" si="167"/>
        <v>12139.37</v>
      </c>
      <c r="AU204" s="291">
        <f t="shared" si="168"/>
        <v>12139.369999999999</v>
      </c>
      <c r="AV204" s="291">
        <f t="shared" si="137"/>
        <v>0</v>
      </c>
      <c r="AW204" s="292">
        <f t="shared" si="169"/>
        <v>3224.22</v>
      </c>
      <c r="AX204" s="293">
        <f t="shared" si="170"/>
        <v>1579.5700000000002</v>
      </c>
      <c r="BC204" s="276">
        <f>IF(BI204=1,IF(BC203=MiscData!$F$1,EOMONTH(BC203,-11),EOMONTH(BC203,1)),BC203)</f>
        <v>41820</v>
      </c>
      <c r="BD204" s="275" t="str">
        <f t="shared" si="177"/>
        <v>20140101LGCME567</v>
      </c>
      <c r="BE204" s="294" t="str">
        <f t="shared" si="178"/>
        <v>20140101PSS</v>
      </c>
      <c r="BF204">
        <f>MiscData!$X$5</f>
        <v>20140101</v>
      </c>
      <c r="BI204" s="265">
        <f>IF(BI203+1&gt;MiscData!$Z$42,1,BI203+1)</f>
        <v>11</v>
      </c>
      <c r="BJ204" s="265" t="str">
        <f>VLOOKUP(BI204,MiscData!$Z$5:$AB$46,2,FALSE)</f>
        <v>LGCME567</v>
      </c>
      <c r="BK204" s="265" t="str">
        <f>VLOOKUP(BI204,MiscData!$Z$5:$AB$46,3,FALSE)</f>
        <v>PSS</v>
      </c>
    </row>
    <row r="205" spans="1:63" hidden="1">
      <c r="A205" s="275">
        <v>192</v>
      </c>
      <c r="B205" s="276" t="str">
        <f t="shared" si="171"/>
        <v>Jun 2014</v>
      </c>
      <c r="C205" s="277" t="str">
        <f t="shared" si="179"/>
        <v>TODS</v>
      </c>
      <c r="D205" s="277" t="str">
        <f t="shared" si="172"/>
        <v>LGCME591</v>
      </c>
      <c r="E205" s="278">
        <f t="shared" si="140"/>
        <v>219</v>
      </c>
      <c r="F205" s="279">
        <v>1</v>
      </c>
      <c r="G205" s="278">
        <f t="shared" si="141"/>
        <v>0</v>
      </c>
      <c r="H205" s="278">
        <f t="shared" si="142"/>
        <v>0</v>
      </c>
      <c r="I205" s="278">
        <f t="shared" si="143"/>
        <v>0</v>
      </c>
      <c r="J205" s="278">
        <f t="shared" si="144"/>
        <v>62607707</v>
      </c>
      <c r="K205" s="280">
        <v>0</v>
      </c>
      <c r="L205" s="281">
        <f t="shared" si="145"/>
        <v>131704</v>
      </c>
      <c r="M205" s="281">
        <f t="shared" si="146"/>
        <v>129882.9</v>
      </c>
      <c r="N205" s="281">
        <f t="shared" si="147"/>
        <v>128141.8</v>
      </c>
      <c r="O205" s="282">
        <v>6292.2999999999884</v>
      </c>
      <c r="P205" s="282">
        <v>960.24999999998545</v>
      </c>
      <c r="Q205" s="282">
        <v>933.45000000001164</v>
      </c>
      <c r="R205" s="283">
        <f t="shared" si="148"/>
        <v>200</v>
      </c>
      <c r="S205" s="284">
        <f t="shared" si="136"/>
        <v>3.9899999999999998E-2</v>
      </c>
      <c r="T205" s="284">
        <f t="shared" si="149"/>
        <v>0</v>
      </c>
      <c r="U205" s="284">
        <f t="shared" si="150"/>
        <v>0</v>
      </c>
      <c r="V205" s="284">
        <f t="shared" si="151"/>
        <v>2.725E-2</v>
      </c>
      <c r="W205" s="283">
        <f t="shared" si="152"/>
        <v>4</v>
      </c>
      <c r="X205" s="283">
        <f t="shared" si="153"/>
        <v>4.5100000000000007</v>
      </c>
      <c r="Y205" s="283">
        <f t="shared" si="154"/>
        <v>6.11</v>
      </c>
      <c r="Z205" s="285">
        <f t="shared" si="155"/>
        <v>44000</v>
      </c>
      <c r="AA205" s="285">
        <f t="shared" si="156"/>
        <v>2498047.5099999998</v>
      </c>
      <c r="AB205" s="285">
        <f t="shared" si="173"/>
        <v>526816</v>
      </c>
      <c r="AC205" s="285">
        <f t="shared" si="174"/>
        <v>585771.88</v>
      </c>
      <c r="AD205" s="285">
        <f t="shared" si="175"/>
        <v>782946.4</v>
      </c>
      <c r="AE205" s="286">
        <v>1755</v>
      </c>
      <c r="AF205" s="287">
        <f t="shared" si="157"/>
        <v>32027.69</v>
      </c>
      <c r="AG205" s="288">
        <f t="shared" si="158"/>
        <v>35203.31</v>
      </c>
      <c r="AH205" s="285">
        <f t="shared" si="159"/>
        <v>1964520.2799999998</v>
      </c>
      <c r="AI205" s="286">
        <v>-364.77</v>
      </c>
      <c r="AJ205" s="286">
        <v>-0.01</v>
      </c>
      <c r="AK205" s="286">
        <v>5541.92</v>
      </c>
      <c r="AL205" s="285">
        <f t="shared" si="160"/>
        <v>4511744.9300000006</v>
      </c>
      <c r="AM205" s="285">
        <f t="shared" si="161"/>
        <v>4511744.93</v>
      </c>
      <c r="AN205" s="289">
        <f t="shared" si="176"/>
        <v>1</v>
      </c>
      <c r="AO205" s="290">
        <f t="shared" si="162"/>
        <v>194176.05</v>
      </c>
      <c r="AP205" s="290">
        <f t="shared" si="163"/>
        <v>47581.919999999998</v>
      </c>
      <c r="AQ205" s="290">
        <f t="shared" si="164"/>
        <v>135294.1</v>
      </c>
      <c r="AR205" s="290">
        <f t="shared" si="165"/>
        <v>0</v>
      </c>
      <c r="AS205" s="290">
        <f t="shared" si="166"/>
        <v>0</v>
      </c>
      <c r="AT205" s="290">
        <f t="shared" si="167"/>
        <v>4888797</v>
      </c>
      <c r="AU205" s="291">
        <f t="shared" si="168"/>
        <v>4888797</v>
      </c>
      <c r="AV205" s="291">
        <f t="shared" si="137"/>
        <v>0</v>
      </c>
      <c r="AW205" s="292">
        <f t="shared" si="169"/>
        <v>1706060.02</v>
      </c>
      <c r="AX205" s="293">
        <f t="shared" si="170"/>
        <v>791987.48</v>
      </c>
      <c r="BC205" s="276">
        <f>IF(BI205=1,IF(BC204=MiscData!$F$1,EOMONTH(BC204,-11),EOMONTH(BC204,1)),BC204)</f>
        <v>41820</v>
      </c>
      <c r="BD205" s="275" t="str">
        <f t="shared" si="177"/>
        <v>20140101LGCME591</v>
      </c>
      <c r="BE205" s="294" t="str">
        <f t="shared" si="178"/>
        <v>20140101TODS</v>
      </c>
      <c r="BF205">
        <f>MiscData!$X$5</f>
        <v>20140101</v>
      </c>
      <c r="BI205" s="265">
        <f>IF(BI204+1&gt;MiscData!$Z$42,1,BI204+1)</f>
        <v>12</v>
      </c>
      <c r="BJ205" s="265" t="str">
        <f>VLOOKUP(BI205,MiscData!$Z$5:$AB$46,2,FALSE)</f>
        <v>LGCME591</v>
      </c>
      <c r="BK205" s="265" t="str">
        <f>VLOOKUP(BI205,MiscData!$Z$5:$AB$46,3,FALSE)</f>
        <v>TODS</v>
      </c>
    </row>
    <row r="206" spans="1:63" hidden="1">
      <c r="A206" s="275">
        <v>193</v>
      </c>
      <c r="B206" s="276" t="str">
        <f t="shared" si="171"/>
        <v>Jun 2014</v>
      </c>
      <c r="C206" s="277" t="str">
        <f t="shared" si="179"/>
        <v>CTODP</v>
      </c>
      <c r="D206" s="277" t="str">
        <f t="shared" si="172"/>
        <v>LGCME593</v>
      </c>
      <c r="E206" s="278">
        <f t="shared" si="140"/>
        <v>34</v>
      </c>
      <c r="F206" s="279">
        <v>0</v>
      </c>
      <c r="G206" s="278">
        <f t="shared" si="141"/>
        <v>0</v>
      </c>
      <c r="H206" s="278">
        <f t="shared" si="142"/>
        <v>0</v>
      </c>
      <c r="I206" s="278">
        <f t="shared" si="143"/>
        <v>0</v>
      </c>
      <c r="J206" s="278">
        <f t="shared" si="144"/>
        <v>33569100</v>
      </c>
      <c r="K206" s="280">
        <v>0</v>
      </c>
      <c r="L206" s="281">
        <f t="shared" si="145"/>
        <v>71058.399999999994</v>
      </c>
      <c r="M206" s="281">
        <f t="shared" si="146"/>
        <v>70191.399999999994</v>
      </c>
      <c r="N206" s="281">
        <f t="shared" si="147"/>
        <v>69742.7</v>
      </c>
      <c r="O206" s="282">
        <v>4798.2000000000116</v>
      </c>
      <c r="P206" s="282">
        <v>1176.8000000000029</v>
      </c>
      <c r="Q206" s="282">
        <v>1154.7999999999884</v>
      </c>
      <c r="R206" s="283">
        <f t="shared" si="148"/>
        <v>300</v>
      </c>
      <c r="S206" s="284">
        <f t="shared" si="136"/>
        <v>3.8100000000000002E-2</v>
      </c>
      <c r="T206" s="284">
        <f t="shared" si="149"/>
        <v>0</v>
      </c>
      <c r="U206" s="284">
        <f t="shared" si="150"/>
        <v>0</v>
      </c>
      <c r="V206" s="284">
        <f t="shared" si="151"/>
        <v>2.725E-2</v>
      </c>
      <c r="W206" s="283">
        <f t="shared" si="152"/>
        <v>3.9800000000000004</v>
      </c>
      <c r="X206" s="283">
        <f t="shared" si="153"/>
        <v>4.13</v>
      </c>
      <c r="Y206" s="283">
        <f t="shared" si="154"/>
        <v>5.83</v>
      </c>
      <c r="Z206" s="285">
        <f t="shared" si="155"/>
        <v>10200</v>
      </c>
      <c r="AA206" s="285">
        <f t="shared" si="156"/>
        <v>1278982.71</v>
      </c>
      <c r="AB206" s="285">
        <f t="shared" si="173"/>
        <v>282812.43</v>
      </c>
      <c r="AC206" s="285">
        <f t="shared" si="174"/>
        <v>289890.48</v>
      </c>
      <c r="AD206" s="285">
        <f t="shared" si="175"/>
        <v>406599.94</v>
      </c>
      <c r="AE206" s="286">
        <v>0</v>
      </c>
      <c r="AF206" s="287">
        <f t="shared" si="157"/>
        <v>0</v>
      </c>
      <c r="AG206" s="288">
        <f t="shared" si="158"/>
        <v>30689.5</v>
      </c>
      <c r="AH206" s="285">
        <f t="shared" si="159"/>
        <v>1009992.3499999999</v>
      </c>
      <c r="AI206" s="286">
        <v>-270</v>
      </c>
      <c r="AJ206" s="286">
        <v>0</v>
      </c>
      <c r="AK206" s="286">
        <v>657.61</v>
      </c>
      <c r="AL206" s="285">
        <f t="shared" si="160"/>
        <v>2299562.67</v>
      </c>
      <c r="AM206" s="285">
        <f t="shared" si="161"/>
        <v>2299562.67</v>
      </c>
      <c r="AN206" s="289">
        <f t="shared" si="176"/>
        <v>1</v>
      </c>
      <c r="AO206" s="290">
        <f t="shared" si="162"/>
        <v>92244.479999999996</v>
      </c>
      <c r="AP206" s="290">
        <f t="shared" si="163"/>
        <v>25512.54</v>
      </c>
      <c r="AQ206" s="290">
        <f t="shared" si="164"/>
        <v>63835.16</v>
      </c>
      <c r="AR206" s="290">
        <f t="shared" si="165"/>
        <v>0</v>
      </c>
      <c r="AS206" s="290">
        <f t="shared" si="166"/>
        <v>0</v>
      </c>
      <c r="AT206" s="290">
        <f t="shared" si="167"/>
        <v>2481154.85</v>
      </c>
      <c r="AU206" s="291">
        <f t="shared" si="168"/>
        <v>2481154.85</v>
      </c>
      <c r="AV206" s="291">
        <f t="shared" si="137"/>
        <v>0</v>
      </c>
      <c r="AW206" s="292">
        <f t="shared" si="169"/>
        <v>914757.98</v>
      </c>
      <c r="AX206" s="293">
        <f t="shared" si="170"/>
        <v>364224.73</v>
      </c>
      <c r="BC206" s="276">
        <f>IF(BI206=1,IF(BC205=MiscData!$F$1,EOMONTH(BC205,-11),EOMONTH(BC205,1)),BC205)</f>
        <v>41820</v>
      </c>
      <c r="BD206" s="275" t="str">
        <f t="shared" si="177"/>
        <v>20140101LGCME593</v>
      </c>
      <c r="BE206" s="294" t="str">
        <f t="shared" si="178"/>
        <v>20140101CTODP</v>
      </c>
      <c r="BF206">
        <f>MiscData!$X$5</f>
        <v>20140101</v>
      </c>
      <c r="BI206" s="265">
        <f>IF(BI205+1&gt;MiscData!$Z$42,1,BI205+1)</f>
        <v>13</v>
      </c>
      <c r="BJ206" s="265" t="str">
        <f>VLOOKUP(BI206,MiscData!$Z$5:$AB$46,2,FALSE)</f>
        <v>LGCME593</v>
      </c>
      <c r="BK206" s="265" t="str">
        <f>VLOOKUP(BI206,MiscData!$Z$5:$AB$46,3,FALSE)</f>
        <v>CTODP</v>
      </c>
    </row>
    <row r="207" spans="1:63" hidden="1">
      <c r="A207" s="275">
        <v>194</v>
      </c>
      <c r="B207" s="276" t="str">
        <f t="shared" si="171"/>
        <v>Jun 2014</v>
      </c>
      <c r="C207" s="277" t="str">
        <f t="shared" si="179"/>
        <v>GS3</v>
      </c>
      <c r="D207" s="277" t="str">
        <f t="shared" si="172"/>
        <v>LGCME650</v>
      </c>
      <c r="E207" s="278">
        <f t="shared" si="140"/>
        <v>0</v>
      </c>
      <c r="F207" s="279">
        <v>0</v>
      </c>
      <c r="G207" s="278">
        <f t="shared" si="141"/>
        <v>0</v>
      </c>
      <c r="H207" s="278">
        <f t="shared" si="142"/>
        <v>0</v>
      </c>
      <c r="I207" s="278">
        <f t="shared" si="143"/>
        <v>0</v>
      </c>
      <c r="J207" s="278">
        <f t="shared" si="144"/>
        <v>0</v>
      </c>
      <c r="K207" s="280">
        <v>0</v>
      </c>
      <c r="L207" s="281">
        <f t="shared" si="145"/>
        <v>0</v>
      </c>
      <c r="M207" s="281">
        <f t="shared" si="146"/>
        <v>0</v>
      </c>
      <c r="N207" s="281">
        <f t="shared" si="147"/>
        <v>0</v>
      </c>
      <c r="O207" s="282">
        <v>0</v>
      </c>
      <c r="P207" s="282">
        <v>0</v>
      </c>
      <c r="Q207" s="282">
        <v>0</v>
      </c>
      <c r="R207" s="283">
        <f t="shared" si="148"/>
        <v>35</v>
      </c>
      <c r="S207" s="284">
        <f t="shared" si="136"/>
        <v>9.1340000000000005E-2</v>
      </c>
      <c r="T207" s="284">
        <f t="shared" si="149"/>
        <v>0</v>
      </c>
      <c r="U207" s="284">
        <f t="shared" si="150"/>
        <v>0</v>
      </c>
      <c r="V207" s="284">
        <f t="shared" si="151"/>
        <v>2.725E-2</v>
      </c>
      <c r="W207" s="283">
        <f t="shared" si="152"/>
        <v>0</v>
      </c>
      <c r="X207" s="283">
        <f t="shared" si="153"/>
        <v>0</v>
      </c>
      <c r="Y207" s="283">
        <f t="shared" si="154"/>
        <v>0</v>
      </c>
      <c r="Z207" s="285">
        <f t="shared" si="155"/>
        <v>0</v>
      </c>
      <c r="AA207" s="285">
        <f t="shared" si="156"/>
        <v>0</v>
      </c>
      <c r="AB207" s="285">
        <f t="shared" si="173"/>
        <v>0</v>
      </c>
      <c r="AC207" s="285">
        <f t="shared" si="174"/>
        <v>0</v>
      </c>
      <c r="AD207" s="285">
        <f t="shared" si="175"/>
        <v>0</v>
      </c>
      <c r="AE207" s="286">
        <v>0</v>
      </c>
      <c r="AF207" s="287">
        <f t="shared" si="157"/>
        <v>0</v>
      </c>
      <c r="AG207" s="288">
        <f t="shared" si="158"/>
        <v>0</v>
      </c>
      <c r="AH207" s="285">
        <f t="shared" si="159"/>
        <v>0</v>
      </c>
      <c r="AI207" s="286">
        <v>0</v>
      </c>
      <c r="AJ207" s="286">
        <v>0</v>
      </c>
      <c r="AK207" s="286">
        <v>0</v>
      </c>
      <c r="AL207" s="285">
        <f t="shared" si="160"/>
        <v>0</v>
      </c>
      <c r="AM207" s="285">
        <f t="shared" si="161"/>
        <v>0</v>
      </c>
      <c r="AN207" s="289">
        <f t="shared" si="176"/>
        <v>1</v>
      </c>
      <c r="AO207" s="290">
        <f t="shared" si="162"/>
        <v>0</v>
      </c>
      <c r="AP207" s="290">
        <f t="shared" si="163"/>
        <v>0</v>
      </c>
      <c r="AQ207" s="290">
        <f t="shared" si="164"/>
        <v>0</v>
      </c>
      <c r="AR207" s="290">
        <f t="shared" si="165"/>
        <v>0</v>
      </c>
      <c r="AS207" s="290">
        <f t="shared" si="166"/>
        <v>0</v>
      </c>
      <c r="AT207" s="290">
        <f t="shared" si="167"/>
        <v>0</v>
      </c>
      <c r="AU207" s="291">
        <f t="shared" si="168"/>
        <v>0</v>
      </c>
      <c r="AV207" s="291">
        <f t="shared" si="137"/>
        <v>0</v>
      </c>
      <c r="AW207" s="292">
        <f t="shared" si="169"/>
        <v>0</v>
      </c>
      <c r="AX207" s="293">
        <f t="shared" si="170"/>
        <v>0</v>
      </c>
      <c r="BC207" s="276">
        <f>IF(BI207=1,IF(BC206=MiscData!$F$1,EOMONTH(BC206,-11),EOMONTH(BC206,1)),BC206)</f>
        <v>41820</v>
      </c>
      <c r="BD207" s="275" t="str">
        <f t="shared" si="177"/>
        <v>20140101LGCME650</v>
      </c>
      <c r="BE207" s="294" t="str">
        <f t="shared" si="178"/>
        <v>20140101GS3</v>
      </c>
      <c r="BF207">
        <f>MiscData!$X$5</f>
        <v>20140101</v>
      </c>
      <c r="BI207" s="265">
        <f>IF(BI206+1&gt;MiscData!$Z$42,1,BI206+1)</f>
        <v>14</v>
      </c>
      <c r="BJ207" s="265" t="str">
        <f>VLOOKUP(BI207,MiscData!$Z$5:$AB$46,2,FALSE)</f>
        <v>LGCME650</v>
      </c>
      <c r="BK207" s="265" t="str">
        <f>VLOOKUP(BI207,MiscData!$Z$5:$AB$46,3,FALSE)</f>
        <v>GS3</v>
      </c>
    </row>
    <row r="208" spans="1:63" hidden="1">
      <c r="A208" s="275">
        <v>195</v>
      </c>
      <c r="B208" s="276" t="str">
        <f t="shared" si="171"/>
        <v>Jun 2014</v>
      </c>
      <c r="C208" s="277" t="str">
        <f t="shared" si="179"/>
        <v>GS3</v>
      </c>
      <c r="D208" s="277" t="str">
        <f t="shared" si="172"/>
        <v>LGCME651</v>
      </c>
      <c r="E208" s="278">
        <f t="shared" si="140"/>
        <v>15514</v>
      </c>
      <c r="F208" s="279">
        <v>131</v>
      </c>
      <c r="G208" s="278">
        <f t="shared" si="141"/>
        <v>0</v>
      </c>
      <c r="H208" s="278">
        <f t="shared" si="142"/>
        <v>0</v>
      </c>
      <c r="I208" s="278">
        <f t="shared" si="143"/>
        <v>0</v>
      </c>
      <c r="J208" s="278">
        <f t="shared" si="144"/>
        <v>84861320</v>
      </c>
      <c r="K208" s="280">
        <v>0</v>
      </c>
      <c r="L208" s="281">
        <f t="shared" si="145"/>
        <v>216403.9</v>
      </c>
      <c r="M208" s="281">
        <f t="shared" si="146"/>
        <v>0</v>
      </c>
      <c r="N208" s="281">
        <f t="shared" si="147"/>
        <v>0</v>
      </c>
      <c r="O208" s="282">
        <v>0</v>
      </c>
      <c r="P208" s="282">
        <v>0</v>
      </c>
      <c r="Q208" s="282">
        <v>0</v>
      </c>
      <c r="R208" s="283">
        <f t="shared" si="148"/>
        <v>35</v>
      </c>
      <c r="S208" s="284">
        <f t="shared" si="136"/>
        <v>9.1340000000000005E-2</v>
      </c>
      <c r="T208" s="284">
        <f t="shared" si="149"/>
        <v>0</v>
      </c>
      <c r="U208" s="284">
        <f t="shared" si="150"/>
        <v>0</v>
      </c>
      <c r="V208" s="284">
        <f t="shared" si="151"/>
        <v>2.725E-2</v>
      </c>
      <c r="W208" s="283">
        <f t="shared" si="152"/>
        <v>0</v>
      </c>
      <c r="X208" s="283">
        <f t="shared" si="153"/>
        <v>0</v>
      </c>
      <c r="Y208" s="283">
        <f t="shared" si="154"/>
        <v>0</v>
      </c>
      <c r="Z208" s="285">
        <f t="shared" si="155"/>
        <v>547575</v>
      </c>
      <c r="AA208" s="285">
        <f t="shared" si="156"/>
        <v>7751232.9699999997</v>
      </c>
      <c r="AB208" s="285">
        <f t="shared" si="173"/>
        <v>0</v>
      </c>
      <c r="AC208" s="285">
        <f t="shared" si="174"/>
        <v>0</v>
      </c>
      <c r="AD208" s="285">
        <f t="shared" si="175"/>
        <v>0</v>
      </c>
      <c r="AE208" s="286">
        <v>0</v>
      </c>
      <c r="AF208" s="287">
        <f t="shared" si="157"/>
        <v>0</v>
      </c>
      <c r="AG208" s="288">
        <f t="shared" si="158"/>
        <v>0</v>
      </c>
      <c r="AH208" s="285">
        <f t="shared" si="159"/>
        <v>0</v>
      </c>
      <c r="AI208" s="286">
        <v>-5405.52</v>
      </c>
      <c r="AJ208" s="286">
        <v>8.41</v>
      </c>
      <c r="AK208" s="286">
        <v>0</v>
      </c>
      <c r="AL208" s="285">
        <f t="shared" si="160"/>
        <v>8293410.8600000003</v>
      </c>
      <c r="AM208" s="285">
        <f t="shared" si="161"/>
        <v>8293410.8599999994</v>
      </c>
      <c r="AN208" s="289">
        <f t="shared" si="176"/>
        <v>1</v>
      </c>
      <c r="AO208" s="290">
        <f t="shared" si="162"/>
        <v>266233.39</v>
      </c>
      <c r="AP208" s="290">
        <f t="shared" si="163"/>
        <v>254307.16</v>
      </c>
      <c r="AQ208" s="290">
        <f t="shared" si="164"/>
        <v>297283.51</v>
      </c>
      <c r="AR208" s="290">
        <f t="shared" si="165"/>
        <v>0</v>
      </c>
      <c r="AS208" s="290">
        <f t="shared" si="166"/>
        <v>0</v>
      </c>
      <c r="AT208" s="290">
        <f t="shared" si="167"/>
        <v>9111234.9199999999</v>
      </c>
      <c r="AU208" s="291">
        <f t="shared" si="168"/>
        <v>9111234.9199999999</v>
      </c>
      <c r="AV208" s="291">
        <f t="shared" si="137"/>
        <v>0</v>
      </c>
      <c r="AW208" s="292">
        <f t="shared" si="169"/>
        <v>2312470.9700000002</v>
      </c>
      <c r="AX208" s="293">
        <f t="shared" si="170"/>
        <v>5438770.4100000001</v>
      </c>
      <c r="BC208" s="276">
        <f>IF(BI208=1,IF(BC207=MiscData!$F$1,EOMONTH(BC207,-11),EOMONTH(BC207,1)),BC207)</f>
        <v>41820</v>
      </c>
      <c r="BD208" s="275" t="str">
        <f t="shared" si="177"/>
        <v>20140101LGCME651</v>
      </c>
      <c r="BE208" s="294" t="str">
        <f t="shared" si="178"/>
        <v>20140101GS3</v>
      </c>
      <c r="BF208">
        <f>MiscData!$X$5</f>
        <v>20140101</v>
      </c>
      <c r="BI208" s="265">
        <f>IF(BI207+1&gt;MiscData!$Z$42,1,BI207+1)</f>
        <v>15</v>
      </c>
      <c r="BJ208" s="265" t="str">
        <f>VLOOKUP(BI208,MiscData!$Z$5:$AB$46,2,FALSE)</f>
        <v>LGCME651</v>
      </c>
      <c r="BK208" s="265" t="str">
        <f>VLOOKUP(BI208,MiscData!$Z$5:$AB$46,3,FALSE)</f>
        <v>GS3</v>
      </c>
    </row>
    <row r="209" spans="1:63" hidden="1">
      <c r="A209" s="275">
        <v>194</v>
      </c>
      <c r="B209" s="276" t="str">
        <f t="shared" si="171"/>
        <v>Jun 2014</v>
      </c>
      <c r="C209" s="277" t="str">
        <f t="shared" si="179"/>
        <v>GS3</v>
      </c>
      <c r="D209" s="277" t="str">
        <f t="shared" si="172"/>
        <v>LGCME652</v>
      </c>
      <c r="E209" s="278">
        <f t="shared" si="140"/>
        <v>653</v>
      </c>
      <c r="F209" s="279">
        <f>-E209</f>
        <v>-653</v>
      </c>
      <c r="G209" s="278">
        <f t="shared" si="141"/>
        <v>0</v>
      </c>
      <c r="H209" s="278">
        <f t="shared" si="142"/>
        <v>0</v>
      </c>
      <c r="I209" s="278">
        <f t="shared" si="143"/>
        <v>0</v>
      </c>
      <c r="J209" s="278">
        <f t="shared" si="144"/>
        <v>1576680</v>
      </c>
      <c r="K209" s="280">
        <v>0</v>
      </c>
      <c r="L209" s="281">
        <f t="shared" si="145"/>
        <v>2127.3000000000002</v>
      </c>
      <c r="M209" s="281">
        <f t="shared" si="146"/>
        <v>0</v>
      </c>
      <c r="N209" s="281">
        <f t="shared" si="147"/>
        <v>0</v>
      </c>
      <c r="O209" s="282">
        <v>0</v>
      </c>
      <c r="P209" s="282">
        <v>0</v>
      </c>
      <c r="Q209" s="282">
        <v>0</v>
      </c>
      <c r="R209" s="283">
        <f t="shared" si="148"/>
        <v>0</v>
      </c>
      <c r="S209" s="284">
        <f t="shared" si="136"/>
        <v>9.1340000000000005E-2</v>
      </c>
      <c r="T209" s="284">
        <f t="shared" si="149"/>
        <v>0</v>
      </c>
      <c r="U209" s="284">
        <f t="shared" si="150"/>
        <v>0</v>
      </c>
      <c r="V209" s="284">
        <f t="shared" si="151"/>
        <v>2.725E-2</v>
      </c>
      <c r="W209" s="283">
        <f t="shared" si="152"/>
        <v>0</v>
      </c>
      <c r="X209" s="283">
        <f t="shared" si="153"/>
        <v>0</v>
      </c>
      <c r="Y209" s="283">
        <f t="shared" si="154"/>
        <v>0</v>
      </c>
      <c r="Z209" s="285">
        <f t="shared" si="155"/>
        <v>0</v>
      </c>
      <c r="AA209" s="285">
        <f t="shared" si="156"/>
        <v>144013.95000000001</v>
      </c>
      <c r="AB209" s="285">
        <f t="shared" si="173"/>
        <v>0</v>
      </c>
      <c r="AC209" s="285">
        <f t="shared" si="174"/>
        <v>0</v>
      </c>
      <c r="AD209" s="285">
        <f t="shared" si="175"/>
        <v>0</v>
      </c>
      <c r="AE209" s="286">
        <v>0</v>
      </c>
      <c r="AF209" s="287">
        <f t="shared" si="157"/>
        <v>0</v>
      </c>
      <c r="AG209" s="288">
        <f t="shared" si="158"/>
        <v>0</v>
      </c>
      <c r="AH209" s="285">
        <f t="shared" ref="AH209:AH261" si="180">SUM(AB209:AG209)</f>
        <v>0</v>
      </c>
      <c r="AI209" s="286">
        <v>0</v>
      </c>
      <c r="AJ209" s="286">
        <v>-0.02</v>
      </c>
      <c r="AK209" s="286">
        <v>0</v>
      </c>
      <c r="AL209" s="285">
        <f t="shared" si="160"/>
        <v>144013.93000000002</v>
      </c>
      <c r="AM209" s="285">
        <f t="shared" si="161"/>
        <v>144013.93</v>
      </c>
      <c r="AN209" s="289">
        <f t="shared" si="176"/>
        <v>1</v>
      </c>
      <c r="AO209" s="290">
        <f t="shared" si="162"/>
        <v>4977.6099999999997</v>
      </c>
      <c r="AP209" s="290">
        <f t="shared" si="163"/>
        <v>4777.41</v>
      </c>
      <c r="AQ209" s="290">
        <f t="shared" si="164"/>
        <v>5059.8</v>
      </c>
      <c r="AR209" s="290">
        <f t="shared" si="165"/>
        <v>0</v>
      </c>
      <c r="AS209" s="290">
        <f t="shared" si="166"/>
        <v>0</v>
      </c>
      <c r="AT209" s="290">
        <f t="shared" si="167"/>
        <v>158828.75</v>
      </c>
      <c r="AU209" s="291">
        <f t="shared" si="168"/>
        <v>158828.75</v>
      </c>
      <c r="AV209" s="291">
        <f t="shared" si="137"/>
        <v>0</v>
      </c>
      <c r="AW209" s="292">
        <f t="shared" si="169"/>
        <v>42964.53</v>
      </c>
      <c r="AX209" s="293">
        <f t="shared" si="170"/>
        <v>101049.40000000002</v>
      </c>
      <c r="BC209" s="276">
        <f>IF(BI209=1,IF(BC208=MiscData!$F$1,EOMONTH(BC208,-11),EOMONTH(BC208,1)),BC208)</f>
        <v>41820</v>
      </c>
      <c r="BD209" s="275" t="str">
        <f t="shared" si="177"/>
        <v>20140101LGCME652</v>
      </c>
      <c r="BE209" s="294" t="str">
        <f t="shared" si="178"/>
        <v>20140101GS3</v>
      </c>
      <c r="BF209">
        <f>MiscData!$X$5</f>
        <v>20140101</v>
      </c>
      <c r="BI209" s="265">
        <f>IF(BI208+1&gt;MiscData!$Z$42,1,BI208+1)</f>
        <v>16</v>
      </c>
      <c r="BJ209" s="265" t="str">
        <f>VLOOKUP(BI209,MiscData!$Z$5:$AB$46,2,FALSE)</f>
        <v>LGCME652</v>
      </c>
      <c r="BK209" s="265" t="str">
        <f>VLOOKUP(BI209,MiscData!$Z$5:$AB$46,3,FALSE)</f>
        <v>GS3</v>
      </c>
    </row>
    <row r="210" spans="1:63" hidden="1">
      <c r="A210" s="275">
        <v>195</v>
      </c>
      <c r="B210" s="276" t="str">
        <f t="shared" si="171"/>
        <v>Jun 2014</v>
      </c>
      <c r="C210" s="277" t="str">
        <f t="shared" si="179"/>
        <v>GS3</v>
      </c>
      <c r="D210" s="277" t="str">
        <f t="shared" si="172"/>
        <v>LGCME657</v>
      </c>
      <c r="E210" s="278">
        <f t="shared" si="140"/>
        <v>8</v>
      </c>
      <c r="F210" s="279">
        <v>0</v>
      </c>
      <c r="G210" s="278">
        <f t="shared" si="141"/>
        <v>0</v>
      </c>
      <c r="H210" s="278">
        <f t="shared" si="142"/>
        <v>0</v>
      </c>
      <c r="I210" s="278">
        <f t="shared" si="143"/>
        <v>0</v>
      </c>
      <c r="J210" s="278">
        <f t="shared" si="144"/>
        <v>155704</v>
      </c>
      <c r="K210" s="280">
        <v>0</v>
      </c>
      <c r="L210" s="281">
        <f t="shared" si="145"/>
        <v>535.5</v>
      </c>
      <c r="M210" s="281">
        <f t="shared" si="146"/>
        <v>0</v>
      </c>
      <c r="N210" s="281">
        <f t="shared" si="147"/>
        <v>0</v>
      </c>
      <c r="O210" s="282">
        <v>0</v>
      </c>
      <c r="P210" s="282">
        <v>0</v>
      </c>
      <c r="Q210" s="282">
        <v>0</v>
      </c>
      <c r="R210" s="283">
        <f t="shared" si="148"/>
        <v>35</v>
      </c>
      <c r="S210" s="284">
        <f t="shared" si="136"/>
        <v>9.1340000000000005E-2</v>
      </c>
      <c r="T210" s="284">
        <f t="shared" si="149"/>
        <v>0</v>
      </c>
      <c r="U210" s="284">
        <f t="shared" si="150"/>
        <v>0</v>
      </c>
      <c r="V210" s="284">
        <f t="shared" si="151"/>
        <v>2.725E-2</v>
      </c>
      <c r="W210" s="283">
        <f t="shared" si="152"/>
        <v>0</v>
      </c>
      <c r="X210" s="283">
        <f t="shared" si="153"/>
        <v>0</v>
      </c>
      <c r="Y210" s="283">
        <f t="shared" si="154"/>
        <v>0</v>
      </c>
      <c r="Z210" s="285">
        <f t="shared" si="155"/>
        <v>280</v>
      </c>
      <c r="AA210" s="285">
        <f t="shared" si="156"/>
        <v>14222</v>
      </c>
      <c r="AB210" s="285">
        <f t="shared" si="173"/>
        <v>0</v>
      </c>
      <c r="AC210" s="285">
        <f t="shared" si="174"/>
        <v>0</v>
      </c>
      <c r="AD210" s="285">
        <f t="shared" si="175"/>
        <v>0</v>
      </c>
      <c r="AE210" s="286">
        <v>0</v>
      </c>
      <c r="AF210" s="287">
        <f t="shared" si="157"/>
        <v>0</v>
      </c>
      <c r="AG210" s="288">
        <f t="shared" si="158"/>
        <v>0</v>
      </c>
      <c r="AH210" s="285">
        <f t="shared" si="180"/>
        <v>0</v>
      </c>
      <c r="AI210" s="286">
        <v>0</v>
      </c>
      <c r="AJ210" s="286">
        <v>-0.01</v>
      </c>
      <c r="AK210" s="286">
        <v>0</v>
      </c>
      <c r="AL210" s="285">
        <f t="shared" si="160"/>
        <v>14501.99</v>
      </c>
      <c r="AM210" s="285">
        <f t="shared" si="161"/>
        <v>14501.99</v>
      </c>
      <c r="AN210" s="289">
        <f t="shared" si="176"/>
        <v>1</v>
      </c>
      <c r="AO210" s="290">
        <f t="shared" si="162"/>
        <v>484.56</v>
      </c>
      <c r="AP210" s="290">
        <f t="shared" si="163"/>
        <v>471.77</v>
      </c>
      <c r="AQ210" s="290">
        <f t="shared" si="164"/>
        <v>509.53</v>
      </c>
      <c r="AR210" s="290">
        <f t="shared" si="165"/>
        <v>0</v>
      </c>
      <c r="AS210" s="290">
        <f t="shared" si="166"/>
        <v>0</v>
      </c>
      <c r="AT210" s="290">
        <f t="shared" si="167"/>
        <v>15967.85</v>
      </c>
      <c r="AU210" s="291">
        <f t="shared" si="168"/>
        <v>15967.85</v>
      </c>
      <c r="AV210" s="291">
        <f t="shared" si="137"/>
        <v>0</v>
      </c>
      <c r="AW210" s="292">
        <f t="shared" si="169"/>
        <v>4242.93</v>
      </c>
      <c r="AX210" s="293">
        <f t="shared" si="170"/>
        <v>9979.06</v>
      </c>
      <c r="BC210" s="276">
        <f>IF(BI210=1,IF(BC209=MiscData!$F$1,EOMONTH(BC209,-11),EOMONTH(BC209,1)),BC209)</f>
        <v>41820</v>
      </c>
      <c r="BD210" s="275" t="str">
        <f t="shared" si="177"/>
        <v>20140101LGCME657</v>
      </c>
      <c r="BE210" s="294" t="str">
        <f t="shared" si="178"/>
        <v>20140101GS3</v>
      </c>
      <c r="BF210">
        <f>MiscData!$X$5</f>
        <v>20140101</v>
      </c>
      <c r="BI210" s="265">
        <f>IF(BI209+1&gt;MiscData!$Z$42,1,BI209+1)</f>
        <v>17</v>
      </c>
      <c r="BJ210" s="265" t="str">
        <f>VLOOKUP(BI210,MiscData!$Z$5:$AB$46,2,FALSE)</f>
        <v>LGCME657</v>
      </c>
      <c r="BK210" s="265" t="str">
        <f>VLOOKUP(BI210,MiscData!$Z$5:$AB$46,3,FALSE)</f>
        <v>GS3</v>
      </c>
    </row>
    <row r="211" spans="1:63" hidden="1">
      <c r="A211" s="275">
        <v>196</v>
      </c>
      <c r="B211" s="276" t="str">
        <f t="shared" si="171"/>
        <v>Jun 2014</v>
      </c>
      <c r="C211" s="277" t="str">
        <f t="shared" si="179"/>
        <v>LWC</v>
      </c>
      <c r="D211" s="277" t="str">
        <f t="shared" si="172"/>
        <v>LGCME671</v>
      </c>
      <c r="E211" s="278">
        <f t="shared" si="140"/>
        <v>2</v>
      </c>
      <c r="F211" s="279">
        <v>0</v>
      </c>
      <c r="G211" s="278">
        <f t="shared" si="141"/>
        <v>0</v>
      </c>
      <c r="H211" s="278">
        <f t="shared" si="142"/>
        <v>0</v>
      </c>
      <c r="I211" s="278">
        <f t="shared" si="143"/>
        <v>0</v>
      </c>
      <c r="J211" s="278">
        <f t="shared" si="144"/>
        <v>5142000</v>
      </c>
      <c r="K211" s="280">
        <v>0</v>
      </c>
      <c r="L211" s="281">
        <f t="shared" si="145"/>
        <v>0</v>
      </c>
      <c r="M211" s="281">
        <f t="shared" si="146"/>
        <v>0</v>
      </c>
      <c r="N211" s="281">
        <f t="shared" si="147"/>
        <v>8976</v>
      </c>
      <c r="O211" s="282">
        <v>0</v>
      </c>
      <c r="P211" s="282">
        <v>0</v>
      </c>
      <c r="Q211" s="282">
        <f>331.2+307.2</f>
        <v>638.4</v>
      </c>
      <c r="R211" s="283">
        <f t="shared" si="148"/>
        <v>0</v>
      </c>
      <c r="S211" s="284">
        <f t="shared" si="136"/>
        <v>3.7019999999999997E-2</v>
      </c>
      <c r="T211" s="284">
        <f t="shared" si="149"/>
        <v>0</v>
      </c>
      <c r="U211" s="284">
        <f t="shared" si="150"/>
        <v>0</v>
      </c>
      <c r="V211" s="284">
        <f t="shared" si="151"/>
        <v>2.725E-2</v>
      </c>
      <c r="W211" s="283">
        <f t="shared" si="152"/>
        <v>0</v>
      </c>
      <c r="X211" s="283">
        <f t="shared" si="153"/>
        <v>10.35</v>
      </c>
      <c r="Y211" s="283">
        <f t="shared" si="154"/>
        <v>10.35</v>
      </c>
      <c r="Z211" s="285">
        <f t="shared" si="155"/>
        <v>0</v>
      </c>
      <c r="AA211" s="285">
        <f t="shared" si="156"/>
        <v>190356.84</v>
      </c>
      <c r="AB211" s="285">
        <f t="shared" si="173"/>
        <v>0</v>
      </c>
      <c r="AC211" s="285">
        <f t="shared" si="174"/>
        <v>0</v>
      </c>
      <c r="AD211" s="285">
        <f t="shared" si="175"/>
        <v>92901.6</v>
      </c>
      <c r="AE211" s="286">
        <v>0</v>
      </c>
      <c r="AF211" s="287">
        <f t="shared" si="157"/>
        <v>0</v>
      </c>
      <c r="AG211" s="288">
        <f t="shared" si="158"/>
        <v>6607.44</v>
      </c>
      <c r="AH211" s="285">
        <f t="shared" si="180"/>
        <v>99509.040000000008</v>
      </c>
      <c r="AI211" s="286">
        <v>0</v>
      </c>
      <c r="AJ211" s="286">
        <v>0</v>
      </c>
      <c r="AK211" s="286">
        <v>0</v>
      </c>
      <c r="AL211" s="285">
        <f t="shared" si="160"/>
        <v>289865.88</v>
      </c>
      <c r="AM211" s="285">
        <f t="shared" si="161"/>
        <v>289865.88</v>
      </c>
      <c r="AN211" s="289">
        <f t="shared" si="176"/>
        <v>1</v>
      </c>
      <c r="AO211" s="290">
        <f t="shared" si="162"/>
        <v>16300.14</v>
      </c>
      <c r="AP211" s="290">
        <f t="shared" si="163"/>
        <v>0</v>
      </c>
      <c r="AQ211" s="290">
        <f t="shared" si="164"/>
        <v>7172.85</v>
      </c>
      <c r="AR211" s="290">
        <f t="shared" si="165"/>
        <v>0</v>
      </c>
      <c r="AS211" s="290">
        <f t="shared" si="166"/>
        <v>0</v>
      </c>
      <c r="AT211" s="290">
        <f t="shared" si="167"/>
        <v>313338.87</v>
      </c>
      <c r="AU211" s="291">
        <f t="shared" si="168"/>
        <v>313338.87</v>
      </c>
      <c r="AV211" s="291">
        <f t="shared" si="137"/>
        <v>0</v>
      </c>
      <c r="AW211" s="292">
        <f t="shared" si="169"/>
        <v>140119.5</v>
      </c>
      <c r="AX211" s="293">
        <f t="shared" si="170"/>
        <v>50237.34</v>
      </c>
      <c r="BC211" s="276">
        <f>IF(BI211=1,IF(BC210=MiscData!$F$1,EOMONTH(BC210,-11),EOMONTH(BC210,1)),BC210)</f>
        <v>41820</v>
      </c>
      <c r="BD211" s="275" t="str">
        <f t="shared" si="177"/>
        <v>20140101LGCME671</v>
      </c>
      <c r="BE211" s="294" t="str">
        <f t="shared" si="178"/>
        <v>20140101LWC</v>
      </c>
      <c r="BF211">
        <f>MiscData!$X$5</f>
        <v>20140101</v>
      </c>
      <c r="BI211" s="265">
        <f>IF(BI210+1&gt;MiscData!$Z$42,1,BI210+1)</f>
        <v>18</v>
      </c>
      <c r="BJ211" s="265" t="str">
        <f>VLOOKUP(BI211,MiscData!$Z$5:$AB$46,2,FALSE)</f>
        <v>LGCME671</v>
      </c>
      <c r="BK211" s="265" t="str">
        <f>VLOOKUP(BI211,MiscData!$Z$5:$AB$46,3,FALSE)</f>
        <v>LWC</v>
      </c>
    </row>
    <row r="212" spans="1:63" hidden="1">
      <c r="A212" s="275">
        <v>197</v>
      </c>
      <c r="B212" s="276" t="str">
        <f t="shared" si="171"/>
        <v>Jun 2014</v>
      </c>
      <c r="C212" s="277" t="str">
        <f t="shared" si="179"/>
        <v>CSR</v>
      </c>
      <c r="D212" s="277" t="str">
        <f t="shared" si="172"/>
        <v>LGCSR760</v>
      </c>
      <c r="E212" s="278">
        <f t="shared" si="140"/>
        <v>1</v>
      </c>
      <c r="F212" s="279">
        <v>0</v>
      </c>
      <c r="G212" s="278">
        <f t="shared" si="141"/>
        <v>0</v>
      </c>
      <c r="H212" s="278">
        <f t="shared" si="142"/>
        <v>0</v>
      </c>
      <c r="I212" s="278">
        <f t="shared" si="143"/>
        <v>0</v>
      </c>
      <c r="J212" s="278">
        <f t="shared" si="144"/>
        <v>0</v>
      </c>
      <c r="K212" s="280">
        <v>0</v>
      </c>
      <c r="L212" s="281">
        <f t="shared" si="145"/>
        <v>0</v>
      </c>
      <c r="M212" s="281">
        <f t="shared" si="146"/>
        <v>0</v>
      </c>
      <c r="N212" s="281">
        <f t="shared" si="147"/>
        <v>0</v>
      </c>
      <c r="O212" s="282">
        <v>0</v>
      </c>
      <c r="P212" s="282">
        <v>0</v>
      </c>
      <c r="Q212" s="282">
        <v>0</v>
      </c>
      <c r="R212" s="283">
        <f t="shared" si="148"/>
        <v>0</v>
      </c>
      <c r="S212" s="284">
        <f t="shared" si="136"/>
        <v>0</v>
      </c>
      <c r="T212" s="284">
        <f t="shared" si="149"/>
        <v>0</v>
      </c>
      <c r="U212" s="284">
        <f t="shared" si="150"/>
        <v>0</v>
      </c>
      <c r="V212" s="284">
        <f t="shared" si="151"/>
        <v>0</v>
      </c>
      <c r="W212" s="283">
        <f t="shared" si="152"/>
        <v>0</v>
      </c>
      <c r="X212" s="283">
        <f t="shared" si="153"/>
        <v>0</v>
      </c>
      <c r="Y212" s="283">
        <f t="shared" si="154"/>
        <v>0</v>
      </c>
      <c r="Z212" s="285">
        <f t="shared" si="155"/>
        <v>0</v>
      </c>
      <c r="AA212" s="285">
        <f t="shared" si="156"/>
        <v>0</v>
      </c>
      <c r="AB212" s="285">
        <f t="shared" si="173"/>
        <v>0</v>
      </c>
      <c r="AC212" s="285">
        <f t="shared" si="174"/>
        <v>0</v>
      </c>
      <c r="AD212" s="285">
        <f t="shared" si="175"/>
        <v>0</v>
      </c>
      <c r="AE212" s="286">
        <v>0</v>
      </c>
      <c r="AF212" s="287">
        <f t="shared" si="157"/>
        <v>0</v>
      </c>
      <c r="AG212" s="288">
        <f t="shared" si="158"/>
        <v>0</v>
      </c>
      <c r="AH212" s="285">
        <f t="shared" si="180"/>
        <v>0</v>
      </c>
      <c r="AI212" s="286">
        <v>0</v>
      </c>
      <c r="AJ212" s="286">
        <v>0</v>
      </c>
      <c r="AK212" s="286">
        <v>0</v>
      </c>
      <c r="AL212" s="285">
        <f t="shared" si="160"/>
        <v>0</v>
      </c>
      <c r="AM212" s="285">
        <f t="shared" si="161"/>
        <v>0</v>
      </c>
      <c r="AN212" s="289">
        <f t="shared" si="176"/>
        <v>1</v>
      </c>
      <c r="AO212" s="290">
        <f t="shared" si="162"/>
        <v>0</v>
      </c>
      <c r="AP212" s="290">
        <f t="shared" si="163"/>
        <v>0</v>
      </c>
      <c r="AQ212" s="290">
        <f t="shared" si="164"/>
        <v>0</v>
      </c>
      <c r="AR212" s="290">
        <f t="shared" si="165"/>
        <v>0</v>
      </c>
      <c r="AS212" s="290">
        <f t="shared" si="166"/>
        <v>-240091.45</v>
      </c>
      <c r="AT212" s="290">
        <f t="shared" si="167"/>
        <v>-240091.45</v>
      </c>
      <c r="AU212" s="291">
        <f t="shared" si="168"/>
        <v>-240091.45</v>
      </c>
      <c r="AV212" s="291">
        <f t="shared" si="137"/>
        <v>0</v>
      </c>
      <c r="AW212" s="292">
        <f t="shared" si="169"/>
        <v>0</v>
      </c>
      <c r="AX212" s="293">
        <f t="shared" si="170"/>
        <v>0</v>
      </c>
      <c r="BC212" s="276">
        <f>IF(BI212=1,IF(BC211=MiscData!$F$1,EOMONTH(BC211,-11),EOMONTH(BC211,1)),BC211)</f>
        <v>41820</v>
      </c>
      <c r="BD212" s="275" t="str">
        <f t="shared" si="177"/>
        <v>20140101LGCSR760</v>
      </c>
      <c r="BE212" s="294" t="str">
        <f t="shared" si="178"/>
        <v>20140101CSR</v>
      </c>
      <c r="BF212">
        <f>MiscData!$X$5</f>
        <v>20140101</v>
      </c>
      <c r="BI212" s="265">
        <f>IF(BI211+1&gt;MiscData!$Z$42,1,BI211+1)</f>
        <v>19</v>
      </c>
      <c r="BJ212" s="265" t="str">
        <f>VLOOKUP(BI212,MiscData!$Z$5:$AB$46,2,FALSE)</f>
        <v>LGCSR760</v>
      </c>
      <c r="BK212" s="265" t="str">
        <f>VLOOKUP(BI212,MiscData!$Z$5:$AB$46,3,FALSE)</f>
        <v>CSR</v>
      </c>
    </row>
    <row r="213" spans="1:63" hidden="1">
      <c r="A213" s="275">
        <v>198</v>
      </c>
      <c r="B213" s="276" t="str">
        <f t="shared" si="171"/>
        <v>Jun 2014</v>
      </c>
      <c r="C213" s="277" t="str">
        <f t="shared" si="179"/>
        <v>CSR</v>
      </c>
      <c r="D213" s="277" t="str">
        <f t="shared" si="172"/>
        <v>LGCSR780</v>
      </c>
      <c r="E213" s="278">
        <f t="shared" si="140"/>
        <v>1</v>
      </c>
      <c r="F213" s="279">
        <v>0</v>
      </c>
      <c r="G213" s="278">
        <f t="shared" si="141"/>
        <v>0</v>
      </c>
      <c r="H213" s="278">
        <f t="shared" si="142"/>
        <v>0</v>
      </c>
      <c r="I213" s="278">
        <f t="shared" si="143"/>
        <v>0</v>
      </c>
      <c r="J213" s="278">
        <f t="shared" si="144"/>
        <v>0</v>
      </c>
      <c r="K213" s="280">
        <v>0</v>
      </c>
      <c r="L213" s="281">
        <f t="shared" si="145"/>
        <v>0</v>
      </c>
      <c r="M213" s="281">
        <f t="shared" si="146"/>
        <v>0</v>
      </c>
      <c r="N213" s="281">
        <f t="shared" si="147"/>
        <v>0</v>
      </c>
      <c r="O213" s="282">
        <v>0</v>
      </c>
      <c r="P213" s="282">
        <v>0</v>
      </c>
      <c r="Q213" s="282">
        <v>0</v>
      </c>
      <c r="R213" s="283">
        <f t="shared" si="148"/>
        <v>0</v>
      </c>
      <c r="S213" s="284">
        <f t="shared" si="136"/>
        <v>0</v>
      </c>
      <c r="T213" s="284">
        <f t="shared" si="149"/>
        <v>0</v>
      </c>
      <c r="U213" s="284">
        <f t="shared" si="150"/>
        <v>0</v>
      </c>
      <c r="V213" s="284">
        <f t="shared" si="151"/>
        <v>0</v>
      </c>
      <c r="W213" s="283">
        <f t="shared" si="152"/>
        <v>0</v>
      </c>
      <c r="X213" s="283">
        <f t="shared" si="153"/>
        <v>0</v>
      </c>
      <c r="Y213" s="283">
        <f t="shared" si="154"/>
        <v>0</v>
      </c>
      <c r="Z213" s="285">
        <f t="shared" si="155"/>
        <v>0</v>
      </c>
      <c r="AA213" s="285">
        <f t="shared" si="156"/>
        <v>0</v>
      </c>
      <c r="AB213" s="285">
        <f t="shared" si="173"/>
        <v>0</v>
      </c>
      <c r="AC213" s="285">
        <f t="shared" si="174"/>
        <v>0</v>
      </c>
      <c r="AD213" s="285">
        <f t="shared" si="175"/>
        <v>0</v>
      </c>
      <c r="AE213" s="286">
        <v>0</v>
      </c>
      <c r="AF213" s="287">
        <f t="shared" si="157"/>
        <v>0</v>
      </c>
      <c r="AG213" s="288">
        <f t="shared" si="158"/>
        <v>0</v>
      </c>
      <c r="AH213" s="285">
        <f t="shared" si="180"/>
        <v>0</v>
      </c>
      <c r="AI213" s="286">
        <v>0</v>
      </c>
      <c r="AJ213" s="286">
        <v>0</v>
      </c>
      <c r="AK213" s="286">
        <v>0</v>
      </c>
      <c r="AL213" s="285">
        <f t="shared" si="160"/>
        <v>0</v>
      </c>
      <c r="AM213" s="285">
        <f t="shared" si="161"/>
        <v>0</v>
      </c>
      <c r="AN213" s="289">
        <f t="shared" si="176"/>
        <v>1</v>
      </c>
      <c r="AO213" s="290">
        <f t="shared" si="162"/>
        <v>0</v>
      </c>
      <c r="AP213" s="290">
        <f t="shared" si="163"/>
        <v>0</v>
      </c>
      <c r="AQ213" s="290">
        <f t="shared" si="164"/>
        <v>0</v>
      </c>
      <c r="AR213" s="290">
        <f t="shared" si="165"/>
        <v>0</v>
      </c>
      <c r="AS213" s="290">
        <f t="shared" si="166"/>
        <v>-186294.15</v>
      </c>
      <c r="AT213" s="290">
        <f t="shared" si="167"/>
        <v>-186294.15</v>
      </c>
      <c r="AU213" s="291">
        <f t="shared" si="168"/>
        <v>-186294.15</v>
      </c>
      <c r="AV213" s="291">
        <f t="shared" si="137"/>
        <v>0</v>
      </c>
      <c r="AW213" s="292">
        <f t="shared" si="169"/>
        <v>0</v>
      </c>
      <c r="AX213" s="293">
        <f t="shared" si="170"/>
        <v>0</v>
      </c>
      <c r="BC213" s="276">
        <f>IF(BI213=1,IF(BC212=MiscData!$F$1,EOMONTH(BC212,-11),EOMONTH(BC212,1)),BC212)</f>
        <v>41820</v>
      </c>
      <c r="BD213" s="275" t="str">
        <f t="shared" si="177"/>
        <v>20140101LGCSR780</v>
      </c>
      <c r="BE213" s="294" t="str">
        <f t="shared" si="178"/>
        <v>20140101CSR</v>
      </c>
      <c r="BF213">
        <f>MiscData!$X$5</f>
        <v>20140101</v>
      </c>
      <c r="BI213" s="265">
        <f>IF(BI212+1&gt;MiscData!$Z$42,1,BI212+1)</f>
        <v>20</v>
      </c>
      <c r="BJ213" s="265" t="str">
        <f>VLOOKUP(BI213,MiscData!$Z$5:$AB$46,2,FALSE)</f>
        <v>LGCSR780</v>
      </c>
      <c r="BK213" s="265" t="str">
        <f>VLOOKUP(BI213,MiscData!$Z$5:$AB$46,3,FALSE)</f>
        <v>CSR</v>
      </c>
    </row>
    <row r="214" spans="1:63">
      <c r="A214" s="275">
        <v>199</v>
      </c>
      <c r="B214" s="276" t="str">
        <f t="shared" si="171"/>
        <v>Jun 2014</v>
      </c>
      <c r="C214" s="277" t="str">
        <f t="shared" si="179"/>
        <v>FK</v>
      </c>
      <c r="D214" s="277" t="str">
        <f t="shared" si="172"/>
        <v>LGINE599</v>
      </c>
      <c r="E214" s="278">
        <f t="shared" si="140"/>
        <v>1</v>
      </c>
      <c r="F214" s="279">
        <v>0</v>
      </c>
      <c r="G214" s="278">
        <f t="shared" si="141"/>
        <v>0</v>
      </c>
      <c r="H214" s="278">
        <f t="shared" si="142"/>
        <v>0</v>
      </c>
      <c r="I214" s="278">
        <f t="shared" si="143"/>
        <v>0</v>
      </c>
      <c r="J214" s="278">
        <f t="shared" si="144"/>
        <v>16069000</v>
      </c>
      <c r="K214" s="280">
        <v>0</v>
      </c>
      <c r="L214" s="281">
        <f t="shared" si="145"/>
        <v>0</v>
      </c>
      <c r="M214" s="281">
        <f t="shared" si="146"/>
        <v>31536</v>
      </c>
      <c r="N214" s="281">
        <f t="shared" si="147"/>
        <v>0</v>
      </c>
      <c r="O214" s="282">
        <v>0</v>
      </c>
      <c r="P214" s="282">
        <v>0</v>
      </c>
      <c r="Q214" s="282">
        <v>0</v>
      </c>
      <c r="R214" s="283">
        <f t="shared" si="148"/>
        <v>0</v>
      </c>
      <c r="S214" s="284">
        <f t="shared" si="136"/>
        <v>3.7400000000000003E-2</v>
      </c>
      <c r="T214" s="284">
        <f t="shared" si="149"/>
        <v>0</v>
      </c>
      <c r="U214" s="284">
        <f t="shared" si="150"/>
        <v>0</v>
      </c>
      <c r="V214" s="284">
        <f t="shared" si="151"/>
        <v>2.725E-2</v>
      </c>
      <c r="W214" s="283">
        <f t="shared" si="152"/>
        <v>0</v>
      </c>
      <c r="X214" s="283">
        <f t="shared" si="153"/>
        <v>12.72</v>
      </c>
      <c r="Y214" s="283">
        <f t="shared" si="154"/>
        <v>15.040000000000001</v>
      </c>
      <c r="Z214" s="285">
        <f t="shared" si="155"/>
        <v>0</v>
      </c>
      <c r="AA214" s="285">
        <f t="shared" si="156"/>
        <v>600980.6</v>
      </c>
      <c r="AB214" s="285">
        <f t="shared" si="173"/>
        <v>0</v>
      </c>
      <c r="AC214" s="285">
        <f t="shared" si="174"/>
        <v>401137.91999999998</v>
      </c>
      <c r="AD214" s="285">
        <f t="shared" si="175"/>
        <v>0</v>
      </c>
      <c r="AE214" s="286">
        <v>0</v>
      </c>
      <c r="AF214" s="287">
        <f t="shared" si="157"/>
        <v>-25672.83</v>
      </c>
      <c r="AG214" s="288">
        <f t="shared" si="158"/>
        <v>0</v>
      </c>
      <c r="AH214" s="285">
        <f t="shared" si="180"/>
        <v>375465.08999999997</v>
      </c>
      <c r="AI214" s="286">
        <v>0</v>
      </c>
      <c r="AJ214" s="286">
        <v>0</v>
      </c>
      <c r="AK214" s="286">
        <v>0</v>
      </c>
      <c r="AL214" s="285">
        <f t="shared" si="160"/>
        <v>976445.69000000006</v>
      </c>
      <c r="AM214" s="285">
        <f t="shared" si="161"/>
        <v>976445.69</v>
      </c>
      <c r="AN214" s="289">
        <f t="shared" si="176"/>
        <v>1</v>
      </c>
      <c r="AO214" s="290">
        <f t="shared" si="162"/>
        <v>25710.400000000001</v>
      </c>
      <c r="AP214" s="290">
        <f t="shared" si="163"/>
        <v>0</v>
      </c>
      <c r="AQ214" s="290">
        <f t="shared" si="164"/>
        <v>20088.490000000002</v>
      </c>
      <c r="AR214" s="290">
        <f t="shared" si="165"/>
        <v>0</v>
      </c>
      <c r="AS214" s="290">
        <f t="shared" si="166"/>
        <v>0</v>
      </c>
      <c r="AT214" s="290">
        <f t="shared" si="167"/>
        <v>1022244.58</v>
      </c>
      <c r="AU214" s="291">
        <f t="shared" si="168"/>
        <v>1022244.5800000001</v>
      </c>
      <c r="AV214" s="291">
        <f t="shared" si="137"/>
        <v>0</v>
      </c>
      <c r="AW214" s="292">
        <f t="shared" si="169"/>
        <v>437880.25</v>
      </c>
      <c r="AX214" s="293">
        <f t="shared" si="170"/>
        <v>163100.34999999998</v>
      </c>
      <c r="BC214" s="276">
        <f>IF(BI214=1,IF(BC213=MiscData!$F$1,EOMONTH(BC213,-11),EOMONTH(BC213,1)),BC213)</f>
        <v>41820</v>
      </c>
      <c r="BD214" s="275" t="str">
        <f t="shared" si="177"/>
        <v>20140101LGINE599</v>
      </c>
      <c r="BE214" s="294" t="str">
        <f t="shared" si="178"/>
        <v>20140101FK</v>
      </c>
      <c r="BF214">
        <f>MiscData!$X$5</f>
        <v>20140101</v>
      </c>
      <c r="BI214" s="265">
        <f>IF(BI213+1&gt;MiscData!$Z$42,1,BI213+1)</f>
        <v>21</v>
      </c>
      <c r="BJ214" s="265" t="str">
        <f>VLOOKUP(BI214,MiscData!$Z$5:$AB$46,2,FALSE)</f>
        <v>LGINE599</v>
      </c>
      <c r="BK214" s="265" t="str">
        <f>VLOOKUP(BI214,MiscData!$Z$5:$AB$46,3,FALSE)</f>
        <v>FK</v>
      </c>
    </row>
    <row r="215" spans="1:63" hidden="1">
      <c r="A215" s="275">
        <v>200</v>
      </c>
      <c r="B215" s="276" t="str">
        <f t="shared" si="171"/>
        <v>Jun 2014</v>
      </c>
      <c r="C215" s="277" t="str">
        <f t="shared" si="179"/>
        <v>RTS</v>
      </c>
      <c r="D215" s="277" t="str">
        <f t="shared" si="172"/>
        <v>LGINE643</v>
      </c>
      <c r="E215" s="278">
        <f t="shared" si="140"/>
        <v>12</v>
      </c>
      <c r="F215" s="279">
        <v>3</v>
      </c>
      <c r="G215" s="278">
        <f t="shared" si="141"/>
        <v>0</v>
      </c>
      <c r="H215" s="278">
        <f t="shared" si="142"/>
        <v>0</v>
      </c>
      <c r="I215" s="278">
        <f t="shared" si="143"/>
        <v>0</v>
      </c>
      <c r="J215" s="278">
        <f t="shared" si="144"/>
        <v>92996529</v>
      </c>
      <c r="K215" s="280">
        <v>0</v>
      </c>
      <c r="L215" s="281">
        <f t="shared" si="145"/>
        <v>185191.6</v>
      </c>
      <c r="M215" s="281">
        <f t="shared" si="146"/>
        <v>181747.8</v>
      </c>
      <c r="N215" s="281">
        <f t="shared" si="147"/>
        <v>135718.9</v>
      </c>
      <c r="O215" s="282">
        <v>1852.1999999999825</v>
      </c>
      <c r="P215" s="282">
        <v>742.60000000000582</v>
      </c>
      <c r="Q215" s="282">
        <v>32</v>
      </c>
      <c r="R215" s="283">
        <f t="shared" si="148"/>
        <v>750</v>
      </c>
      <c r="S215" s="284">
        <f t="shared" si="136"/>
        <v>3.61E-2</v>
      </c>
      <c r="T215" s="284">
        <f t="shared" si="149"/>
        <v>0</v>
      </c>
      <c r="U215" s="284">
        <f t="shared" si="150"/>
        <v>0</v>
      </c>
      <c r="V215" s="284">
        <f t="shared" si="151"/>
        <v>2.725E-2</v>
      </c>
      <c r="W215" s="283">
        <f t="shared" si="152"/>
        <v>2.75</v>
      </c>
      <c r="X215" s="283">
        <f t="shared" si="153"/>
        <v>3</v>
      </c>
      <c r="Y215" s="283">
        <f t="shared" si="154"/>
        <v>4.5500000000000007</v>
      </c>
      <c r="Z215" s="285">
        <f t="shared" si="155"/>
        <v>11250</v>
      </c>
      <c r="AA215" s="285">
        <f t="shared" si="156"/>
        <v>3357174.7</v>
      </c>
      <c r="AB215" s="285">
        <f t="shared" si="173"/>
        <v>509276.9</v>
      </c>
      <c r="AC215" s="285">
        <f t="shared" si="174"/>
        <v>545243.4</v>
      </c>
      <c r="AD215" s="285">
        <f t="shared" si="175"/>
        <v>617521</v>
      </c>
      <c r="AE215" s="286">
        <v>0</v>
      </c>
      <c r="AF215" s="287">
        <f t="shared" si="157"/>
        <v>0</v>
      </c>
      <c r="AG215" s="288">
        <f t="shared" si="158"/>
        <v>7466.95</v>
      </c>
      <c r="AH215" s="285">
        <f t="shared" si="180"/>
        <v>1679508.25</v>
      </c>
      <c r="AI215" s="286">
        <v>0</v>
      </c>
      <c r="AJ215" s="286">
        <v>0</v>
      </c>
      <c r="AK215" s="286">
        <v>0.05</v>
      </c>
      <c r="AL215" s="285">
        <f t="shared" si="160"/>
        <v>5047933</v>
      </c>
      <c r="AM215" s="285">
        <f t="shared" si="161"/>
        <v>5047933</v>
      </c>
      <c r="AN215" s="289">
        <f t="shared" si="176"/>
        <v>1</v>
      </c>
      <c r="AO215" s="290">
        <f t="shared" si="162"/>
        <v>202215.27</v>
      </c>
      <c r="AP215" s="290">
        <f t="shared" si="163"/>
        <v>0</v>
      </c>
      <c r="AQ215" s="290">
        <f t="shared" si="164"/>
        <v>104121.16</v>
      </c>
      <c r="AR215" s="290">
        <f t="shared" si="165"/>
        <v>0</v>
      </c>
      <c r="AS215" s="290">
        <f t="shared" si="166"/>
        <v>0</v>
      </c>
      <c r="AT215" s="290">
        <f t="shared" si="167"/>
        <v>5354269.43</v>
      </c>
      <c r="AU215" s="291">
        <f t="shared" si="168"/>
        <v>5354269.43</v>
      </c>
      <c r="AV215" s="291">
        <f t="shared" si="137"/>
        <v>0</v>
      </c>
      <c r="AW215" s="292">
        <f t="shared" si="169"/>
        <v>2534155.42</v>
      </c>
      <c r="AX215" s="293">
        <f t="shared" si="170"/>
        <v>823019.28000000026</v>
      </c>
      <c r="BC215" s="276">
        <f>IF(BI215=1,IF(BC214=MiscData!$F$1,EOMONTH(BC214,-11),EOMONTH(BC214,1)),BC214)</f>
        <v>41820</v>
      </c>
      <c r="BD215" s="275" t="str">
        <f t="shared" si="177"/>
        <v>20140101LGINE643</v>
      </c>
      <c r="BE215" s="294" t="str">
        <f t="shared" si="178"/>
        <v>20140101RTS</v>
      </c>
      <c r="BF215">
        <f>MiscData!$X$5</f>
        <v>20140101</v>
      </c>
      <c r="BI215" s="265">
        <f>IF(BI214+1&gt;MiscData!$Z$42,1,BI214+1)</f>
        <v>22</v>
      </c>
      <c r="BJ215" s="265" t="str">
        <f>VLOOKUP(BI215,MiscData!$Z$5:$AB$46,2,FALSE)</f>
        <v>LGINE643</v>
      </c>
      <c r="BK215" s="265" t="str">
        <f>VLOOKUP(BI215,MiscData!$Z$5:$AB$46,3,FALSE)</f>
        <v>RTS</v>
      </c>
    </row>
    <row r="216" spans="1:63" hidden="1">
      <c r="A216" s="275">
        <v>201</v>
      </c>
      <c r="B216" s="276" t="str">
        <f t="shared" si="171"/>
        <v>Jun 2014</v>
      </c>
      <c r="C216" s="277" t="str">
        <f t="shared" si="179"/>
        <v>PSS</v>
      </c>
      <c r="D216" s="277" t="str">
        <f t="shared" si="172"/>
        <v>LGINE661</v>
      </c>
      <c r="E216" s="278">
        <f t="shared" si="140"/>
        <v>245</v>
      </c>
      <c r="F216" s="279">
        <v>2</v>
      </c>
      <c r="G216" s="278">
        <f t="shared" si="141"/>
        <v>0</v>
      </c>
      <c r="H216" s="278">
        <f t="shared" si="142"/>
        <v>0</v>
      </c>
      <c r="I216" s="278">
        <f t="shared" si="143"/>
        <v>0</v>
      </c>
      <c r="J216" s="278">
        <f t="shared" si="144"/>
        <v>26069350</v>
      </c>
      <c r="K216" s="280">
        <v>0</v>
      </c>
      <c r="L216" s="281">
        <f t="shared" si="145"/>
        <v>0</v>
      </c>
      <c r="M216" s="281">
        <f t="shared" si="146"/>
        <v>0</v>
      </c>
      <c r="N216" s="281">
        <f t="shared" si="147"/>
        <v>69941.7</v>
      </c>
      <c r="O216" s="282">
        <v>0</v>
      </c>
      <c r="P216" s="282">
        <v>0</v>
      </c>
      <c r="Q216" s="282">
        <v>830.3</v>
      </c>
      <c r="R216" s="283">
        <f t="shared" si="148"/>
        <v>90</v>
      </c>
      <c r="S216" s="284">
        <f t="shared" si="136"/>
        <v>4.0599999999999997E-2</v>
      </c>
      <c r="T216" s="284">
        <f t="shared" si="149"/>
        <v>0</v>
      </c>
      <c r="U216" s="284">
        <f t="shared" si="150"/>
        <v>0</v>
      </c>
      <c r="V216" s="284">
        <f t="shared" si="151"/>
        <v>2.725E-2</v>
      </c>
      <c r="W216" s="283">
        <f t="shared" si="152"/>
        <v>0</v>
      </c>
      <c r="X216" s="283">
        <f t="shared" si="153"/>
        <v>14.010000000000002</v>
      </c>
      <c r="Y216" s="283">
        <f t="shared" si="154"/>
        <v>16.399999999999999</v>
      </c>
      <c r="Z216" s="285">
        <f t="shared" si="155"/>
        <v>22230</v>
      </c>
      <c r="AA216" s="285">
        <f t="shared" si="156"/>
        <v>1058415.6100000001</v>
      </c>
      <c r="AB216" s="285">
        <f t="shared" si="173"/>
        <v>0</v>
      </c>
      <c r="AC216" s="285">
        <f t="shared" si="174"/>
        <v>0</v>
      </c>
      <c r="AD216" s="285">
        <f t="shared" si="175"/>
        <v>1147043.8799999999</v>
      </c>
      <c r="AE216" s="286">
        <v>0</v>
      </c>
      <c r="AF216" s="287">
        <f t="shared" si="157"/>
        <v>83216.44</v>
      </c>
      <c r="AG216" s="288">
        <f t="shared" si="158"/>
        <v>13616.92</v>
      </c>
      <c r="AH216" s="285">
        <f t="shared" si="180"/>
        <v>1243877.2399999998</v>
      </c>
      <c r="AI216" s="286">
        <v>-153</v>
      </c>
      <c r="AJ216" s="286">
        <v>0.05</v>
      </c>
      <c r="AK216" s="286">
        <v>-21745.11</v>
      </c>
      <c r="AL216" s="285">
        <f t="shared" si="160"/>
        <v>2302624.79</v>
      </c>
      <c r="AM216" s="285">
        <f t="shared" si="161"/>
        <v>2302624.79</v>
      </c>
      <c r="AN216" s="289">
        <f t="shared" si="176"/>
        <v>1</v>
      </c>
      <c r="AO216" s="290">
        <f t="shared" si="162"/>
        <v>82148.600000000006</v>
      </c>
      <c r="AP216" s="290">
        <f t="shared" si="163"/>
        <v>0</v>
      </c>
      <c r="AQ216" s="290">
        <f t="shared" si="164"/>
        <v>75925.100000000006</v>
      </c>
      <c r="AR216" s="290">
        <f t="shared" si="165"/>
        <v>0</v>
      </c>
      <c r="AS216" s="290">
        <f t="shared" si="166"/>
        <v>0</v>
      </c>
      <c r="AT216" s="290">
        <f t="shared" si="167"/>
        <v>2460698.4900000002</v>
      </c>
      <c r="AU216" s="291">
        <f t="shared" si="168"/>
        <v>2460698.4900000002</v>
      </c>
      <c r="AV216" s="291">
        <f t="shared" si="137"/>
        <v>0</v>
      </c>
      <c r="AW216" s="292">
        <f t="shared" si="169"/>
        <v>710389.79</v>
      </c>
      <c r="AX216" s="293">
        <f t="shared" si="170"/>
        <v>348025.87000000011</v>
      </c>
      <c r="BC216" s="276">
        <f>IF(BI216=1,IF(BC215=MiscData!$F$1,EOMONTH(BC215,-11),EOMONTH(BC215,1)),BC215)</f>
        <v>41820</v>
      </c>
      <c r="BD216" s="275" t="str">
        <f t="shared" si="177"/>
        <v>20140101LGINE661</v>
      </c>
      <c r="BE216" s="294" t="str">
        <f t="shared" si="178"/>
        <v>20140101PSS</v>
      </c>
      <c r="BF216">
        <f>MiscData!$X$5</f>
        <v>20140101</v>
      </c>
      <c r="BI216" s="265">
        <f>IF(BI215+1&gt;MiscData!$Z$42,1,BI215+1)</f>
        <v>23</v>
      </c>
      <c r="BJ216" s="265" t="str">
        <f>VLOOKUP(BI216,MiscData!$Z$5:$AB$46,2,FALSE)</f>
        <v>LGINE661</v>
      </c>
      <c r="BK216" s="265" t="str">
        <f>VLOOKUP(BI216,MiscData!$Z$5:$AB$46,3,FALSE)</f>
        <v>PSS</v>
      </c>
    </row>
    <row r="217" spans="1:63" hidden="1">
      <c r="A217" s="275">
        <v>202</v>
      </c>
      <c r="B217" s="276" t="str">
        <f t="shared" si="171"/>
        <v>Jun 2014</v>
      </c>
      <c r="C217" s="277" t="str">
        <f t="shared" si="179"/>
        <v>PSP</v>
      </c>
      <c r="D217" s="277" t="str">
        <f t="shared" si="172"/>
        <v>LGINE663</v>
      </c>
      <c r="E217" s="278">
        <f t="shared" si="140"/>
        <v>22</v>
      </c>
      <c r="F217" s="279">
        <v>0</v>
      </c>
      <c r="G217" s="278">
        <f t="shared" si="141"/>
        <v>0</v>
      </c>
      <c r="H217" s="278">
        <f t="shared" si="142"/>
        <v>0</v>
      </c>
      <c r="I217" s="278">
        <f t="shared" si="143"/>
        <v>0</v>
      </c>
      <c r="J217" s="278">
        <f t="shared" si="144"/>
        <v>1077180</v>
      </c>
      <c r="K217" s="280">
        <v>0</v>
      </c>
      <c r="L217" s="281">
        <f t="shared" si="145"/>
        <v>0</v>
      </c>
      <c r="M217" s="281">
        <f t="shared" si="146"/>
        <v>0</v>
      </c>
      <c r="N217" s="281">
        <f t="shared" si="147"/>
        <v>4616.5</v>
      </c>
      <c r="O217" s="282">
        <v>0</v>
      </c>
      <c r="P217" s="282">
        <v>0</v>
      </c>
      <c r="Q217" s="282">
        <v>18.2</v>
      </c>
      <c r="R217" s="283">
        <f t="shared" si="148"/>
        <v>170</v>
      </c>
      <c r="S217" s="284">
        <f t="shared" si="136"/>
        <v>3.9260000000000003E-2</v>
      </c>
      <c r="T217" s="284">
        <f t="shared" si="149"/>
        <v>0</v>
      </c>
      <c r="U217" s="284">
        <f t="shared" si="150"/>
        <v>0</v>
      </c>
      <c r="V217" s="284">
        <f t="shared" si="151"/>
        <v>2.725E-2</v>
      </c>
      <c r="W217" s="283">
        <f t="shared" si="152"/>
        <v>0</v>
      </c>
      <c r="X217" s="283">
        <f t="shared" si="153"/>
        <v>11.660000000000002</v>
      </c>
      <c r="Y217" s="283">
        <f t="shared" si="154"/>
        <v>13.950000000000001</v>
      </c>
      <c r="Z217" s="285">
        <f t="shared" si="155"/>
        <v>3740</v>
      </c>
      <c r="AA217" s="285">
        <f t="shared" si="156"/>
        <v>42290.09</v>
      </c>
      <c r="AB217" s="285">
        <f t="shared" si="173"/>
        <v>0</v>
      </c>
      <c r="AC217" s="285">
        <f t="shared" si="174"/>
        <v>0</v>
      </c>
      <c r="AD217" s="285">
        <f t="shared" si="175"/>
        <v>64400.18</v>
      </c>
      <c r="AE217" s="286">
        <v>0</v>
      </c>
      <c r="AF217" s="287">
        <f t="shared" si="157"/>
        <v>11595.27</v>
      </c>
      <c r="AG217" s="288">
        <f t="shared" si="158"/>
        <v>253.89</v>
      </c>
      <c r="AH217" s="285">
        <f t="shared" si="180"/>
        <v>76249.34</v>
      </c>
      <c r="AI217" s="286">
        <v>0</v>
      </c>
      <c r="AJ217" s="286">
        <v>0.02</v>
      </c>
      <c r="AK217" s="286">
        <v>0.04</v>
      </c>
      <c r="AL217" s="285">
        <f t="shared" si="160"/>
        <v>122279.48999999999</v>
      </c>
      <c r="AM217" s="285">
        <f t="shared" si="161"/>
        <v>122279.49</v>
      </c>
      <c r="AN217" s="289">
        <f t="shared" si="176"/>
        <v>1</v>
      </c>
      <c r="AO217" s="290">
        <f t="shared" si="162"/>
        <v>3262.09</v>
      </c>
      <c r="AP217" s="290">
        <f t="shared" si="163"/>
        <v>0</v>
      </c>
      <c r="AQ217" s="290">
        <f t="shared" si="164"/>
        <v>4348.8100000000004</v>
      </c>
      <c r="AR217" s="290">
        <f t="shared" si="165"/>
        <v>0</v>
      </c>
      <c r="AS217" s="290">
        <f t="shared" si="166"/>
        <v>0</v>
      </c>
      <c r="AT217" s="290">
        <f t="shared" si="167"/>
        <v>129890.39</v>
      </c>
      <c r="AU217" s="291">
        <f t="shared" si="168"/>
        <v>129890.38999999998</v>
      </c>
      <c r="AV217" s="291">
        <f t="shared" si="137"/>
        <v>0</v>
      </c>
      <c r="AW217" s="292">
        <f t="shared" si="169"/>
        <v>29353.16</v>
      </c>
      <c r="AX217" s="293">
        <f t="shared" si="170"/>
        <v>12936.949999999993</v>
      </c>
      <c r="BC217" s="276">
        <f>IF(BI217=1,IF(BC216=MiscData!$F$1,EOMONTH(BC216,-11),EOMONTH(BC216,1)),BC216)</f>
        <v>41820</v>
      </c>
      <c r="BD217" s="275" t="str">
        <f t="shared" si="177"/>
        <v>20140101LGINE663</v>
      </c>
      <c r="BE217" s="294" t="str">
        <f t="shared" si="178"/>
        <v>20140101PSP</v>
      </c>
      <c r="BF217">
        <f>MiscData!$X$5</f>
        <v>20140101</v>
      </c>
      <c r="BI217" s="265">
        <f>IF(BI216+1&gt;MiscData!$Z$42,1,BI216+1)</f>
        <v>24</v>
      </c>
      <c r="BJ217" s="265" t="str">
        <f>VLOOKUP(BI217,MiscData!$Z$5:$AB$46,2,FALSE)</f>
        <v>LGINE663</v>
      </c>
      <c r="BK217" s="265" t="str">
        <f>VLOOKUP(BI217,MiscData!$Z$5:$AB$46,3,FALSE)</f>
        <v>PSP</v>
      </c>
    </row>
    <row r="218" spans="1:63" hidden="1">
      <c r="A218" s="275">
        <v>203</v>
      </c>
      <c r="B218" s="276" t="str">
        <f t="shared" si="171"/>
        <v>Jun 2014</v>
      </c>
      <c r="C218" s="277" t="str">
        <f t="shared" si="179"/>
        <v>TODS</v>
      </c>
      <c r="D218" s="277" t="str">
        <f t="shared" si="172"/>
        <v>LGINE691</v>
      </c>
      <c r="E218" s="278">
        <f t="shared" si="140"/>
        <v>76</v>
      </c>
      <c r="F218" s="279">
        <v>1</v>
      </c>
      <c r="G218" s="278">
        <f t="shared" si="141"/>
        <v>0</v>
      </c>
      <c r="H218" s="278">
        <f t="shared" si="142"/>
        <v>0</v>
      </c>
      <c r="I218" s="278">
        <f t="shared" si="143"/>
        <v>0</v>
      </c>
      <c r="J218" s="278">
        <f t="shared" si="144"/>
        <v>19998380</v>
      </c>
      <c r="K218" s="280">
        <v>0</v>
      </c>
      <c r="L218" s="281">
        <f t="shared" si="145"/>
        <v>46696.7</v>
      </c>
      <c r="M218" s="281">
        <f t="shared" si="146"/>
        <v>45700.9</v>
      </c>
      <c r="N218" s="281">
        <f t="shared" si="147"/>
        <v>44695.7</v>
      </c>
      <c r="O218" s="282">
        <v>1784.6250000000073</v>
      </c>
      <c r="P218" s="282">
        <v>67.150000000001455</v>
      </c>
      <c r="Q218" s="282">
        <v>72.350000000005821</v>
      </c>
      <c r="R218" s="283">
        <f t="shared" si="148"/>
        <v>200</v>
      </c>
      <c r="S218" s="284">
        <f t="shared" si="136"/>
        <v>3.9899999999999998E-2</v>
      </c>
      <c r="T218" s="284">
        <f t="shared" si="149"/>
        <v>0</v>
      </c>
      <c r="U218" s="284">
        <f t="shared" si="150"/>
        <v>0</v>
      </c>
      <c r="V218" s="284">
        <f t="shared" si="151"/>
        <v>2.725E-2</v>
      </c>
      <c r="W218" s="283">
        <f t="shared" si="152"/>
        <v>4</v>
      </c>
      <c r="X218" s="283">
        <f t="shared" si="153"/>
        <v>4.5100000000000007</v>
      </c>
      <c r="Y218" s="283">
        <f t="shared" si="154"/>
        <v>6.11</v>
      </c>
      <c r="Z218" s="285">
        <f t="shared" si="155"/>
        <v>15400</v>
      </c>
      <c r="AA218" s="285">
        <f t="shared" si="156"/>
        <v>797935.36</v>
      </c>
      <c r="AB218" s="285">
        <f t="shared" si="173"/>
        <v>186786.8</v>
      </c>
      <c r="AC218" s="285">
        <f t="shared" si="174"/>
        <v>206111.06</v>
      </c>
      <c r="AD218" s="285">
        <f t="shared" si="175"/>
        <v>273090.73</v>
      </c>
      <c r="AE218" s="286">
        <v>0</v>
      </c>
      <c r="AF218" s="287">
        <f t="shared" si="157"/>
        <v>41783.53</v>
      </c>
      <c r="AG218" s="288">
        <f t="shared" si="158"/>
        <v>7883.41</v>
      </c>
      <c r="AH218" s="285">
        <f t="shared" si="180"/>
        <v>715655.53</v>
      </c>
      <c r="AI218" s="286">
        <v>-173.34</v>
      </c>
      <c r="AJ218" s="286">
        <v>0</v>
      </c>
      <c r="AK218" s="286">
        <v>21832.240000000002</v>
      </c>
      <c r="AL218" s="285">
        <f t="shared" si="160"/>
        <v>1550649.7899999998</v>
      </c>
      <c r="AM218" s="285">
        <f t="shared" si="161"/>
        <v>1550649.7899999998</v>
      </c>
      <c r="AN218" s="289">
        <f t="shared" si="176"/>
        <v>1</v>
      </c>
      <c r="AO218" s="290">
        <f t="shared" si="162"/>
        <v>62685.24</v>
      </c>
      <c r="AP218" s="290">
        <f t="shared" si="163"/>
        <v>0</v>
      </c>
      <c r="AQ218" s="290">
        <f t="shared" si="164"/>
        <v>47927.12</v>
      </c>
      <c r="AR218" s="290">
        <f t="shared" si="165"/>
        <v>0</v>
      </c>
      <c r="AS218" s="290">
        <f t="shared" si="166"/>
        <v>0</v>
      </c>
      <c r="AT218" s="290">
        <f t="shared" si="167"/>
        <v>1661262.15</v>
      </c>
      <c r="AU218" s="291">
        <f t="shared" si="168"/>
        <v>1661262.15</v>
      </c>
      <c r="AV218" s="291">
        <f t="shared" si="137"/>
        <v>0</v>
      </c>
      <c r="AW218" s="292">
        <f t="shared" si="169"/>
        <v>544955.86</v>
      </c>
      <c r="AX218" s="293">
        <f t="shared" si="170"/>
        <v>252979.5</v>
      </c>
      <c r="BC218" s="276">
        <f>IF(BI218=1,IF(BC217=MiscData!$F$1,EOMONTH(BC217,-11),EOMONTH(BC217,1)),BC217)</f>
        <v>41820</v>
      </c>
      <c r="BD218" s="275" t="str">
        <f t="shared" si="177"/>
        <v>20140101LGINE691</v>
      </c>
      <c r="BE218" s="294" t="str">
        <f t="shared" si="178"/>
        <v>20140101TODS</v>
      </c>
      <c r="BF218">
        <f>MiscData!$X$5</f>
        <v>20140101</v>
      </c>
      <c r="BI218" s="265">
        <f>IF(BI217+1&gt;MiscData!$Z$42,1,BI217+1)</f>
        <v>25</v>
      </c>
      <c r="BJ218" s="265" t="str">
        <f>VLOOKUP(BI218,MiscData!$Z$5:$AB$46,2,FALSE)</f>
        <v>LGINE691</v>
      </c>
      <c r="BK218" s="265" t="str">
        <f>VLOOKUP(BI218,MiscData!$Z$5:$AB$46,3,FALSE)</f>
        <v>TODS</v>
      </c>
    </row>
    <row r="219" spans="1:63" hidden="1">
      <c r="A219" s="275">
        <v>204</v>
      </c>
      <c r="B219" s="276" t="str">
        <f t="shared" si="171"/>
        <v>Jun 2014</v>
      </c>
      <c r="C219" s="277" t="str">
        <f t="shared" si="179"/>
        <v>ITODP</v>
      </c>
      <c r="D219" s="277" t="str">
        <f t="shared" si="172"/>
        <v>LGINE693</v>
      </c>
      <c r="E219" s="278">
        <f t="shared" si="140"/>
        <v>64</v>
      </c>
      <c r="F219" s="279">
        <v>0</v>
      </c>
      <c r="G219" s="278">
        <f t="shared" si="141"/>
        <v>0</v>
      </c>
      <c r="H219" s="278">
        <f t="shared" si="142"/>
        <v>0</v>
      </c>
      <c r="I219" s="278">
        <f t="shared" si="143"/>
        <v>0</v>
      </c>
      <c r="J219" s="278">
        <f t="shared" si="144"/>
        <v>133770600</v>
      </c>
      <c r="K219" s="280">
        <v>0</v>
      </c>
      <c r="L219" s="281">
        <f t="shared" si="145"/>
        <v>305572.7</v>
      </c>
      <c r="M219" s="281">
        <f t="shared" si="146"/>
        <v>296382.7</v>
      </c>
      <c r="N219" s="281">
        <f t="shared" si="147"/>
        <v>290901.7</v>
      </c>
      <c r="O219" s="282">
        <v>824.10000000003492</v>
      </c>
      <c r="P219" s="282">
        <v>0</v>
      </c>
      <c r="Q219" s="282">
        <v>739.40000000002328</v>
      </c>
      <c r="R219" s="283">
        <f t="shared" si="148"/>
        <v>300</v>
      </c>
      <c r="S219" s="284">
        <f t="shared" si="136"/>
        <v>3.5380000000000002E-2</v>
      </c>
      <c r="T219" s="284">
        <f t="shared" si="149"/>
        <v>0</v>
      </c>
      <c r="U219" s="284">
        <f t="shared" si="150"/>
        <v>0</v>
      </c>
      <c r="V219" s="284">
        <f t="shared" si="151"/>
        <v>2.725E-2</v>
      </c>
      <c r="W219" s="283">
        <f t="shared" si="152"/>
        <v>3.6300000000000003</v>
      </c>
      <c r="X219" s="283">
        <f t="shared" si="153"/>
        <v>3.7900000000000005</v>
      </c>
      <c r="Y219" s="283">
        <f t="shared" si="154"/>
        <v>4.63</v>
      </c>
      <c r="Z219" s="285">
        <f t="shared" si="155"/>
        <v>19200</v>
      </c>
      <c r="AA219" s="285">
        <f t="shared" si="156"/>
        <v>4732803.83</v>
      </c>
      <c r="AB219" s="285">
        <f t="shared" si="173"/>
        <v>1109228.8999999999</v>
      </c>
      <c r="AC219" s="285">
        <f t="shared" si="174"/>
        <v>1123290.43</v>
      </c>
      <c r="AD219" s="285">
        <f t="shared" si="175"/>
        <v>1346874.87</v>
      </c>
      <c r="AE219" s="286">
        <v>0</v>
      </c>
      <c r="AF219" s="287">
        <f t="shared" si="157"/>
        <v>0</v>
      </c>
      <c r="AG219" s="288">
        <f t="shared" si="158"/>
        <v>6414.91</v>
      </c>
      <c r="AH219" s="285">
        <f t="shared" si="180"/>
        <v>3585809.1100000003</v>
      </c>
      <c r="AI219" s="286">
        <v>0</v>
      </c>
      <c r="AJ219" s="286">
        <v>0.03</v>
      </c>
      <c r="AK219" s="286">
        <v>0.08</v>
      </c>
      <c r="AL219" s="285">
        <f t="shared" si="160"/>
        <v>8337813.0500000007</v>
      </c>
      <c r="AM219" s="285">
        <f t="shared" si="161"/>
        <v>8337813.0499999989</v>
      </c>
      <c r="AN219" s="289">
        <f t="shared" si="176"/>
        <v>1</v>
      </c>
      <c r="AO219" s="290">
        <f t="shared" si="162"/>
        <v>372840</v>
      </c>
      <c r="AP219" s="290">
        <f t="shared" si="163"/>
        <v>0</v>
      </c>
      <c r="AQ219" s="290">
        <f t="shared" si="164"/>
        <v>214332.4</v>
      </c>
      <c r="AR219" s="290">
        <f t="shared" si="165"/>
        <v>0</v>
      </c>
      <c r="AS219" s="290">
        <f t="shared" si="166"/>
        <v>0</v>
      </c>
      <c r="AT219" s="290">
        <f t="shared" si="167"/>
        <v>8924985.4499999993</v>
      </c>
      <c r="AU219" s="291">
        <f t="shared" si="168"/>
        <v>8924985.4500000011</v>
      </c>
      <c r="AV219" s="291">
        <f t="shared" ref="AV219:AV223" si="181">ROUND(AT219-AU219,2)</f>
        <v>0</v>
      </c>
      <c r="AW219" s="292">
        <f t="shared" si="169"/>
        <v>3645248.85</v>
      </c>
      <c r="AX219" s="293">
        <f t="shared" si="170"/>
        <v>1087555.0100000002</v>
      </c>
      <c r="BC219" s="276">
        <f>IF(BI219=1,IF(BC218=MiscData!$F$1,EOMONTH(BC218,-11),EOMONTH(BC218,1)),BC218)</f>
        <v>41820</v>
      </c>
      <c r="BD219" s="275" t="str">
        <f t="shared" si="177"/>
        <v>20140101LGINE693</v>
      </c>
      <c r="BE219" s="294" t="str">
        <f t="shared" si="178"/>
        <v>20140101ITODP</v>
      </c>
      <c r="BF219">
        <f>MiscData!$X$5</f>
        <v>20140101</v>
      </c>
      <c r="BI219" s="265">
        <f>IF(BI218+1&gt;MiscData!$Z$42,1,BI218+1)</f>
        <v>26</v>
      </c>
      <c r="BJ219" s="265" t="str">
        <f>VLOOKUP(BI219,MiscData!$Z$5:$AB$46,2,FALSE)</f>
        <v>LGINE693</v>
      </c>
      <c r="BK219" s="265" t="str">
        <f>VLOOKUP(BI219,MiscData!$Z$5:$AB$46,3,FALSE)</f>
        <v>ITODP</v>
      </c>
    </row>
    <row r="220" spans="1:63" hidden="1">
      <c r="A220" s="275">
        <v>205</v>
      </c>
      <c r="B220" s="276" t="str">
        <f t="shared" si="171"/>
        <v>Jun 2014</v>
      </c>
      <c r="C220" s="277" t="str">
        <f t="shared" si="179"/>
        <v>ITODP</v>
      </c>
      <c r="D220" s="277" t="str">
        <f t="shared" si="172"/>
        <v>LGINE694</v>
      </c>
      <c r="E220" s="278">
        <f t="shared" si="140"/>
        <v>0</v>
      </c>
      <c r="F220" s="279">
        <v>0</v>
      </c>
      <c r="G220" s="278">
        <f t="shared" si="141"/>
        <v>0</v>
      </c>
      <c r="H220" s="278">
        <f t="shared" si="142"/>
        <v>0</v>
      </c>
      <c r="I220" s="278">
        <f t="shared" si="143"/>
        <v>0</v>
      </c>
      <c r="J220" s="278">
        <f t="shared" si="144"/>
        <v>0</v>
      </c>
      <c r="K220" s="280">
        <v>0</v>
      </c>
      <c r="L220" s="281">
        <f t="shared" si="145"/>
        <v>0</v>
      </c>
      <c r="M220" s="281">
        <f t="shared" si="146"/>
        <v>0</v>
      </c>
      <c r="N220" s="281">
        <f t="shared" si="147"/>
        <v>0</v>
      </c>
      <c r="O220" s="282">
        <v>0</v>
      </c>
      <c r="P220" s="282">
        <v>0</v>
      </c>
      <c r="Q220" s="282">
        <v>0</v>
      </c>
      <c r="R220" s="283">
        <f t="shared" si="148"/>
        <v>300</v>
      </c>
      <c r="S220" s="284">
        <f t="shared" si="136"/>
        <v>3.5380000000000002E-2</v>
      </c>
      <c r="T220" s="284">
        <f t="shared" si="149"/>
        <v>0</v>
      </c>
      <c r="U220" s="284">
        <f t="shared" si="150"/>
        <v>0</v>
      </c>
      <c r="V220" s="284">
        <f t="shared" si="151"/>
        <v>2.725E-2</v>
      </c>
      <c r="W220" s="283">
        <f t="shared" si="152"/>
        <v>3.6300000000000003</v>
      </c>
      <c r="X220" s="283">
        <f t="shared" si="153"/>
        <v>3.7900000000000005</v>
      </c>
      <c r="Y220" s="283">
        <f t="shared" si="154"/>
        <v>4.63</v>
      </c>
      <c r="Z220" s="285">
        <f t="shared" si="155"/>
        <v>0</v>
      </c>
      <c r="AA220" s="285">
        <f t="shared" si="156"/>
        <v>0</v>
      </c>
      <c r="AB220" s="285">
        <f t="shared" si="173"/>
        <v>0</v>
      </c>
      <c r="AC220" s="285">
        <f t="shared" si="174"/>
        <v>0</v>
      </c>
      <c r="AD220" s="285">
        <f t="shared" si="175"/>
        <v>0</v>
      </c>
      <c r="AE220" s="286">
        <v>0</v>
      </c>
      <c r="AF220" s="287">
        <f t="shared" si="157"/>
        <v>0</v>
      </c>
      <c r="AG220" s="288">
        <f t="shared" si="158"/>
        <v>0</v>
      </c>
      <c r="AH220" s="285">
        <f t="shared" si="180"/>
        <v>0</v>
      </c>
      <c r="AI220" s="286">
        <v>0</v>
      </c>
      <c r="AJ220" s="286">
        <v>0</v>
      </c>
      <c r="AK220" s="286">
        <v>0</v>
      </c>
      <c r="AL220" s="285">
        <f t="shared" si="160"/>
        <v>0</v>
      </c>
      <c r="AM220" s="285">
        <f t="shared" si="161"/>
        <v>0</v>
      </c>
      <c r="AN220" s="289">
        <f t="shared" si="176"/>
        <v>1</v>
      </c>
      <c r="AO220" s="290">
        <f t="shared" si="162"/>
        <v>0</v>
      </c>
      <c r="AP220" s="290">
        <f t="shared" si="163"/>
        <v>0</v>
      </c>
      <c r="AQ220" s="290">
        <f t="shared" si="164"/>
        <v>0</v>
      </c>
      <c r="AR220" s="290">
        <f t="shared" si="165"/>
        <v>0</v>
      </c>
      <c r="AS220" s="290">
        <f t="shared" si="166"/>
        <v>0</v>
      </c>
      <c r="AT220" s="290">
        <f t="shared" si="167"/>
        <v>0</v>
      </c>
      <c r="AU220" s="291">
        <f t="shared" si="168"/>
        <v>0</v>
      </c>
      <c r="AV220" s="291">
        <f t="shared" si="181"/>
        <v>0</v>
      </c>
      <c r="AW220" s="292">
        <f t="shared" si="169"/>
        <v>0</v>
      </c>
      <c r="AX220" s="293">
        <f t="shared" si="170"/>
        <v>0</v>
      </c>
      <c r="BC220" s="276">
        <f>IF(BI220=1,IF(BC219=MiscData!$F$1,EOMONTH(BC219,-11),EOMONTH(BC219,1)),BC219)</f>
        <v>41820</v>
      </c>
      <c r="BD220" s="275" t="str">
        <f t="shared" si="177"/>
        <v>20140101LGINE694</v>
      </c>
      <c r="BE220" s="294" t="str">
        <f t="shared" si="178"/>
        <v>20140101ITODP</v>
      </c>
      <c r="BF220">
        <f>MiscData!$X$5</f>
        <v>20140101</v>
      </c>
      <c r="BI220" s="265">
        <f>IF(BI219+1&gt;MiscData!$Z$42,1,BI219+1)</f>
        <v>27</v>
      </c>
      <c r="BJ220" s="265" t="str">
        <f>VLOOKUP(BI220,MiscData!$Z$5:$AB$46,2,FALSE)</f>
        <v>LGINE694</v>
      </c>
      <c r="BK220" s="265" t="str">
        <f>VLOOKUP(BI220,MiscData!$Z$5:$AB$46,3,FALSE)</f>
        <v>ITODP</v>
      </c>
    </row>
    <row r="221" spans="1:63" hidden="1">
      <c r="A221" s="275">
        <v>206</v>
      </c>
      <c r="B221" s="276" t="str">
        <f t="shared" si="171"/>
        <v>Jun 2014</v>
      </c>
      <c r="C221" s="277" t="str">
        <f t="shared" si="179"/>
        <v>LE</v>
      </c>
      <c r="D221" s="277" t="str">
        <f t="shared" si="172"/>
        <v>LGMLE570</v>
      </c>
      <c r="E221" s="278">
        <f t="shared" si="140"/>
        <v>1</v>
      </c>
      <c r="F221" s="279">
        <v>0</v>
      </c>
      <c r="G221" s="278">
        <f t="shared" si="141"/>
        <v>0</v>
      </c>
      <c r="H221" s="278">
        <f t="shared" si="142"/>
        <v>0</v>
      </c>
      <c r="I221" s="278">
        <f t="shared" si="143"/>
        <v>0</v>
      </c>
      <c r="J221" s="278">
        <f t="shared" si="144"/>
        <v>196</v>
      </c>
      <c r="K221" s="280">
        <v>0</v>
      </c>
      <c r="L221" s="281">
        <f t="shared" si="145"/>
        <v>0</v>
      </c>
      <c r="M221" s="281">
        <f t="shared" si="146"/>
        <v>0</v>
      </c>
      <c r="N221" s="281">
        <f t="shared" si="147"/>
        <v>0</v>
      </c>
      <c r="O221" s="282">
        <v>0</v>
      </c>
      <c r="P221" s="282">
        <v>0</v>
      </c>
      <c r="Q221" s="282">
        <v>0</v>
      </c>
      <c r="R221" s="283">
        <f t="shared" si="148"/>
        <v>0</v>
      </c>
      <c r="S221" s="284">
        <f t="shared" si="136"/>
        <v>6.4610000000000001E-2</v>
      </c>
      <c r="T221" s="284">
        <f t="shared" si="149"/>
        <v>0</v>
      </c>
      <c r="U221" s="284">
        <f t="shared" si="150"/>
        <v>0</v>
      </c>
      <c r="V221" s="284">
        <f t="shared" si="151"/>
        <v>2.725E-2</v>
      </c>
      <c r="W221" s="283">
        <f t="shared" si="152"/>
        <v>0</v>
      </c>
      <c r="X221" s="283">
        <f t="shared" si="153"/>
        <v>0</v>
      </c>
      <c r="Y221" s="283">
        <f t="shared" si="154"/>
        <v>0</v>
      </c>
      <c r="Z221" s="285">
        <f t="shared" si="155"/>
        <v>0</v>
      </c>
      <c r="AA221" s="285">
        <f t="shared" si="156"/>
        <v>12.66</v>
      </c>
      <c r="AB221" s="285">
        <f t="shared" si="173"/>
        <v>0</v>
      </c>
      <c r="AC221" s="285">
        <f t="shared" si="174"/>
        <v>0</v>
      </c>
      <c r="AD221" s="285">
        <f t="shared" si="175"/>
        <v>0</v>
      </c>
      <c r="AE221" s="286">
        <v>0</v>
      </c>
      <c r="AF221" s="287">
        <f t="shared" si="157"/>
        <v>0</v>
      </c>
      <c r="AG221" s="288">
        <f t="shared" si="158"/>
        <v>0</v>
      </c>
      <c r="AH221" s="285">
        <f t="shared" si="180"/>
        <v>0</v>
      </c>
      <c r="AI221" s="286">
        <v>0</v>
      </c>
      <c r="AJ221" s="286">
        <v>0</v>
      </c>
      <c r="AK221" s="286">
        <v>0</v>
      </c>
      <c r="AL221" s="285">
        <f t="shared" si="160"/>
        <v>12.66</v>
      </c>
      <c r="AM221" s="285">
        <f t="shared" si="161"/>
        <v>12.66</v>
      </c>
      <c r="AN221" s="289">
        <f t="shared" si="176"/>
        <v>1</v>
      </c>
      <c r="AO221" s="290">
        <f t="shared" si="162"/>
        <v>0.62</v>
      </c>
      <c r="AP221" s="290">
        <f t="shared" si="163"/>
        <v>0</v>
      </c>
      <c r="AQ221" s="290">
        <f t="shared" si="164"/>
        <v>0.4</v>
      </c>
      <c r="AR221" s="290">
        <f t="shared" si="165"/>
        <v>0</v>
      </c>
      <c r="AS221" s="290">
        <f t="shared" si="166"/>
        <v>0</v>
      </c>
      <c r="AT221" s="290">
        <f t="shared" si="167"/>
        <v>13.68</v>
      </c>
      <c r="AU221" s="291">
        <f t="shared" si="168"/>
        <v>13.68</v>
      </c>
      <c r="AV221" s="291">
        <f t="shared" si="181"/>
        <v>0</v>
      </c>
      <c r="AW221" s="292">
        <f t="shared" si="169"/>
        <v>5.34</v>
      </c>
      <c r="AX221" s="293">
        <f t="shared" si="170"/>
        <v>7.32</v>
      </c>
      <c r="BC221" s="276">
        <f>IF(BI221=1,IF(BC220=MiscData!$F$1,EOMONTH(BC220,-11),EOMONTH(BC220,1)),BC220)</f>
        <v>41820</v>
      </c>
      <c r="BD221" s="275" t="str">
        <f t="shared" si="177"/>
        <v>20140101LGMLE570</v>
      </c>
      <c r="BE221" s="294" t="str">
        <f t="shared" si="178"/>
        <v>20140101LE</v>
      </c>
      <c r="BF221">
        <f>MiscData!$X$5</f>
        <v>20140101</v>
      </c>
      <c r="BI221" s="265">
        <f>IF(BI220+1&gt;MiscData!$Z$42,1,BI220+1)</f>
        <v>28</v>
      </c>
      <c r="BJ221" s="265" t="str">
        <f>VLOOKUP(BI221,MiscData!$Z$5:$AB$46,2,FALSE)</f>
        <v>LGMLE570</v>
      </c>
      <c r="BK221" s="265" t="str">
        <f>VLOOKUP(BI221,MiscData!$Z$5:$AB$46,3,FALSE)</f>
        <v>LE</v>
      </c>
    </row>
    <row r="222" spans="1:63" hidden="1">
      <c r="A222" s="275">
        <v>207</v>
      </c>
      <c r="B222" s="276" t="str">
        <f t="shared" si="171"/>
        <v>Jun 2014</v>
      </c>
      <c r="C222" s="277" t="str">
        <f t="shared" si="179"/>
        <v>LE</v>
      </c>
      <c r="D222" s="277" t="str">
        <f t="shared" si="172"/>
        <v>LGMLE571</v>
      </c>
      <c r="E222" s="278">
        <f t="shared" si="140"/>
        <v>160</v>
      </c>
      <c r="F222" s="279">
        <v>0</v>
      </c>
      <c r="G222" s="278">
        <f t="shared" si="141"/>
        <v>0</v>
      </c>
      <c r="H222" s="278">
        <f t="shared" si="142"/>
        <v>0</v>
      </c>
      <c r="I222" s="278">
        <f t="shared" si="143"/>
        <v>0</v>
      </c>
      <c r="J222" s="278">
        <f t="shared" si="144"/>
        <v>148223</v>
      </c>
      <c r="K222" s="280">
        <v>0</v>
      </c>
      <c r="L222" s="281">
        <f t="shared" si="145"/>
        <v>0</v>
      </c>
      <c r="M222" s="281">
        <f t="shared" si="146"/>
        <v>0</v>
      </c>
      <c r="N222" s="281">
        <f t="shared" si="147"/>
        <v>0</v>
      </c>
      <c r="O222" s="282">
        <v>0</v>
      </c>
      <c r="P222" s="282">
        <v>0</v>
      </c>
      <c r="Q222" s="282">
        <v>0</v>
      </c>
      <c r="R222" s="283">
        <f t="shared" si="148"/>
        <v>0</v>
      </c>
      <c r="S222" s="284">
        <f t="shared" si="136"/>
        <v>6.4610000000000001E-2</v>
      </c>
      <c r="T222" s="284">
        <f t="shared" si="149"/>
        <v>0</v>
      </c>
      <c r="U222" s="284">
        <f t="shared" si="150"/>
        <v>0</v>
      </c>
      <c r="V222" s="284">
        <f t="shared" si="151"/>
        <v>2.725E-2</v>
      </c>
      <c r="W222" s="283">
        <f t="shared" si="152"/>
        <v>0</v>
      </c>
      <c r="X222" s="283">
        <f t="shared" si="153"/>
        <v>0</v>
      </c>
      <c r="Y222" s="283">
        <f t="shared" si="154"/>
        <v>0</v>
      </c>
      <c r="Z222" s="285">
        <f t="shared" si="155"/>
        <v>0</v>
      </c>
      <c r="AA222" s="285">
        <f t="shared" si="156"/>
        <v>9576.69</v>
      </c>
      <c r="AB222" s="285">
        <f t="shared" si="173"/>
        <v>0</v>
      </c>
      <c r="AC222" s="285">
        <f t="shared" si="174"/>
        <v>0</v>
      </c>
      <c r="AD222" s="285">
        <f t="shared" si="175"/>
        <v>0</v>
      </c>
      <c r="AE222" s="286">
        <v>0</v>
      </c>
      <c r="AF222" s="287">
        <f t="shared" si="157"/>
        <v>0</v>
      </c>
      <c r="AG222" s="288">
        <f t="shared" si="158"/>
        <v>0</v>
      </c>
      <c r="AH222" s="285">
        <f t="shared" si="180"/>
        <v>0</v>
      </c>
      <c r="AI222" s="286">
        <v>0</v>
      </c>
      <c r="AJ222" s="286">
        <v>-0.08</v>
      </c>
      <c r="AK222" s="286">
        <v>0</v>
      </c>
      <c r="AL222" s="285">
        <f t="shared" si="160"/>
        <v>9576.61</v>
      </c>
      <c r="AM222" s="285">
        <f t="shared" si="161"/>
        <v>9576.61</v>
      </c>
      <c r="AN222" s="289">
        <f t="shared" si="176"/>
        <v>1</v>
      </c>
      <c r="AO222" s="290">
        <f t="shared" si="162"/>
        <v>452.41</v>
      </c>
      <c r="AP222" s="290">
        <f t="shared" si="163"/>
        <v>0</v>
      </c>
      <c r="AQ222" s="290">
        <f t="shared" si="164"/>
        <v>295.92</v>
      </c>
      <c r="AR222" s="290">
        <f t="shared" si="165"/>
        <v>0</v>
      </c>
      <c r="AS222" s="290">
        <f t="shared" si="166"/>
        <v>0</v>
      </c>
      <c r="AT222" s="290">
        <f t="shared" si="167"/>
        <v>10324.94</v>
      </c>
      <c r="AU222" s="291">
        <f t="shared" si="168"/>
        <v>10324.94</v>
      </c>
      <c r="AV222" s="291">
        <f t="shared" si="181"/>
        <v>0</v>
      </c>
      <c r="AW222" s="292">
        <f t="shared" si="169"/>
        <v>4039.08</v>
      </c>
      <c r="AX222" s="293">
        <f t="shared" si="170"/>
        <v>5537.5300000000007</v>
      </c>
      <c r="BC222" s="276">
        <f>IF(BI222=1,IF(BC221=MiscData!$F$1,EOMONTH(BC221,-11),EOMONTH(BC221,1)),BC221)</f>
        <v>41820</v>
      </c>
      <c r="BD222" s="275" t="str">
        <f t="shared" si="177"/>
        <v>20140101LGMLE571</v>
      </c>
      <c r="BE222" s="294" t="str">
        <f t="shared" si="178"/>
        <v>20140101LE</v>
      </c>
      <c r="BF222">
        <f>MiscData!$X$5</f>
        <v>20140101</v>
      </c>
      <c r="BI222" s="265">
        <f>IF(BI221+1&gt;MiscData!$Z$42,1,BI221+1)</f>
        <v>29</v>
      </c>
      <c r="BJ222" s="265" t="str">
        <f>VLOOKUP(BI222,MiscData!$Z$5:$AB$46,2,FALSE)</f>
        <v>LGMLE571</v>
      </c>
      <c r="BK222" s="265" t="str">
        <f>VLOOKUP(BI222,MiscData!$Z$5:$AB$46,3,FALSE)</f>
        <v>LE</v>
      </c>
    </row>
    <row r="223" spans="1:63" hidden="1">
      <c r="A223" s="275">
        <v>208</v>
      </c>
      <c r="B223" s="276" t="str">
        <f t="shared" si="171"/>
        <v>Jun 2014</v>
      </c>
      <c r="C223" s="277" t="str">
        <f t="shared" si="179"/>
        <v>LE</v>
      </c>
      <c r="D223" s="277" t="str">
        <f t="shared" si="172"/>
        <v>LGMLE572</v>
      </c>
      <c r="E223" s="278">
        <f t="shared" si="140"/>
        <v>13</v>
      </c>
      <c r="F223" s="279">
        <v>0</v>
      </c>
      <c r="G223" s="278">
        <f t="shared" si="141"/>
        <v>0</v>
      </c>
      <c r="H223" s="278">
        <f t="shared" si="142"/>
        <v>0</v>
      </c>
      <c r="I223" s="278">
        <f t="shared" si="143"/>
        <v>0</v>
      </c>
      <c r="J223" s="278">
        <f t="shared" si="144"/>
        <v>131491</v>
      </c>
      <c r="K223" s="280">
        <v>0</v>
      </c>
      <c r="L223" s="281">
        <f t="shared" si="145"/>
        <v>0</v>
      </c>
      <c r="M223" s="281">
        <f t="shared" si="146"/>
        <v>0</v>
      </c>
      <c r="N223" s="281">
        <f t="shared" si="147"/>
        <v>0</v>
      </c>
      <c r="O223" s="282">
        <v>0</v>
      </c>
      <c r="P223" s="282">
        <v>0</v>
      </c>
      <c r="Q223" s="282">
        <v>0</v>
      </c>
      <c r="R223" s="283">
        <f t="shared" si="148"/>
        <v>0</v>
      </c>
      <c r="S223" s="284">
        <f t="shared" si="136"/>
        <v>6.4610000000000001E-2</v>
      </c>
      <c r="T223" s="284">
        <f t="shared" si="149"/>
        <v>0</v>
      </c>
      <c r="U223" s="284">
        <f t="shared" si="150"/>
        <v>0</v>
      </c>
      <c r="V223" s="284">
        <f t="shared" si="151"/>
        <v>2.725E-2</v>
      </c>
      <c r="W223" s="283">
        <f t="shared" si="152"/>
        <v>0</v>
      </c>
      <c r="X223" s="283">
        <f t="shared" si="153"/>
        <v>0</v>
      </c>
      <c r="Y223" s="283">
        <f t="shared" si="154"/>
        <v>0</v>
      </c>
      <c r="Z223" s="285">
        <f t="shared" si="155"/>
        <v>0</v>
      </c>
      <c r="AA223" s="285">
        <f t="shared" si="156"/>
        <v>8495.6299999999992</v>
      </c>
      <c r="AB223" s="285">
        <f t="shared" si="173"/>
        <v>0</v>
      </c>
      <c r="AC223" s="285">
        <f t="shared" si="174"/>
        <v>0</v>
      </c>
      <c r="AD223" s="285">
        <f t="shared" si="175"/>
        <v>0</v>
      </c>
      <c r="AE223" s="286">
        <v>0</v>
      </c>
      <c r="AF223" s="287">
        <f t="shared" si="157"/>
        <v>0</v>
      </c>
      <c r="AG223" s="288">
        <f t="shared" si="158"/>
        <v>0</v>
      </c>
      <c r="AH223" s="285">
        <f t="shared" si="180"/>
        <v>0</v>
      </c>
      <c r="AI223" s="286">
        <v>0</v>
      </c>
      <c r="AJ223" s="286">
        <v>0.01</v>
      </c>
      <c r="AK223" s="286">
        <v>0</v>
      </c>
      <c r="AL223" s="285">
        <f t="shared" si="160"/>
        <v>8495.64</v>
      </c>
      <c r="AM223" s="285">
        <f t="shared" si="161"/>
        <v>8495.64</v>
      </c>
      <c r="AN223" s="289">
        <f t="shared" si="176"/>
        <v>1</v>
      </c>
      <c r="AO223" s="290">
        <f t="shared" si="162"/>
        <v>313.52999999999997</v>
      </c>
      <c r="AP223" s="290">
        <f t="shared" si="163"/>
        <v>0</v>
      </c>
      <c r="AQ223" s="290">
        <f t="shared" si="164"/>
        <v>235.08</v>
      </c>
      <c r="AR223" s="290">
        <f t="shared" si="165"/>
        <v>0</v>
      </c>
      <c r="AS223" s="290">
        <f t="shared" si="166"/>
        <v>0</v>
      </c>
      <c r="AT223" s="290">
        <f t="shared" si="167"/>
        <v>9044.25</v>
      </c>
      <c r="AU223" s="291">
        <f t="shared" si="168"/>
        <v>9044.25</v>
      </c>
      <c r="AV223" s="291">
        <f t="shared" si="181"/>
        <v>0</v>
      </c>
      <c r="AW223" s="292">
        <f t="shared" si="169"/>
        <v>3583.13</v>
      </c>
      <c r="AX223" s="293">
        <f t="shared" si="170"/>
        <v>4912.5099999999993</v>
      </c>
      <c r="BC223" s="276">
        <f>IF(BI223=1,IF(BC222=MiscData!$F$1,EOMONTH(BC222,-11),EOMONTH(BC222,1)),BC222)</f>
        <v>41820</v>
      </c>
      <c r="BD223" s="275" t="str">
        <f t="shared" si="177"/>
        <v>20140101LGMLE572</v>
      </c>
      <c r="BE223" s="294" t="str">
        <f t="shared" si="178"/>
        <v>20140101LE</v>
      </c>
      <c r="BF223">
        <f>MiscData!$X$5</f>
        <v>20140101</v>
      </c>
      <c r="BI223" s="265">
        <f>IF(BI222+1&gt;MiscData!$Z$42,1,BI222+1)</f>
        <v>30</v>
      </c>
      <c r="BJ223" s="265" t="str">
        <f>VLOOKUP(BI223,MiscData!$Z$5:$AB$46,2,FALSE)</f>
        <v>LGMLE572</v>
      </c>
      <c r="BK223" s="265" t="str">
        <f>VLOOKUP(BI223,MiscData!$Z$5:$AB$46,3,FALSE)</f>
        <v>LE</v>
      </c>
    </row>
    <row r="224" spans="1:63" hidden="1">
      <c r="A224" s="275">
        <v>209</v>
      </c>
      <c r="B224" s="276" t="str">
        <f t="shared" si="171"/>
        <v>Jun 2014</v>
      </c>
      <c r="C224" s="277" t="str">
        <f t="shared" si="179"/>
        <v>TE</v>
      </c>
      <c r="D224" s="277" t="str">
        <f t="shared" si="172"/>
        <v>LGMLE573</v>
      </c>
      <c r="E224" s="278">
        <f t="shared" si="140"/>
        <v>896</v>
      </c>
      <c r="F224" s="279">
        <v>0</v>
      </c>
      <c r="G224" s="278">
        <f t="shared" si="141"/>
        <v>0</v>
      </c>
      <c r="H224" s="278">
        <f t="shared" si="142"/>
        <v>0</v>
      </c>
      <c r="I224" s="278">
        <f t="shared" si="143"/>
        <v>0</v>
      </c>
      <c r="J224" s="278">
        <f t="shared" si="144"/>
        <v>178762</v>
      </c>
      <c r="K224" s="280">
        <v>0</v>
      </c>
      <c r="L224" s="281">
        <f t="shared" si="145"/>
        <v>0</v>
      </c>
      <c r="M224" s="281">
        <f t="shared" si="146"/>
        <v>0</v>
      </c>
      <c r="N224" s="281">
        <f t="shared" si="147"/>
        <v>0</v>
      </c>
      <c r="O224" s="282">
        <v>0</v>
      </c>
      <c r="P224" s="282">
        <v>0</v>
      </c>
      <c r="Q224" s="282">
        <v>0</v>
      </c>
      <c r="R224" s="283">
        <f t="shared" si="148"/>
        <v>3.25</v>
      </c>
      <c r="S224" s="284">
        <f t="shared" si="136"/>
        <v>7.6579999999999995E-2</v>
      </c>
      <c r="T224" s="284">
        <f t="shared" si="149"/>
        <v>0</v>
      </c>
      <c r="U224" s="284">
        <f t="shared" si="150"/>
        <v>0</v>
      </c>
      <c r="V224" s="284">
        <f t="shared" si="151"/>
        <v>2.725E-2</v>
      </c>
      <c r="W224" s="283">
        <f t="shared" si="152"/>
        <v>0</v>
      </c>
      <c r="X224" s="283">
        <f t="shared" si="153"/>
        <v>0</v>
      </c>
      <c r="Y224" s="283">
        <f t="shared" si="154"/>
        <v>0</v>
      </c>
      <c r="Z224" s="285">
        <f t="shared" si="155"/>
        <v>2912</v>
      </c>
      <c r="AA224" s="285">
        <f t="shared" si="156"/>
        <v>13689.59</v>
      </c>
      <c r="AB224" s="285">
        <f t="shared" si="173"/>
        <v>0</v>
      </c>
      <c r="AC224" s="285">
        <f t="shared" si="174"/>
        <v>0</v>
      </c>
      <c r="AD224" s="285">
        <f t="shared" si="175"/>
        <v>0</v>
      </c>
      <c r="AE224" s="286">
        <v>0</v>
      </c>
      <c r="AF224" s="287">
        <f t="shared" si="157"/>
        <v>0</v>
      </c>
      <c r="AG224" s="288">
        <f t="shared" si="158"/>
        <v>0</v>
      </c>
      <c r="AH224" s="285">
        <f t="shared" si="180"/>
        <v>0</v>
      </c>
      <c r="AI224" s="286">
        <v>-0.11</v>
      </c>
      <c r="AJ224" s="286">
        <v>-0.02</v>
      </c>
      <c r="AK224" s="286">
        <v>0</v>
      </c>
      <c r="AL224" s="285">
        <f t="shared" si="160"/>
        <v>16601.46</v>
      </c>
      <c r="AM224" s="285">
        <f t="shared" si="161"/>
        <v>16601.46</v>
      </c>
      <c r="AN224" s="289">
        <f t="shared" si="176"/>
        <v>1</v>
      </c>
      <c r="AO224" s="290">
        <f t="shared" si="162"/>
        <v>548.94000000000005</v>
      </c>
      <c r="AP224" s="290">
        <f t="shared" si="163"/>
        <v>0</v>
      </c>
      <c r="AQ224" s="290">
        <f t="shared" si="164"/>
        <v>507.35</v>
      </c>
      <c r="AR224" s="290">
        <f t="shared" si="165"/>
        <v>0</v>
      </c>
      <c r="AS224" s="290">
        <f t="shared" si="166"/>
        <v>0</v>
      </c>
      <c r="AT224" s="290">
        <f t="shared" si="167"/>
        <v>17657.75</v>
      </c>
      <c r="AU224" s="291">
        <f t="shared" si="168"/>
        <v>17657.749999999996</v>
      </c>
      <c r="AV224" s="291">
        <f t="shared" si="137"/>
        <v>0</v>
      </c>
      <c r="AW224" s="292">
        <f t="shared" si="169"/>
        <v>4871.26</v>
      </c>
      <c r="AX224" s="293">
        <f t="shared" si="170"/>
        <v>8818.31</v>
      </c>
      <c r="BC224" s="276">
        <f>IF(BI224=1,IF(BC223=MiscData!$F$1,EOMONTH(BC223,-11),EOMONTH(BC223,1)),BC223)</f>
        <v>41820</v>
      </c>
      <c r="BD224" s="275" t="str">
        <f t="shared" si="177"/>
        <v>20140101LGMLE573</v>
      </c>
      <c r="BE224" s="294" t="str">
        <f t="shared" si="178"/>
        <v>20140101TE</v>
      </c>
      <c r="BF224">
        <f>MiscData!$X$5</f>
        <v>20140101</v>
      </c>
      <c r="BI224" s="265">
        <f>IF(BI223+1&gt;MiscData!$Z$42,1,BI223+1)</f>
        <v>31</v>
      </c>
      <c r="BJ224" s="265" t="str">
        <f>VLOOKUP(BI224,MiscData!$Z$5:$AB$46,2,FALSE)</f>
        <v>LGMLE573</v>
      </c>
      <c r="BK224" s="265" t="str">
        <f>VLOOKUP(BI224,MiscData!$Z$5:$AB$46,3,FALSE)</f>
        <v>TE</v>
      </c>
    </row>
    <row r="225" spans="1:63" hidden="1">
      <c r="A225" s="275">
        <v>210</v>
      </c>
      <c r="B225" s="276" t="str">
        <f t="shared" si="171"/>
        <v>Jun 2014</v>
      </c>
      <c r="C225" s="277" t="str">
        <f t="shared" si="179"/>
        <v>TE</v>
      </c>
      <c r="D225" s="277" t="str">
        <f t="shared" si="172"/>
        <v>LGMLE574</v>
      </c>
      <c r="E225" s="278">
        <f t="shared" si="140"/>
        <v>8</v>
      </c>
      <c r="F225" s="279">
        <v>126</v>
      </c>
      <c r="G225" s="278">
        <f t="shared" si="141"/>
        <v>0</v>
      </c>
      <c r="H225" s="278">
        <f t="shared" si="142"/>
        <v>0</v>
      </c>
      <c r="I225" s="278">
        <f t="shared" si="143"/>
        <v>0</v>
      </c>
      <c r="J225" s="278">
        <f t="shared" si="144"/>
        <v>68742</v>
      </c>
      <c r="K225" s="280">
        <v>0</v>
      </c>
      <c r="L225" s="281">
        <f t="shared" si="145"/>
        <v>0</v>
      </c>
      <c r="M225" s="281">
        <f t="shared" si="146"/>
        <v>0</v>
      </c>
      <c r="N225" s="281">
        <f t="shared" si="147"/>
        <v>0</v>
      </c>
      <c r="O225" s="282">
        <v>0</v>
      </c>
      <c r="P225" s="282">
        <v>0</v>
      </c>
      <c r="Q225" s="282">
        <v>0</v>
      </c>
      <c r="R225" s="283">
        <f t="shared" si="148"/>
        <v>3.25</v>
      </c>
      <c r="S225" s="284">
        <f t="shared" si="136"/>
        <v>7.6579999999999995E-2</v>
      </c>
      <c r="T225" s="284">
        <f t="shared" si="149"/>
        <v>0</v>
      </c>
      <c r="U225" s="284">
        <f t="shared" si="150"/>
        <v>0</v>
      </c>
      <c r="V225" s="284">
        <f t="shared" si="151"/>
        <v>2.725E-2</v>
      </c>
      <c r="W225" s="283">
        <f t="shared" si="152"/>
        <v>0</v>
      </c>
      <c r="X225" s="283">
        <f t="shared" si="153"/>
        <v>0</v>
      </c>
      <c r="Y225" s="283">
        <f t="shared" si="154"/>
        <v>0</v>
      </c>
      <c r="Z225" s="285">
        <f t="shared" si="155"/>
        <v>435.5</v>
      </c>
      <c r="AA225" s="285">
        <f t="shared" si="156"/>
        <v>5264.26</v>
      </c>
      <c r="AB225" s="285">
        <f t="shared" si="173"/>
        <v>0</v>
      </c>
      <c r="AC225" s="285">
        <f t="shared" si="174"/>
        <v>0</v>
      </c>
      <c r="AD225" s="285">
        <f t="shared" si="175"/>
        <v>0</v>
      </c>
      <c r="AE225" s="286">
        <v>0</v>
      </c>
      <c r="AF225" s="287">
        <f t="shared" si="157"/>
        <v>0</v>
      </c>
      <c r="AG225" s="288">
        <f t="shared" si="158"/>
        <v>0</v>
      </c>
      <c r="AH225" s="285">
        <f t="shared" si="180"/>
        <v>0</v>
      </c>
      <c r="AI225" s="286">
        <v>0</v>
      </c>
      <c r="AJ225" s="286">
        <v>0</v>
      </c>
      <c r="AK225" s="286">
        <v>0</v>
      </c>
      <c r="AL225" s="285">
        <f t="shared" si="160"/>
        <v>5699.76</v>
      </c>
      <c r="AM225" s="285">
        <f t="shared" si="161"/>
        <v>5699.76</v>
      </c>
      <c r="AN225" s="289">
        <f t="shared" si="176"/>
        <v>1</v>
      </c>
      <c r="AO225" s="290">
        <f t="shared" si="162"/>
        <v>217.91</v>
      </c>
      <c r="AP225" s="290">
        <f t="shared" si="163"/>
        <v>0</v>
      </c>
      <c r="AQ225" s="290">
        <f t="shared" si="164"/>
        <v>177.53</v>
      </c>
      <c r="AR225" s="290">
        <f t="shared" si="165"/>
        <v>0</v>
      </c>
      <c r="AS225" s="290">
        <f t="shared" si="166"/>
        <v>0</v>
      </c>
      <c r="AT225" s="290">
        <f t="shared" si="167"/>
        <v>6095.2</v>
      </c>
      <c r="AU225" s="291">
        <f t="shared" si="168"/>
        <v>6095.2</v>
      </c>
      <c r="AV225" s="291">
        <f t="shared" si="137"/>
        <v>0</v>
      </c>
      <c r="AW225" s="292">
        <f t="shared" si="169"/>
        <v>1873.22</v>
      </c>
      <c r="AX225" s="293">
        <f t="shared" si="170"/>
        <v>3391.04</v>
      </c>
      <c r="BC225" s="276">
        <f>IF(BI225=1,IF(BC224=MiscData!$F$1,EOMONTH(BC224,-11),EOMONTH(BC224,1)),BC224)</f>
        <v>41820</v>
      </c>
      <c r="BD225" s="275" t="str">
        <f t="shared" si="177"/>
        <v>20140101LGMLE574</v>
      </c>
      <c r="BE225" s="294" t="str">
        <f t="shared" si="178"/>
        <v>20140101TE</v>
      </c>
      <c r="BF225">
        <f>MiscData!$X$5</f>
        <v>20140101</v>
      </c>
      <c r="BI225" s="265">
        <f>IF(BI224+1&gt;MiscData!$Z$42,1,BI224+1)</f>
        <v>32</v>
      </c>
      <c r="BJ225" s="265" t="str">
        <f>VLOOKUP(BI225,MiscData!$Z$5:$AB$46,2,FALSE)</f>
        <v>LGMLE574</v>
      </c>
      <c r="BK225" s="265" t="str">
        <f>VLOOKUP(BI225,MiscData!$Z$5:$AB$46,3,FALSE)</f>
        <v>TE</v>
      </c>
    </row>
    <row r="226" spans="1:63" hidden="1">
      <c r="A226" s="275">
        <v>211</v>
      </c>
      <c r="B226" s="276" t="str">
        <f t="shared" si="171"/>
        <v>Jun 2014</v>
      </c>
      <c r="C226" s="277" t="str">
        <f t="shared" si="179"/>
        <v>RS</v>
      </c>
      <c r="D226" s="277" t="str">
        <f t="shared" si="172"/>
        <v>LGRSE411</v>
      </c>
      <c r="E226" s="278">
        <f t="shared" si="140"/>
        <v>3455</v>
      </c>
      <c r="F226" s="279">
        <f>-E226</f>
        <v>-3455</v>
      </c>
      <c r="G226" s="278">
        <f t="shared" si="141"/>
        <v>0</v>
      </c>
      <c r="H226" s="278">
        <f t="shared" si="142"/>
        <v>0</v>
      </c>
      <c r="I226" s="278">
        <f t="shared" si="143"/>
        <v>0</v>
      </c>
      <c r="J226" s="278">
        <f t="shared" si="144"/>
        <v>700359</v>
      </c>
      <c r="K226" s="280">
        <v>0</v>
      </c>
      <c r="L226" s="281">
        <f t="shared" si="145"/>
        <v>0</v>
      </c>
      <c r="M226" s="281">
        <f t="shared" si="146"/>
        <v>0</v>
      </c>
      <c r="N226" s="281">
        <f t="shared" si="147"/>
        <v>0</v>
      </c>
      <c r="O226" s="282">
        <v>0</v>
      </c>
      <c r="P226" s="282">
        <v>0</v>
      </c>
      <c r="Q226" s="282">
        <v>0</v>
      </c>
      <c r="R226" s="283">
        <f t="shared" si="148"/>
        <v>0</v>
      </c>
      <c r="S226" s="284">
        <f t="shared" si="136"/>
        <v>8.0760000000000012E-2</v>
      </c>
      <c r="T226" s="284">
        <f t="shared" si="149"/>
        <v>0</v>
      </c>
      <c r="U226" s="284">
        <f t="shared" si="150"/>
        <v>0</v>
      </c>
      <c r="V226" s="284">
        <f t="shared" si="151"/>
        <v>2.725E-2</v>
      </c>
      <c r="W226" s="283">
        <f t="shared" si="152"/>
        <v>0</v>
      </c>
      <c r="X226" s="283">
        <f t="shared" si="153"/>
        <v>0</v>
      </c>
      <c r="Y226" s="283">
        <f t="shared" si="154"/>
        <v>0</v>
      </c>
      <c r="Z226" s="285">
        <f t="shared" si="155"/>
        <v>0</v>
      </c>
      <c r="AA226" s="285">
        <f t="shared" si="156"/>
        <v>56560.99</v>
      </c>
      <c r="AB226" s="285">
        <f t="shared" si="173"/>
        <v>0</v>
      </c>
      <c r="AC226" s="285">
        <f t="shared" si="174"/>
        <v>0</v>
      </c>
      <c r="AD226" s="285">
        <f t="shared" si="175"/>
        <v>0</v>
      </c>
      <c r="AE226" s="286">
        <v>0</v>
      </c>
      <c r="AF226" s="287">
        <f t="shared" si="157"/>
        <v>0</v>
      </c>
      <c r="AG226" s="288">
        <f t="shared" si="158"/>
        <v>0</v>
      </c>
      <c r="AH226" s="285">
        <f t="shared" si="180"/>
        <v>0</v>
      </c>
      <c r="AI226" s="286">
        <v>0</v>
      </c>
      <c r="AJ226" s="286">
        <v>0.18</v>
      </c>
      <c r="AK226" s="286">
        <v>0</v>
      </c>
      <c r="AL226" s="285">
        <f t="shared" si="160"/>
        <v>56561.17</v>
      </c>
      <c r="AM226" s="285">
        <f t="shared" si="161"/>
        <v>56561.170000000006</v>
      </c>
      <c r="AN226" s="289">
        <f t="shared" si="176"/>
        <v>1</v>
      </c>
      <c r="AO226" s="290">
        <f t="shared" si="162"/>
        <v>2219.92</v>
      </c>
      <c r="AP226" s="290">
        <f t="shared" si="163"/>
        <v>3803.27</v>
      </c>
      <c r="AQ226" s="290">
        <f t="shared" si="164"/>
        <v>1877.87</v>
      </c>
      <c r="AR226" s="290">
        <f t="shared" si="165"/>
        <v>0</v>
      </c>
      <c r="AS226" s="290">
        <f t="shared" si="166"/>
        <v>0</v>
      </c>
      <c r="AT226" s="290">
        <f t="shared" si="167"/>
        <v>64462.23</v>
      </c>
      <c r="AU226" s="291">
        <f t="shared" si="168"/>
        <v>64462.229999999996</v>
      </c>
      <c r="AV226" s="291">
        <f t="shared" si="137"/>
        <v>0</v>
      </c>
      <c r="AW226" s="292">
        <f t="shared" si="169"/>
        <v>19084.78</v>
      </c>
      <c r="AX226" s="293">
        <f t="shared" si="170"/>
        <v>37476.39</v>
      </c>
      <c r="BC226" s="276">
        <f>IF(BI226=1,IF(BC225=MiscData!$F$1,EOMONTH(BC225,-11),EOMONTH(BC225,1)),BC225)</f>
        <v>41820</v>
      </c>
      <c r="BD226" s="275" t="str">
        <f t="shared" si="177"/>
        <v>20140101LGRSE411</v>
      </c>
      <c r="BE226" s="294" t="str">
        <f t="shared" si="178"/>
        <v>20140101RS</v>
      </c>
      <c r="BF226">
        <f>MiscData!$X$5</f>
        <v>20140101</v>
      </c>
      <c r="BI226" s="265">
        <f>IF(BI225+1&gt;MiscData!$Z$42,1,BI225+1)</f>
        <v>33</v>
      </c>
      <c r="BJ226" s="265" t="str">
        <f>VLOOKUP(BI226,MiscData!$Z$5:$AB$46,2,FALSE)</f>
        <v>LGRSE411</v>
      </c>
      <c r="BK226" s="265" t="str">
        <f>VLOOKUP(BI226,MiscData!$Z$5:$AB$46,3,FALSE)</f>
        <v>RS</v>
      </c>
    </row>
    <row r="227" spans="1:63" hidden="1">
      <c r="A227" s="275">
        <v>212</v>
      </c>
      <c r="B227" s="276" t="str">
        <f t="shared" si="171"/>
        <v>Jun 2014</v>
      </c>
      <c r="C227" s="277" t="str">
        <f t="shared" si="179"/>
        <v>RS</v>
      </c>
      <c r="D227" s="277" t="str">
        <f t="shared" si="172"/>
        <v>LGRSE511</v>
      </c>
      <c r="E227" s="278">
        <f t="shared" si="140"/>
        <v>353694</v>
      </c>
      <c r="F227" s="279">
        <v>725</v>
      </c>
      <c r="G227" s="278">
        <f t="shared" si="141"/>
        <v>0</v>
      </c>
      <c r="H227" s="278">
        <f t="shared" si="142"/>
        <v>0</v>
      </c>
      <c r="I227" s="278">
        <f t="shared" si="143"/>
        <v>0</v>
      </c>
      <c r="J227" s="278">
        <f t="shared" si="144"/>
        <v>376007676</v>
      </c>
      <c r="K227" s="280">
        <v>0</v>
      </c>
      <c r="L227" s="281">
        <f t="shared" si="145"/>
        <v>0</v>
      </c>
      <c r="M227" s="281">
        <f t="shared" si="146"/>
        <v>0</v>
      </c>
      <c r="N227" s="281">
        <f t="shared" si="147"/>
        <v>0</v>
      </c>
      <c r="O227" s="282">
        <v>0</v>
      </c>
      <c r="P227" s="282">
        <v>0</v>
      </c>
      <c r="Q227" s="282">
        <v>0</v>
      </c>
      <c r="R227" s="283">
        <f t="shared" si="148"/>
        <v>10.75</v>
      </c>
      <c r="S227" s="284">
        <f t="shared" si="136"/>
        <v>8.0760000000000012E-2</v>
      </c>
      <c r="T227" s="284">
        <f t="shared" si="149"/>
        <v>0</v>
      </c>
      <c r="U227" s="284">
        <f t="shared" si="150"/>
        <v>0</v>
      </c>
      <c r="V227" s="284">
        <f t="shared" si="151"/>
        <v>2.725E-2</v>
      </c>
      <c r="W227" s="283">
        <f t="shared" si="152"/>
        <v>0</v>
      </c>
      <c r="X227" s="283">
        <f t="shared" si="153"/>
        <v>0</v>
      </c>
      <c r="Y227" s="283">
        <f t="shared" si="154"/>
        <v>0</v>
      </c>
      <c r="Z227" s="285">
        <f t="shared" si="155"/>
        <v>3810004.25</v>
      </c>
      <c r="AA227" s="285">
        <f t="shared" si="156"/>
        <v>30366379.91</v>
      </c>
      <c r="AB227" s="285">
        <f t="shared" si="173"/>
        <v>0</v>
      </c>
      <c r="AC227" s="285">
        <f t="shared" si="174"/>
        <v>0</v>
      </c>
      <c r="AD227" s="285">
        <f t="shared" si="175"/>
        <v>0</v>
      </c>
      <c r="AE227" s="286">
        <v>0</v>
      </c>
      <c r="AF227" s="287">
        <f t="shared" si="157"/>
        <v>0</v>
      </c>
      <c r="AG227" s="288">
        <f t="shared" si="158"/>
        <v>0</v>
      </c>
      <c r="AH227" s="285">
        <f t="shared" si="180"/>
        <v>0</v>
      </c>
      <c r="AI227" s="286">
        <v>-31733.77</v>
      </c>
      <c r="AJ227" s="286">
        <v>-13.37</v>
      </c>
      <c r="AK227" s="286">
        <v>0</v>
      </c>
      <c r="AL227" s="285">
        <f t="shared" si="160"/>
        <v>34144637.019999996</v>
      </c>
      <c r="AM227" s="285">
        <f t="shared" si="161"/>
        <v>34144637.020000003</v>
      </c>
      <c r="AN227" s="289">
        <f t="shared" si="176"/>
        <v>1</v>
      </c>
      <c r="AO227" s="290">
        <f t="shared" si="162"/>
        <v>1191620.3400000001</v>
      </c>
      <c r="AP227" s="290">
        <f t="shared" si="163"/>
        <v>2041718.15</v>
      </c>
      <c r="AQ227" s="290">
        <f t="shared" si="164"/>
        <v>1121248.3700000001</v>
      </c>
      <c r="AR227" s="290">
        <f t="shared" si="165"/>
        <v>0</v>
      </c>
      <c r="AS227" s="290">
        <f t="shared" si="166"/>
        <v>0</v>
      </c>
      <c r="AT227" s="290">
        <f t="shared" si="167"/>
        <v>38499223.880000003</v>
      </c>
      <c r="AU227" s="291">
        <f t="shared" si="168"/>
        <v>38499223.879999995</v>
      </c>
      <c r="AV227" s="291">
        <f t="shared" si="137"/>
        <v>0</v>
      </c>
      <c r="AW227" s="292">
        <f t="shared" si="169"/>
        <v>10246209.17</v>
      </c>
      <c r="AX227" s="293">
        <f t="shared" si="170"/>
        <v>20120157.369999997</v>
      </c>
      <c r="BC227" s="276">
        <f>IF(BI227=1,IF(BC226=MiscData!$F$1,EOMONTH(BC226,-11),EOMONTH(BC226,1)),BC226)</f>
        <v>41820</v>
      </c>
      <c r="BD227" s="275" t="str">
        <f t="shared" si="177"/>
        <v>20140101LGRSE511</v>
      </c>
      <c r="BE227" s="294" t="str">
        <f t="shared" si="178"/>
        <v>20140101RS</v>
      </c>
      <c r="BF227">
        <f>MiscData!$X$5</f>
        <v>20140101</v>
      </c>
      <c r="BI227" s="265">
        <f>IF(BI226+1&gt;MiscData!$Z$42,1,BI226+1)</f>
        <v>34</v>
      </c>
      <c r="BJ227" s="265" t="str">
        <f>VLOOKUP(BI227,MiscData!$Z$5:$AB$46,2,FALSE)</f>
        <v>LGRSE511</v>
      </c>
      <c r="BK227" s="265" t="str">
        <f>VLOOKUP(BI227,MiscData!$Z$5:$AB$46,3,FALSE)</f>
        <v>RS</v>
      </c>
    </row>
    <row r="228" spans="1:63" hidden="1">
      <c r="A228" s="275">
        <v>213</v>
      </c>
      <c r="B228" s="276" t="str">
        <f t="shared" si="171"/>
        <v>Jun 2014</v>
      </c>
      <c r="C228" s="277" t="str">
        <f t="shared" si="179"/>
        <v>RS</v>
      </c>
      <c r="D228" s="277" t="str">
        <f t="shared" si="172"/>
        <v>LGRSE519</v>
      </c>
      <c r="E228" s="278">
        <f t="shared" si="140"/>
        <v>131</v>
      </c>
      <c r="F228" s="279">
        <v>1</v>
      </c>
      <c r="G228" s="278">
        <f t="shared" si="141"/>
        <v>0</v>
      </c>
      <c r="H228" s="278">
        <f t="shared" si="142"/>
        <v>0</v>
      </c>
      <c r="I228" s="278">
        <f t="shared" si="143"/>
        <v>0</v>
      </c>
      <c r="J228" s="278">
        <f t="shared" si="144"/>
        <v>120280</v>
      </c>
      <c r="K228" s="280">
        <v>0</v>
      </c>
      <c r="L228" s="281">
        <f t="shared" si="145"/>
        <v>0</v>
      </c>
      <c r="M228" s="281">
        <f t="shared" si="146"/>
        <v>0</v>
      </c>
      <c r="N228" s="281">
        <f t="shared" si="147"/>
        <v>0</v>
      </c>
      <c r="O228" s="282">
        <v>0</v>
      </c>
      <c r="P228" s="282">
        <v>0</v>
      </c>
      <c r="Q228" s="282">
        <v>0</v>
      </c>
      <c r="R228" s="283">
        <f t="shared" si="148"/>
        <v>10.75</v>
      </c>
      <c r="S228" s="284">
        <f t="shared" si="136"/>
        <v>8.0760000000000012E-2</v>
      </c>
      <c r="T228" s="284">
        <f t="shared" si="149"/>
        <v>0</v>
      </c>
      <c r="U228" s="284">
        <f t="shared" si="150"/>
        <v>0</v>
      </c>
      <c r="V228" s="284">
        <f t="shared" si="151"/>
        <v>2.725E-2</v>
      </c>
      <c r="W228" s="283">
        <f t="shared" si="152"/>
        <v>0</v>
      </c>
      <c r="X228" s="283">
        <f t="shared" si="153"/>
        <v>0</v>
      </c>
      <c r="Y228" s="283">
        <f t="shared" si="154"/>
        <v>0</v>
      </c>
      <c r="Z228" s="285">
        <f t="shared" si="155"/>
        <v>1419</v>
      </c>
      <c r="AA228" s="285">
        <f t="shared" si="156"/>
        <v>9713.81</v>
      </c>
      <c r="AB228" s="285">
        <f t="shared" si="173"/>
        <v>0</v>
      </c>
      <c r="AC228" s="285">
        <f t="shared" si="174"/>
        <v>0</v>
      </c>
      <c r="AD228" s="285">
        <f t="shared" si="175"/>
        <v>0</v>
      </c>
      <c r="AE228" s="286">
        <v>0</v>
      </c>
      <c r="AF228" s="287">
        <f t="shared" si="157"/>
        <v>0</v>
      </c>
      <c r="AG228" s="288">
        <f t="shared" si="158"/>
        <v>0</v>
      </c>
      <c r="AH228" s="285">
        <f t="shared" si="180"/>
        <v>0</v>
      </c>
      <c r="AI228" s="286">
        <v>-21.72</v>
      </c>
      <c r="AJ228" s="286">
        <v>0.02</v>
      </c>
      <c r="AK228" s="286">
        <v>0</v>
      </c>
      <c r="AL228" s="285">
        <f t="shared" si="160"/>
        <v>11111.11</v>
      </c>
      <c r="AM228" s="285">
        <f t="shared" si="161"/>
        <v>11111.11</v>
      </c>
      <c r="AN228" s="289">
        <f t="shared" si="176"/>
        <v>1</v>
      </c>
      <c r="AO228" s="290">
        <f t="shared" si="162"/>
        <v>376.03</v>
      </c>
      <c r="AP228" s="290">
        <f t="shared" si="163"/>
        <v>653.13</v>
      </c>
      <c r="AQ228" s="290">
        <f t="shared" si="164"/>
        <v>362</v>
      </c>
      <c r="AR228" s="290">
        <f t="shared" si="165"/>
        <v>0</v>
      </c>
      <c r="AS228" s="290">
        <f t="shared" si="166"/>
        <v>0</v>
      </c>
      <c r="AT228" s="290">
        <f t="shared" si="167"/>
        <v>12502.27</v>
      </c>
      <c r="AU228" s="291">
        <f t="shared" si="168"/>
        <v>12502.27</v>
      </c>
      <c r="AV228" s="291">
        <f t="shared" si="137"/>
        <v>0</v>
      </c>
      <c r="AW228" s="292">
        <f t="shared" si="169"/>
        <v>3277.63</v>
      </c>
      <c r="AX228" s="293">
        <f t="shared" si="170"/>
        <v>6436.2</v>
      </c>
      <c r="BC228" s="276">
        <f>IF(BI228=1,IF(BC227=MiscData!$F$1,EOMONTH(BC227,-11),EOMONTH(BC227,1)),BC227)</f>
        <v>41820</v>
      </c>
      <c r="BD228" s="275" t="str">
        <f t="shared" si="177"/>
        <v>20140101LGRSE519</v>
      </c>
      <c r="BE228" s="294" t="str">
        <f t="shared" si="178"/>
        <v>20140101RS</v>
      </c>
      <c r="BF228">
        <f>MiscData!$X$5</f>
        <v>20140101</v>
      </c>
      <c r="BI228" s="265">
        <f>IF(BI227+1&gt;MiscData!$Z$42,1,BI227+1)</f>
        <v>35</v>
      </c>
      <c r="BJ228" s="265" t="str">
        <f>VLOOKUP(BI228,MiscData!$Z$5:$AB$46,2,FALSE)</f>
        <v>LGRSE519</v>
      </c>
      <c r="BK228" s="265" t="str">
        <f>VLOOKUP(BI228,MiscData!$Z$5:$AB$46,3,FALSE)</f>
        <v>RS</v>
      </c>
    </row>
    <row r="229" spans="1:63" hidden="1">
      <c r="A229" s="275">
        <v>214</v>
      </c>
      <c r="B229" s="276" t="str">
        <f t="shared" si="171"/>
        <v>Jun 2014</v>
      </c>
      <c r="C229" s="277" t="s">
        <v>13</v>
      </c>
      <c r="D229" s="277" t="str">
        <f t="shared" si="172"/>
        <v>LGRSE540</v>
      </c>
      <c r="E229" s="278">
        <f t="shared" si="140"/>
        <v>6</v>
      </c>
      <c r="F229" s="279">
        <v>0</v>
      </c>
      <c r="G229" s="278">
        <f t="shared" si="141"/>
        <v>0</v>
      </c>
      <c r="H229" s="278">
        <f t="shared" si="142"/>
        <v>0</v>
      </c>
      <c r="I229" s="278">
        <f t="shared" si="143"/>
        <v>0</v>
      </c>
      <c r="J229" s="278">
        <f t="shared" si="144"/>
        <v>39808</v>
      </c>
      <c r="K229" s="280">
        <v>0</v>
      </c>
      <c r="L229" s="281">
        <f t="shared" si="145"/>
        <v>0</v>
      </c>
      <c r="M229" s="281">
        <f t="shared" si="146"/>
        <v>0</v>
      </c>
      <c r="N229" s="281">
        <f t="shared" si="147"/>
        <v>0</v>
      </c>
      <c r="O229" s="282">
        <v>0</v>
      </c>
      <c r="P229" s="282">
        <v>0</v>
      </c>
      <c r="Q229" s="282">
        <v>0</v>
      </c>
      <c r="R229" s="283">
        <f t="shared" si="148"/>
        <v>10.75</v>
      </c>
      <c r="S229" s="284">
        <f t="shared" si="136"/>
        <v>8.0760000000000012E-2</v>
      </c>
      <c r="T229" s="284">
        <f t="shared" si="149"/>
        <v>0</v>
      </c>
      <c r="U229" s="284">
        <f t="shared" si="150"/>
        <v>0</v>
      </c>
      <c r="V229" s="284">
        <f t="shared" si="151"/>
        <v>2.725E-2</v>
      </c>
      <c r="W229" s="283">
        <f t="shared" si="152"/>
        <v>0</v>
      </c>
      <c r="X229" s="283">
        <f t="shared" si="153"/>
        <v>0</v>
      </c>
      <c r="Y229" s="283">
        <f t="shared" si="154"/>
        <v>0</v>
      </c>
      <c r="Z229" s="285">
        <f t="shared" si="155"/>
        <v>64.5</v>
      </c>
      <c r="AA229" s="285">
        <f t="shared" si="156"/>
        <v>3214.89</v>
      </c>
      <c r="AB229" s="285">
        <f t="shared" si="173"/>
        <v>0</v>
      </c>
      <c r="AC229" s="285">
        <f t="shared" si="174"/>
        <v>0</v>
      </c>
      <c r="AD229" s="285">
        <f t="shared" si="175"/>
        <v>0</v>
      </c>
      <c r="AE229" s="286">
        <v>0</v>
      </c>
      <c r="AF229" s="287">
        <f t="shared" si="157"/>
        <v>0</v>
      </c>
      <c r="AG229" s="288">
        <f t="shared" si="158"/>
        <v>0</v>
      </c>
      <c r="AH229" s="285">
        <f t="shared" si="180"/>
        <v>0</v>
      </c>
      <c r="AI229" s="286">
        <v>0</v>
      </c>
      <c r="AJ229" s="286">
        <v>0.01</v>
      </c>
      <c r="AK229" s="286">
        <v>0</v>
      </c>
      <c r="AL229" s="285">
        <f t="shared" si="160"/>
        <v>3279.4</v>
      </c>
      <c r="AM229" s="285">
        <f t="shared" si="161"/>
        <v>3279.4</v>
      </c>
      <c r="AN229" s="289">
        <f t="shared" si="176"/>
        <v>1</v>
      </c>
      <c r="AO229" s="290">
        <f t="shared" si="162"/>
        <v>126.2</v>
      </c>
      <c r="AP229" s="290">
        <f t="shared" si="163"/>
        <v>216.17</v>
      </c>
      <c r="AQ229" s="290">
        <f t="shared" si="164"/>
        <v>108.65</v>
      </c>
      <c r="AR229" s="290">
        <f t="shared" si="165"/>
        <v>0</v>
      </c>
      <c r="AS229" s="290">
        <f t="shared" si="166"/>
        <v>0</v>
      </c>
      <c r="AT229" s="290">
        <f t="shared" si="167"/>
        <v>3730.42</v>
      </c>
      <c r="AU229" s="291">
        <f t="shared" si="168"/>
        <v>3730.42</v>
      </c>
      <c r="AV229" s="291">
        <f>ROUND(AT229-AU229,2)</f>
        <v>0</v>
      </c>
      <c r="AW229" s="292">
        <f t="shared" si="169"/>
        <v>1084.77</v>
      </c>
      <c r="AX229" s="293">
        <f t="shared" si="170"/>
        <v>2130.13</v>
      </c>
      <c r="BC229" s="276">
        <f>IF(BI229=1,IF(BC228=MiscData!$F$1,EOMONTH(BC228,-11),EOMONTH(BC228,1)),BC228)</f>
        <v>41820</v>
      </c>
      <c r="BD229" s="275" t="str">
        <f t="shared" si="177"/>
        <v>20140101LGRSE540</v>
      </c>
      <c r="BE229" s="294" t="str">
        <f t="shared" si="178"/>
        <v>20140101VFD</v>
      </c>
      <c r="BF229">
        <f>MiscData!$X$5</f>
        <v>20140101</v>
      </c>
      <c r="BI229" s="265">
        <f>IF(BI228+1&gt;MiscData!$Z$42,1,BI228+1)</f>
        <v>36</v>
      </c>
      <c r="BJ229" s="265" t="str">
        <f>VLOOKUP(BI229,MiscData!$Z$5:$AB$46,2,FALSE)</f>
        <v>LGRSE540</v>
      </c>
      <c r="BK229" s="265" t="str">
        <f>VLOOKUP(BI229,MiscData!$Z$5:$AB$46,3,FALSE)</f>
        <v>VFD</v>
      </c>
    </row>
    <row r="230" spans="1:63" hidden="1">
      <c r="A230" s="275">
        <v>215</v>
      </c>
      <c r="B230" s="276" t="str">
        <f t="shared" si="171"/>
        <v>Jun 2014</v>
      </c>
      <c r="C230" s="277" t="str">
        <f t="shared" si="179"/>
        <v>LEV</v>
      </c>
      <c r="D230" s="277" t="str">
        <f t="shared" si="172"/>
        <v>LGRSE543</v>
      </c>
      <c r="E230" s="278">
        <f t="shared" si="140"/>
        <v>20</v>
      </c>
      <c r="F230" s="279">
        <v>0</v>
      </c>
      <c r="G230" s="278">
        <f t="shared" si="141"/>
        <v>16712</v>
      </c>
      <c r="H230" s="278">
        <f t="shared" si="142"/>
        <v>6254</v>
      </c>
      <c r="I230" s="278">
        <f t="shared" si="143"/>
        <v>5862</v>
      </c>
      <c r="J230" s="278">
        <f t="shared" si="144"/>
        <v>28828</v>
      </c>
      <c r="K230" s="280">
        <v>0</v>
      </c>
      <c r="L230" s="281">
        <f t="shared" si="145"/>
        <v>0</v>
      </c>
      <c r="M230" s="281">
        <f t="shared" si="146"/>
        <v>0</v>
      </c>
      <c r="N230" s="281">
        <f t="shared" si="147"/>
        <v>0</v>
      </c>
      <c r="O230" s="282">
        <v>0</v>
      </c>
      <c r="P230" s="282">
        <v>0</v>
      </c>
      <c r="Q230" s="282">
        <v>0</v>
      </c>
      <c r="R230" s="283">
        <f t="shared" si="148"/>
        <v>10.75</v>
      </c>
      <c r="S230" s="284">
        <f t="shared" si="136"/>
        <v>5.8200000000000002E-2</v>
      </c>
      <c r="T230" s="284">
        <f t="shared" si="149"/>
        <v>7.8990000000000005E-2</v>
      </c>
      <c r="U230" s="284">
        <f t="shared" si="150"/>
        <v>0.14451000000000003</v>
      </c>
      <c r="V230" s="284">
        <f t="shared" si="151"/>
        <v>2.725E-2</v>
      </c>
      <c r="W230" s="283">
        <f t="shared" si="152"/>
        <v>0</v>
      </c>
      <c r="X230" s="283">
        <f t="shared" si="153"/>
        <v>0</v>
      </c>
      <c r="Y230" s="283">
        <f t="shared" si="154"/>
        <v>0</v>
      </c>
      <c r="Z230" s="285">
        <f t="shared" si="155"/>
        <v>215</v>
      </c>
      <c r="AA230" s="285">
        <f t="shared" si="156"/>
        <v>2313.7600000000002</v>
      </c>
      <c r="AB230" s="285">
        <f t="shared" si="173"/>
        <v>0</v>
      </c>
      <c r="AC230" s="285">
        <f t="shared" si="174"/>
        <v>0</v>
      </c>
      <c r="AD230" s="285">
        <f t="shared" si="175"/>
        <v>0</v>
      </c>
      <c r="AE230" s="286">
        <v>0</v>
      </c>
      <c r="AF230" s="287">
        <f t="shared" si="157"/>
        <v>0</v>
      </c>
      <c r="AG230" s="288">
        <f t="shared" si="158"/>
        <v>0</v>
      </c>
      <c r="AH230" s="285">
        <f t="shared" si="180"/>
        <v>0</v>
      </c>
      <c r="AI230" s="286">
        <v>-4.7</v>
      </c>
      <c r="AJ230" s="286">
        <v>-0.04</v>
      </c>
      <c r="AK230" s="286">
        <v>0</v>
      </c>
      <c r="AL230" s="285">
        <f t="shared" si="160"/>
        <v>2524.0200000000004</v>
      </c>
      <c r="AM230" s="285">
        <f t="shared" si="161"/>
        <v>2524.02</v>
      </c>
      <c r="AN230" s="289">
        <f t="shared" si="176"/>
        <v>1</v>
      </c>
      <c r="AO230" s="290">
        <f t="shared" si="162"/>
        <v>91.39</v>
      </c>
      <c r="AP230" s="290">
        <f t="shared" si="163"/>
        <v>156.52000000000001</v>
      </c>
      <c r="AQ230" s="290">
        <f t="shared" si="164"/>
        <v>83.16</v>
      </c>
      <c r="AR230" s="290">
        <f t="shared" si="165"/>
        <v>0</v>
      </c>
      <c r="AS230" s="290">
        <f t="shared" si="166"/>
        <v>0</v>
      </c>
      <c r="AT230" s="290">
        <f t="shared" si="167"/>
        <v>2855.09</v>
      </c>
      <c r="AU230" s="291">
        <f t="shared" si="168"/>
        <v>2855.09</v>
      </c>
      <c r="AV230" s="291">
        <f t="shared" si="137"/>
        <v>0</v>
      </c>
      <c r="AW230" s="292">
        <f t="shared" si="169"/>
        <v>785.56</v>
      </c>
      <c r="AX230" s="293">
        <f t="shared" si="170"/>
        <v>1528.1600000000003</v>
      </c>
      <c r="BC230" s="276">
        <f>IF(BI230=1,IF(BC229=MiscData!$F$1,EOMONTH(BC229,-11),EOMONTH(BC229,1)),BC229)</f>
        <v>41820</v>
      </c>
      <c r="BD230" s="275" t="str">
        <f t="shared" si="177"/>
        <v>20140101LGRSE543</v>
      </c>
      <c r="BE230" s="294" t="str">
        <f t="shared" si="178"/>
        <v>20140101LEV</v>
      </c>
      <c r="BF230">
        <f>MiscData!$X$5</f>
        <v>20140101</v>
      </c>
      <c r="BI230" s="265">
        <f>IF(BI229+1&gt;MiscData!$Z$42,1,BI229+1)</f>
        <v>37</v>
      </c>
      <c r="BJ230" s="265" t="str">
        <f>VLOOKUP(BI230,MiscData!$Z$5:$AB$46,2,FALSE)</f>
        <v>LGRSE543</v>
      </c>
      <c r="BK230" s="265" t="str">
        <f>VLOOKUP(BI230,MiscData!$Z$5:$AB$46,3,FALSE)</f>
        <v>LEV</v>
      </c>
    </row>
    <row r="231" spans="1:63" hidden="1">
      <c r="A231" s="275">
        <v>216</v>
      </c>
      <c r="B231" s="276" t="str">
        <f t="shared" si="171"/>
        <v>Jun 2014</v>
      </c>
      <c r="C231" s="277" t="str">
        <f t="shared" si="179"/>
        <v>LEV</v>
      </c>
      <c r="D231" s="277" t="str">
        <f t="shared" si="172"/>
        <v>LGRSE547</v>
      </c>
      <c r="E231" s="278">
        <f t="shared" si="140"/>
        <v>1</v>
      </c>
      <c r="F231" s="279">
        <v>0</v>
      </c>
      <c r="G231" s="278">
        <f t="shared" si="141"/>
        <v>164</v>
      </c>
      <c r="H231" s="278">
        <f t="shared" si="142"/>
        <v>0</v>
      </c>
      <c r="I231" s="278">
        <f t="shared" si="143"/>
        <v>0</v>
      </c>
      <c r="J231" s="278">
        <f t="shared" si="144"/>
        <v>164</v>
      </c>
      <c r="K231" s="280">
        <v>0</v>
      </c>
      <c r="L231" s="281">
        <f t="shared" si="145"/>
        <v>0</v>
      </c>
      <c r="M231" s="281">
        <f t="shared" si="146"/>
        <v>0</v>
      </c>
      <c r="N231" s="281">
        <f t="shared" si="147"/>
        <v>0</v>
      </c>
      <c r="O231" s="282">
        <v>0</v>
      </c>
      <c r="P231" s="282">
        <v>0</v>
      </c>
      <c r="Q231" s="282">
        <v>0</v>
      </c>
      <c r="R231" s="283">
        <f t="shared" si="148"/>
        <v>10.75</v>
      </c>
      <c r="S231" s="284">
        <f t="shared" si="136"/>
        <v>5.8200000000000002E-2</v>
      </c>
      <c r="T231" s="284">
        <f t="shared" si="149"/>
        <v>7.8990000000000005E-2</v>
      </c>
      <c r="U231" s="284">
        <f t="shared" si="150"/>
        <v>0.14451000000000003</v>
      </c>
      <c r="V231" s="284">
        <f t="shared" si="151"/>
        <v>2.725E-2</v>
      </c>
      <c r="W231" s="283">
        <f t="shared" si="152"/>
        <v>0</v>
      </c>
      <c r="X231" s="283">
        <f t="shared" si="153"/>
        <v>0</v>
      </c>
      <c r="Y231" s="283">
        <f t="shared" si="154"/>
        <v>0</v>
      </c>
      <c r="Z231" s="285">
        <f t="shared" si="155"/>
        <v>10.75</v>
      </c>
      <c r="AA231" s="285">
        <f t="shared" si="156"/>
        <v>9.5399999999999991</v>
      </c>
      <c r="AB231" s="285">
        <f t="shared" si="173"/>
        <v>0</v>
      </c>
      <c r="AC231" s="285">
        <f t="shared" si="174"/>
        <v>0</v>
      </c>
      <c r="AD231" s="285">
        <f t="shared" si="175"/>
        <v>0</v>
      </c>
      <c r="AE231" s="286">
        <v>0</v>
      </c>
      <c r="AF231" s="287">
        <f t="shared" si="157"/>
        <v>0</v>
      </c>
      <c r="AG231" s="288">
        <f t="shared" si="158"/>
        <v>0</v>
      </c>
      <c r="AH231" s="285">
        <f t="shared" si="180"/>
        <v>0</v>
      </c>
      <c r="AI231" s="286">
        <v>0</v>
      </c>
      <c r="AJ231" s="286">
        <v>0</v>
      </c>
      <c r="AK231" s="286">
        <v>0</v>
      </c>
      <c r="AL231" s="285">
        <f t="shared" si="160"/>
        <v>20.29</v>
      </c>
      <c r="AM231" s="285">
        <f t="shared" si="161"/>
        <v>20.290000000000003</v>
      </c>
      <c r="AN231" s="289">
        <f t="shared" si="176"/>
        <v>1</v>
      </c>
      <c r="AO231" s="290">
        <f t="shared" si="162"/>
        <v>0.52</v>
      </c>
      <c r="AP231" s="290">
        <f t="shared" si="163"/>
        <v>0.89</v>
      </c>
      <c r="AQ231" s="290">
        <f t="shared" si="164"/>
        <v>0.65</v>
      </c>
      <c r="AR231" s="290">
        <f t="shared" si="165"/>
        <v>0</v>
      </c>
      <c r="AS231" s="290">
        <f t="shared" si="166"/>
        <v>0</v>
      </c>
      <c r="AT231" s="290">
        <f t="shared" si="167"/>
        <v>22.35</v>
      </c>
      <c r="AU231" s="291">
        <f t="shared" si="168"/>
        <v>22.349999999999998</v>
      </c>
      <c r="AV231" s="291">
        <f t="shared" si="137"/>
        <v>0</v>
      </c>
      <c r="AW231" s="292">
        <f t="shared" si="169"/>
        <v>4.47</v>
      </c>
      <c r="AX231" s="293">
        <f t="shared" si="170"/>
        <v>5.0699999999999994</v>
      </c>
      <c r="BC231" s="276">
        <f>IF(BI231=1,IF(BC230=MiscData!$F$1,EOMONTH(BC230,-11),EOMONTH(BC230,1)),BC230)</f>
        <v>41820</v>
      </c>
      <c r="BD231" s="275" t="str">
        <f t="shared" si="177"/>
        <v>20140101LGRSE547</v>
      </c>
      <c r="BE231" s="294" t="str">
        <f t="shared" si="178"/>
        <v>20140101LEV</v>
      </c>
      <c r="BF231">
        <f>MiscData!$X$5</f>
        <v>20140101</v>
      </c>
      <c r="BI231" s="265">
        <f>IF(BI230+1&gt;MiscData!$Z$42,1,BI230+1)</f>
        <v>38</v>
      </c>
      <c r="BJ231" s="265" t="str">
        <f>VLOOKUP(BI231,MiscData!$Z$5:$AB$46,2,FALSE)</f>
        <v>LGRSE547</v>
      </c>
      <c r="BK231" s="265" t="str">
        <f>VLOOKUP(BI231,MiscData!$Z$5:$AB$46,3,FALSE)</f>
        <v>LEV</v>
      </c>
    </row>
    <row r="232" spans="1:63" hidden="1">
      <c r="A232" s="275">
        <v>217</v>
      </c>
      <c r="B232" s="276" t="str">
        <f t="shared" si="171"/>
        <v>Jul 2014</v>
      </c>
      <c r="C232" s="277" t="str">
        <f t="shared" si="179"/>
        <v>FLSP</v>
      </c>
      <c r="D232" s="277" t="str">
        <f t="shared" si="172"/>
        <v>LGINE682</v>
      </c>
      <c r="E232" s="278">
        <f t="shared" si="140"/>
        <v>0</v>
      </c>
      <c r="F232" s="279">
        <v>0</v>
      </c>
      <c r="G232" s="278">
        <f t="shared" si="141"/>
        <v>0</v>
      </c>
      <c r="H232" s="278">
        <f t="shared" si="142"/>
        <v>0</v>
      </c>
      <c r="I232" s="278">
        <f t="shared" si="143"/>
        <v>0</v>
      </c>
      <c r="J232" s="278">
        <f t="shared" si="144"/>
        <v>0</v>
      </c>
      <c r="K232" s="280">
        <v>0</v>
      </c>
      <c r="L232" s="281">
        <f t="shared" si="145"/>
        <v>0</v>
      </c>
      <c r="M232" s="281">
        <f t="shared" si="146"/>
        <v>0</v>
      </c>
      <c r="N232" s="281">
        <f t="shared" si="147"/>
        <v>0</v>
      </c>
      <c r="O232" s="282">
        <v>0</v>
      </c>
      <c r="P232" s="282">
        <v>0</v>
      </c>
      <c r="Q232" s="282">
        <v>0</v>
      </c>
      <c r="R232" s="283">
        <f t="shared" si="148"/>
        <v>750</v>
      </c>
      <c r="S232" s="284">
        <f t="shared" si="136"/>
        <v>3.61E-2</v>
      </c>
      <c r="T232" s="284">
        <f t="shared" si="149"/>
        <v>0</v>
      </c>
      <c r="U232" s="284">
        <f t="shared" si="150"/>
        <v>0</v>
      </c>
      <c r="V232" s="284">
        <f t="shared" si="151"/>
        <v>2.725E-2</v>
      </c>
      <c r="W232" s="283">
        <f t="shared" si="152"/>
        <v>1.8900000000000001</v>
      </c>
      <c r="X232" s="283">
        <f t="shared" si="153"/>
        <v>1.8900000000000001</v>
      </c>
      <c r="Y232" s="283">
        <f t="shared" si="154"/>
        <v>2.94</v>
      </c>
      <c r="Z232" s="285">
        <f t="shared" si="155"/>
        <v>0</v>
      </c>
      <c r="AA232" s="285">
        <f t="shared" si="156"/>
        <v>0</v>
      </c>
      <c r="AB232" s="285">
        <f t="shared" si="173"/>
        <v>0</v>
      </c>
      <c r="AC232" s="285">
        <f t="shared" si="174"/>
        <v>0</v>
      </c>
      <c r="AD232" s="285">
        <f t="shared" si="175"/>
        <v>0</v>
      </c>
      <c r="AE232" s="286">
        <v>0</v>
      </c>
      <c r="AF232" s="287">
        <f t="shared" si="157"/>
        <v>0</v>
      </c>
      <c r="AG232" s="288">
        <f t="shared" si="158"/>
        <v>0</v>
      </c>
      <c r="AH232" s="285">
        <f t="shared" si="180"/>
        <v>0</v>
      </c>
      <c r="AI232" s="286">
        <v>0</v>
      </c>
      <c r="AJ232" s="286">
        <v>0</v>
      </c>
      <c r="AK232" s="286">
        <v>0</v>
      </c>
      <c r="AL232" s="285">
        <f t="shared" si="160"/>
        <v>0</v>
      </c>
      <c r="AM232" s="285">
        <f t="shared" si="161"/>
        <v>0</v>
      </c>
      <c r="AN232" s="289">
        <f t="shared" si="176"/>
        <v>1</v>
      </c>
      <c r="AO232" s="290">
        <f t="shared" si="162"/>
        <v>0</v>
      </c>
      <c r="AP232" s="290">
        <f t="shared" si="163"/>
        <v>0</v>
      </c>
      <c r="AQ232" s="290">
        <f t="shared" si="164"/>
        <v>0</v>
      </c>
      <c r="AR232" s="290">
        <f t="shared" si="165"/>
        <v>0</v>
      </c>
      <c r="AS232" s="290">
        <f t="shared" si="166"/>
        <v>0</v>
      </c>
      <c r="AT232" s="290">
        <f t="shared" si="167"/>
        <v>0</v>
      </c>
      <c r="AU232" s="291">
        <f t="shared" si="168"/>
        <v>0</v>
      </c>
      <c r="AV232" s="291">
        <f t="shared" ref="AV232:AV238" si="182">ROUND(AT232-AU232,2)</f>
        <v>0</v>
      </c>
      <c r="AW232" s="292">
        <f t="shared" si="169"/>
        <v>0</v>
      </c>
      <c r="AX232" s="293">
        <f t="shared" si="170"/>
        <v>0</v>
      </c>
      <c r="BC232" s="276">
        <f>IF(BI232=1,IF(BC231=MiscData!$F$1,EOMONTH(BC231,-11),EOMONTH(BC231,1)),BC231)</f>
        <v>41851</v>
      </c>
      <c r="BD232" s="275" t="str">
        <f t="shared" si="177"/>
        <v>20140101LGINE682</v>
      </c>
      <c r="BE232" s="294" t="str">
        <f t="shared" si="178"/>
        <v>20140101FLSP</v>
      </c>
      <c r="BF232">
        <f>MiscData!$X$5</f>
        <v>20140101</v>
      </c>
      <c r="BI232" s="265">
        <f>IF(BI231+1&gt;MiscData!$Z$42,1,BI231+1)</f>
        <v>1</v>
      </c>
      <c r="BJ232" s="265" t="str">
        <f>VLOOKUP(BI232,MiscData!$Z$5:$AB$46,2,FALSE)</f>
        <v>LGINE682</v>
      </c>
      <c r="BK232" s="265" t="str">
        <f>VLOOKUP(BI232,MiscData!$Z$5:$AB$46,3,FALSE)</f>
        <v>FLSP</v>
      </c>
    </row>
    <row r="233" spans="1:63" hidden="1">
      <c r="A233" s="275">
        <v>218</v>
      </c>
      <c r="B233" s="276" t="str">
        <f t="shared" si="171"/>
        <v>Jul 2014</v>
      </c>
      <c r="C233" s="277" t="str">
        <f t="shared" si="179"/>
        <v>FLST</v>
      </c>
      <c r="D233" s="277" t="str">
        <f t="shared" si="172"/>
        <v>LGINE683</v>
      </c>
      <c r="E233" s="278">
        <f t="shared" si="140"/>
        <v>0</v>
      </c>
      <c r="F233" s="279">
        <v>0</v>
      </c>
      <c r="G233" s="278">
        <f t="shared" si="141"/>
        <v>0</v>
      </c>
      <c r="H233" s="278">
        <f t="shared" si="142"/>
        <v>0</v>
      </c>
      <c r="I233" s="278">
        <f t="shared" si="143"/>
        <v>0</v>
      </c>
      <c r="J233" s="278">
        <f t="shared" si="144"/>
        <v>0</v>
      </c>
      <c r="K233" s="280">
        <v>0</v>
      </c>
      <c r="L233" s="281">
        <f t="shared" si="145"/>
        <v>0</v>
      </c>
      <c r="M233" s="281">
        <f t="shared" si="146"/>
        <v>0</v>
      </c>
      <c r="N233" s="281">
        <f t="shared" si="147"/>
        <v>0</v>
      </c>
      <c r="O233" s="282">
        <v>0</v>
      </c>
      <c r="P233" s="282">
        <v>0</v>
      </c>
      <c r="Q233" s="282">
        <v>0</v>
      </c>
      <c r="R233" s="283">
        <f t="shared" si="148"/>
        <v>750</v>
      </c>
      <c r="S233" s="284">
        <f t="shared" ref="S233:S296" si="183">SUMIF(L_Rates_Tariff_Rate_Category,$BD233,L_Rates_Energy)</f>
        <v>3.61E-2</v>
      </c>
      <c r="T233" s="284">
        <f t="shared" si="149"/>
        <v>0</v>
      </c>
      <c r="U233" s="284">
        <f t="shared" si="150"/>
        <v>0</v>
      </c>
      <c r="V233" s="284">
        <f t="shared" si="151"/>
        <v>2.725E-2</v>
      </c>
      <c r="W233" s="283">
        <f t="shared" si="152"/>
        <v>1.1400000000000001</v>
      </c>
      <c r="X233" s="283">
        <f t="shared" si="153"/>
        <v>1.8900000000000001</v>
      </c>
      <c r="Y233" s="283">
        <f t="shared" si="154"/>
        <v>2.94</v>
      </c>
      <c r="Z233" s="285">
        <f t="shared" si="155"/>
        <v>0</v>
      </c>
      <c r="AA233" s="285">
        <f t="shared" si="156"/>
        <v>0</v>
      </c>
      <c r="AB233" s="285">
        <f t="shared" si="173"/>
        <v>0</v>
      </c>
      <c r="AC233" s="285">
        <f t="shared" si="174"/>
        <v>0</v>
      </c>
      <c r="AD233" s="285">
        <f t="shared" si="175"/>
        <v>0</v>
      </c>
      <c r="AE233" s="286">
        <v>0</v>
      </c>
      <c r="AF233" s="287">
        <f t="shared" si="157"/>
        <v>0</v>
      </c>
      <c r="AG233" s="288">
        <f t="shared" si="158"/>
        <v>0</v>
      </c>
      <c r="AH233" s="285">
        <f t="shared" si="180"/>
        <v>0</v>
      </c>
      <c r="AI233" s="286">
        <v>0</v>
      </c>
      <c r="AJ233" s="286">
        <v>0</v>
      </c>
      <c r="AK233" s="286">
        <v>0</v>
      </c>
      <c r="AL233" s="285">
        <f t="shared" si="160"/>
        <v>0</v>
      </c>
      <c r="AM233" s="285">
        <f t="shared" si="161"/>
        <v>0</v>
      </c>
      <c r="AN233" s="289">
        <f t="shared" si="176"/>
        <v>1</v>
      </c>
      <c r="AO233" s="290">
        <f t="shared" si="162"/>
        <v>0</v>
      </c>
      <c r="AP233" s="290">
        <f t="shared" si="163"/>
        <v>0</v>
      </c>
      <c r="AQ233" s="290">
        <f t="shared" si="164"/>
        <v>0</v>
      </c>
      <c r="AR233" s="290">
        <f t="shared" si="165"/>
        <v>0</v>
      </c>
      <c r="AS233" s="290">
        <f t="shared" si="166"/>
        <v>0</v>
      </c>
      <c r="AT233" s="290">
        <f t="shared" si="167"/>
        <v>0</v>
      </c>
      <c r="AU233" s="291">
        <f t="shared" si="168"/>
        <v>0</v>
      </c>
      <c r="AV233" s="291">
        <f t="shared" si="182"/>
        <v>0</v>
      </c>
      <c r="AW233" s="292">
        <f t="shared" si="169"/>
        <v>0</v>
      </c>
      <c r="AX233" s="293">
        <f t="shared" si="170"/>
        <v>0</v>
      </c>
      <c r="BC233" s="276">
        <f>IF(BI233=1,IF(BC232=MiscData!$F$1,EOMONTH(BC232,-11),EOMONTH(BC232,1)),BC232)</f>
        <v>41851</v>
      </c>
      <c r="BD233" s="275" t="str">
        <f t="shared" si="177"/>
        <v>20140101LGINE683</v>
      </c>
      <c r="BE233" s="294" t="str">
        <f t="shared" si="178"/>
        <v>20140101FLST</v>
      </c>
      <c r="BF233">
        <f>MiscData!$X$5</f>
        <v>20140101</v>
      </c>
      <c r="BI233" s="265">
        <f>IF(BI232+1&gt;MiscData!$Z$42,1,BI232+1)</f>
        <v>2</v>
      </c>
      <c r="BJ233" s="265" t="str">
        <f>VLOOKUP(BI233,MiscData!$Z$5:$AB$46,2,FALSE)</f>
        <v>LGINE683</v>
      </c>
      <c r="BK233" s="265" t="str">
        <f>VLOOKUP(BI233,MiscData!$Z$5:$AB$46,3,FALSE)</f>
        <v>FLST</v>
      </c>
    </row>
    <row r="234" spans="1:63" hidden="1">
      <c r="A234" s="275">
        <v>219</v>
      </c>
      <c r="B234" s="276" t="str">
        <f t="shared" si="171"/>
        <v>Jul 2014</v>
      </c>
      <c r="C234" s="277" t="s">
        <v>892</v>
      </c>
      <c r="D234" s="277" t="str">
        <f t="shared" si="172"/>
        <v>LGCME451</v>
      </c>
      <c r="E234" s="278">
        <f t="shared" si="140"/>
        <v>52</v>
      </c>
      <c r="F234" s="279">
        <f>-E234</f>
        <v>-52</v>
      </c>
      <c r="G234" s="278">
        <f t="shared" si="141"/>
        <v>0</v>
      </c>
      <c r="H234" s="278">
        <f t="shared" si="142"/>
        <v>0</v>
      </c>
      <c r="I234" s="278">
        <f t="shared" si="143"/>
        <v>0</v>
      </c>
      <c r="J234" s="278">
        <f t="shared" si="144"/>
        <v>8384</v>
      </c>
      <c r="K234" s="280">
        <v>0</v>
      </c>
      <c r="L234" s="281">
        <f t="shared" si="145"/>
        <v>0</v>
      </c>
      <c r="M234" s="281">
        <f t="shared" si="146"/>
        <v>0</v>
      </c>
      <c r="N234" s="281">
        <f t="shared" si="147"/>
        <v>0</v>
      </c>
      <c r="O234" s="282">
        <v>0</v>
      </c>
      <c r="P234" s="282">
        <v>0</v>
      </c>
      <c r="Q234" s="282">
        <v>0</v>
      </c>
      <c r="R234" s="283">
        <f t="shared" si="148"/>
        <v>0</v>
      </c>
      <c r="S234" s="284">
        <f t="shared" si="183"/>
        <v>9.1340000000000005E-2</v>
      </c>
      <c r="T234" s="284">
        <f t="shared" si="149"/>
        <v>0</v>
      </c>
      <c r="U234" s="284">
        <f t="shared" si="150"/>
        <v>0</v>
      </c>
      <c r="V234" s="284">
        <f t="shared" si="151"/>
        <v>2.725E-2</v>
      </c>
      <c r="W234" s="283">
        <f t="shared" si="152"/>
        <v>0</v>
      </c>
      <c r="X234" s="283">
        <f t="shared" si="153"/>
        <v>0</v>
      </c>
      <c r="Y234" s="283">
        <f t="shared" si="154"/>
        <v>0</v>
      </c>
      <c r="Z234" s="285">
        <f t="shared" si="155"/>
        <v>0</v>
      </c>
      <c r="AA234" s="285">
        <f t="shared" si="156"/>
        <v>765.79</v>
      </c>
      <c r="AB234" s="285">
        <f t="shared" si="173"/>
        <v>0</v>
      </c>
      <c r="AC234" s="285">
        <f t="shared" si="174"/>
        <v>0</v>
      </c>
      <c r="AD234" s="285">
        <f t="shared" si="175"/>
        <v>0</v>
      </c>
      <c r="AE234" s="286">
        <v>0</v>
      </c>
      <c r="AF234" s="287">
        <f t="shared" si="157"/>
        <v>0</v>
      </c>
      <c r="AG234" s="288">
        <f t="shared" si="158"/>
        <v>0</v>
      </c>
      <c r="AH234" s="285">
        <f t="shared" si="180"/>
        <v>0</v>
      </c>
      <c r="AI234" s="286">
        <v>0</v>
      </c>
      <c r="AJ234" s="286">
        <v>0.01</v>
      </c>
      <c r="AK234" s="286">
        <v>0</v>
      </c>
      <c r="AL234" s="285">
        <f t="shared" si="160"/>
        <v>765.8</v>
      </c>
      <c r="AM234" s="285">
        <f t="shared" si="161"/>
        <v>765.80000000000007</v>
      </c>
      <c r="AN234" s="289">
        <f t="shared" si="176"/>
        <v>1</v>
      </c>
      <c r="AO234" s="290">
        <f t="shared" si="162"/>
        <v>11.7</v>
      </c>
      <c r="AP234" s="290">
        <f t="shared" si="163"/>
        <v>25.4</v>
      </c>
      <c r="AQ234" s="290">
        <f t="shared" si="164"/>
        <v>28.44</v>
      </c>
      <c r="AR234" s="290">
        <f t="shared" si="165"/>
        <v>0</v>
      </c>
      <c r="AS234" s="290">
        <f t="shared" si="166"/>
        <v>0</v>
      </c>
      <c r="AT234" s="290">
        <f t="shared" si="167"/>
        <v>831.34</v>
      </c>
      <c r="AU234" s="291">
        <f t="shared" si="168"/>
        <v>831.34</v>
      </c>
      <c r="AV234" s="291">
        <f t="shared" si="182"/>
        <v>0</v>
      </c>
      <c r="AW234" s="292">
        <f t="shared" si="169"/>
        <v>228.46</v>
      </c>
      <c r="AX234" s="293">
        <f t="shared" si="170"/>
        <v>537.33999999999992</v>
      </c>
      <c r="BC234" s="276">
        <f>IF(BI234=1,IF(BC233=MiscData!$F$1,EOMONTH(BC233,-11),EOMONTH(BC233,1)),BC233)</f>
        <v>41851</v>
      </c>
      <c r="BD234" s="275" t="str">
        <f t="shared" si="177"/>
        <v>20140101LGCME451</v>
      </c>
      <c r="BE234" s="294" t="str">
        <f t="shared" si="178"/>
        <v>20140101GSS</v>
      </c>
      <c r="BF234">
        <f>MiscData!$X$5</f>
        <v>20140101</v>
      </c>
      <c r="BI234" s="265">
        <f>IF(BI233+1&gt;MiscData!$Z$42,1,BI233+1)</f>
        <v>3</v>
      </c>
      <c r="BJ234" s="265" t="str">
        <f>VLOOKUP(BI234,MiscData!$Z$5:$AB$46,2,FALSE)</f>
        <v>LGCME451</v>
      </c>
      <c r="BK234" s="265" t="str">
        <f>VLOOKUP(BI234,MiscData!$Z$5:$AB$46,3,FALSE)</f>
        <v>GSS</v>
      </c>
    </row>
    <row r="235" spans="1:63" hidden="1">
      <c r="A235" s="275">
        <v>220</v>
      </c>
      <c r="B235" s="276" t="str">
        <f t="shared" si="171"/>
        <v>Jul 2014</v>
      </c>
      <c r="C235" s="277" t="s">
        <v>892</v>
      </c>
      <c r="D235" s="277" t="str">
        <f t="shared" si="172"/>
        <v>LGCME550</v>
      </c>
      <c r="E235" s="278">
        <f t="shared" si="140"/>
        <v>0</v>
      </c>
      <c r="F235" s="279">
        <v>0</v>
      </c>
      <c r="G235" s="278">
        <f t="shared" si="141"/>
        <v>0</v>
      </c>
      <c r="H235" s="278">
        <f t="shared" si="142"/>
        <v>0</v>
      </c>
      <c r="I235" s="278">
        <f t="shared" si="143"/>
        <v>0</v>
      </c>
      <c r="J235" s="278">
        <f t="shared" si="144"/>
        <v>0</v>
      </c>
      <c r="K235" s="280">
        <v>0</v>
      </c>
      <c r="L235" s="281">
        <f t="shared" si="145"/>
        <v>0</v>
      </c>
      <c r="M235" s="281">
        <f t="shared" si="146"/>
        <v>0</v>
      </c>
      <c r="N235" s="281">
        <f t="shared" si="147"/>
        <v>0</v>
      </c>
      <c r="O235" s="282">
        <v>0</v>
      </c>
      <c r="P235" s="282">
        <v>0</v>
      </c>
      <c r="Q235" s="282">
        <v>0</v>
      </c>
      <c r="R235" s="283">
        <f t="shared" si="148"/>
        <v>20</v>
      </c>
      <c r="S235" s="284">
        <f t="shared" si="183"/>
        <v>9.1340000000000005E-2</v>
      </c>
      <c r="T235" s="284">
        <f t="shared" si="149"/>
        <v>0</v>
      </c>
      <c r="U235" s="284">
        <f t="shared" si="150"/>
        <v>0</v>
      </c>
      <c r="V235" s="284">
        <f t="shared" si="151"/>
        <v>2.725E-2</v>
      </c>
      <c r="W235" s="283">
        <f t="shared" si="152"/>
        <v>0</v>
      </c>
      <c r="X235" s="283">
        <f t="shared" si="153"/>
        <v>0</v>
      </c>
      <c r="Y235" s="283">
        <f t="shared" si="154"/>
        <v>0</v>
      </c>
      <c r="Z235" s="285">
        <f t="shared" si="155"/>
        <v>0</v>
      </c>
      <c r="AA235" s="285">
        <f t="shared" si="156"/>
        <v>0</v>
      </c>
      <c r="AB235" s="285">
        <f t="shared" si="173"/>
        <v>0</v>
      </c>
      <c r="AC235" s="285">
        <f t="shared" si="174"/>
        <v>0</v>
      </c>
      <c r="AD235" s="285">
        <f t="shared" si="175"/>
        <v>0</v>
      </c>
      <c r="AE235" s="286">
        <v>0</v>
      </c>
      <c r="AF235" s="287">
        <f t="shared" si="157"/>
        <v>0</v>
      </c>
      <c r="AG235" s="288">
        <f t="shared" si="158"/>
        <v>0</v>
      </c>
      <c r="AH235" s="285">
        <f t="shared" si="180"/>
        <v>0</v>
      </c>
      <c r="AI235" s="286">
        <v>0</v>
      </c>
      <c r="AJ235" s="286">
        <v>0</v>
      </c>
      <c r="AK235" s="286">
        <v>0</v>
      </c>
      <c r="AL235" s="285">
        <f t="shared" si="160"/>
        <v>0</v>
      </c>
      <c r="AM235" s="285">
        <f t="shared" si="161"/>
        <v>0</v>
      </c>
      <c r="AN235" s="289">
        <f t="shared" si="176"/>
        <v>1</v>
      </c>
      <c r="AO235" s="290">
        <f t="shared" si="162"/>
        <v>0</v>
      </c>
      <c r="AP235" s="290">
        <f t="shared" si="163"/>
        <v>0</v>
      </c>
      <c r="AQ235" s="290">
        <f t="shared" si="164"/>
        <v>0</v>
      </c>
      <c r="AR235" s="290">
        <f t="shared" si="165"/>
        <v>0</v>
      </c>
      <c r="AS235" s="290">
        <f t="shared" si="166"/>
        <v>0</v>
      </c>
      <c r="AT235" s="290">
        <f t="shared" si="167"/>
        <v>0</v>
      </c>
      <c r="AU235" s="291">
        <f t="shared" si="168"/>
        <v>0</v>
      </c>
      <c r="AV235" s="291">
        <f t="shared" si="182"/>
        <v>0</v>
      </c>
      <c r="AW235" s="292">
        <f t="shared" si="169"/>
        <v>0</v>
      </c>
      <c r="AX235" s="293">
        <f t="shared" si="170"/>
        <v>0</v>
      </c>
      <c r="BC235" s="276">
        <f>IF(BI235=1,IF(BC234=MiscData!$F$1,EOMONTH(BC234,-11),EOMONTH(BC234,1)),BC234)</f>
        <v>41851</v>
      </c>
      <c r="BD235" s="275" t="str">
        <f t="shared" si="177"/>
        <v>20140101LGCME550</v>
      </c>
      <c r="BE235" s="294" t="str">
        <f t="shared" si="178"/>
        <v>20140101GSS</v>
      </c>
      <c r="BF235">
        <f>MiscData!$X$5</f>
        <v>20140101</v>
      </c>
      <c r="BI235" s="265">
        <f>IF(BI234+1&gt;MiscData!$Z$42,1,BI234+1)</f>
        <v>4</v>
      </c>
      <c r="BJ235" s="265" t="str">
        <f>VLOOKUP(BI235,MiscData!$Z$5:$AB$46,2,FALSE)</f>
        <v>LGCME550</v>
      </c>
      <c r="BK235" s="265" t="str">
        <f>VLOOKUP(BI235,MiscData!$Z$5:$AB$46,3,FALSE)</f>
        <v>GSS</v>
      </c>
    </row>
    <row r="236" spans="1:63" hidden="1">
      <c r="A236" s="275">
        <v>221</v>
      </c>
      <c r="B236" s="276" t="str">
        <f t="shared" si="171"/>
        <v>Jul 2014</v>
      </c>
      <c r="C236" s="277" t="s">
        <v>892</v>
      </c>
      <c r="D236" s="277" t="str">
        <f t="shared" si="172"/>
        <v>LGCME551</v>
      </c>
      <c r="E236" s="278">
        <f t="shared" si="140"/>
        <v>27924</v>
      </c>
      <c r="F236" s="279">
        <v>190</v>
      </c>
      <c r="G236" s="278">
        <f t="shared" si="141"/>
        <v>0</v>
      </c>
      <c r="H236" s="278">
        <f t="shared" si="142"/>
        <v>0</v>
      </c>
      <c r="I236" s="278">
        <f t="shared" si="143"/>
        <v>0</v>
      </c>
      <c r="J236" s="278">
        <f t="shared" si="144"/>
        <v>37420763</v>
      </c>
      <c r="K236" s="280">
        <v>0</v>
      </c>
      <c r="L236" s="281">
        <f t="shared" si="145"/>
        <v>5578.4</v>
      </c>
      <c r="M236" s="281">
        <f t="shared" si="146"/>
        <v>0</v>
      </c>
      <c r="N236" s="281">
        <f t="shared" si="147"/>
        <v>0</v>
      </c>
      <c r="O236" s="282">
        <v>0</v>
      </c>
      <c r="P236" s="282">
        <v>0</v>
      </c>
      <c r="Q236" s="282">
        <v>0</v>
      </c>
      <c r="R236" s="283">
        <f t="shared" si="148"/>
        <v>20</v>
      </c>
      <c r="S236" s="284">
        <f t="shared" si="183"/>
        <v>9.1340000000000005E-2</v>
      </c>
      <c r="T236" s="284">
        <f t="shared" si="149"/>
        <v>0</v>
      </c>
      <c r="U236" s="284">
        <f t="shared" si="150"/>
        <v>0</v>
      </c>
      <c r="V236" s="284">
        <f t="shared" si="151"/>
        <v>2.725E-2</v>
      </c>
      <c r="W236" s="283">
        <f t="shared" si="152"/>
        <v>0</v>
      </c>
      <c r="X236" s="283">
        <f t="shared" si="153"/>
        <v>0</v>
      </c>
      <c r="Y236" s="283">
        <f t="shared" si="154"/>
        <v>0</v>
      </c>
      <c r="Z236" s="285">
        <f t="shared" si="155"/>
        <v>562280</v>
      </c>
      <c r="AA236" s="285">
        <f t="shared" si="156"/>
        <v>3418012.49</v>
      </c>
      <c r="AB236" s="285">
        <f t="shared" si="173"/>
        <v>0</v>
      </c>
      <c r="AC236" s="285">
        <f t="shared" si="174"/>
        <v>0</v>
      </c>
      <c r="AD236" s="285">
        <f t="shared" si="175"/>
        <v>0</v>
      </c>
      <c r="AE236" s="286">
        <v>0</v>
      </c>
      <c r="AF236" s="287">
        <f t="shared" si="157"/>
        <v>0</v>
      </c>
      <c r="AG236" s="288">
        <f t="shared" si="158"/>
        <v>0</v>
      </c>
      <c r="AH236" s="285">
        <f t="shared" si="180"/>
        <v>0</v>
      </c>
      <c r="AI236" s="286">
        <v>-4408.45</v>
      </c>
      <c r="AJ236" s="286">
        <v>-379.75</v>
      </c>
      <c r="AK236" s="286">
        <v>0</v>
      </c>
      <c r="AL236" s="285">
        <f t="shared" si="160"/>
        <v>3975504.29</v>
      </c>
      <c r="AM236" s="285">
        <f t="shared" si="161"/>
        <v>3975504.29</v>
      </c>
      <c r="AN236" s="289">
        <f t="shared" si="176"/>
        <v>1</v>
      </c>
      <c r="AO236" s="290">
        <f t="shared" si="162"/>
        <v>52454.7</v>
      </c>
      <c r="AP236" s="290">
        <f t="shared" si="163"/>
        <v>113185.85</v>
      </c>
      <c r="AQ236" s="290">
        <f t="shared" si="164"/>
        <v>155103.17000000001</v>
      </c>
      <c r="AR236" s="290">
        <f t="shared" si="165"/>
        <v>0</v>
      </c>
      <c r="AS236" s="290">
        <f t="shared" si="166"/>
        <v>0</v>
      </c>
      <c r="AT236" s="290">
        <f t="shared" si="167"/>
        <v>4296248.01</v>
      </c>
      <c r="AU236" s="291">
        <f t="shared" si="168"/>
        <v>4296248.0100000007</v>
      </c>
      <c r="AV236" s="291">
        <f t="shared" si="182"/>
        <v>0</v>
      </c>
      <c r="AW236" s="292">
        <f t="shared" si="169"/>
        <v>1019715.79</v>
      </c>
      <c r="AX236" s="293">
        <f t="shared" si="170"/>
        <v>2397916.9500000002</v>
      </c>
      <c r="BC236" s="276">
        <f>IF(BI236=1,IF(BC235=MiscData!$F$1,EOMONTH(BC235,-11),EOMONTH(BC235,1)),BC235)</f>
        <v>41851</v>
      </c>
      <c r="BD236" s="275" t="str">
        <f t="shared" si="177"/>
        <v>20140101LGCME551</v>
      </c>
      <c r="BE236" s="294" t="str">
        <f t="shared" si="178"/>
        <v>20140101GSS</v>
      </c>
      <c r="BF236">
        <f>MiscData!$X$5</f>
        <v>20140101</v>
      </c>
      <c r="BI236" s="265">
        <f>IF(BI235+1&gt;MiscData!$Z$42,1,BI235+1)</f>
        <v>5</v>
      </c>
      <c r="BJ236" s="265" t="str">
        <f>VLOOKUP(BI236,MiscData!$Z$5:$AB$46,2,FALSE)</f>
        <v>LGCME551</v>
      </c>
      <c r="BK236" s="265" t="str">
        <f>VLOOKUP(BI236,MiscData!$Z$5:$AB$46,3,FALSE)</f>
        <v>GSS</v>
      </c>
    </row>
    <row r="237" spans="1:63" hidden="1">
      <c r="A237" s="275">
        <v>222</v>
      </c>
      <c r="B237" s="276" t="str">
        <f t="shared" si="171"/>
        <v>Jul 2014</v>
      </c>
      <c r="C237" s="277" t="s">
        <v>892</v>
      </c>
      <c r="D237" s="277" t="str">
        <f t="shared" si="172"/>
        <v>LGCME551UM</v>
      </c>
      <c r="E237" s="278">
        <f t="shared" si="140"/>
        <v>1</v>
      </c>
      <c r="F237" s="279">
        <v>102</v>
      </c>
      <c r="G237" s="278">
        <f t="shared" si="141"/>
        <v>0</v>
      </c>
      <c r="H237" s="278">
        <f t="shared" si="142"/>
        <v>0</v>
      </c>
      <c r="I237" s="278">
        <f t="shared" si="143"/>
        <v>0</v>
      </c>
      <c r="J237" s="278">
        <f t="shared" si="144"/>
        <v>13802</v>
      </c>
      <c r="K237" s="280">
        <v>0</v>
      </c>
      <c r="L237" s="281">
        <f t="shared" si="145"/>
        <v>0</v>
      </c>
      <c r="M237" s="281">
        <f t="shared" si="146"/>
        <v>0</v>
      </c>
      <c r="N237" s="281">
        <f t="shared" si="147"/>
        <v>0</v>
      </c>
      <c r="O237" s="282">
        <v>0</v>
      </c>
      <c r="P237" s="282">
        <v>0</v>
      </c>
      <c r="Q237" s="282">
        <v>0</v>
      </c>
      <c r="R237" s="283">
        <f t="shared" si="148"/>
        <v>20</v>
      </c>
      <c r="S237" s="284">
        <f t="shared" si="183"/>
        <v>9.1340000000000005E-2</v>
      </c>
      <c r="T237" s="284">
        <f t="shared" si="149"/>
        <v>0</v>
      </c>
      <c r="U237" s="284">
        <f t="shared" si="150"/>
        <v>0</v>
      </c>
      <c r="V237" s="284">
        <f t="shared" si="151"/>
        <v>2.725E-2</v>
      </c>
      <c r="W237" s="283">
        <f t="shared" si="152"/>
        <v>0</v>
      </c>
      <c r="X237" s="283">
        <f t="shared" si="153"/>
        <v>0</v>
      </c>
      <c r="Y237" s="283">
        <f t="shared" si="154"/>
        <v>0</v>
      </c>
      <c r="Z237" s="285">
        <f t="shared" si="155"/>
        <v>2060</v>
      </c>
      <c r="AA237" s="285">
        <f t="shared" si="156"/>
        <v>1260.67</v>
      </c>
      <c r="AB237" s="285">
        <f t="shared" si="173"/>
        <v>0</v>
      </c>
      <c r="AC237" s="285">
        <f t="shared" si="174"/>
        <v>0</v>
      </c>
      <c r="AD237" s="285">
        <f t="shared" si="175"/>
        <v>0</v>
      </c>
      <c r="AE237" s="286">
        <v>0</v>
      </c>
      <c r="AF237" s="287">
        <f t="shared" si="157"/>
        <v>0</v>
      </c>
      <c r="AG237" s="288">
        <f t="shared" si="158"/>
        <v>0</v>
      </c>
      <c r="AH237" s="285">
        <f t="shared" si="180"/>
        <v>0</v>
      </c>
      <c r="AI237" s="286">
        <v>0</v>
      </c>
      <c r="AJ237" s="286">
        <v>0</v>
      </c>
      <c r="AK237" s="286">
        <v>0</v>
      </c>
      <c r="AL237" s="285">
        <f t="shared" si="160"/>
        <v>3320.67</v>
      </c>
      <c r="AM237" s="285">
        <f t="shared" si="161"/>
        <v>3320.67</v>
      </c>
      <c r="AN237" s="289">
        <f t="shared" si="176"/>
        <v>1</v>
      </c>
      <c r="AO237" s="290">
        <f t="shared" si="162"/>
        <v>19.05</v>
      </c>
      <c r="AP237" s="290">
        <f t="shared" si="163"/>
        <v>41.82</v>
      </c>
      <c r="AQ237" s="290">
        <f t="shared" si="164"/>
        <v>151.11000000000001</v>
      </c>
      <c r="AR237" s="290">
        <f t="shared" si="165"/>
        <v>0</v>
      </c>
      <c r="AS237" s="290">
        <f t="shared" si="166"/>
        <v>0</v>
      </c>
      <c r="AT237" s="290">
        <f t="shared" si="167"/>
        <v>3532.65</v>
      </c>
      <c r="AU237" s="291">
        <f t="shared" si="168"/>
        <v>3532.6500000000005</v>
      </c>
      <c r="AV237" s="291">
        <f t="shared" si="182"/>
        <v>0</v>
      </c>
      <c r="AW237" s="292">
        <f t="shared" si="169"/>
        <v>376.1</v>
      </c>
      <c r="AX237" s="293">
        <f t="shared" si="170"/>
        <v>884.57</v>
      </c>
      <c r="BC237" s="276">
        <f>IF(BI237=1,IF(BC236=MiscData!$F$1,EOMONTH(BC236,-11),EOMONTH(BC236,1)),BC236)</f>
        <v>41851</v>
      </c>
      <c r="BD237" s="275" t="str">
        <f t="shared" si="177"/>
        <v>20140101LGCME551UM</v>
      </c>
      <c r="BE237" s="294" t="str">
        <f t="shared" si="178"/>
        <v>20140101GSS</v>
      </c>
      <c r="BF237">
        <f>MiscData!$X$5</f>
        <v>20140101</v>
      </c>
      <c r="BI237" s="265">
        <f>IF(BI236+1&gt;MiscData!$Z$42,1,BI236+1)</f>
        <v>6</v>
      </c>
      <c r="BJ237" s="265" t="str">
        <f>VLOOKUP(BI237,MiscData!$Z$5:$AB$46,2,FALSE)</f>
        <v>LGCME551UM</v>
      </c>
      <c r="BK237" s="265" t="str">
        <f>VLOOKUP(BI237,MiscData!$Z$5:$AB$46,3,FALSE)</f>
        <v>GSS</v>
      </c>
    </row>
    <row r="238" spans="1:63" hidden="1">
      <c r="A238" s="275">
        <v>223</v>
      </c>
      <c r="B238" s="276" t="str">
        <f t="shared" si="171"/>
        <v>Jul 2014</v>
      </c>
      <c r="C238" s="277" t="s">
        <v>892</v>
      </c>
      <c r="D238" s="277" t="str">
        <f t="shared" si="172"/>
        <v>LGCME552</v>
      </c>
      <c r="E238" s="278">
        <f t="shared" si="140"/>
        <v>121</v>
      </c>
      <c r="F238" s="279">
        <f>-E238</f>
        <v>-121</v>
      </c>
      <c r="G238" s="278">
        <f t="shared" si="141"/>
        <v>0</v>
      </c>
      <c r="H238" s="278">
        <f t="shared" si="142"/>
        <v>0</v>
      </c>
      <c r="I238" s="278">
        <f t="shared" si="143"/>
        <v>0</v>
      </c>
      <c r="J238" s="278">
        <f t="shared" si="144"/>
        <v>148268</v>
      </c>
      <c r="K238" s="280">
        <v>0</v>
      </c>
      <c r="L238" s="281">
        <f t="shared" si="145"/>
        <v>1.3</v>
      </c>
      <c r="M238" s="281">
        <f t="shared" si="146"/>
        <v>0</v>
      </c>
      <c r="N238" s="281">
        <f t="shared" si="147"/>
        <v>0</v>
      </c>
      <c r="O238" s="282">
        <v>0</v>
      </c>
      <c r="P238" s="282">
        <v>0</v>
      </c>
      <c r="Q238" s="282">
        <v>0</v>
      </c>
      <c r="R238" s="283">
        <f t="shared" si="148"/>
        <v>0</v>
      </c>
      <c r="S238" s="284">
        <f t="shared" si="183"/>
        <v>9.1340000000000005E-2</v>
      </c>
      <c r="T238" s="284">
        <f t="shared" si="149"/>
        <v>0</v>
      </c>
      <c r="U238" s="284">
        <f t="shared" si="150"/>
        <v>0</v>
      </c>
      <c r="V238" s="284">
        <f t="shared" si="151"/>
        <v>2.725E-2</v>
      </c>
      <c r="W238" s="283">
        <f t="shared" si="152"/>
        <v>0</v>
      </c>
      <c r="X238" s="283">
        <f t="shared" si="153"/>
        <v>0</v>
      </c>
      <c r="Y238" s="283">
        <f t="shared" si="154"/>
        <v>0</v>
      </c>
      <c r="Z238" s="285">
        <f t="shared" si="155"/>
        <v>0</v>
      </c>
      <c r="AA238" s="285">
        <f t="shared" si="156"/>
        <v>13542.8</v>
      </c>
      <c r="AB238" s="285">
        <f t="shared" si="173"/>
        <v>0</v>
      </c>
      <c r="AC238" s="285">
        <f t="shared" si="174"/>
        <v>0</v>
      </c>
      <c r="AD238" s="285">
        <f t="shared" si="175"/>
        <v>0</v>
      </c>
      <c r="AE238" s="286">
        <v>0</v>
      </c>
      <c r="AF238" s="287">
        <f t="shared" si="157"/>
        <v>0</v>
      </c>
      <c r="AG238" s="288">
        <f t="shared" si="158"/>
        <v>0</v>
      </c>
      <c r="AH238" s="285">
        <f t="shared" si="180"/>
        <v>0</v>
      </c>
      <c r="AI238" s="286">
        <v>0</v>
      </c>
      <c r="AJ238" s="286">
        <v>0</v>
      </c>
      <c r="AK238" s="286">
        <v>0</v>
      </c>
      <c r="AL238" s="285">
        <f t="shared" si="160"/>
        <v>13542.8</v>
      </c>
      <c r="AM238" s="285">
        <f t="shared" si="161"/>
        <v>13542.8</v>
      </c>
      <c r="AN238" s="289">
        <f t="shared" si="176"/>
        <v>1</v>
      </c>
      <c r="AO238" s="290">
        <f t="shared" si="162"/>
        <v>202.02</v>
      </c>
      <c r="AP238" s="290">
        <f t="shared" si="163"/>
        <v>449.28</v>
      </c>
      <c r="AQ238" s="290">
        <f t="shared" si="164"/>
        <v>504.23</v>
      </c>
      <c r="AR238" s="290">
        <f t="shared" si="165"/>
        <v>0</v>
      </c>
      <c r="AS238" s="290">
        <f t="shared" si="166"/>
        <v>0</v>
      </c>
      <c r="AT238" s="290">
        <f t="shared" si="167"/>
        <v>14698.33</v>
      </c>
      <c r="AU238" s="291">
        <f t="shared" si="168"/>
        <v>14698.33</v>
      </c>
      <c r="AV238" s="291">
        <f t="shared" si="182"/>
        <v>0</v>
      </c>
      <c r="AW238" s="292">
        <f t="shared" si="169"/>
        <v>4040.3</v>
      </c>
      <c r="AX238" s="293">
        <f t="shared" si="170"/>
        <v>9502.5</v>
      </c>
      <c r="BC238" s="276">
        <f>IF(BI238=1,IF(BC237=MiscData!$F$1,EOMONTH(BC237,-11),EOMONTH(BC237,1)),BC237)</f>
        <v>41851</v>
      </c>
      <c r="BD238" s="275" t="str">
        <f t="shared" si="177"/>
        <v>20140101LGCME552</v>
      </c>
      <c r="BE238" s="294" t="str">
        <f t="shared" si="178"/>
        <v>20140101GSS</v>
      </c>
      <c r="BF238">
        <f>MiscData!$X$5</f>
        <v>20140101</v>
      </c>
      <c r="BI238" s="265">
        <f>IF(BI237+1&gt;MiscData!$Z$42,1,BI237+1)</f>
        <v>7</v>
      </c>
      <c r="BJ238" s="265" t="str">
        <f>VLOOKUP(BI238,MiscData!$Z$5:$AB$46,2,FALSE)</f>
        <v>LGCME552</v>
      </c>
      <c r="BK238" s="265" t="str">
        <f>VLOOKUP(BI238,MiscData!$Z$5:$AB$46,3,FALSE)</f>
        <v>GSS</v>
      </c>
    </row>
    <row r="239" spans="1:63" hidden="1">
      <c r="A239" s="275">
        <v>224</v>
      </c>
      <c r="B239" s="276" t="str">
        <f t="shared" si="171"/>
        <v>Jul 2014</v>
      </c>
      <c r="C239" s="277" t="s">
        <v>892</v>
      </c>
      <c r="D239" s="277" t="str">
        <f t="shared" si="172"/>
        <v>LGCME557</v>
      </c>
      <c r="E239" s="278">
        <f t="shared" si="140"/>
        <v>7</v>
      </c>
      <c r="F239" s="279">
        <v>0</v>
      </c>
      <c r="G239" s="278">
        <f t="shared" si="141"/>
        <v>0</v>
      </c>
      <c r="H239" s="278">
        <f t="shared" si="142"/>
        <v>0</v>
      </c>
      <c r="I239" s="278">
        <f t="shared" si="143"/>
        <v>0</v>
      </c>
      <c r="J239" s="278">
        <f t="shared" si="144"/>
        <v>2853</v>
      </c>
      <c r="K239" s="280">
        <v>0</v>
      </c>
      <c r="L239" s="281">
        <f t="shared" si="145"/>
        <v>0</v>
      </c>
      <c r="M239" s="281">
        <f t="shared" si="146"/>
        <v>0</v>
      </c>
      <c r="N239" s="281">
        <f t="shared" si="147"/>
        <v>0</v>
      </c>
      <c r="O239" s="282">
        <v>0</v>
      </c>
      <c r="P239" s="282">
        <v>0</v>
      </c>
      <c r="Q239" s="282">
        <v>0</v>
      </c>
      <c r="R239" s="283">
        <f t="shared" si="148"/>
        <v>20</v>
      </c>
      <c r="S239" s="284">
        <f t="shared" si="183"/>
        <v>9.1340000000000005E-2</v>
      </c>
      <c r="T239" s="284">
        <f t="shared" si="149"/>
        <v>0</v>
      </c>
      <c r="U239" s="284">
        <f t="shared" si="150"/>
        <v>0</v>
      </c>
      <c r="V239" s="284">
        <f t="shared" si="151"/>
        <v>2.725E-2</v>
      </c>
      <c r="W239" s="283">
        <f t="shared" si="152"/>
        <v>0</v>
      </c>
      <c r="X239" s="283">
        <f t="shared" si="153"/>
        <v>0</v>
      </c>
      <c r="Y239" s="283">
        <f t="shared" si="154"/>
        <v>0</v>
      </c>
      <c r="Z239" s="285">
        <f t="shared" si="155"/>
        <v>140</v>
      </c>
      <c r="AA239" s="285">
        <f t="shared" si="156"/>
        <v>260.58999999999997</v>
      </c>
      <c r="AB239" s="285">
        <f t="shared" si="173"/>
        <v>0</v>
      </c>
      <c r="AC239" s="285">
        <f t="shared" si="174"/>
        <v>0</v>
      </c>
      <c r="AD239" s="285">
        <f t="shared" si="175"/>
        <v>0</v>
      </c>
      <c r="AE239" s="286">
        <v>0</v>
      </c>
      <c r="AF239" s="287">
        <f t="shared" si="157"/>
        <v>0</v>
      </c>
      <c r="AG239" s="288">
        <f t="shared" si="158"/>
        <v>0</v>
      </c>
      <c r="AH239" s="285">
        <f t="shared" si="180"/>
        <v>0</v>
      </c>
      <c r="AI239" s="286">
        <v>0</v>
      </c>
      <c r="AJ239" s="286">
        <v>0.01</v>
      </c>
      <c r="AK239" s="286">
        <v>0</v>
      </c>
      <c r="AL239" s="285">
        <f t="shared" si="160"/>
        <v>400.59999999999997</v>
      </c>
      <c r="AM239" s="285">
        <f t="shared" si="161"/>
        <v>400.59999999999997</v>
      </c>
      <c r="AN239" s="289">
        <f t="shared" si="176"/>
        <v>1</v>
      </c>
      <c r="AO239" s="290">
        <f t="shared" si="162"/>
        <v>3.94</v>
      </c>
      <c r="AP239" s="290">
        <f t="shared" si="163"/>
        <v>8.65</v>
      </c>
      <c r="AQ239" s="290">
        <f t="shared" si="164"/>
        <v>16.760000000000002</v>
      </c>
      <c r="AR239" s="290">
        <f t="shared" si="165"/>
        <v>0</v>
      </c>
      <c r="AS239" s="290">
        <f t="shared" si="166"/>
        <v>0</v>
      </c>
      <c r="AT239" s="290">
        <f t="shared" si="167"/>
        <v>429.95</v>
      </c>
      <c r="AU239" s="291">
        <f t="shared" si="168"/>
        <v>429.94999999999993</v>
      </c>
      <c r="AV239" s="291">
        <f t="shared" ref="AV239:AV251" si="184">AT239-AU239</f>
        <v>0</v>
      </c>
      <c r="AW239" s="292">
        <f t="shared" si="169"/>
        <v>77.739999999999995</v>
      </c>
      <c r="AX239" s="293">
        <f t="shared" si="170"/>
        <v>182.85999999999996</v>
      </c>
      <c r="BC239" s="276">
        <f>IF(BI239=1,IF(BC238=MiscData!$F$1,EOMONTH(BC238,-11),EOMONTH(BC238,1)),BC238)</f>
        <v>41851</v>
      </c>
      <c r="BD239" s="275" t="str">
        <f t="shared" si="177"/>
        <v>20140101LGCME557</v>
      </c>
      <c r="BE239" s="294" t="str">
        <f t="shared" si="178"/>
        <v>20140101GSS</v>
      </c>
      <c r="BF239">
        <f>MiscData!$X$5</f>
        <v>20140101</v>
      </c>
      <c r="BI239" s="265">
        <f>IF(BI238+1&gt;MiscData!$Z$42,1,BI238+1)</f>
        <v>8</v>
      </c>
      <c r="BJ239" s="265" t="str">
        <f>VLOOKUP(BI239,MiscData!$Z$5:$AB$46,2,FALSE)</f>
        <v>LGCME557</v>
      </c>
      <c r="BK239" s="265" t="str">
        <f>VLOOKUP(BI239,MiscData!$Z$5:$AB$46,3,FALSE)</f>
        <v>GSS</v>
      </c>
    </row>
    <row r="240" spans="1:63" hidden="1">
      <c r="A240" s="275">
        <v>225</v>
      </c>
      <c r="B240" s="276" t="str">
        <f t="shared" si="171"/>
        <v>Jul 2014</v>
      </c>
      <c r="C240" s="277" t="str">
        <f t="shared" si="179"/>
        <v>PSS</v>
      </c>
      <c r="D240" s="277" t="str">
        <f t="shared" si="172"/>
        <v>LGCME561</v>
      </c>
      <c r="E240" s="278">
        <f t="shared" si="140"/>
        <v>2591</v>
      </c>
      <c r="F240" s="279">
        <v>37</v>
      </c>
      <c r="G240" s="278">
        <f t="shared" si="141"/>
        <v>0</v>
      </c>
      <c r="H240" s="278">
        <f t="shared" si="142"/>
        <v>0</v>
      </c>
      <c r="I240" s="278">
        <f t="shared" si="143"/>
        <v>0</v>
      </c>
      <c r="J240" s="278">
        <f t="shared" si="144"/>
        <v>163971588</v>
      </c>
      <c r="K240" s="280">
        <v>0</v>
      </c>
      <c r="L240" s="281">
        <f t="shared" si="145"/>
        <v>0</v>
      </c>
      <c r="M240" s="281">
        <f t="shared" si="146"/>
        <v>0</v>
      </c>
      <c r="N240" s="281">
        <f t="shared" si="147"/>
        <v>394761.9</v>
      </c>
      <c r="O240" s="282">
        <v>0</v>
      </c>
      <c r="P240" s="282">
        <v>0</v>
      </c>
      <c r="Q240" s="282">
        <v>9921.0499999999993</v>
      </c>
      <c r="R240" s="283">
        <f t="shared" si="148"/>
        <v>90</v>
      </c>
      <c r="S240" s="284">
        <f t="shared" si="183"/>
        <v>4.0599999999999997E-2</v>
      </c>
      <c r="T240" s="284">
        <f t="shared" si="149"/>
        <v>0</v>
      </c>
      <c r="U240" s="284">
        <f t="shared" si="150"/>
        <v>0</v>
      </c>
      <c r="V240" s="284">
        <f t="shared" si="151"/>
        <v>2.725E-2</v>
      </c>
      <c r="W240" s="283">
        <f t="shared" si="152"/>
        <v>0</v>
      </c>
      <c r="X240" s="283">
        <f t="shared" si="153"/>
        <v>14.010000000000002</v>
      </c>
      <c r="Y240" s="283">
        <f t="shared" si="154"/>
        <v>16.399999999999999</v>
      </c>
      <c r="Z240" s="285">
        <f t="shared" si="155"/>
        <v>236520</v>
      </c>
      <c r="AA240" s="285">
        <f t="shared" si="156"/>
        <v>6657246.4699999997</v>
      </c>
      <c r="AB240" s="285">
        <f t="shared" si="173"/>
        <v>0</v>
      </c>
      <c r="AC240" s="285">
        <f t="shared" si="174"/>
        <v>0</v>
      </c>
      <c r="AD240" s="285">
        <f t="shared" si="175"/>
        <v>6474095.1600000001</v>
      </c>
      <c r="AE240" s="286">
        <v>0</v>
      </c>
      <c r="AF240" s="287">
        <f t="shared" si="157"/>
        <v>14688.07</v>
      </c>
      <c r="AG240" s="288">
        <f t="shared" si="158"/>
        <v>162705.22</v>
      </c>
      <c r="AH240" s="285">
        <f t="shared" si="180"/>
        <v>6651488.4500000002</v>
      </c>
      <c r="AI240" s="286">
        <v>-1544.11</v>
      </c>
      <c r="AJ240" s="286">
        <v>0.05</v>
      </c>
      <c r="AK240" s="286">
        <v>-24471.35</v>
      </c>
      <c r="AL240" s="285">
        <f t="shared" si="160"/>
        <v>13519239.510000002</v>
      </c>
      <c r="AM240" s="285">
        <f t="shared" si="161"/>
        <v>13519239.51</v>
      </c>
      <c r="AN240" s="289">
        <f t="shared" si="176"/>
        <v>1</v>
      </c>
      <c r="AO240" s="290">
        <f t="shared" si="162"/>
        <v>237520.02</v>
      </c>
      <c r="AP240" s="290">
        <f t="shared" si="163"/>
        <v>227920.55</v>
      </c>
      <c r="AQ240" s="290">
        <f t="shared" si="164"/>
        <v>468506.01</v>
      </c>
      <c r="AR240" s="290">
        <f t="shared" si="165"/>
        <v>0</v>
      </c>
      <c r="AS240" s="290">
        <f t="shared" si="166"/>
        <v>0</v>
      </c>
      <c r="AT240" s="290">
        <f t="shared" si="167"/>
        <v>14453186.09</v>
      </c>
      <c r="AU240" s="291">
        <f t="shared" si="168"/>
        <v>14453186.090000002</v>
      </c>
      <c r="AV240" s="291">
        <f t="shared" si="184"/>
        <v>0</v>
      </c>
      <c r="AW240" s="292">
        <f t="shared" si="169"/>
        <v>4468225.7699999996</v>
      </c>
      <c r="AX240" s="293">
        <f t="shared" si="170"/>
        <v>2189020.75</v>
      </c>
      <c r="BC240" s="276">
        <f>IF(BI240=1,IF(BC239=MiscData!$F$1,EOMONTH(BC239,-11),EOMONTH(BC239,1)),BC239)</f>
        <v>41851</v>
      </c>
      <c r="BD240" s="275" t="str">
        <f t="shared" si="177"/>
        <v>20140101LGCME561</v>
      </c>
      <c r="BE240" s="294" t="str">
        <f t="shared" si="178"/>
        <v>20140101PSS</v>
      </c>
      <c r="BF240">
        <f>MiscData!$X$5</f>
        <v>20140101</v>
      </c>
      <c r="BI240" s="265">
        <f>IF(BI239+1&gt;MiscData!$Z$42,1,BI239+1)</f>
        <v>9</v>
      </c>
      <c r="BJ240" s="265" t="str">
        <f>VLOOKUP(BI240,MiscData!$Z$5:$AB$46,2,FALSE)</f>
        <v>LGCME561</v>
      </c>
      <c r="BK240" s="265" t="str">
        <f>VLOOKUP(BI240,MiscData!$Z$5:$AB$46,3,FALSE)</f>
        <v>PSS</v>
      </c>
    </row>
    <row r="241" spans="1:63" hidden="1">
      <c r="A241" s="275">
        <v>226</v>
      </c>
      <c r="B241" s="276" t="str">
        <f t="shared" si="171"/>
        <v>Jul 2014</v>
      </c>
      <c r="C241" s="277" t="str">
        <f t="shared" si="179"/>
        <v>PSP</v>
      </c>
      <c r="D241" s="277" t="str">
        <f t="shared" si="172"/>
        <v>LGCME563</v>
      </c>
      <c r="E241" s="278">
        <f t="shared" si="140"/>
        <v>56</v>
      </c>
      <c r="F241" s="279">
        <v>1</v>
      </c>
      <c r="G241" s="278">
        <f t="shared" si="141"/>
        <v>0</v>
      </c>
      <c r="H241" s="278">
        <f t="shared" si="142"/>
        <v>0</v>
      </c>
      <c r="I241" s="278">
        <f t="shared" si="143"/>
        <v>0</v>
      </c>
      <c r="J241" s="278">
        <f t="shared" si="144"/>
        <v>14857240</v>
      </c>
      <c r="K241" s="280">
        <v>0</v>
      </c>
      <c r="L241" s="281">
        <f t="shared" si="145"/>
        <v>0</v>
      </c>
      <c r="M241" s="281">
        <f t="shared" si="146"/>
        <v>0</v>
      </c>
      <c r="N241" s="281">
        <f t="shared" si="147"/>
        <v>32302.7</v>
      </c>
      <c r="O241" s="282">
        <v>0</v>
      </c>
      <c r="P241" s="282">
        <v>0</v>
      </c>
      <c r="Q241" s="282">
        <v>5916.1</v>
      </c>
      <c r="R241" s="283">
        <f t="shared" si="148"/>
        <v>170</v>
      </c>
      <c r="S241" s="284">
        <f t="shared" si="183"/>
        <v>3.9260000000000003E-2</v>
      </c>
      <c r="T241" s="284">
        <f t="shared" si="149"/>
        <v>0</v>
      </c>
      <c r="U241" s="284">
        <f t="shared" si="150"/>
        <v>0</v>
      </c>
      <c r="V241" s="284">
        <f t="shared" si="151"/>
        <v>2.725E-2</v>
      </c>
      <c r="W241" s="283">
        <f t="shared" si="152"/>
        <v>0</v>
      </c>
      <c r="X241" s="283">
        <f t="shared" si="153"/>
        <v>11.660000000000002</v>
      </c>
      <c r="Y241" s="283">
        <f t="shared" si="154"/>
        <v>13.950000000000001</v>
      </c>
      <c r="Z241" s="285">
        <f t="shared" si="155"/>
        <v>9690</v>
      </c>
      <c r="AA241" s="285">
        <f t="shared" si="156"/>
        <v>583295.24</v>
      </c>
      <c r="AB241" s="285">
        <f t="shared" si="173"/>
        <v>0</v>
      </c>
      <c r="AC241" s="285">
        <f t="shared" si="174"/>
        <v>0</v>
      </c>
      <c r="AD241" s="285">
        <f t="shared" si="175"/>
        <v>450622.67</v>
      </c>
      <c r="AE241" s="286">
        <v>0</v>
      </c>
      <c r="AF241" s="287">
        <f t="shared" si="157"/>
        <v>5866.01</v>
      </c>
      <c r="AG241" s="288">
        <f t="shared" si="158"/>
        <v>82529.600000000006</v>
      </c>
      <c r="AH241" s="285">
        <f t="shared" si="180"/>
        <v>539018.28</v>
      </c>
      <c r="AI241" s="286">
        <v>-170</v>
      </c>
      <c r="AJ241" s="286">
        <v>-0.02</v>
      </c>
      <c r="AK241" s="286">
        <v>0.09</v>
      </c>
      <c r="AL241" s="285">
        <f t="shared" si="160"/>
        <v>1131833.5900000001</v>
      </c>
      <c r="AM241" s="285">
        <f t="shared" si="161"/>
        <v>1131833.5900000001</v>
      </c>
      <c r="AN241" s="289">
        <f t="shared" si="176"/>
        <v>1</v>
      </c>
      <c r="AO241" s="290">
        <f t="shared" si="162"/>
        <v>22672.23</v>
      </c>
      <c r="AP241" s="290">
        <f t="shared" si="163"/>
        <v>20651.59</v>
      </c>
      <c r="AQ241" s="290">
        <f t="shared" si="164"/>
        <v>37660.46</v>
      </c>
      <c r="AR241" s="290">
        <f t="shared" si="165"/>
        <v>0</v>
      </c>
      <c r="AS241" s="290">
        <f t="shared" si="166"/>
        <v>0</v>
      </c>
      <c r="AT241" s="290">
        <f t="shared" si="167"/>
        <v>1212817.8700000001</v>
      </c>
      <c r="AU241" s="291">
        <f t="shared" si="168"/>
        <v>1212817.8700000001</v>
      </c>
      <c r="AV241" s="291">
        <f t="shared" si="184"/>
        <v>0</v>
      </c>
      <c r="AW241" s="292">
        <f t="shared" si="169"/>
        <v>404859.79</v>
      </c>
      <c r="AX241" s="293">
        <f t="shared" si="170"/>
        <v>178435.43</v>
      </c>
      <c r="BC241" s="276">
        <f>IF(BI241=1,IF(BC240=MiscData!$F$1,EOMONTH(BC240,-11),EOMONTH(BC240,1)),BC240)</f>
        <v>41851</v>
      </c>
      <c r="BD241" s="275" t="str">
        <f t="shared" si="177"/>
        <v>20140101LGCME563</v>
      </c>
      <c r="BE241" s="294" t="str">
        <f t="shared" si="178"/>
        <v>20140101PSP</v>
      </c>
      <c r="BF241">
        <f>MiscData!$X$5</f>
        <v>20140101</v>
      </c>
      <c r="BI241" s="265">
        <f>IF(BI240+1&gt;MiscData!$Z$42,1,BI240+1)</f>
        <v>10</v>
      </c>
      <c r="BJ241" s="265" t="str">
        <f>VLOOKUP(BI241,MiscData!$Z$5:$AB$46,2,FALSE)</f>
        <v>LGCME563</v>
      </c>
      <c r="BK241" s="265" t="str">
        <f>VLOOKUP(BI241,MiscData!$Z$5:$AB$46,3,FALSE)</f>
        <v>PSP</v>
      </c>
    </row>
    <row r="242" spans="1:63" hidden="1">
      <c r="A242" s="275">
        <v>227</v>
      </c>
      <c r="B242" s="276" t="str">
        <f t="shared" si="171"/>
        <v>Jul 2014</v>
      </c>
      <c r="C242" s="277" t="str">
        <f t="shared" si="179"/>
        <v>PSS</v>
      </c>
      <c r="D242" s="277" t="str">
        <f t="shared" si="172"/>
        <v>LGCME567</v>
      </c>
      <c r="E242" s="278">
        <f t="shared" si="140"/>
        <v>1</v>
      </c>
      <c r="F242" s="279">
        <v>0</v>
      </c>
      <c r="G242" s="278">
        <f t="shared" si="141"/>
        <v>0</v>
      </c>
      <c r="H242" s="278">
        <f t="shared" si="142"/>
        <v>0</v>
      </c>
      <c r="I242" s="278">
        <f t="shared" si="143"/>
        <v>0</v>
      </c>
      <c r="J242" s="278">
        <f t="shared" si="144"/>
        <v>118800</v>
      </c>
      <c r="K242" s="280">
        <v>0</v>
      </c>
      <c r="L242" s="281">
        <f t="shared" si="145"/>
        <v>0</v>
      </c>
      <c r="M242" s="281">
        <f t="shared" si="146"/>
        <v>0</v>
      </c>
      <c r="N242" s="281">
        <f t="shared" si="147"/>
        <v>434.2</v>
      </c>
      <c r="O242" s="282">
        <v>0</v>
      </c>
      <c r="P242" s="282">
        <v>0</v>
      </c>
      <c r="Q242" s="282">
        <v>0</v>
      </c>
      <c r="R242" s="283">
        <f t="shared" si="148"/>
        <v>90</v>
      </c>
      <c r="S242" s="284">
        <f t="shared" si="183"/>
        <v>4.0599999999999997E-2</v>
      </c>
      <c r="T242" s="284">
        <f t="shared" si="149"/>
        <v>0</v>
      </c>
      <c r="U242" s="284">
        <f t="shared" si="150"/>
        <v>0</v>
      </c>
      <c r="V242" s="284">
        <f t="shared" si="151"/>
        <v>2.725E-2</v>
      </c>
      <c r="W242" s="283">
        <f t="shared" si="152"/>
        <v>0</v>
      </c>
      <c r="X242" s="283">
        <f t="shared" si="153"/>
        <v>14.010000000000002</v>
      </c>
      <c r="Y242" s="283">
        <f t="shared" si="154"/>
        <v>16.399999999999999</v>
      </c>
      <c r="Z242" s="285">
        <f t="shared" si="155"/>
        <v>90</v>
      </c>
      <c r="AA242" s="285">
        <f t="shared" si="156"/>
        <v>4823.28</v>
      </c>
      <c r="AB242" s="285">
        <f t="shared" si="173"/>
        <v>0</v>
      </c>
      <c r="AC242" s="285">
        <f t="shared" si="174"/>
        <v>0</v>
      </c>
      <c r="AD242" s="285">
        <f t="shared" si="175"/>
        <v>7120.88</v>
      </c>
      <c r="AE242" s="286">
        <v>0</v>
      </c>
      <c r="AF242" s="287">
        <f t="shared" si="157"/>
        <v>0</v>
      </c>
      <c r="AG242" s="288">
        <f t="shared" si="158"/>
        <v>0</v>
      </c>
      <c r="AH242" s="285">
        <f t="shared" si="180"/>
        <v>7120.88</v>
      </c>
      <c r="AI242" s="286">
        <v>0</v>
      </c>
      <c r="AJ242" s="286">
        <v>0</v>
      </c>
      <c r="AK242" s="286">
        <v>0</v>
      </c>
      <c r="AL242" s="285">
        <f t="shared" si="160"/>
        <v>12034.16</v>
      </c>
      <c r="AM242" s="285">
        <f t="shared" si="161"/>
        <v>12034.16</v>
      </c>
      <c r="AN242" s="289">
        <f t="shared" si="176"/>
        <v>1</v>
      </c>
      <c r="AO242" s="290">
        <f t="shared" si="162"/>
        <v>376.6</v>
      </c>
      <c r="AP242" s="290">
        <f t="shared" si="163"/>
        <v>165.13</v>
      </c>
      <c r="AQ242" s="290">
        <f t="shared" si="164"/>
        <v>429.28</v>
      </c>
      <c r="AR242" s="290">
        <f t="shared" si="165"/>
        <v>0</v>
      </c>
      <c r="AS242" s="290">
        <f t="shared" si="166"/>
        <v>0</v>
      </c>
      <c r="AT242" s="290">
        <f t="shared" si="167"/>
        <v>13005.17</v>
      </c>
      <c r="AU242" s="291">
        <f t="shared" si="168"/>
        <v>13005.17</v>
      </c>
      <c r="AV242" s="291">
        <f t="shared" si="184"/>
        <v>0</v>
      </c>
      <c r="AW242" s="292">
        <f t="shared" si="169"/>
        <v>3237.3</v>
      </c>
      <c r="AX242" s="293">
        <f t="shared" si="170"/>
        <v>1585.9799999999996</v>
      </c>
      <c r="BC242" s="276">
        <f>IF(BI242=1,IF(BC241=MiscData!$F$1,EOMONTH(BC241,-11),EOMONTH(BC241,1)),BC241)</f>
        <v>41851</v>
      </c>
      <c r="BD242" s="275" t="str">
        <f t="shared" si="177"/>
        <v>20140101LGCME567</v>
      </c>
      <c r="BE242" s="294" t="str">
        <f t="shared" si="178"/>
        <v>20140101PSS</v>
      </c>
      <c r="BF242">
        <f>MiscData!$X$5</f>
        <v>20140101</v>
      </c>
      <c r="BI242" s="265">
        <f>IF(BI241+1&gt;MiscData!$Z$42,1,BI241+1)</f>
        <v>11</v>
      </c>
      <c r="BJ242" s="265" t="str">
        <f>VLOOKUP(BI242,MiscData!$Z$5:$AB$46,2,FALSE)</f>
        <v>LGCME567</v>
      </c>
      <c r="BK242" s="265" t="str">
        <f>VLOOKUP(BI242,MiscData!$Z$5:$AB$46,3,FALSE)</f>
        <v>PSS</v>
      </c>
    </row>
    <row r="243" spans="1:63" hidden="1">
      <c r="A243" s="275">
        <v>228</v>
      </c>
      <c r="B243" s="276" t="str">
        <f t="shared" si="171"/>
        <v>Jul 2014</v>
      </c>
      <c r="C243" s="277" t="str">
        <f t="shared" si="179"/>
        <v>TODS</v>
      </c>
      <c r="D243" s="277" t="str">
        <f t="shared" si="172"/>
        <v>LGCME591</v>
      </c>
      <c r="E243" s="278">
        <f t="shared" si="140"/>
        <v>227</v>
      </c>
      <c r="F243" s="279">
        <v>0</v>
      </c>
      <c r="G243" s="278">
        <f t="shared" si="141"/>
        <v>0</v>
      </c>
      <c r="H243" s="278">
        <f t="shared" si="142"/>
        <v>0</v>
      </c>
      <c r="I243" s="278">
        <f t="shared" si="143"/>
        <v>0</v>
      </c>
      <c r="J243" s="278">
        <f t="shared" si="144"/>
        <v>66667713</v>
      </c>
      <c r="K243" s="280">
        <v>0</v>
      </c>
      <c r="L243" s="281">
        <f t="shared" si="145"/>
        <v>137072.5</v>
      </c>
      <c r="M243" s="281">
        <f t="shared" si="146"/>
        <v>135895.4</v>
      </c>
      <c r="N243" s="281">
        <f t="shared" si="147"/>
        <v>134404.70000000001</v>
      </c>
      <c r="O243" s="282">
        <v>6793.6749999999593</v>
      </c>
      <c r="P243" s="282">
        <v>742.69999999998254</v>
      </c>
      <c r="Q243" s="282">
        <v>716.89999999999418</v>
      </c>
      <c r="R243" s="283">
        <f t="shared" si="148"/>
        <v>200</v>
      </c>
      <c r="S243" s="284">
        <f t="shared" si="183"/>
        <v>3.9899999999999998E-2</v>
      </c>
      <c r="T243" s="284">
        <f t="shared" si="149"/>
        <v>0</v>
      </c>
      <c r="U243" s="284">
        <f t="shared" si="150"/>
        <v>0</v>
      </c>
      <c r="V243" s="284">
        <f t="shared" si="151"/>
        <v>2.725E-2</v>
      </c>
      <c r="W243" s="283">
        <f t="shared" si="152"/>
        <v>4</v>
      </c>
      <c r="X243" s="283">
        <f t="shared" si="153"/>
        <v>4.5100000000000007</v>
      </c>
      <c r="Y243" s="283">
        <f t="shared" si="154"/>
        <v>6.11</v>
      </c>
      <c r="Z243" s="285">
        <f t="shared" si="155"/>
        <v>45400</v>
      </c>
      <c r="AA243" s="285">
        <f t="shared" si="156"/>
        <v>2660041.75</v>
      </c>
      <c r="AB243" s="285">
        <f t="shared" si="173"/>
        <v>548290</v>
      </c>
      <c r="AC243" s="285">
        <f t="shared" si="174"/>
        <v>612888.25</v>
      </c>
      <c r="AD243" s="285">
        <f t="shared" si="175"/>
        <v>821212.72</v>
      </c>
      <c r="AE243" s="286">
        <v>1755</v>
      </c>
      <c r="AF243" s="287">
        <f t="shared" si="157"/>
        <v>33348.31</v>
      </c>
      <c r="AG243" s="288">
        <f t="shared" si="158"/>
        <v>34904.54</v>
      </c>
      <c r="AH243" s="285">
        <f t="shared" si="180"/>
        <v>2052398.82</v>
      </c>
      <c r="AI243" s="286">
        <v>-750</v>
      </c>
      <c r="AJ243" s="286">
        <v>-0.02</v>
      </c>
      <c r="AK243" s="286">
        <v>-3068.33</v>
      </c>
      <c r="AL243" s="285">
        <f t="shared" si="160"/>
        <v>4754022.22</v>
      </c>
      <c r="AM243" s="285">
        <f t="shared" si="161"/>
        <v>4754022.2200000007</v>
      </c>
      <c r="AN243" s="289">
        <f t="shared" si="176"/>
        <v>1</v>
      </c>
      <c r="AO243" s="290">
        <f t="shared" si="162"/>
        <v>97486.78</v>
      </c>
      <c r="AP243" s="290">
        <f t="shared" si="163"/>
        <v>50667.47</v>
      </c>
      <c r="AQ243" s="290">
        <f t="shared" si="164"/>
        <v>150761.81</v>
      </c>
      <c r="AR243" s="290">
        <f t="shared" si="165"/>
        <v>0</v>
      </c>
      <c r="AS243" s="290">
        <f t="shared" si="166"/>
        <v>0</v>
      </c>
      <c r="AT243" s="290">
        <f t="shared" si="167"/>
        <v>5052938.28</v>
      </c>
      <c r="AU243" s="291">
        <f t="shared" si="168"/>
        <v>5052938.2799999993</v>
      </c>
      <c r="AV243" s="291">
        <f t="shared" si="184"/>
        <v>0</v>
      </c>
      <c r="AW243" s="292">
        <f t="shared" si="169"/>
        <v>1816695.18</v>
      </c>
      <c r="AX243" s="293">
        <f t="shared" si="170"/>
        <v>843346.55</v>
      </c>
      <c r="BC243" s="276">
        <f>IF(BI243=1,IF(BC242=MiscData!$F$1,EOMONTH(BC242,-11),EOMONTH(BC242,1)),BC242)</f>
        <v>41851</v>
      </c>
      <c r="BD243" s="275" t="str">
        <f t="shared" si="177"/>
        <v>20140101LGCME591</v>
      </c>
      <c r="BE243" s="294" t="str">
        <f t="shared" si="178"/>
        <v>20140101TODS</v>
      </c>
      <c r="BF243">
        <f>MiscData!$X$5</f>
        <v>20140101</v>
      </c>
      <c r="BI243" s="265">
        <f>IF(BI242+1&gt;MiscData!$Z$42,1,BI242+1)</f>
        <v>12</v>
      </c>
      <c r="BJ243" s="265" t="str">
        <f>VLOOKUP(BI243,MiscData!$Z$5:$AB$46,2,FALSE)</f>
        <v>LGCME591</v>
      </c>
      <c r="BK243" s="265" t="str">
        <f>VLOOKUP(BI243,MiscData!$Z$5:$AB$46,3,FALSE)</f>
        <v>TODS</v>
      </c>
    </row>
    <row r="244" spans="1:63" hidden="1">
      <c r="A244" s="275">
        <v>229</v>
      </c>
      <c r="B244" s="276" t="str">
        <f t="shared" si="171"/>
        <v>Jul 2014</v>
      </c>
      <c r="C244" s="277" t="str">
        <f t="shared" si="179"/>
        <v>CTODP</v>
      </c>
      <c r="D244" s="277" t="str">
        <f t="shared" si="172"/>
        <v>LGCME593</v>
      </c>
      <c r="E244" s="278">
        <f t="shared" si="140"/>
        <v>36</v>
      </c>
      <c r="F244" s="279">
        <v>1</v>
      </c>
      <c r="G244" s="278">
        <f t="shared" si="141"/>
        <v>0</v>
      </c>
      <c r="H244" s="278">
        <f t="shared" si="142"/>
        <v>0</v>
      </c>
      <c r="I244" s="278">
        <f t="shared" si="143"/>
        <v>0</v>
      </c>
      <c r="J244" s="278">
        <f t="shared" si="144"/>
        <v>36172200</v>
      </c>
      <c r="K244" s="280">
        <v>0</v>
      </c>
      <c r="L244" s="281">
        <f t="shared" si="145"/>
        <v>78171.8</v>
      </c>
      <c r="M244" s="281">
        <f t="shared" si="146"/>
        <v>75495.399999999994</v>
      </c>
      <c r="N244" s="281">
        <f t="shared" si="147"/>
        <v>74607.399999999994</v>
      </c>
      <c r="O244" s="282">
        <v>2336</v>
      </c>
      <c r="P244" s="282">
        <v>0</v>
      </c>
      <c r="Q244" s="282">
        <v>0</v>
      </c>
      <c r="R244" s="283">
        <f t="shared" si="148"/>
        <v>300</v>
      </c>
      <c r="S244" s="284">
        <f t="shared" si="183"/>
        <v>3.8100000000000002E-2</v>
      </c>
      <c r="T244" s="284">
        <f t="shared" si="149"/>
        <v>0</v>
      </c>
      <c r="U244" s="284">
        <f t="shared" si="150"/>
        <v>0</v>
      </c>
      <c r="V244" s="284">
        <f t="shared" si="151"/>
        <v>2.725E-2</v>
      </c>
      <c r="W244" s="283">
        <f t="shared" si="152"/>
        <v>3.9800000000000004</v>
      </c>
      <c r="X244" s="283">
        <f t="shared" si="153"/>
        <v>4.13</v>
      </c>
      <c r="Y244" s="283">
        <f t="shared" si="154"/>
        <v>5.83</v>
      </c>
      <c r="Z244" s="285">
        <f t="shared" si="155"/>
        <v>11100</v>
      </c>
      <c r="AA244" s="285">
        <f t="shared" si="156"/>
        <v>1378160.82</v>
      </c>
      <c r="AB244" s="285">
        <f t="shared" si="173"/>
        <v>311123.76</v>
      </c>
      <c r="AC244" s="285">
        <f t="shared" si="174"/>
        <v>311796</v>
      </c>
      <c r="AD244" s="285">
        <f t="shared" si="175"/>
        <v>434961.14</v>
      </c>
      <c r="AE244" s="286">
        <v>0</v>
      </c>
      <c r="AF244" s="287">
        <f t="shared" si="157"/>
        <v>0</v>
      </c>
      <c r="AG244" s="288">
        <f t="shared" si="158"/>
        <v>9297.2800000000007</v>
      </c>
      <c r="AH244" s="285">
        <f t="shared" si="180"/>
        <v>1067178.18</v>
      </c>
      <c r="AI244" s="286">
        <v>0</v>
      </c>
      <c r="AJ244" s="286">
        <v>0</v>
      </c>
      <c r="AK244" s="286">
        <v>7.0000000000000007E-2</v>
      </c>
      <c r="AL244" s="285">
        <f t="shared" si="160"/>
        <v>2456439.0699999998</v>
      </c>
      <c r="AM244" s="285">
        <f t="shared" si="161"/>
        <v>2456439.0700000003</v>
      </c>
      <c r="AN244" s="289">
        <f t="shared" si="176"/>
        <v>1</v>
      </c>
      <c r="AO244" s="290">
        <f t="shared" si="162"/>
        <v>67460.36</v>
      </c>
      <c r="AP244" s="290">
        <f t="shared" si="163"/>
        <v>27490.84</v>
      </c>
      <c r="AQ244" s="290">
        <f t="shared" si="164"/>
        <v>74771.72</v>
      </c>
      <c r="AR244" s="290">
        <f t="shared" si="165"/>
        <v>0</v>
      </c>
      <c r="AS244" s="290">
        <f t="shared" si="166"/>
        <v>0</v>
      </c>
      <c r="AT244" s="290">
        <f t="shared" si="167"/>
        <v>2626161.9900000002</v>
      </c>
      <c r="AU244" s="291">
        <f t="shared" si="168"/>
        <v>2626161.9899999998</v>
      </c>
      <c r="AV244" s="291">
        <f t="shared" si="184"/>
        <v>0</v>
      </c>
      <c r="AW244" s="292">
        <f t="shared" si="169"/>
        <v>985692.45</v>
      </c>
      <c r="AX244" s="293">
        <f t="shared" si="170"/>
        <v>392468.37000000011</v>
      </c>
      <c r="BC244" s="276">
        <f>IF(BI244=1,IF(BC243=MiscData!$F$1,EOMONTH(BC243,-11),EOMONTH(BC243,1)),BC243)</f>
        <v>41851</v>
      </c>
      <c r="BD244" s="275" t="str">
        <f t="shared" si="177"/>
        <v>20140101LGCME593</v>
      </c>
      <c r="BE244" s="294" t="str">
        <f t="shared" si="178"/>
        <v>20140101CTODP</v>
      </c>
      <c r="BF244">
        <f>MiscData!$X$5</f>
        <v>20140101</v>
      </c>
      <c r="BI244" s="265">
        <f>IF(BI243+1&gt;MiscData!$Z$42,1,BI243+1)</f>
        <v>13</v>
      </c>
      <c r="BJ244" s="265" t="str">
        <f>VLOOKUP(BI244,MiscData!$Z$5:$AB$46,2,FALSE)</f>
        <v>LGCME593</v>
      </c>
      <c r="BK244" s="265" t="str">
        <f>VLOOKUP(BI244,MiscData!$Z$5:$AB$46,3,FALSE)</f>
        <v>CTODP</v>
      </c>
    </row>
    <row r="245" spans="1:63" hidden="1">
      <c r="A245" s="275">
        <v>230</v>
      </c>
      <c r="B245" s="276" t="str">
        <f t="shared" si="171"/>
        <v>Jul 2014</v>
      </c>
      <c r="C245" s="277" t="str">
        <f t="shared" si="179"/>
        <v>GS3</v>
      </c>
      <c r="D245" s="277" t="str">
        <f t="shared" si="172"/>
        <v>LGCME650</v>
      </c>
      <c r="E245" s="278">
        <f t="shared" si="140"/>
        <v>0</v>
      </c>
      <c r="F245" s="279">
        <v>0</v>
      </c>
      <c r="G245" s="278">
        <f t="shared" si="141"/>
        <v>0</v>
      </c>
      <c r="H245" s="278">
        <f t="shared" si="142"/>
        <v>0</v>
      </c>
      <c r="I245" s="278">
        <f t="shared" si="143"/>
        <v>0</v>
      </c>
      <c r="J245" s="278">
        <f t="shared" si="144"/>
        <v>0</v>
      </c>
      <c r="K245" s="280">
        <v>0</v>
      </c>
      <c r="L245" s="281">
        <f t="shared" si="145"/>
        <v>0</v>
      </c>
      <c r="M245" s="281">
        <f t="shared" si="146"/>
        <v>0</v>
      </c>
      <c r="N245" s="281">
        <f t="shared" si="147"/>
        <v>0</v>
      </c>
      <c r="O245" s="282">
        <v>0</v>
      </c>
      <c r="P245" s="282">
        <v>0</v>
      </c>
      <c r="Q245" s="282">
        <v>0</v>
      </c>
      <c r="R245" s="283">
        <f t="shared" si="148"/>
        <v>35</v>
      </c>
      <c r="S245" s="284">
        <f t="shared" si="183"/>
        <v>9.1340000000000005E-2</v>
      </c>
      <c r="T245" s="284">
        <f t="shared" si="149"/>
        <v>0</v>
      </c>
      <c r="U245" s="284">
        <f t="shared" si="150"/>
        <v>0</v>
      </c>
      <c r="V245" s="284">
        <f t="shared" si="151"/>
        <v>2.725E-2</v>
      </c>
      <c r="W245" s="283">
        <f t="shared" si="152"/>
        <v>0</v>
      </c>
      <c r="X245" s="283">
        <f t="shared" si="153"/>
        <v>0</v>
      </c>
      <c r="Y245" s="283">
        <f t="shared" si="154"/>
        <v>0</v>
      </c>
      <c r="Z245" s="285">
        <f t="shared" si="155"/>
        <v>0</v>
      </c>
      <c r="AA245" s="285">
        <f t="shared" si="156"/>
        <v>0</v>
      </c>
      <c r="AB245" s="285">
        <f t="shared" si="173"/>
        <v>0</v>
      </c>
      <c r="AC245" s="285">
        <f t="shared" si="174"/>
        <v>0</v>
      </c>
      <c r="AD245" s="285">
        <f t="shared" si="175"/>
        <v>0</v>
      </c>
      <c r="AE245" s="286">
        <v>0</v>
      </c>
      <c r="AF245" s="287">
        <f t="shared" si="157"/>
        <v>0</v>
      </c>
      <c r="AG245" s="288">
        <f t="shared" si="158"/>
        <v>0</v>
      </c>
      <c r="AH245" s="285">
        <f t="shared" si="180"/>
        <v>0</v>
      </c>
      <c r="AI245" s="286">
        <v>0</v>
      </c>
      <c r="AJ245" s="286">
        <v>0</v>
      </c>
      <c r="AK245" s="286">
        <v>0</v>
      </c>
      <c r="AL245" s="285">
        <f t="shared" si="160"/>
        <v>0</v>
      </c>
      <c r="AM245" s="285">
        <f t="shared" si="161"/>
        <v>0</v>
      </c>
      <c r="AN245" s="289">
        <f t="shared" si="176"/>
        <v>1</v>
      </c>
      <c r="AO245" s="290">
        <f t="shared" si="162"/>
        <v>0</v>
      </c>
      <c r="AP245" s="290">
        <f t="shared" si="163"/>
        <v>0</v>
      </c>
      <c r="AQ245" s="290">
        <f t="shared" si="164"/>
        <v>0</v>
      </c>
      <c r="AR245" s="290">
        <f t="shared" si="165"/>
        <v>0</v>
      </c>
      <c r="AS245" s="290">
        <f t="shared" si="166"/>
        <v>0</v>
      </c>
      <c r="AT245" s="290">
        <f t="shared" si="167"/>
        <v>0</v>
      </c>
      <c r="AU245" s="291">
        <f t="shared" si="168"/>
        <v>0</v>
      </c>
      <c r="AV245" s="291">
        <f t="shared" si="184"/>
        <v>0</v>
      </c>
      <c r="AW245" s="292">
        <f t="shared" si="169"/>
        <v>0</v>
      </c>
      <c r="AX245" s="293">
        <f t="shared" si="170"/>
        <v>0</v>
      </c>
      <c r="BC245" s="276">
        <f>IF(BI245=1,IF(BC244=MiscData!$F$1,EOMONTH(BC244,-11),EOMONTH(BC244,1)),BC244)</f>
        <v>41851</v>
      </c>
      <c r="BD245" s="275" t="str">
        <f t="shared" si="177"/>
        <v>20140101LGCME650</v>
      </c>
      <c r="BE245" s="294" t="str">
        <f t="shared" si="178"/>
        <v>20140101GS3</v>
      </c>
      <c r="BF245">
        <f>MiscData!$X$5</f>
        <v>20140101</v>
      </c>
      <c r="BI245" s="265">
        <f>IF(BI244+1&gt;MiscData!$Z$42,1,BI244+1)</f>
        <v>14</v>
      </c>
      <c r="BJ245" s="265" t="str">
        <f>VLOOKUP(BI245,MiscData!$Z$5:$AB$46,2,FALSE)</f>
        <v>LGCME650</v>
      </c>
      <c r="BK245" s="265" t="str">
        <f>VLOOKUP(BI245,MiscData!$Z$5:$AB$46,3,FALSE)</f>
        <v>GS3</v>
      </c>
    </row>
    <row r="246" spans="1:63" hidden="1">
      <c r="A246" s="275">
        <v>231</v>
      </c>
      <c r="B246" s="276" t="str">
        <f t="shared" si="171"/>
        <v>Jul 2014</v>
      </c>
      <c r="C246" s="277" t="str">
        <f t="shared" si="179"/>
        <v>GS3</v>
      </c>
      <c r="D246" s="277" t="str">
        <f t="shared" si="172"/>
        <v>LGCME651</v>
      </c>
      <c r="E246" s="278">
        <f t="shared" si="140"/>
        <v>15603</v>
      </c>
      <c r="F246" s="279">
        <v>195</v>
      </c>
      <c r="G246" s="278">
        <f t="shared" si="141"/>
        <v>0</v>
      </c>
      <c r="H246" s="278">
        <f t="shared" si="142"/>
        <v>0</v>
      </c>
      <c r="I246" s="278">
        <f t="shared" si="143"/>
        <v>0</v>
      </c>
      <c r="J246" s="278">
        <f t="shared" si="144"/>
        <v>95639962</v>
      </c>
      <c r="K246" s="280">
        <v>0</v>
      </c>
      <c r="L246" s="281">
        <f t="shared" si="145"/>
        <v>226029.9</v>
      </c>
      <c r="M246" s="281">
        <f t="shared" si="146"/>
        <v>0</v>
      </c>
      <c r="N246" s="281">
        <f t="shared" si="147"/>
        <v>0</v>
      </c>
      <c r="O246" s="282">
        <v>0</v>
      </c>
      <c r="P246" s="282">
        <v>0</v>
      </c>
      <c r="Q246" s="282">
        <v>0</v>
      </c>
      <c r="R246" s="283">
        <f t="shared" si="148"/>
        <v>35</v>
      </c>
      <c r="S246" s="284">
        <f t="shared" si="183"/>
        <v>9.1340000000000005E-2</v>
      </c>
      <c r="T246" s="284">
        <f t="shared" si="149"/>
        <v>0</v>
      </c>
      <c r="U246" s="284">
        <f t="shared" si="150"/>
        <v>0</v>
      </c>
      <c r="V246" s="284">
        <f t="shared" si="151"/>
        <v>2.725E-2</v>
      </c>
      <c r="W246" s="283">
        <f t="shared" si="152"/>
        <v>0</v>
      </c>
      <c r="X246" s="283">
        <f t="shared" si="153"/>
        <v>0</v>
      </c>
      <c r="Y246" s="283">
        <f t="shared" si="154"/>
        <v>0</v>
      </c>
      <c r="Z246" s="285">
        <f t="shared" si="155"/>
        <v>552930</v>
      </c>
      <c r="AA246" s="285">
        <f t="shared" si="156"/>
        <v>8735754.1300000008</v>
      </c>
      <c r="AB246" s="285">
        <f t="shared" si="173"/>
        <v>0</v>
      </c>
      <c r="AC246" s="285">
        <f t="shared" si="174"/>
        <v>0</v>
      </c>
      <c r="AD246" s="285">
        <f t="shared" si="175"/>
        <v>0</v>
      </c>
      <c r="AE246" s="286">
        <v>0</v>
      </c>
      <c r="AF246" s="287">
        <f t="shared" si="157"/>
        <v>0</v>
      </c>
      <c r="AG246" s="288">
        <f t="shared" si="158"/>
        <v>0</v>
      </c>
      <c r="AH246" s="285">
        <f t="shared" si="180"/>
        <v>0</v>
      </c>
      <c r="AI246" s="286">
        <v>-5231.55</v>
      </c>
      <c r="AJ246" s="286">
        <v>140.69</v>
      </c>
      <c r="AK246" s="286">
        <v>0</v>
      </c>
      <c r="AL246" s="285">
        <f t="shared" si="160"/>
        <v>9283593.2699999996</v>
      </c>
      <c r="AM246" s="285">
        <f t="shared" si="161"/>
        <v>9283593.2700000014</v>
      </c>
      <c r="AN246" s="289">
        <f t="shared" si="176"/>
        <v>1</v>
      </c>
      <c r="AO246" s="290">
        <f t="shared" si="162"/>
        <v>135977.76999999999</v>
      </c>
      <c r="AP246" s="290">
        <f t="shared" si="163"/>
        <v>286851.82</v>
      </c>
      <c r="AQ246" s="290">
        <f t="shared" si="164"/>
        <v>352075.94</v>
      </c>
      <c r="AR246" s="290">
        <f t="shared" si="165"/>
        <v>0</v>
      </c>
      <c r="AS246" s="290">
        <f t="shared" si="166"/>
        <v>0</v>
      </c>
      <c r="AT246" s="290">
        <f t="shared" si="167"/>
        <v>10058498.800000001</v>
      </c>
      <c r="AU246" s="291">
        <f t="shared" si="168"/>
        <v>10058498.799999999</v>
      </c>
      <c r="AV246" s="291">
        <f t="shared" si="184"/>
        <v>0</v>
      </c>
      <c r="AW246" s="292">
        <f t="shared" si="169"/>
        <v>2606188.96</v>
      </c>
      <c r="AX246" s="293">
        <f t="shared" si="170"/>
        <v>6129705.8600000003</v>
      </c>
      <c r="BC246" s="276">
        <f>IF(BI246=1,IF(BC245=MiscData!$F$1,EOMONTH(BC245,-11),EOMONTH(BC245,1)),BC245)</f>
        <v>41851</v>
      </c>
      <c r="BD246" s="275" t="str">
        <f t="shared" si="177"/>
        <v>20140101LGCME651</v>
      </c>
      <c r="BE246" s="294" t="str">
        <f t="shared" si="178"/>
        <v>20140101GS3</v>
      </c>
      <c r="BF246">
        <f>MiscData!$X$5</f>
        <v>20140101</v>
      </c>
      <c r="BI246" s="265">
        <f>IF(BI245+1&gt;MiscData!$Z$42,1,BI245+1)</f>
        <v>15</v>
      </c>
      <c r="BJ246" s="265" t="str">
        <f>VLOOKUP(BI246,MiscData!$Z$5:$AB$46,2,FALSE)</f>
        <v>LGCME651</v>
      </c>
      <c r="BK246" s="265" t="str">
        <f>VLOOKUP(BI246,MiscData!$Z$5:$AB$46,3,FALSE)</f>
        <v>GS3</v>
      </c>
    </row>
    <row r="247" spans="1:63" hidden="1">
      <c r="A247" s="275">
        <v>232</v>
      </c>
      <c r="B247" s="276" t="str">
        <f t="shared" si="171"/>
        <v>Jul 2014</v>
      </c>
      <c r="C247" s="277" t="str">
        <f t="shared" si="179"/>
        <v>GS3</v>
      </c>
      <c r="D247" s="277" t="str">
        <f t="shared" si="172"/>
        <v>LGCME652</v>
      </c>
      <c r="E247" s="278">
        <f t="shared" si="140"/>
        <v>641</v>
      </c>
      <c r="F247" s="279">
        <f>-E247</f>
        <v>-641</v>
      </c>
      <c r="G247" s="278">
        <f t="shared" si="141"/>
        <v>0</v>
      </c>
      <c r="H247" s="278">
        <f t="shared" si="142"/>
        <v>0</v>
      </c>
      <c r="I247" s="278">
        <f t="shared" si="143"/>
        <v>0</v>
      </c>
      <c r="J247" s="278">
        <f t="shared" si="144"/>
        <v>1875989</v>
      </c>
      <c r="K247" s="280">
        <v>0</v>
      </c>
      <c r="L247" s="281">
        <f t="shared" si="145"/>
        <v>4330.3</v>
      </c>
      <c r="M247" s="281">
        <f t="shared" si="146"/>
        <v>0</v>
      </c>
      <c r="N247" s="281">
        <f t="shared" si="147"/>
        <v>0</v>
      </c>
      <c r="O247" s="282">
        <v>0</v>
      </c>
      <c r="P247" s="282">
        <v>0</v>
      </c>
      <c r="Q247" s="282">
        <v>0</v>
      </c>
      <c r="R247" s="283">
        <f t="shared" si="148"/>
        <v>0</v>
      </c>
      <c r="S247" s="284">
        <f t="shared" si="183"/>
        <v>9.1340000000000005E-2</v>
      </c>
      <c r="T247" s="284">
        <f t="shared" si="149"/>
        <v>0</v>
      </c>
      <c r="U247" s="284">
        <f t="shared" si="150"/>
        <v>0</v>
      </c>
      <c r="V247" s="284">
        <f t="shared" si="151"/>
        <v>2.725E-2</v>
      </c>
      <c r="W247" s="283">
        <f t="shared" si="152"/>
        <v>0</v>
      </c>
      <c r="X247" s="283">
        <f t="shared" si="153"/>
        <v>0</v>
      </c>
      <c r="Y247" s="283">
        <f t="shared" si="154"/>
        <v>0</v>
      </c>
      <c r="Z247" s="285">
        <f t="shared" si="155"/>
        <v>0</v>
      </c>
      <c r="AA247" s="285">
        <f t="shared" si="156"/>
        <v>171352.84</v>
      </c>
      <c r="AB247" s="285">
        <f t="shared" si="173"/>
        <v>0</v>
      </c>
      <c r="AC247" s="285">
        <f t="shared" si="174"/>
        <v>0</v>
      </c>
      <c r="AD247" s="285">
        <f t="shared" si="175"/>
        <v>0</v>
      </c>
      <c r="AE247" s="286">
        <v>0</v>
      </c>
      <c r="AF247" s="287">
        <f t="shared" si="157"/>
        <v>0</v>
      </c>
      <c r="AG247" s="288">
        <f t="shared" si="158"/>
        <v>0</v>
      </c>
      <c r="AH247" s="285">
        <f t="shared" si="180"/>
        <v>0</v>
      </c>
      <c r="AI247" s="286">
        <v>0</v>
      </c>
      <c r="AJ247" s="286">
        <v>0.01</v>
      </c>
      <c r="AK247" s="286">
        <v>0</v>
      </c>
      <c r="AL247" s="285">
        <f t="shared" si="160"/>
        <v>171352.85</v>
      </c>
      <c r="AM247" s="285">
        <f t="shared" si="161"/>
        <v>171352.85</v>
      </c>
      <c r="AN247" s="289">
        <f t="shared" si="176"/>
        <v>1</v>
      </c>
      <c r="AO247" s="290">
        <f t="shared" si="162"/>
        <v>2616.5</v>
      </c>
      <c r="AP247" s="290">
        <f t="shared" si="163"/>
        <v>5684.24</v>
      </c>
      <c r="AQ247" s="290">
        <f t="shared" si="164"/>
        <v>6368.55</v>
      </c>
      <c r="AR247" s="290">
        <f t="shared" si="165"/>
        <v>0</v>
      </c>
      <c r="AS247" s="290">
        <f t="shared" si="166"/>
        <v>0</v>
      </c>
      <c r="AT247" s="290">
        <f t="shared" si="167"/>
        <v>186022.14</v>
      </c>
      <c r="AU247" s="291">
        <f t="shared" si="168"/>
        <v>186022.13999999998</v>
      </c>
      <c r="AV247" s="291">
        <f t="shared" si="184"/>
        <v>0</v>
      </c>
      <c r="AW247" s="292">
        <f t="shared" si="169"/>
        <v>51120.7</v>
      </c>
      <c r="AX247" s="293">
        <f t="shared" si="170"/>
        <v>120232.15000000001</v>
      </c>
      <c r="BC247" s="276">
        <f>IF(BI247=1,IF(BC246=MiscData!$F$1,EOMONTH(BC246,-11),EOMONTH(BC246,1)),BC246)</f>
        <v>41851</v>
      </c>
      <c r="BD247" s="275" t="str">
        <f t="shared" si="177"/>
        <v>20140101LGCME652</v>
      </c>
      <c r="BE247" s="294" t="str">
        <f t="shared" si="178"/>
        <v>20140101GS3</v>
      </c>
      <c r="BF247">
        <f>MiscData!$X$5</f>
        <v>20140101</v>
      </c>
      <c r="BI247" s="265">
        <f>IF(BI246+1&gt;MiscData!$Z$42,1,BI246+1)</f>
        <v>16</v>
      </c>
      <c r="BJ247" s="265" t="str">
        <f>VLOOKUP(BI247,MiscData!$Z$5:$AB$46,2,FALSE)</f>
        <v>LGCME652</v>
      </c>
      <c r="BK247" s="265" t="str">
        <f>VLOOKUP(BI247,MiscData!$Z$5:$AB$46,3,FALSE)</f>
        <v>GS3</v>
      </c>
    </row>
    <row r="248" spans="1:63" hidden="1">
      <c r="A248" s="275">
        <v>233</v>
      </c>
      <c r="B248" s="276" t="str">
        <f t="shared" si="171"/>
        <v>Jul 2014</v>
      </c>
      <c r="C248" s="277" t="str">
        <f t="shared" si="179"/>
        <v>GS3</v>
      </c>
      <c r="D248" s="277" t="str">
        <f t="shared" si="172"/>
        <v>LGCME657</v>
      </c>
      <c r="E248" s="278">
        <f t="shared" si="140"/>
        <v>8</v>
      </c>
      <c r="F248" s="279">
        <v>1</v>
      </c>
      <c r="G248" s="278">
        <f t="shared" si="141"/>
        <v>0</v>
      </c>
      <c r="H248" s="278">
        <f t="shared" si="142"/>
        <v>0</v>
      </c>
      <c r="I248" s="278">
        <f t="shared" si="143"/>
        <v>0</v>
      </c>
      <c r="J248" s="278">
        <f t="shared" si="144"/>
        <v>182919</v>
      </c>
      <c r="K248" s="280">
        <v>0</v>
      </c>
      <c r="L248" s="281">
        <f t="shared" si="145"/>
        <v>601</v>
      </c>
      <c r="M248" s="281">
        <f t="shared" si="146"/>
        <v>0</v>
      </c>
      <c r="N248" s="281">
        <f t="shared" si="147"/>
        <v>0</v>
      </c>
      <c r="O248" s="282">
        <v>0</v>
      </c>
      <c r="P248" s="282">
        <v>0</v>
      </c>
      <c r="Q248" s="282">
        <v>0</v>
      </c>
      <c r="R248" s="283">
        <f t="shared" si="148"/>
        <v>35</v>
      </c>
      <c r="S248" s="284">
        <f t="shared" si="183"/>
        <v>9.1340000000000005E-2</v>
      </c>
      <c r="T248" s="284">
        <f t="shared" si="149"/>
        <v>0</v>
      </c>
      <c r="U248" s="284">
        <f t="shared" si="150"/>
        <v>0</v>
      </c>
      <c r="V248" s="284">
        <f t="shared" si="151"/>
        <v>2.725E-2</v>
      </c>
      <c r="W248" s="283">
        <f t="shared" si="152"/>
        <v>0</v>
      </c>
      <c r="X248" s="283">
        <f t="shared" si="153"/>
        <v>0</v>
      </c>
      <c r="Y248" s="283">
        <f t="shared" si="154"/>
        <v>0</v>
      </c>
      <c r="Z248" s="285">
        <f t="shared" si="155"/>
        <v>315</v>
      </c>
      <c r="AA248" s="285">
        <f t="shared" si="156"/>
        <v>16707.82</v>
      </c>
      <c r="AB248" s="285">
        <f t="shared" si="173"/>
        <v>0</v>
      </c>
      <c r="AC248" s="285">
        <f t="shared" si="174"/>
        <v>0</v>
      </c>
      <c r="AD248" s="285">
        <f t="shared" si="175"/>
        <v>0</v>
      </c>
      <c r="AE248" s="286">
        <v>0</v>
      </c>
      <c r="AF248" s="287">
        <f t="shared" si="157"/>
        <v>0</v>
      </c>
      <c r="AG248" s="288">
        <f t="shared" si="158"/>
        <v>0</v>
      </c>
      <c r="AH248" s="285">
        <f t="shared" si="180"/>
        <v>0</v>
      </c>
      <c r="AI248" s="286">
        <v>0</v>
      </c>
      <c r="AJ248" s="286">
        <v>0.01</v>
      </c>
      <c r="AK248" s="286">
        <v>0</v>
      </c>
      <c r="AL248" s="285">
        <f t="shared" si="160"/>
        <v>17022.829999999998</v>
      </c>
      <c r="AM248" s="285">
        <f t="shared" si="161"/>
        <v>17022.829999999998</v>
      </c>
      <c r="AN248" s="289">
        <f t="shared" si="176"/>
        <v>1</v>
      </c>
      <c r="AO248" s="290">
        <f t="shared" si="162"/>
        <v>264.19</v>
      </c>
      <c r="AP248" s="290">
        <f t="shared" si="163"/>
        <v>554.26</v>
      </c>
      <c r="AQ248" s="290">
        <f t="shared" si="164"/>
        <v>635.91</v>
      </c>
      <c r="AR248" s="290">
        <f t="shared" si="165"/>
        <v>0</v>
      </c>
      <c r="AS248" s="290">
        <f t="shared" si="166"/>
        <v>0</v>
      </c>
      <c r="AT248" s="290">
        <f t="shared" si="167"/>
        <v>18477.189999999999</v>
      </c>
      <c r="AU248" s="291">
        <f t="shared" si="168"/>
        <v>18477.189999999995</v>
      </c>
      <c r="AV248" s="291">
        <f t="shared" si="184"/>
        <v>0</v>
      </c>
      <c r="AW248" s="292">
        <f t="shared" si="169"/>
        <v>4984.54</v>
      </c>
      <c r="AX248" s="293">
        <f t="shared" si="170"/>
        <v>11723.289999999997</v>
      </c>
      <c r="BC248" s="276">
        <f>IF(BI248=1,IF(BC247=MiscData!$F$1,EOMONTH(BC247,-11),EOMONTH(BC247,1)),BC247)</f>
        <v>41851</v>
      </c>
      <c r="BD248" s="275" t="str">
        <f t="shared" si="177"/>
        <v>20140101LGCME657</v>
      </c>
      <c r="BE248" s="294" t="str">
        <f t="shared" si="178"/>
        <v>20140101GS3</v>
      </c>
      <c r="BF248">
        <f>MiscData!$X$5</f>
        <v>20140101</v>
      </c>
      <c r="BI248" s="265">
        <f>IF(BI247+1&gt;MiscData!$Z$42,1,BI247+1)</f>
        <v>17</v>
      </c>
      <c r="BJ248" s="265" t="str">
        <f>VLOOKUP(BI248,MiscData!$Z$5:$AB$46,2,FALSE)</f>
        <v>LGCME657</v>
      </c>
      <c r="BK248" s="265" t="str">
        <f>VLOOKUP(BI248,MiscData!$Z$5:$AB$46,3,FALSE)</f>
        <v>GS3</v>
      </c>
    </row>
    <row r="249" spans="1:63" hidden="1">
      <c r="A249" s="275">
        <v>234</v>
      </c>
      <c r="B249" s="276" t="str">
        <f t="shared" si="171"/>
        <v>Jul 2014</v>
      </c>
      <c r="C249" s="277" t="str">
        <f t="shared" si="179"/>
        <v>LWC</v>
      </c>
      <c r="D249" s="277" t="str">
        <f t="shared" si="172"/>
        <v>LGCME671</v>
      </c>
      <c r="E249" s="278">
        <f t="shared" si="140"/>
        <v>2</v>
      </c>
      <c r="F249" s="279">
        <v>0</v>
      </c>
      <c r="G249" s="278">
        <f t="shared" si="141"/>
        <v>0</v>
      </c>
      <c r="H249" s="278">
        <f t="shared" si="142"/>
        <v>0</v>
      </c>
      <c r="I249" s="278">
        <f t="shared" si="143"/>
        <v>0</v>
      </c>
      <c r="J249" s="278">
        <f t="shared" si="144"/>
        <v>5032800</v>
      </c>
      <c r="K249" s="280">
        <v>0</v>
      </c>
      <c r="L249" s="281">
        <f t="shared" si="145"/>
        <v>0</v>
      </c>
      <c r="M249" s="281">
        <f t="shared" si="146"/>
        <v>0</v>
      </c>
      <c r="N249" s="281">
        <f t="shared" si="147"/>
        <v>9004.7999999999993</v>
      </c>
      <c r="O249" s="282">
        <v>0</v>
      </c>
      <c r="P249" s="282">
        <v>0</v>
      </c>
      <c r="Q249" s="282">
        <v>609.60000000000036</v>
      </c>
      <c r="R249" s="283">
        <f t="shared" si="148"/>
        <v>0</v>
      </c>
      <c r="S249" s="284">
        <f t="shared" si="183"/>
        <v>3.7019999999999997E-2</v>
      </c>
      <c r="T249" s="284">
        <f t="shared" si="149"/>
        <v>0</v>
      </c>
      <c r="U249" s="284">
        <f t="shared" si="150"/>
        <v>0</v>
      </c>
      <c r="V249" s="284">
        <f t="shared" si="151"/>
        <v>2.725E-2</v>
      </c>
      <c r="W249" s="283">
        <f t="shared" si="152"/>
        <v>0</v>
      </c>
      <c r="X249" s="283">
        <f t="shared" si="153"/>
        <v>10.35</v>
      </c>
      <c r="Y249" s="283">
        <f t="shared" si="154"/>
        <v>10.35</v>
      </c>
      <c r="Z249" s="285">
        <f t="shared" si="155"/>
        <v>0</v>
      </c>
      <c r="AA249" s="285">
        <f t="shared" si="156"/>
        <v>186314.26</v>
      </c>
      <c r="AB249" s="285">
        <f t="shared" si="173"/>
        <v>0</v>
      </c>
      <c r="AC249" s="285">
        <f t="shared" si="174"/>
        <v>0</v>
      </c>
      <c r="AD249" s="285">
        <f t="shared" si="175"/>
        <v>93199.679999999993</v>
      </c>
      <c r="AE249" s="286">
        <v>0</v>
      </c>
      <c r="AF249" s="287">
        <f t="shared" si="157"/>
        <v>0</v>
      </c>
      <c r="AG249" s="288">
        <f t="shared" si="158"/>
        <v>6309.36</v>
      </c>
      <c r="AH249" s="285">
        <f t="shared" si="180"/>
        <v>99509.04</v>
      </c>
      <c r="AI249" s="286">
        <v>0</v>
      </c>
      <c r="AJ249" s="286">
        <v>-0.01</v>
      </c>
      <c r="AK249" s="286">
        <v>0</v>
      </c>
      <c r="AL249" s="285">
        <f t="shared" si="160"/>
        <v>285823.28999999998</v>
      </c>
      <c r="AM249" s="285">
        <f t="shared" si="161"/>
        <v>285823.28999999998</v>
      </c>
      <c r="AN249" s="289">
        <f t="shared" si="176"/>
        <v>1</v>
      </c>
      <c r="AO249" s="290">
        <f t="shared" si="162"/>
        <v>6945.27</v>
      </c>
      <c r="AP249" s="290">
        <f t="shared" si="163"/>
        <v>0</v>
      </c>
      <c r="AQ249" s="290">
        <f t="shared" si="164"/>
        <v>7523.18</v>
      </c>
      <c r="AR249" s="290">
        <f t="shared" si="165"/>
        <v>0</v>
      </c>
      <c r="AS249" s="290">
        <f t="shared" si="166"/>
        <v>0</v>
      </c>
      <c r="AT249" s="290">
        <f t="shared" si="167"/>
        <v>300291.74</v>
      </c>
      <c r="AU249" s="291">
        <f t="shared" si="168"/>
        <v>300291.74</v>
      </c>
      <c r="AV249" s="291">
        <f t="shared" si="184"/>
        <v>0</v>
      </c>
      <c r="AW249" s="292">
        <f t="shared" si="169"/>
        <v>137143.79999999999</v>
      </c>
      <c r="AX249" s="293">
        <f t="shared" si="170"/>
        <v>49170.450000000012</v>
      </c>
      <c r="BC249" s="276">
        <f>IF(BI249=1,IF(BC248=MiscData!$F$1,EOMONTH(BC248,-11),EOMONTH(BC248,1)),BC248)</f>
        <v>41851</v>
      </c>
      <c r="BD249" s="275" t="str">
        <f t="shared" si="177"/>
        <v>20140101LGCME671</v>
      </c>
      <c r="BE249" s="294" t="str">
        <f t="shared" si="178"/>
        <v>20140101LWC</v>
      </c>
      <c r="BF249">
        <f>MiscData!$X$5</f>
        <v>20140101</v>
      </c>
      <c r="BI249" s="265">
        <f>IF(BI248+1&gt;MiscData!$Z$42,1,BI248+1)</f>
        <v>18</v>
      </c>
      <c r="BJ249" s="265" t="str">
        <f>VLOOKUP(BI249,MiscData!$Z$5:$AB$46,2,FALSE)</f>
        <v>LGCME671</v>
      </c>
      <c r="BK249" s="265" t="str">
        <f>VLOOKUP(BI249,MiscData!$Z$5:$AB$46,3,FALSE)</f>
        <v>LWC</v>
      </c>
    </row>
    <row r="250" spans="1:63" hidden="1">
      <c r="A250" s="275">
        <v>233</v>
      </c>
      <c r="B250" s="276" t="str">
        <f t="shared" si="171"/>
        <v>Jul 2014</v>
      </c>
      <c r="C250" s="277" t="str">
        <f t="shared" si="179"/>
        <v>CSR</v>
      </c>
      <c r="D250" s="277" t="str">
        <f t="shared" si="172"/>
        <v>LGCSR760</v>
      </c>
      <c r="E250" s="278">
        <f t="shared" si="140"/>
        <v>1</v>
      </c>
      <c r="F250" s="279">
        <v>0</v>
      </c>
      <c r="G250" s="278">
        <f t="shared" si="141"/>
        <v>0</v>
      </c>
      <c r="H250" s="278">
        <f t="shared" si="142"/>
        <v>0</v>
      </c>
      <c r="I250" s="278">
        <f t="shared" si="143"/>
        <v>0</v>
      </c>
      <c r="J250" s="278">
        <f t="shared" si="144"/>
        <v>0</v>
      </c>
      <c r="K250" s="280">
        <v>0</v>
      </c>
      <c r="L250" s="281">
        <f t="shared" si="145"/>
        <v>0</v>
      </c>
      <c r="M250" s="281">
        <f t="shared" si="146"/>
        <v>0</v>
      </c>
      <c r="N250" s="281">
        <f t="shared" si="147"/>
        <v>0</v>
      </c>
      <c r="O250" s="282">
        <v>0</v>
      </c>
      <c r="P250" s="282">
        <v>0</v>
      </c>
      <c r="Q250" s="282">
        <v>0</v>
      </c>
      <c r="R250" s="283">
        <f t="shared" si="148"/>
        <v>0</v>
      </c>
      <c r="S250" s="284">
        <f t="shared" si="183"/>
        <v>0</v>
      </c>
      <c r="T250" s="284">
        <f t="shared" si="149"/>
        <v>0</v>
      </c>
      <c r="U250" s="284">
        <f t="shared" si="150"/>
        <v>0</v>
      </c>
      <c r="V250" s="284">
        <f t="shared" si="151"/>
        <v>0</v>
      </c>
      <c r="W250" s="283">
        <f t="shared" si="152"/>
        <v>0</v>
      </c>
      <c r="X250" s="283">
        <f t="shared" si="153"/>
        <v>0</v>
      </c>
      <c r="Y250" s="283">
        <f t="shared" si="154"/>
        <v>0</v>
      </c>
      <c r="Z250" s="285">
        <f t="shared" si="155"/>
        <v>0</v>
      </c>
      <c r="AA250" s="285">
        <f t="shared" si="156"/>
        <v>0</v>
      </c>
      <c r="AB250" s="285">
        <f t="shared" si="173"/>
        <v>0</v>
      </c>
      <c r="AC250" s="285">
        <f t="shared" si="174"/>
        <v>0</v>
      </c>
      <c r="AD250" s="285">
        <f t="shared" si="175"/>
        <v>0</v>
      </c>
      <c r="AE250" s="286">
        <v>0</v>
      </c>
      <c r="AF250" s="287">
        <f t="shared" si="157"/>
        <v>0</v>
      </c>
      <c r="AG250" s="288">
        <f t="shared" si="158"/>
        <v>0</v>
      </c>
      <c r="AH250" s="285">
        <f t="shared" si="180"/>
        <v>0</v>
      </c>
      <c r="AI250" s="286">
        <v>0</v>
      </c>
      <c r="AJ250" s="286">
        <v>0</v>
      </c>
      <c r="AK250" s="286">
        <v>0</v>
      </c>
      <c r="AL250" s="285">
        <f t="shared" si="160"/>
        <v>0</v>
      </c>
      <c r="AM250" s="285">
        <f t="shared" si="161"/>
        <v>0</v>
      </c>
      <c r="AN250" s="289">
        <f t="shared" si="176"/>
        <v>1</v>
      </c>
      <c r="AO250" s="290">
        <f t="shared" si="162"/>
        <v>0</v>
      </c>
      <c r="AP250" s="290">
        <f t="shared" si="163"/>
        <v>0</v>
      </c>
      <c r="AQ250" s="290">
        <f t="shared" si="164"/>
        <v>0</v>
      </c>
      <c r="AR250" s="290">
        <f t="shared" si="165"/>
        <v>0</v>
      </c>
      <c r="AS250" s="290">
        <f t="shared" si="166"/>
        <v>-234548.73</v>
      </c>
      <c r="AT250" s="290">
        <f t="shared" si="167"/>
        <v>-234548.73</v>
      </c>
      <c r="AU250" s="291">
        <f t="shared" si="168"/>
        <v>-234548.73</v>
      </c>
      <c r="AV250" s="291">
        <f t="shared" si="184"/>
        <v>0</v>
      </c>
      <c r="AW250" s="292">
        <f t="shared" si="169"/>
        <v>0</v>
      </c>
      <c r="AX250" s="293">
        <f t="shared" si="170"/>
        <v>0</v>
      </c>
      <c r="BC250" s="276">
        <f>IF(BI250=1,IF(BC249=MiscData!$F$1,EOMONTH(BC249,-11),EOMONTH(BC249,1)),BC249)</f>
        <v>41851</v>
      </c>
      <c r="BD250" s="275" t="str">
        <f t="shared" si="177"/>
        <v>20140101LGCSR760</v>
      </c>
      <c r="BE250" s="294" t="str">
        <f t="shared" si="178"/>
        <v>20140101CSR</v>
      </c>
      <c r="BF250">
        <f>MiscData!$X$5</f>
        <v>20140101</v>
      </c>
      <c r="BI250" s="265">
        <f>IF(BI249+1&gt;MiscData!$Z$42,1,BI249+1)</f>
        <v>19</v>
      </c>
      <c r="BJ250" s="265" t="str">
        <f>VLOOKUP(BI250,MiscData!$Z$5:$AB$46,2,FALSE)</f>
        <v>LGCSR760</v>
      </c>
      <c r="BK250" s="265" t="str">
        <f>VLOOKUP(BI250,MiscData!$Z$5:$AB$46,3,FALSE)</f>
        <v>CSR</v>
      </c>
    </row>
    <row r="251" spans="1:63" hidden="1">
      <c r="A251" s="275">
        <v>234</v>
      </c>
      <c r="B251" s="276" t="str">
        <f t="shared" si="171"/>
        <v>Jul 2014</v>
      </c>
      <c r="C251" s="277" t="str">
        <f t="shared" si="179"/>
        <v>CSR</v>
      </c>
      <c r="D251" s="277" t="str">
        <f t="shared" si="172"/>
        <v>LGCSR780</v>
      </c>
      <c r="E251" s="278">
        <f t="shared" si="140"/>
        <v>0</v>
      </c>
      <c r="F251" s="279">
        <v>0</v>
      </c>
      <c r="G251" s="278">
        <f t="shared" si="141"/>
        <v>0</v>
      </c>
      <c r="H251" s="278">
        <f t="shared" si="142"/>
        <v>0</v>
      </c>
      <c r="I251" s="278">
        <f t="shared" si="143"/>
        <v>0</v>
      </c>
      <c r="J251" s="278">
        <f t="shared" si="144"/>
        <v>0</v>
      </c>
      <c r="K251" s="280">
        <v>0</v>
      </c>
      <c r="L251" s="281">
        <f t="shared" si="145"/>
        <v>0</v>
      </c>
      <c r="M251" s="281">
        <f t="shared" si="146"/>
        <v>0</v>
      </c>
      <c r="N251" s="281">
        <f t="shared" si="147"/>
        <v>0</v>
      </c>
      <c r="O251" s="282">
        <v>0</v>
      </c>
      <c r="P251" s="282">
        <v>0</v>
      </c>
      <c r="Q251" s="282">
        <v>0</v>
      </c>
      <c r="R251" s="283">
        <f t="shared" si="148"/>
        <v>0</v>
      </c>
      <c r="S251" s="284">
        <f t="shared" si="183"/>
        <v>0</v>
      </c>
      <c r="T251" s="284">
        <f t="shared" si="149"/>
        <v>0</v>
      </c>
      <c r="U251" s="284">
        <f t="shared" si="150"/>
        <v>0</v>
      </c>
      <c r="V251" s="284">
        <f t="shared" si="151"/>
        <v>0</v>
      </c>
      <c r="W251" s="283">
        <f t="shared" si="152"/>
        <v>0</v>
      </c>
      <c r="X251" s="283">
        <f t="shared" si="153"/>
        <v>0</v>
      </c>
      <c r="Y251" s="283">
        <f t="shared" si="154"/>
        <v>0</v>
      </c>
      <c r="Z251" s="285">
        <f t="shared" si="155"/>
        <v>0</v>
      </c>
      <c r="AA251" s="285">
        <f t="shared" si="156"/>
        <v>0</v>
      </c>
      <c r="AB251" s="285">
        <f t="shared" si="173"/>
        <v>0</v>
      </c>
      <c r="AC251" s="285">
        <f t="shared" si="174"/>
        <v>0</v>
      </c>
      <c r="AD251" s="285">
        <f t="shared" si="175"/>
        <v>0</v>
      </c>
      <c r="AE251" s="286">
        <v>0</v>
      </c>
      <c r="AF251" s="287">
        <f t="shared" si="157"/>
        <v>0</v>
      </c>
      <c r="AG251" s="288">
        <f t="shared" si="158"/>
        <v>0</v>
      </c>
      <c r="AH251" s="285">
        <f t="shared" si="180"/>
        <v>0</v>
      </c>
      <c r="AI251" s="286">
        <v>0</v>
      </c>
      <c r="AJ251" s="286">
        <v>0</v>
      </c>
      <c r="AK251" s="286">
        <v>0</v>
      </c>
      <c r="AL251" s="285">
        <f t="shared" si="160"/>
        <v>0</v>
      </c>
      <c r="AM251" s="285">
        <f t="shared" si="161"/>
        <v>0</v>
      </c>
      <c r="AN251" s="289">
        <f t="shared" si="176"/>
        <v>1</v>
      </c>
      <c r="AO251" s="290">
        <f t="shared" si="162"/>
        <v>0</v>
      </c>
      <c r="AP251" s="290">
        <f t="shared" si="163"/>
        <v>0</v>
      </c>
      <c r="AQ251" s="290">
        <f t="shared" si="164"/>
        <v>0</v>
      </c>
      <c r="AR251" s="290">
        <f t="shared" si="165"/>
        <v>0</v>
      </c>
      <c r="AS251" s="290">
        <f t="shared" si="166"/>
        <v>0</v>
      </c>
      <c r="AT251" s="290">
        <f t="shared" si="167"/>
        <v>0</v>
      </c>
      <c r="AU251" s="291">
        <f t="shared" si="168"/>
        <v>0</v>
      </c>
      <c r="AV251" s="291">
        <f t="shared" si="184"/>
        <v>0</v>
      </c>
      <c r="AW251" s="292">
        <f t="shared" si="169"/>
        <v>0</v>
      </c>
      <c r="AX251" s="293">
        <f t="shared" si="170"/>
        <v>0</v>
      </c>
      <c r="BC251" s="276">
        <f>IF(BI251=1,IF(BC250=MiscData!$F$1,EOMONTH(BC250,-11),EOMONTH(BC250,1)),BC250)</f>
        <v>41851</v>
      </c>
      <c r="BD251" s="275" t="str">
        <f t="shared" si="177"/>
        <v>20140101LGCSR780</v>
      </c>
      <c r="BE251" s="294" t="str">
        <f t="shared" si="178"/>
        <v>20140101CSR</v>
      </c>
      <c r="BF251">
        <f>MiscData!$X$5</f>
        <v>20140101</v>
      </c>
      <c r="BI251" s="265">
        <f>IF(BI250+1&gt;MiscData!$Z$42,1,BI250+1)</f>
        <v>20</v>
      </c>
      <c r="BJ251" s="265" t="str">
        <f>VLOOKUP(BI251,MiscData!$Z$5:$AB$46,2,FALSE)</f>
        <v>LGCSR780</v>
      </c>
      <c r="BK251" s="265" t="str">
        <f>VLOOKUP(BI251,MiscData!$Z$5:$AB$46,3,FALSE)</f>
        <v>CSR</v>
      </c>
    </row>
    <row r="252" spans="1:63">
      <c r="A252" s="275">
        <v>235</v>
      </c>
      <c r="B252" s="276" t="str">
        <f t="shared" si="171"/>
        <v>Jul 2014</v>
      </c>
      <c r="C252" s="277" t="str">
        <f t="shared" si="179"/>
        <v>FK</v>
      </c>
      <c r="D252" s="277" t="str">
        <f t="shared" si="172"/>
        <v>LGINE599</v>
      </c>
      <c r="E252" s="278">
        <f t="shared" si="140"/>
        <v>1</v>
      </c>
      <c r="F252" s="279">
        <v>0</v>
      </c>
      <c r="G252" s="278">
        <f t="shared" si="141"/>
        <v>0</v>
      </c>
      <c r="H252" s="278">
        <f t="shared" si="142"/>
        <v>0</v>
      </c>
      <c r="I252" s="278">
        <f t="shared" si="143"/>
        <v>0</v>
      </c>
      <c r="J252" s="278">
        <f t="shared" si="144"/>
        <v>18328000</v>
      </c>
      <c r="K252" s="280">
        <v>0</v>
      </c>
      <c r="L252" s="281">
        <f t="shared" si="145"/>
        <v>0</v>
      </c>
      <c r="M252" s="281">
        <f t="shared" si="146"/>
        <v>0</v>
      </c>
      <c r="N252" s="281">
        <f t="shared" si="147"/>
        <v>34608</v>
      </c>
      <c r="O252" s="282">
        <v>0</v>
      </c>
      <c r="P252" s="282">
        <v>0</v>
      </c>
      <c r="Q252" s="282">
        <v>0</v>
      </c>
      <c r="R252" s="283">
        <f t="shared" si="148"/>
        <v>0</v>
      </c>
      <c r="S252" s="284">
        <f t="shared" si="183"/>
        <v>3.7400000000000003E-2</v>
      </c>
      <c r="T252" s="284">
        <f t="shared" si="149"/>
        <v>0</v>
      </c>
      <c r="U252" s="284">
        <f t="shared" si="150"/>
        <v>0</v>
      </c>
      <c r="V252" s="284">
        <f t="shared" si="151"/>
        <v>2.725E-2</v>
      </c>
      <c r="W252" s="283">
        <f t="shared" si="152"/>
        <v>0</v>
      </c>
      <c r="X252" s="283">
        <f t="shared" si="153"/>
        <v>12.72</v>
      </c>
      <c r="Y252" s="283">
        <f t="shared" si="154"/>
        <v>15.040000000000001</v>
      </c>
      <c r="Z252" s="285">
        <f t="shared" si="155"/>
        <v>0</v>
      </c>
      <c r="AA252" s="285">
        <f t="shared" si="156"/>
        <v>685467.2</v>
      </c>
      <c r="AB252" s="285">
        <f t="shared" si="173"/>
        <v>0</v>
      </c>
      <c r="AC252" s="285">
        <f t="shared" si="174"/>
        <v>0</v>
      </c>
      <c r="AD252" s="285">
        <f t="shared" si="175"/>
        <v>520504.32000000001</v>
      </c>
      <c r="AE252" s="286">
        <v>0</v>
      </c>
      <c r="AF252" s="287">
        <f t="shared" si="157"/>
        <v>-29148.240000000002</v>
      </c>
      <c r="AG252" s="288">
        <f t="shared" si="158"/>
        <v>0</v>
      </c>
      <c r="AH252" s="285">
        <f t="shared" si="180"/>
        <v>491356.08</v>
      </c>
      <c r="AI252" s="286">
        <v>0</v>
      </c>
      <c r="AJ252" s="286">
        <v>0</v>
      </c>
      <c r="AK252" s="286">
        <v>0</v>
      </c>
      <c r="AL252" s="285">
        <f t="shared" si="160"/>
        <v>1176823.28</v>
      </c>
      <c r="AM252" s="285">
        <f t="shared" si="161"/>
        <v>1176823.28</v>
      </c>
      <c r="AN252" s="289">
        <f t="shared" si="176"/>
        <v>1</v>
      </c>
      <c r="AO252" s="290">
        <f t="shared" si="162"/>
        <v>58099.76</v>
      </c>
      <c r="AP252" s="290">
        <f t="shared" si="163"/>
        <v>0</v>
      </c>
      <c r="AQ252" s="290">
        <f t="shared" si="164"/>
        <v>32446.75</v>
      </c>
      <c r="AR252" s="290">
        <f t="shared" si="165"/>
        <v>0</v>
      </c>
      <c r="AS252" s="290">
        <f t="shared" si="166"/>
        <v>0</v>
      </c>
      <c r="AT252" s="290">
        <f t="shared" si="167"/>
        <v>1267369.79</v>
      </c>
      <c r="AU252" s="291">
        <f t="shared" si="168"/>
        <v>1267369.79</v>
      </c>
      <c r="AV252" s="291">
        <f t="shared" ref="AV252:AV258" si="185">AT252-AU252</f>
        <v>0</v>
      </c>
      <c r="AW252" s="292">
        <f t="shared" si="169"/>
        <v>499438</v>
      </c>
      <c r="AX252" s="293">
        <f t="shared" si="170"/>
        <v>186029.19999999995</v>
      </c>
      <c r="BC252" s="276">
        <f>IF(BI252=1,IF(BC251=MiscData!$F$1,EOMONTH(BC251,-11),EOMONTH(BC251,1)),BC251)</f>
        <v>41851</v>
      </c>
      <c r="BD252" s="275" t="str">
        <f t="shared" si="177"/>
        <v>20140101LGINE599</v>
      </c>
      <c r="BE252" s="294" t="str">
        <f t="shared" si="178"/>
        <v>20140101FK</v>
      </c>
      <c r="BF252">
        <f>MiscData!$X$5</f>
        <v>20140101</v>
      </c>
      <c r="BI252" s="265">
        <f>IF(BI251+1&gt;MiscData!$Z$42,1,BI251+1)</f>
        <v>21</v>
      </c>
      <c r="BJ252" s="265" t="str">
        <f>VLOOKUP(BI252,MiscData!$Z$5:$AB$46,2,FALSE)</f>
        <v>LGINE599</v>
      </c>
      <c r="BK252" s="265" t="str">
        <f>VLOOKUP(BI252,MiscData!$Z$5:$AB$46,3,FALSE)</f>
        <v>FK</v>
      </c>
    </row>
    <row r="253" spans="1:63" hidden="1">
      <c r="A253" s="275">
        <v>236</v>
      </c>
      <c r="B253" s="276" t="str">
        <f t="shared" si="171"/>
        <v>Jul 2014</v>
      </c>
      <c r="C253" s="277" t="str">
        <f t="shared" si="179"/>
        <v>RTS</v>
      </c>
      <c r="D253" s="277" t="str">
        <f t="shared" si="172"/>
        <v>LGINE643</v>
      </c>
      <c r="E253" s="278">
        <f t="shared" si="140"/>
        <v>11</v>
      </c>
      <c r="F253" s="279">
        <v>0</v>
      </c>
      <c r="G253" s="278">
        <f t="shared" si="141"/>
        <v>0</v>
      </c>
      <c r="H253" s="278">
        <f t="shared" si="142"/>
        <v>0</v>
      </c>
      <c r="I253" s="278">
        <f t="shared" si="143"/>
        <v>0</v>
      </c>
      <c r="J253" s="278">
        <f t="shared" si="144"/>
        <v>47585401</v>
      </c>
      <c r="K253" s="280">
        <v>0</v>
      </c>
      <c r="L253" s="281">
        <f t="shared" si="145"/>
        <v>115207</v>
      </c>
      <c r="M253" s="281">
        <f t="shared" si="146"/>
        <v>110757.9</v>
      </c>
      <c r="N253" s="281">
        <f t="shared" si="147"/>
        <v>86270.5</v>
      </c>
      <c r="O253" s="282">
        <v>2179.4000000000087</v>
      </c>
      <c r="P253" s="282">
        <v>116.5</v>
      </c>
      <c r="Q253" s="282">
        <v>0</v>
      </c>
      <c r="R253" s="283">
        <f t="shared" si="148"/>
        <v>750</v>
      </c>
      <c r="S253" s="284">
        <f t="shared" si="183"/>
        <v>3.61E-2</v>
      </c>
      <c r="T253" s="284">
        <f t="shared" si="149"/>
        <v>0</v>
      </c>
      <c r="U253" s="284">
        <f t="shared" si="150"/>
        <v>0</v>
      </c>
      <c r="V253" s="284">
        <f t="shared" si="151"/>
        <v>2.725E-2</v>
      </c>
      <c r="W253" s="283">
        <f t="shared" si="152"/>
        <v>2.75</v>
      </c>
      <c r="X253" s="283">
        <f t="shared" si="153"/>
        <v>3</v>
      </c>
      <c r="Y253" s="283">
        <f t="shared" si="154"/>
        <v>4.5500000000000007</v>
      </c>
      <c r="Z253" s="285">
        <f t="shared" si="155"/>
        <v>8250</v>
      </c>
      <c r="AA253" s="285">
        <f t="shared" si="156"/>
        <v>1717832.98</v>
      </c>
      <c r="AB253" s="285">
        <f t="shared" si="173"/>
        <v>316819.25</v>
      </c>
      <c r="AC253" s="285">
        <f t="shared" si="174"/>
        <v>332273.7</v>
      </c>
      <c r="AD253" s="285">
        <f t="shared" si="175"/>
        <v>392530.78</v>
      </c>
      <c r="AE253" s="286">
        <v>0</v>
      </c>
      <c r="AF253" s="287">
        <f t="shared" si="157"/>
        <v>0</v>
      </c>
      <c r="AG253" s="288">
        <f t="shared" si="158"/>
        <v>6342.85</v>
      </c>
      <c r="AH253" s="285">
        <f t="shared" si="180"/>
        <v>1047966.58</v>
      </c>
      <c r="AI253" s="286">
        <v>0</v>
      </c>
      <c r="AJ253" s="286">
        <v>0</v>
      </c>
      <c r="AK253" s="286">
        <v>0.05</v>
      </c>
      <c r="AL253" s="285">
        <f t="shared" si="160"/>
        <v>2774049.61</v>
      </c>
      <c r="AM253" s="285">
        <f t="shared" si="161"/>
        <v>2774049.61</v>
      </c>
      <c r="AN253" s="289">
        <f t="shared" si="176"/>
        <v>1</v>
      </c>
      <c r="AO253" s="290">
        <f t="shared" si="162"/>
        <v>125585.24</v>
      </c>
      <c r="AP253" s="290">
        <f t="shared" si="163"/>
        <v>0</v>
      </c>
      <c r="AQ253" s="290">
        <f t="shared" si="164"/>
        <v>71986.759999999995</v>
      </c>
      <c r="AR253" s="290">
        <f t="shared" si="165"/>
        <v>0</v>
      </c>
      <c r="AS253" s="290">
        <f t="shared" si="166"/>
        <v>0</v>
      </c>
      <c r="AT253" s="290">
        <f t="shared" si="167"/>
        <v>2971621.61</v>
      </c>
      <c r="AU253" s="291">
        <f t="shared" si="168"/>
        <v>2971621.61</v>
      </c>
      <c r="AV253" s="291">
        <f t="shared" si="185"/>
        <v>0</v>
      </c>
      <c r="AW253" s="292">
        <f t="shared" si="169"/>
        <v>1296702.18</v>
      </c>
      <c r="AX253" s="293">
        <f t="shared" si="170"/>
        <v>421130.80000000005</v>
      </c>
      <c r="BC253" s="276">
        <f>IF(BI253=1,IF(BC252=MiscData!$F$1,EOMONTH(BC252,-11),EOMONTH(BC252,1)),BC252)</f>
        <v>41851</v>
      </c>
      <c r="BD253" s="275" t="str">
        <f t="shared" si="177"/>
        <v>20140101LGINE643</v>
      </c>
      <c r="BE253" s="294" t="str">
        <f t="shared" si="178"/>
        <v>20140101RTS</v>
      </c>
      <c r="BF253">
        <f>MiscData!$X$5</f>
        <v>20140101</v>
      </c>
      <c r="BI253" s="265">
        <f>IF(BI252+1&gt;MiscData!$Z$42,1,BI252+1)</f>
        <v>22</v>
      </c>
      <c r="BJ253" s="265" t="str">
        <f>VLOOKUP(BI253,MiscData!$Z$5:$AB$46,2,FALSE)</f>
        <v>LGINE643</v>
      </c>
      <c r="BK253" s="265" t="str">
        <f>VLOOKUP(BI253,MiscData!$Z$5:$AB$46,3,FALSE)</f>
        <v>RTS</v>
      </c>
    </row>
    <row r="254" spans="1:63" hidden="1">
      <c r="A254" s="275">
        <v>237</v>
      </c>
      <c r="B254" s="276" t="str">
        <f t="shared" si="171"/>
        <v>Jul 2014</v>
      </c>
      <c r="C254" s="277" t="str">
        <f t="shared" si="179"/>
        <v>PSS</v>
      </c>
      <c r="D254" s="277" t="str">
        <f t="shared" si="172"/>
        <v>LGINE661</v>
      </c>
      <c r="E254" s="278">
        <f t="shared" si="140"/>
        <v>245</v>
      </c>
      <c r="F254" s="279">
        <v>2</v>
      </c>
      <c r="G254" s="278">
        <f t="shared" si="141"/>
        <v>0</v>
      </c>
      <c r="H254" s="278">
        <f t="shared" si="142"/>
        <v>0</v>
      </c>
      <c r="I254" s="278">
        <f t="shared" si="143"/>
        <v>0</v>
      </c>
      <c r="J254" s="278">
        <f t="shared" si="144"/>
        <v>26366617</v>
      </c>
      <c r="K254" s="280">
        <v>0</v>
      </c>
      <c r="L254" s="281">
        <f t="shared" si="145"/>
        <v>0</v>
      </c>
      <c r="M254" s="281">
        <f t="shared" si="146"/>
        <v>0</v>
      </c>
      <c r="N254" s="281">
        <f t="shared" si="147"/>
        <v>68041.8</v>
      </c>
      <c r="O254" s="282">
        <v>0</v>
      </c>
      <c r="P254" s="282">
        <v>0</v>
      </c>
      <c r="Q254" s="282">
        <v>1134.95</v>
      </c>
      <c r="R254" s="283">
        <f t="shared" si="148"/>
        <v>90</v>
      </c>
      <c r="S254" s="284">
        <f t="shared" si="183"/>
        <v>4.0599999999999997E-2</v>
      </c>
      <c r="T254" s="284">
        <f t="shared" si="149"/>
        <v>0</v>
      </c>
      <c r="U254" s="284">
        <f t="shared" si="150"/>
        <v>0</v>
      </c>
      <c r="V254" s="284">
        <f t="shared" si="151"/>
        <v>2.725E-2</v>
      </c>
      <c r="W254" s="283">
        <f t="shared" si="152"/>
        <v>0</v>
      </c>
      <c r="X254" s="283">
        <f t="shared" si="153"/>
        <v>14.010000000000002</v>
      </c>
      <c r="Y254" s="283">
        <f t="shared" si="154"/>
        <v>16.399999999999999</v>
      </c>
      <c r="Z254" s="285">
        <f t="shared" si="155"/>
        <v>22230</v>
      </c>
      <c r="AA254" s="285">
        <f t="shared" si="156"/>
        <v>1070484.6499999999</v>
      </c>
      <c r="AB254" s="285">
        <f t="shared" si="173"/>
        <v>0</v>
      </c>
      <c r="AC254" s="285">
        <f t="shared" si="174"/>
        <v>0</v>
      </c>
      <c r="AD254" s="285">
        <f t="shared" si="175"/>
        <v>1115885.52</v>
      </c>
      <c r="AE254" s="286">
        <v>0</v>
      </c>
      <c r="AF254" s="287">
        <f t="shared" si="157"/>
        <v>78000.039999999994</v>
      </c>
      <c r="AG254" s="288">
        <f t="shared" si="158"/>
        <v>18613.18</v>
      </c>
      <c r="AH254" s="285">
        <f t="shared" si="180"/>
        <v>1212498.74</v>
      </c>
      <c r="AI254" s="286">
        <v>-51</v>
      </c>
      <c r="AJ254" s="286">
        <v>0.04</v>
      </c>
      <c r="AK254" s="286">
        <v>-464.67</v>
      </c>
      <c r="AL254" s="285">
        <f t="shared" si="160"/>
        <v>2304697.7600000002</v>
      </c>
      <c r="AM254" s="285">
        <f t="shared" si="161"/>
        <v>2304697.7600000002</v>
      </c>
      <c r="AN254" s="289">
        <f t="shared" si="176"/>
        <v>1</v>
      </c>
      <c r="AO254" s="290">
        <f t="shared" si="162"/>
        <v>36710.21</v>
      </c>
      <c r="AP254" s="290">
        <f t="shared" si="163"/>
        <v>0</v>
      </c>
      <c r="AQ254" s="290">
        <f t="shared" si="164"/>
        <v>80202.880000000005</v>
      </c>
      <c r="AR254" s="290">
        <f t="shared" si="165"/>
        <v>0</v>
      </c>
      <c r="AS254" s="290">
        <f t="shared" si="166"/>
        <v>0</v>
      </c>
      <c r="AT254" s="290">
        <f t="shared" si="167"/>
        <v>2421610.85</v>
      </c>
      <c r="AU254" s="291">
        <f t="shared" si="168"/>
        <v>2421610.85</v>
      </c>
      <c r="AV254" s="291">
        <f t="shared" si="185"/>
        <v>0</v>
      </c>
      <c r="AW254" s="292">
        <f t="shared" si="169"/>
        <v>718490.31</v>
      </c>
      <c r="AX254" s="293">
        <f t="shared" si="170"/>
        <v>351994.37999999989</v>
      </c>
      <c r="BC254" s="276">
        <f>IF(BI254=1,IF(BC253=MiscData!$F$1,EOMONTH(BC253,-11),EOMONTH(BC253,1)),BC253)</f>
        <v>41851</v>
      </c>
      <c r="BD254" s="275" t="str">
        <f t="shared" si="177"/>
        <v>20140101LGINE661</v>
      </c>
      <c r="BE254" s="294" t="str">
        <f t="shared" si="178"/>
        <v>20140101PSS</v>
      </c>
      <c r="BF254">
        <f>MiscData!$X$5</f>
        <v>20140101</v>
      </c>
      <c r="BI254" s="265">
        <f>IF(BI253+1&gt;MiscData!$Z$42,1,BI253+1)</f>
        <v>23</v>
      </c>
      <c r="BJ254" s="265" t="str">
        <f>VLOOKUP(BI254,MiscData!$Z$5:$AB$46,2,FALSE)</f>
        <v>LGINE661</v>
      </c>
      <c r="BK254" s="265" t="str">
        <f>VLOOKUP(BI254,MiscData!$Z$5:$AB$46,3,FALSE)</f>
        <v>PSS</v>
      </c>
    </row>
    <row r="255" spans="1:63" hidden="1">
      <c r="A255" s="275">
        <v>238</v>
      </c>
      <c r="B255" s="276" t="str">
        <f t="shared" si="171"/>
        <v>Jul 2014</v>
      </c>
      <c r="C255" s="277" t="str">
        <f t="shared" si="179"/>
        <v>PSP</v>
      </c>
      <c r="D255" s="277" t="str">
        <f t="shared" si="172"/>
        <v>LGINE663</v>
      </c>
      <c r="E255" s="278">
        <f t="shared" si="140"/>
        <v>22</v>
      </c>
      <c r="F255" s="279">
        <v>0</v>
      </c>
      <c r="G255" s="278">
        <f t="shared" si="141"/>
        <v>0</v>
      </c>
      <c r="H255" s="278">
        <f t="shared" si="142"/>
        <v>0</v>
      </c>
      <c r="I255" s="278">
        <f t="shared" si="143"/>
        <v>0</v>
      </c>
      <c r="J255" s="278">
        <f t="shared" si="144"/>
        <v>1253925</v>
      </c>
      <c r="K255" s="280">
        <v>0</v>
      </c>
      <c r="L255" s="281">
        <f t="shared" si="145"/>
        <v>0</v>
      </c>
      <c r="M255" s="281">
        <f t="shared" si="146"/>
        <v>0</v>
      </c>
      <c r="N255" s="281">
        <f t="shared" si="147"/>
        <v>4548.3999999999996</v>
      </c>
      <c r="O255" s="282">
        <v>0</v>
      </c>
      <c r="P255" s="282">
        <v>0</v>
      </c>
      <c r="Q255" s="282">
        <v>22.8</v>
      </c>
      <c r="R255" s="283">
        <f t="shared" si="148"/>
        <v>170</v>
      </c>
      <c r="S255" s="284">
        <f t="shared" si="183"/>
        <v>3.9260000000000003E-2</v>
      </c>
      <c r="T255" s="284">
        <f t="shared" si="149"/>
        <v>0</v>
      </c>
      <c r="U255" s="284">
        <f t="shared" si="150"/>
        <v>0</v>
      </c>
      <c r="V255" s="284">
        <f t="shared" si="151"/>
        <v>2.725E-2</v>
      </c>
      <c r="W255" s="283">
        <f t="shared" si="152"/>
        <v>0</v>
      </c>
      <c r="X255" s="283">
        <f t="shared" si="153"/>
        <v>11.660000000000002</v>
      </c>
      <c r="Y255" s="283">
        <f t="shared" si="154"/>
        <v>13.950000000000001</v>
      </c>
      <c r="Z255" s="285">
        <f t="shared" si="155"/>
        <v>3740</v>
      </c>
      <c r="AA255" s="285">
        <f t="shared" si="156"/>
        <v>49229.1</v>
      </c>
      <c r="AB255" s="285">
        <f t="shared" si="173"/>
        <v>0</v>
      </c>
      <c r="AC255" s="285">
        <f t="shared" si="174"/>
        <v>0</v>
      </c>
      <c r="AD255" s="285">
        <f t="shared" si="175"/>
        <v>63450.18</v>
      </c>
      <c r="AE255" s="286">
        <v>0</v>
      </c>
      <c r="AF255" s="287">
        <f t="shared" si="157"/>
        <v>12176.99</v>
      </c>
      <c r="AG255" s="288">
        <f t="shared" si="158"/>
        <v>318.06</v>
      </c>
      <c r="AH255" s="285">
        <f t="shared" si="180"/>
        <v>75945.23</v>
      </c>
      <c r="AI255" s="286">
        <v>0</v>
      </c>
      <c r="AJ255" s="286">
        <v>-0.02</v>
      </c>
      <c r="AK255" s="286">
        <v>0.04</v>
      </c>
      <c r="AL255" s="285">
        <f t="shared" si="160"/>
        <v>128914.34999999999</v>
      </c>
      <c r="AM255" s="285">
        <f t="shared" si="161"/>
        <v>128914.35</v>
      </c>
      <c r="AN255" s="289">
        <f t="shared" si="176"/>
        <v>1</v>
      </c>
      <c r="AO255" s="290">
        <f t="shared" si="162"/>
        <v>2048.31</v>
      </c>
      <c r="AP255" s="290">
        <f t="shared" si="163"/>
        <v>0</v>
      </c>
      <c r="AQ255" s="290">
        <f t="shared" si="164"/>
        <v>4774.34</v>
      </c>
      <c r="AR255" s="290">
        <f t="shared" si="165"/>
        <v>0</v>
      </c>
      <c r="AS255" s="290">
        <f t="shared" si="166"/>
        <v>0</v>
      </c>
      <c r="AT255" s="290">
        <f t="shared" si="167"/>
        <v>135737</v>
      </c>
      <c r="AU255" s="291">
        <f t="shared" si="168"/>
        <v>135737</v>
      </c>
      <c r="AV255" s="291">
        <f t="shared" si="185"/>
        <v>0</v>
      </c>
      <c r="AW255" s="292">
        <f t="shared" si="169"/>
        <v>34169.46</v>
      </c>
      <c r="AX255" s="293">
        <f t="shared" si="170"/>
        <v>15059.620000000003</v>
      </c>
      <c r="BC255" s="276">
        <f>IF(BI255=1,IF(BC254=MiscData!$F$1,EOMONTH(BC254,-11),EOMONTH(BC254,1)),BC254)</f>
        <v>41851</v>
      </c>
      <c r="BD255" s="275" t="str">
        <f t="shared" si="177"/>
        <v>20140101LGINE663</v>
      </c>
      <c r="BE255" s="294" t="str">
        <f t="shared" si="178"/>
        <v>20140101PSP</v>
      </c>
      <c r="BF255">
        <f>MiscData!$X$5</f>
        <v>20140101</v>
      </c>
      <c r="BI255" s="265">
        <f>IF(BI254+1&gt;MiscData!$Z$42,1,BI254+1)</f>
        <v>24</v>
      </c>
      <c r="BJ255" s="265" t="str">
        <f>VLOOKUP(BI255,MiscData!$Z$5:$AB$46,2,FALSE)</f>
        <v>LGINE663</v>
      </c>
      <c r="BK255" s="265" t="str">
        <f>VLOOKUP(BI255,MiscData!$Z$5:$AB$46,3,FALSE)</f>
        <v>PSP</v>
      </c>
    </row>
    <row r="256" spans="1:63" hidden="1">
      <c r="A256" s="275">
        <v>239</v>
      </c>
      <c r="B256" s="276" t="str">
        <f t="shared" si="171"/>
        <v>Jul 2014</v>
      </c>
      <c r="C256" s="277" t="str">
        <f t="shared" si="179"/>
        <v>TODS</v>
      </c>
      <c r="D256" s="277" t="str">
        <f t="shared" si="172"/>
        <v>LGINE691</v>
      </c>
      <c r="E256" s="278">
        <f t="shared" si="140"/>
        <v>78</v>
      </c>
      <c r="F256" s="279">
        <v>3</v>
      </c>
      <c r="G256" s="278">
        <f t="shared" si="141"/>
        <v>0</v>
      </c>
      <c r="H256" s="278">
        <f t="shared" si="142"/>
        <v>0</v>
      </c>
      <c r="I256" s="278">
        <f t="shared" si="143"/>
        <v>0</v>
      </c>
      <c r="J256" s="278">
        <f t="shared" si="144"/>
        <v>21643240</v>
      </c>
      <c r="K256" s="280">
        <v>0</v>
      </c>
      <c r="L256" s="281">
        <f t="shared" si="145"/>
        <v>50665.5</v>
      </c>
      <c r="M256" s="281">
        <f t="shared" si="146"/>
        <v>50169.599999999999</v>
      </c>
      <c r="N256" s="281">
        <f t="shared" si="147"/>
        <v>48957.8</v>
      </c>
      <c r="O256" s="282">
        <v>2053.625</v>
      </c>
      <c r="P256" s="282">
        <v>220.79999999999563</v>
      </c>
      <c r="Q256" s="282">
        <v>168.40000000000873</v>
      </c>
      <c r="R256" s="283">
        <f t="shared" si="148"/>
        <v>200</v>
      </c>
      <c r="S256" s="284">
        <f t="shared" si="183"/>
        <v>3.9899999999999998E-2</v>
      </c>
      <c r="T256" s="284">
        <f t="shared" si="149"/>
        <v>0</v>
      </c>
      <c r="U256" s="284">
        <f t="shared" si="150"/>
        <v>0</v>
      </c>
      <c r="V256" s="284">
        <f t="shared" si="151"/>
        <v>2.725E-2</v>
      </c>
      <c r="W256" s="283">
        <f t="shared" si="152"/>
        <v>4</v>
      </c>
      <c r="X256" s="283">
        <f t="shared" si="153"/>
        <v>4.5100000000000007</v>
      </c>
      <c r="Y256" s="283">
        <f t="shared" si="154"/>
        <v>6.11</v>
      </c>
      <c r="Z256" s="285">
        <f t="shared" si="155"/>
        <v>16200</v>
      </c>
      <c r="AA256" s="285">
        <f t="shared" si="156"/>
        <v>863565.28</v>
      </c>
      <c r="AB256" s="285">
        <f t="shared" si="173"/>
        <v>202662</v>
      </c>
      <c r="AC256" s="285">
        <f t="shared" si="174"/>
        <v>226264.9</v>
      </c>
      <c r="AD256" s="285">
        <f t="shared" si="175"/>
        <v>299132.15999999997</v>
      </c>
      <c r="AE256" s="286">
        <v>0</v>
      </c>
      <c r="AF256" s="287">
        <f t="shared" si="157"/>
        <v>47839.21</v>
      </c>
      <c r="AG256" s="288">
        <f t="shared" si="158"/>
        <v>10239.23</v>
      </c>
      <c r="AH256" s="285">
        <f>SUM(AB256:AG256)</f>
        <v>786137.5</v>
      </c>
      <c r="AI256" s="286">
        <v>0</v>
      </c>
      <c r="AJ256" s="286">
        <v>0.02</v>
      </c>
      <c r="AK256" s="286">
        <v>0.02</v>
      </c>
      <c r="AL256" s="285">
        <f t="shared" si="160"/>
        <v>1665902.8199999998</v>
      </c>
      <c r="AM256" s="285">
        <f t="shared" si="161"/>
        <v>1665902.82</v>
      </c>
      <c r="AN256" s="289">
        <f t="shared" si="176"/>
        <v>1</v>
      </c>
      <c r="AO256" s="290">
        <f t="shared" si="162"/>
        <v>30791.759999999998</v>
      </c>
      <c r="AP256" s="290">
        <f t="shared" si="163"/>
        <v>0</v>
      </c>
      <c r="AQ256" s="290">
        <f t="shared" si="164"/>
        <v>54386.77</v>
      </c>
      <c r="AR256" s="290">
        <f t="shared" si="165"/>
        <v>0</v>
      </c>
      <c r="AS256" s="290">
        <f t="shared" si="166"/>
        <v>0</v>
      </c>
      <c r="AT256" s="290">
        <f t="shared" si="167"/>
        <v>1751081.35</v>
      </c>
      <c r="AU256" s="291">
        <f t="shared" si="168"/>
        <v>1751081.3499999999</v>
      </c>
      <c r="AV256" s="291">
        <f>AT256-AU256</f>
        <v>0</v>
      </c>
      <c r="AW256" s="292">
        <f t="shared" si="169"/>
        <v>589778.29</v>
      </c>
      <c r="AX256" s="293">
        <f t="shared" si="170"/>
        <v>273787.01</v>
      </c>
      <c r="BC256" s="276">
        <f>IF(BI256=1,IF(BC255=MiscData!$F$1,EOMONTH(BC255,-11),EOMONTH(BC255,1)),BC255)</f>
        <v>41851</v>
      </c>
      <c r="BD256" s="275" t="str">
        <f t="shared" si="177"/>
        <v>20140101LGINE691</v>
      </c>
      <c r="BE256" s="294" t="str">
        <f t="shared" si="178"/>
        <v>20140101TODS</v>
      </c>
      <c r="BF256">
        <f>MiscData!$X$5</f>
        <v>20140101</v>
      </c>
      <c r="BI256" s="265">
        <f>IF(BI255+1&gt;MiscData!$Z$42,1,BI255+1)</f>
        <v>25</v>
      </c>
      <c r="BJ256" s="265" t="str">
        <f>VLOOKUP(BI256,MiscData!$Z$5:$AB$46,2,FALSE)</f>
        <v>LGINE691</v>
      </c>
      <c r="BK256" s="265" t="str">
        <f>VLOOKUP(BI256,MiscData!$Z$5:$AB$46,3,FALSE)</f>
        <v>TODS</v>
      </c>
    </row>
    <row r="257" spans="1:63" hidden="1">
      <c r="A257" s="275">
        <v>240</v>
      </c>
      <c r="B257" s="276" t="str">
        <f t="shared" si="171"/>
        <v>Jul 2014</v>
      </c>
      <c r="C257" s="277" t="str">
        <f t="shared" si="179"/>
        <v>ITODP</v>
      </c>
      <c r="D257" s="277" t="str">
        <f t="shared" si="172"/>
        <v>LGINE693</v>
      </c>
      <c r="E257" s="278">
        <f t="shared" si="140"/>
        <v>65</v>
      </c>
      <c r="F257" s="279">
        <v>1</v>
      </c>
      <c r="G257" s="278">
        <f t="shared" si="141"/>
        <v>0</v>
      </c>
      <c r="H257" s="278">
        <f t="shared" si="142"/>
        <v>0</v>
      </c>
      <c r="I257" s="278">
        <f t="shared" si="143"/>
        <v>0</v>
      </c>
      <c r="J257" s="278">
        <f t="shared" si="144"/>
        <v>140014200</v>
      </c>
      <c r="K257" s="280">
        <v>0</v>
      </c>
      <c r="L257" s="281">
        <f t="shared" si="145"/>
        <v>316597.90000000002</v>
      </c>
      <c r="M257" s="281">
        <f t="shared" si="146"/>
        <v>308615.2</v>
      </c>
      <c r="N257" s="281">
        <f t="shared" si="147"/>
        <v>302082.5</v>
      </c>
      <c r="O257" s="282">
        <v>591.60000000003492</v>
      </c>
      <c r="P257" s="282">
        <v>0</v>
      </c>
      <c r="Q257" s="282">
        <v>22.900000000023283</v>
      </c>
      <c r="R257" s="283">
        <f t="shared" si="148"/>
        <v>300</v>
      </c>
      <c r="S257" s="284">
        <f t="shared" si="183"/>
        <v>3.5380000000000002E-2</v>
      </c>
      <c r="T257" s="284">
        <f t="shared" si="149"/>
        <v>0</v>
      </c>
      <c r="U257" s="284">
        <f t="shared" si="150"/>
        <v>0</v>
      </c>
      <c r="V257" s="284">
        <f t="shared" si="151"/>
        <v>2.725E-2</v>
      </c>
      <c r="W257" s="283">
        <f t="shared" si="152"/>
        <v>3.6300000000000003</v>
      </c>
      <c r="X257" s="283">
        <f t="shared" si="153"/>
        <v>3.7900000000000005</v>
      </c>
      <c r="Y257" s="283">
        <f t="shared" si="154"/>
        <v>4.63</v>
      </c>
      <c r="Z257" s="285">
        <f t="shared" si="155"/>
        <v>19800</v>
      </c>
      <c r="AA257" s="285">
        <f t="shared" si="156"/>
        <v>4953702.4000000004</v>
      </c>
      <c r="AB257" s="285">
        <f t="shared" si="173"/>
        <v>1149250.3799999999</v>
      </c>
      <c r="AC257" s="285">
        <f t="shared" si="174"/>
        <v>1169651.6100000001</v>
      </c>
      <c r="AD257" s="285">
        <f t="shared" si="175"/>
        <v>1398641.98</v>
      </c>
      <c r="AE257" s="286">
        <v>0</v>
      </c>
      <c r="AF257" s="287">
        <f t="shared" si="157"/>
        <v>0</v>
      </c>
      <c r="AG257" s="288">
        <f t="shared" si="158"/>
        <v>2253.54</v>
      </c>
      <c r="AH257" s="285">
        <f t="shared" si="180"/>
        <v>3719797.5100000002</v>
      </c>
      <c r="AI257" s="286">
        <v>-300</v>
      </c>
      <c r="AJ257" s="286">
        <v>-0.04</v>
      </c>
      <c r="AK257" s="286">
        <v>0.14000000000000001</v>
      </c>
      <c r="AL257" s="285">
        <f t="shared" si="160"/>
        <v>8693000.0100000016</v>
      </c>
      <c r="AM257" s="285">
        <f t="shared" si="161"/>
        <v>8693000.0099999998</v>
      </c>
      <c r="AN257" s="289">
        <f t="shared" si="176"/>
        <v>1</v>
      </c>
      <c r="AO257" s="290">
        <f t="shared" si="162"/>
        <v>269928.92</v>
      </c>
      <c r="AP257" s="290">
        <f t="shared" si="163"/>
        <v>0</v>
      </c>
      <c r="AQ257" s="290">
        <f t="shared" si="164"/>
        <v>243190.66</v>
      </c>
      <c r="AR257" s="290">
        <f t="shared" si="165"/>
        <v>0</v>
      </c>
      <c r="AS257" s="290">
        <f t="shared" si="166"/>
        <v>0</v>
      </c>
      <c r="AT257" s="290">
        <f t="shared" si="167"/>
        <v>9206119.5899999999</v>
      </c>
      <c r="AU257" s="291">
        <f t="shared" si="168"/>
        <v>9206119.5900000017</v>
      </c>
      <c r="AV257" s="291">
        <f t="shared" si="185"/>
        <v>0</v>
      </c>
      <c r="AW257" s="292">
        <f t="shared" si="169"/>
        <v>3815386.95</v>
      </c>
      <c r="AX257" s="293">
        <f t="shared" si="170"/>
        <v>1138315.4100000001</v>
      </c>
      <c r="BC257" s="276">
        <f>IF(BI257=1,IF(BC256=MiscData!$F$1,EOMONTH(BC256,-11),EOMONTH(BC256,1)),BC256)</f>
        <v>41851</v>
      </c>
      <c r="BD257" s="275" t="str">
        <f t="shared" si="177"/>
        <v>20140101LGINE693</v>
      </c>
      <c r="BE257" s="294" t="str">
        <f t="shared" si="178"/>
        <v>20140101ITODP</v>
      </c>
      <c r="BF257">
        <f>MiscData!$X$5</f>
        <v>20140101</v>
      </c>
      <c r="BI257" s="265">
        <f>IF(BI256+1&gt;MiscData!$Z$42,1,BI256+1)</f>
        <v>26</v>
      </c>
      <c r="BJ257" s="265" t="str">
        <f>VLOOKUP(BI257,MiscData!$Z$5:$AB$46,2,FALSE)</f>
        <v>LGINE693</v>
      </c>
      <c r="BK257" s="265" t="str">
        <f>VLOOKUP(BI257,MiscData!$Z$5:$AB$46,3,FALSE)</f>
        <v>ITODP</v>
      </c>
    </row>
    <row r="258" spans="1:63" hidden="1">
      <c r="A258" s="275">
        <v>241</v>
      </c>
      <c r="B258" s="276" t="str">
        <f t="shared" si="171"/>
        <v>Jul 2014</v>
      </c>
      <c r="C258" s="277" t="str">
        <f t="shared" si="179"/>
        <v>ITODP</v>
      </c>
      <c r="D258" s="277" t="str">
        <f t="shared" si="172"/>
        <v>LGINE694</v>
      </c>
      <c r="E258" s="278">
        <f t="shared" si="140"/>
        <v>0</v>
      </c>
      <c r="F258" s="279">
        <v>0</v>
      </c>
      <c r="G258" s="278">
        <f t="shared" si="141"/>
        <v>0</v>
      </c>
      <c r="H258" s="278">
        <f t="shared" si="142"/>
        <v>0</v>
      </c>
      <c r="I258" s="278">
        <f t="shared" si="143"/>
        <v>0</v>
      </c>
      <c r="J258" s="278">
        <f t="shared" si="144"/>
        <v>0</v>
      </c>
      <c r="K258" s="280">
        <v>0</v>
      </c>
      <c r="L258" s="281">
        <f t="shared" si="145"/>
        <v>0</v>
      </c>
      <c r="M258" s="281">
        <f t="shared" si="146"/>
        <v>0</v>
      </c>
      <c r="N258" s="281">
        <f t="shared" si="147"/>
        <v>0</v>
      </c>
      <c r="O258" s="282">
        <v>0</v>
      </c>
      <c r="P258" s="282">
        <v>0</v>
      </c>
      <c r="Q258" s="282">
        <v>0</v>
      </c>
      <c r="R258" s="283">
        <f t="shared" si="148"/>
        <v>300</v>
      </c>
      <c r="S258" s="284">
        <f t="shared" si="183"/>
        <v>3.5380000000000002E-2</v>
      </c>
      <c r="T258" s="284">
        <f t="shared" si="149"/>
        <v>0</v>
      </c>
      <c r="U258" s="284">
        <f t="shared" si="150"/>
        <v>0</v>
      </c>
      <c r="V258" s="284">
        <f t="shared" si="151"/>
        <v>2.725E-2</v>
      </c>
      <c r="W258" s="283">
        <f t="shared" si="152"/>
        <v>3.6300000000000003</v>
      </c>
      <c r="X258" s="283">
        <f t="shared" si="153"/>
        <v>3.7900000000000005</v>
      </c>
      <c r="Y258" s="283">
        <f t="shared" si="154"/>
        <v>4.63</v>
      </c>
      <c r="Z258" s="285">
        <f t="shared" si="155"/>
        <v>0</v>
      </c>
      <c r="AA258" s="285">
        <f t="shared" si="156"/>
        <v>0</v>
      </c>
      <c r="AB258" s="285">
        <f t="shared" si="173"/>
        <v>0</v>
      </c>
      <c r="AC258" s="285">
        <f t="shared" si="174"/>
        <v>0</v>
      </c>
      <c r="AD258" s="285">
        <f t="shared" si="175"/>
        <v>0</v>
      </c>
      <c r="AE258" s="286">
        <v>0</v>
      </c>
      <c r="AF258" s="287">
        <f t="shared" si="157"/>
        <v>0</v>
      </c>
      <c r="AG258" s="288">
        <f t="shared" si="158"/>
        <v>0</v>
      </c>
      <c r="AH258" s="285">
        <f t="shared" si="180"/>
        <v>0</v>
      </c>
      <c r="AI258" s="286">
        <v>0</v>
      </c>
      <c r="AJ258" s="286">
        <v>0</v>
      </c>
      <c r="AK258" s="286">
        <v>0</v>
      </c>
      <c r="AL258" s="285">
        <f t="shared" si="160"/>
        <v>0</v>
      </c>
      <c r="AM258" s="285">
        <f t="shared" si="161"/>
        <v>0</v>
      </c>
      <c r="AN258" s="289">
        <f t="shared" si="176"/>
        <v>1</v>
      </c>
      <c r="AO258" s="290">
        <f t="shared" si="162"/>
        <v>0</v>
      </c>
      <c r="AP258" s="290">
        <f t="shared" si="163"/>
        <v>0</v>
      </c>
      <c r="AQ258" s="290">
        <f t="shared" si="164"/>
        <v>0</v>
      </c>
      <c r="AR258" s="290">
        <f t="shared" si="165"/>
        <v>0</v>
      </c>
      <c r="AS258" s="290">
        <f t="shared" si="166"/>
        <v>0</v>
      </c>
      <c r="AT258" s="290">
        <f t="shared" si="167"/>
        <v>0</v>
      </c>
      <c r="AU258" s="291">
        <f t="shared" si="168"/>
        <v>0</v>
      </c>
      <c r="AV258" s="291">
        <f t="shared" si="185"/>
        <v>0</v>
      </c>
      <c r="AW258" s="292">
        <f t="shared" si="169"/>
        <v>0</v>
      </c>
      <c r="AX258" s="293">
        <f t="shared" si="170"/>
        <v>0</v>
      </c>
      <c r="BC258" s="276">
        <f>IF(BI258=1,IF(BC257=MiscData!$F$1,EOMONTH(BC257,-11),EOMONTH(BC257,1)),BC257)</f>
        <v>41851</v>
      </c>
      <c r="BD258" s="275" t="str">
        <f t="shared" si="177"/>
        <v>20140101LGINE694</v>
      </c>
      <c r="BE258" s="294" t="str">
        <f t="shared" si="178"/>
        <v>20140101ITODP</v>
      </c>
      <c r="BF258">
        <f>MiscData!$X$5</f>
        <v>20140101</v>
      </c>
      <c r="BI258" s="265">
        <f>IF(BI257+1&gt;MiscData!$Z$42,1,BI257+1)</f>
        <v>27</v>
      </c>
      <c r="BJ258" s="265" t="str">
        <f>VLOOKUP(BI258,MiscData!$Z$5:$AB$46,2,FALSE)</f>
        <v>LGINE694</v>
      </c>
      <c r="BK258" s="265" t="str">
        <f>VLOOKUP(BI258,MiscData!$Z$5:$AB$46,3,FALSE)</f>
        <v>ITODP</v>
      </c>
    </row>
    <row r="259" spans="1:63" hidden="1">
      <c r="A259" s="275">
        <v>242</v>
      </c>
      <c r="B259" s="276" t="str">
        <f t="shared" si="171"/>
        <v>Jul 2014</v>
      </c>
      <c r="C259" s="277" t="str">
        <f t="shared" si="179"/>
        <v>LE</v>
      </c>
      <c r="D259" s="277" t="str">
        <f t="shared" si="172"/>
        <v>LGMLE570</v>
      </c>
      <c r="E259" s="278">
        <f t="shared" si="140"/>
        <v>1</v>
      </c>
      <c r="F259" s="279">
        <v>0</v>
      </c>
      <c r="G259" s="278">
        <f t="shared" si="141"/>
        <v>0</v>
      </c>
      <c r="H259" s="278">
        <f t="shared" si="142"/>
        <v>0</v>
      </c>
      <c r="I259" s="278">
        <f t="shared" si="143"/>
        <v>0</v>
      </c>
      <c r="J259" s="278">
        <f t="shared" si="144"/>
        <v>196</v>
      </c>
      <c r="K259" s="280">
        <v>0</v>
      </c>
      <c r="L259" s="281">
        <f t="shared" si="145"/>
        <v>0</v>
      </c>
      <c r="M259" s="281">
        <f t="shared" si="146"/>
        <v>0</v>
      </c>
      <c r="N259" s="281">
        <f t="shared" si="147"/>
        <v>0</v>
      </c>
      <c r="O259" s="282">
        <v>0</v>
      </c>
      <c r="P259" s="282">
        <v>0</v>
      </c>
      <c r="Q259" s="282">
        <v>0</v>
      </c>
      <c r="R259" s="283">
        <f t="shared" si="148"/>
        <v>0</v>
      </c>
      <c r="S259" s="284">
        <f t="shared" si="183"/>
        <v>6.4610000000000001E-2</v>
      </c>
      <c r="T259" s="284">
        <f t="shared" si="149"/>
        <v>0</v>
      </c>
      <c r="U259" s="284">
        <f t="shared" si="150"/>
        <v>0</v>
      </c>
      <c r="V259" s="284">
        <f t="shared" si="151"/>
        <v>2.725E-2</v>
      </c>
      <c r="W259" s="283">
        <f t="shared" si="152"/>
        <v>0</v>
      </c>
      <c r="X259" s="283">
        <f t="shared" si="153"/>
        <v>0</v>
      </c>
      <c r="Y259" s="283">
        <f t="shared" si="154"/>
        <v>0</v>
      </c>
      <c r="Z259" s="285">
        <f t="shared" si="155"/>
        <v>0</v>
      </c>
      <c r="AA259" s="285">
        <f t="shared" si="156"/>
        <v>12.66</v>
      </c>
      <c r="AB259" s="285">
        <f t="shared" si="173"/>
        <v>0</v>
      </c>
      <c r="AC259" s="285">
        <f t="shared" si="174"/>
        <v>0</v>
      </c>
      <c r="AD259" s="285">
        <f t="shared" si="175"/>
        <v>0</v>
      </c>
      <c r="AE259" s="286">
        <v>0</v>
      </c>
      <c r="AF259" s="287">
        <f t="shared" si="157"/>
        <v>0</v>
      </c>
      <c r="AG259" s="288">
        <f t="shared" si="158"/>
        <v>0</v>
      </c>
      <c r="AH259" s="285">
        <f t="shared" si="180"/>
        <v>0</v>
      </c>
      <c r="AI259" s="286">
        <v>0</v>
      </c>
      <c r="AJ259" s="286">
        <v>0</v>
      </c>
      <c r="AK259" s="286">
        <v>0</v>
      </c>
      <c r="AL259" s="285">
        <f t="shared" si="160"/>
        <v>12.66</v>
      </c>
      <c r="AM259" s="285">
        <f t="shared" si="161"/>
        <v>12.66</v>
      </c>
      <c r="AN259" s="289">
        <f t="shared" si="176"/>
        <v>1</v>
      </c>
      <c r="AO259" s="290">
        <f t="shared" si="162"/>
        <v>0.27</v>
      </c>
      <c r="AP259" s="290">
        <f t="shared" si="163"/>
        <v>0</v>
      </c>
      <c r="AQ259" s="290">
        <f t="shared" si="164"/>
        <v>0.41</v>
      </c>
      <c r="AR259" s="290">
        <f t="shared" si="165"/>
        <v>0</v>
      </c>
      <c r="AS259" s="290">
        <f t="shared" si="166"/>
        <v>0</v>
      </c>
      <c r="AT259" s="290">
        <f t="shared" si="167"/>
        <v>13.34</v>
      </c>
      <c r="AU259" s="291">
        <f t="shared" si="168"/>
        <v>13.34</v>
      </c>
      <c r="AV259" s="291">
        <f t="shared" ref="AV259:AV292" si="186">AT259-AU259</f>
        <v>0</v>
      </c>
      <c r="AW259" s="292">
        <f t="shared" si="169"/>
        <v>5.34</v>
      </c>
      <c r="AX259" s="293">
        <f t="shared" si="170"/>
        <v>7.32</v>
      </c>
      <c r="BC259" s="276">
        <f>IF(BI259=1,IF(BC258=MiscData!$F$1,EOMONTH(BC258,-11),EOMONTH(BC258,1)),BC258)</f>
        <v>41851</v>
      </c>
      <c r="BD259" s="275" t="str">
        <f t="shared" si="177"/>
        <v>20140101LGMLE570</v>
      </c>
      <c r="BE259" s="294" t="str">
        <f t="shared" si="178"/>
        <v>20140101LE</v>
      </c>
      <c r="BF259">
        <f>MiscData!$X$5</f>
        <v>20140101</v>
      </c>
      <c r="BI259" s="265">
        <f>IF(BI258+1&gt;MiscData!$Z$42,1,BI258+1)</f>
        <v>28</v>
      </c>
      <c r="BJ259" s="265" t="str">
        <f>VLOOKUP(BI259,MiscData!$Z$5:$AB$46,2,FALSE)</f>
        <v>LGMLE570</v>
      </c>
      <c r="BK259" s="265" t="str">
        <f>VLOOKUP(BI259,MiscData!$Z$5:$AB$46,3,FALSE)</f>
        <v>LE</v>
      </c>
    </row>
    <row r="260" spans="1:63" hidden="1">
      <c r="A260" s="275">
        <v>243</v>
      </c>
      <c r="B260" s="276" t="str">
        <f t="shared" si="171"/>
        <v>Jul 2014</v>
      </c>
      <c r="C260" s="277" t="str">
        <f t="shared" si="179"/>
        <v>LE</v>
      </c>
      <c r="D260" s="277" t="str">
        <f t="shared" si="172"/>
        <v>LGMLE571</v>
      </c>
      <c r="E260" s="278">
        <f t="shared" ref="E260:E323" si="187">SUMIFS(L_1022_Count,L_1022_Revenue_Month,$B260,L_1022_Rate_Category,$D260)</f>
        <v>157</v>
      </c>
      <c r="F260" s="279">
        <v>0</v>
      </c>
      <c r="G260" s="278">
        <f t="shared" ref="G260:G323" si="188">SUMIFS(L_1022_KWH_P1,L_1022_Revenue_Month,$B260,L_1022_Rate_Category,$D260)</f>
        <v>0</v>
      </c>
      <c r="H260" s="278">
        <f t="shared" ref="H260:H323" si="189">SUMIFS(L_1022_KWH_P2,L_1022_Revenue_Month,$B260,L_1022_Rate_Category,$D260)</f>
        <v>0</v>
      </c>
      <c r="I260" s="278">
        <f t="shared" ref="I260:I323" si="190">SUMIFS(L_1022_KWH_P3,L_1022_Revenue_Month,$B260,L_1022_Rate_Category,$D260)</f>
        <v>0</v>
      </c>
      <c r="J260" s="278">
        <f t="shared" ref="J260:J323" si="191">SUMIFS(L_1022_KWH_Total,L_1022_Revenue_Month,$B260,L_1022_Rate_Category,$D260)</f>
        <v>142012</v>
      </c>
      <c r="K260" s="280">
        <v>0</v>
      </c>
      <c r="L260" s="281">
        <f t="shared" ref="L260:L323" si="192">SUMIFS(L_1022_Demand_Base_Measured,L_1022_Revenue_Month,$B260,L_1022_Rate_Category,$D260)</f>
        <v>0</v>
      </c>
      <c r="M260" s="281">
        <f t="shared" ref="M260:M323" si="193">SUMIFS(L_1022_Demand_Inter_Measured,L_1022_Revenue_Month,$B260,L_1022_Rate_Category,$D260)</f>
        <v>0</v>
      </c>
      <c r="N260" s="281">
        <f t="shared" ref="N260:N323" si="194">SUMIFS(L_1022_Demand_Peak_Measured,L_1022_Revenue_Month,$B260,L_1022_Rate_Category,$D260)</f>
        <v>0</v>
      </c>
      <c r="O260" s="282">
        <v>0</v>
      </c>
      <c r="P260" s="282">
        <v>0</v>
      </c>
      <c r="Q260" s="282">
        <v>0</v>
      </c>
      <c r="R260" s="283">
        <f t="shared" ref="R260:R323" si="195">SUMIF(L_Rates_Tariff_Rate_Category,BD260,L_Rates_BSC)</f>
        <v>0</v>
      </c>
      <c r="S260" s="284">
        <f t="shared" si="183"/>
        <v>6.4610000000000001E-2</v>
      </c>
      <c r="T260" s="284">
        <f t="shared" ref="T260:T323" si="196">SUMIF(L_Rates_Tariff_Rate_Category,$BD260,L_Rates_Energy_P2)</f>
        <v>0</v>
      </c>
      <c r="U260" s="284">
        <f t="shared" ref="U260:U323" si="197">SUMIF(L_Rates_Tariff_Rate_Category,$BD260,L_Rates_Energy_P3)</f>
        <v>0</v>
      </c>
      <c r="V260" s="284">
        <f t="shared" ref="V260:V323" si="198">SUMIF(L_Rates_Tariff_Rate_Category,$BD260,L_Rates_Energy_Base_Fuel)</f>
        <v>2.725E-2</v>
      </c>
      <c r="W260" s="283">
        <f t="shared" ref="W260:W323" si="199">SUMIF(L_Rates_Tariff_Rate_Category,$BD260,L_Rates_Demand_Base)</f>
        <v>0</v>
      </c>
      <c r="X260" s="283">
        <f t="shared" ref="X260:X323" si="200">SUMIF(L_Rates_Tariff_Rate_Category,$BD260,L_Rates_Demand_Intermediate)</f>
        <v>0</v>
      </c>
      <c r="Y260" s="283">
        <f t="shared" ref="Y260:Y323" si="201">SUMIF(L_Rates_Tariff_Rate_Category,$BD260,L_Rates_Demand_Peak)</f>
        <v>0</v>
      </c>
      <c r="Z260" s="285">
        <f t="shared" ref="Z260:Z323" si="202">ROUND(($E260+$F260)*$R260,2)</f>
        <v>0</v>
      </c>
      <c r="AA260" s="285">
        <f t="shared" ref="AA260:AA323" si="203">ROUND(IF(G260=0,(J260+K260)*S260,SUMPRODUCT(G260:I260,S260:U260)),2)</f>
        <v>9175.4</v>
      </c>
      <c r="AB260" s="285">
        <f t="shared" si="173"/>
        <v>0</v>
      </c>
      <c r="AC260" s="285">
        <f t="shared" si="174"/>
        <v>0</v>
      </c>
      <c r="AD260" s="285">
        <f t="shared" si="175"/>
        <v>0</v>
      </c>
      <c r="AE260" s="286">
        <v>0</v>
      </c>
      <c r="AF260" s="287">
        <f t="shared" ref="AF260:AF323" si="204">SUMIFS(L_1022_Revenue_Power_Factor,L_1022_Revenue_Month,$B260,L_1022_Rate_Category,$D260)</f>
        <v>0</v>
      </c>
      <c r="AG260" s="288">
        <f t="shared" ref="AG260:AG323" si="205">ROUND(Q260*Y260+P260*X260+O260*W260,2)</f>
        <v>0</v>
      </c>
      <c r="AH260" s="285">
        <f t="shared" si="180"/>
        <v>0</v>
      </c>
      <c r="AI260" s="286">
        <v>0</v>
      </c>
      <c r="AJ260" s="286">
        <v>-0.13</v>
      </c>
      <c r="AK260" s="286">
        <v>0</v>
      </c>
      <c r="AL260" s="285">
        <f t="shared" ref="AL260:AL323" si="206">SUM(Z260:AG260,AI260:AK260)</f>
        <v>9175.27</v>
      </c>
      <c r="AM260" s="285">
        <f t="shared" ref="AM260:AM323" si="207">AT260-SUM(AO260:AS260)</f>
        <v>9175.27</v>
      </c>
      <c r="AN260" s="289">
        <f t="shared" si="176"/>
        <v>1</v>
      </c>
      <c r="AO260" s="290">
        <f t="shared" ref="AO260:AO323" si="208">SUMIFS(L_SBR_FAC,L_SBR_Revenue_Month,$B260,L_SBR_Rate_Category,$D260)</f>
        <v>214.72</v>
      </c>
      <c r="AP260" s="290">
        <f t="shared" ref="AP260:AP323" si="209">SUMIFS(L_SBR_DSM,L_SBR_Revenue_Month,$B260,L_SBR_Rate_Category,$D260)</f>
        <v>0</v>
      </c>
      <c r="AQ260" s="290">
        <f t="shared" ref="AQ260:AQ323" si="210">SUMIFS(L_SBR_ECR,L_SBR_Revenue_Month,$B260,L_SBR_Rate_Category,$D260)</f>
        <v>296.44</v>
      </c>
      <c r="AR260" s="290">
        <f t="shared" ref="AR260:AR323" si="211">SUMIFS(L_SBR_MSR,L_SBR_Revenue_Month,$B260,L_SBR_Rate_Category,$D260)</f>
        <v>0</v>
      </c>
      <c r="AS260" s="290">
        <f t="shared" ref="AS260:AS323" si="212">SUMIFS(L_SBR_CSR,L_SBR_Revenue_Month,$B260,L_SBR_Rate_Category,$D260)</f>
        <v>0</v>
      </c>
      <c r="AT260" s="290">
        <f t="shared" ref="AT260:AT323" si="213">SUMIFS(L_SBR_Revenue_Total,L_SBR_Revenue_Month,$B260,L_SBR_Rate_Category,$D260)</f>
        <v>9686.43</v>
      </c>
      <c r="AU260" s="291">
        <f t="shared" ref="AU260:AU323" si="214">SUM(AL260,AO260:AS260)</f>
        <v>9686.43</v>
      </c>
      <c r="AV260" s="291">
        <f t="shared" ref="AV260:AV264" si="215">ROUND(AT260-AU260,2)</f>
        <v>0</v>
      </c>
      <c r="AW260" s="292">
        <f t="shared" ref="AW260:AW323" si="216">ROUND(J260*V260,2)</f>
        <v>3869.83</v>
      </c>
      <c r="AX260" s="293">
        <f t="shared" ref="AX260:AX323" si="217">AA260+AJ260-AW260</f>
        <v>5305.4400000000005</v>
      </c>
      <c r="BC260" s="276">
        <f>IF(BI260=1,IF(BC259=MiscData!$F$1,EOMONTH(BC259,-11),EOMONTH(BC259,1)),BC259)</f>
        <v>41851</v>
      </c>
      <c r="BD260" s="275" t="str">
        <f t="shared" si="177"/>
        <v>20140101LGMLE571</v>
      </c>
      <c r="BE260" s="294" t="str">
        <f t="shared" si="178"/>
        <v>20140101LE</v>
      </c>
      <c r="BF260">
        <f>MiscData!$X$5</f>
        <v>20140101</v>
      </c>
      <c r="BI260" s="265">
        <f>IF(BI259+1&gt;MiscData!$Z$42,1,BI259+1)</f>
        <v>29</v>
      </c>
      <c r="BJ260" s="265" t="str">
        <f>VLOOKUP(BI260,MiscData!$Z$5:$AB$46,2,FALSE)</f>
        <v>LGMLE571</v>
      </c>
      <c r="BK260" s="265" t="str">
        <f>VLOOKUP(BI260,MiscData!$Z$5:$AB$46,3,FALSE)</f>
        <v>LE</v>
      </c>
    </row>
    <row r="261" spans="1:63" hidden="1">
      <c r="A261" s="275">
        <v>244</v>
      </c>
      <c r="B261" s="276" t="str">
        <f t="shared" ref="B261:B324" si="218">TEXT(BC261,"mmm yyyy")</f>
        <v>Jul 2014</v>
      </c>
      <c r="C261" s="277" t="str">
        <f t="shared" ref="C261:C324" si="219">BK261</f>
        <v>LE</v>
      </c>
      <c r="D261" s="277" t="str">
        <f t="shared" ref="D261:D324" si="220">BJ261</f>
        <v>LGMLE572</v>
      </c>
      <c r="E261" s="278">
        <f t="shared" si="187"/>
        <v>13</v>
      </c>
      <c r="F261" s="279">
        <v>0</v>
      </c>
      <c r="G261" s="278">
        <f t="shared" si="188"/>
        <v>0</v>
      </c>
      <c r="H261" s="278">
        <f t="shared" si="189"/>
        <v>0</v>
      </c>
      <c r="I261" s="278">
        <f t="shared" si="190"/>
        <v>0</v>
      </c>
      <c r="J261" s="278">
        <f t="shared" si="191"/>
        <v>75239</v>
      </c>
      <c r="K261" s="280">
        <v>0</v>
      </c>
      <c r="L261" s="281">
        <f t="shared" si="192"/>
        <v>0</v>
      </c>
      <c r="M261" s="281">
        <f t="shared" si="193"/>
        <v>0</v>
      </c>
      <c r="N261" s="281">
        <f t="shared" si="194"/>
        <v>0</v>
      </c>
      <c r="O261" s="282">
        <v>0</v>
      </c>
      <c r="P261" s="282">
        <v>0</v>
      </c>
      <c r="Q261" s="282">
        <v>0</v>
      </c>
      <c r="R261" s="283">
        <f t="shared" si="195"/>
        <v>0</v>
      </c>
      <c r="S261" s="284">
        <f t="shared" si="183"/>
        <v>6.4610000000000001E-2</v>
      </c>
      <c r="T261" s="284">
        <f t="shared" si="196"/>
        <v>0</v>
      </c>
      <c r="U261" s="284">
        <f t="shared" si="197"/>
        <v>0</v>
      </c>
      <c r="V261" s="284">
        <f t="shared" si="198"/>
        <v>2.725E-2</v>
      </c>
      <c r="W261" s="283">
        <f t="shared" si="199"/>
        <v>0</v>
      </c>
      <c r="X261" s="283">
        <f t="shared" si="200"/>
        <v>0</v>
      </c>
      <c r="Y261" s="283">
        <f t="shared" si="201"/>
        <v>0</v>
      </c>
      <c r="Z261" s="285">
        <f t="shared" si="202"/>
        <v>0</v>
      </c>
      <c r="AA261" s="285">
        <f t="shared" si="203"/>
        <v>4861.1899999999996</v>
      </c>
      <c r="AB261" s="285">
        <f t="shared" ref="AB261:AB324" si="221">ROUND(L261*W261,2)</f>
        <v>0</v>
      </c>
      <c r="AC261" s="285">
        <f t="shared" ref="AC261:AC324" si="222">ROUND(M261*X261,2)</f>
        <v>0</v>
      </c>
      <c r="AD261" s="285">
        <f t="shared" ref="AD261:AD324" si="223">ROUND(N261*Y261,2)</f>
        <v>0</v>
      </c>
      <c r="AE261" s="286">
        <v>0</v>
      </c>
      <c r="AF261" s="287">
        <f t="shared" si="204"/>
        <v>0</v>
      </c>
      <c r="AG261" s="288">
        <f t="shared" si="205"/>
        <v>0</v>
      </c>
      <c r="AH261" s="285">
        <f t="shared" si="180"/>
        <v>0</v>
      </c>
      <c r="AI261" s="286">
        <v>0</v>
      </c>
      <c r="AJ261" s="286">
        <v>-0.01</v>
      </c>
      <c r="AK261" s="286">
        <v>0</v>
      </c>
      <c r="AL261" s="285">
        <f t="shared" si="206"/>
        <v>4861.1799999999994</v>
      </c>
      <c r="AM261" s="285">
        <f t="shared" si="207"/>
        <v>4861.18</v>
      </c>
      <c r="AN261" s="289">
        <f t="shared" ref="AN261:AN324" si="224">IF(AND(AL261=0,AM261=0),1,IF(AL261=0,0,ROUND(AM261/AL261,6)))</f>
        <v>1</v>
      </c>
      <c r="AO261" s="290">
        <f t="shared" si="208"/>
        <v>105.23</v>
      </c>
      <c r="AP261" s="290">
        <f t="shared" si="209"/>
        <v>0</v>
      </c>
      <c r="AQ261" s="290">
        <f t="shared" si="210"/>
        <v>157.36000000000001</v>
      </c>
      <c r="AR261" s="290">
        <f t="shared" si="211"/>
        <v>0</v>
      </c>
      <c r="AS261" s="290">
        <f t="shared" si="212"/>
        <v>0</v>
      </c>
      <c r="AT261" s="290">
        <f>SUMIFS(L_SBR_Revenue_Total,L_SBR_Revenue_Month,$B261,L_SBR_Rate_Category,$D261)</f>
        <v>5123.7700000000004</v>
      </c>
      <c r="AU261" s="291">
        <f t="shared" si="214"/>
        <v>5123.7699999999986</v>
      </c>
      <c r="AV261" s="291">
        <f t="shared" si="215"/>
        <v>0</v>
      </c>
      <c r="AW261" s="292">
        <f t="shared" si="216"/>
        <v>2050.2600000000002</v>
      </c>
      <c r="AX261" s="293">
        <f t="shared" si="217"/>
        <v>2810.9199999999992</v>
      </c>
      <c r="BC261" s="276">
        <f>IF(BI261=1,IF(BC260=MiscData!$F$1,EOMONTH(BC260,-11),EOMONTH(BC260,1)),BC260)</f>
        <v>41851</v>
      </c>
      <c r="BD261" s="275" t="str">
        <f t="shared" ref="BD261:BD324" si="225">CONCATENATE(BF261&amp;BJ261)</f>
        <v>20140101LGMLE572</v>
      </c>
      <c r="BE261" s="294" t="str">
        <f t="shared" ref="BE261:BE324" si="226">CONCATENATE(BF261&amp;BK261)</f>
        <v>20140101LE</v>
      </c>
      <c r="BF261">
        <f>MiscData!$X$5</f>
        <v>20140101</v>
      </c>
      <c r="BI261" s="265">
        <f>IF(BI260+1&gt;MiscData!$Z$42,1,BI260+1)</f>
        <v>30</v>
      </c>
      <c r="BJ261" s="265" t="str">
        <f>VLOOKUP(BI261,MiscData!$Z$5:$AB$46,2,FALSE)</f>
        <v>LGMLE572</v>
      </c>
      <c r="BK261" s="265" t="str">
        <f>VLOOKUP(BI261,MiscData!$Z$5:$AB$46,3,FALSE)</f>
        <v>LE</v>
      </c>
    </row>
    <row r="262" spans="1:63" hidden="1">
      <c r="A262" s="275">
        <v>245</v>
      </c>
      <c r="B262" s="276" t="str">
        <f t="shared" si="218"/>
        <v>Jul 2014</v>
      </c>
      <c r="C262" s="277" t="str">
        <f t="shared" si="219"/>
        <v>TE</v>
      </c>
      <c r="D262" s="277" t="str">
        <f t="shared" si="220"/>
        <v>LGMLE573</v>
      </c>
      <c r="E262" s="278">
        <f t="shared" si="187"/>
        <v>897</v>
      </c>
      <c r="F262" s="279">
        <v>2</v>
      </c>
      <c r="G262" s="278">
        <f t="shared" si="188"/>
        <v>0</v>
      </c>
      <c r="H262" s="278">
        <f t="shared" si="189"/>
        <v>0</v>
      </c>
      <c r="I262" s="278">
        <f t="shared" si="190"/>
        <v>0</v>
      </c>
      <c r="J262" s="278">
        <f t="shared" si="191"/>
        <v>178433</v>
      </c>
      <c r="K262" s="280">
        <v>0</v>
      </c>
      <c r="L262" s="281">
        <f t="shared" si="192"/>
        <v>0</v>
      </c>
      <c r="M262" s="281">
        <f t="shared" si="193"/>
        <v>0</v>
      </c>
      <c r="N262" s="281">
        <f t="shared" si="194"/>
        <v>0</v>
      </c>
      <c r="O262" s="282">
        <v>0</v>
      </c>
      <c r="P262" s="282">
        <v>0</v>
      </c>
      <c r="Q262" s="282">
        <v>0</v>
      </c>
      <c r="R262" s="283">
        <f t="shared" si="195"/>
        <v>3.25</v>
      </c>
      <c r="S262" s="284">
        <f t="shared" si="183"/>
        <v>7.6579999999999995E-2</v>
      </c>
      <c r="T262" s="284">
        <f t="shared" si="196"/>
        <v>0</v>
      </c>
      <c r="U262" s="284">
        <f t="shared" si="197"/>
        <v>0</v>
      </c>
      <c r="V262" s="284">
        <f t="shared" si="198"/>
        <v>2.725E-2</v>
      </c>
      <c r="W262" s="283">
        <f t="shared" si="199"/>
        <v>0</v>
      </c>
      <c r="X262" s="283">
        <f t="shared" si="200"/>
        <v>0</v>
      </c>
      <c r="Y262" s="283">
        <f t="shared" si="201"/>
        <v>0</v>
      </c>
      <c r="Z262" s="285">
        <f t="shared" si="202"/>
        <v>2921.75</v>
      </c>
      <c r="AA262" s="285">
        <f t="shared" si="203"/>
        <v>13664.4</v>
      </c>
      <c r="AB262" s="285">
        <f t="shared" si="221"/>
        <v>0</v>
      </c>
      <c r="AC262" s="285">
        <f t="shared" si="222"/>
        <v>0</v>
      </c>
      <c r="AD262" s="285">
        <f t="shared" si="223"/>
        <v>0</v>
      </c>
      <c r="AE262" s="286">
        <v>0</v>
      </c>
      <c r="AF262" s="287">
        <f t="shared" si="204"/>
        <v>0</v>
      </c>
      <c r="AG262" s="288">
        <f t="shared" si="205"/>
        <v>0</v>
      </c>
      <c r="AH262" s="285">
        <f t="shared" ref="AH262:AH324" si="227">SUM(AB262:AG262)</f>
        <v>0</v>
      </c>
      <c r="AI262" s="286">
        <v>0.33</v>
      </c>
      <c r="AJ262" s="286">
        <v>0</v>
      </c>
      <c r="AK262" s="286">
        <v>0</v>
      </c>
      <c r="AL262" s="285">
        <f t="shared" si="206"/>
        <v>16586.480000000003</v>
      </c>
      <c r="AM262" s="285">
        <f t="shared" si="207"/>
        <v>16586.480000000003</v>
      </c>
      <c r="AN262" s="289">
        <f t="shared" si="224"/>
        <v>1</v>
      </c>
      <c r="AO262" s="290">
        <f t="shared" si="208"/>
        <v>273.86</v>
      </c>
      <c r="AP262" s="290">
        <f t="shared" si="209"/>
        <v>0</v>
      </c>
      <c r="AQ262" s="290">
        <f t="shared" si="210"/>
        <v>532.15</v>
      </c>
      <c r="AR262" s="290">
        <f t="shared" si="211"/>
        <v>0</v>
      </c>
      <c r="AS262" s="290">
        <f t="shared" si="212"/>
        <v>0</v>
      </c>
      <c r="AT262" s="290">
        <f t="shared" si="213"/>
        <v>17392.490000000002</v>
      </c>
      <c r="AU262" s="291">
        <f t="shared" si="214"/>
        <v>17392.490000000005</v>
      </c>
      <c r="AV262" s="291">
        <f t="shared" si="215"/>
        <v>0</v>
      </c>
      <c r="AW262" s="292">
        <f t="shared" si="216"/>
        <v>4862.3</v>
      </c>
      <c r="AX262" s="293">
        <f t="shared" si="217"/>
        <v>8802.0999999999985</v>
      </c>
      <c r="BC262" s="276">
        <f>IF(BI262=1,IF(BC261=MiscData!$F$1,EOMONTH(BC261,-11),EOMONTH(BC261,1)),BC261)</f>
        <v>41851</v>
      </c>
      <c r="BD262" s="275" t="str">
        <f t="shared" si="225"/>
        <v>20140101LGMLE573</v>
      </c>
      <c r="BE262" s="294" t="str">
        <f t="shared" si="226"/>
        <v>20140101TE</v>
      </c>
      <c r="BF262">
        <f>MiscData!$X$5</f>
        <v>20140101</v>
      </c>
      <c r="BI262" s="265">
        <f>IF(BI261+1&gt;MiscData!$Z$42,1,BI261+1)</f>
        <v>31</v>
      </c>
      <c r="BJ262" s="265" t="str">
        <f>VLOOKUP(BI262,MiscData!$Z$5:$AB$46,2,FALSE)</f>
        <v>LGMLE573</v>
      </c>
      <c r="BK262" s="265" t="str">
        <f>VLOOKUP(BI262,MiscData!$Z$5:$AB$46,3,FALSE)</f>
        <v>TE</v>
      </c>
    </row>
    <row r="263" spans="1:63" hidden="1">
      <c r="A263" s="275">
        <v>246</v>
      </c>
      <c r="B263" s="276" t="str">
        <f t="shared" si="218"/>
        <v>Jul 2014</v>
      </c>
      <c r="C263" s="277" t="str">
        <f t="shared" si="219"/>
        <v>TE</v>
      </c>
      <c r="D263" s="277" t="str">
        <f t="shared" si="220"/>
        <v>LGMLE574</v>
      </c>
      <c r="E263" s="278">
        <f t="shared" si="187"/>
        <v>8</v>
      </c>
      <c r="F263" s="279">
        <v>126</v>
      </c>
      <c r="G263" s="278">
        <f t="shared" si="188"/>
        <v>0</v>
      </c>
      <c r="H263" s="278">
        <f t="shared" si="189"/>
        <v>0</v>
      </c>
      <c r="I263" s="278">
        <f t="shared" si="190"/>
        <v>0</v>
      </c>
      <c r="J263" s="278">
        <f t="shared" si="191"/>
        <v>68742</v>
      </c>
      <c r="K263" s="280">
        <v>0</v>
      </c>
      <c r="L263" s="281">
        <f t="shared" si="192"/>
        <v>0</v>
      </c>
      <c r="M263" s="281">
        <f t="shared" si="193"/>
        <v>0</v>
      </c>
      <c r="N263" s="281">
        <f t="shared" si="194"/>
        <v>0</v>
      </c>
      <c r="O263" s="282">
        <v>0</v>
      </c>
      <c r="P263" s="282">
        <v>0</v>
      </c>
      <c r="Q263" s="282">
        <v>0</v>
      </c>
      <c r="R263" s="283">
        <f t="shared" si="195"/>
        <v>3.25</v>
      </c>
      <c r="S263" s="284">
        <f t="shared" si="183"/>
        <v>7.6579999999999995E-2</v>
      </c>
      <c r="T263" s="284">
        <f t="shared" si="196"/>
        <v>0</v>
      </c>
      <c r="U263" s="284">
        <f t="shared" si="197"/>
        <v>0</v>
      </c>
      <c r="V263" s="284">
        <f t="shared" si="198"/>
        <v>2.725E-2</v>
      </c>
      <c r="W263" s="283">
        <f t="shared" si="199"/>
        <v>0</v>
      </c>
      <c r="X263" s="283">
        <f t="shared" si="200"/>
        <v>0</v>
      </c>
      <c r="Y263" s="283">
        <f t="shared" si="201"/>
        <v>0</v>
      </c>
      <c r="Z263" s="285">
        <f t="shared" si="202"/>
        <v>435.5</v>
      </c>
      <c r="AA263" s="285">
        <f t="shared" si="203"/>
        <v>5264.26</v>
      </c>
      <c r="AB263" s="285">
        <f t="shared" si="221"/>
        <v>0</v>
      </c>
      <c r="AC263" s="285">
        <f t="shared" si="222"/>
        <v>0</v>
      </c>
      <c r="AD263" s="285">
        <f t="shared" si="223"/>
        <v>0</v>
      </c>
      <c r="AE263" s="286">
        <v>0</v>
      </c>
      <c r="AF263" s="287">
        <f t="shared" si="204"/>
        <v>0</v>
      </c>
      <c r="AG263" s="288">
        <f t="shared" si="205"/>
        <v>0</v>
      </c>
      <c r="AH263" s="285">
        <f t="shared" si="227"/>
        <v>0</v>
      </c>
      <c r="AI263" s="286">
        <v>0</v>
      </c>
      <c r="AJ263" s="286">
        <v>0</v>
      </c>
      <c r="AK263" s="286">
        <v>0</v>
      </c>
      <c r="AL263" s="285">
        <f t="shared" si="206"/>
        <v>5699.76</v>
      </c>
      <c r="AM263" s="285">
        <f t="shared" si="207"/>
        <v>5699.7599999999993</v>
      </c>
      <c r="AN263" s="289">
        <f t="shared" si="224"/>
        <v>1</v>
      </c>
      <c r="AO263" s="290">
        <f t="shared" si="208"/>
        <v>94.86</v>
      </c>
      <c r="AP263" s="290">
        <f t="shared" si="209"/>
        <v>0</v>
      </c>
      <c r="AQ263" s="290">
        <f t="shared" si="210"/>
        <v>183.7</v>
      </c>
      <c r="AR263" s="290">
        <f t="shared" si="211"/>
        <v>0</v>
      </c>
      <c r="AS263" s="290">
        <f t="shared" si="212"/>
        <v>0</v>
      </c>
      <c r="AT263" s="290">
        <f t="shared" si="213"/>
        <v>5978.32</v>
      </c>
      <c r="AU263" s="291">
        <f t="shared" si="214"/>
        <v>5978.32</v>
      </c>
      <c r="AV263" s="291">
        <f t="shared" si="215"/>
        <v>0</v>
      </c>
      <c r="AW263" s="292">
        <f t="shared" si="216"/>
        <v>1873.22</v>
      </c>
      <c r="AX263" s="293">
        <f t="shared" si="217"/>
        <v>3391.04</v>
      </c>
      <c r="BC263" s="276">
        <f>IF(BI263=1,IF(BC262=MiscData!$F$1,EOMONTH(BC262,-11),EOMONTH(BC262,1)),BC262)</f>
        <v>41851</v>
      </c>
      <c r="BD263" s="275" t="str">
        <f t="shared" si="225"/>
        <v>20140101LGMLE574</v>
      </c>
      <c r="BE263" s="294" t="str">
        <f t="shared" si="226"/>
        <v>20140101TE</v>
      </c>
      <c r="BF263">
        <f>MiscData!$X$5</f>
        <v>20140101</v>
      </c>
      <c r="BI263" s="265">
        <f>IF(BI262+1&gt;MiscData!$Z$42,1,BI262+1)</f>
        <v>32</v>
      </c>
      <c r="BJ263" s="265" t="str">
        <f>VLOOKUP(BI263,MiscData!$Z$5:$AB$46,2,FALSE)</f>
        <v>LGMLE574</v>
      </c>
      <c r="BK263" s="265" t="str">
        <f>VLOOKUP(BI263,MiscData!$Z$5:$AB$46,3,FALSE)</f>
        <v>TE</v>
      </c>
    </row>
    <row r="264" spans="1:63" hidden="1">
      <c r="A264" s="275">
        <v>247</v>
      </c>
      <c r="B264" s="276" t="str">
        <f t="shared" si="218"/>
        <v>Jul 2014</v>
      </c>
      <c r="C264" s="277" t="str">
        <f t="shared" si="219"/>
        <v>RS</v>
      </c>
      <c r="D264" s="277" t="str">
        <f t="shared" si="220"/>
        <v>LGRSE411</v>
      </c>
      <c r="E264" s="278">
        <f t="shared" si="187"/>
        <v>3461</v>
      </c>
      <c r="F264" s="279">
        <f>-E264</f>
        <v>-3461</v>
      </c>
      <c r="G264" s="278">
        <f t="shared" si="188"/>
        <v>0</v>
      </c>
      <c r="H264" s="278">
        <f t="shared" si="189"/>
        <v>0</v>
      </c>
      <c r="I264" s="278">
        <f t="shared" si="190"/>
        <v>0</v>
      </c>
      <c r="J264" s="278">
        <f t="shared" si="191"/>
        <v>666963</v>
      </c>
      <c r="K264" s="280">
        <v>0</v>
      </c>
      <c r="L264" s="281">
        <f t="shared" si="192"/>
        <v>0</v>
      </c>
      <c r="M264" s="281">
        <f t="shared" si="193"/>
        <v>0</v>
      </c>
      <c r="N264" s="281">
        <f t="shared" si="194"/>
        <v>0</v>
      </c>
      <c r="O264" s="282">
        <v>0</v>
      </c>
      <c r="P264" s="282">
        <v>0</v>
      </c>
      <c r="Q264" s="282">
        <v>0</v>
      </c>
      <c r="R264" s="283">
        <f t="shared" si="195"/>
        <v>0</v>
      </c>
      <c r="S264" s="284">
        <f t="shared" si="183"/>
        <v>8.0760000000000012E-2</v>
      </c>
      <c r="T264" s="284">
        <f t="shared" si="196"/>
        <v>0</v>
      </c>
      <c r="U264" s="284">
        <f t="shared" si="197"/>
        <v>0</v>
      </c>
      <c r="V264" s="284">
        <f t="shared" si="198"/>
        <v>2.725E-2</v>
      </c>
      <c r="W264" s="283">
        <f t="shared" si="199"/>
        <v>0</v>
      </c>
      <c r="X264" s="283">
        <f t="shared" si="200"/>
        <v>0</v>
      </c>
      <c r="Y264" s="283">
        <f t="shared" si="201"/>
        <v>0</v>
      </c>
      <c r="Z264" s="285">
        <f t="shared" si="202"/>
        <v>0</v>
      </c>
      <c r="AA264" s="285">
        <f t="shared" si="203"/>
        <v>53863.93</v>
      </c>
      <c r="AB264" s="285">
        <f t="shared" si="221"/>
        <v>0</v>
      </c>
      <c r="AC264" s="285">
        <f t="shared" si="222"/>
        <v>0</v>
      </c>
      <c r="AD264" s="285">
        <f t="shared" si="223"/>
        <v>0</v>
      </c>
      <c r="AE264" s="286">
        <v>0</v>
      </c>
      <c r="AF264" s="287">
        <f t="shared" si="204"/>
        <v>0</v>
      </c>
      <c r="AG264" s="288">
        <f t="shared" si="205"/>
        <v>0</v>
      </c>
      <c r="AH264" s="285">
        <f t="shared" si="227"/>
        <v>0</v>
      </c>
      <c r="AI264" s="286">
        <v>0</v>
      </c>
      <c r="AJ264" s="286">
        <v>0.41</v>
      </c>
      <c r="AK264" s="286">
        <v>0</v>
      </c>
      <c r="AL264" s="285">
        <f t="shared" si="206"/>
        <v>53864.340000000004</v>
      </c>
      <c r="AM264" s="285">
        <f t="shared" si="207"/>
        <v>53864.34</v>
      </c>
      <c r="AN264" s="289">
        <f t="shared" si="224"/>
        <v>1</v>
      </c>
      <c r="AO264" s="290">
        <f t="shared" si="208"/>
        <v>922.47</v>
      </c>
      <c r="AP264" s="290">
        <f t="shared" si="209"/>
        <v>3621.4</v>
      </c>
      <c r="AQ264" s="290">
        <f t="shared" si="210"/>
        <v>1851.64</v>
      </c>
      <c r="AR264" s="290">
        <f t="shared" si="211"/>
        <v>0</v>
      </c>
      <c r="AS264" s="290">
        <f t="shared" si="212"/>
        <v>0</v>
      </c>
      <c r="AT264" s="290">
        <f t="shared" si="213"/>
        <v>60259.85</v>
      </c>
      <c r="AU264" s="291">
        <f t="shared" si="214"/>
        <v>60259.850000000006</v>
      </c>
      <c r="AV264" s="291">
        <f t="shared" si="215"/>
        <v>0</v>
      </c>
      <c r="AW264" s="292">
        <f t="shared" si="216"/>
        <v>18174.740000000002</v>
      </c>
      <c r="AX264" s="293">
        <f t="shared" si="217"/>
        <v>35689.600000000006</v>
      </c>
      <c r="BC264" s="276">
        <f>IF(BI264=1,IF(BC263=MiscData!$F$1,EOMONTH(BC263,-11),EOMONTH(BC263,1)),BC263)</f>
        <v>41851</v>
      </c>
      <c r="BD264" s="275" t="str">
        <f t="shared" si="225"/>
        <v>20140101LGRSE411</v>
      </c>
      <c r="BE264" s="294" t="str">
        <f t="shared" si="226"/>
        <v>20140101RS</v>
      </c>
      <c r="BF264">
        <f>MiscData!$X$5</f>
        <v>20140101</v>
      </c>
      <c r="BI264" s="265">
        <f>IF(BI263+1&gt;MiscData!$Z$42,1,BI263+1)</f>
        <v>33</v>
      </c>
      <c r="BJ264" s="265" t="str">
        <f>VLOOKUP(BI264,MiscData!$Z$5:$AB$46,2,FALSE)</f>
        <v>LGRSE411</v>
      </c>
      <c r="BK264" s="265" t="str">
        <f>VLOOKUP(BI264,MiscData!$Z$5:$AB$46,3,FALSE)</f>
        <v>RS</v>
      </c>
    </row>
    <row r="265" spans="1:63" hidden="1">
      <c r="A265" s="275">
        <v>248</v>
      </c>
      <c r="B265" s="276" t="str">
        <f t="shared" si="218"/>
        <v>Jul 2014</v>
      </c>
      <c r="C265" s="277" t="str">
        <f t="shared" si="219"/>
        <v>RS</v>
      </c>
      <c r="D265" s="277" t="str">
        <f t="shared" si="220"/>
        <v>LGRSE511</v>
      </c>
      <c r="E265" s="278">
        <f t="shared" si="187"/>
        <v>353823</v>
      </c>
      <c r="F265" s="279">
        <v>938</v>
      </c>
      <c r="G265" s="278">
        <f t="shared" si="188"/>
        <v>0</v>
      </c>
      <c r="H265" s="278">
        <f t="shared" si="189"/>
        <v>0</v>
      </c>
      <c r="I265" s="278">
        <f t="shared" si="190"/>
        <v>0</v>
      </c>
      <c r="J265" s="278">
        <f t="shared" si="191"/>
        <v>465034657</v>
      </c>
      <c r="K265" s="280">
        <v>0</v>
      </c>
      <c r="L265" s="281">
        <f t="shared" si="192"/>
        <v>0</v>
      </c>
      <c r="M265" s="281">
        <f t="shared" si="193"/>
        <v>0</v>
      </c>
      <c r="N265" s="281">
        <f t="shared" si="194"/>
        <v>0</v>
      </c>
      <c r="O265" s="282">
        <v>0</v>
      </c>
      <c r="P265" s="282">
        <v>0</v>
      </c>
      <c r="Q265" s="282">
        <v>0</v>
      </c>
      <c r="R265" s="283">
        <f t="shared" si="195"/>
        <v>10.75</v>
      </c>
      <c r="S265" s="284">
        <f t="shared" si="183"/>
        <v>8.0760000000000012E-2</v>
      </c>
      <c r="T265" s="284">
        <f t="shared" si="196"/>
        <v>0</v>
      </c>
      <c r="U265" s="284">
        <f t="shared" si="197"/>
        <v>0</v>
      </c>
      <c r="V265" s="284">
        <f t="shared" si="198"/>
        <v>2.725E-2</v>
      </c>
      <c r="W265" s="283">
        <f t="shared" si="199"/>
        <v>0</v>
      </c>
      <c r="X265" s="283">
        <f t="shared" si="200"/>
        <v>0</v>
      </c>
      <c r="Y265" s="283">
        <f t="shared" si="201"/>
        <v>0</v>
      </c>
      <c r="Z265" s="285">
        <f t="shared" si="202"/>
        <v>3813680.75</v>
      </c>
      <c r="AA265" s="285">
        <f t="shared" si="203"/>
        <v>37556198.899999999</v>
      </c>
      <c r="AB265" s="285">
        <f t="shared" si="221"/>
        <v>0</v>
      </c>
      <c r="AC265" s="285">
        <f t="shared" si="222"/>
        <v>0</v>
      </c>
      <c r="AD265" s="285">
        <f t="shared" si="223"/>
        <v>0</v>
      </c>
      <c r="AE265" s="286">
        <v>0</v>
      </c>
      <c r="AF265" s="287">
        <f t="shared" si="204"/>
        <v>0</v>
      </c>
      <c r="AG265" s="288">
        <f t="shared" si="205"/>
        <v>0</v>
      </c>
      <c r="AH265" s="285">
        <f t="shared" si="227"/>
        <v>0</v>
      </c>
      <c r="AI265" s="286">
        <v>-28302.37</v>
      </c>
      <c r="AJ265" s="286">
        <v>-85.46</v>
      </c>
      <c r="AK265" s="286">
        <v>0</v>
      </c>
      <c r="AL265" s="285">
        <f t="shared" si="206"/>
        <v>41341491.82</v>
      </c>
      <c r="AM265" s="285">
        <f t="shared" si="207"/>
        <v>41341491.82</v>
      </c>
      <c r="AN265" s="289">
        <f t="shared" si="224"/>
        <v>1</v>
      </c>
      <c r="AO265" s="290">
        <f t="shared" si="208"/>
        <v>642774.93000000005</v>
      </c>
      <c r="AP265" s="290">
        <f t="shared" si="209"/>
        <v>2525088.7999999998</v>
      </c>
      <c r="AQ265" s="290">
        <f t="shared" si="210"/>
        <v>1410787.34</v>
      </c>
      <c r="AR265" s="290">
        <f t="shared" si="211"/>
        <v>0</v>
      </c>
      <c r="AS265" s="290">
        <f t="shared" si="212"/>
        <v>0</v>
      </c>
      <c r="AT265" s="290">
        <f t="shared" si="213"/>
        <v>45920142.890000001</v>
      </c>
      <c r="AU265" s="291">
        <f t="shared" si="214"/>
        <v>45920142.890000001</v>
      </c>
      <c r="AV265" s="291">
        <f t="shared" si="186"/>
        <v>0</v>
      </c>
      <c r="AW265" s="292">
        <f t="shared" si="216"/>
        <v>12672194.4</v>
      </c>
      <c r="AX265" s="293">
        <f t="shared" si="217"/>
        <v>24883919.039999999</v>
      </c>
      <c r="BC265" s="276">
        <f>IF(BI265=1,IF(BC264=MiscData!$F$1,EOMONTH(BC264,-11),EOMONTH(BC264,1)),BC264)</f>
        <v>41851</v>
      </c>
      <c r="BD265" s="275" t="str">
        <f t="shared" si="225"/>
        <v>20140101LGRSE511</v>
      </c>
      <c r="BE265" s="294" t="str">
        <f t="shared" si="226"/>
        <v>20140101RS</v>
      </c>
      <c r="BF265">
        <f>MiscData!$X$5</f>
        <v>20140101</v>
      </c>
      <c r="BI265" s="265">
        <f>IF(BI264+1&gt;MiscData!$Z$42,1,BI264+1)</f>
        <v>34</v>
      </c>
      <c r="BJ265" s="265" t="str">
        <f>VLOOKUP(BI265,MiscData!$Z$5:$AB$46,2,FALSE)</f>
        <v>LGRSE511</v>
      </c>
      <c r="BK265" s="265" t="str">
        <f>VLOOKUP(BI265,MiscData!$Z$5:$AB$46,3,FALSE)</f>
        <v>RS</v>
      </c>
    </row>
    <row r="266" spans="1:63" hidden="1">
      <c r="A266" s="275">
        <v>249</v>
      </c>
      <c r="B266" s="276" t="str">
        <f t="shared" si="218"/>
        <v>Jul 2014</v>
      </c>
      <c r="C266" s="277" t="str">
        <f t="shared" si="219"/>
        <v>RS</v>
      </c>
      <c r="D266" s="277" t="str">
        <f t="shared" si="220"/>
        <v>LGRSE519</v>
      </c>
      <c r="E266" s="278">
        <f t="shared" si="187"/>
        <v>134</v>
      </c>
      <c r="F266" s="279">
        <v>1</v>
      </c>
      <c r="G266" s="278">
        <f t="shared" si="188"/>
        <v>0</v>
      </c>
      <c r="H266" s="278">
        <f t="shared" si="189"/>
        <v>0</v>
      </c>
      <c r="I266" s="278">
        <f t="shared" si="190"/>
        <v>0</v>
      </c>
      <c r="J266" s="278">
        <f t="shared" si="191"/>
        <v>158528</v>
      </c>
      <c r="K266" s="280">
        <v>0</v>
      </c>
      <c r="L266" s="281">
        <f t="shared" si="192"/>
        <v>0</v>
      </c>
      <c r="M266" s="281">
        <f t="shared" si="193"/>
        <v>0</v>
      </c>
      <c r="N266" s="281">
        <f t="shared" si="194"/>
        <v>0</v>
      </c>
      <c r="O266" s="282">
        <v>0</v>
      </c>
      <c r="P266" s="282">
        <v>0</v>
      </c>
      <c r="Q266" s="282">
        <v>0</v>
      </c>
      <c r="R266" s="283">
        <f t="shared" si="195"/>
        <v>10.75</v>
      </c>
      <c r="S266" s="284">
        <f t="shared" si="183"/>
        <v>8.0760000000000012E-2</v>
      </c>
      <c r="T266" s="284">
        <f t="shared" si="196"/>
        <v>0</v>
      </c>
      <c r="U266" s="284">
        <f t="shared" si="197"/>
        <v>0</v>
      </c>
      <c r="V266" s="284">
        <f t="shared" si="198"/>
        <v>2.725E-2</v>
      </c>
      <c r="W266" s="283">
        <f t="shared" si="199"/>
        <v>0</v>
      </c>
      <c r="X266" s="283">
        <f t="shared" si="200"/>
        <v>0</v>
      </c>
      <c r="Y266" s="283">
        <f t="shared" si="201"/>
        <v>0</v>
      </c>
      <c r="Z266" s="285">
        <f t="shared" si="202"/>
        <v>1451.25</v>
      </c>
      <c r="AA266" s="285">
        <f t="shared" si="203"/>
        <v>12802.72</v>
      </c>
      <c r="AB266" s="285">
        <f t="shared" si="221"/>
        <v>0</v>
      </c>
      <c r="AC266" s="285">
        <f t="shared" si="222"/>
        <v>0</v>
      </c>
      <c r="AD266" s="285">
        <f t="shared" si="223"/>
        <v>0</v>
      </c>
      <c r="AE266" s="286">
        <v>0</v>
      </c>
      <c r="AF266" s="287">
        <f t="shared" si="204"/>
        <v>0</v>
      </c>
      <c r="AG266" s="288">
        <f t="shared" si="205"/>
        <v>0</v>
      </c>
      <c r="AH266" s="285">
        <f t="shared" si="227"/>
        <v>0</v>
      </c>
      <c r="AI266" s="286">
        <v>-8.0399999999999991</v>
      </c>
      <c r="AJ266" s="286">
        <v>-0.03</v>
      </c>
      <c r="AK266" s="286">
        <v>0</v>
      </c>
      <c r="AL266" s="285">
        <f t="shared" si="206"/>
        <v>14245.899999999998</v>
      </c>
      <c r="AM266" s="285">
        <f t="shared" si="207"/>
        <v>14245.900000000001</v>
      </c>
      <c r="AN266" s="289">
        <f t="shared" si="224"/>
        <v>1</v>
      </c>
      <c r="AO266" s="290">
        <f t="shared" si="208"/>
        <v>224.54</v>
      </c>
      <c r="AP266" s="290">
        <f t="shared" si="209"/>
        <v>860.75</v>
      </c>
      <c r="AQ266" s="290">
        <f t="shared" si="210"/>
        <v>485.51</v>
      </c>
      <c r="AR266" s="290">
        <f t="shared" si="211"/>
        <v>0</v>
      </c>
      <c r="AS266" s="290">
        <f t="shared" si="212"/>
        <v>0</v>
      </c>
      <c r="AT266" s="290">
        <f t="shared" si="213"/>
        <v>15816.7</v>
      </c>
      <c r="AU266" s="291">
        <f t="shared" si="214"/>
        <v>15816.699999999999</v>
      </c>
      <c r="AV266" s="291">
        <f t="shared" si="186"/>
        <v>0</v>
      </c>
      <c r="AW266" s="292">
        <f t="shared" si="216"/>
        <v>4319.8900000000003</v>
      </c>
      <c r="AX266" s="293">
        <f t="shared" si="217"/>
        <v>8482.7999999999993</v>
      </c>
      <c r="BC266" s="276">
        <f>IF(BI266=1,IF(BC265=MiscData!$F$1,EOMONTH(BC265,-11),EOMONTH(BC265,1)),BC265)</f>
        <v>41851</v>
      </c>
      <c r="BD266" s="275" t="str">
        <f t="shared" si="225"/>
        <v>20140101LGRSE519</v>
      </c>
      <c r="BE266" s="294" t="str">
        <f t="shared" si="226"/>
        <v>20140101RS</v>
      </c>
      <c r="BF266">
        <f>MiscData!$X$5</f>
        <v>20140101</v>
      </c>
      <c r="BI266" s="265">
        <f>IF(BI265+1&gt;MiscData!$Z$42,1,BI265+1)</f>
        <v>35</v>
      </c>
      <c r="BJ266" s="265" t="str">
        <f>VLOOKUP(BI266,MiscData!$Z$5:$AB$46,2,FALSE)</f>
        <v>LGRSE519</v>
      </c>
      <c r="BK266" s="265" t="str">
        <f>VLOOKUP(BI266,MiscData!$Z$5:$AB$46,3,FALSE)</f>
        <v>RS</v>
      </c>
    </row>
    <row r="267" spans="1:63" hidden="1">
      <c r="A267" s="275">
        <v>250</v>
      </c>
      <c r="B267" s="276" t="str">
        <f t="shared" si="218"/>
        <v>Jul 2014</v>
      </c>
      <c r="C267" s="277" t="s">
        <v>13</v>
      </c>
      <c r="D267" s="277" t="str">
        <f t="shared" si="220"/>
        <v>LGRSE540</v>
      </c>
      <c r="E267" s="278">
        <f t="shared" si="187"/>
        <v>6</v>
      </c>
      <c r="F267" s="279">
        <v>0</v>
      </c>
      <c r="G267" s="278">
        <f t="shared" si="188"/>
        <v>0</v>
      </c>
      <c r="H267" s="278">
        <f t="shared" si="189"/>
        <v>0</v>
      </c>
      <c r="I267" s="278">
        <f t="shared" si="190"/>
        <v>0</v>
      </c>
      <c r="J267" s="278">
        <f t="shared" si="191"/>
        <v>41344</v>
      </c>
      <c r="K267" s="280">
        <v>0</v>
      </c>
      <c r="L267" s="281">
        <f t="shared" si="192"/>
        <v>0</v>
      </c>
      <c r="M267" s="281">
        <f t="shared" si="193"/>
        <v>0</v>
      </c>
      <c r="N267" s="281">
        <f t="shared" si="194"/>
        <v>0</v>
      </c>
      <c r="O267" s="282">
        <v>0</v>
      </c>
      <c r="P267" s="282">
        <v>0</v>
      </c>
      <c r="Q267" s="282">
        <v>0</v>
      </c>
      <c r="R267" s="283">
        <f t="shared" si="195"/>
        <v>10.75</v>
      </c>
      <c r="S267" s="284">
        <f t="shared" si="183"/>
        <v>8.0760000000000012E-2</v>
      </c>
      <c r="T267" s="284">
        <f t="shared" si="196"/>
        <v>0</v>
      </c>
      <c r="U267" s="284">
        <f t="shared" si="197"/>
        <v>0</v>
      </c>
      <c r="V267" s="284">
        <f t="shared" si="198"/>
        <v>2.725E-2</v>
      </c>
      <c r="W267" s="283">
        <f t="shared" si="199"/>
        <v>0</v>
      </c>
      <c r="X267" s="283">
        <f t="shared" si="200"/>
        <v>0</v>
      </c>
      <c r="Y267" s="283">
        <f t="shared" si="201"/>
        <v>0</v>
      </c>
      <c r="Z267" s="285">
        <f t="shared" si="202"/>
        <v>64.5</v>
      </c>
      <c r="AA267" s="285">
        <f t="shared" si="203"/>
        <v>3338.94</v>
      </c>
      <c r="AB267" s="285">
        <f t="shared" si="221"/>
        <v>0</v>
      </c>
      <c r="AC267" s="285">
        <f t="shared" si="222"/>
        <v>0</v>
      </c>
      <c r="AD267" s="285">
        <f t="shared" si="223"/>
        <v>0</v>
      </c>
      <c r="AE267" s="286">
        <v>0</v>
      </c>
      <c r="AF267" s="287">
        <f t="shared" si="204"/>
        <v>0</v>
      </c>
      <c r="AG267" s="288">
        <f t="shared" si="205"/>
        <v>0</v>
      </c>
      <c r="AH267" s="285">
        <f t="shared" si="227"/>
        <v>0</v>
      </c>
      <c r="AI267" s="286">
        <v>0</v>
      </c>
      <c r="AJ267" s="286">
        <v>0</v>
      </c>
      <c r="AK267" s="286">
        <v>0</v>
      </c>
      <c r="AL267" s="285">
        <f t="shared" si="206"/>
        <v>3403.44</v>
      </c>
      <c r="AM267" s="285">
        <f t="shared" si="207"/>
        <v>3403.44</v>
      </c>
      <c r="AN267" s="289">
        <f t="shared" si="224"/>
        <v>1</v>
      </c>
      <c r="AO267" s="290">
        <f t="shared" si="208"/>
        <v>57.05</v>
      </c>
      <c r="AP267" s="290">
        <f t="shared" si="209"/>
        <v>224.5</v>
      </c>
      <c r="AQ267" s="290">
        <f t="shared" si="210"/>
        <v>116.81</v>
      </c>
      <c r="AR267" s="290">
        <f t="shared" si="211"/>
        <v>0</v>
      </c>
      <c r="AS267" s="290">
        <f t="shared" si="212"/>
        <v>0</v>
      </c>
      <c r="AT267" s="290">
        <f t="shared" si="213"/>
        <v>3801.8</v>
      </c>
      <c r="AU267" s="291">
        <f t="shared" si="214"/>
        <v>3801.8</v>
      </c>
      <c r="AV267" s="291">
        <f t="shared" si="186"/>
        <v>0</v>
      </c>
      <c r="AW267" s="292">
        <f t="shared" si="216"/>
        <v>1126.6199999999999</v>
      </c>
      <c r="AX267" s="293">
        <f t="shared" si="217"/>
        <v>2212.3200000000002</v>
      </c>
      <c r="BC267" s="276">
        <f>IF(BI267=1,IF(BC266=MiscData!$F$1,EOMONTH(BC266,-11),EOMONTH(BC266,1)),BC266)</f>
        <v>41851</v>
      </c>
      <c r="BD267" s="275" t="str">
        <f t="shared" si="225"/>
        <v>20140101LGRSE540</v>
      </c>
      <c r="BE267" s="294" t="str">
        <f t="shared" si="226"/>
        <v>20140101VFD</v>
      </c>
      <c r="BF267">
        <f>MiscData!$X$5</f>
        <v>20140101</v>
      </c>
      <c r="BI267" s="265">
        <f>IF(BI266+1&gt;MiscData!$Z$42,1,BI266+1)</f>
        <v>36</v>
      </c>
      <c r="BJ267" s="265" t="str">
        <f>VLOOKUP(BI267,MiscData!$Z$5:$AB$46,2,FALSE)</f>
        <v>LGRSE540</v>
      </c>
      <c r="BK267" s="265" t="str">
        <f>VLOOKUP(BI267,MiscData!$Z$5:$AB$46,3,FALSE)</f>
        <v>VFD</v>
      </c>
    </row>
    <row r="268" spans="1:63" hidden="1">
      <c r="A268" s="275">
        <v>251</v>
      </c>
      <c r="B268" s="276" t="str">
        <f t="shared" si="218"/>
        <v>Jul 2014</v>
      </c>
      <c r="C268" s="277" t="str">
        <f t="shared" si="219"/>
        <v>LEV</v>
      </c>
      <c r="D268" s="277" t="str">
        <f t="shared" si="220"/>
        <v>LGRSE543</v>
      </c>
      <c r="E268" s="278">
        <f t="shared" si="187"/>
        <v>20</v>
      </c>
      <c r="F268" s="279">
        <v>0</v>
      </c>
      <c r="G268" s="278">
        <f t="shared" si="188"/>
        <v>22101</v>
      </c>
      <c r="H268" s="278">
        <f t="shared" si="189"/>
        <v>7822</v>
      </c>
      <c r="I268" s="278">
        <f t="shared" si="190"/>
        <v>8136</v>
      </c>
      <c r="J268" s="278">
        <f t="shared" si="191"/>
        <v>38059</v>
      </c>
      <c r="K268" s="280">
        <v>0</v>
      </c>
      <c r="L268" s="281">
        <f t="shared" si="192"/>
        <v>0</v>
      </c>
      <c r="M268" s="281">
        <f t="shared" si="193"/>
        <v>0</v>
      </c>
      <c r="N268" s="281">
        <f t="shared" si="194"/>
        <v>0</v>
      </c>
      <c r="O268" s="282">
        <v>0</v>
      </c>
      <c r="P268" s="282">
        <v>0</v>
      </c>
      <c r="Q268" s="282">
        <v>0</v>
      </c>
      <c r="R268" s="283">
        <f t="shared" si="195"/>
        <v>10.75</v>
      </c>
      <c r="S268" s="284">
        <f t="shared" si="183"/>
        <v>5.8200000000000002E-2</v>
      </c>
      <c r="T268" s="284">
        <f t="shared" si="196"/>
        <v>7.8990000000000005E-2</v>
      </c>
      <c r="U268" s="284">
        <f t="shared" si="197"/>
        <v>0.14451000000000003</v>
      </c>
      <c r="V268" s="284">
        <f t="shared" si="198"/>
        <v>2.725E-2</v>
      </c>
      <c r="W268" s="283">
        <f t="shared" si="199"/>
        <v>0</v>
      </c>
      <c r="X268" s="283">
        <f t="shared" si="200"/>
        <v>0</v>
      </c>
      <c r="Y268" s="283">
        <f t="shared" si="201"/>
        <v>0</v>
      </c>
      <c r="Z268" s="285">
        <f t="shared" si="202"/>
        <v>215</v>
      </c>
      <c r="AA268" s="285">
        <f t="shared" si="203"/>
        <v>3079.87</v>
      </c>
      <c r="AB268" s="285">
        <f t="shared" si="221"/>
        <v>0</v>
      </c>
      <c r="AC268" s="285">
        <f t="shared" si="222"/>
        <v>0</v>
      </c>
      <c r="AD268" s="285">
        <f t="shared" si="223"/>
        <v>0</v>
      </c>
      <c r="AE268" s="286">
        <v>0</v>
      </c>
      <c r="AF268" s="287">
        <f t="shared" si="204"/>
        <v>0</v>
      </c>
      <c r="AG268" s="288">
        <f t="shared" si="205"/>
        <v>0</v>
      </c>
      <c r="AH268" s="285">
        <f t="shared" si="227"/>
        <v>0</v>
      </c>
      <c r="AI268" s="286">
        <v>0</v>
      </c>
      <c r="AJ268" s="286">
        <v>0.04</v>
      </c>
      <c r="AK268" s="286">
        <v>0</v>
      </c>
      <c r="AL268" s="285">
        <f t="shared" si="206"/>
        <v>3294.91</v>
      </c>
      <c r="AM268" s="285">
        <f t="shared" si="207"/>
        <v>3294.91</v>
      </c>
      <c r="AN268" s="289">
        <f t="shared" si="224"/>
        <v>1</v>
      </c>
      <c r="AO268" s="290">
        <f t="shared" si="208"/>
        <v>52.51</v>
      </c>
      <c r="AP268" s="290">
        <f t="shared" si="209"/>
        <v>206.64</v>
      </c>
      <c r="AQ268" s="290">
        <f t="shared" si="210"/>
        <v>112.66</v>
      </c>
      <c r="AR268" s="290">
        <f t="shared" si="211"/>
        <v>0</v>
      </c>
      <c r="AS268" s="290">
        <f t="shared" si="212"/>
        <v>0</v>
      </c>
      <c r="AT268" s="290">
        <f t="shared" si="213"/>
        <v>3666.72</v>
      </c>
      <c r="AU268" s="291">
        <f t="shared" si="214"/>
        <v>3666.72</v>
      </c>
      <c r="AV268" s="291">
        <f t="shared" si="186"/>
        <v>0</v>
      </c>
      <c r="AW268" s="292">
        <f t="shared" si="216"/>
        <v>1037.1099999999999</v>
      </c>
      <c r="AX268" s="293">
        <f t="shared" si="217"/>
        <v>2042.8</v>
      </c>
      <c r="BC268" s="276">
        <f>IF(BI268=1,IF(BC267=MiscData!$F$1,EOMONTH(BC267,-11),EOMONTH(BC267,1)),BC267)</f>
        <v>41851</v>
      </c>
      <c r="BD268" s="275" t="str">
        <f t="shared" si="225"/>
        <v>20140101LGRSE543</v>
      </c>
      <c r="BE268" s="294" t="str">
        <f t="shared" si="226"/>
        <v>20140101LEV</v>
      </c>
      <c r="BF268">
        <f>MiscData!$X$5</f>
        <v>20140101</v>
      </c>
      <c r="BI268" s="265">
        <f>IF(BI267+1&gt;MiscData!$Z$42,1,BI267+1)</f>
        <v>37</v>
      </c>
      <c r="BJ268" s="265" t="str">
        <f>VLOOKUP(BI268,MiscData!$Z$5:$AB$46,2,FALSE)</f>
        <v>LGRSE543</v>
      </c>
      <c r="BK268" s="265" t="str">
        <f>VLOOKUP(BI268,MiscData!$Z$5:$AB$46,3,FALSE)</f>
        <v>LEV</v>
      </c>
    </row>
    <row r="269" spans="1:63" hidden="1">
      <c r="A269" s="275">
        <v>252</v>
      </c>
      <c r="B269" s="276" t="str">
        <f t="shared" si="218"/>
        <v>Jul 2014</v>
      </c>
      <c r="C269" s="277" t="str">
        <f t="shared" si="219"/>
        <v>LEV</v>
      </c>
      <c r="D269" s="277" t="str">
        <f t="shared" si="220"/>
        <v>LGRSE547</v>
      </c>
      <c r="E269" s="278">
        <f t="shared" si="187"/>
        <v>1</v>
      </c>
      <c r="F269" s="279">
        <v>0</v>
      </c>
      <c r="G269" s="278">
        <f t="shared" si="188"/>
        <v>238</v>
      </c>
      <c r="H269" s="278">
        <f t="shared" si="189"/>
        <v>0</v>
      </c>
      <c r="I269" s="278">
        <f t="shared" si="190"/>
        <v>0</v>
      </c>
      <c r="J269" s="278">
        <f t="shared" si="191"/>
        <v>238</v>
      </c>
      <c r="K269" s="280">
        <v>0</v>
      </c>
      <c r="L269" s="281">
        <f t="shared" si="192"/>
        <v>0</v>
      </c>
      <c r="M269" s="281">
        <f t="shared" si="193"/>
        <v>0</v>
      </c>
      <c r="N269" s="281">
        <f t="shared" si="194"/>
        <v>0</v>
      </c>
      <c r="O269" s="282">
        <v>0</v>
      </c>
      <c r="P269" s="282">
        <v>0</v>
      </c>
      <c r="Q269" s="282">
        <v>0</v>
      </c>
      <c r="R269" s="283">
        <f t="shared" si="195"/>
        <v>10.75</v>
      </c>
      <c r="S269" s="284">
        <f t="shared" si="183"/>
        <v>5.8200000000000002E-2</v>
      </c>
      <c r="T269" s="284">
        <f t="shared" si="196"/>
        <v>7.8990000000000005E-2</v>
      </c>
      <c r="U269" s="284">
        <f t="shared" si="197"/>
        <v>0.14451000000000003</v>
      </c>
      <c r="V269" s="284">
        <f t="shared" si="198"/>
        <v>2.725E-2</v>
      </c>
      <c r="W269" s="283">
        <f t="shared" si="199"/>
        <v>0</v>
      </c>
      <c r="X269" s="283">
        <f t="shared" si="200"/>
        <v>0</v>
      </c>
      <c r="Y269" s="283">
        <f t="shared" si="201"/>
        <v>0</v>
      </c>
      <c r="Z269" s="285">
        <f t="shared" si="202"/>
        <v>10.75</v>
      </c>
      <c r="AA269" s="285">
        <f t="shared" si="203"/>
        <v>13.85</v>
      </c>
      <c r="AB269" s="285">
        <f t="shared" si="221"/>
        <v>0</v>
      </c>
      <c r="AC269" s="285">
        <f t="shared" si="222"/>
        <v>0</v>
      </c>
      <c r="AD269" s="285">
        <f t="shared" si="223"/>
        <v>0</v>
      </c>
      <c r="AE269" s="286">
        <v>0</v>
      </c>
      <c r="AF269" s="287">
        <f t="shared" si="204"/>
        <v>0</v>
      </c>
      <c r="AG269" s="288">
        <f t="shared" si="205"/>
        <v>0</v>
      </c>
      <c r="AH269" s="285">
        <f t="shared" si="227"/>
        <v>0</v>
      </c>
      <c r="AI269" s="286">
        <v>0</v>
      </c>
      <c r="AJ269" s="286">
        <v>0</v>
      </c>
      <c r="AK269" s="286">
        <v>0</v>
      </c>
      <c r="AL269" s="285">
        <f t="shared" si="206"/>
        <v>24.6</v>
      </c>
      <c r="AM269" s="285">
        <f t="shared" si="207"/>
        <v>24.6</v>
      </c>
      <c r="AN269" s="289">
        <f t="shared" si="224"/>
        <v>1</v>
      </c>
      <c r="AO269" s="290">
        <f t="shared" si="208"/>
        <v>0.33</v>
      </c>
      <c r="AP269" s="290">
        <f t="shared" si="209"/>
        <v>1.29</v>
      </c>
      <c r="AQ269" s="290">
        <f t="shared" si="210"/>
        <v>0.83</v>
      </c>
      <c r="AR269" s="290">
        <f t="shared" si="211"/>
        <v>0</v>
      </c>
      <c r="AS269" s="290">
        <f t="shared" si="212"/>
        <v>0</v>
      </c>
      <c r="AT269" s="290">
        <f t="shared" si="213"/>
        <v>27.05</v>
      </c>
      <c r="AU269" s="291">
        <f t="shared" si="214"/>
        <v>27.049999999999997</v>
      </c>
      <c r="AV269" s="291">
        <f t="shared" si="186"/>
        <v>0</v>
      </c>
      <c r="AW269" s="292">
        <f t="shared" si="216"/>
        <v>6.49</v>
      </c>
      <c r="AX269" s="293">
        <f t="shared" si="217"/>
        <v>7.3599999999999994</v>
      </c>
      <c r="BC269" s="276">
        <f>IF(BI269=1,IF(BC268=MiscData!$F$1,EOMONTH(BC268,-11),EOMONTH(BC268,1)),BC268)</f>
        <v>41851</v>
      </c>
      <c r="BD269" s="275" t="str">
        <f t="shared" si="225"/>
        <v>20140101LGRSE547</v>
      </c>
      <c r="BE269" s="294" t="str">
        <f t="shared" si="226"/>
        <v>20140101LEV</v>
      </c>
      <c r="BF269">
        <f>MiscData!$X$5</f>
        <v>20140101</v>
      </c>
      <c r="BI269" s="265">
        <f>IF(BI268+1&gt;MiscData!$Z$42,1,BI268+1)</f>
        <v>38</v>
      </c>
      <c r="BJ269" s="265" t="str">
        <f>VLOOKUP(BI269,MiscData!$Z$5:$AB$46,2,FALSE)</f>
        <v>LGRSE547</v>
      </c>
      <c r="BK269" s="265" t="str">
        <f>VLOOKUP(BI269,MiscData!$Z$5:$AB$46,3,FALSE)</f>
        <v>LEV</v>
      </c>
    </row>
    <row r="270" spans="1:63" hidden="1">
      <c r="A270" s="275">
        <v>253</v>
      </c>
      <c r="B270" s="276" t="str">
        <f t="shared" si="218"/>
        <v>Aug 2014</v>
      </c>
      <c r="C270" s="277" t="str">
        <f t="shared" si="219"/>
        <v>FLSP</v>
      </c>
      <c r="D270" s="277" t="str">
        <f t="shared" si="220"/>
        <v>LGINE682</v>
      </c>
      <c r="E270" s="278">
        <f t="shared" si="187"/>
        <v>0</v>
      </c>
      <c r="F270" s="279">
        <v>0</v>
      </c>
      <c r="G270" s="278">
        <f t="shared" si="188"/>
        <v>0</v>
      </c>
      <c r="H270" s="278">
        <f t="shared" si="189"/>
        <v>0</v>
      </c>
      <c r="I270" s="278">
        <f t="shared" si="190"/>
        <v>0</v>
      </c>
      <c r="J270" s="278">
        <f t="shared" si="191"/>
        <v>0</v>
      </c>
      <c r="K270" s="280">
        <v>0</v>
      </c>
      <c r="L270" s="281">
        <f t="shared" si="192"/>
        <v>0</v>
      </c>
      <c r="M270" s="281">
        <f t="shared" si="193"/>
        <v>0</v>
      </c>
      <c r="N270" s="281">
        <f t="shared" si="194"/>
        <v>0</v>
      </c>
      <c r="O270" s="282">
        <v>0</v>
      </c>
      <c r="P270" s="282">
        <v>0</v>
      </c>
      <c r="Q270" s="282">
        <v>0</v>
      </c>
      <c r="R270" s="283">
        <f t="shared" si="195"/>
        <v>750</v>
      </c>
      <c r="S270" s="284">
        <f t="shared" si="183"/>
        <v>3.61E-2</v>
      </c>
      <c r="T270" s="284">
        <f t="shared" si="196"/>
        <v>0</v>
      </c>
      <c r="U270" s="284">
        <f t="shared" si="197"/>
        <v>0</v>
      </c>
      <c r="V270" s="284">
        <f t="shared" si="198"/>
        <v>2.725E-2</v>
      </c>
      <c r="W270" s="283">
        <f t="shared" si="199"/>
        <v>1.8900000000000001</v>
      </c>
      <c r="X270" s="283">
        <f t="shared" si="200"/>
        <v>1.8900000000000001</v>
      </c>
      <c r="Y270" s="283">
        <f t="shared" si="201"/>
        <v>2.94</v>
      </c>
      <c r="Z270" s="285">
        <f t="shared" si="202"/>
        <v>0</v>
      </c>
      <c r="AA270" s="285">
        <f t="shared" si="203"/>
        <v>0</v>
      </c>
      <c r="AB270" s="285">
        <f t="shared" si="221"/>
        <v>0</v>
      </c>
      <c r="AC270" s="285">
        <f t="shared" si="222"/>
        <v>0</v>
      </c>
      <c r="AD270" s="285">
        <f t="shared" si="223"/>
        <v>0</v>
      </c>
      <c r="AE270" s="286">
        <v>0</v>
      </c>
      <c r="AF270" s="287">
        <f t="shared" si="204"/>
        <v>0</v>
      </c>
      <c r="AG270" s="288">
        <f t="shared" si="205"/>
        <v>0</v>
      </c>
      <c r="AH270" s="285">
        <f t="shared" si="227"/>
        <v>0</v>
      </c>
      <c r="AI270" s="286">
        <v>0</v>
      </c>
      <c r="AJ270" s="286">
        <v>0</v>
      </c>
      <c r="AK270" s="286">
        <v>0</v>
      </c>
      <c r="AL270" s="285">
        <f t="shared" si="206"/>
        <v>0</v>
      </c>
      <c r="AM270" s="285">
        <f t="shared" si="207"/>
        <v>0</v>
      </c>
      <c r="AN270" s="289">
        <f t="shared" si="224"/>
        <v>1</v>
      </c>
      <c r="AO270" s="290">
        <f t="shared" si="208"/>
        <v>0</v>
      </c>
      <c r="AP270" s="290">
        <f t="shared" si="209"/>
        <v>0</v>
      </c>
      <c r="AQ270" s="290">
        <f t="shared" si="210"/>
        <v>0</v>
      </c>
      <c r="AR270" s="290">
        <f t="shared" si="211"/>
        <v>0</v>
      </c>
      <c r="AS270" s="290">
        <f t="shared" si="212"/>
        <v>0</v>
      </c>
      <c r="AT270" s="290">
        <f t="shared" si="213"/>
        <v>0</v>
      </c>
      <c r="AU270" s="291">
        <f t="shared" si="214"/>
        <v>0</v>
      </c>
      <c r="AV270" s="291">
        <f>ROUND(AT270-AU270,2)</f>
        <v>0</v>
      </c>
      <c r="AW270" s="292">
        <f t="shared" si="216"/>
        <v>0</v>
      </c>
      <c r="AX270" s="293">
        <f t="shared" si="217"/>
        <v>0</v>
      </c>
      <c r="BC270" s="276">
        <f>IF(BI270=1,IF(BC269=MiscData!$F$1,EOMONTH(BC269,-11),EOMONTH(BC269,1)),BC269)</f>
        <v>41882</v>
      </c>
      <c r="BD270" s="275" t="str">
        <f t="shared" si="225"/>
        <v>20140101LGINE682</v>
      </c>
      <c r="BE270" s="294" t="str">
        <f t="shared" si="226"/>
        <v>20140101FLSP</v>
      </c>
      <c r="BF270">
        <f>MiscData!$X$5</f>
        <v>20140101</v>
      </c>
      <c r="BI270" s="265">
        <f>IF(BI269+1&gt;MiscData!$Z$42,1,BI269+1)</f>
        <v>1</v>
      </c>
      <c r="BJ270" s="265" t="str">
        <f>VLOOKUP(BI270,MiscData!$Z$5:$AB$46,2,FALSE)</f>
        <v>LGINE682</v>
      </c>
      <c r="BK270" s="265" t="str">
        <f>VLOOKUP(BI270,MiscData!$Z$5:$AB$46,3,FALSE)</f>
        <v>FLSP</v>
      </c>
    </row>
    <row r="271" spans="1:63" hidden="1">
      <c r="A271" s="275">
        <v>254</v>
      </c>
      <c r="B271" s="276" t="str">
        <f t="shared" si="218"/>
        <v>Aug 2014</v>
      </c>
      <c r="C271" s="277" t="str">
        <f t="shared" si="219"/>
        <v>FLST</v>
      </c>
      <c r="D271" s="277" t="str">
        <f t="shared" si="220"/>
        <v>LGINE683</v>
      </c>
      <c r="E271" s="278">
        <f t="shared" si="187"/>
        <v>0</v>
      </c>
      <c r="F271" s="279">
        <v>0</v>
      </c>
      <c r="G271" s="278">
        <f t="shared" si="188"/>
        <v>0</v>
      </c>
      <c r="H271" s="278">
        <f t="shared" si="189"/>
        <v>0</v>
      </c>
      <c r="I271" s="278">
        <f t="shared" si="190"/>
        <v>0</v>
      </c>
      <c r="J271" s="278">
        <f t="shared" si="191"/>
        <v>0</v>
      </c>
      <c r="K271" s="280">
        <v>0</v>
      </c>
      <c r="L271" s="281">
        <f t="shared" si="192"/>
        <v>0</v>
      </c>
      <c r="M271" s="281">
        <f t="shared" si="193"/>
        <v>0</v>
      </c>
      <c r="N271" s="281">
        <f t="shared" si="194"/>
        <v>0</v>
      </c>
      <c r="O271" s="282">
        <v>0</v>
      </c>
      <c r="P271" s="282">
        <v>0</v>
      </c>
      <c r="Q271" s="282">
        <v>0</v>
      </c>
      <c r="R271" s="283">
        <f t="shared" si="195"/>
        <v>750</v>
      </c>
      <c r="S271" s="284">
        <f t="shared" si="183"/>
        <v>3.61E-2</v>
      </c>
      <c r="T271" s="284">
        <f t="shared" si="196"/>
        <v>0</v>
      </c>
      <c r="U271" s="284">
        <f t="shared" si="197"/>
        <v>0</v>
      </c>
      <c r="V271" s="284">
        <f t="shared" si="198"/>
        <v>2.725E-2</v>
      </c>
      <c r="W271" s="283">
        <f t="shared" si="199"/>
        <v>1.1400000000000001</v>
      </c>
      <c r="X271" s="283">
        <f t="shared" si="200"/>
        <v>1.8900000000000001</v>
      </c>
      <c r="Y271" s="283">
        <f t="shared" si="201"/>
        <v>2.94</v>
      </c>
      <c r="Z271" s="285">
        <f t="shared" si="202"/>
        <v>0</v>
      </c>
      <c r="AA271" s="285">
        <f t="shared" si="203"/>
        <v>0</v>
      </c>
      <c r="AB271" s="285">
        <f t="shared" si="221"/>
        <v>0</v>
      </c>
      <c r="AC271" s="285">
        <f t="shared" si="222"/>
        <v>0</v>
      </c>
      <c r="AD271" s="285">
        <f t="shared" si="223"/>
        <v>0</v>
      </c>
      <c r="AE271" s="286">
        <v>0</v>
      </c>
      <c r="AF271" s="287">
        <f t="shared" si="204"/>
        <v>0</v>
      </c>
      <c r="AG271" s="288">
        <f t="shared" si="205"/>
        <v>0</v>
      </c>
      <c r="AH271" s="285">
        <f t="shared" si="227"/>
        <v>0</v>
      </c>
      <c r="AI271" s="286">
        <v>0</v>
      </c>
      <c r="AJ271" s="286">
        <v>0</v>
      </c>
      <c r="AK271" s="286">
        <v>0</v>
      </c>
      <c r="AL271" s="285">
        <f t="shared" si="206"/>
        <v>0</v>
      </c>
      <c r="AM271" s="285">
        <f t="shared" si="207"/>
        <v>0</v>
      </c>
      <c r="AN271" s="289">
        <f t="shared" si="224"/>
        <v>1</v>
      </c>
      <c r="AO271" s="290">
        <f t="shared" si="208"/>
        <v>0</v>
      </c>
      <c r="AP271" s="290">
        <f t="shared" si="209"/>
        <v>0</v>
      </c>
      <c r="AQ271" s="290">
        <f t="shared" si="210"/>
        <v>0</v>
      </c>
      <c r="AR271" s="290">
        <f t="shared" si="211"/>
        <v>0</v>
      </c>
      <c r="AS271" s="290">
        <f t="shared" si="212"/>
        <v>0</v>
      </c>
      <c r="AT271" s="290">
        <f t="shared" si="213"/>
        <v>0</v>
      </c>
      <c r="AU271" s="291">
        <f t="shared" si="214"/>
        <v>0</v>
      </c>
      <c r="AV271" s="291">
        <f t="shared" si="186"/>
        <v>0</v>
      </c>
      <c r="AW271" s="292">
        <f t="shared" si="216"/>
        <v>0</v>
      </c>
      <c r="AX271" s="293">
        <f t="shared" si="217"/>
        <v>0</v>
      </c>
      <c r="BC271" s="276">
        <f>IF(BI271=1,IF(BC270=MiscData!$F$1,EOMONTH(BC270,-11),EOMONTH(BC270,1)),BC270)</f>
        <v>41882</v>
      </c>
      <c r="BD271" s="275" t="str">
        <f t="shared" si="225"/>
        <v>20140101LGINE683</v>
      </c>
      <c r="BE271" s="294" t="str">
        <f t="shared" si="226"/>
        <v>20140101FLST</v>
      </c>
      <c r="BF271">
        <f>MiscData!$X$5</f>
        <v>20140101</v>
      </c>
      <c r="BI271" s="265">
        <f>IF(BI270+1&gt;MiscData!$Z$42,1,BI270+1)</f>
        <v>2</v>
      </c>
      <c r="BJ271" s="265" t="str">
        <f>VLOOKUP(BI271,MiscData!$Z$5:$AB$46,2,FALSE)</f>
        <v>LGINE683</v>
      </c>
      <c r="BK271" s="265" t="str">
        <f>VLOOKUP(BI271,MiscData!$Z$5:$AB$46,3,FALSE)</f>
        <v>FLST</v>
      </c>
    </row>
    <row r="272" spans="1:63" hidden="1">
      <c r="A272" s="275">
        <v>255</v>
      </c>
      <c r="B272" s="276" t="str">
        <f t="shared" si="218"/>
        <v>Aug 2014</v>
      </c>
      <c r="C272" s="277" t="s">
        <v>892</v>
      </c>
      <c r="D272" s="277" t="str">
        <f t="shared" si="220"/>
        <v>LGCME451</v>
      </c>
      <c r="E272" s="278">
        <f t="shared" si="187"/>
        <v>53</v>
      </c>
      <c r="F272" s="279">
        <f>-E272</f>
        <v>-53</v>
      </c>
      <c r="G272" s="278">
        <f t="shared" si="188"/>
        <v>0</v>
      </c>
      <c r="H272" s="278">
        <f t="shared" si="189"/>
        <v>0</v>
      </c>
      <c r="I272" s="278">
        <f t="shared" si="190"/>
        <v>0</v>
      </c>
      <c r="J272" s="278">
        <f t="shared" si="191"/>
        <v>8895</v>
      </c>
      <c r="K272" s="280">
        <v>0</v>
      </c>
      <c r="L272" s="281">
        <f t="shared" si="192"/>
        <v>0</v>
      </c>
      <c r="M272" s="281">
        <f t="shared" si="193"/>
        <v>0</v>
      </c>
      <c r="N272" s="281">
        <f t="shared" si="194"/>
        <v>0</v>
      </c>
      <c r="O272" s="282">
        <v>0</v>
      </c>
      <c r="P272" s="282">
        <v>0</v>
      </c>
      <c r="Q272" s="282">
        <v>0</v>
      </c>
      <c r="R272" s="283">
        <f t="shared" si="195"/>
        <v>0</v>
      </c>
      <c r="S272" s="284">
        <f t="shared" si="183"/>
        <v>9.1340000000000005E-2</v>
      </c>
      <c r="T272" s="284">
        <f t="shared" si="196"/>
        <v>0</v>
      </c>
      <c r="U272" s="284">
        <f t="shared" si="197"/>
        <v>0</v>
      </c>
      <c r="V272" s="284">
        <f t="shared" si="198"/>
        <v>2.725E-2</v>
      </c>
      <c r="W272" s="283">
        <f t="shared" si="199"/>
        <v>0</v>
      </c>
      <c r="X272" s="283">
        <f t="shared" si="200"/>
        <v>0</v>
      </c>
      <c r="Y272" s="283">
        <f t="shared" si="201"/>
        <v>0</v>
      </c>
      <c r="Z272" s="285">
        <f t="shared" si="202"/>
        <v>0</v>
      </c>
      <c r="AA272" s="285">
        <f t="shared" si="203"/>
        <v>812.47</v>
      </c>
      <c r="AB272" s="285">
        <f t="shared" si="221"/>
        <v>0</v>
      </c>
      <c r="AC272" s="285">
        <f t="shared" si="222"/>
        <v>0</v>
      </c>
      <c r="AD272" s="285">
        <f t="shared" si="223"/>
        <v>0</v>
      </c>
      <c r="AE272" s="286">
        <v>0</v>
      </c>
      <c r="AF272" s="287">
        <f t="shared" si="204"/>
        <v>0</v>
      </c>
      <c r="AG272" s="288">
        <f t="shared" si="205"/>
        <v>0</v>
      </c>
      <c r="AH272" s="285">
        <f t="shared" si="227"/>
        <v>0</v>
      </c>
      <c r="AI272" s="286">
        <v>0</v>
      </c>
      <c r="AJ272" s="286">
        <v>0.01</v>
      </c>
      <c r="AK272" s="286">
        <v>0</v>
      </c>
      <c r="AL272" s="285">
        <f t="shared" si="206"/>
        <v>812.48</v>
      </c>
      <c r="AM272" s="285">
        <f t="shared" si="207"/>
        <v>812.48</v>
      </c>
      <c r="AN272" s="289">
        <f t="shared" si="224"/>
        <v>1</v>
      </c>
      <c r="AO272" s="290">
        <f t="shared" si="208"/>
        <v>-0.21</v>
      </c>
      <c r="AP272" s="290">
        <f t="shared" si="209"/>
        <v>26.96</v>
      </c>
      <c r="AQ272" s="290">
        <f t="shared" si="210"/>
        <v>33.130000000000003</v>
      </c>
      <c r="AR272" s="290">
        <f t="shared" si="211"/>
        <v>0</v>
      </c>
      <c r="AS272" s="290">
        <f t="shared" si="212"/>
        <v>0</v>
      </c>
      <c r="AT272" s="290">
        <f t="shared" si="213"/>
        <v>872.36</v>
      </c>
      <c r="AU272" s="291">
        <f t="shared" si="214"/>
        <v>872.36</v>
      </c>
      <c r="AV272" s="291">
        <f t="shared" si="186"/>
        <v>0</v>
      </c>
      <c r="AW272" s="292">
        <f t="shared" si="216"/>
        <v>242.39</v>
      </c>
      <c r="AX272" s="293">
        <f t="shared" si="217"/>
        <v>570.09</v>
      </c>
      <c r="BC272" s="276">
        <f>IF(BI272=1,IF(BC271=MiscData!$F$1,EOMONTH(BC271,-11),EOMONTH(BC271,1)),BC271)</f>
        <v>41882</v>
      </c>
      <c r="BD272" s="275" t="str">
        <f t="shared" si="225"/>
        <v>20140101LGCME451</v>
      </c>
      <c r="BE272" s="294" t="str">
        <f t="shared" si="226"/>
        <v>20140101GSS</v>
      </c>
      <c r="BF272">
        <f>MiscData!$X$5</f>
        <v>20140101</v>
      </c>
      <c r="BI272" s="265">
        <f>IF(BI271+1&gt;MiscData!$Z$42,1,BI271+1)</f>
        <v>3</v>
      </c>
      <c r="BJ272" s="265" t="str">
        <f>VLOOKUP(BI272,MiscData!$Z$5:$AB$46,2,FALSE)</f>
        <v>LGCME451</v>
      </c>
      <c r="BK272" s="265" t="str">
        <f>VLOOKUP(BI272,MiscData!$Z$5:$AB$46,3,FALSE)</f>
        <v>GSS</v>
      </c>
    </row>
    <row r="273" spans="1:63" hidden="1">
      <c r="A273" s="275">
        <v>256</v>
      </c>
      <c r="B273" s="276" t="str">
        <f t="shared" si="218"/>
        <v>Aug 2014</v>
      </c>
      <c r="C273" s="277" t="s">
        <v>892</v>
      </c>
      <c r="D273" s="277" t="str">
        <f t="shared" si="220"/>
        <v>LGCME550</v>
      </c>
      <c r="E273" s="278">
        <f t="shared" si="187"/>
        <v>0</v>
      </c>
      <c r="F273" s="279">
        <v>0</v>
      </c>
      <c r="G273" s="278">
        <f t="shared" si="188"/>
        <v>0</v>
      </c>
      <c r="H273" s="278">
        <f t="shared" si="189"/>
        <v>0</v>
      </c>
      <c r="I273" s="278">
        <f t="shared" si="190"/>
        <v>0</v>
      </c>
      <c r="J273" s="278">
        <f t="shared" si="191"/>
        <v>0</v>
      </c>
      <c r="K273" s="280">
        <v>0</v>
      </c>
      <c r="L273" s="281">
        <f t="shared" si="192"/>
        <v>0</v>
      </c>
      <c r="M273" s="281">
        <f t="shared" si="193"/>
        <v>0</v>
      </c>
      <c r="N273" s="281">
        <f t="shared" si="194"/>
        <v>0</v>
      </c>
      <c r="O273" s="282">
        <v>0</v>
      </c>
      <c r="P273" s="282">
        <v>0</v>
      </c>
      <c r="Q273" s="282">
        <v>0</v>
      </c>
      <c r="R273" s="283">
        <f t="shared" si="195"/>
        <v>20</v>
      </c>
      <c r="S273" s="284">
        <f t="shared" si="183"/>
        <v>9.1340000000000005E-2</v>
      </c>
      <c r="T273" s="284">
        <f t="shared" si="196"/>
        <v>0</v>
      </c>
      <c r="U273" s="284">
        <f t="shared" si="197"/>
        <v>0</v>
      </c>
      <c r="V273" s="284">
        <f t="shared" si="198"/>
        <v>2.725E-2</v>
      </c>
      <c r="W273" s="283">
        <f t="shared" si="199"/>
        <v>0</v>
      </c>
      <c r="X273" s="283">
        <f t="shared" si="200"/>
        <v>0</v>
      </c>
      <c r="Y273" s="283">
        <f t="shared" si="201"/>
        <v>0</v>
      </c>
      <c r="Z273" s="285">
        <f t="shared" si="202"/>
        <v>0</v>
      </c>
      <c r="AA273" s="285">
        <f t="shared" si="203"/>
        <v>0</v>
      </c>
      <c r="AB273" s="285">
        <f t="shared" si="221"/>
        <v>0</v>
      </c>
      <c r="AC273" s="285">
        <f t="shared" si="222"/>
        <v>0</v>
      </c>
      <c r="AD273" s="285">
        <f t="shared" si="223"/>
        <v>0</v>
      </c>
      <c r="AE273" s="286">
        <v>0</v>
      </c>
      <c r="AF273" s="287">
        <f t="shared" si="204"/>
        <v>0</v>
      </c>
      <c r="AG273" s="288">
        <f t="shared" si="205"/>
        <v>0</v>
      </c>
      <c r="AH273" s="285">
        <f t="shared" si="227"/>
        <v>0</v>
      </c>
      <c r="AI273" s="286">
        <v>0</v>
      </c>
      <c r="AJ273" s="286">
        <v>0</v>
      </c>
      <c r="AK273" s="286">
        <v>0</v>
      </c>
      <c r="AL273" s="285">
        <f t="shared" si="206"/>
        <v>0</v>
      </c>
      <c r="AM273" s="285">
        <f t="shared" si="207"/>
        <v>0</v>
      </c>
      <c r="AN273" s="289">
        <f t="shared" si="224"/>
        <v>1</v>
      </c>
      <c r="AO273" s="290">
        <f t="shared" si="208"/>
        <v>0</v>
      </c>
      <c r="AP273" s="290">
        <f t="shared" si="209"/>
        <v>0</v>
      </c>
      <c r="AQ273" s="290">
        <f t="shared" si="210"/>
        <v>0</v>
      </c>
      <c r="AR273" s="290">
        <f t="shared" si="211"/>
        <v>0</v>
      </c>
      <c r="AS273" s="290">
        <f t="shared" si="212"/>
        <v>0</v>
      </c>
      <c r="AT273" s="290">
        <f t="shared" si="213"/>
        <v>0</v>
      </c>
      <c r="AU273" s="291">
        <f t="shared" si="214"/>
        <v>0</v>
      </c>
      <c r="AV273" s="291">
        <f t="shared" ref="AV273:AV279" si="228">ROUND(AT273-AU273,2)</f>
        <v>0</v>
      </c>
      <c r="AW273" s="292">
        <f t="shared" si="216"/>
        <v>0</v>
      </c>
      <c r="AX273" s="293">
        <f t="shared" si="217"/>
        <v>0</v>
      </c>
      <c r="BC273" s="276">
        <f>IF(BI273=1,IF(BC272=MiscData!$F$1,EOMONTH(BC272,-11),EOMONTH(BC272,1)),BC272)</f>
        <v>41882</v>
      </c>
      <c r="BD273" s="275" t="str">
        <f t="shared" si="225"/>
        <v>20140101LGCME550</v>
      </c>
      <c r="BE273" s="294" t="str">
        <f t="shared" si="226"/>
        <v>20140101GSS</v>
      </c>
      <c r="BF273">
        <f>MiscData!$X$5</f>
        <v>20140101</v>
      </c>
      <c r="BI273" s="265">
        <f>IF(BI272+1&gt;MiscData!$Z$42,1,BI272+1)</f>
        <v>4</v>
      </c>
      <c r="BJ273" s="265" t="str">
        <f>VLOOKUP(BI273,MiscData!$Z$5:$AB$46,2,FALSE)</f>
        <v>LGCME550</v>
      </c>
      <c r="BK273" s="265" t="str">
        <f>VLOOKUP(BI273,MiscData!$Z$5:$AB$46,3,FALSE)</f>
        <v>GSS</v>
      </c>
    </row>
    <row r="274" spans="1:63" hidden="1">
      <c r="A274" s="275">
        <v>257</v>
      </c>
      <c r="B274" s="276" t="str">
        <f t="shared" si="218"/>
        <v>Aug 2014</v>
      </c>
      <c r="C274" s="277" t="s">
        <v>892</v>
      </c>
      <c r="D274" s="277" t="str">
        <f t="shared" si="220"/>
        <v>LGCME551</v>
      </c>
      <c r="E274" s="278">
        <f t="shared" si="187"/>
        <v>27889</v>
      </c>
      <c r="F274" s="279">
        <v>194</v>
      </c>
      <c r="G274" s="278">
        <f t="shared" si="188"/>
        <v>0</v>
      </c>
      <c r="H274" s="278">
        <f t="shared" si="189"/>
        <v>0</v>
      </c>
      <c r="I274" s="278">
        <f t="shared" si="190"/>
        <v>0</v>
      </c>
      <c r="J274" s="278">
        <f t="shared" si="191"/>
        <v>33537675</v>
      </c>
      <c r="K274" s="280">
        <v>0</v>
      </c>
      <c r="L274" s="281">
        <f t="shared" si="192"/>
        <v>5453.8</v>
      </c>
      <c r="M274" s="281">
        <f t="shared" si="193"/>
        <v>0</v>
      </c>
      <c r="N274" s="281">
        <f t="shared" si="194"/>
        <v>0</v>
      </c>
      <c r="O274" s="282">
        <v>0</v>
      </c>
      <c r="P274" s="282">
        <v>0</v>
      </c>
      <c r="Q274" s="282">
        <v>0</v>
      </c>
      <c r="R274" s="283">
        <f t="shared" si="195"/>
        <v>20</v>
      </c>
      <c r="S274" s="284">
        <f t="shared" si="183"/>
        <v>9.1340000000000005E-2</v>
      </c>
      <c r="T274" s="284">
        <f t="shared" si="196"/>
        <v>0</v>
      </c>
      <c r="U274" s="284">
        <f t="shared" si="197"/>
        <v>0</v>
      </c>
      <c r="V274" s="284">
        <f t="shared" si="198"/>
        <v>2.725E-2</v>
      </c>
      <c r="W274" s="283">
        <f t="shared" si="199"/>
        <v>0</v>
      </c>
      <c r="X274" s="283">
        <f t="shared" si="200"/>
        <v>0</v>
      </c>
      <c r="Y274" s="283">
        <f t="shared" si="201"/>
        <v>0</v>
      </c>
      <c r="Z274" s="285">
        <f t="shared" si="202"/>
        <v>561660</v>
      </c>
      <c r="AA274" s="285">
        <f t="shared" si="203"/>
        <v>3063331.23</v>
      </c>
      <c r="AB274" s="285">
        <f t="shared" si="221"/>
        <v>0</v>
      </c>
      <c r="AC274" s="285">
        <f t="shared" si="222"/>
        <v>0</v>
      </c>
      <c r="AD274" s="285">
        <f t="shared" si="223"/>
        <v>0</v>
      </c>
      <c r="AE274" s="286">
        <v>0</v>
      </c>
      <c r="AF274" s="287">
        <f t="shared" si="204"/>
        <v>0</v>
      </c>
      <c r="AG274" s="288">
        <f t="shared" si="205"/>
        <v>0</v>
      </c>
      <c r="AH274" s="285">
        <f t="shared" si="227"/>
        <v>0</v>
      </c>
      <c r="AI274" s="286">
        <v>-6762.73</v>
      </c>
      <c r="AJ274" s="286">
        <v>2009.91</v>
      </c>
      <c r="AK274" s="286">
        <v>0</v>
      </c>
      <c r="AL274" s="285">
        <f t="shared" si="206"/>
        <v>3620238.41</v>
      </c>
      <c r="AM274" s="285">
        <f t="shared" si="207"/>
        <v>3620238.41</v>
      </c>
      <c r="AN274" s="289">
        <f t="shared" si="224"/>
        <v>1</v>
      </c>
      <c r="AO274" s="290">
        <f t="shared" si="208"/>
        <v>-6636.84</v>
      </c>
      <c r="AP274" s="290">
        <f t="shared" si="209"/>
        <v>101814.71</v>
      </c>
      <c r="AQ274" s="290">
        <f t="shared" si="210"/>
        <v>158219.69</v>
      </c>
      <c r="AR274" s="290">
        <f t="shared" si="211"/>
        <v>0</v>
      </c>
      <c r="AS274" s="290">
        <f t="shared" si="212"/>
        <v>0</v>
      </c>
      <c r="AT274" s="290">
        <f t="shared" si="213"/>
        <v>3873635.97</v>
      </c>
      <c r="AU274" s="291">
        <f t="shared" si="214"/>
        <v>3873635.97</v>
      </c>
      <c r="AV274" s="291">
        <f t="shared" si="228"/>
        <v>0</v>
      </c>
      <c r="AW274" s="292">
        <f t="shared" si="216"/>
        <v>913901.64</v>
      </c>
      <c r="AX274" s="293">
        <f t="shared" si="217"/>
        <v>2151439.5</v>
      </c>
      <c r="BC274" s="276">
        <f>IF(BI274=1,IF(BC273=MiscData!$F$1,EOMONTH(BC273,-11),EOMONTH(BC273,1)),BC273)</f>
        <v>41882</v>
      </c>
      <c r="BD274" s="275" t="str">
        <f t="shared" si="225"/>
        <v>20140101LGCME551</v>
      </c>
      <c r="BE274" s="294" t="str">
        <f t="shared" si="226"/>
        <v>20140101GSS</v>
      </c>
      <c r="BF274">
        <f>MiscData!$X$5</f>
        <v>20140101</v>
      </c>
      <c r="BI274" s="265">
        <f>IF(BI273+1&gt;MiscData!$Z$42,1,BI273+1)</f>
        <v>5</v>
      </c>
      <c r="BJ274" s="265" t="str">
        <f>VLOOKUP(BI274,MiscData!$Z$5:$AB$46,2,FALSE)</f>
        <v>LGCME551</v>
      </c>
      <c r="BK274" s="265" t="str">
        <f>VLOOKUP(BI274,MiscData!$Z$5:$AB$46,3,FALSE)</f>
        <v>GSS</v>
      </c>
    </row>
    <row r="275" spans="1:63" hidden="1">
      <c r="A275" s="275">
        <v>258</v>
      </c>
      <c r="B275" s="276" t="str">
        <f t="shared" si="218"/>
        <v>Aug 2014</v>
      </c>
      <c r="C275" s="277" t="s">
        <v>892</v>
      </c>
      <c r="D275" s="277" t="str">
        <f t="shared" si="220"/>
        <v>LGCME551UM</v>
      </c>
      <c r="E275" s="278">
        <f t="shared" si="187"/>
        <v>1</v>
      </c>
      <c r="F275" s="279">
        <v>102</v>
      </c>
      <c r="G275" s="278">
        <f t="shared" si="188"/>
        <v>0</v>
      </c>
      <c r="H275" s="278">
        <f t="shared" si="189"/>
        <v>0</v>
      </c>
      <c r="I275" s="278">
        <f t="shared" si="190"/>
        <v>0</v>
      </c>
      <c r="J275" s="278">
        <f t="shared" si="191"/>
        <v>13802</v>
      </c>
      <c r="K275" s="280">
        <v>0</v>
      </c>
      <c r="L275" s="281">
        <f t="shared" si="192"/>
        <v>0</v>
      </c>
      <c r="M275" s="281">
        <f t="shared" si="193"/>
        <v>0</v>
      </c>
      <c r="N275" s="281">
        <f t="shared" si="194"/>
        <v>0</v>
      </c>
      <c r="O275" s="282">
        <v>0</v>
      </c>
      <c r="P275" s="282">
        <v>0</v>
      </c>
      <c r="Q275" s="282">
        <v>0</v>
      </c>
      <c r="R275" s="283">
        <f t="shared" si="195"/>
        <v>20</v>
      </c>
      <c r="S275" s="284">
        <f t="shared" si="183"/>
        <v>9.1340000000000005E-2</v>
      </c>
      <c r="T275" s="284">
        <f t="shared" si="196"/>
        <v>0</v>
      </c>
      <c r="U275" s="284">
        <f t="shared" si="197"/>
        <v>0</v>
      </c>
      <c r="V275" s="284">
        <f t="shared" si="198"/>
        <v>2.725E-2</v>
      </c>
      <c r="W275" s="283">
        <f t="shared" si="199"/>
        <v>0</v>
      </c>
      <c r="X275" s="283">
        <f t="shared" si="200"/>
        <v>0</v>
      </c>
      <c r="Y275" s="283">
        <f t="shared" si="201"/>
        <v>0</v>
      </c>
      <c r="Z275" s="285">
        <f t="shared" si="202"/>
        <v>2060</v>
      </c>
      <c r="AA275" s="285">
        <f t="shared" si="203"/>
        <v>1260.67</v>
      </c>
      <c r="AB275" s="285">
        <f t="shared" si="221"/>
        <v>0</v>
      </c>
      <c r="AC275" s="285">
        <f t="shared" si="222"/>
        <v>0</v>
      </c>
      <c r="AD275" s="285">
        <f t="shared" si="223"/>
        <v>0</v>
      </c>
      <c r="AE275" s="286">
        <v>0</v>
      </c>
      <c r="AF275" s="287">
        <f t="shared" si="204"/>
        <v>0</v>
      </c>
      <c r="AG275" s="288">
        <f t="shared" si="205"/>
        <v>0</v>
      </c>
      <c r="AH275" s="285">
        <f t="shared" si="227"/>
        <v>0</v>
      </c>
      <c r="AI275" s="286">
        <v>0</v>
      </c>
      <c r="AJ275" s="286">
        <v>0</v>
      </c>
      <c r="AK275" s="286">
        <v>0</v>
      </c>
      <c r="AL275" s="285">
        <f t="shared" si="206"/>
        <v>3320.67</v>
      </c>
      <c r="AM275" s="285">
        <f t="shared" si="207"/>
        <v>3320.67</v>
      </c>
      <c r="AN275" s="289">
        <f t="shared" si="224"/>
        <v>1</v>
      </c>
      <c r="AO275" s="290">
        <f t="shared" si="208"/>
        <v>-2.62</v>
      </c>
      <c r="AP275" s="290">
        <f t="shared" si="209"/>
        <v>41.82</v>
      </c>
      <c r="AQ275" s="290">
        <f t="shared" si="210"/>
        <v>167.84</v>
      </c>
      <c r="AR275" s="290">
        <f t="shared" si="211"/>
        <v>0</v>
      </c>
      <c r="AS275" s="290">
        <f t="shared" si="212"/>
        <v>0</v>
      </c>
      <c r="AT275" s="290">
        <f t="shared" si="213"/>
        <v>3527.71</v>
      </c>
      <c r="AU275" s="291">
        <f t="shared" si="214"/>
        <v>3527.7100000000005</v>
      </c>
      <c r="AV275" s="291">
        <f t="shared" si="228"/>
        <v>0</v>
      </c>
      <c r="AW275" s="292">
        <f t="shared" si="216"/>
        <v>376.1</v>
      </c>
      <c r="AX275" s="293">
        <f t="shared" si="217"/>
        <v>884.57</v>
      </c>
      <c r="BC275" s="276">
        <f>IF(BI275=1,IF(BC274=MiscData!$F$1,EOMONTH(BC274,-11),EOMONTH(BC274,1)),BC274)</f>
        <v>41882</v>
      </c>
      <c r="BD275" s="275" t="str">
        <f t="shared" si="225"/>
        <v>20140101LGCME551UM</v>
      </c>
      <c r="BE275" s="294" t="str">
        <f t="shared" si="226"/>
        <v>20140101GSS</v>
      </c>
      <c r="BF275">
        <f>MiscData!$X$5</f>
        <v>20140101</v>
      </c>
      <c r="BI275" s="265">
        <f>IF(BI274+1&gt;MiscData!$Z$42,1,BI274+1)</f>
        <v>6</v>
      </c>
      <c r="BJ275" s="265" t="str">
        <f>VLOOKUP(BI275,MiscData!$Z$5:$AB$46,2,FALSE)</f>
        <v>LGCME551UM</v>
      </c>
      <c r="BK275" s="265" t="str">
        <f>VLOOKUP(BI275,MiscData!$Z$5:$AB$46,3,FALSE)</f>
        <v>GSS</v>
      </c>
    </row>
    <row r="276" spans="1:63" hidden="1">
      <c r="A276" s="275">
        <v>259</v>
      </c>
      <c r="B276" s="276" t="str">
        <f t="shared" si="218"/>
        <v>Aug 2014</v>
      </c>
      <c r="C276" s="277" t="s">
        <v>892</v>
      </c>
      <c r="D276" s="277" t="str">
        <f t="shared" si="220"/>
        <v>LGCME552</v>
      </c>
      <c r="E276" s="278">
        <f t="shared" si="187"/>
        <v>126</v>
      </c>
      <c r="F276" s="279">
        <f>-E276</f>
        <v>-126</v>
      </c>
      <c r="G276" s="278">
        <f t="shared" si="188"/>
        <v>0</v>
      </c>
      <c r="H276" s="278">
        <f t="shared" si="189"/>
        <v>0</v>
      </c>
      <c r="I276" s="278">
        <f t="shared" si="190"/>
        <v>0</v>
      </c>
      <c r="J276" s="278">
        <f t="shared" si="191"/>
        <v>138400</v>
      </c>
      <c r="K276" s="280">
        <v>0</v>
      </c>
      <c r="L276" s="281">
        <f t="shared" si="192"/>
        <v>1.3</v>
      </c>
      <c r="M276" s="281">
        <f t="shared" si="193"/>
        <v>0</v>
      </c>
      <c r="N276" s="281">
        <f t="shared" si="194"/>
        <v>0</v>
      </c>
      <c r="O276" s="282">
        <v>0</v>
      </c>
      <c r="P276" s="282">
        <v>0</v>
      </c>
      <c r="Q276" s="282">
        <v>0</v>
      </c>
      <c r="R276" s="283">
        <f t="shared" si="195"/>
        <v>0</v>
      </c>
      <c r="S276" s="284">
        <f t="shared" si="183"/>
        <v>9.1340000000000005E-2</v>
      </c>
      <c r="T276" s="284">
        <f t="shared" si="196"/>
        <v>0</v>
      </c>
      <c r="U276" s="284">
        <f t="shared" si="197"/>
        <v>0</v>
      </c>
      <c r="V276" s="284">
        <f t="shared" si="198"/>
        <v>2.725E-2</v>
      </c>
      <c r="W276" s="283">
        <f t="shared" si="199"/>
        <v>0</v>
      </c>
      <c r="X276" s="283">
        <f t="shared" si="200"/>
        <v>0</v>
      </c>
      <c r="Y276" s="283">
        <f t="shared" si="201"/>
        <v>0</v>
      </c>
      <c r="Z276" s="285">
        <f t="shared" si="202"/>
        <v>0</v>
      </c>
      <c r="AA276" s="285">
        <f t="shared" si="203"/>
        <v>12641.46</v>
      </c>
      <c r="AB276" s="285">
        <f t="shared" si="221"/>
        <v>0</v>
      </c>
      <c r="AC276" s="285">
        <f t="shared" si="222"/>
        <v>0</v>
      </c>
      <c r="AD276" s="285">
        <f t="shared" si="223"/>
        <v>0</v>
      </c>
      <c r="AE276" s="286">
        <v>0</v>
      </c>
      <c r="AF276" s="287">
        <f t="shared" si="204"/>
        <v>0</v>
      </c>
      <c r="AG276" s="288">
        <f t="shared" si="205"/>
        <v>0</v>
      </c>
      <c r="AH276" s="285">
        <f t="shared" si="227"/>
        <v>0</v>
      </c>
      <c r="AI276" s="286">
        <v>0</v>
      </c>
      <c r="AJ276" s="286">
        <v>0.04</v>
      </c>
      <c r="AK276" s="286">
        <v>0</v>
      </c>
      <c r="AL276" s="285">
        <f t="shared" si="206"/>
        <v>12641.5</v>
      </c>
      <c r="AM276" s="285">
        <f t="shared" si="207"/>
        <v>12641.5</v>
      </c>
      <c r="AN276" s="289">
        <f t="shared" si="224"/>
        <v>1</v>
      </c>
      <c r="AO276" s="290">
        <f t="shared" si="208"/>
        <v>-20.38</v>
      </c>
      <c r="AP276" s="290">
        <f t="shared" si="209"/>
        <v>419.33</v>
      </c>
      <c r="AQ276" s="290">
        <f t="shared" si="210"/>
        <v>520.64</v>
      </c>
      <c r="AR276" s="290">
        <f t="shared" si="211"/>
        <v>0</v>
      </c>
      <c r="AS276" s="290">
        <f t="shared" si="212"/>
        <v>0</v>
      </c>
      <c r="AT276" s="290">
        <f t="shared" si="213"/>
        <v>13561.09</v>
      </c>
      <c r="AU276" s="291">
        <f t="shared" si="214"/>
        <v>13561.09</v>
      </c>
      <c r="AV276" s="291">
        <f t="shared" si="228"/>
        <v>0</v>
      </c>
      <c r="AW276" s="292">
        <f t="shared" si="216"/>
        <v>3771.4</v>
      </c>
      <c r="AX276" s="293">
        <f t="shared" si="217"/>
        <v>8870.1</v>
      </c>
      <c r="BC276" s="276">
        <f>IF(BI276=1,IF(BC275=MiscData!$F$1,EOMONTH(BC275,-11),EOMONTH(BC275,1)),BC275)</f>
        <v>41882</v>
      </c>
      <c r="BD276" s="275" t="str">
        <f t="shared" si="225"/>
        <v>20140101LGCME552</v>
      </c>
      <c r="BE276" s="294" t="str">
        <f t="shared" si="226"/>
        <v>20140101GSS</v>
      </c>
      <c r="BF276">
        <f>MiscData!$X$5</f>
        <v>20140101</v>
      </c>
      <c r="BI276" s="265">
        <f>IF(BI275+1&gt;MiscData!$Z$42,1,BI275+1)</f>
        <v>7</v>
      </c>
      <c r="BJ276" s="265" t="str">
        <f>VLOOKUP(BI276,MiscData!$Z$5:$AB$46,2,FALSE)</f>
        <v>LGCME552</v>
      </c>
      <c r="BK276" s="265" t="str">
        <f>VLOOKUP(BI276,MiscData!$Z$5:$AB$46,3,FALSE)</f>
        <v>GSS</v>
      </c>
    </row>
    <row r="277" spans="1:63" hidden="1">
      <c r="A277" s="275">
        <v>260</v>
      </c>
      <c r="B277" s="276" t="str">
        <f t="shared" si="218"/>
        <v>Aug 2014</v>
      </c>
      <c r="C277" s="277" t="s">
        <v>892</v>
      </c>
      <c r="D277" s="277" t="str">
        <f t="shared" si="220"/>
        <v>LGCME557</v>
      </c>
      <c r="E277" s="278">
        <f t="shared" si="187"/>
        <v>9</v>
      </c>
      <c r="F277" s="279">
        <v>-1</v>
      </c>
      <c r="G277" s="278">
        <f t="shared" si="188"/>
        <v>0</v>
      </c>
      <c r="H277" s="278">
        <f t="shared" si="189"/>
        <v>0</v>
      </c>
      <c r="I277" s="278">
        <f t="shared" si="190"/>
        <v>0</v>
      </c>
      <c r="J277" s="278">
        <f t="shared" si="191"/>
        <v>3772</v>
      </c>
      <c r="K277" s="280">
        <v>0</v>
      </c>
      <c r="L277" s="281">
        <f t="shared" si="192"/>
        <v>0</v>
      </c>
      <c r="M277" s="281">
        <f t="shared" si="193"/>
        <v>0</v>
      </c>
      <c r="N277" s="281">
        <f t="shared" si="194"/>
        <v>0</v>
      </c>
      <c r="O277" s="282">
        <v>0</v>
      </c>
      <c r="P277" s="282">
        <v>0</v>
      </c>
      <c r="Q277" s="282">
        <v>0</v>
      </c>
      <c r="R277" s="283">
        <f t="shared" si="195"/>
        <v>20</v>
      </c>
      <c r="S277" s="284">
        <f t="shared" si="183"/>
        <v>9.1340000000000005E-2</v>
      </c>
      <c r="T277" s="284">
        <f t="shared" si="196"/>
        <v>0</v>
      </c>
      <c r="U277" s="284">
        <f t="shared" si="197"/>
        <v>0</v>
      </c>
      <c r="V277" s="284">
        <f t="shared" si="198"/>
        <v>2.725E-2</v>
      </c>
      <c r="W277" s="283">
        <f t="shared" si="199"/>
        <v>0</v>
      </c>
      <c r="X277" s="283">
        <f t="shared" si="200"/>
        <v>0</v>
      </c>
      <c r="Y277" s="283">
        <f t="shared" si="201"/>
        <v>0</v>
      </c>
      <c r="Z277" s="285">
        <f t="shared" si="202"/>
        <v>160</v>
      </c>
      <c r="AA277" s="285">
        <f t="shared" si="203"/>
        <v>344.53</v>
      </c>
      <c r="AB277" s="285">
        <f t="shared" si="221"/>
        <v>0</v>
      </c>
      <c r="AC277" s="285">
        <f t="shared" si="222"/>
        <v>0</v>
      </c>
      <c r="AD277" s="285">
        <f t="shared" si="223"/>
        <v>0</v>
      </c>
      <c r="AE277" s="286">
        <v>0</v>
      </c>
      <c r="AF277" s="287">
        <f t="shared" si="204"/>
        <v>0</v>
      </c>
      <c r="AG277" s="288">
        <f t="shared" si="205"/>
        <v>0</v>
      </c>
      <c r="AH277" s="285">
        <f t="shared" si="227"/>
        <v>0</v>
      </c>
      <c r="AI277" s="286">
        <v>0</v>
      </c>
      <c r="AJ277" s="286">
        <v>0.01</v>
      </c>
      <c r="AK277" s="286">
        <v>0</v>
      </c>
      <c r="AL277" s="285">
        <f t="shared" si="206"/>
        <v>504.53999999999996</v>
      </c>
      <c r="AM277" s="285">
        <f t="shared" si="207"/>
        <v>504.54</v>
      </c>
      <c r="AN277" s="289">
        <f t="shared" si="224"/>
        <v>1</v>
      </c>
      <c r="AO277" s="290">
        <f t="shared" si="208"/>
        <v>-0.72</v>
      </c>
      <c r="AP277" s="290">
        <f t="shared" si="209"/>
        <v>11.44</v>
      </c>
      <c r="AQ277" s="290">
        <f t="shared" si="210"/>
        <v>23.21</v>
      </c>
      <c r="AR277" s="290">
        <f t="shared" si="211"/>
        <v>0</v>
      </c>
      <c r="AS277" s="290">
        <f t="shared" si="212"/>
        <v>0</v>
      </c>
      <c r="AT277" s="290">
        <f t="shared" si="213"/>
        <v>538.47</v>
      </c>
      <c r="AU277" s="291">
        <f t="shared" si="214"/>
        <v>538.47</v>
      </c>
      <c r="AV277" s="291">
        <f t="shared" si="228"/>
        <v>0</v>
      </c>
      <c r="AW277" s="292">
        <f t="shared" si="216"/>
        <v>102.79</v>
      </c>
      <c r="AX277" s="293">
        <f t="shared" si="217"/>
        <v>241.74999999999994</v>
      </c>
      <c r="BC277" s="276">
        <f>IF(BI277=1,IF(BC276=MiscData!$F$1,EOMONTH(BC276,-11),EOMONTH(BC276,1)),BC276)</f>
        <v>41882</v>
      </c>
      <c r="BD277" s="275" t="str">
        <f t="shared" si="225"/>
        <v>20140101LGCME557</v>
      </c>
      <c r="BE277" s="294" t="str">
        <f t="shared" si="226"/>
        <v>20140101GSS</v>
      </c>
      <c r="BF277">
        <f>MiscData!$X$5</f>
        <v>20140101</v>
      </c>
      <c r="BI277" s="265">
        <f>IF(BI276+1&gt;MiscData!$Z$42,1,BI276+1)</f>
        <v>8</v>
      </c>
      <c r="BJ277" s="265" t="str">
        <f>VLOOKUP(BI277,MiscData!$Z$5:$AB$46,2,FALSE)</f>
        <v>LGCME557</v>
      </c>
      <c r="BK277" s="265" t="str">
        <f>VLOOKUP(BI277,MiscData!$Z$5:$AB$46,3,FALSE)</f>
        <v>GSS</v>
      </c>
    </row>
    <row r="278" spans="1:63" hidden="1">
      <c r="A278" s="275">
        <v>261</v>
      </c>
      <c r="B278" s="276" t="str">
        <f t="shared" si="218"/>
        <v>Aug 2014</v>
      </c>
      <c r="C278" s="277" t="str">
        <f t="shared" si="219"/>
        <v>PSS</v>
      </c>
      <c r="D278" s="277" t="str">
        <f t="shared" si="220"/>
        <v>LGCME561</v>
      </c>
      <c r="E278" s="278">
        <f t="shared" si="187"/>
        <v>2600</v>
      </c>
      <c r="F278" s="279">
        <v>37</v>
      </c>
      <c r="G278" s="278">
        <f t="shared" si="188"/>
        <v>0</v>
      </c>
      <c r="H278" s="278">
        <f t="shared" si="189"/>
        <v>0</v>
      </c>
      <c r="I278" s="278">
        <f t="shared" si="190"/>
        <v>0</v>
      </c>
      <c r="J278" s="278">
        <f t="shared" si="191"/>
        <v>153563298</v>
      </c>
      <c r="K278" s="280">
        <v>0</v>
      </c>
      <c r="L278" s="281">
        <f t="shared" si="192"/>
        <v>0</v>
      </c>
      <c r="M278" s="281">
        <f t="shared" si="193"/>
        <v>0</v>
      </c>
      <c r="N278" s="281">
        <f t="shared" si="194"/>
        <v>391569.6</v>
      </c>
      <c r="O278" s="282">
        <v>0</v>
      </c>
      <c r="P278" s="282">
        <v>0</v>
      </c>
      <c r="Q278" s="282">
        <v>9983.35</v>
      </c>
      <c r="R278" s="283">
        <f t="shared" si="195"/>
        <v>90</v>
      </c>
      <c r="S278" s="284">
        <f t="shared" si="183"/>
        <v>4.0599999999999997E-2</v>
      </c>
      <c r="T278" s="284">
        <f t="shared" si="196"/>
        <v>0</v>
      </c>
      <c r="U278" s="284">
        <f t="shared" si="197"/>
        <v>0</v>
      </c>
      <c r="V278" s="284">
        <f t="shared" si="198"/>
        <v>2.725E-2</v>
      </c>
      <c r="W278" s="283">
        <f t="shared" si="199"/>
        <v>0</v>
      </c>
      <c r="X278" s="283">
        <f t="shared" si="200"/>
        <v>14.010000000000002</v>
      </c>
      <c r="Y278" s="283">
        <f t="shared" si="201"/>
        <v>16.399999999999999</v>
      </c>
      <c r="Z278" s="285">
        <f t="shared" si="202"/>
        <v>237330</v>
      </c>
      <c r="AA278" s="285">
        <f t="shared" si="203"/>
        <v>6234669.9000000004</v>
      </c>
      <c r="AB278" s="285">
        <f t="shared" si="221"/>
        <v>0</v>
      </c>
      <c r="AC278" s="285">
        <f t="shared" si="222"/>
        <v>0</v>
      </c>
      <c r="AD278" s="285">
        <f t="shared" si="223"/>
        <v>6421741.4400000004</v>
      </c>
      <c r="AE278" s="286">
        <v>0</v>
      </c>
      <c r="AF278" s="287">
        <f t="shared" si="204"/>
        <v>16709.96</v>
      </c>
      <c r="AG278" s="288">
        <f t="shared" si="205"/>
        <v>163726.94</v>
      </c>
      <c r="AH278" s="285">
        <f t="shared" si="227"/>
        <v>6602178.3400000008</v>
      </c>
      <c r="AI278" s="286">
        <v>-2148</v>
      </c>
      <c r="AJ278" s="286">
        <v>-0.56000000000000005</v>
      </c>
      <c r="AK278" s="286">
        <v>-5324.82</v>
      </c>
      <c r="AL278" s="285">
        <f t="shared" si="206"/>
        <v>13066704.859999999</v>
      </c>
      <c r="AM278" s="285">
        <f t="shared" si="207"/>
        <v>13066704.860000001</v>
      </c>
      <c r="AN278" s="289">
        <f t="shared" si="224"/>
        <v>1</v>
      </c>
      <c r="AO278" s="290">
        <f t="shared" si="208"/>
        <v>-17710.38</v>
      </c>
      <c r="AP278" s="290">
        <f t="shared" si="209"/>
        <v>213456.5</v>
      </c>
      <c r="AQ278" s="290">
        <f t="shared" si="210"/>
        <v>508861.23</v>
      </c>
      <c r="AR278" s="290">
        <f t="shared" si="211"/>
        <v>0</v>
      </c>
      <c r="AS278" s="290">
        <f t="shared" si="212"/>
        <v>0</v>
      </c>
      <c r="AT278" s="290">
        <f t="shared" si="213"/>
        <v>13771312.210000001</v>
      </c>
      <c r="AU278" s="291">
        <f t="shared" si="214"/>
        <v>13771312.209999999</v>
      </c>
      <c r="AV278" s="291">
        <f t="shared" si="228"/>
        <v>0</v>
      </c>
      <c r="AW278" s="292">
        <f t="shared" si="216"/>
        <v>4184599.87</v>
      </c>
      <c r="AX278" s="293">
        <f t="shared" si="217"/>
        <v>2050069.4700000007</v>
      </c>
      <c r="BC278" s="276">
        <f>IF(BI278=1,IF(BC277=MiscData!$F$1,EOMONTH(BC277,-11),EOMONTH(BC277,1)),BC277)</f>
        <v>41882</v>
      </c>
      <c r="BD278" s="275" t="str">
        <f t="shared" si="225"/>
        <v>20140101LGCME561</v>
      </c>
      <c r="BE278" s="294" t="str">
        <f t="shared" si="226"/>
        <v>20140101PSS</v>
      </c>
      <c r="BF278">
        <f>MiscData!$X$5</f>
        <v>20140101</v>
      </c>
      <c r="BI278" s="265">
        <f>IF(BI277+1&gt;MiscData!$Z$42,1,BI277+1)</f>
        <v>9</v>
      </c>
      <c r="BJ278" s="265" t="str">
        <f>VLOOKUP(BI278,MiscData!$Z$5:$AB$46,2,FALSE)</f>
        <v>LGCME561</v>
      </c>
      <c r="BK278" s="265" t="str">
        <f>VLOOKUP(BI278,MiscData!$Z$5:$AB$46,3,FALSE)</f>
        <v>PSS</v>
      </c>
    </row>
    <row r="279" spans="1:63" hidden="1">
      <c r="A279" s="275">
        <v>262</v>
      </c>
      <c r="B279" s="276" t="str">
        <f t="shared" si="218"/>
        <v>Aug 2014</v>
      </c>
      <c r="C279" s="277" t="str">
        <f t="shared" si="219"/>
        <v>PSP</v>
      </c>
      <c r="D279" s="277" t="str">
        <f t="shared" si="220"/>
        <v>LGCME563</v>
      </c>
      <c r="E279" s="278">
        <f t="shared" si="187"/>
        <v>55</v>
      </c>
      <c r="F279" s="279">
        <v>5</v>
      </c>
      <c r="G279" s="278">
        <f t="shared" si="188"/>
        <v>0</v>
      </c>
      <c r="H279" s="278">
        <f t="shared" si="189"/>
        <v>0</v>
      </c>
      <c r="I279" s="278">
        <f t="shared" si="190"/>
        <v>0</v>
      </c>
      <c r="J279" s="278">
        <f t="shared" si="191"/>
        <v>13075720</v>
      </c>
      <c r="K279" s="280">
        <v>0</v>
      </c>
      <c r="L279" s="281">
        <f t="shared" si="192"/>
        <v>0</v>
      </c>
      <c r="M279" s="281">
        <f t="shared" si="193"/>
        <v>0</v>
      </c>
      <c r="N279" s="281">
        <f t="shared" si="194"/>
        <v>28077.3</v>
      </c>
      <c r="O279" s="282">
        <v>0</v>
      </c>
      <c r="P279" s="282">
        <v>0</v>
      </c>
      <c r="Q279" s="282">
        <v>-5060.25</v>
      </c>
      <c r="R279" s="283">
        <f t="shared" si="195"/>
        <v>170</v>
      </c>
      <c r="S279" s="284">
        <f t="shared" si="183"/>
        <v>3.9260000000000003E-2</v>
      </c>
      <c r="T279" s="284">
        <f t="shared" si="196"/>
        <v>0</v>
      </c>
      <c r="U279" s="284">
        <f t="shared" si="197"/>
        <v>0</v>
      </c>
      <c r="V279" s="284">
        <f t="shared" si="198"/>
        <v>2.725E-2</v>
      </c>
      <c r="W279" s="283">
        <f t="shared" si="199"/>
        <v>0</v>
      </c>
      <c r="X279" s="283">
        <f t="shared" si="200"/>
        <v>11.660000000000002</v>
      </c>
      <c r="Y279" s="283">
        <f t="shared" si="201"/>
        <v>13.950000000000001</v>
      </c>
      <c r="Z279" s="285">
        <f t="shared" si="202"/>
        <v>10200</v>
      </c>
      <c r="AA279" s="285">
        <f t="shared" si="203"/>
        <v>513352.77</v>
      </c>
      <c r="AB279" s="285">
        <f t="shared" si="221"/>
        <v>0</v>
      </c>
      <c r="AC279" s="285">
        <f t="shared" si="222"/>
        <v>0</v>
      </c>
      <c r="AD279" s="285">
        <f t="shared" si="223"/>
        <v>391678.34</v>
      </c>
      <c r="AE279" s="286">
        <v>0</v>
      </c>
      <c r="AF279" s="287">
        <f t="shared" si="204"/>
        <v>-104757.71</v>
      </c>
      <c r="AG279" s="288">
        <f t="shared" si="205"/>
        <v>-70590.490000000005</v>
      </c>
      <c r="AH279" s="285">
        <f t="shared" si="227"/>
        <v>216330.14</v>
      </c>
      <c r="AI279" s="286">
        <v>-850</v>
      </c>
      <c r="AJ279" s="286">
        <v>-0.01</v>
      </c>
      <c r="AK279" s="286">
        <v>-7090.28</v>
      </c>
      <c r="AL279" s="285">
        <f t="shared" si="206"/>
        <v>731942.62000000011</v>
      </c>
      <c r="AM279" s="285">
        <f t="shared" si="207"/>
        <v>731942.62000000011</v>
      </c>
      <c r="AN279" s="289">
        <f t="shared" si="224"/>
        <v>1</v>
      </c>
      <c r="AO279" s="290">
        <f t="shared" si="208"/>
        <v>-395.64</v>
      </c>
      <c r="AP279" s="290">
        <f t="shared" si="209"/>
        <v>18175.27</v>
      </c>
      <c r="AQ279" s="290">
        <f t="shared" si="210"/>
        <v>25025.31</v>
      </c>
      <c r="AR279" s="290">
        <f t="shared" si="211"/>
        <v>0</v>
      </c>
      <c r="AS279" s="290">
        <f t="shared" si="212"/>
        <v>0</v>
      </c>
      <c r="AT279" s="290">
        <f t="shared" si="213"/>
        <v>774747.56</v>
      </c>
      <c r="AU279" s="291">
        <f t="shared" si="214"/>
        <v>774747.56000000017</v>
      </c>
      <c r="AV279" s="291">
        <f t="shared" si="228"/>
        <v>0</v>
      </c>
      <c r="AW279" s="292">
        <f t="shared" si="216"/>
        <v>356313.37</v>
      </c>
      <c r="AX279" s="293">
        <f t="shared" si="217"/>
        <v>157039.39000000001</v>
      </c>
      <c r="BC279" s="276">
        <f>IF(BI279=1,IF(BC278=MiscData!$F$1,EOMONTH(BC278,-11),EOMONTH(BC278,1)),BC278)</f>
        <v>41882</v>
      </c>
      <c r="BD279" s="275" t="str">
        <f t="shared" si="225"/>
        <v>20140101LGCME563</v>
      </c>
      <c r="BE279" s="294" t="str">
        <f t="shared" si="226"/>
        <v>20140101PSP</v>
      </c>
      <c r="BF279">
        <f>MiscData!$X$5</f>
        <v>20140101</v>
      </c>
      <c r="BI279" s="265">
        <f>IF(BI278+1&gt;MiscData!$Z$42,1,BI278+1)</f>
        <v>10</v>
      </c>
      <c r="BJ279" s="265" t="str">
        <f>VLOOKUP(BI279,MiscData!$Z$5:$AB$46,2,FALSE)</f>
        <v>LGCME563</v>
      </c>
      <c r="BK279" s="265" t="str">
        <f>VLOOKUP(BI279,MiscData!$Z$5:$AB$46,3,FALSE)</f>
        <v>PSP</v>
      </c>
    </row>
    <row r="280" spans="1:63" hidden="1">
      <c r="A280" s="275">
        <v>263</v>
      </c>
      <c r="B280" s="276" t="str">
        <f t="shared" si="218"/>
        <v>Aug 2014</v>
      </c>
      <c r="C280" s="277" t="str">
        <f t="shared" si="219"/>
        <v>PSS</v>
      </c>
      <c r="D280" s="277" t="str">
        <f t="shared" si="220"/>
        <v>LGCME567</v>
      </c>
      <c r="E280" s="278">
        <f t="shared" si="187"/>
        <v>1</v>
      </c>
      <c r="F280" s="279">
        <v>0</v>
      </c>
      <c r="G280" s="278">
        <f t="shared" si="188"/>
        <v>0</v>
      </c>
      <c r="H280" s="278">
        <f t="shared" si="189"/>
        <v>0</v>
      </c>
      <c r="I280" s="278">
        <f t="shared" si="190"/>
        <v>0</v>
      </c>
      <c r="J280" s="278">
        <f t="shared" si="191"/>
        <v>108480</v>
      </c>
      <c r="K280" s="280">
        <v>0</v>
      </c>
      <c r="L280" s="281">
        <f t="shared" si="192"/>
        <v>0</v>
      </c>
      <c r="M280" s="281">
        <f t="shared" si="193"/>
        <v>0</v>
      </c>
      <c r="N280" s="281">
        <f t="shared" si="194"/>
        <v>378.1</v>
      </c>
      <c r="O280" s="282">
        <v>0</v>
      </c>
      <c r="P280" s="282">
        <v>0</v>
      </c>
      <c r="Q280" s="282">
        <v>0</v>
      </c>
      <c r="R280" s="283">
        <f t="shared" si="195"/>
        <v>90</v>
      </c>
      <c r="S280" s="284">
        <f t="shared" si="183"/>
        <v>4.0599999999999997E-2</v>
      </c>
      <c r="T280" s="284">
        <f t="shared" si="196"/>
        <v>0</v>
      </c>
      <c r="U280" s="284">
        <f t="shared" si="197"/>
        <v>0</v>
      </c>
      <c r="V280" s="284">
        <f t="shared" si="198"/>
        <v>2.725E-2</v>
      </c>
      <c r="W280" s="283">
        <f t="shared" si="199"/>
        <v>0</v>
      </c>
      <c r="X280" s="283">
        <f t="shared" si="200"/>
        <v>14.010000000000002</v>
      </c>
      <c r="Y280" s="283">
        <f t="shared" si="201"/>
        <v>16.399999999999999</v>
      </c>
      <c r="Z280" s="285">
        <f t="shared" si="202"/>
        <v>90</v>
      </c>
      <c r="AA280" s="285">
        <f t="shared" si="203"/>
        <v>4404.29</v>
      </c>
      <c r="AB280" s="285">
        <f t="shared" si="221"/>
        <v>0</v>
      </c>
      <c r="AC280" s="285">
        <f t="shared" si="222"/>
        <v>0</v>
      </c>
      <c r="AD280" s="285">
        <f t="shared" si="223"/>
        <v>6200.84</v>
      </c>
      <c r="AE280" s="286">
        <v>0</v>
      </c>
      <c r="AF280" s="287">
        <f t="shared" si="204"/>
        <v>0</v>
      </c>
      <c r="AG280" s="288">
        <f t="shared" si="205"/>
        <v>0</v>
      </c>
      <c r="AH280" s="285">
        <f t="shared" si="227"/>
        <v>6200.84</v>
      </c>
      <c r="AI280" s="286">
        <v>0</v>
      </c>
      <c r="AJ280" s="286">
        <v>0</v>
      </c>
      <c r="AK280" s="286">
        <v>0</v>
      </c>
      <c r="AL280" s="285">
        <f t="shared" si="206"/>
        <v>10695.130000000001</v>
      </c>
      <c r="AM280" s="285">
        <f t="shared" si="207"/>
        <v>10695.130000000001</v>
      </c>
      <c r="AN280" s="289">
        <f t="shared" si="224"/>
        <v>1</v>
      </c>
      <c r="AO280" s="290">
        <f t="shared" si="208"/>
        <v>149.69999999999999</v>
      </c>
      <c r="AP280" s="290">
        <f t="shared" si="209"/>
        <v>150.79</v>
      </c>
      <c r="AQ280" s="290">
        <f t="shared" si="210"/>
        <v>399.23</v>
      </c>
      <c r="AR280" s="290">
        <f t="shared" si="211"/>
        <v>0</v>
      </c>
      <c r="AS280" s="290">
        <f t="shared" si="212"/>
        <v>0</v>
      </c>
      <c r="AT280" s="290">
        <f t="shared" si="213"/>
        <v>11394.85</v>
      </c>
      <c r="AU280" s="291">
        <f t="shared" si="214"/>
        <v>11394.850000000002</v>
      </c>
      <c r="AV280" s="291">
        <f t="shared" si="186"/>
        <v>0</v>
      </c>
      <c r="AW280" s="292">
        <f t="shared" si="216"/>
        <v>2956.08</v>
      </c>
      <c r="AX280" s="293">
        <f t="shared" si="217"/>
        <v>1448.21</v>
      </c>
      <c r="BC280" s="276">
        <f>IF(BI280=1,IF(BC279=MiscData!$F$1,EOMONTH(BC279,-11),EOMONTH(BC279,1)),BC279)</f>
        <v>41882</v>
      </c>
      <c r="BD280" s="275" t="str">
        <f t="shared" si="225"/>
        <v>20140101LGCME567</v>
      </c>
      <c r="BE280" s="294" t="str">
        <f t="shared" si="226"/>
        <v>20140101PSS</v>
      </c>
      <c r="BF280">
        <f>MiscData!$X$5</f>
        <v>20140101</v>
      </c>
      <c r="BI280" s="265">
        <f>IF(BI279+1&gt;MiscData!$Z$42,1,BI279+1)</f>
        <v>11</v>
      </c>
      <c r="BJ280" s="265" t="str">
        <f>VLOOKUP(BI280,MiscData!$Z$5:$AB$46,2,FALSE)</f>
        <v>LGCME567</v>
      </c>
      <c r="BK280" s="265" t="str">
        <f>VLOOKUP(BI280,MiscData!$Z$5:$AB$46,3,FALSE)</f>
        <v>PSS</v>
      </c>
    </row>
    <row r="281" spans="1:63" hidden="1">
      <c r="A281" s="275">
        <v>264</v>
      </c>
      <c r="B281" s="276" t="str">
        <f t="shared" si="218"/>
        <v>Aug 2014</v>
      </c>
      <c r="C281" s="277" t="str">
        <f t="shared" si="219"/>
        <v>TODS</v>
      </c>
      <c r="D281" s="277" t="str">
        <f t="shared" si="220"/>
        <v>LGCME591</v>
      </c>
      <c r="E281" s="278">
        <f t="shared" si="187"/>
        <v>223</v>
      </c>
      <c r="F281" s="279">
        <v>3</v>
      </c>
      <c r="G281" s="278">
        <f t="shared" si="188"/>
        <v>0</v>
      </c>
      <c r="H281" s="278">
        <f t="shared" si="189"/>
        <v>0</v>
      </c>
      <c r="I281" s="278">
        <f t="shared" si="190"/>
        <v>0</v>
      </c>
      <c r="J281" s="278">
        <f t="shared" si="191"/>
        <v>62381577</v>
      </c>
      <c r="K281" s="280">
        <v>0</v>
      </c>
      <c r="L281" s="281">
        <f t="shared" si="192"/>
        <v>132578</v>
      </c>
      <c r="M281" s="281">
        <f t="shared" si="193"/>
        <v>130962.9</v>
      </c>
      <c r="N281" s="281">
        <f t="shared" si="194"/>
        <v>129417.7</v>
      </c>
      <c r="O281" s="282">
        <v>7328.65</v>
      </c>
      <c r="P281" s="282">
        <v>796.6</v>
      </c>
      <c r="Q281" s="282">
        <v>798.4</v>
      </c>
      <c r="R281" s="283">
        <f t="shared" si="195"/>
        <v>200</v>
      </c>
      <c r="S281" s="284">
        <f t="shared" si="183"/>
        <v>3.9899999999999998E-2</v>
      </c>
      <c r="T281" s="284">
        <f t="shared" si="196"/>
        <v>0</v>
      </c>
      <c r="U281" s="284">
        <f t="shared" si="197"/>
        <v>0</v>
      </c>
      <c r="V281" s="284">
        <f t="shared" si="198"/>
        <v>2.725E-2</v>
      </c>
      <c r="W281" s="283">
        <f t="shared" si="199"/>
        <v>4</v>
      </c>
      <c r="X281" s="283">
        <f t="shared" si="200"/>
        <v>4.5100000000000007</v>
      </c>
      <c r="Y281" s="283">
        <f t="shared" si="201"/>
        <v>6.11</v>
      </c>
      <c r="Z281" s="285">
        <f t="shared" si="202"/>
        <v>45200</v>
      </c>
      <c r="AA281" s="285">
        <f t="shared" si="203"/>
        <v>2489024.92</v>
      </c>
      <c r="AB281" s="285">
        <f t="shared" si="221"/>
        <v>530312</v>
      </c>
      <c r="AC281" s="285">
        <f t="shared" si="222"/>
        <v>590642.68000000005</v>
      </c>
      <c r="AD281" s="285">
        <f t="shared" si="223"/>
        <v>790742.15</v>
      </c>
      <c r="AE281" s="286">
        <v>1755</v>
      </c>
      <c r="AF281" s="287">
        <f t="shared" si="204"/>
        <v>31496.94</v>
      </c>
      <c r="AG281" s="288">
        <f t="shared" si="205"/>
        <v>37785.49</v>
      </c>
      <c r="AH281" s="285">
        <f t="shared" si="227"/>
        <v>1982734.26</v>
      </c>
      <c r="AI281" s="286">
        <v>-1400</v>
      </c>
      <c r="AJ281" s="286">
        <v>0.02</v>
      </c>
      <c r="AK281" s="286">
        <v>-5746.21</v>
      </c>
      <c r="AL281" s="285">
        <f t="shared" si="206"/>
        <v>4509812.99</v>
      </c>
      <c r="AM281" s="285">
        <f t="shared" si="207"/>
        <v>4509812.99</v>
      </c>
      <c r="AN281" s="289">
        <f t="shared" si="224"/>
        <v>1</v>
      </c>
      <c r="AO281" s="290">
        <f t="shared" si="208"/>
        <v>-7672.9</v>
      </c>
      <c r="AP281" s="290">
        <f t="shared" si="209"/>
        <v>47409.96</v>
      </c>
      <c r="AQ281" s="290">
        <f t="shared" si="210"/>
        <v>159880.62</v>
      </c>
      <c r="AR281" s="290">
        <f t="shared" si="211"/>
        <v>0</v>
      </c>
      <c r="AS281" s="290">
        <f t="shared" si="212"/>
        <v>0</v>
      </c>
      <c r="AT281" s="290">
        <f t="shared" si="213"/>
        <v>4709430.67</v>
      </c>
      <c r="AU281" s="291">
        <f t="shared" si="214"/>
        <v>4709430.67</v>
      </c>
      <c r="AV281" s="291">
        <f t="shared" si="186"/>
        <v>0</v>
      </c>
      <c r="AW281" s="292">
        <f t="shared" si="216"/>
        <v>1699897.97</v>
      </c>
      <c r="AX281" s="293">
        <f t="shared" si="217"/>
        <v>789126.97</v>
      </c>
      <c r="BC281" s="276">
        <f>IF(BI281=1,IF(BC280=MiscData!$F$1,EOMONTH(BC280,-11),EOMONTH(BC280,1)),BC280)</f>
        <v>41882</v>
      </c>
      <c r="BD281" s="275" t="str">
        <f t="shared" si="225"/>
        <v>20140101LGCME591</v>
      </c>
      <c r="BE281" s="294" t="str">
        <f t="shared" si="226"/>
        <v>20140101TODS</v>
      </c>
      <c r="BF281">
        <f>MiscData!$X$5</f>
        <v>20140101</v>
      </c>
      <c r="BI281" s="265">
        <f>IF(BI280+1&gt;MiscData!$Z$42,1,BI280+1)</f>
        <v>12</v>
      </c>
      <c r="BJ281" s="265" t="str">
        <f>VLOOKUP(BI281,MiscData!$Z$5:$AB$46,2,FALSE)</f>
        <v>LGCME591</v>
      </c>
      <c r="BK281" s="265" t="str">
        <f>VLOOKUP(BI281,MiscData!$Z$5:$AB$46,3,FALSE)</f>
        <v>TODS</v>
      </c>
    </row>
    <row r="282" spans="1:63" hidden="1">
      <c r="A282" s="275">
        <v>265</v>
      </c>
      <c r="B282" s="276" t="str">
        <f t="shared" si="218"/>
        <v>Aug 2014</v>
      </c>
      <c r="C282" s="277" t="str">
        <f t="shared" si="219"/>
        <v>CTODP</v>
      </c>
      <c r="D282" s="277" t="str">
        <f t="shared" si="220"/>
        <v>LGCME593</v>
      </c>
      <c r="E282" s="278">
        <f t="shared" si="187"/>
        <v>35</v>
      </c>
      <c r="F282" s="279">
        <v>0</v>
      </c>
      <c r="G282" s="278">
        <f t="shared" si="188"/>
        <v>0</v>
      </c>
      <c r="H282" s="278">
        <f t="shared" si="189"/>
        <v>0</v>
      </c>
      <c r="I282" s="278">
        <f t="shared" si="190"/>
        <v>0</v>
      </c>
      <c r="J282" s="278">
        <f t="shared" si="191"/>
        <v>34571100</v>
      </c>
      <c r="K282" s="280">
        <v>0</v>
      </c>
      <c r="L282" s="281">
        <f t="shared" si="192"/>
        <v>75291.3</v>
      </c>
      <c r="M282" s="281">
        <f t="shared" si="193"/>
        <v>73407.600000000006</v>
      </c>
      <c r="N282" s="281">
        <f t="shared" si="194"/>
        <v>72622.8</v>
      </c>
      <c r="O282" s="282">
        <v>2063</v>
      </c>
      <c r="P282" s="282">
        <v>0</v>
      </c>
      <c r="Q282" s="282">
        <v>49.5</v>
      </c>
      <c r="R282" s="283">
        <f t="shared" si="195"/>
        <v>300</v>
      </c>
      <c r="S282" s="284">
        <f t="shared" si="183"/>
        <v>3.8100000000000002E-2</v>
      </c>
      <c r="T282" s="284">
        <f t="shared" si="196"/>
        <v>0</v>
      </c>
      <c r="U282" s="284">
        <f t="shared" si="197"/>
        <v>0</v>
      </c>
      <c r="V282" s="284">
        <f t="shared" si="198"/>
        <v>2.725E-2</v>
      </c>
      <c r="W282" s="283">
        <f t="shared" si="199"/>
        <v>3.9800000000000004</v>
      </c>
      <c r="X282" s="283">
        <f t="shared" si="200"/>
        <v>4.13</v>
      </c>
      <c r="Y282" s="283">
        <f t="shared" si="201"/>
        <v>5.83</v>
      </c>
      <c r="Z282" s="285">
        <f t="shared" si="202"/>
        <v>10500</v>
      </c>
      <c r="AA282" s="285">
        <f t="shared" si="203"/>
        <v>1317158.9099999999</v>
      </c>
      <c r="AB282" s="285">
        <f t="shared" si="221"/>
        <v>299659.37</v>
      </c>
      <c r="AC282" s="285">
        <f t="shared" si="222"/>
        <v>303173.39</v>
      </c>
      <c r="AD282" s="285">
        <f t="shared" si="223"/>
        <v>423390.92</v>
      </c>
      <c r="AE282" s="286">
        <v>0</v>
      </c>
      <c r="AF282" s="287">
        <f t="shared" si="204"/>
        <v>0</v>
      </c>
      <c r="AG282" s="288">
        <f t="shared" si="205"/>
        <v>8499.33</v>
      </c>
      <c r="AH282" s="285">
        <f t="shared" si="227"/>
        <v>1034723.0099999999</v>
      </c>
      <c r="AI282" s="286">
        <v>0</v>
      </c>
      <c r="AJ282" s="286">
        <v>0</v>
      </c>
      <c r="AK282" s="286">
        <v>0.05</v>
      </c>
      <c r="AL282" s="285">
        <f t="shared" si="206"/>
        <v>2362381.9699999997</v>
      </c>
      <c r="AM282" s="285">
        <f t="shared" si="207"/>
        <v>2362381.9699999997</v>
      </c>
      <c r="AN282" s="289">
        <f t="shared" si="224"/>
        <v>1</v>
      </c>
      <c r="AO282" s="290">
        <f t="shared" si="208"/>
        <v>9908.9599999999991</v>
      </c>
      <c r="AP282" s="290">
        <f t="shared" si="209"/>
        <v>26274.04</v>
      </c>
      <c r="AQ282" s="290">
        <f t="shared" si="210"/>
        <v>79109.679999999993</v>
      </c>
      <c r="AR282" s="290">
        <f t="shared" si="211"/>
        <v>0</v>
      </c>
      <c r="AS282" s="290">
        <f t="shared" si="212"/>
        <v>0</v>
      </c>
      <c r="AT282" s="290">
        <f t="shared" si="213"/>
        <v>2477674.65</v>
      </c>
      <c r="AU282" s="291">
        <f t="shared" si="214"/>
        <v>2477674.65</v>
      </c>
      <c r="AV282" s="291">
        <f t="shared" si="186"/>
        <v>0</v>
      </c>
      <c r="AW282" s="292">
        <f t="shared" si="216"/>
        <v>942062.48</v>
      </c>
      <c r="AX282" s="293">
        <f t="shared" si="217"/>
        <v>375096.42999999993</v>
      </c>
      <c r="BC282" s="276">
        <f>IF(BI282=1,IF(BC281=MiscData!$F$1,EOMONTH(BC281,-11),EOMONTH(BC281,1)),BC281)</f>
        <v>41882</v>
      </c>
      <c r="BD282" s="275" t="str">
        <f t="shared" si="225"/>
        <v>20140101LGCME593</v>
      </c>
      <c r="BE282" s="294" t="str">
        <f t="shared" si="226"/>
        <v>20140101CTODP</v>
      </c>
      <c r="BF282">
        <f>MiscData!$X$5</f>
        <v>20140101</v>
      </c>
      <c r="BI282" s="265">
        <f>IF(BI281+1&gt;MiscData!$Z$42,1,BI281+1)</f>
        <v>13</v>
      </c>
      <c r="BJ282" s="265" t="str">
        <f>VLOOKUP(BI282,MiscData!$Z$5:$AB$46,2,FALSE)</f>
        <v>LGCME593</v>
      </c>
      <c r="BK282" s="265" t="str">
        <f>VLOOKUP(BI282,MiscData!$Z$5:$AB$46,3,FALSE)</f>
        <v>CTODP</v>
      </c>
    </row>
    <row r="283" spans="1:63" hidden="1">
      <c r="A283" s="275">
        <v>266</v>
      </c>
      <c r="B283" s="276" t="str">
        <f t="shared" si="218"/>
        <v>Aug 2014</v>
      </c>
      <c r="C283" s="277" t="str">
        <f t="shared" si="219"/>
        <v>GS3</v>
      </c>
      <c r="D283" s="277" t="str">
        <f t="shared" si="220"/>
        <v>LGCME650</v>
      </c>
      <c r="E283" s="278">
        <f t="shared" si="187"/>
        <v>0</v>
      </c>
      <c r="F283" s="279">
        <v>0</v>
      </c>
      <c r="G283" s="278">
        <f t="shared" si="188"/>
        <v>0</v>
      </c>
      <c r="H283" s="278">
        <f t="shared" si="189"/>
        <v>0</v>
      </c>
      <c r="I283" s="278">
        <f t="shared" si="190"/>
        <v>0</v>
      </c>
      <c r="J283" s="278">
        <f t="shared" si="191"/>
        <v>0</v>
      </c>
      <c r="K283" s="280">
        <v>0</v>
      </c>
      <c r="L283" s="281">
        <f t="shared" si="192"/>
        <v>0</v>
      </c>
      <c r="M283" s="281">
        <f t="shared" si="193"/>
        <v>0</v>
      </c>
      <c r="N283" s="281">
        <f t="shared" si="194"/>
        <v>0</v>
      </c>
      <c r="O283" s="282">
        <v>0</v>
      </c>
      <c r="P283" s="282">
        <v>0</v>
      </c>
      <c r="Q283" s="282">
        <v>0</v>
      </c>
      <c r="R283" s="283">
        <f t="shared" si="195"/>
        <v>35</v>
      </c>
      <c r="S283" s="284">
        <f t="shared" si="183"/>
        <v>9.1340000000000005E-2</v>
      </c>
      <c r="T283" s="284">
        <f t="shared" si="196"/>
        <v>0</v>
      </c>
      <c r="U283" s="284">
        <f t="shared" si="197"/>
        <v>0</v>
      </c>
      <c r="V283" s="284">
        <f t="shared" si="198"/>
        <v>2.725E-2</v>
      </c>
      <c r="W283" s="283">
        <f t="shared" si="199"/>
        <v>0</v>
      </c>
      <c r="X283" s="283">
        <f t="shared" si="200"/>
        <v>0</v>
      </c>
      <c r="Y283" s="283">
        <f t="shared" si="201"/>
        <v>0</v>
      </c>
      <c r="Z283" s="285">
        <f t="shared" si="202"/>
        <v>0</v>
      </c>
      <c r="AA283" s="285">
        <f t="shared" si="203"/>
        <v>0</v>
      </c>
      <c r="AB283" s="285">
        <f t="shared" si="221"/>
        <v>0</v>
      </c>
      <c r="AC283" s="285">
        <f t="shared" si="222"/>
        <v>0</v>
      </c>
      <c r="AD283" s="285">
        <f t="shared" si="223"/>
        <v>0</v>
      </c>
      <c r="AE283" s="286">
        <v>0</v>
      </c>
      <c r="AF283" s="287">
        <f t="shared" si="204"/>
        <v>0</v>
      </c>
      <c r="AG283" s="288">
        <f t="shared" si="205"/>
        <v>0</v>
      </c>
      <c r="AH283" s="285">
        <f t="shared" si="227"/>
        <v>0</v>
      </c>
      <c r="AI283" s="286">
        <v>0</v>
      </c>
      <c r="AJ283" s="286">
        <v>0</v>
      </c>
      <c r="AK283" s="286">
        <v>0</v>
      </c>
      <c r="AL283" s="285">
        <f t="shared" si="206"/>
        <v>0</v>
      </c>
      <c r="AM283" s="285">
        <f t="shared" si="207"/>
        <v>0</v>
      </c>
      <c r="AN283" s="289">
        <f t="shared" si="224"/>
        <v>1</v>
      </c>
      <c r="AO283" s="290">
        <f t="shared" si="208"/>
        <v>0</v>
      </c>
      <c r="AP283" s="290">
        <f t="shared" si="209"/>
        <v>0</v>
      </c>
      <c r="AQ283" s="290">
        <f t="shared" si="210"/>
        <v>0</v>
      </c>
      <c r="AR283" s="290">
        <f t="shared" si="211"/>
        <v>0</v>
      </c>
      <c r="AS283" s="290">
        <f t="shared" si="212"/>
        <v>0</v>
      </c>
      <c r="AT283" s="290">
        <f t="shared" si="213"/>
        <v>0</v>
      </c>
      <c r="AU283" s="291">
        <f t="shared" si="214"/>
        <v>0</v>
      </c>
      <c r="AV283" s="291">
        <f t="shared" si="186"/>
        <v>0</v>
      </c>
      <c r="AW283" s="292">
        <f t="shared" si="216"/>
        <v>0</v>
      </c>
      <c r="AX283" s="293">
        <f t="shared" si="217"/>
        <v>0</v>
      </c>
      <c r="BC283" s="276">
        <f>IF(BI283=1,IF(BC282=MiscData!$F$1,EOMONTH(BC282,-11),EOMONTH(BC282,1)),BC282)</f>
        <v>41882</v>
      </c>
      <c r="BD283" s="275" t="str">
        <f t="shared" si="225"/>
        <v>20140101LGCME650</v>
      </c>
      <c r="BE283" s="294" t="str">
        <f t="shared" si="226"/>
        <v>20140101GS3</v>
      </c>
      <c r="BF283">
        <f>MiscData!$X$5</f>
        <v>20140101</v>
      </c>
      <c r="BI283" s="265">
        <f>IF(BI282+1&gt;MiscData!$Z$42,1,BI282+1)</f>
        <v>14</v>
      </c>
      <c r="BJ283" s="265" t="str">
        <f>VLOOKUP(BI283,MiscData!$Z$5:$AB$46,2,FALSE)</f>
        <v>LGCME650</v>
      </c>
      <c r="BK283" s="265" t="str">
        <f>VLOOKUP(BI283,MiscData!$Z$5:$AB$46,3,FALSE)</f>
        <v>GS3</v>
      </c>
    </row>
    <row r="284" spans="1:63" hidden="1">
      <c r="A284" s="275">
        <v>267</v>
      </c>
      <c r="B284" s="276" t="str">
        <f t="shared" si="218"/>
        <v>Aug 2014</v>
      </c>
      <c r="C284" s="277" t="str">
        <f t="shared" si="219"/>
        <v>GS3</v>
      </c>
      <c r="D284" s="277" t="str">
        <f t="shared" si="220"/>
        <v>LGCME651</v>
      </c>
      <c r="E284" s="278">
        <f t="shared" si="187"/>
        <v>15643</v>
      </c>
      <c r="F284" s="279">
        <v>181</v>
      </c>
      <c r="G284" s="278">
        <f t="shared" si="188"/>
        <v>0</v>
      </c>
      <c r="H284" s="278">
        <f t="shared" si="189"/>
        <v>0</v>
      </c>
      <c r="I284" s="278">
        <f t="shared" si="190"/>
        <v>0</v>
      </c>
      <c r="J284" s="278">
        <f t="shared" si="191"/>
        <v>86382879</v>
      </c>
      <c r="K284" s="280">
        <v>0</v>
      </c>
      <c r="L284" s="281">
        <f t="shared" si="192"/>
        <v>287161.40000000002</v>
      </c>
      <c r="M284" s="281">
        <f t="shared" si="193"/>
        <v>0</v>
      </c>
      <c r="N284" s="281">
        <f t="shared" si="194"/>
        <v>0</v>
      </c>
      <c r="O284" s="282">
        <v>0</v>
      </c>
      <c r="P284" s="282">
        <v>0</v>
      </c>
      <c r="Q284" s="282">
        <v>0</v>
      </c>
      <c r="R284" s="283">
        <f t="shared" si="195"/>
        <v>35</v>
      </c>
      <c r="S284" s="284">
        <f t="shared" si="183"/>
        <v>9.1340000000000005E-2</v>
      </c>
      <c r="T284" s="284">
        <f t="shared" si="196"/>
        <v>0</v>
      </c>
      <c r="U284" s="284">
        <f t="shared" si="197"/>
        <v>0</v>
      </c>
      <c r="V284" s="284">
        <f t="shared" si="198"/>
        <v>2.725E-2</v>
      </c>
      <c r="W284" s="283">
        <f t="shared" si="199"/>
        <v>0</v>
      </c>
      <c r="X284" s="283">
        <f t="shared" si="200"/>
        <v>0</v>
      </c>
      <c r="Y284" s="283">
        <f t="shared" si="201"/>
        <v>0</v>
      </c>
      <c r="Z284" s="285">
        <f t="shared" si="202"/>
        <v>553840</v>
      </c>
      <c r="AA284" s="285">
        <f t="shared" si="203"/>
        <v>7890212.1699999999</v>
      </c>
      <c r="AB284" s="285">
        <f t="shared" si="221"/>
        <v>0</v>
      </c>
      <c r="AC284" s="285">
        <f t="shared" si="222"/>
        <v>0</v>
      </c>
      <c r="AD284" s="285">
        <f t="shared" si="223"/>
        <v>0</v>
      </c>
      <c r="AE284" s="286">
        <v>0</v>
      </c>
      <c r="AF284" s="287">
        <f t="shared" si="204"/>
        <v>0</v>
      </c>
      <c r="AG284" s="288">
        <f t="shared" si="205"/>
        <v>0</v>
      </c>
      <c r="AH284" s="285">
        <f t="shared" si="227"/>
        <v>0</v>
      </c>
      <c r="AI284" s="286">
        <v>-4630.33</v>
      </c>
      <c r="AJ284" s="286">
        <v>70.73</v>
      </c>
      <c r="AK284" s="286">
        <v>0</v>
      </c>
      <c r="AL284" s="285">
        <f t="shared" si="206"/>
        <v>8439492.5700000003</v>
      </c>
      <c r="AM284" s="285">
        <f t="shared" si="207"/>
        <v>8439492.5700000003</v>
      </c>
      <c r="AN284" s="289">
        <f t="shared" si="224"/>
        <v>1</v>
      </c>
      <c r="AO284" s="290">
        <f t="shared" si="208"/>
        <v>-13824.43</v>
      </c>
      <c r="AP284" s="290">
        <f t="shared" si="209"/>
        <v>258471.24</v>
      </c>
      <c r="AQ284" s="290">
        <f t="shared" si="210"/>
        <v>355826.43</v>
      </c>
      <c r="AR284" s="290">
        <f t="shared" si="211"/>
        <v>0</v>
      </c>
      <c r="AS284" s="290">
        <f t="shared" si="212"/>
        <v>0</v>
      </c>
      <c r="AT284" s="290">
        <f t="shared" si="213"/>
        <v>9039965.8100000005</v>
      </c>
      <c r="AU284" s="291">
        <f t="shared" si="214"/>
        <v>9039965.8100000005</v>
      </c>
      <c r="AV284" s="291">
        <f t="shared" si="186"/>
        <v>0</v>
      </c>
      <c r="AW284" s="292">
        <f t="shared" si="216"/>
        <v>2353933.4500000002</v>
      </c>
      <c r="AX284" s="293">
        <f t="shared" si="217"/>
        <v>5536349.4500000002</v>
      </c>
      <c r="BC284" s="276">
        <f>IF(BI284=1,IF(BC283=MiscData!$F$1,EOMONTH(BC283,-11),EOMONTH(BC283,1)),BC283)</f>
        <v>41882</v>
      </c>
      <c r="BD284" s="275" t="str">
        <f t="shared" si="225"/>
        <v>20140101LGCME651</v>
      </c>
      <c r="BE284" s="294" t="str">
        <f t="shared" si="226"/>
        <v>20140101GS3</v>
      </c>
      <c r="BF284">
        <f>MiscData!$X$5</f>
        <v>20140101</v>
      </c>
      <c r="BI284" s="265">
        <f>IF(BI283+1&gt;MiscData!$Z$42,1,BI283+1)</f>
        <v>15</v>
      </c>
      <c r="BJ284" s="265" t="str">
        <f>VLOOKUP(BI284,MiscData!$Z$5:$AB$46,2,FALSE)</f>
        <v>LGCME651</v>
      </c>
      <c r="BK284" s="265" t="str">
        <f>VLOOKUP(BI284,MiscData!$Z$5:$AB$46,3,FALSE)</f>
        <v>GS3</v>
      </c>
    </row>
    <row r="285" spans="1:63" hidden="1">
      <c r="A285" s="275">
        <v>268</v>
      </c>
      <c r="B285" s="276" t="str">
        <f t="shared" si="218"/>
        <v>Aug 2014</v>
      </c>
      <c r="C285" s="277" t="str">
        <f t="shared" si="219"/>
        <v>GS3</v>
      </c>
      <c r="D285" s="277" t="str">
        <f t="shared" si="220"/>
        <v>LGCME652</v>
      </c>
      <c r="E285" s="278">
        <f t="shared" si="187"/>
        <v>650</v>
      </c>
      <c r="F285" s="279">
        <f>-E285</f>
        <v>-650</v>
      </c>
      <c r="G285" s="278">
        <f t="shared" si="188"/>
        <v>0</v>
      </c>
      <c r="H285" s="278">
        <f t="shared" si="189"/>
        <v>0</v>
      </c>
      <c r="I285" s="278">
        <f t="shared" si="190"/>
        <v>0</v>
      </c>
      <c r="J285" s="278">
        <f t="shared" si="191"/>
        <v>1664064</v>
      </c>
      <c r="K285" s="280">
        <v>0</v>
      </c>
      <c r="L285" s="281">
        <f t="shared" si="192"/>
        <v>6546.2</v>
      </c>
      <c r="M285" s="281">
        <f t="shared" si="193"/>
        <v>0</v>
      </c>
      <c r="N285" s="281">
        <f t="shared" si="194"/>
        <v>0</v>
      </c>
      <c r="O285" s="282">
        <v>0</v>
      </c>
      <c r="P285" s="282">
        <v>0</v>
      </c>
      <c r="Q285" s="282">
        <v>0</v>
      </c>
      <c r="R285" s="283">
        <f t="shared" si="195"/>
        <v>0</v>
      </c>
      <c r="S285" s="284">
        <f t="shared" si="183"/>
        <v>9.1340000000000005E-2</v>
      </c>
      <c r="T285" s="284">
        <f t="shared" si="196"/>
        <v>0</v>
      </c>
      <c r="U285" s="284">
        <f t="shared" si="197"/>
        <v>0</v>
      </c>
      <c r="V285" s="284">
        <f t="shared" si="198"/>
        <v>2.725E-2</v>
      </c>
      <c r="W285" s="283">
        <f t="shared" si="199"/>
        <v>0</v>
      </c>
      <c r="X285" s="283">
        <f t="shared" si="200"/>
        <v>0</v>
      </c>
      <c r="Y285" s="283">
        <f t="shared" si="201"/>
        <v>0</v>
      </c>
      <c r="Z285" s="285">
        <f t="shared" si="202"/>
        <v>0</v>
      </c>
      <c r="AA285" s="285">
        <f t="shared" si="203"/>
        <v>151995.60999999999</v>
      </c>
      <c r="AB285" s="285">
        <f t="shared" si="221"/>
        <v>0</v>
      </c>
      <c r="AC285" s="285">
        <f t="shared" si="222"/>
        <v>0</v>
      </c>
      <c r="AD285" s="285">
        <f t="shared" si="223"/>
        <v>0</v>
      </c>
      <c r="AE285" s="286">
        <v>0</v>
      </c>
      <c r="AF285" s="287">
        <f t="shared" si="204"/>
        <v>0</v>
      </c>
      <c r="AG285" s="288">
        <f t="shared" si="205"/>
        <v>0</v>
      </c>
      <c r="AH285" s="285">
        <f t="shared" si="227"/>
        <v>0</v>
      </c>
      <c r="AI285" s="286">
        <v>0</v>
      </c>
      <c r="AJ285" s="286">
        <v>0.04</v>
      </c>
      <c r="AK285" s="286">
        <v>0</v>
      </c>
      <c r="AL285" s="285">
        <f t="shared" si="206"/>
        <v>151995.65</v>
      </c>
      <c r="AM285" s="285">
        <f t="shared" si="207"/>
        <v>151995.65000000002</v>
      </c>
      <c r="AN285" s="289">
        <f t="shared" si="224"/>
        <v>1</v>
      </c>
      <c r="AO285" s="290">
        <f t="shared" si="208"/>
        <v>-262.56</v>
      </c>
      <c r="AP285" s="290">
        <f t="shared" si="209"/>
        <v>5042.09</v>
      </c>
      <c r="AQ285" s="290">
        <f t="shared" si="210"/>
        <v>6264.27</v>
      </c>
      <c r="AR285" s="290">
        <f t="shared" si="211"/>
        <v>0</v>
      </c>
      <c r="AS285" s="290">
        <f t="shared" si="212"/>
        <v>0</v>
      </c>
      <c r="AT285" s="290">
        <f t="shared" si="213"/>
        <v>163039.45000000001</v>
      </c>
      <c r="AU285" s="291">
        <f t="shared" si="214"/>
        <v>163039.44999999998</v>
      </c>
      <c r="AV285" s="291">
        <f t="shared" si="186"/>
        <v>0</v>
      </c>
      <c r="AW285" s="292">
        <f t="shared" si="216"/>
        <v>45345.74</v>
      </c>
      <c r="AX285" s="293">
        <f t="shared" si="217"/>
        <v>106649.91</v>
      </c>
      <c r="BC285" s="276">
        <f>IF(BI285=1,IF(BC284=MiscData!$F$1,EOMONTH(BC284,-11),EOMONTH(BC284,1)),BC284)</f>
        <v>41882</v>
      </c>
      <c r="BD285" s="275" t="str">
        <f t="shared" si="225"/>
        <v>20140101LGCME652</v>
      </c>
      <c r="BE285" s="294" t="str">
        <f t="shared" si="226"/>
        <v>20140101GS3</v>
      </c>
      <c r="BF285">
        <f>MiscData!$X$5</f>
        <v>20140101</v>
      </c>
      <c r="BI285" s="265">
        <f>IF(BI284+1&gt;MiscData!$Z$42,1,BI284+1)</f>
        <v>16</v>
      </c>
      <c r="BJ285" s="265" t="str">
        <f>VLOOKUP(BI285,MiscData!$Z$5:$AB$46,2,FALSE)</f>
        <v>LGCME652</v>
      </c>
      <c r="BK285" s="265" t="str">
        <f>VLOOKUP(BI285,MiscData!$Z$5:$AB$46,3,FALSE)</f>
        <v>GS3</v>
      </c>
    </row>
    <row r="286" spans="1:63" hidden="1">
      <c r="A286" s="275">
        <v>269</v>
      </c>
      <c r="B286" s="276" t="str">
        <f t="shared" si="218"/>
        <v>Aug 2014</v>
      </c>
      <c r="C286" s="277" t="str">
        <f t="shared" si="219"/>
        <v>GS3</v>
      </c>
      <c r="D286" s="277" t="str">
        <f t="shared" si="220"/>
        <v>LGCME657</v>
      </c>
      <c r="E286" s="278">
        <f t="shared" si="187"/>
        <v>8</v>
      </c>
      <c r="F286" s="279">
        <v>0</v>
      </c>
      <c r="G286" s="278">
        <f t="shared" si="188"/>
        <v>0</v>
      </c>
      <c r="H286" s="278">
        <f t="shared" si="189"/>
        <v>0</v>
      </c>
      <c r="I286" s="278">
        <f t="shared" si="190"/>
        <v>0</v>
      </c>
      <c r="J286" s="278">
        <f t="shared" si="191"/>
        <v>164921</v>
      </c>
      <c r="K286" s="280">
        <v>0</v>
      </c>
      <c r="L286" s="281">
        <f t="shared" si="192"/>
        <v>551.1</v>
      </c>
      <c r="M286" s="281">
        <f t="shared" si="193"/>
        <v>0</v>
      </c>
      <c r="N286" s="281">
        <f t="shared" si="194"/>
        <v>0</v>
      </c>
      <c r="O286" s="282">
        <v>0</v>
      </c>
      <c r="P286" s="282">
        <v>0</v>
      </c>
      <c r="Q286" s="282">
        <v>0</v>
      </c>
      <c r="R286" s="283">
        <f t="shared" si="195"/>
        <v>35</v>
      </c>
      <c r="S286" s="284">
        <f t="shared" si="183"/>
        <v>9.1340000000000005E-2</v>
      </c>
      <c r="T286" s="284">
        <f t="shared" si="196"/>
        <v>0</v>
      </c>
      <c r="U286" s="284">
        <f t="shared" si="197"/>
        <v>0</v>
      </c>
      <c r="V286" s="284">
        <f t="shared" si="198"/>
        <v>2.725E-2</v>
      </c>
      <c r="W286" s="283">
        <f t="shared" si="199"/>
        <v>0</v>
      </c>
      <c r="X286" s="283">
        <f t="shared" si="200"/>
        <v>0</v>
      </c>
      <c r="Y286" s="283">
        <f t="shared" si="201"/>
        <v>0</v>
      </c>
      <c r="Z286" s="285">
        <f t="shared" si="202"/>
        <v>280</v>
      </c>
      <c r="AA286" s="285">
        <f t="shared" si="203"/>
        <v>15063.88</v>
      </c>
      <c r="AB286" s="285">
        <f t="shared" si="221"/>
        <v>0</v>
      </c>
      <c r="AC286" s="285">
        <f t="shared" si="222"/>
        <v>0</v>
      </c>
      <c r="AD286" s="285">
        <f t="shared" si="223"/>
        <v>0</v>
      </c>
      <c r="AE286" s="286">
        <v>0</v>
      </c>
      <c r="AF286" s="287">
        <f t="shared" si="204"/>
        <v>0</v>
      </c>
      <c r="AG286" s="288">
        <f t="shared" si="205"/>
        <v>0</v>
      </c>
      <c r="AH286" s="285">
        <f t="shared" si="227"/>
        <v>0</v>
      </c>
      <c r="AI286" s="286">
        <v>0</v>
      </c>
      <c r="AJ286" s="286">
        <v>0</v>
      </c>
      <c r="AK286" s="286">
        <v>0</v>
      </c>
      <c r="AL286" s="285">
        <f t="shared" si="206"/>
        <v>15343.88</v>
      </c>
      <c r="AM286" s="285">
        <f t="shared" si="207"/>
        <v>15343.880000000001</v>
      </c>
      <c r="AN286" s="289">
        <f t="shared" si="224"/>
        <v>1</v>
      </c>
      <c r="AO286" s="290">
        <f t="shared" si="208"/>
        <v>-31.33</v>
      </c>
      <c r="AP286" s="290">
        <f t="shared" si="209"/>
        <v>499.7</v>
      </c>
      <c r="AQ286" s="290">
        <f t="shared" si="210"/>
        <v>637.84</v>
      </c>
      <c r="AR286" s="290">
        <f t="shared" si="211"/>
        <v>0</v>
      </c>
      <c r="AS286" s="290">
        <f t="shared" si="212"/>
        <v>0</v>
      </c>
      <c r="AT286" s="290">
        <f t="shared" si="213"/>
        <v>16450.09</v>
      </c>
      <c r="AU286" s="291">
        <f t="shared" si="214"/>
        <v>16450.09</v>
      </c>
      <c r="AV286" s="291">
        <f t="shared" si="186"/>
        <v>0</v>
      </c>
      <c r="AW286" s="292">
        <f t="shared" si="216"/>
        <v>4494.1000000000004</v>
      </c>
      <c r="AX286" s="293">
        <f t="shared" si="217"/>
        <v>10569.779999999999</v>
      </c>
      <c r="BC286" s="276">
        <f>IF(BI286=1,IF(BC285=MiscData!$F$1,EOMONTH(BC285,-11),EOMONTH(BC285,1)),BC285)</f>
        <v>41882</v>
      </c>
      <c r="BD286" s="275" t="str">
        <f t="shared" si="225"/>
        <v>20140101LGCME657</v>
      </c>
      <c r="BE286" s="294" t="str">
        <f t="shared" si="226"/>
        <v>20140101GS3</v>
      </c>
      <c r="BF286">
        <f>MiscData!$X$5</f>
        <v>20140101</v>
      </c>
      <c r="BI286" s="265">
        <f>IF(BI285+1&gt;MiscData!$Z$42,1,BI285+1)</f>
        <v>17</v>
      </c>
      <c r="BJ286" s="265" t="str">
        <f>VLOOKUP(BI286,MiscData!$Z$5:$AB$46,2,FALSE)</f>
        <v>LGCME657</v>
      </c>
      <c r="BK286" s="265" t="str">
        <f>VLOOKUP(BI286,MiscData!$Z$5:$AB$46,3,FALSE)</f>
        <v>GS3</v>
      </c>
    </row>
    <row r="287" spans="1:63" hidden="1">
      <c r="A287" s="275">
        <v>270</v>
      </c>
      <c r="B287" s="276" t="str">
        <f t="shared" si="218"/>
        <v>Aug 2014</v>
      </c>
      <c r="C287" s="277" t="str">
        <f t="shared" si="219"/>
        <v>LWC</v>
      </c>
      <c r="D287" s="277" t="str">
        <f t="shared" si="220"/>
        <v>LGCME671</v>
      </c>
      <c r="E287" s="278">
        <f t="shared" si="187"/>
        <v>2</v>
      </c>
      <c r="F287" s="279">
        <v>0</v>
      </c>
      <c r="G287" s="278">
        <f t="shared" si="188"/>
        <v>0</v>
      </c>
      <c r="H287" s="278">
        <f t="shared" si="189"/>
        <v>0</v>
      </c>
      <c r="I287" s="278">
        <f t="shared" si="190"/>
        <v>0</v>
      </c>
      <c r="J287" s="278">
        <f t="shared" si="191"/>
        <v>4840800</v>
      </c>
      <c r="K287" s="280">
        <v>0</v>
      </c>
      <c r="L287" s="281">
        <f t="shared" si="192"/>
        <v>0</v>
      </c>
      <c r="M287" s="281">
        <f t="shared" si="193"/>
        <v>0</v>
      </c>
      <c r="N287" s="281">
        <f t="shared" si="194"/>
        <v>9091.2000000000007</v>
      </c>
      <c r="O287" s="282">
        <v>0</v>
      </c>
      <c r="P287" s="282">
        <v>0</v>
      </c>
      <c r="Q287" s="282">
        <v>523.20000000000005</v>
      </c>
      <c r="R287" s="283">
        <f t="shared" si="195"/>
        <v>0</v>
      </c>
      <c r="S287" s="284">
        <f t="shared" si="183"/>
        <v>3.7019999999999997E-2</v>
      </c>
      <c r="T287" s="284">
        <f t="shared" si="196"/>
        <v>0</v>
      </c>
      <c r="U287" s="284">
        <f t="shared" si="197"/>
        <v>0</v>
      </c>
      <c r="V287" s="284">
        <f t="shared" si="198"/>
        <v>2.725E-2</v>
      </c>
      <c r="W287" s="283">
        <f t="shared" si="199"/>
        <v>0</v>
      </c>
      <c r="X287" s="283">
        <f t="shared" si="200"/>
        <v>10.35</v>
      </c>
      <c r="Y287" s="283">
        <f t="shared" si="201"/>
        <v>10.35</v>
      </c>
      <c r="Z287" s="285">
        <f t="shared" si="202"/>
        <v>0</v>
      </c>
      <c r="AA287" s="285">
        <f t="shared" si="203"/>
        <v>179206.42</v>
      </c>
      <c r="AB287" s="285">
        <f t="shared" si="221"/>
        <v>0</v>
      </c>
      <c r="AC287" s="285">
        <f t="shared" si="222"/>
        <v>0</v>
      </c>
      <c r="AD287" s="285">
        <f t="shared" si="223"/>
        <v>94093.92</v>
      </c>
      <c r="AE287" s="286">
        <v>0</v>
      </c>
      <c r="AF287" s="287">
        <f t="shared" si="204"/>
        <v>0</v>
      </c>
      <c r="AG287" s="288">
        <f t="shared" si="205"/>
        <v>5415.12</v>
      </c>
      <c r="AH287" s="285">
        <f t="shared" si="227"/>
        <v>99509.04</v>
      </c>
      <c r="AI287" s="286">
        <v>0</v>
      </c>
      <c r="AJ287" s="286">
        <v>-0.01</v>
      </c>
      <c r="AK287" s="286">
        <v>0</v>
      </c>
      <c r="AL287" s="285">
        <f t="shared" si="206"/>
        <v>278715.45</v>
      </c>
      <c r="AM287" s="285">
        <f t="shared" si="207"/>
        <v>278715.45</v>
      </c>
      <c r="AN287" s="289">
        <f t="shared" si="224"/>
        <v>1</v>
      </c>
      <c r="AO287" s="290">
        <f t="shared" si="208"/>
        <v>-919.75</v>
      </c>
      <c r="AP287" s="290">
        <f t="shared" si="209"/>
        <v>0</v>
      </c>
      <c r="AQ287" s="290">
        <f t="shared" si="210"/>
        <v>8250.36</v>
      </c>
      <c r="AR287" s="290">
        <f t="shared" si="211"/>
        <v>0</v>
      </c>
      <c r="AS287" s="290">
        <f t="shared" si="212"/>
        <v>0</v>
      </c>
      <c r="AT287" s="290">
        <f t="shared" si="213"/>
        <v>286046.06</v>
      </c>
      <c r="AU287" s="291">
        <f t="shared" si="214"/>
        <v>286046.06</v>
      </c>
      <c r="AV287" s="291">
        <f t="shared" si="186"/>
        <v>0</v>
      </c>
      <c r="AW287" s="292">
        <f t="shared" si="216"/>
        <v>131911.79999999999</v>
      </c>
      <c r="AX287" s="293">
        <f t="shared" si="217"/>
        <v>47294.610000000015</v>
      </c>
      <c r="BC287" s="276">
        <f>IF(BI287=1,IF(BC286=MiscData!$F$1,EOMONTH(BC286,-11),EOMONTH(BC286,1)),BC286)</f>
        <v>41882</v>
      </c>
      <c r="BD287" s="275" t="str">
        <f t="shared" si="225"/>
        <v>20140101LGCME671</v>
      </c>
      <c r="BE287" s="294" t="str">
        <f t="shared" si="226"/>
        <v>20140101LWC</v>
      </c>
      <c r="BF287">
        <f>MiscData!$X$5</f>
        <v>20140101</v>
      </c>
      <c r="BI287" s="265">
        <f>IF(BI286+1&gt;MiscData!$Z$42,1,BI286+1)</f>
        <v>18</v>
      </c>
      <c r="BJ287" s="265" t="str">
        <f>VLOOKUP(BI287,MiscData!$Z$5:$AB$46,2,FALSE)</f>
        <v>LGCME671</v>
      </c>
      <c r="BK287" s="265" t="str">
        <f>VLOOKUP(BI287,MiscData!$Z$5:$AB$46,3,FALSE)</f>
        <v>LWC</v>
      </c>
    </row>
    <row r="288" spans="1:63" hidden="1">
      <c r="A288" s="275">
        <v>271</v>
      </c>
      <c r="B288" s="276" t="str">
        <f t="shared" si="218"/>
        <v>Aug 2014</v>
      </c>
      <c r="C288" s="277" t="str">
        <f t="shared" si="219"/>
        <v>CSR</v>
      </c>
      <c r="D288" s="277" t="str">
        <f t="shared" si="220"/>
        <v>LGCSR760</v>
      </c>
      <c r="E288" s="278">
        <f t="shared" si="187"/>
        <v>2</v>
      </c>
      <c r="F288" s="279">
        <v>0</v>
      </c>
      <c r="G288" s="278">
        <f t="shared" si="188"/>
        <v>0</v>
      </c>
      <c r="H288" s="278">
        <f t="shared" si="189"/>
        <v>0</v>
      </c>
      <c r="I288" s="278">
        <f t="shared" si="190"/>
        <v>0</v>
      </c>
      <c r="J288" s="278">
        <f t="shared" si="191"/>
        <v>0</v>
      </c>
      <c r="K288" s="280">
        <v>0</v>
      </c>
      <c r="L288" s="281">
        <f t="shared" si="192"/>
        <v>0</v>
      </c>
      <c r="M288" s="281">
        <f t="shared" si="193"/>
        <v>0</v>
      </c>
      <c r="N288" s="281">
        <f t="shared" si="194"/>
        <v>0</v>
      </c>
      <c r="O288" s="282">
        <v>0</v>
      </c>
      <c r="P288" s="282">
        <v>0</v>
      </c>
      <c r="Q288" s="282">
        <v>0</v>
      </c>
      <c r="R288" s="283">
        <f t="shared" si="195"/>
        <v>0</v>
      </c>
      <c r="S288" s="284">
        <f t="shared" si="183"/>
        <v>0</v>
      </c>
      <c r="T288" s="284">
        <f t="shared" si="196"/>
        <v>0</v>
      </c>
      <c r="U288" s="284">
        <f t="shared" si="197"/>
        <v>0</v>
      </c>
      <c r="V288" s="284">
        <f t="shared" si="198"/>
        <v>0</v>
      </c>
      <c r="W288" s="283">
        <f t="shared" si="199"/>
        <v>0</v>
      </c>
      <c r="X288" s="283">
        <f t="shared" si="200"/>
        <v>0</v>
      </c>
      <c r="Y288" s="283">
        <f t="shared" si="201"/>
        <v>0</v>
      </c>
      <c r="Z288" s="285">
        <f t="shared" si="202"/>
        <v>0</v>
      </c>
      <c r="AA288" s="285">
        <f t="shared" si="203"/>
        <v>0</v>
      </c>
      <c r="AB288" s="285">
        <f t="shared" si="221"/>
        <v>0</v>
      </c>
      <c r="AC288" s="285">
        <f t="shared" si="222"/>
        <v>0</v>
      </c>
      <c r="AD288" s="285">
        <f t="shared" si="223"/>
        <v>0</v>
      </c>
      <c r="AE288" s="286">
        <v>0</v>
      </c>
      <c r="AF288" s="287">
        <f t="shared" si="204"/>
        <v>0</v>
      </c>
      <c r="AG288" s="288">
        <f t="shared" si="205"/>
        <v>0</v>
      </c>
      <c r="AH288" s="285">
        <f t="shared" si="227"/>
        <v>0</v>
      </c>
      <c r="AI288" s="286">
        <v>0</v>
      </c>
      <c r="AJ288" s="286">
        <v>0</v>
      </c>
      <c r="AK288" s="286">
        <v>0</v>
      </c>
      <c r="AL288" s="285">
        <f t="shared" si="206"/>
        <v>0</v>
      </c>
      <c r="AM288" s="285">
        <f t="shared" si="207"/>
        <v>0</v>
      </c>
      <c r="AN288" s="289">
        <f t="shared" si="224"/>
        <v>1</v>
      </c>
      <c r="AO288" s="290">
        <f t="shared" si="208"/>
        <v>0</v>
      </c>
      <c r="AP288" s="290">
        <f t="shared" si="209"/>
        <v>0</v>
      </c>
      <c r="AQ288" s="290">
        <f t="shared" si="210"/>
        <v>0</v>
      </c>
      <c r="AR288" s="290">
        <f t="shared" si="211"/>
        <v>0</v>
      </c>
      <c r="AS288" s="290">
        <f t="shared" si="212"/>
        <v>-374643.79</v>
      </c>
      <c r="AT288" s="290">
        <f t="shared" si="213"/>
        <v>-374643.79</v>
      </c>
      <c r="AU288" s="291">
        <f t="shared" si="214"/>
        <v>-374643.79</v>
      </c>
      <c r="AV288" s="291">
        <f t="shared" si="186"/>
        <v>0</v>
      </c>
      <c r="AW288" s="292">
        <f t="shared" si="216"/>
        <v>0</v>
      </c>
      <c r="AX288" s="293">
        <f t="shared" si="217"/>
        <v>0</v>
      </c>
      <c r="BC288" s="276">
        <f>IF(BI288=1,IF(BC287=MiscData!$F$1,EOMONTH(BC287,-11),EOMONTH(BC287,1)),BC287)</f>
        <v>41882</v>
      </c>
      <c r="BD288" s="275" t="str">
        <f t="shared" si="225"/>
        <v>20140101LGCSR760</v>
      </c>
      <c r="BE288" s="294" t="str">
        <f t="shared" si="226"/>
        <v>20140101CSR</v>
      </c>
      <c r="BF288">
        <f>MiscData!$X$5</f>
        <v>20140101</v>
      </c>
      <c r="BI288" s="265">
        <f>IF(BI287+1&gt;MiscData!$Z$42,1,BI287+1)</f>
        <v>19</v>
      </c>
      <c r="BJ288" s="265" t="str">
        <f>VLOOKUP(BI288,MiscData!$Z$5:$AB$46,2,FALSE)</f>
        <v>LGCSR760</v>
      </c>
      <c r="BK288" s="265" t="str">
        <f>VLOOKUP(BI288,MiscData!$Z$5:$AB$46,3,FALSE)</f>
        <v>CSR</v>
      </c>
    </row>
    <row r="289" spans="1:63" hidden="1">
      <c r="A289" s="275">
        <v>272</v>
      </c>
      <c r="B289" s="276" t="str">
        <f t="shared" si="218"/>
        <v>Aug 2014</v>
      </c>
      <c r="C289" s="277" t="str">
        <f t="shared" si="219"/>
        <v>CSR</v>
      </c>
      <c r="D289" s="277" t="str">
        <f t="shared" si="220"/>
        <v>LGCSR780</v>
      </c>
      <c r="E289" s="278">
        <f t="shared" si="187"/>
        <v>0</v>
      </c>
      <c r="F289" s="279">
        <v>0</v>
      </c>
      <c r="G289" s="278">
        <f t="shared" si="188"/>
        <v>0</v>
      </c>
      <c r="H289" s="278">
        <f t="shared" si="189"/>
        <v>0</v>
      </c>
      <c r="I289" s="278">
        <f t="shared" si="190"/>
        <v>0</v>
      </c>
      <c r="J289" s="278">
        <f t="shared" si="191"/>
        <v>0</v>
      </c>
      <c r="K289" s="280">
        <v>0</v>
      </c>
      <c r="L289" s="281">
        <f t="shared" si="192"/>
        <v>0</v>
      </c>
      <c r="M289" s="281">
        <f t="shared" si="193"/>
        <v>0</v>
      </c>
      <c r="N289" s="281">
        <f t="shared" si="194"/>
        <v>0</v>
      </c>
      <c r="O289" s="282">
        <v>0</v>
      </c>
      <c r="P289" s="282">
        <v>0</v>
      </c>
      <c r="Q289" s="282">
        <v>0</v>
      </c>
      <c r="R289" s="283">
        <f t="shared" si="195"/>
        <v>0</v>
      </c>
      <c r="S289" s="284">
        <f t="shared" si="183"/>
        <v>0</v>
      </c>
      <c r="T289" s="284">
        <f t="shared" si="196"/>
        <v>0</v>
      </c>
      <c r="U289" s="284">
        <f t="shared" si="197"/>
        <v>0</v>
      </c>
      <c r="V289" s="284">
        <f t="shared" si="198"/>
        <v>0</v>
      </c>
      <c r="W289" s="283">
        <f t="shared" si="199"/>
        <v>0</v>
      </c>
      <c r="X289" s="283">
        <f t="shared" si="200"/>
        <v>0</v>
      </c>
      <c r="Y289" s="283">
        <f t="shared" si="201"/>
        <v>0</v>
      </c>
      <c r="Z289" s="285">
        <f t="shared" si="202"/>
        <v>0</v>
      </c>
      <c r="AA289" s="285">
        <f t="shared" si="203"/>
        <v>0</v>
      </c>
      <c r="AB289" s="285">
        <f t="shared" si="221"/>
        <v>0</v>
      </c>
      <c r="AC289" s="285">
        <f t="shared" si="222"/>
        <v>0</v>
      </c>
      <c r="AD289" s="285">
        <f t="shared" si="223"/>
        <v>0</v>
      </c>
      <c r="AE289" s="286">
        <v>0</v>
      </c>
      <c r="AF289" s="287">
        <f t="shared" si="204"/>
        <v>0</v>
      </c>
      <c r="AG289" s="288">
        <f t="shared" si="205"/>
        <v>0</v>
      </c>
      <c r="AH289" s="285">
        <f t="shared" si="227"/>
        <v>0</v>
      </c>
      <c r="AI289" s="286">
        <v>0</v>
      </c>
      <c r="AJ289" s="286">
        <v>0</v>
      </c>
      <c r="AK289" s="286">
        <v>0</v>
      </c>
      <c r="AL289" s="285">
        <f t="shared" si="206"/>
        <v>0</v>
      </c>
      <c r="AM289" s="285">
        <f t="shared" si="207"/>
        <v>0</v>
      </c>
      <c r="AN289" s="289">
        <f t="shared" si="224"/>
        <v>1</v>
      </c>
      <c r="AO289" s="290">
        <f t="shared" si="208"/>
        <v>0</v>
      </c>
      <c r="AP289" s="290">
        <f t="shared" si="209"/>
        <v>0</v>
      </c>
      <c r="AQ289" s="290">
        <f t="shared" si="210"/>
        <v>0</v>
      </c>
      <c r="AR289" s="290">
        <f t="shared" si="211"/>
        <v>0</v>
      </c>
      <c r="AS289" s="290">
        <f t="shared" si="212"/>
        <v>0</v>
      </c>
      <c r="AT289" s="290">
        <f t="shared" si="213"/>
        <v>0</v>
      </c>
      <c r="AU289" s="291">
        <f t="shared" si="214"/>
        <v>0</v>
      </c>
      <c r="AV289" s="291">
        <f t="shared" si="186"/>
        <v>0</v>
      </c>
      <c r="AW289" s="292">
        <f t="shared" si="216"/>
        <v>0</v>
      </c>
      <c r="AX289" s="293">
        <f t="shared" si="217"/>
        <v>0</v>
      </c>
      <c r="BC289" s="276">
        <f>IF(BI289=1,IF(BC288=MiscData!$F$1,EOMONTH(BC288,-11),EOMONTH(BC288,1)),BC288)</f>
        <v>41882</v>
      </c>
      <c r="BD289" s="275" t="str">
        <f t="shared" si="225"/>
        <v>20140101LGCSR780</v>
      </c>
      <c r="BE289" s="294" t="str">
        <f t="shared" si="226"/>
        <v>20140101CSR</v>
      </c>
      <c r="BF289">
        <f>MiscData!$X$5</f>
        <v>20140101</v>
      </c>
      <c r="BI289" s="265">
        <f>IF(BI288+1&gt;MiscData!$Z$42,1,BI288+1)</f>
        <v>20</v>
      </c>
      <c r="BJ289" s="265" t="str">
        <f>VLOOKUP(BI289,MiscData!$Z$5:$AB$46,2,FALSE)</f>
        <v>LGCSR780</v>
      </c>
      <c r="BK289" s="265" t="str">
        <f>VLOOKUP(BI289,MiscData!$Z$5:$AB$46,3,FALSE)</f>
        <v>CSR</v>
      </c>
    </row>
    <row r="290" spans="1:63">
      <c r="A290" s="275">
        <v>273</v>
      </c>
      <c r="B290" s="276" t="str">
        <f t="shared" si="218"/>
        <v>Aug 2014</v>
      </c>
      <c r="C290" s="277" t="str">
        <f t="shared" si="219"/>
        <v>FK</v>
      </c>
      <c r="D290" s="277" t="str">
        <f t="shared" si="220"/>
        <v>LGINE599</v>
      </c>
      <c r="E290" s="278">
        <f t="shared" si="187"/>
        <v>1</v>
      </c>
      <c r="F290" s="279">
        <v>0</v>
      </c>
      <c r="G290" s="278">
        <f t="shared" si="188"/>
        <v>0</v>
      </c>
      <c r="H290" s="278">
        <f t="shared" si="189"/>
        <v>0</v>
      </c>
      <c r="I290" s="278">
        <f t="shared" si="190"/>
        <v>0</v>
      </c>
      <c r="J290" s="278">
        <f t="shared" si="191"/>
        <v>18504000</v>
      </c>
      <c r="K290" s="280">
        <v>0</v>
      </c>
      <c r="L290" s="281">
        <f t="shared" si="192"/>
        <v>0</v>
      </c>
      <c r="M290" s="281">
        <f t="shared" si="193"/>
        <v>0</v>
      </c>
      <c r="N290" s="281">
        <f t="shared" si="194"/>
        <v>35988</v>
      </c>
      <c r="O290" s="282">
        <v>0</v>
      </c>
      <c r="P290" s="282">
        <v>0</v>
      </c>
      <c r="Q290" s="282">
        <v>0</v>
      </c>
      <c r="R290" s="283">
        <f t="shared" si="195"/>
        <v>0</v>
      </c>
      <c r="S290" s="284">
        <f t="shared" si="183"/>
        <v>3.7400000000000003E-2</v>
      </c>
      <c r="T290" s="284">
        <f t="shared" si="196"/>
        <v>0</v>
      </c>
      <c r="U290" s="284">
        <f t="shared" si="197"/>
        <v>0</v>
      </c>
      <c r="V290" s="284">
        <f t="shared" si="198"/>
        <v>2.725E-2</v>
      </c>
      <c r="W290" s="283">
        <f t="shared" si="199"/>
        <v>0</v>
      </c>
      <c r="X290" s="283">
        <f t="shared" si="200"/>
        <v>12.72</v>
      </c>
      <c r="Y290" s="283">
        <f t="shared" si="201"/>
        <v>15.040000000000001</v>
      </c>
      <c r="Z290" s="285">
        <f t="shared" si="202"/>
        <v>0</v>
      </c>
      <c r="AA290" s="285">
        <f t="shared" si="203"/>
        <v>692049.6</v>
      </c>
      <c r="AB290" s="285">
        <f t="shared" si="221"/>
        <v>0</v>
      </c>
      <c r="AC290" s="285">
        <f t="shared" si="222"/>
        <v>0</v>
      </c>
      <c r="AD290" s="285">
        <f t="shared" si="223"/>
        <v>541259.52000000002</v>
      </c>
      <c r="AE290" s="286">
        <v>0</v>
      </c>
      <c r="AF290" s="287">
        <f t="shared" si="204"/>
        <v>-32475.57</v>
      </c>
      <c r="AG290" s="288">
        <f t="shared" si="205"/>
        <v>0</v>
      </c>
      <c r="AH290" s="285">
        <f t="shared" si="227"/>
        <v>508783.95</v>
      </c>
      <c r="AI290" s="286">
        <v>0</v>
      </c>
      <c r="AJ290" s="286">
        <v>0</v>
      </c>
      <c r="AK290" s="286">
        <v>0</v>
      </c>
      <c r="AL290" s="285">
        <f t="shared" si="206"/>
        <v>1200833.55</v>
      </c>
      <c r="AM290" s="285">
        <f t="shared" si="207"/>
        <v>1200833.55</v>
      </c>
      <c r="AN290" s="289">
        <f t="shared" si="224"/>
        <v>1</v>
      </c>
      <c r="AO290" s="290">
        <f t="shared" si="208"/>
        <v>25535.52</v>
      </c>
      <c r="AP290" s="290">
        <f t="shared" si="209"/>
        <v>0</v>
      </c>
      <c r="AQ290" s="290">
        <f t="shared" si="210"/>
        <v>35247.94</v>
      </c>
      <c r="AR290" s="290">
        <f t="shared" si="211"/>
        <v>0</v>
      </c>
      <c r="AS290" s="290">
        <f t="shared" si="212"/>
        <v>0</v>
      </c>
      <c r="AT290" s="290">
        <f t="shared" si="213"/>
        <v>1261617.01</v>
      </c>
      <c r="AU290" s="291">
        <f t="shared" si="214"/>
        <v>1261617.01</v>
      </c>
      <c r="AV290" s="291">
        <f t="shared" si="186"/>
        <v>0</v>
      </c>
      <c r="AW290" s="292">
        <f t="shared" si="216"/>
        <v>504234</v>
      </c>
      <c r="AX290" s="293">
        <f t="shared" si="217"/>
        <v>187815.59999999998</v>
      </c>
      <c r="BC290" s="276">
        <f>IF(BI290=1,IF(BC289=MiscData!$F$1,EOMONTH(BC289,-11),EOMONTH(BC289,1)),BC289)</f>
        <v>41882</v>
      </c>
      <c r="BD290" s="275" t="str">
        <f t="shared" si="225"/>
        <v>20140101LGINE599</v>
      </c>
      <c r="BE290" s="294" t="str">
        <f t="shared" si="226"/>
        <v>20140101FK</v>
      </c>
      <c r="BF290">
        <f>MiscData!$X$5</f>
        <v>20140101</v>
      </c>
      <c r="BI290" s="265">
        <f>IF(BI289+1&gt;MiscData!$Z$42,1,BI289+1)</f>
        <v>21</v>
      </c>
      <c r="BJ290" s="265" t="str">
        <f>VLOOKUP(BI290,MiscData!$Z$5:$AB$46,2,FALSE)</f>
        <v>LGINE599</v>
      </c>
      <c r="BK290" s="265" t="str">
        <f>VLOOKUP(BI290,MiscData!$Z$5:$AB$46,3,FALSE)</f>
        <v>FK</v>
      </c>
    </row>
    <row r="291" spans="1:63" hidden="1">
      <c r="A291" s="275">
        <v>274</v>
      </c>
      <c r="B291" s="276" t="str">
        <f t="shared" si="218"/>
        <v>Aug 2014</v>
      </c>
      <c r="C291" s="277" t="str">
        <f t="shared" si="219"/>
        <v>RTS</v>
      </c>
      <c r="D291" s="277" t="str">
        <f t="shared" si="220"/>
        <v>LGINE643</v>
      </c>
      <c r="E291" s="278">
        <f t="shared" si="187"/>
        <v>12</v>
      </c>
      <c r="F291" s="279">
        <v>1</v>
      </c>
      <c r="G291" s="278">
        <f t="shared" si="188"/>
        <v>0</v>
      </c>
      <c r="H291" s="278">
        <f t="shared" si="189"/>
        <v>0</v>
      </c>
      <c r="I291" s="278">
        <f t="shared" si="190"/>
        <v>0</v>
      </c>
      <c r="J291" s="278">
        <f t="shared" si="191"/>
        <v>73369631</v>
      </c>
      <c r="K291" s="280">
        <v>0</v>
      </c>
      <c r="L291" s="281">
        <f t="shared" si="192"/>
        <v>143307.70000000001</v>
      </c>
      <c r="M291" s="281">
        <f t="shared" si="193"/>
        <v>143384.9</v>
      </c>
      <c r="N291" s="281">
        <f t="shared" si="194"/>
        <v>113362</v>
      </c>
      <c r="O291" s="282">
        <v>1828.3</v>
      </c>
      <c r="P291" s="282">
        <v>116.5</v>
      </c>
      <c r="Q291" s="282">
        <v>0</v>
      </c>
      <c r="R291" s="283">
        <f t="shared" si="195"/>
        <v>750</v>
      </c>
      <c r="S291" s="284">
        <f t="shared" si="183"/>
        <v>3.61E-2</v>
      </c>
      <c r="T291" s="284">
        <f t="shared" si="196"/>
        <v>0</v>
      </c>
      <c r="U291" s="284">
        <f t="shared" si="197"/>
        <v>0</v>
      </c>
      <c r="V291" s="284">
        <f t="shared" si="198"/>
        <v>2.725E-2</v>
      </c>
      <c r="W291" s="283">
        <f t="shared" si="199"/>
        <v>2.75</v>
      </c>
      <c r="X291" s="283">
        <f t="shared" si="200"/>
        <v>3</v>
      </c>
      <c r="Y291" s="283">
        <f t="shared" si="201"/>
        <v>4.5500000000000007</v>
      </c>
      <c r="Z291" s="285">
        <f t="shared" si="202"/>
        <v>9750</v>
      </c>
      <c r="AA291" s="285">
        <f t="shared" si="203"/>
        <v>2648643.6800000002</v>
      </c>
      <c r="AB291" s="285">
        <f t="shared" si="221"/>
        <v>394096.18</v>
      </c>
      <c r="AC291" s="285">
        <f t="shared" si="222"/>
        <v>430154.7</v>
      </c>
      <c r="AD291" s="285">
        <f t="shared" si="223"/>
        <v>515797.1</v>
      </c>
      <c r="AE291" s="286">
        <v>0</v>
      </c>
      <c r="AF291" s="287">
        <f t="shared" si="204"/>
        <v>0</v>
      </c>
      <c r="AG291" s="288">
        <f t="shared" si="205"/>
        <v>5377.33</v>
      </c>
      <c r="AH291" s="285">
        <f t="shared" si="227"/>
        <v>1345425.31</v>
      </c>
      <c r="AI291" s="286">
        <v>-750</v>
      </c>
      <c r="AJ291" s="286">
        <v>0</v>
      </c>
      <c r="AK291" s="286">
        <v>0.03</v>
      </c>
      <c r="AL291" s="285">
        <f t="shared" si="206"/>
        <v>4003069.0200000005</v>
      </c>
      <c r="AM291" s="285">
        <f t="shared" si="207"/>
        <v>4003069.02</v>
      </c>
      <c r="AN291" s="289">
        <f t="shared" si="224"/>
        <v>1</v>
      </c>
      <c r="AO291" s="290">
        <f t="shared" si="208"/>
        <v>80332.98</v>
      </c>
      <c r="AP291" s="290">
        <f t="shared" si="209"/>
        <v>0</v>
      </c>
      <c r="AQ291" s="290">
        <f t="shared" si="210"/>
        <v>103865.82</v>
      </c>
      <c r="AR291" s="290">
        <f t="shared" si="211"/>
        <v>0</v>
      </c>
      <c r="AS291" s="290">
        <f t="shared" si="212"/>
        <v>0</v>
      </c>
      <c r="AT291" s="290">
        <f t="shared" si="213"/>
        <v>4187267.82</v>
      </c>
      <c r="AU291" s="291">
        <f t="shared" si="214"/>
        <v>4187267.8200000003</v>
      </c>
      <c r="AV291" s="291">
        <f t="shared" si="186"/>
        <v>0</v>
      </c>
      <c r="AW291" s="292">
        <f t="shared" si="216"/>
        <v>1999322.44</v>
      </c>
      <c r="AX291" s="293">
        <f t="shared" si="217"/>
        <v>649321.24000000022</v>
      </c>
      <c r="BC291" s="276">
        <f>IF(BI291=1,IF(BC290=MiscData!$F$1,EOMONTH(BC290,-11),EOMONTH(BC290,1)),BC290)</f>
        <v>41882</v>
      </c>
      <c r="BD291" s="275" t="str">
        <f t="shared" si="225"/>
        <v>20140101LGINE643</v>
      </c>
      <c r="BE291" s="294" t="str">
        <f t="shared" si="226"/>
        <v>20140101RTS</v>
      </c>
      <c r="BF291">
        <f>MiscData!$X$5</f>
        <v>20140101</v>
      </c>
      <c r="BI291" s="265">
        <f>IF(BI290+1&gt;MiscData!$Z$42,1,BI290+1)</f>
        <v>22</v>
      </c>
      <c r="BJ291" s="265" t="str">
        <f>VLOOKUP(BI291,MiscData!$Z$5:$AB$46,2,FALSE)</f>
        <v>LGINE643</v>
      </c>
      <c r="BK291" s="265" t="str">
        <f>VLOOKUP(BI291,MiscData!$Z$5:$AB$46,3,FALSE)</f>
        <v>RTS</v>
      </c>
    </row>
    <row r="292" spans="1:63" hidden="1">
      <c r="A292" s="275">
        <v>275</v>
      </c>
      <c r="B292" s="276" t="str">
        <f t="shared" si="218"/>
        <v>Aug 2014</v>
      </c>
      <c r="C292" s="277" t="str">
        <f t="shared" si="219"/>
        <v>PSS</v>
      </c>
      <c r="D292" s="277" t="str">
        <f t="shared" si="220"/>
        <v>LGINE661</v>
      </c>
      <c r="E292" s="278">
        <f t="shared" si="187"/>
        <v>241</v>
      </c>
      <c r="F292" s="279">
        <v>0</v>
      </c>
      <c r="G292" s="278">
        <f t="shared" si="188"/>
        <v>0</v>
      </c>
      <c r="H292" s="278">
        <f t="shared" si="189"/>
        <v>0</v>
      </c>
      <c r="I292" s="278">
        <f t="shared" si="190"/>
        <v>0</v>
      </c>
      <c r="J292" s="278">
        <f t="shared" si="191"/>
        <v>25351052</v>
      </c>
      <c r="K292" s="280">
        <v>0</v>
      </c>
      <c r="L292" s="281">
        <f t="shared" si="192"/>
        <v>0</v>
      </c>
      <c r="M292" s="281">
        <f t="shared" si="193"/>
        <v>0</v>
      </c>
      <c r="N292" s="281">
        <f t="shared" si="194"/>
        <v>66766.399999999994</v>
      </c>
      <c r="O292" s="282">
        <v>0</v>
      </c>
      <c r="P292" s="282">
        <v>0</v>
      </c>
      <c r="Q292" s="282">
        <v>762.55</v>
      </c>
      <c r="R292" s="283">
        <f t="shared" si="195"/>
        <v>90</v>
      </c>
      <c r="S292" s="284">
        <f t="shared" si="183"/>
        <v>4.0599999999999997E-2</v>
      </c>
      <c r="T292" s="284">
        <f t="shared" si="196"/>
        <v>0</v>
      </c>
      <c r="U292" s="284">
        <f t="shared" si="197"/>
        <v>0</v>
      </c>
      <c r="V292" s="284">
        <f t="shared" si="198"/>
        <v>2.725E-2</v>
      </c>
      <c r="W292" s="283">
        <f t="shared" si="199"/>
        <v>0</v>
      </c>
      <c r="X292" s="283">
        <f t="shared" si="200"/>
        <v>14.010000000000002</v>
      </c>
      <c r="Y292" s="283">
        <f t="shared" si="201"/>
        <v>16.399999999999999</v>
      </c>
      <c r="Z292" s="285">
        <f t="shared" si="202"/>
        <v>21690</v>
      </c>
      <c r="AA292" s="285">
        <f t="shared" si="203"/>
        <v>1029252.71</v>
      </c>
      <c r="AB292" s="285">
        <f t="shared" si="221"/>
        <v>0</v>
      </c>
      <c r="AC292" s="285">
        <f t="shared" si="222"/>
        <v>0</v>
      </c>
      <c r="AD292" s="285">
        <f t="shared" si="223"/>
        <v>1094968.96</v>
      </c>
      <c r="AE292" s="286">
        <v>0</v>
      </c>
      <c r="AF292" s="287">
        <f t="shared" si="204"/>
        <v>79663</v>
      </c>
      <c r="AG292" s="288">
        <f t="shared" si="205"/>
        <v>12505.82</v>
      </c>
      <c r="AH292" s="285">
        <f t="shared" si="227"/>
        <v>1187137.78</v>
      </c>
      <c r="AI292" s="286">
        <v>0</v>
      </c>
      <c r="AJ292" s="286">
        <v>-0.04</v>
      </c>
      <c r="AK292" s="286">
        <v>0</v>
      </c>
      <c r="AL292" s="285">
        <f t="shared" si="206"/>
        <v>2238080.4499999997</v>
      </c>
      <c r="AM292" s="285">
        <f t="shared" si="207"/>
        <v>2238080.4499999997</v>
      </c>
      <c r="AN292" s="289">
        <f t="shared" si="224"/>
        <v>1</v>
      </c>
      <c r="AO292" s="290">
        <f t="shared" si="208"/>
        <v>-4615.57</v>
      </c>
      <c r="AP292" s="290">
        <f t="shared" si="209"/>
        <v>0</v>
      </c>
      <c r="AQ292" s="290">
        <f t="shared" si="210"/>
        <v>86864.77</v>
      </c>
      <c r="AR292" s="290">
        <f t="shared" si="211"/>
        <v>0</v>
      </c>
      <c r="AS292" s="290">
        <f t="shared" si="212"/>
        <v>0</v>
      </c>
      <c r="AT292" s="290">
        <f t="shared" si="213"/>
        <v>2320329.65</v>
      </c>
      <c r="AU292" s="291">
        <f t="shared" si="214"/>
        <v>2320329.65</v>
      </c>
      <c r="AV292" s="291">
        <f t="shared" si="186"/>
        <v>0</v>
      </c>
      <c r="AW292" s="292">
        <f t="shared" si="216"/>
        <v>690816.17</v>
      </c>
      <c r="AX292" s="293">
        <f t="shared" si="217"/>
        <v>338436.49999999988</v>
      </c>
      <c r="BC292" s="276">
        <f>IF(BI292=1,IF(BC291=MiscData!$F$1,EOMONTH(BC291,-11),EOMONTH(BC291,1)),BC291)</f>
        <v>41882</v>
      </c>
      <c r="BD292" s="275" t="str">
        <f t="shared" si="225"/>
        <v>20140101LGINE661</v>
      </c>
      <c r="BE292" s="294" t="str">
        <f t="shared" si="226"/>
        <v>20140101PSS</v>
      </c>
      <c r="BF292">
        <f>MiscData!$X$5</f>
        <v>20140101</v>
      </c>
      <c r="BI292" s="265">
        <f>IF(BI291+1&gt;MiscData!$Z$42,1,BI291+1)</f>
        <v>23</v>
      </c>
      <c r="BJ292" s="265" t="str">
        <f>VLOOKUP(BI292,MiscData!$Z$5:$AB$46,2,FALSE)</f>
        <v>LGINE661</v>
      </c>
      <c r="BK292" s="265" t="str">
        <f>VLOOKUP(BI292,MiscData!$Z$5:$AB$46,3,FALSE)</f>
        <v>PSS</v>
      </c>
    </row>
    <row r="293" spans="1:63" hidden="1">
      <c r="A293" s="275">
        <v>276</v>
      </c>
      <c r="B293" s="276" t="str">
        <f t="shared" si="218"/>
        <v>Aug 2014</v>
      </c>
      <c r="C293" s="277" t="str">
        <f t="shared" si="219"/>
        <v>PSP</v>
      </c>
      <c r="D293" s="277" t="str">
        <f t="shared" si="220"/>
        <v>LGINE663</v>
      </c>
      <c r="E293" s="278">
        <f t="shared" si="187"/>
        <v>22</v>
      </c>
      <c r="F293" s="279">
        <v>0</v>
      </c>
      <c r="G293" s="278">
        <f t="shared" si="188"/>
        <v>0</v>
      </c>
      <c r="H293" s="278">
        <f t="shared" si="189"/>
        <v>0</v>
      </c>
      <c r="I293" s="278">
        <f t="shared" si="190"/>
        <v>0</v>
      </c>
      <c r="J293" s="278">
        <f t="shared" si="191"/>
        <v>1186140</v>
      </c>
      <c r="K293" s="280">
        <v>0</v>
      </c>
      <c r="L293" s="281">
        <f t="shared" si="192"/>
        <v>0</v>
      </c>
      <c r="M293" s="281">
        <f t="shared" si="193"/>
        <v>0</v>
      </c>
      <c r="N293" s="281">
        <f t="shared" si="194"/>
        <v>4526</v>
      </c>
      <c r="O293" s="282">
        <v>0</v>
      </c>
      <c r="P293" s="282">
        <v>0</v>
      </c>
      <c r="Q293" s="282">
        <v>39.15</v>
      </c>
      <c r="R293" s="283">
        <f t="shared" si="195"/>
        <v>170</v>
      </c>
      <c r="S293" s="284">
        <f t="shared" si="183"/>
        <v>3.9260000000000003E-2</v>
      </c>
      <c r="T293" s="284">
        <f t="shared" si="196"/>
        <v>0</v>
      </c>
      <c r="U293" s="284">
        <f t="shared" si="197"/>
        <v>0</v>
      </c>
      <c r="V293" s="284">
        <f t="shared" si="198"/>
        <v>2.725E-2</v>
      </c>
      <c r="W293" s="283">
        <f t="shared" si="199"/>
        <v>0</v>
      </c>
      <c r="X293" s="283">
        <f t="shared" si="200"/>
        <v>11.660000000000002</v>
      </c>
      <c r="Y293" s="283">
        <f t="shared" si="201"/>
        <v>13.950000000000001</v>
      </c>
      <c r="Z293" s="285">
        <f t="shared" si="202"/>
        <v>3740</v>
      </c>
      <c r="AA293" s="285">
        <f t="shared" si="203"/>
        <v>46567.86</v>
      </c>
      <c r="AB293" s="285">
        <f t="shared" si="221"/>
        <v>0</v>
      </c>
      <c r="AC293" s="285">
        <f t="shared" si="222"/>
        <v>0</v>
      </c>
      <c r="AD293" s="285">
        <f t="shared" si="223"/>
        <v>63137.7</v>
      </c>
      <c r="AE293" s="286">
        <v>0</v>
      </c>
      <c r="AF293" s="287">
        <f t="shared" si="204"/>
        <v>11712.46</v>
      </c>
      <c r="AG293" s="288">
        <f t="shared" si="205"/>
        <v>546.14</v>
      </c>
      <c r="AH293" s="285">
        <f t="shared" si="227"/>
        <v>75396.3</v>
      </c>
      <c r="AI293" s="286">
        <v>0</v>
      </c>
      <c r="AJ293" s="286">
        <v>-0.01</v>
      </c>
      <c r="AK293" s="286">
        <v>0.03</v>
      </c>
      <c r="AL293" s="285">
        <f t="shared" si="206"/>
        <v>125704.18</v>
      </c>
      <c r="AM293" s="285">
        <f t="shared" si="207"/>
        <v>125704.18</v>
      </c>
      <c r="AN293" s="289">
        <f t="shared" si="224"/>
        <v>1</v>
      </c>
      <c r="AO293" s="290">
        <f t="shared" si="208"/>
        <v>44.02</v>
      </c>
      <c r="AP293" s="290">
        <f t="shared" si="209"/>
        <v>0</v>
      </c>
      <c r="AQ293" s="290">
        <f t="shared" si="210"/>
        <v>5207.84</v>
      </c>
      <c r="AR293" s="290">
        <f t="shared" si="211"/>
        <v>0</v>
      </c>
      <c r="AS293" s="290">
        <f t="shared" si="212"/>
        <v>0</v>
      </c>
      <c r="AT293" s="290">
        <f t="shared" si="213"/>
        <v>130956.04</v>
      </c>
      <c r="AU293" s="291">
        <f t="shared" si="214"/>
        <v>130956.04</v>
      </c>
      <c r="AV293" s="291">
        <f t="shared" ref="AV293:AV298" si="229">AT293-AU293</f>
        <v>0</v>
      </c>
      <c r="AW293" s="292">
        <f t="shared" si="216"/>
        <v>32322.32</v>
      </c>
      <c r="AX293" s="293">
        <f t="shared" si="217"/>
        <v>14245.529999999999</v>
      </c>
      <c r="BC293" s="276">
        <f>IF(BI293=1,IF(BC292=MiscData!$F$1,EOMONTH(BC292,-11),EOMONTH(BC292,1)),BC292)</f>
        <v>41882</v>
      </c>
      <c r="BD293" s="275" t="str">
        <f t="shared" si="225"/>
        <v>20140101LGINE663</v>
      </c>
      <c r="BE293" s="294" t="str">
        <f t="shared" si="226"/>
        <v>20140101PSP</v>
      </c>
      <c r="BF293">
        <f>MiscData!$X$5</f>
        <v>20140101</v>
      </c>
      <c r="BI293" s="265">
        <f>IF(BI292+1&gt;MiscData!$Z$42,1,BI292+1)</f>
        <v>24</v>
      </c>
      <c r="BJ293" s="265" t="str">
        <f>VLOOKUP(BI293,MiscData!$Z$5:$AB$46,2,FALSE)</f>
        <v>LGINE663</v>
      </c>
      <c r="BK293" s="265" t="str">
        <f>VLOOKUP(BI293,MiscData!$Z$5:$AB$46,3,FALSE)</f>
        <v>PSP</v>
      </c>
    </row>
    <row r="294" spans="1:63" hidden="1">
      <c r="A294" s="275">
        <v>277</v>
      </c>
      <c r="B294" s="276" t="str">
        <f t="shared" si="218"/>
        <v>Aug 2014</v>
      </c>
      <c r="C294" s="277" t="str">
        <f t="shared" si="219"/>
        <v>TODS</v>
      </c>
      <c r="D294" s="277" t="str">
        <f t="shared" si="220"/>
        <v>LGINE691</v>
      </c>
      <c r="E294" s="278">
        <f t="shared" si="187"/>
        <v>77</v>
      </c>
      <c r="F294" s="279">
        <v>0</v>
      </c>
      <c r="G294" s="278">
        <f t="shared" si="188"/>
        <v>0</v>
      </c>
      <c r="H294" s="278">
        <f t="shared" si="189"/>
        <v>0</v>
      </c>
      <c r="I294" s="278">
        <f t="shared" si="190"/>
        <v>0</v>
      </c>
      <c r="J294" s="278">
        <f t="shared" si="191"/>
        <v>19862760</v>
      </c>
      <c r="K294" s="280">
        <v>0</v>
      </c>
      <c r="L294" s="281">
        <f t="shared" si="192"/>
        <v>47612.900000000009</v>
      </c>
      <c r="M294" s="281">
        <f t="shared" si="193"/>
        <v>46727.7</v>
      </c>
      <c r="N294" s="281">
        <f t="shared" si="194"/>
        <v>45611.199999999997</v>
      </c>
      <c r="O294" s="282">
        <v>1754.55</v>
      </c>
      <c r="P294" s="282">
        <v>119.3</v>
      </c>
      <c r="Q294" s="282">
        <v>68.900000000000006</v>
      </c>
      <c r="R294" s="283">
        <f t="shared" si="195"/>
        <v>200</v>
      </c>
      <c r="S294" s="284">
        <f t="shared" si="183"/>
        <v>3.9899999999999998E-2</v>
      </c>
      <c r="T294" s="284">
        <f t="shared" si="196"/>
        <v>0</v>
      </c>
      <c r="U294" s="284">
        <f t="shared" si="197"/>
        <v>0</v>
      </c>
      <c r="V294" s="284">
        <f t="shared" si="198"/>
        <v>2.725E-2</v>
      </c>
      <c r="W294" s="283">
        <f t="shared" si="199"/>
        <v>4</v>
      </c>
      <c r="X294" s="283">
        <f t="shared" si="200"/>
        <v>4.5100000000000007</v>
      </c>
      <c r="Y294" s="283">
        <f t="shared" si="201"/>
        <v>6.11</v>
      </c>
      <c r="Z294" s="285">
        <f t="shared" si="202"/>
        <v>15400</v>
      </c>
      <c r="AA294" s="285">
        <f t="shared" si="203"/>
        <v>792524.12</v>
      </c>
      <c r="AB294" s="285">
        <f t="shared" si="221"/>
        <v>190451.6</v>
      </c>
      <c r="AC294" s="285">
        <f t="shared" si="222"/>
        <v>210741.93</v>
      </c>
      <c r="AD294" s="285">
        <f t="shared" si="223"/>
        <v>278684.43</v>
      </c>
      <c r="AE294" s="286">
        <v>0</v>
      </c>
      <c r="AF294" s="287">
        <f t="shared" si="204"/>
        <v>44827.06</v>
      </c>
      <c r="AG294" s="288">
        <f t="shared" si="205"/>
        <v>7977.22</v>
      </c>
      <c r="AH294" s="285">
        <f t="shared" si="227"/>
        <v>732682.23999999999</v>
      </c>
      <c r="AI294" s="286">
        <v>0</v>
      </c>
      <c r="AJ294" s="286">
        <v>0</v>
      </c>
      <c r="AK294" s="286">
        <v>-0.01</v>
      </c>
      <c r="AL294" s="285">
        <f t="shared" si="206"/>
        <v>1540606.3499999999</v>
      </c>
      <c r="AM294" s="285">
        <f t="shared" si="207"/>
        <v>1540606.3499999999</v>
      </c>
      <c r="AN294" s="289">
        <f t="shared" si="224"/>
        <v>1</v>
      </c>
      <c r="AO294" s="290">
        <f t="shared" si="208"/>
        <v>-3773.94</v>
      </c>
      <c r="AP294" s="290">
        <f t="shared" si="209"/>
        <v>0</v>
      </c>
      <c r="AQ294" s="290">
        <f t="shared" si="210"/>
        <v>56163.23</v>
      </c>
      <c r="AR294" s="290">
        <f t="shared" si="211"/>
        <v>0</v>
      </c>
      <c r="AS294" s="290">
        <f t="shared" si="212"/>
        <v>0</v>
      </c>
      <c r="AT294" s="290">
        <f t="shared" si="213"/>
        <v>1592995.64</v>
      </c>
      <c r="AU294" s="291">
        <f t="shared" si="214"/>
        <v>1592995.64</v>
      </c>
      <c r="AV294" s="291">
        <f t="shared" si="229"/>
        <v>0</v>
      </c>
      <c r="AW294" s="292">
        <f t="shared" si="216"/>
        <v>541260.21</v>
      </c>
      <c r="AX294" s="293">
        <f t="shared" si="217"/>
        <v>251263.91000000003</v>
      </c>
      <c r="BC294" s="276">
        <f>IF(BI294=1,IF(BC293=MiscData!$F$1,EOMONTH(BC293,-11),EOMONTH(BC293,1)),BC293)</f>
        <v>41882</v>
      </c>
      <c r="BD294" s="275" t="str">
        <f t="shared" si="225"/>
        <v>20140101LGINE691</v>
      </c>
      <c r="BE294" s="294" t="str">
        <f t="shared" si="226"/>
        <v>20140101TODS</v>
      </c>
      <c r="BF294">
        <f>MiscData!$X$5</f>
        <v>20140101</v>
      </c>
      <c r="BI294" s="265">
        <f>IF(BI293+1&gt;MiscData!$Z$42,1,BI293+1)</f>
        <v>25</v>
      </c>
      <c r="BJ294" s="265" t="str">
        <f>VLOOKUP(BI294,MiscData!$Z$5:$AB$46,2,FALSE)</f>
        <v>LGINE691</v>
      </c>
      <c r="BK294" s="265" t="str">
        <f>VLOOKUP(BI294,MiscData!$Z$5:$AB$46,3,FALSE)</f>
        <v>TODS</v>
      </c>
    </row>
    <row r="295" spans="1:63" hidden="1">
      <c r="A295" s="275">
        <v>278</v>
      </c>
      <c r="B295" s="276" t="str">
        <f t="shared" si="218"/>
        <v>Aug 2014</v>
      </c>
      <c r="C295" s="277" t="str">
        <f t="shared" si="219"/>
        <v>ITODP</v>
      </c>
      <c r="D295" s="277" t="str">
        <f t="shared" si="220"/>
        <v>LGINE693</v>
      </c>
      <c r="E295" s="278">
        <f t="shared" si="187"/>
        <v>63</v>
      </c>
      <c r="F295" s="279">
        <v>3</v>
      </c>
      <c r="G295" s="278">
        <f t="shared" si="188"/>
        <v>0</v>
      </c>
      <c r="H295" s="278">
        <f t="shared" si="189"/>
        <v>0</v>
      </c>
      <c r="I295" s="278">
        <f t="shared" si="190"/>
        <v>0</v>
      </c>
      <c r="J295" s="278">
        <f t="shared" si="191"/>
        <v>131173200</v>
      </c>
      <c r="K295" s="280">
        <v>0</v>
      </c>
      <c r="L295" s="281">
        <f t="shared" si="192"/>
        <v>312454.7</v>
      </c>
      <c r="M295" s="281">
        <f t="shared" si="193"/>
        <v>303768.59999999998</v>
      </c>
      <c r="N295" s="281">
        <f t="shared" si="194"/>
        <v>297297.2</v>
      </c>
      <c r="O295" s="282">
        <v>767.6</v>
      </c>
      <c r="P295" s="282">
        <v>0</v>
      </c>
      <c r="Q295" s="282">
        <v>119.8</v>
      </c>
      <c r="R295" s="283">
        <f t="shared" si="195"/>
        <v>300</v>
      </c>
      <c r="S295" s="284">
        <f t="shared" si="183"/>
        <v>3.5380000000000002E-2</v>
      </c>
      <c r="T295" s="284">
        <f t="shared" si="196"/>
        <v>0</v>
      </c>
      <c r="U295" s="284">
        <f t="shared" si="197"/>
        <v>0</v>
      </c>
      <c r="V295" s="284">
        <f t="shared" si="198"/>
        <v>2.725E-2</v>
      </c>
      <c r="W295" s="283">
        <f t="shared" si="199"/>
        <v>3.6300000000000003</v>
      </c>
      <c r="X295" s="283">
        <f t="shared" si="200"/>
        <v>3.7900000000000005</v>
      </c>
      <c r="Y295" s="283">
        <f t="shared" si="201"/>
        <v>4.63</v>
      </c>
      <c r="Z295" s="285">
        <f t="shared" si="202"/>
        <v>19800</v>
      </c>
      <c r="AA295" s="285">
        <f t="shared" si="203"/>
        <v>4640907.82</v>
      </c>
      <c r="AB295" s="285">
        <f t="shared" si="221"/>
        <v>1134210.5600000001</v>
      </c>
      <c r="AC295" s="285">
        <f t="shared" si="222"/>
        <v>1151282.99</v>
      </c>
      <c r="AD295" s="285">
        <f t="shared" si="223"/>
        <v>1376486.04</v>
      </c>
      <c r="AE295" s="286">
        <v>0</v>
      </c>
      <c r="AF295" s="287">
        <f t="shared" si="204"/>
        <v>0</v>
      </c>
      <c r="AG295" s="288">
        <f t="shared" si="205"/>
        <v>3341.06</v>
      </c>
      <c r="AH295" s="285">
        <f t="shared" si="227"/>
        <v>3665320.65</v>
      </c>
      <c r="AI295" s="286">
        <v>-300</v>
      </c>
      <c r="AJ295" s="286">
        <v>0</v>
      </c>
      <c r="AK295" s="286">
        <v>0.11</v>
      </c>
      <c r="AL295" s="285">
        <f t="shared" si="206"/>
        <v>8325728.580000001</v>
      </c>
      <c r="AM295" s="285">
        <f t="shared" si="207"/>
        <v>8325728.580000001</v>
      </c>
      <c r="AN295" s="289">
        <f t="shared" si="224"/>
        <v>1</v>
      </c>
      <c r="AO295" s="290">
        <f t="shared" si="208"/>
        <v>53027</v>
      </c>
      <c r="AP295" s="290">
        <f t="shared" si="209"/>
        <v>0</v>
      </c>
      <c r="AQ295" s="290">
        <f t="shared" si="210"/>
        <v>258256.97</v>
      </c>
      <c r="AR295" s="290">
        <f t="shared" si="211"/>
        <v>0</v>
      </c>
      <c r="AS295" s="290">
        <f t="shared" si="212"/>
        <v>0</v>
      </c>
      <c r="AT295" s="290">
        <f t="shared" si="213"/>
        <v>8637012.5500000007</v>
      </c>
      <c r="AU295" s="291">
        <f t="shared" si="214"/>
        <v>8637012.5500000007</v>
      </c>
      <c r="AV295" s="291">
        <f t="shared" si="229"/>
        <v>0</v>
      </c>
      <c r="AW295" s="292">
        <f t="shared" si="216"/>
        <v>3574469.7</v>
      </c>
      <c r="AX295" s="293">
        <f t="shared" si="217"/>
        <v>1066438.1200000001</v>
      </c>
      <c r="BC295" s="276">
        <f>IF(BI295=1,IF(BC294=MiscData!$F$1,EOMONTH(BC294,-11),EOMONTH(BC294,1)),BC294)</f>
        <v>41882</v>
      </c>
      <c r="BD295" s="275" t="str">
        <f t="shared" si="225"/>
        <v>20140101LGINE693</v>
      </c>
      <c r="BE295" s="294" t="str">
        <f t="shared" si="226"/>
        <v>20140101ITODP</v>
      </c>
      <c r="BF295">
        <f>MiscData!$X$5</f>
        <v>20140101</v>
      </c>
      <c r="BI295" s="265">
        <f>IF(BI294+1&gt;MiscData!$Z$42,1,BI294+1)</f>
        <v>26</v>
      </c>
      <c r="BJ295" s="265" t="str">
        <f>VLOOKUP(BI295,MiscData!$Z$5:$AB$46,2,FALSE)</f>
        <v>LGINE693</v>
      </c>
      <c r="BK295" s="265" t="str">
        <f>VLOOKUP(BI295,MiscData!$Z$5:$AB$46,3,FALSE)</f>
        <v>ITODP</v>
      </c>
    </row>
    <row r="296" spans="1:63" hidden="1">
      <c r="A296" s="275">
        <v>279</v>
      </c>
      <c r="B296" s="276" t="str">
        <f t="shared" si="218"/>
        <v>Aug 2014</v>
      </c>
      <c r="C296" s="277" t="str">
        <f t="shared" si="219"/>
        <v>ITODP</v>
      </c>
      <c r="D296" s="277" t="str">
        <f t="shared" si="220"/>
        <v>LGINE694</v>
      </c>
      <c r="E296" s="278">
        <f t="shared" si="187"/>
        <v>0</v>
      </c>
      <c r="F296" s="279">
        <v>0</v>
      </c>
      <c r="G296" s="278">
        <f t="shared" si="188"/>
        <v>0</v>
      </c>
      <c r="H296" s="278">
        <f t="shared" si="189"/>
        <v>0</v>
      </c>
      <c r="I296" s="278">
        <f t="shared" si="190"/>
        <v>0</v>
      </c>
      <c r="J296" s="278">
        <f t="shared" si="191"/>
        <v>0</v>
      </c>
      <c r="K296" s="280">
        <v>0</v>
      </c>
      <c r="L296" s="281">
        <f t="shared" si="192"/>
        <v>0</v>
      </c>
      <c r="M296" s="281">
        <f t="shared" si="193"/>
        <v>0</v>
      </c>
      <c r="N296" s="281">
        <f t="shared" si="194"/>
        <v>0</v>
      </c>
      <c r="O296" s="282">
        <v>0</v>
      </c>
      <c r="P296" s="282">
        <v>0</v>
      </c>
      <c r="Q296" s="282">
        <v>0</v>
      </c>
      <c r="R296" s="283">
        <f t="shared" si="195"/>
        <v>300</v>
      </c>
      <c r="S296" s="284">
        <f t="shared" si="183"/>
        <v>3.5380000000000002E-2</v>
      </c>
      <c r="T296" s="284">
        <f t="shared" si="196"/>
        <v>0</v>
      </c>
      <c r="U296" s="284">
        <f t="shared" si="197"/>
        <v>0</v>
      </c>
      <c r="V296" s="284">
        <f t="shared" si="198"/>
        <v>2.725E-2</v>
      </c>
      <c r="W296" s="283">
        <f t="shared" si="199"/>
        <v>3.6300000000000003</v>
      </c>
      <c r="X296" s="283">
        <f t="shared" si="200"/>
        <v>3.7900000000000005</v>
      </c>
      <c r="Y296" s="283">
        <f t="shared" si="201"/>
        <v>4.63</v>
      </c>
      <c r="Z296" s="285">
        <f t="shared" si="202"/>
        <v>0</v>
      </c>
      <c r="AA296" s="285">
        <f t="shared" si="203"/>
        <v>0</v>
      </c>
      <c r="AB296" s="285">
        <f t="shared" si="221"/>
        <v>0</v>
      </c>
      <c r="AC296" s="285">
        <f t="shared" si="222"/>
        <v>0</v>
      </c>
      <c r="AD296" s="285">
        <f t="shared" si="223"/>
        <v>0</v>
      </c>
      <c r="AE296" s="286">
        <v>0</v>
      </c>
      <c r="AF296" s="287">
        <f t="shared" si="204"/>
        <v>0</v>
      </c>
      <c r="AG296" s="288">
        <f t="shared" si="205"/>
        <v>0</v>
      </c>
      <c r="AH296" s="285">
        <f t="shared" si="227"/>
        <v>0</v>
      </c>
      <c r="AI296" s="286">
        <v>0</v>
      </c>
      <c r="AJ296" s="286">
        <v>0</v>
      </c>
      <c r="AK296" s="286">
        <v>0</v>
      </c>
      <c r="AL296" s="285">
        <f t="shared" si="206"/>
        <v>0</v>
      </c>
      <c r="AM296" s="285">
        <f t="shared" si="207"/>
        <v>0</v>
      </c>
      <c r="AN296" s="289">
        <f t="shared" si="224"/>
        <v>1</v>
      </c>
      <c r="AO296" s="290">
        <f t="shared" si="208"/>
        <v>0</v>
      </c>
      <c r="AP296" s="290">
        <f t="shared" si="209"/>
        <v>0</v>
      </c>
      <c r="AQ296" s="290">
        <f t="shared" si="210"/>
        <v>0</v>
      </c>
      <c r="AR296" s="290">
        <f t="shared" si="211"/>
        <v>0</v>
      </c>
      <c r="AS296" s="290">
        <f t="shared" si="212"/>
        <v>0</v>
      </c>
      <c r="AT296" s="290">
        <f t="shared" si="213"/>
        <v>0</v>
      </c>
      <c r="AU296" s="291">
        <f t="shared" si="214"/>
        <v>0</v>
      </c>
      <c r="AV296" s="291">
        <f t="shared" si="229"/>
        <v>0</v>
      </c>
      <c r="AW296" s="292">
        <f t="shared" si="216"/>
        <v>0</v>
      </c>
      <c r="AX296" s="293">
        <f t="shared" si="217"/>
        <v>0</v>
      </c>
      <c r="BC296" s="276">
        <f>IF(BI296=1,IF(BC295=MiscData!$F$1,EOMONTH(BC295,-11),EOMONTH(BC295,1)),BC295)</f>
        <v>41882</v>
      </c>
      <c r="BD296" s="275" t="str">
        <f t="shared" si="225"/>
        <v>20140101LGINE694</v>
      </c>
      <c r="BE296" s="294" t="str">
        <f t="shared" si="226"/>
        <v>20140101ITODP</v>
      </c>
      <c r="BF296">
        <f>MiscData!$X$5</f>
        <v>20140101</v>
      </c>
      <c r="BI296" s="265">
        <f>IF(BI295+1&gt;MiscData!$Z$42,1,BI295+1)</f>
        <v>27</v>
      </c>
      <c r="BJ296" s="265" t="str">
        <f>VLOOKUP(BI296,MiscData!$Z$5:$AB$46,2,FALSE)</f>
        <v>LGINE694</v>
      </c>
      <c r="BK296" s="265" t="str">
        <f>VLOOKUP(BI296,MiscData!$Z$5:$AB$46,3,FALSE)</f>
        <v>ITODP</v>
      </c>
    </row>
    <row r="297" spans="1:63" hidden="1">
      <c r="A297" s="275">
        <v>280</v>
      </c>
      <c r="B297" s="276" t="str">
        <f t="shared" si="218"/>
        <v>Aug 2014</v>
      </c>
      <c r="C297" s="277" t="str">
        <f t="shared" si="219"/>
        <v>LE</v>
      </c>
      <c r="D297" s="277" t="str">
        <f t="shared" si="220"/>
        <v>LGMLE570</v>
      </c>
      <c r="E297" s="278">
        <f t="shared" si="187"/>
        <v>1</v>
      </c>
      <c r="F297" s="279">
        <v>0</v>
      </c>
      <c r="G297" s="278">
        <f t="shared" si="188"/>
        <v>0</v>
      </c>
      <c r="H297" s="278">
        <f t="shared" si="189"/>
        <v>0</v>
      </c>
      <c r="I297" s="278">
        <f t="shared" si="190"/>
        <v>0</v>
      </c>
      <c r="J297" s="278">
        <f t="shared" si="191"/>
        <v>196</v>
      </c>
      <c r="K297" s="280">
        <v>0</v>
      </c>
      <c r="L297" s="281">
        <f t="shared" si="192"/>
        <v>0</v>
      </c>
      <c r="M297" s="281">
        <f t="shared" si="193"/>
        <v>0</v>
      </c>
      <c r="N297" s="281">
        <f t="shared" si="194"/>
        <v>0</v>
      </c>
      <c r="O297" s="282">
        <v>0</v>
      </c>
      <c r="P297" s="282">
        <v>0</v>
      </c>
      <c r="Q297" s="282">
        <v>0</v>
      </c>
      <c r="R297" s="283">
        <f t="shared" si="195"/>
        <v>0</v>
      </c>
      <c r="S297" s="284">
        <f t="shared" ref="S297:S360" si="230">SUMIF(L_Rates_Tariff_Rate_Category,$BD297,L_Rates_Energy)</f>
        <v>6.4610000000000001E-2</v>
      </c>
      <c r="T297" s="284">
        <f t="shared" si="196"/>
        <v>0</v>
      </c>
      <c r="U297" s="284">
        <f t="shared" si="197"/>
        <v>0</v>
      </c>
      <c r="V297" s="284">
        <f t="shared" si="198"/>
        <v>2.725E-2</v>
      </c>
      <c r="W297" s="283">
        <f t="shared" si="199"/>
        <v>0</v>
      </c>
      <c r="X297" s="283">
        <f t="shared" si="200"/>
        <v>0</v>
      </c>
      <c r="Y297" s="283">
        <f t="shared" si="201"/>
        <v>0</v>
      </c>
      <c r="Z297" s="285">
        <f t="shared" si="202"/>
        <v>0</v>
      </c>
      <c r="AA297" s="285">
        <f t="shared" si="203"/>
        <v>12.66</v>
      </c>
      <c r="AB297" s="285">
        <f t="shared" si="221"/>
        <v>0</v>
      </c>
      <c r="AC297" s="285">
        <f t="shared" si="222"/>
        <v>0</v>
      </c>
      <c r="AD297" s="285">
        <f t="shared" si="223"/>
        <v>0</v>
      </c>
      <c r="AE297" s="286">
        <v>0</v>
      </c>
      <c r="AF297" s="287">
        <f t="shared" si="204"/>
        <v>0</v>
      </c>
      <c r="AG297" s="288">
        <f t="shared" si="205"/>
        <v>0</v>
      </c>
      <c r="AH297" s="285">
        <f t="shared" si="227"/>
        <v>0</v>
      </c>
      <c r="AI297" s="286">
        <v>0</v>
      </c>
      <c r="AJ297" s="286">
        <v>0</v>
      </c>
      <c r="AK297" s="286">
        <v>0</v>
      </c>
      <c r="AL297" s="285">
        <f t="shared" si="206"/>
        <v>12.66</v>
      </c>
      <c r="AM297" s="285">
        <f t="shared" si="207"/>
        <v>12.66</v>
      </c>
      <c r="AN297" s="289">
        <f t="shared" si="224"/>
        <v>1</v>
      </c>
      <c r="AO297" s="290">
        <f t="shared" si="208"/>
        <v>-0.04</v>
      </c>
      <c r="AP297" s="290">
        <f t="shared" si="209"/>
        <v>0</v>
      </c>
      <c r="AQ297" s="290">
        <f t="shared" si="210"/>
        <v>0.44</v>
      </c>
      <c r="AR297" s="290">
        <f t="shared" si="211"/>
        <v>0</v>
      </c>
      <c r="AS297" s="290">
        <f t="shared" si="212"/>
        <v>0</v>
      </c>
      <c r="AT297" s="290">
        <f t="shared" si="213"/>
        <v>13.06</v>
      </c>
      <c r="AU297" s="291">
        <f t="shared" si="214"/>
        <v>13.06</v>
      </c>
      <c r="AV297" s="291">
        <f t="shared" si="229"/>
        <v>0</v>
      </c>
      <c r="AW297" s="292">
        <f t="shared" si="216"/>
        <v>5.34</v>
      </c>
      <c r="AX297" s="293">
        <f t="shared" si="217"/>
        <v>7.32</v>
      </c>
      <c r="BC297" s="276">
        <f>IF(BI297=1,IF(BC296=MiscData!$F$1,EOMONTH(BC296,-11),EOMONTH(BC296,1)),BC296)</f>
        <v>41882</v>
      </c>
      <c r="BD297" s="275" t="str">
        <f t="shared" si="225"/>
        <v>20140101LGMLE570</v>
      </c>
      <c r="BE297" s="294" t="str">
        <f t="shared" si="226"/>
        <v>20140101LE</v>
      </c>
      <c r="BF297">
        <f>MiscData!$X$5</f>
        <v>20140101</v>
      </c>
      <c r="BI297" s="265">
        <f>IF(BI296+1&gt;MiscData!$Z$42,1,BI296+1)</f>
        <v>28</v>
      </c>
      <c r="BJ297" s="265" t="str">
        <f>VLOOKUP(BI297,MiscData!$Z$5:$AB$46,2,FALSE)</f>
        <v>LGMLE570</v>
      </c>
      <c r="BK297" s="265" t="str">
        <f>VLOOKUP(BI297,MiscData!$Z$5:$AB$46,3,FALSE)</f>
        <v>LE</v>
      </c>
    </row>
    <row r="298" spans="1:63" hidden="1">
      <c r="A298" s="275">
        <v>281</v>
      </c>
      <c r="B298" s="276" t="str">
        <f t="shared" si="218"/>
        <v>Aug 2014</v>
      </c>
      <c r="C298" s="277" t="str">
        <f t="shared" si="219"/>
        <v>LE</v>
      </c>
      <c r="D298" s="277" t="str">
        <f t="shared" si="220"/>
        <v>LGMLE571</v>
      </c>
      <c r="E298" s="278">
        <f t="shared" si="187"/>
        <v>156</v>
      </c>
      <c r="F298" s="279">
        <v>0</v>
      </c>
      <c r="G298" s="278">
        <f t="shared" si="188"/>
        <v>0</v>
      </c>
      <c r="H298" s="278">
        <f t="shared" si="189"/>
        <v>0</v>
      </c>
      <c r="I298" s="278">
        <f t="shared" si="190"/>
        <v>0</v>
      </c>
      <c r="J298" s="278">
        <f t="shared" si="191"/>
        <v>148712</v>
      </c>
      <c r="K298" s="280">
        <v>0</v>
      </c>
      <c r="L298" s="281">
        <f t="shared" si="192"/>
        <v>0</v>
      </c>
      <c r="M298" s="281">
        <f t="shared" si="193"/>
        <v>0</v>
      </c>
      <c r="N298" s="281">
        <f t="shared" si="194"/>
        <v>0</v>
      </c>
      <c r="O298" s="282">
        <v>0</v>
      </c>
      <c r="P298" s="282">
        <v>0</v>
      </c>
      <c r="Q298" s="282">
        <v>0</v>
      </c>
      <c r="R298" s="283">
        <f t="shared" si="195"/>
        <v>0</v>
      </c>
      <c r="S298" s="284">
        <f t="shared" si="230"/>
        <v>6.4610000000000001E-2</v>
      </c>
      <c r="T298" s="284">
        <f t="shared" si="196"/>
        <v>0</v>
      </c>
      <c r="U298" s="284">
        <f t="shared" si="197"/>
        <v>0</v>
      </c>
      <c r="V298" s="284">
        <f t="shared" si="198"/>
        <v>2.725E-2</v>
      </c>
      <c r="W298" s="283">
        <f t="shared" si="199"/>
        <v>0</v>
      </c>
      <c r="X298" s="283">
        <f t="shared" si="200"/>
        <v>0</v>
      </c>
      <c r="Y298" s="283">
        <f t="shared" si="201"/>
        <v>0</v>
      </c>
      <c r="Z298" s="285">
        <f t="shared" si="202"/>
        <v>0</v>
      </c>
      <c r="AA298" s="285">
        <f t="shared" si="203"/>
        <v>9608.2800000000007</v>
      </c>
      <c r="AB298" s="285">
        <f t="shared" si="221"/>
        <v>0</v>
      </c>
      <c r="AC298" s="285">
        <f t="shared" si="222"/>
        <v>0</v>
      </c>
      <c r="AD298" s="285">
        <f t="shared" si="223"/>
        <v>0</v>
      </c>
      <c r="AE298" s="286">
        <v>0</v>
      </c>
      <c r="AF298" s="287">
        <f t="shared" si="204"/>
        <v>0</v>
      </c>
      <c r="AG298" s="288">
        <f t="shared" si="205"/>
        <v>0</v>
      </c>
      <c r="AH298" s="285">
        <f t="shared" si="227"/>
        <v>0</v>
      </c>
      <c r="AI298" s="286">
        <v>0</v>
      </c>
      <c r="AJ298" s="286">
        <v>0.01</v>
      </c>
      <c r="AK298" s="286">
        <v>0</v>
      </c>
      <c r="AL298" s="285">
        <f t="shared" si="206"/>
        <v>9608.2900000000009</v>
      </c>
      <c r="AM298" s="285">
        <f t="shared" si="207"/>
        <v>9608.2900000000009</v>
      </c>
      <c r="AN298" s="289">
        <f t="shared" si="224"/>
        <v>1</v>
      </c>
      <c r="AO298" s="290">
        <f t="shared" si="208"/>
        <v>-7.92</v>
      </c>
      <c r="AP298" s="290">
        <f t="shared" si="209"/>
        <v>0</v>
      </c>
      <c r="AQ298" s="290">
        <f t="shared" si="210"/>
        <v>335</v>
      </c>
      <c r="AR298" s="290">
        <f t="shared" si="211"/>
        <v>0</v>
      </c>
      <c r="AS298" s="290">
        <f t="shared" si="212"/>
        <v>0</v>
      </c>
      <c r="AT298" s="290">
        <f t="shared" si="213"/>
        <v>9935.3700000000008</v>
      </c>
      <c r="AU298" s="291">
        <f t="shared" si="214"/>
        <v>9935.3700000000008</v>
      </c>
      <c r="AV298" s="291">
        <f t="shared" si="229"/>
        <v>0</v>
      </c>
      <c r="AW298" s="292">
        <f t="shared" si="216"/>
        <v>4052.4</v>
      </c>
      <c r="AX298" s="293">
        <f t="shared" si="217"/>
        <v>5555.8900000000012</v>
      </c>
      <c r="BC298" s="276">
        <f>IF(BI298=1,IF(BC297=MiscData!$F$1,EOMONTH(BC297,-11),EOMONTH(BC297,1)),BC297)</f>
        <v>41882</v>
      </c>
      <c r="BD298" s="275" t="str">
        <f t="shared" si="225"/>
        <v>20140101LGMLE571</v>
      </c>
      <c r="BE298" s="294" t="str">
        <f t="shared" si="226"/>
        <v>20140101LE</v>
      </c>
      <c r="BF298">
        <f>MiscData!$X$5</f>
        <v>20140101</v>
      </c>
      <c r="BI298" s="265">
        <f>IF(BI297+1&gt;MiscData!$Z$42,1,BI297+1)</f>
        <v>29</v>
      </c>
      <c r="BJ298" s="265" t="str">
        <f>VLOOKUP(BI298,MiscData!$Z$5:$AB$46,2,FALSE)</f>
        <v>LGMLE571</v>
      </c>
      <c r="BK298" s="265" t="str">
        <f>VLOOKUP(BI298,MiscData!$Z$5:$AB$46,3,FALSE)</f>
        <v>LE</v>
      </c>
    </row>
    <row r="299" spans="1:63" hidden="1">
      <c r="A299" s="275">
        <v>282</v>
      </c>
      <c r="B299" s="276" t="str">
        <f t="shared" si="218"/>
        <v>Aug 2014</v>
      </c>
      <c r="C299" s="277" t="str">
        <f t="shared" si="219"/>
        <v>LE</v>
      </c>
      <c r="D299" s="277" t="str">
        <f t="shared" si="220"/>
        <v>LGMLE572</v>
      </c>
      <c r="E299" s="278">
        <f t="shared" si="187"/>
        <v>13</v>
      </c>
      <c r="F299" s="279">
        <v>0</v>
      </c>
      <c r="G299" s="278">
        <f t="shared" si="188"/>
        <v>0</v>
      </c>
      <c r="H299" s="278">
        <f t="shared" si="189"/>
        <v>0</v>
      </c>
      <c r="I299" s="278">
        <f t="shared" si="190"/>
        <v>0</v>
      </c>
      <c r="J299" s="278">
        <f t="shared" si="191"/>
        <v>74067</v>
      </c>
      <c r="K299" s="280">
        <v>0</v>
      </c>
      <c r="L299" s="281">
        <f t="shared" si="192"/>
        <v>0</v>
      </c>
      <c r="M299" s="281">
        <f t="shared" si="193"/>
        <v>0</v>
      </c>
      <c r="N299" s="281">
        <f t="shared" si="194"/>
        <v>0</v>
      </c>
      <c r="O299" s="282">
        <v>0</v>
      </c>
      <c r="P299" s="282">
        <v>0</v>
      </c>
      <c r="Q299" s="282">
        <v>0</v>
      </c>
      <c r="R299" s="283">
        <f t="shared" si="195"/>
        <v>0</v>
      </c>
      <c r="S299" s="284">
        <f t="shared" si="230"/>
        <v>6.4610000000000001E-2</v>
      </c>
      <c r="T299" s="284">
        <f t="shared" si="196"/>
        <v>0</v>
      </c>
      <c r="U299" s="284">
        <f t="shared" si="197"/>
        <v>0</v>
      </c>
      <c r="V299" s="284">
        <f t="shared" si="198"/>
        <v>2.725E-2</v>
      </c>
      <c r="W299" s="283">
        <f t="shared" si="199"/>
        <v>0</v>
      </c>
      <c r="X299" s="283">
        <f t="shared" si="200"/>
        <v>0</v>
      </c>
      <c r="Y299" s="283">
        <f t="shared" si="201"/>
        <v>0</v>
      </c>
      <c r="Z299" s="285">
        <f t="shared" si="202"/>
        <v>0</v>
      </c>
      <c r="AA299" s="285">
        <f t="shared" si="203"/>
        <v>4785.47</v>
      </c>
      <c r="AB299" s="285">
        <f t="shared" si="221"/>
        <v>0</v>
      </c>
      <c r="AC299" s="285">
        <f t="shared" si="222"/>
        <v>0</v>
      </c>
      <c r="AD299" s="285">
        <f t="shared" si="223"/>
        <v>0</v>
      </c>
      <c r="AE299" s="286">
        <v>0</v>
      </c>
      <c r="AF299" s="287">
        <f t="shared" si="204"/>
        <v>0</v>
      </c>
      <c r="AG299" s="288">
        <f t="shared" si="205"/>
        <v>0</v>
      </c>
      <c r="AH299" s="285">
        <f t="shared" si="227"/>
        <v>0</v>
      </c>
      <c r="AI299" s="286">
        <v>0</v>
      </c>
      <c r="AJ299" s="286">
        <v>0.02</v>
      </c>
      <c r="AK299" s="286">
        <v>0</v>
      </c>
      <c r="AL299" s="285">
        <f t="shared" si="206"/>
        <v>4785.4900000000007</v>
      </c>
      <c r="AM299" s="285">
        <f t="shared" si="207"/>
        <v>4785.49</v>
      </c>
      <c r="AN299" s="289">
        <f t="shared" si="224"/>
        <v>1</v>
      </c>
      <c r="AO299" s="290">
        <f t="shared" si="208"/>
        <v>-12.68</v>
      </c>
      <c r="AP299" s="290">
        <f t="shared" si="209"/>
        <v>0</v>
      </c>
      <c r="AQ299" s="290">
        <f t="shared" si="210"/>
        <v>167.81</v>
      </c>
      <c r="AR299" s="290">
        <f t="shared" si="211"/>
        <v>0</v>
      </c>
      <c r="AS299" s="290">
        <f t="shared" si="212"/>
        <v>0</v>
      </c>
      <c r="AT299" s="290">
        <f t="shared" si="213"/>
        <v>4940.62</v>
      </c>
      <c r="AU299" s="291">
        <f t="shared" si="214"/>
        <v>4940.6200000000008</v>
      </c>
      <c r="AV299" s="291">
        <f t="shared" ref="AV299:AV333" si="231">AT299-AU299</f>
        <v>0</v>
      </c>
      <c r="AW299" s="292">
        <f t="shared" si="216"/>
        <v>2018.33</v>
      </c>
      <c r="AX299" s="293">
        <f t="shared" si="217"/>
        <v>2767.1600000000008</v>
      </c>
      <c r="BC299" s="276">
        <f>IF(BI299=1,IF(BC298=MiscData!$F$1,EOMONTH(BC298,-11),EOMONTH(BC298,1)),BC298)</f>
        <v>41882</v>
      </c>
      <c r="BD299" s="275" t="str">
        <f t="shared" si="225"/>
        <v>20140101LGMLE572</v>
      </c>
      <c r="BE299" s="294" t="str">
        <f t="shared" si="226"/>
        <v>20140101LE</v>
      </c>
      <c r="BF299">
        <f>MiscData!$X$5</f>
        <v>20140101</v>
      </c>
      <c r="BI299" s="265">
        <f>IF(BI298+1&gt;MiscData!$Z$42,1,BI298+1)</f>
        <v>30</v>
      </c>
      <c r="BJ299" s="265" t="str">
        <f>VLOOKUP(BI299,MiscData!$Z$5:$AB$46,2,FALSE)</f>
        <v>LGMLE572</v>
      </c>
      <c r="BK299" s="265" t="str">
        <f>VLOOKUP(BI299,MiscData!$Z$5:$AB$46,3,FALSE)</f>
        <v>LE</v>
      </c>
    </row>
    <row r="300" spans="1:63" hidden="1">
      <c r="A300" s="275">
        <v>283</v>
      </c>
      <c r="B300" s="276" t="str">
        <f t="shared" si="218"/>
        <v>Aug 2014</v>
      </c>
      <c r="C300" s="277" t="str">
        <f t="shared" si="219"/>
        <v>TE</v>
      </c>
      <c r="D300" s="277" t="str">
        <f t="shared" si="220"/>
        <v>LGMLE573</v>
      </c>
      <c r="E300" s="278">
        <f t="shared" si="187"/>
        <v>897</v>
      </c>
      <c r="F300" s="279">
        <v>0</v>
      </c>
      <c r="G300" s="278">
        <f t="shared" si="188"/>
        <v>0</v>
      </c>
      <c r="H300" s="278">
        <f t="shared" si="189"/>
        <v>0</v>
      </c>
      <c r="I300" s="278">
        <f t="shared" si="190"/>
        <v>0</v>
      </c>
      <c r="J300" s="278">
        <f t="shared" si="191"/>
        <v>174874</v>
      </c>
      <c r="K300" s="280">
        <v>0</v>
      </c>
      <c r="L300" s="281">
        <f t="shared" si="192"/>
        <v>0</v>
      </c>
      <c r="M300" s="281">
        <f t="shared" si="193"/>
        <v>0</v>
      </c>
      <c r="N300" s="281">
        <f t="shared" si="194"/>
        <v>0</v>
      </c>
      <c r="O300" s="282">
        <v>0</v>
      </c>
      <c r="P300" s="282">
        <v>0</v>
      </c>
      <c r="Q300" s="282">
        <v>0</v>
      </c>
      <c r="R300" s="283">
        <f t="shared" si="195"/>
        <v>3.25</v>
      </c>
      <c r="S300" s="284">
        <f t="shared" si="230"/>
        <v>7.6579999999999995E-2</v>
      </c>
      <c r="T300" s="284">
        <f t="shared" si="196"/>
        <v>0</v>
      </c>
      <c r="U300" s="284">
        <f t="shared" si="197"/>
        <v>0</v>
      </c>
      <c r="V300" s="284">
        <f t="shared" si="198"/>
        <v>2.725E-2</v>
      </c>
      <c r="W300" s="283">
        <f t="shared" si="199"/>
        <v>0</v>
      </c>
      <c r="X300" s="283">
        <f t="shared" si="200"/>
        <v>0</v>
      </c>
      <c r="Y300" s="283">
        <f t="shared" si="201"/>
        <v>0</v>
      </c>
      <c r="Z300" s="285">
        <f t="shared" si="202"/>
        <v>2915.25</v>
      </c>
      <c r="AA300" s="285">
        <f t="shared" si="203"/>
        <v>13391.85</v>
      </c>
      <c r="AB300" s="285">
        <f t="shared" si="221"/>
        <v>0</v>
      </c>
      <c r="AC300" s="285">
        <f t="shared" si="222"/>
        <v>0</v>
      </c>
      <c r="AD300" s="285">
        <f t="shared" si="223"/>
        <v>0</v>
      </c>
      <c r="AE300" s="286">
        <v>0</v>
      </c>
      <c r="AF300" s="287">
        <f t="shared" si="204"/>
        <v>0</v>
      </c>
      <c r="AG300" s="288">
        <f t="shared" si="205"/>
        <v>0</v>
      </c>
      <c r="AH300" s="285">
        <f t="shared" si="227"/>
        <v>0</v>
      </c>
      <c r="AI300" s="286">
        <v>0</v>
      </c>
      <c r="AJ300" s="286">
        <v>0.05</v>
      </c>
      <c r="AK300" s="286">
        <v>0</v>
      </c>
      <c r="AL300" s="285">
        <f t="shared" si="206"/>
        <v>16307.15</v>
      </c>
      <c r="AM300" s="285">
        <f t="shared" si="207"/>
        <v>16307.150000000001</v>
      </c>
      <c r="AN300" s="289">
        <f t="shared" si="224"/>
        <v>1</v>
      </c>
      <c r="AO300" s="290">
        <f t="shared" si="208"/>
        <v>-9.3000000000000007</v>
      </c>
      <c r="AP300" s="290">
        <f t="shared" si="209"/>
        <v>0</v>
      </c>
      <c r="AQ300" s="290">
        <f t="shared" si="210"/>
        <v>568.69000000000005</v>
      </c>
      <c r="AR300" s="290">
        <f t="shared" si="211"/>
        <v>0</v>
      </c>
      <c r="AS300" s="290">
        <f t="shared" si="212"/>
        <v>0</v>
      </c>
      <c r="AT300" s="290">
        <f t="shared" si="213"/>
        <v>16866.54</v>
      </c>
      <c r="AU300" s="291">
        <f t="shared" si="214"/>
        <v>16866.54</v>
      </c>
      <c r="AV300" s="291">
        <f t="shared" si="231"/>
        <v>0</v>
      </c>
      <c r="AW300" s="292">
        <f t="shared" si="216"/>
        <v>4765.32</v>
      </c>
      <c r="AX300" s="293">
        <f t="shared" si="217"/>
        <v>8626.58</v>
      </c>
      <c r="BC300" s="276">
        <f>IF(BI300=1,IF(BC299=MiscData!$F$1,EOMONTH(BC299,-11),EOMONTH(BC299,1)),BC299)</f>
        <v>41882</v>
      </c>
      <c r="BD300" s="275" t="str">
        <f t="shared" si="225"/>
        <v>20140101LGMLE573</v>
      </c>
      <c r="BE300" s="294" t="str">
        <f t="shared" si="226"/>
        <v>20140101TE</v>
      </c>
      <c r="BF300">
        <f>MiscData!$X$5</f>
        <v>20140101</v>
      </c>
      <c r="BI300" s="265">
        <f>IF(BI299+1&gt;MiscData!$Z$42,1,BI299+1)</f>
        <v>31</v>
      </c>
      <c r="BJ300" s="265" t="str">
        <f>VLOOKUP(BI300,MiscData!$Z$5:$AB$46,2,FALSE)</f>
        <v>LGMLE573</v>
      </c>
      <c r="BK300" s="265" t="str">
        <f>VLOOKUP(BI300,MiscData!$Z$5:$AB$46,3,FALSE)</f>
        <v>TE</v>
      </c>
    </row>
    <row r="301" spans="1:63" hidden="1">
      <c r="A301" s="275">
        <v>284</v>
      </c>
      <c r="B301" s="276" t="str">
        <f t="shared" si="218"/>
        <v>Aug 2014</v>
      </c>
      <c r="C301" s="277" t="str">
        <f t="shared" si="219"/>
        <v>TE</v>
      </c>
      <c r="D301" s="277" t="str">
        <f t="shared" si="220"/>
        <v>LGMLE574</v>
      </c>
      <c r="E301" s="278">
        <f t="shared" si="187"/>
        <v>8</v>
      </c>
      <c r="F301" s="279">
        <v>126</v>
      </c>
      <c r="G301" s="278">
        <f t="shared" si="188"/>
        <v>0</v>
      </c>
      <c r="H301" s="278">
        <f t="shared" si="189"/>
        <v>0</v>
      </c>
      <c r="I301" s="278">
        <f t="shared" si="190"/>
        <v>0</v>
      </c>
      <c r="J301" s="278">
        <f t="shared" si="191"/>
        <v>68742</v>
      </c>
      <c r="K301" s="280">
        <v>0</v>
      </c>
      <c r="L301" s="281">
        <f t="shared" si="192"/>
        <v>0</v>
      </c>
      <c r="M301" s="281">
        <f t="shared" si="193"/>
        <v>0</v>
      </c>
      <c r="N301" s="281">
        <f t="shared" si="194"/>
        <v>0</v>
      </c>
      <c r="O301" s="282">
        <v>0</v>
      </c>
      <c r="P301" s="282">
        <v>0</v>
      </c>
      <c r="Q301" s="282">
        <v>0</v>
      </c>
      <c r="R301" s="283">
        <f t="shared" si="195"/>
        <v>3.25</v>
      </c>
      <c r="S301" s="284">
        <f t="shared" si="230"/>
        <v>7.6579999999999995E-2</v>
      </c>
      <c r="T301" s="284">
        <f t="shared" si="196"/>
        <v>0</v>
      </c>
      <c r="U301" s="284">
        <f t="shared" si="197"/>
        <v>0</v>
      </c>
      <c r="V301" s="284">
        <f t="shared" si="198"/>
        <v>2.725E-2</v>
      </c>
      <c r="W301" s="283">
        <f t="shared" si="199"/>
        <v>0</v>
      </c>
      <c r="X301" s="283">
        <f t="shared" si="200"/>
        <v>0</v>
      </c>
      <c r="Y301" s="283">
        <f t="shared" si="201"/>
        <v>0</v>
      </c>
      <c r="Z301" s="285">
        <f t="shared" si="202"/>
        <v>435.5</v>
      </c>
      <c r="AA301" s="285">
        <f t="shared" si="203"/>
        <v>5264.26</v>
      </c>
      <c r="AB301" s="285">
        <f t="shared" si="221"/>
        <v>0</v>
      </c>
      <c r="AC301" s="285">
        <f t="shared" si="222"/>
        <v>0</v>
      </c>
      <c r="AD301" s="285">
        <f t="shared" si="223"/>
        <v>0</v>
      </c>
      <c r="AE301" s="286">
        <v>0</v>
      </c>
      <c r="AF301" s="287">
        <f t="shared" si="204"/>
        <v>0</v>
      </c>
      <c r="AG301" s="288">
        <f t="shared" si="205"/>
        <v>0</v>
      </c>
      <c r="AH301" s="285">
        <f t="shared" si="227"/>
        <v>0</v>
      </c>
      <c r="AI301" s="286">
        <v>0</v>
      </c>
      <c r="AJ301" s="286">
        <v>0</v>
      </c>
      <c r="AK301" s="286">
        <v>0</v>
      </c>
      <c r="AL301" s="285">
        <f t="shared" si="206"/>
        <v>5699.76</v>
      </c>
      <c r="AM301" s="285">
        <f t="shared" si="207"/>
        <v>5699.7599999999993</v>
      </c>
      <c r="AN301" s="289">
        <f t="shared" si="224"/>
        <v>1</v>
      </c>
      <c r="AO301" s="290">
        <f t="shared" si="208"/>
        <v>-13.07</v>
      </c>
      <c r="AP301" s="290">
        <f t="shared" si="209"/>
        <v>0</v>
      </c>
      <c r="AQ301" s="290">
        <f t="shared" si="210"/>
        <v>200.17</v>
      </c>
      <c r="AR301" s="290">
        <f t="shared" si="211"/>
        <v>0</v>
      </c>
      <c r="AS301" s="290">
        <f t="shared" si="212"/>
        <v>0</v>
      </c>
      <c r="AT301" s="290">
        <f t="shared" si="213"/>
        <v>5886.86</v>
      </c>
      <c r="AU301" s="291">
        <f t="shared" si="214"/>
        <v>5886.8600000000006</v>
      </c>
      <c r="AV301" s="291">
        <f t="shared" ref="AV301:AV305" si="232">ROUND(AT301-AU301,2)</f>
        <v>0</v>
      </c>
      <c r="AW301" s="292">
        <f t="shared" si="216"/>
        <v>1873.22</v>
      </c>
      <c r="AX301" s="293">
        <f t="shared" si="217"/>
        <v>3391.04</v>
      </c>
      <c r="BC301" s="276">
        <f>IF(BI301=1,IF(BC300=MiscData!$F$1,EOMONTH(BC300,-11),EOMONTH(BC300,1)),BC300)</f>
        <v>41882</v>
      </c>
      <c r="BD301" s="275" t="str">
        <f t="shared" si="225"/>
        <v>20140101LGMLE574</v>
      </c>
      <c r="BE301" s="294" t="str">
        <f t="shared" si="226"/>
        <v>20140101TE</v>
      </c>
      <c r="BF301">
        <f>MiscData!$X$5</f>
        <v>20140101</v>
      </c>
      <c r="BI301" s="265">
        <f>IF(BI300+1&gt;MiscData!$Z$42,1,BI300+1)</f>
        <v>32</v>
      </c>
      <c r="BJ301" s="265" t="str">
        <f>VLOOKUP(BI301,MiscData!$Z$5:$AB$46,2,FALSE)</f>
        <v>LGMLE574</v>
      </c>
      <c r="BK301" s="265" t="str">
        <f>VLOOKUP(BI301,MiscData!$Z$5:$AB$46,3,FALSE)</f>
        <v>TE</v>
      </c>
    </row>
    <row r="302" spans="1:63" hidden="1">
      <c r="A302" s="275">
        <v>285</v>
      </c>
      <c r="B302" s="276" t="str">
        <f t="shared" si="218"/>
        <v>Aug 2014</v>
      </c>
      <c r="C302" s="277" t="str">
        <f t="shared" si="219"/>
        <v>RS</v>
      </c>
      <c r="D302" s="277" t="str">
        <f t="shared" si="220"/>
        <v>LGRSE411</v>
      </c>
      <c r="E302" s="278">
        <f t="shared" si="187"/>
        <v>3459</v>
      </c>
      <c r="F302" s="279">
        <f>-E302</f>
        <v>-3459</v>
      </c>
      <c r="G302" s="278">
        <f t="shared" si="188"/>
        <v>0</v>
      </c>
      <c r="H302" s="278">
        <f t="shared" si="189"/>
        <v>0</v>
      </c>
      <c r="I302" s="278">
        <f t="shared" si="190"/>
        <v>0</v>
      </c>
      <c r="J302" s="278">
        <f t="shared" si="191"/>
        <v>594367</v>
      </c>
      <c r="K302" s="280">
        <v>0</v>
      </c>
      <c r="L302" s="281">
        <f t="shared" si="192"/>
        <v>0</v>
      </c>
      <c r="M302" s="281">
        <f t="shared" si="193"/>
        <v>0</v>
      </c>
      <c r="N302" s="281">
        <f t="shared" si="194"/>
        <v>0</v>
      </c>
      <c r="O302" s="282">
        <v>0</v>
      </c>
      <c r="P302" s="282">
        <v>0</v>
      </c>
      <c r="Q302" s="282">
        <v>0</v>
      </c>
      <c r="R302" s="283">
        <f t="shared" si="195"/>
        <v>0</v>
      </c>
      <c r="S302" s="284">
        <f t="shared" si="230"/>
        <v>8.0760000000000012E-2</v>
      </c>
      <c r="T302" s="284">
        <f t="shared" si="196"/>
        <v>0</v>
      </c>
      <c r="U302" s="284">
        <f t="shared" si="197"/>
        <v>0</v>
      </c>
      <c r="V302" s="284">
        <f t="shared" si="198"/>
        <v>2.725E-2</v>
      </c>
      <c r="W302" s="283">
        <f t="shared" si="199"/>
        <v>0</v>
      </c>
      <c r="X302" s="283">
        <f t="shared" si="200"/>
        <v>0</v>
      </c>
      <c r="Y302" s="283">
        <f t="shared" si="201"/>
        <v>0</v>
      </c>
      <c r="Z302" s="285">
        <f t="shared" si="202"/>
        <v>0</v>
      </c>
      <c r="AA302" s="285">
        <f t="shared" si="203"/>
        <v>48001.08</v>
      </c>
      <c r="AB302" s="285">
        <f t="shared" si="221"/>
        <v>0</v>
      </c>
      <c r="AC302" s="285">
        <f t="shared" si="222"/>
        <v>0</v>
      </c>
      <c r="AD302" s="285">
        <f t="shared" si="223"/>
        <v>0</v>
      </c>
      <c r="AE302" s="286">
        <v>0</v>
      </c>
      <c r="AF302" s="287">
        <f t="shared" si="204"/>
        <v>0</v>
      </c>
      <c r="AG302" s="288">
        <f t="shared" si="205"/>
        <v>0</v>
      </c>
      <c r="AH302" s="285">
        <f t="shared" si="227"/>
        <v>0</v>
      </c>
      <c r="AI302" s="286">
        <v>0</v>
      </c>
      <c r="AJ302" s="286">
        <v>0.22</v>
      </c>
      <c r="AK302" s="286">
        <v>0</v>
      </c>
      <c r="AL302" s="285">
        <f t="shared" si="206"/>
        <v>48001.3</v>
      </c>
      <c r="AM302" s="285">
        <f t="shared" si="207"/>
        <v>48001.3</v>
      </c>
      <c r="AN302" s="289">
        <f t="shared" si="224"/>
        <v>1</v>
      </c>
      <c r="AO302" s="290">
        <f t="shared" si="208"/>
        <v>-113.56</v>
      </c>
      <c r="AP302" s="290">
        <f t="shared" si="209"/>
        <v>3227.51</v>
      </c>
      <c r="AQ302" s="290">
        <f t="shared" si="210"/>
        <v>1799.32</v>
      </c>
      <c r="AR302" s="290">
        <f t="shared" si="211"/>
        <v>0</v>
      </c>
      <c r="AS302" s="290">
        <f t="shared" si="212"/>
        <v>0</v>
      </c>
      <c r="AT302" s="290">
        <f t="shared" si="213"/>
        <v>52914.57</v>
      </c>
      <c r="AU302" s="291">
        <f t="shared" si="214"/>
        <v>52914.570000000007</v>
      </c>
      <c r="AV302" s="291">
        <f t="shared" si="232"/>
        <v>0</v>
      </c>
      <c r="AW302" s="292">
        <f t="shared" si="216"/>
        <v>16196.5</v>
      </c>
      <c r="AX302" s="293">
        <f t="shared" si="217"/>
        <v>31804.800000000003</v>
      </c>
      <c r="BC302" s="276">
        <f>IF(BI302=1,IF(BC301=MiscData!$F$1,EOMONTH(BC301,-11),EOMONTH(BC301,1)),BC301)</f>
        <v>41882</v>
      </c>
      <c r="BD302" s="275" t="str">
        <f t="shared" si="225"/>
        <v>20140101LGRSE411</v>
      </c>
      <c r="BE302" s="294" t="str">
        <f t="shared" si="226"/>
        <v>20140101RS</v>
      </c>
      <c r="BF302">
        <f>MiscData!$X$5</f>
        <v>20140101</v>
      </c>
      <c r="BI302" s="265">
        <f>IF(BI301+1&gt;MiscData!$Z$42,1,BI301+1)</f>
        <v>33</v>
      </c>
      <c r="BJ302" s="265" t="str">
        <f>VLOOKUP(BI302,MiscData!$Z$5:$AB$46,2,FALSE)</f>
        <v>LGRSE411</v>
      </c>
      <c r="BK302" s="265" t="str">
        <f>VLOOKUP(BI302,MiscData!$Z$5:$AB$46,3,FALSE)</f>
        <v>RS</v>
      </c>
    </row>
    <row r="303" spans="1:63" hidden="1">
      <c r="A303" s="275">
        <v>286</v>
      </c>
      <c r="B303" s="276" t="str">
        <f t="shared" si="218"/>
        <v>Aug 2014</v>
      </c>
      <c r="C303" s="277" t="str">
        <f t="shared" si="219"/>
        <v>RS</v>
      </c>
      <c r="D303" s="277" t="str">
        <f t="shared" si="220"/>
        <v>LGRSE511</v>
      </c>
      <c r="E303" s="278">
        <f t="shared" si="187"/>
        <v>353520</v>
      </c>
      <c r="F303" s="279">
        <v>837</v>
      </c>
      <c r="G303" s="278">
        <f t="shared" si="188"/>
        <v>0</v>
      </c>
      <c r="H303" s="278">
        <f t="shared" si="189"/>
        <v>0</v>
      </c>
      <c r="I303" s="278">
        <f t="shared" si="190"/>
        <v>0</v>
      </c>
      <c r="J303" s="278">
        <f t="shared" si="191"/>
        <v>398054017</v>
      </c>
      <c r="K303" s="280">
        <v>0</v>
      </c>
      <c r="L303" s="281">
        <f t="shared" si="192"/>
        <v>0</v>
      </c>
      <c r="M303" s="281">
        <f t="shared" si="193"/>
        <v>0</v>
      </c>
      <c r="N303" s="281">
        <f t="shared" si="194"/>
        <v>0</v>
      </c>
      <c r="O303" s="282">
        <v>0</v>
      </c>
      <c r="P303" s="282">
        <v>0</v>
      </c>
      <c r="Q303" s="282">
        <v>0</v>
      </c>
      <c r="R303" s="283">
        <f t="shared" si="195"/>
        <v>10.75</v>
      </c>
      <c r="S303" s="284">
        <f t="shared" si="230"/>
        <v>8.0760000000000012E-2</v>
      </c>
      <c r="T303" s="284">
        <f t="shared" si="196"/>
        <v>0</v>
      </c>
      <c r="U303" s="284">
        <f t="shared" si="197"/>
        <v>0</v>
      </c>
      <c r="V303" s="284">
        <f t="shared" si="198"/>
        <v>2.725E-2</v>
      </c>
      <c r="W303" s="283">
        <f t="shared" si="199"/>
        <v>0</v>
      </c>
      <c r="X303" s="283">
        <f t="shared" si="200"/>
        <v>0</v>
      </c>
      <c r="Y303" s="283">
        <f t="shared" si="201"/>
        <v>0</v>
      </c>
      <c r="Z303" s="285">
        <f t="shared" si="202"/>
        <v>3809337.75</v>
      </c>
      <c r="AA303" s="285">
        <f t="shared" si="203"/>
        <v>32146842.41</v>
      </c>
      <c r="AB303" s="285">
        <f t="shared" si="221"/>
        <v>0</v>
      </c>
      <c r="AC303" s="285">
        <f t="shared" si="222"/>
        <v>0</v>
      </c>
      <c r="AD303" s="285">
        <f t="shared" si="223"/>
        <v>0</v>
      </c>
      <c r="AE303" s="286">
        <v>0</v>
      </c>
      <c r="AF303" s="287">
        <f t="shared" si="204"/>
        <v>0</v>
      </c>
      <c r="AG303" s="288">
        <f t="shared" si="205"/>
        <v>0</v>
      </c>
      <c r="AH303" s="285">
        <f t="shared" si="227"/>
        <v>0</v>
      </c>
      <c r="AI303" s="286">
        <v>-33878.230000000003</v>
      </c>
      <c r="AJ303" s="286">
        <v>-1504.34</v>
      </c>
      <c r="AK303" s="286">
        <v>0</v>
      </c>
      <c r="AL303" s="285">
        <f t="shared" si="206"/>
        <v>35920797.589999996</v>
      </c>
      <c r="AM303" s="285">
        <f t="shared" si="207"/>
        <v>35920797.590000004</v>
      </c>
      <c r="AN303" s="289">
        <f t="shared" si="224"/>
        <v>1</v>
      </c>
      <c r="AO303" s="290">
        <f t="shared" si="208"/>
        <v>-74523.149999999994</v>
      </c>
      <c r="AP303" s="290">
        <f t="shared" si="209"/>
        <v>2160950.02</v>
      </c>
      <c r="AQ303" s="290">
        <f t="shared" si="210"/>
        <v>1337350.53</v>
      </c>
      <c r="AR303" s="290">
        <f t="shared" si="211"/>
        <v>0</v>
      </c>
      <c r="AS303" s="290">
        <f t="shared" si="212"/>
        <v>0</v>
      </c>
      <c r="AT303" s="290">
        <f t="shared" si="213"/>
        <v>39344574.990000002</v>
      </c>
      <c r="AU303" s="291">
        <f t="shared" si="214"/>
        <v>39344574.990000002</v>
      </c>
      <c r="AV303" s="291">
        <f t="shared" si="232"/>
        <v>0</v>
      </c>
      <c r="AW303" s="292">
        <f t="shared" si="216"/>
        <v>10846971.960000001</v>
      </c>
      <c r="AX303" s="293">
        <f t="shared" si="217"/>
        <v>21298366.109999999</v>
      </c>
      <c r="BC303" s="276">
        <f>IF(BI303=1,IF(BC302=MiscData!$F$1,EOMONTH(BC302,-11),EOMONTH(BC302,1)),BC302)</f>
        <v>41882</v>
      </c>
      <c r="BD303" s="275" t="str">
        <f t="shared" si="225"/>
        <v>20140101LGRSE511</v>
      </c>
      <c r="BE303" s="294" t="str">
        <f t="shared" si="226"/>
        <v>20140101RS</v>
      </c>
      <c r="BF303">
        <f>MiscData!$X$5</f>
        <v>20140101</v>
      </c>
      <c r="BI303" s="265">
        <f>IF(BI302+1&gt;MiscData!$Z$42,1,BI302+1)</f>
        <v>34</v>
      </c>
      <c r="BJ303" s="265" t="str">
        <f>VLOOKUP(BI303,MiscData!$Z$5:$AB$46,2,FALSE)</f>
        <v>LGRSE511</v>
      </c>
      <c r="BK303" s="265" t="str">
        <f>VLOOKUP(BI303,MiscData!$Z$5:$AB$46,3,FALSE)</f>
        <v>RS</v>
      </c>
    </row>
    <row r="304" spans="1:63" hidden="1">
      <c r="A304" s="275">
        <v>287</v>
      </c>
      <c r="B304" s="276" t="str">
        <f t="shared" si="218"/>
        <v>Aug 2014</v>
      </c>
      <c r="C304" s="277" t="str">
        <f t="shared" si="219"/>
        <v>RS</v>
      </c>
      <c r="D304" s="277" t="str">
        <f t="shared" si="220"/>
        <v>LGRSE519</v>
      </c>
      <c r="E304" s="278">
        <f t="shared" si="187"/>
        <v>135</v>
      </c>
      <c r="F304" s="279">
        <v>1</v>
      </c>
      <c r="G304" s="278">
        <f t="shared" si="188"/>
        <v>0</v>
      </c>
      <c r="H304" s="278">
        <f t="shared" si="189"/>
        <v>0</v>
      </c>
      <c r="I304" s="278">
        <f t="shared" si="190"/>
        <v>0</v>
      </c>
      <c r="J304" s="278">
        <f t="shared" si="191"/>
        <v>137981</v>
      </c>
      <c r="K304" s="280">
        <v>0</v>
      </c>
      <c r="L304" s="281">
        <f t="shared" si="192"/>
        <v>0</v>
      </c>
      <c r="M304" s="281">
        <f t="shared" si="193"/>
        <v>0</v>
      </c>
      <c r="N304" s="281">
        <f t="shared" si="194"/>
        <v>0</v>
      </c>
      <c r="O304" s="282">
        <v>0</v>
      </c>
      <c r="P304" s="282">
        <v>0</v>
      </c>
      <c r="Q304" s="282">
        <v>0</v>
      </c>
      <c r="R304" s="283">
        <f t="shared" si="195"/>
        <v>10.75</v>
      </c>
      <c r="S304" s="284">
        <f t="shared" si="230"/>
        <v>8.0760000000000012E-2</v>
      </c>
      <c r="T304" s="284">
        <f t="shared" si="196"/>
        <v>0</v>
      </c>
      <c r="U304" s="284">
        <f t="shared" si="197"/>
        <v>0</v>
      </c>
      <c r="V304" s="284">
        <f t="shared" si="198"/>
        <v>2.725E-2</v>
      </c>
      <c r="W304" s="283">
        <f t="shared" si="199"/>
        <v>0</v>
      </c>
      <c r="X304" s="283">
        <f t="shared" si="200"/>
        <v>0</v>
      </c>
      <c r="Y304" s="283">
        <f t="shared" si="201"/>
        <v>0</v>
      </c>
      <c r="Z304" s="285">
        <f t="shared" si="202"/>
        <v>1462</v>
      </c>
      <c r="AA304" s="285">
        <f t="shared" si="203"/>
        <v>11143.35</v>
      </c>
      <c r="AB304" s="285">
        <f t="shared" si="221"/>
        <v>0</v>
      </c>
      <c r="AC304" s="285">
        <f t="shared" si="222"/>
        <v>0</v>
      </c>
      <c r="AD304" s="285">
        <f t="shared" si="223"/>
        <v>0</v>
      </c>
      <c r="AE304" s="286">
        <v>0</v>
      </c>
      <c r="AF304" s="287">
        <f t="shared" si="204"/>
        <v>0</v>
      </c>
      <c r="AG304" s="288">
        <f t="shared" si="205"/>
        <v>0</v>
      </c>
      <c r="AH304" s="285">
        <f t="shared" si="227"/>
        <v>0</v>
      </c>
      <c r="AI304" s="286">
        <v>-3.81</v>
      </c>
      <c r="AJ304" s="286">
        <v>0</v>
      </c>
      <c r="AK304" s="286">
        <v>0</v>
      </c>
      <c r="AL304" s="285">
        <f t="shared" si="206"/>
        <v>12601.54</v>
      </c>
      <c r="AM304" s="285">
        <f t="shared" si="207"/>
        <v>12601.54</v>
      </c>
      <c r="AN304" s="289">
        <f t="shared" si="224"/>
        <v>1</v>
      </c>
      <c r="AO304" s="290">
        <f t="shared" si="208"/>
        <v>-21.83</v>
      </c>
      <c r="AP304" s="290">
        <f t="shared" si="209"/>
        <v>749.26</v>
      </c>
      <c r="AQ304" s="290">
        <f t="shared" si="210"/>
        <v>468.3</v>
      </c>
      <c r="AR304" s="290">
        <f t="shared" si="211"/>
        <v>0</v>
      </c>
      <c r="AS304" s="290">
        <f t="shared" si="212"/>
        <v>0</v>
      </c>
      <c r="AT304" s="290">
        <f t="shared" si="213"/>
        <v>13797.27</v>
      </c>
      <c r="AU304" s="291">
        <f t="shared" si="214"/>
        <v>13797.27</v>
      </c>
      <c r="AV304" s="291">
        <f t="shared" si="232"/>
        <v>0</v>
      </c>
      <c r="AW304" s="292">
        <f t="shared" si="216"/>
        <v>3759.98</v>
      </c>
      <c r="AX304" s="293">
        <f t="shared" si="217"/>
        <v>7383.3700000000008</v>
      </c>
      <c r="BC304" s="276">
        <f>IF(BI304=1,IF(BC303=MiscData!$F$1,EOMONTH(BC303,-11),EOMONTH(BC303,1)),BC303)</f>
        <v>41882</v>
      </c>
      <c r="BD304" s="275" t="str">
        <f t="shared" si="225"/>
        <v>20140101LGRSE519</v>
      </c>
      <c r="BE304" s="294" t="str">
        <f t="shared" si="226"/>
        <v>20140101RS</v>
      </c>
      <c r="BF304">
        <f>MiscData!$X$5</f>
        <v>20140101</v>
      </c>
      <c r="BI304" s="265">
        <f>IF(BI303+1&gt;MiscData!$Z$42,1,BI303+1)</f>
        <v>35</v>
      </c>
      <c r="BJ304" s="265" t="str">
        <f>VLOOKUP(BI304,MiscData!$Z$5:$AB$46,2,FALSE)</f>
        <v>LGRSE519</v>
      </c>
      <c r="BK304" s="265" t="str">
        <f>VLOOKUP(BI304,MiscData!$Z$5:$AB$46,3,FALSE)</f>
        <v>RS</v>
      </c>
    </row>
    <row r="305" spans="1:63" hidden="1">
      <c r="A305" s="275">
        <v>288</v>
      </c>
      <c r="B305" s="276" t="str">
        <f t="shared" si="218"/>
        <v>Aug 2014</v>
      </c>
      <c r="C305" s="277" t="s">
        <v>13</v>
      </c>
      <c r="D305" s="277" t="str">
        <f t="shared" si="220"/>
        <v>LGRSE540</v>
      </c>
      <c r="E305" s="278">
        <f t="shared" si="187"/>
        <v>6</v>
      </c>
      <c r="F305" s="279">
        <v>0</v>
      </c>
      <c r="G305" s="278">
        <f t="shared" si="188"/>
        <v>0</v>
      </c>
      <c r="H305" s="278">
        <f t="shared" si="189"/>
        <v>0</v>
      </c>
      <c r="I305" s="278">
        <f t="shared" si="190"/>
        <v>0</v>
      </c>
      <c r="J305" s="278">
        <f t="shared" si="191"/>
        <v>34986</v>
      </c>
      <c r="K305" s="280">
        <v>0</v>
      </c>
      <c r="L305" s="281">
        <f t="shared" si="192"/>
        <v>0</v>
      </c>
      <c r="M305" s="281">
        <f t="shared" si="193"/>
        <v>0</v>
      </c>
      <c r="N305" s="281">
        <f t="shared" si="194"/>
        <v>0</v>
      </c>
      <c r="O305" s="282">
        <v>0</v>
      </c>
      <c r="P305" s="282">
        <v>0</v>
      </c>
      <c r="Q305" s="282">
        <v>0</v>
      </c>
      <c r="R305" s="283">
        <f t="shared" si="195"/>
        <v>10.75</v>
      </c>
      <c r="S305" s="284">
        <f t="shared" si="230"/>
        <v>8.0760000000000012E-2</v>
      </c>
      <c r="T305" s="284">
        <f t="shared" si="196"/>
        <v>0</v>
      </c>
      <c r="U305" s="284">
        <f t="shared" si="197"/>
        <v>0</v>
      </c>
      <c r="V305" s="284">
        <f t="shared" si="198"/>
        <v>2.725E-2</v>
      </c>
      <c r="W305" s="283">
        <f t="shared" si="199"/>
        <v>0</v>
      </c>
      <c r="X305" s="283">
        <f t="shared" si="200"/>
        <v>0</v>
      </c>
      <c r="Y305" s="283">
        <f t="shared" si="201"/>
        <v>0</v>
      </c>
      <c r="Z305" s="285">
        <f t="shared" si="202"/>
        <v>64.5</v>
      </c>
      <c r="AA305" s="285">
        <f t="shared" si="203"/>
        <v>2825.47</v>
      </c>
      <c r="AB305" s="285">
        <f t="shared" si="221"/>
        <v>0</v>
      </c>
      <c r="AC305" s="285">
        <f t="shared" si="222"/>
        <v>0</v>
      </c>
      <c r="AD305" s="285">
        <f t="shared" si="223"/>
        <v>0</v>
      </c>
      <c r="AE305" s="286">
        <v>0</v>
      </c>
      <c r="AF305" s="287">
        <f t="shared" si="204"/>
        <v>0</v>
      </c>
      <c r="AG305" s="288">
        <f t="shared" si="205"/>
        <v>0</v>
      </c>
      <c r="AH305" s="285">
        <f t="shared" si="227"/>
        <v>0</v>
      </c>
      <c r="AI305" s="286">
        <v>0</v>
      </c>
      <c r="AJ305" s="286">
        <v>0.01</v>
      </c>
      <c r="AK305" s="286">
        <v>0</v>
      </c>
      <c r="AL305" s="285">
        <f t="shared" si="206"/>
        <v>2889.98</v>
      </c>
      <c r="AM305" s="285">
        <f t="shared" si="207"/>
        <v>2889.9799999999996</v>
      </c>
      <c r="AN305" s="289">
        <f t="shared" si="224"/>
        <v>1</v>
      </c>
      <c r="AO305" s="290">
        <f t="shared" si="208"/>
        <v>-6.65</v>
      </c>
      <c r="AP305" s="290">
        <f t="shared" si="209"/>
        <v>189.97</v>
      </c>
      <c r="AQ305" s="290">
        <f t="shared" si="210"/>
        <v>108.19</v>
      </c>
      <c r="AR305" s="290">
        <f t="shared" si="211"/>
        <v>0</v>
      </c>
      <c r="AS305" s="290">
        <f t="shared" si="212"/>
        <v>0</v>
      </c>
      <c r="AT305" s="290">
        <f t="shared" si="213"/>
        <v>3181.49</v>
      </c>
      <c r="AU305" s="291">
        <f t="shared" si="214"/>
        <v>3181.49</v>
      </c>
      <c r="AV305" s="291">
        <f t="shared" si="232"/>
        <v>0</v>
      </c>
      <c r="AW305" s="292">
        <f t="shared" si="216"/>
        <v>953.37</v>
      </c>
      <c r="AX305" s="293">
        <f t="shared" si="217"/>
        <v>1872.1100000000001</v>
      </c>
      <c r="BC305" s="276">
        <f>IF(BI305=1,IF(BC304=MiscData!$F$1,EOMONTH(BC304,-11),EOMONTH(BC304,1)),BC304)</f>
        <v>41882</v>
      </c>
      <c r="BD305" s="275" t="str">
        <f t="shared" si="225"/>
        <v>20140101LGRSE540</v>
      </c>
      <c r="BE305" s="294" t="str">
        <f t="shared" si="226"/>
        <v>20140101VFD</v>
      </c>
      <c r="BF305">
        <f>MiscData!$X$5</f>
        <v>20140101</v>
      </c>
      <c r="BI305" s="265">
        <f>IF(BI304+1&gt;MiscData!$Z$42,1,BI304+1)</f>
        <v>36</v>
      </c>
      <c r="BJ305" s="265" t="str">
        <f>VLOOKUP(BI305,MiscData!$Z$5:$AB$46,2,FALSE)</f>
        <v>LGRSE540</v>
      </c>
      <c r="BK305" s="265" t="str">
        <f>VLOOKUP(BI305,MiscData!$Z$5:$AB$46,3,FALSE)</f>
        <v>VFD</v>
      </c>
    </row>
    <row r="306" spans="1:63" hidden="1">
      <c r="A306" s="275">
        <v>289</v>
      </c>
      <c r="B306" s="276" t="str">
        <f t="shared" si="218"/>
        <v>Aug 2014</v>
      </c>
      <c r="C306" s="277" t="str">
        <f t="shared" si="219"/>
        <v>LEV</v>
      </c>
      <c r="D306" s="277" t="str">
        <f t="shared" si="220"/>
        <v>LGRSE543</v>
      </c>
      <c r="E306" s="278">
        <f t="shared" si="187"/>
        <v>19</v>
      </c>
      <c r="F306" s="279">
        <v>0</v>
      </c>
      <c r="G306" s="278">
        <f t="shared" si="188"/>
        <v>17811</v>
      </c>
      <c r="H306" s="278">
        <f t="shared" si="189"/>
        <v>6663</v>
      </c>
      <c r="I306" s="278">
        <f t="shared" si="190"/>
        <v>6326</v>
      </c>
      <c r="J306" s="278">
        <f t="shared" si="191"/>
        <v>30800</v>
      </c>
      <c r="K306" s="280">
        <v>0</v>
      </c>
      <c r="L306" s="281">
        <f t="shared" si="192"/>
        <v>0</v>
      </c>
      <c r="M306" s="281">
        <f t="shared" si="193"/>
        <v>0</v>
      </c>
      <c r="N306" s="281">
        <f t="shared" si="194"/>
        <v>0</v>
      </c>
      <c r="O306" s="282">
        <v>0</v>
      </c>
      <c r="P306" s="282">
        <v>0</v>
      </c>
      <c r="Q306" s="282">
        <v>0</v>
      </c>
      <c r="R306" s="283">
        <f t="shared" si="195"/>
        <v>10.75</v>
      </c>
      <c r="S306" s="284">
        <f t="shared" si="230"/>
        <v>5.8200000000000002E-2</v>
      </c>
      <c r="T306" s="284">
        <f t="shared" si="196"/>
        <v>7.8990000000000005E-2</v>
      </c>
      <c r="U306" s="284">
        <f t="shared" si="197"/>
        <v>0.14451000000000003</v>
      </c>
      <c r="V306" s="284">
        <f t="shared" si="198"/>
        <v>2.725E-2</v>
      </c>
      <c r="W306" s="283">
        <f t="shared" si="199"/>
        <v>0</v>
      </c>
      <c r="X306" s="283">
        <f t="shared" si="200"/>
        <v>0</v>
      </c>
      <c r="Y306" s="283">
        <f t="shared" si="201"/>
        <v>0</v>
      </c>
      <c r="Z306" s="285">
        <f t="shared" si="202"/>
        <v>204.25</v>
      </c>
      <c r="AA306" s="285">
        <f t="shared" si="203"/>
        <v>2477.08</v>
      </c>
      <c r="AB306" s="285">
        <f t="shared" si="221"/>
        <v>0</v>
      </c>
      <c r="AC306" s="285">
        <f t="shared" si="222"/>
        <v>0</v>
      </c>
      <c r="AD306" s="285">
        <f t="shared" si="223"/>
        <v>0</v>
      </c>
      <c r="AE306" s="286">
        <v>0</v>
      </c>
      <c r="AF306" s="287">
        <f t="shared" si="204"/>
        <v>0</v>
      </c>
      <c r="AG306" s="288">
        <f t="shared" si="205"/>
        <v>0</v>
      </c>
      <c r="AH306" s="285">
        <f t="shared" si="227"/>
        <v>0</v>
      </c>
      <c r="AI306" s="286">
        <v>0</v>
      </c>
      <c r="AJ306" s="286">
        <v>0.04</v>
      </c>
      <c r="AK306" s="286">
        <v>0</v>
      </c>
      <c r="AL306" s="285">
        <f t="shared" si="206"/>
        <v>2681.37</v>
      </c>
      <c r="AM306" s="285">
        <f t="shared" si="207"/>
        <v>2681.37</v>
      </c>
      <c r="AN306" s="289">
        <f t="shared" si="224"/>
        <v>1</v>
      </c>
      <c r="AO306" s="290">
        <f t="shared" si="208"/>
        <v>-5.85</v>
      </c>
      <c r="AP306" s="290">
        <f t="shared" si="209"/>
        <v>167.22</v>
      </c>
      <c r="AQ306" s="290">
        <f t="shared" si="210"/>
        <v>100.07</v>
      </c>
      <c r="AR306" s="290">
        <f t="shared" si="211"/>
        <v>0</v>
      </c>
      <c r="AS306" s="290">
        <f t="shared" si="212"/>
        <v>0</v>
      </c>
      <c r="AT306" s="290">
        <f t="shared" si="213"/>
        <v>2942.81</v>
      </c>
      <c r="AU306" s="291">
        <f t="shared" si="214"/>
        <v>2942.81</v>
      </c>
      <c r="AV306" s="291">
        <f t="shared" si="231"/>
        <v>0</v>
      </c>
      <c r="AW306" s="292">
        <f t="shared" si="216"/>
        <v>839.3</v>
      </c>
      <c r="AX306" s="293">
        <f t="shared" si="217"/>
        <v>1637.82</v>
      </c>
      <c r="BC306" s="276">
        <f>IF(BI306=1,IF(BC305=MiscData!$F$1,EOMONTH(BC305,-11),EOMONTH(BC305,1)),BC305)</f>
        <v>41882</v>
      </c>
      <c r="BD306" s="275" t="str">
        <f t="shared" si="225"/>
        <v>20140101LGRSE543</v>
      </c>
      <c r="BE306" s="294" t="str">
        <f t="shared" si="226"/>
        <v>20140101LEV</v>
      </c>
      <c r="BF306">
        <f>MiscData!$X$5</f>
        <v>20140101</v>
      </c>
      <c r="BI306" s="265">
        <f>IF(BI305+1&gt;MiscData!$Z$42,1,BI305+1)</f>
        <v>37</v>
      </c>
      <c r="BJ306" s="265" t="str">
        <f>VLOOKUP(BI306,MiscData!$Z$5:$AB$46,2,FALSE)</f>
        <v>LGRSE543</v>
      </c>
      <c r="BK306" s="265" t="str">
        <f>VLOOKUP(BI306,MiscData!$Z$5:$AB$46,3,FALSE)</f>
        <v>LEV</v>
      </c>
    </row>
    <row r="307" spans="1:63" hidden="1">
      <c r="A307" s="275">
        <v>290</v>
      </c>
      <c r="B307" s="276" t="str">
        <f t="shared" si="218"/>
        <v>Aug 2014</v>
      </c>
      <c r="C307" s="277" t="str">
        <f t="shared" si="219"/>
        <v>LEV</v>
      </c>
      <c r="D307" s="277" t="str">
        <f t="shared" si="220"/>
        <v>LGRSE547</v>
      </c>
      <c r="E307" s="278">
        <f t="shared" si="187"/>
        <v>1</v>
      </c>
      <c r="F307" s="279">
        <v>0</v>
      </c>
      <c r="G307" s="278">
        <f t="shared" si="188"/>
        <v>159</v>
      </c>
      <c r="H307" s="278">
        <f t="shared" si="189"/>
        <v>0</v>
      </c>
      <c r="I307" s="278">
        <f t="shared" si="190"/>
        <v>0</v>
      </c>
      <c r="J307" s="278">
        <f t="shared" si="191"/>
        <v>159</v>
      </c>
      <c r="K307" s="280">
        <v>0</v>
      </c>
      <c r="L307" s="281">
        <f t="shared" si="192"/>
        <v>0</v>
      </c>
      <c r="M307" s="281">
        <f t="shared" si="193"/>
        <v>0</v>
      </c>
      <c r="N307" s="281">
        <f t="shared" si="194"/>
        <v>0</v>
      </c>
      <c r="O307" s="282">
        <v>0</v>
      </c>
      <c r="P307" s="282">
        <v>0</v>
      </c>
      <c r="Q307" s="282">
        <v>0</v>
      </c>
      <c r="R307" s="283">
        <f t="shared" si="195"/>
        <v>10.75</v>
      </c>
      <c r="S307" s="284">
        <f t="shared" si="230"/>
        <v>5.8200000000000002E-2</v>
      </c>
      <c r="T307" s="284">
        <f t="shared" si="196"/>
        <v>7.8990000000000005E-2</v>
      </c>
      <c r="U307" s="284">
        <f t="shared" si="197"/>
        <v>0.14451000000000003</v>
      </c>
      <c r="V307" s="284">
        <f t="shared" si="198"/>
        <v>2.725E-2</v>
      </c>
      <c r="W307" s="283">
        <f t="shared" si="199"/>
        <v>0</v>
      </c>
      <c r="X307" s="283">
        <f t="shared" si="200"/>
        <v>0</v>
      </c>
      <c r="Y307" s="283">
        <f t="shared" si="201"/>
        <v>0</v>
      </c>
      <c r="Z307" s="285">
        <f t="shared" si="202"/>
        <v>10.75</v>
      </c>
      <c r="AA307" s="285">
        <f t="shared" si="203"/>
        <v>9.25</v>
      </c>
      <c r="AB307" s="285">
        <f t="shared" si="221"/>
        <v>0</v>
      </c>
      <c r="AC307" s="285">
        <f t="shared" si="222"/>
        <v>0</v>
      </c>
      <c r="AD307" s="285">
        <f t="shared" si="223"/>
        <v>0</v>
      </c>
      <c r="AE307" s="286">
        <v>0</v>
      </c>
      <c r="AF307" s="287">
        <f t="shared" si="204"/>
        <v>0</v>
      </c>
      <c r="AG307" s="288">
        <f t="shared" si="205"/>
        <v>0</v>
      </c>
      <c r="AH307" s="285">
        <f t="shared" si="227"/>
        <v>0</v>
      </c>
      <c r="AI307" s="286">
        <v>0</v>
      </c>
      <c r="AJ307" s="286">
        <v>0</v>
      </c>
      <c r="AK307" s="286">
        <v>0</v>
      </c>
      <c r="AL307" s="285">
        <f t="shared" si="206"/>
        <v>20</v>
      </c>
      <c r="AM307" s="285">
        <f t="shared" si="207"/>
        <v>20</v>
      </c>
      <c r="AN307" s="289">
        <f t="shared" si="224"/>
        <v>1</v>
      </c>
      <c r="AO307" s="290">
        <f t="shared" si="208"/>
        <v>-0.03</v>
      </c>
      <c r="AP307" s="290">
        <f t="shared" si="209"/>
        <v>0.86</v>
      </c>
      <c r="AQ307" s="290">
        <f t="shared" si="210"/>
        <v>0.73</v>
      </c>
      <c r="AR307" s="290">
        <f t="shared" si="211"/>
        <v>0</v>
      </c>
      <c r="AS307" s="290">
        <f t="shared" si="212"/>
        <v>0</v>
      </c>
      <c r="AT307" s="290">
        <f t="shared" si="213"/>
        <v>21.56</v>
      </c>
      <c r="AU307" s="291">
        <f t="shared" si="214"/>
        <v>21.56</v>
      </c>
      <c r="AV307" s="291">
        <f t="shared" si="231"/>
        <v>0</v>
      </c>
      <c r="AW307" s="292">
        <f t="shared" si="216"/>
        <v>4.33</v>
      </c>
      <c r="AX307" s="293">
        <f t="shared" si="217"/>
        <v>4.92</v>
      </c>
      <c r="BC307" s="276">
        <f>IF(BI307=1,IF(BC306=MiscData!$F$1,EOMONTH(BC306,-11),EOMONTH(BC306,1)),BC306)</f>
        <v>41882</v>
      </c>
      <c r="BD307" s="275" t="str">
        <f t="shared" si="225"/>
        <v>20140101LGRSE547</v>
      </c>
      <c r="BE307" s="294" t="str">
        <f t="shared" si="226"/>
        <v>20140101LEV</v>
      </c>
      <c r="BF307">
        <f>MiscData!$X$5</f>
        <v>20140101</v>
      </c>
      <c r="BI307" s="265">
        <f>IF(BI306+1&gt;MiscData!$Z$42,1,BI306+1)</f>
        <v>38</v>
      </c>
      <c r="BJ307" s="265" t="str">
        <f>VLOOKUP(BI307,MiscData!$Z$5:$AB$46,2,FALSE)</f>
        <v>LGRSE547</v>
      </c>
      <c r="BK307" s="265" t="str">
        <f>VLOOKUP(BI307,MiscData!$Z$5:$AB$46,3,FALSE)</f>
        <v>LEV</v>
      </c>
    </row>
    <row r="308" spans="1:63" hidden="1">
      <c r="A308" s="275">
        <v>291</v>
      </c>
      <c r="B308" s="276" t="str">
        <f t="shared" si="218"/>
        <v>Sep 2014</v>
      </c>
      <c r="C308" s="277" t="str">
        <f t="shared" si="219"/>
        <v>FLSP</v>
      </c>
      <c r="D308" s="277" t="str">
        <f t="shared" si="220"/>
        <v>LGINE682</v>
      </c>
      <c r="E308" s="278">
        <f t="shared" si="187"/>
        <v>0</v>
      </c>
      <c r="F308" s="279">
        <v>0</v>
      </c>
      <c r="G308" s="278">
        <f t="shared" si="188"/>
        <v>0</v>
      </c>
      <c r="H308" s="278">
        <f t="shared" si="189"/>
        <v>0</v>
      </c>
      <c r="I308" s="278">
        <f t="shared" si="190"/>
        <v>0</v>
      </c>
      <c r="J308" s="278">
        <f t="shared" si="191"/>
        <v>0</v>
      </c>
      <c r="K308" s="280">
        <v>0</v>
      </c>
      <c r="L308" s="281">
        <f t="shared" si="192"/>
        <v>0</v>
      </c>
      <c r="M308" s="281">
        <f t="shared" si="193"/>
        <v>0</v>
      </c>
      <c r="N308" s="281">
        <f t="shared" si="194"/>
        <v>0</v>
      </c>
      <c r="O308" s="282">
        <v>0</v>
      </c>
      <c r="P308" s="282">
        <v>0</v>
      </c>
      <c r="Q308" s="282">
        <v>0</v>
      </c>
      <c r="R308" s="283">
        <f t="shared" si="195"/>
        <v>750</v>
      </c>
      <c r="S308" s="284">
        <f t="shared" si="230"/>
        <v>3.61E-2</v>
      </c>
      <c r="T308" s="284">
        <f t="shared" si="196"/>
        <v>0</v>
      </c>
      <c r="U308" s="284">
        <f t="shared" si="197"/>
        <v>0</v>
      </c>
      <c r="V308" s="284">
        <f t="shared" si="198"/>
        <v>2.725E-2</v>
      </c>
      <c r="W308" s="283">
        <f t="shared" si="199"/>
        <v>1.8900000000000001</v>
      </c>
      <c r="X308" s="283">
        <f t="shared" si="200"/>
        <v>1.8900000000000001</v>
      </c>
      <c r="Y308" s="283">
        <f t="shared" si="201"/>
        <v>2.94</v>
      </c>
      <c r="Z308" s="285">
        <f t="shared" si="202"/>
        <v>0</v>
      </c>
      <c r="AA308" s="285">
        <f t="shared" si="203"/>
        <v>0</v>
      </c>
      <c r="AB308" s="285">
        <f t="shared" si="221"/>
        <v>0</v>
      </c>
      <c r="AC308" s="285">
        <f t="shared" si="222"/>
        <v>0</v>
      </c>
      <c r="AD308" s="285">
        <f t="shared" si="223"/>
        <v>0</v>
      </c>
      <c r="AE308" s="286">
        <v>0</v>
      </c>
      <c r="AF308" s="287">
        <f t="shared" si="204"/>
        <v>0</v>
      </c>
      <c r="AG308" s="288">
        <f t="shared" si="205"/>
        <v>0</v>
      </c>
      <c r="AH308" s="285">
        <f t="shared" si="227"/>
        <v>0</v>
      </c>
      <c r="AI308" s="286">
        <v>0</v>
      </c>
      <c r="AJ308" s="286">
        <v>0</v>
      </c>
      <c r="AK308" s="286">
        <v>0</v>
      </c>
      <c r="AL308" s="285">
        <f t="shared" si="206"/>
        <v>0</v>
      </c>
      <c r="AM308" s="285">
        <f t="shared" si="207"/>
        <v>0</v>
      </c>
      <c r="AN308" s="289">
        <f t="shared" si="224"/>
        <v>1</v>
      </c>
      <c r="AO308" s="290">
        <f t="shared" si="208"/>
        <v>0</v>
      </c>
      <c r="AP308" s="290">
        <f t="shared" si="209"/>
        <v>0</v>
      </c>
      <c r="AQ308" s="290">
        <f t="shared" si="210"/>
        <v>0</v>
      </c>
      <c r="AR308" s="290">
        <f t="shared" si="211"/>
        <v>0</v>
      </c>
      <c r="AS308" s="290">
        <f t="shared" si="212"/>
        <v>0</v>
      </c>
      <c r="AT308" s="290">
        <f t="shared" si="213"/>
        <v>0</v>
      </c>
      <c r="AU308" s="291">
        <f t="shared" si="214"/>
        <v>0</v>
      </c>
      <c r="AV308" s="291">
        <f t="shared" si="231"/>
        <v>0</v>
      </c>
      <c r="AW308" s="292">
        <f t="shared" si="216"/>
        <v>0</v>
      </c>
      <c r="AX308" s="293">
        <f t="shared" si="217"/>
        <v>0</v>
      </c>
      <c r="BC308" s="276">
        <f>IF(BI308=1,IF(BC307=MiscData!$F$1,EOMONTH(BC307,-11),EOMONTH(BC307,1)),BC307)</f>
        <v>41912</v>
      </c>
      <c r="BD308" s="275" t="str">
        <f t="shared" si="225"/>
        <v>20140101LGINE682</v>
      </c>
      <c r="BE308" s="294" t="str">
        <f t="shared" si="226"/>
        <v>20140101FLSP</v>
      </c>
      <c r="BF308">
        <f>MiscData!$X$5</f>
        <v>20140101</v>
      </c>
      <c r="BI308" s="265">
        <f>IF(BI307+1&gt;MiscData!$Z$42,1,BI307+1)</f>
        <v>1</v>
      </c>
      <c r="BJ308" s="265" t="str">
        <f>VLOOKUP(BI308,MiscData!$Z$5:$AB$46,2,FALSE)</f>
        <v>LGINE682</v>
      </c>
      <c r="BK308" s="265" t="str">
        <f>VLOOKUP(BI308,MiscData!$Z$5:$AB$46,3,FALSE)</f>
        <v>FLSP</v>
      </c>
    </row>
    <row r="309" spans="1:63" hidden="1">
      <c r="A309" s="275">
        <v>292</v>
      </c>
      <c r="B309" s="276" t="str">
        <f t="shared" si="218"/>
        <v>Sep 2014</v>
      </c>
      <c r="C309" s="277" t="str">
        <f t="shared" si="219"/>
        <v>FLST</v>
      </c>
      <c r="D309" s="277" t="str">
        <f t="shared" si="220"/>
        <v>LGINE683</v>
      </c>
      <c r="E309" s="278">
        <f t="shared" si="187"/>
        <v>0</v>
      </c>
      <c r="F309" s="279">
        <v>0</v>
      </c>
      <c r="G309" s="278">
        <f t="shared" si="188"/>
        <v>0</v>
      </c>
      <c r="H309" s="278">
        <f t="shared" si="189"/>
        <v>0</v>
      </c>
      <c r="I309" s="278">
        <f t="shared" si="190"/>
        <v>0</v>
      </c>
      <c r="J309" s="278">
        <f t="shared" si="191"/>
        <v>0</v>
      </c>
      <c r="K309" s="280">
        <v>0</v>
      </c>
      <c r="L309" s="281">
        <f t="shared" si="192"/>
        <v>0</v>
      </c>
      <c r="M309" s="281">
        <f t="shared" si="193"/>
        <v>0</v>
      </c>
      <c r="N309" s="281">
        <f t="shared" si="194"/>
        <v>0</v>
      </c>
      <c r="O309" s="282">
        <v>0</v>
      </c>
      <c r="P309" s="282">
        <v>0</v>
      </c>
      <c r="Q309" s="282">
        <v>0</v>
      </c>
      <c r="R309" s="283">
        <f t="shared" si="195"/>
        <v>750</v>
      </c>
      <c r="S309" s="284">
        <f t="shared" si="230"/>
        <v>3.61E-2</v>
      </c>
      <c r="T309" s="284">
        <f t="shared" si="196"/>
        <v>0</v>
      </c>
      <c r="U309" s="284">
        <f t="shared" si="197"/>
        <v>0</v>
      </c>
      <c r="V309" s="284">
        <f t="shared" si="198"/>
        <v>2.725E-2</v>
      </c>
      <c r="W309" s="283">
        <f t="shared" si="199"/>
        <v>1.1400000000000001</v>
      </c>
      <c r="X309" s="283">
        <f t="shared" si="200"/>
        <v>1.8900000000000001</v>
      </c>
      <c r="Y309" s="283">
        <f t="shared" si="201"/>
        <v>2.94</v>
      </c>
      <c r="Z309" s="285">
        <f t="shared" si="202"/>
        <v>0</v>
      </c>
      <c r="AA309" s="285">
        <f t="shared" si="203"/>
        <v>0</v>
      </c>
      <c r="AB309" s="285">
        <f t="shared" si="221"/>
        <v>0</v>
      </c>
      <c r="AC309" s="285">
        <f t="shared" si="222"/>
        <v>0</v>
      </c>
      <c r="AD309" s="285">
        <f t="shared" si="223"/>
        <v>0</v>
      </c>
      <c r="AE309" s="286">
        <v>0</v>
      </c>
      <c r="AF309" s="287">
        <f t="shared" si="204"/>
        <v>0</v>
      </c>
      <c r="AG309" s="288">
        <f t="shared" si="205"/>
        <v>0</v>
      </c>
      <c r="AH309" s="285">
        <f t="shared" si="227"/>
        <v>0</v>
      </c>
      <c r="AI309" s="286">
        <v>0</v>
      </c>
      <c r="AJ309" s="286">
        <v>0</v>
      </c>
      <c r="AK309" s="286">
        <v>0</v>
      </c>
      <c r="AL309" s="285">
        <f t="shared" si="206"/>
        <v>0</v>
      </c>
      <c r="AM309" s="285">
        <f t="shared" si="207"/>
        <v>0</v>
      </c>
      <c r="AN309" s="289">
        <f t="shared" si="224"/>
        <v>1</v>
      </c>
      <c r="AO309" s="290">
        <f t="shared" si="208"/>
        <v>0</v>
      </c>
      <c r="AP309" s="290">
        <f t="shared" si="209"/>
        <v>0</v>
      </c>
      <c r="AQ309" s="290">
        <f t="shared" si="210"/>
        <v>0</v>
      </c>
      <c r="AR309" s="290">
        <f t="shared" si="211"/>
        <v>0</v>
      </c>
      <c r="AS309" s="290">
        <f t="shared" si="212"/>
        <v>0</v>
      </c>
      <c r="AT309" s="290">
        <f t="shared" si="213"/>
        <v>0</v>
      </c>
      <c r="AU309" s="291">
        <f t="shared" si="214"/>
        <v>0</v>
      </c>
      <c r="AV309" s="291">
        <f t="shared" si="231"/>
        <v>0</v>
      </c>
      <c r="AW309" s="292">
        <f t="shared" si="216"/>
        <v>0</v>
      </c>
      <c r="AX309" s="293">
        <f t="shared" si="217"/>
        <v>0</v>
      </c>
      <c r="BC309" s="276">
        <f>IF(BI309=1,IF(BC308=MiscData!$F$1,EOMONTH(BC308,-11),EOMONTH(BC308,1)),BC308)</f>
        <v>41912</v>
      </c>
      <c r="BD309" s="275" t="str">
        <f t="shared" si="225"/>
        <v>20140101LGINE683</v>
      </c>
      <c r="BE309" s="294" t="str">
        <f t="shared" si="226"/>
        <v>20140101FLST</v>
      </c>
      <c r="BF309">
        <f>MiscData!$X$5</f>
        <v>20140101</v>
      </c>
      <c r="BI309" s="265">
        <f>IF(BI308+1&gt;MiscData!$Z$42,1,BI308+1)</f>
        <v>2</v>
      </c>
      <c r="BJ309" s="265" t="str">
        <f>VLOOKUP(BI309,MiscData!$Z$5:$AB$46,2,FALSE)</f>
        <v>LGINE683</v>
      </c>
      <c r="BK309" s="265" t="str">
        <f>VLOOKUP(BI309,MiscData!$Z$5:$AB$46,3,FALSE)</f>
        <v>FLST</v>
      </c>
    </row>
    <row r="310" spans="1:63" hidden="1">
      <c r="A310" s="275">
        <v>293</v>
      </c>
      <c r="B310" s="276" t="str">
        <f t="shared" si="218"/>
        <v>Sep 2014</v>
      </c>
      <c r="C310" s="277" t="s">
        <v>892</v>
      </c>
      <c r="D310" s="277" t="str">
        <f t="shared" si="220"/>
        <v>LGCME451</v>
      </c>
      <c r="E310" s="278">
        <f t="shared" si="187"/>
        <v>0</v>
      </c>
      <c r="F310" s="279">
        <f>-E310</f>
        <v>0</v>
      </c>
      <c r="G310" s="278">
        <f t="shared" si="188"/>
        <v>0</v>
      </c>
      <c r="H310" s="278">
        <f t="shared" si="189"/>
        <v>0</v>
      </c>
      <c r="I310" s="278">
        <f t="shared" si="190"/>
        <v>0</v>
      </c>
      <c r="J310" s="278">
        <f t="shared" si="191"/>
        <v>0</v>
      </c>
      <c r="K310" s="280">
        <v>0</v>
      </c>
      <c r="L310" s="281">
        <f t="shared" si="192"/>
        <v>0</v>
      </c>
      <c r="M310" s="281">
        <f t="shared" si="193"/>
        <v>0</v>
      </c>
      <c r="N310" s="281">
        <f t="shared" si="194"/>
        <v>0</v>
      </c>
      <c r="O310" s="282">
        <v>0</v>
      </c>
      <c r="P310" s="282">
        <v>0</v>
      </c>
      <c r="Q310" s="282">
        <v>0</v>
      </c>
      <c r="R310" s="283">
        <f t="shared" si="195"/>
        <v>0</v>
      </c>
      <c r="S310" s="284">
        <f t="shared" si="230"/>
        <v>9.1340000000000005E-2</v>
      </c>
      <c r="T310" s="284">
        <f t="shared" si="196"/>
        <v>0</v>
      </c>
      <c r="U310" s="284">
        <f t="shared" si="197"/>
        <v>0</v>
      </c>
      <c r="V310" s="284">
        <f t="shared" si="198"/>
        <v>2.725E-2</v>
      </c>
      <c r="W310" s="283">
        <f t="shared" si="199"/>
        <v>0</v>
      </c>
      <c r="X310" s="283">
        <f t="shared" si="200"/>
        <v>0</v>
      </c>
      <c r="Y310" s="283">
        <f t="shared" si="201"/>
        <v>0</v>
      </c>
      <c r="Z310" s="285">
        <f t="shared" si="202"/>
        <v>0</v>
      </c>
      <c r="AA310" s="285">
        <f t="shared" si="203"/>
        <v>0</v>
      </c>
      <c r="AB310" s="285">
        <f t="shared" si="221"/>
        <v>0</v>
      </c>
      <c r="AC310" s="285">
        <f t="shared" si="222"/>
        <v>0</v>
      </c>
      <c r="AD310" s="285">
        <f t="shared" si="223"/>
        <v>0</v>
      </c>
      <c r="AE310" s="286">
        <v>0</v>
      </c>
      <c r="AF310" s="287">
        <f t="shared" si="204"/>
        <v>0</v>
      </c>
      <c r="AG310" s="288">
        <f t="shared" si="205"/>
        <v>0</v>
      </c>
      <c r="AH310" s="285">
        <f t="shared" si="227"/>
        <v>0</v>
      </c>
      <c r="AI310" s="286">
        <v>0</v>
      </c>
      <c r="AJ310" s="286">
        <v>0</v>
      </c>
      <c r="AK310" s="286">
        <v>0</v>
      </c>
      <c r="AL310" s="285">
        <f t="shared" si="206"/>
        <v>0</v>
      </c>
      <c r="AM310" s="285">
        <f t="shared" si="207"/>
        <v>0</v>
      </c>
      <c r="AN310" s="289">
        <f t="shared" si="224"/>
        <v>1</v>
      </c>
      <c r="AO310" s="290">
        <f t="shared" si="208"/>
        <v>0</v>
      </c>
      <c r="AP310" s="290">
        <f t="shared" si="209"/>
        <v>0</v>
      </c>
      <c r="AQ310" s="290">
        <f t="shared" si="210"/>
        <v>0</v>
      </c>
      <c r="AR310" s="290">
        <f t="shared" si="211"/>
        <v>0</v>
      </c>
      <c r="AS310" s="290">
        <f t="shared" si="212"/>
        <v>0</v>
      </c>
      <c r="AT310" s="290">
        <f t="shared" si="213"/>
        <v>0</v>
      </c>
      <c r="AU310" s="291">
        <f t="shared" si="214"/>
        <v>0</v>
      </c>
      <c r="AV310" s="291">
        <f t="shared" si="231"/>
        <v>0</v>
      </c>
      <c r="AW310" s="292">
        <f t="shared" si="216"/>
        <v>0</v>
      </c>
      <c r="AX310" s="293">
        <f t="shared" si="217"/>
        <v>0</v>
      </c>
      <c r="BC310" s="276">
        <f>IF(BI310=1,IF(BC309=MiscData!$F$1,EOMONTH(BC309,-11),EOMONTH(BC309,1)),BC309)</f>
        <v>41912</v>
      </c>
      <c r="BD310" s="275" t="str">
        <f t="shared" si="225"/>
        <v>20140101LGCME451</v>
      </c>
      <c r="BE310" s="294" t="str">
        <f t="shared" si="226"/>
        <v>20140101GSS</v>
      </c>
      <c r="BF310">
        <f>MiscData!$X$5</f>
        <v>20140101</v>
      </c>
      <c r="BI310" s="265">
        <f>IF(BI309+1&gt;MiscData!$Z$42,1,BI309+1)</f>
        <v>3</v>
      </c>
      <c r="BJ310" s="265" t="str">
        <f>VLOOKUP(BI310,MiscData!$Z$5:$AB$46,2,FALSE)</f>
        <v>LGCME451</v>
      </c>
      <c r="BK310" s="265" t="str">
        <f>VLOOKUP(BI310,MiscData!$Z$5:$AB$46,3,FALSE)</f>
        <v>GSS</v>
      </c>
    </row>
    <row r="311" spans="1:63" hidden="1">
      <c r="A311" s="275">
        <v>294</v>
      </c>
      <c r="B311" s="276" t="str">
        <f t="shared" si="218"/>
        <v>Sep 2014</v>
      </c>
      <c r="C311" s="277" t="s">
        <v>892</v>
      </c>
      <c r="D311" s="277" t="str">
        <f t="shared" si="220"/>
        <v>LGCME550</v>
      </c>
      <c r="E311" s="278">
        <f t="shared" si="187"/>
        <v>0</v>
      </c>
      <c r="F311" s="279">
        <v>0</v>
      </c>
      <c r="G311" s="278">
        <f t="shared" si="188"/>
        <v>0</v>
      </c>
      <c r="H311" s="278">
        <f t="shared" si="189"/>
        <v>0</v>
      </c>
      <c r="I311" s="278">
        <f t="shared" si="190"/>
        <v>0</v>
      </c>
      <c r="J311" s="278">
        <f t="shared" si="191"/>
        <v>0</v>
      </c>
      <c r="K311" s="280">
        <v>0</v>
      </c>
      <c r="L311" s="281">
        <f t="shared" si="192"/>
        <v>0</v>
      </c>
      <c r="M311" s="281">
        <f t="shared" si="193"/>
        <v>0</v>
      </c>
      <c r="N311" s="281">
        <f t="shared" si="194"/>
        <v>0</v>
      </c>
      <c r="O311" s="282">
        <v>0</v>
      </c>
      <c r="P311" s="282">
        <v>0</v>
      </c>
      <c r="Q311" s="282">
        <v>0</v>
      </c>
      <c r="R311" s="283">
        <f t="shared" si="195"/>
        <v>20</v>
      </c>
      <c r="S311" s="284">
        <f t="shared" si="230"/>
        <v>9.1340000000000005E-2</v>
      </c>
      <c r="T311" s="284">
        <f t="shared" si="196"/>
        <v>0</v>
      </c>
      <c r="U311" s="284">
        <f t="shared" si="197"/>
        <v>0</v>
      </c>
      <c r="V311" s="284">
        <f t="shared" si="198"/>
        <v>2.725E-2</v>
      </c>
      <c r="W311" s="283">
        <f t="shared" si="199"/>
        <v>0</v>
      </c>
      <c r="X311" s="283">
        <f t="shared" si="200"/>
        <v>0</v>
      </c>
      <c r="Y311" s="283">
        <f t="shared" si="201"/>
        <v>0</v>
      </c>
      <c r="Z311" s="285">
        <f t="shared" si="202"/>
        <v>0</v>
      </c>
      <c r="AA311" s="285">
        <f t="shared" si="203"/>
        <v>0</v>
      </c>
      <c r="AB311" s="285">
        <f t="shared" si="221"/>
        <v>0</v>
      </c>
      <c r="AC311" s="285">
        <f t="shared" si="222"/>
        <v>0</v>
      </c>
      <c r="AD311" s="285">
        <f t="shared" si="223"/>
        <v>0</v>
      </c>
      <c r="AE311" s="286">
        <v>0</v>
      </c>
      <c r="AF311" s="287">
        <f t="shared" si="204"/>
        <v>0</v>
      </c>
      <c r="AG311" s="288">
        <f t="shared" si="205"/>
        <v>0</v>
      </c>
      <c r="AH311" s="285">
        <f>SUM(AB311:AG311)</f>
        <v>0</v>
      </c>
      <c r="AI311" s="286">
        <v>0</v>
      </c>
      <c r="AJ311" s="286">
        <v>0</v>
      </c>
      <c r="AK311" s="286">
        <v>0</v>
      </c>
      <c r="AL311" s="285">
        <f t="shared" si="206"/>
        <v>0</v>
      </c>
      <c r="AM311" s="285">
        <f t="shared" si="207"/>
        <v>0</v>
      </c>
      <c r="AN311" s="289">
        <f t="shared" si="224"/>
        <v>1</v>
      </c>
      <c r="AO311" s="290">
        <f t="shared" si="208"/>
        <v>0</v>
      </c>
      <c r="AP311" s="290">
        <f t="shared" si="209"/>
        <v>0</v>
      </c>
      <c r="AQ311" s="290">
        <f t="shared" si="210"/>
        <v>0</v>
      </c>
      <c r="AR311" s="290">
        <f t="shared" si="211"/>
        <v>0</v>
      </c>
      <c r="AS311" s="290">
        <f t="shared" si="212"/>
        <v>0</v>
      </c>
      <c r="AT311" s="290">
        <f t="shared" si="213"/>
        <v>0</v>
      </c>
      <c r="AU311" s="291">
        <f t="shared" si="214"/>
        <v>0</v>
      </c>
      <c r="AV311" s="291">
        <f>ROUND(AT311-AU311,2)</f>
        <v>0</v>
      </c>
      <c r="AW311" s="292">
        <f t="shared" si="216"/>
        <v>0</v>
      </c>
      <c r="AX311" s="293">
        <f t="shared" si="217"/>
        <v>0</v>
      </c>
      <c r="BC311" s="276">
        <f>IF(BI311=1,IF(BC310=MiscData!$F$1,EOMONTH(BC310,-11),EOMONTH(BC310,1)),BC310)</f>
        <v>41912</v>
      </c>
      <c r="BD311" s="275" t="str">
        <f t="shared" si="225"/>
        <v>20140101LGCME550</v>
      </c>
      <c r="BE311" s="294" t="str">
        <f t="shared" si="226"/>
        <v>20140101GSS</v>
      </c>
      <c r="BF311">
        <f>MiscData!$X$5</f>
        <v>20140101</v>
      </c>
      <c r="BI311" s="265">
        <f>IF(BI310+1&gt;MiscData!$Z$42,1,BI310+1)</f>
        <v>4</v>
      </c>
      <c r="BJ311" s="265" t="str">
        <f>VLOOKUP(BI311,MiscData!$Z$5:$AB$46,2,FALSE)</f>
        <v>LGCME550</v>
      </c>
      <c r="BK311" s="265" t="str">
        <f>VLOOKUP(BI311,MiscData!$Z$5:$AB$46,3,FALSE)</f>
        <v>GSS</v>
      </c>
    </row>
    <row r="312" spans="1:63" hidden="1">
      <c r="A312" s="275">
        <v>295</v>
      </c>
      <c r="B312" s="276" t="str">
        <f t="shared" si="218"/>
        <v>Sep 2014</v>
      </c>
      <c r="C312" s="277" t="s">
        <v>892</v>
      </c>
      <c r="D312" s="277" t="str">
        <f t="shared" si="220"/>
        <v>LGCME551</v>
      </c>
      <c r="E312" s="278">
        <f t="shared" si="187"/>
        <v>28048</v>
      </c>
      <c r="F312" s="279">
        <v>0</v>
      </c>
      <c r="G312" s="278">
        <f t="shared" si="188"/>
        <v>0</v>
      </c>
      <c r="H312" s="278">
        <f t="shared" si="189"/>
        <v>0</v>
      </c>
      <c r="I312" s="278">
        <f t="shared" si="190"/>
        <v>0</v>
      </c>
      <c r="J312" s="278">
        <f t="shared" si="191"/>
        <v>37557724</v>
      </c>
      <c r="K312" s="280">
        <v>0</v>
      </c>
      <c r="L312" s="281">
        <f t="shared" si="192"/>
        <v>0</v>
      </c>
      <c r="M312" s="281">
        <f t="shared" si="193"/>
        <v>0</v>
      </c>
      <c r="N312" s="281">
        <f t="shared" si="194"/>
        <v>0</v>
      </c>
      <c r="O312" s="282">
        <v>0</v>
      </c>
      <c r="P312" s="282">
        <v>0</v>
      </c>
      <c r="Q312" s="282">
        <v>0</v>
      </c>
      <c r="R312" s="283">
        <f t="shared" si="195"/>
        <v>20</v>
      </c>
      <c r="S312" s="284">
        <f t="shared" si="230"/>
        <v>9.1340000000000005E-2</v>
      </c>
      <c r="T312" s="284">
        <f t="shared" si="196"/>
        <v>0</v>
      </c>
      <c r="U312" s="284">
        <f t="shared" si="197"/>
        <v>0</v>
      </c>
      <c r="V312" s="284">
        <f t="shared" si="198"/>
        <v>2.725E-2</v>
      </c>
      <c r="W312" s="283">
        <f t="shared" si="199"/>
        <v>0</v>
      </c>
      <c r="X312" s="283">
        <f t="shared" si="200"/>
        <v>0</v>
      </c>
      <c r="Y312" s="283">
        <f t="shared" si="201"/>
        <v>0</v>
      </c>
      <c r="Z312" s="285">
        <f t="shared" si="202"/>
        <v>560960</v>
      </c>
      <c r="AA312" s="285">
        <f t="shared" si="203"/>
        <v>3430522.51</v>
      </c>
      <c r="AB312" s="285">
        <f t="shared" si="221"/>
        <v>0</v>
      </c>
      <c r="AC312" s="285">
        <f t="shared" si="222"/>
        <v>0</v>
      </c>
      <c r="AD312" s="285">
        <f t="shared" si="223"/>
        <v>0</v>
      </c>
      <c r="AE312" s="286">
        <v>0</v>
      </c>
      <c r="AF312" s="287">
        <f t="shared" si="204"/>
        <v>0</v>
      </c>
      <c r="AG312" s="288">
        <f t="shared" si="205"/>
        <v>0</v>
      </c>
      <c r="AH312" s="285">
        <f t="shared" si="227"/>
        <v>0</v>
      </c>
      <c r="AI312" s="286">
        <v>0</v>
      </c>
      <c r="AJ312" s="286">
        <v>0</v>
      </c>
      <c r="AK312" s="286">
        <v>0</v>
      </c>
      <c r="AL312" s="285">
        <f t="shared" si="206"/>
        <v>3991482.51</v>
      </c>
      <c r="AM312" s="285">
        <f t="shared" si="207"/>
        <v>3991485</v>
      </c>
      <c r="AN312" s="289">
        <f t="shared" si="224"/>
        <v>1.0000009999999999</v>
      </c>
      <c r="AO312" s="290">
        <f t="shared" si="208"/>
        <v>-191657</v>
      </c>
      <c r="AP312" s="290">
        <f t="shared" si="209"/>
        <v>90519</v>
      </c>
      <c r="AQ312" s="290">
        <f t="shared" si="210"/>
        <v>127579</v>
      </c>
      <c r="AR312" s="290">
        <f t="shared" si="211"/>
        <v>0</v>
      </c>
      <c r="AS312" s="290">
        <f t="shared" si="212"/>
        <v>0</v>
      </c>
      <c r="AT312" s="290">
        <f t="shared" si="213"/>
        <v>4017926</v>
      </c>
      <c r="AU312" s="291">
        <f t="shared" si="214"/>
        <v>4017923.51</v>
      </c>
      <c r="AV312" s="291">
        <f t="shared" si="231"/>
        <v>2.4900000002235174</v>
      </c>
      <c r="AW312" s="292">
        <f t="shared" si="216"/>
        <v>1023447.98</v>
      </c>
      <c r="AX312" s="293">
        <f t="shared" si="217"/>
        <v>2407074.5299999998</v>
      </c>
      <c r="BC312" s="276">
        <f>IF(BI312=1,IF(BC311=MiscData!$F$1,EOMONTH(BC311,-11),EOMONTH(BC311,1)),BC311)</f>
        <v>41912</v>
      </c>
      <c r="BD312" s="275" t="str">
        <f t="shared" si="225"/>
        <v>20140101LGCME551</v>
      </c>
      <c r="BE312" s="294" t="str">
        <f t="shared" si="226"/>
        <v>20140101GSS</v>
      </c>
      <c r="BF312">
        <f>MiscData!$X$5</f>
        <v>20140101</v>
      </c>
      <c r="BI312" s="265">
        <f>IF(BI311+1&gt;MiscData!$Z$42,1,BI311+1)</f>
        <v>5</v>
      </c>
      <c r="BJ312" s="265" t="str">
        <f>VLOOKUP(BI312,MiscData!$Z$5:$AB$46,2,FALSE)</f>
        <v>LGCME551</v>
      </c>
      <c r="BK312" s="265" t="str">
        <f>VLOOKUP(BI312,MiscData!$Z$5:$AB$46,3,FALSE)</f>
        <v>GSS</v>
      </c>
    </row>
    <row r="313" spans="1:63" hidden="1">
      <c r="A313" s="275">
        <v>296</v>
      </c>
      <c r="B313" s="276" t="str">
        <f t="shared" si="218"/>
        <v>Sep 2014</v>
      </c>
      <c r="C313" s="277" t="s">
        <v>892</v>
      </c>
      <c r="D313" s="277" t="str">
        <f t="shared" si="220"/>
        <v>LGCME551UM</v>
      </c>
      <c r="E313" s="278">
        <f t="shared" si="187"/>
        <v>0</v>
      </c>
      <c r="F313" s="279">
        <v>0</v>
      </c>
      <c r="G313" s="278">
        <f t="shared" si="188"/>
        <v>0</v>
      </c>
      <c r="H313" s="278">
        <f t="shared" si="189"/>
        <v>0</v>
      </c>
      <c r="I313" s="278">
        <f t="shared" si="190"/>
        <v>0</v>
      </c>
      <c r="J313" s="278">
        <f t="shared" si="191"/>
        <v>0</v>
      </c>
      <c r="K313" s="280">
        <v>0</v>
      </c>
      <c r="L313" s="281">
        <f t="shared" si="192"/>
        <v>0</v>
      </c>
      <c r="M313" s="281">
        <f t="shared" si="193"/>
        <v>0</v>
      </c>
      <c r="N313" s="281">
        <f t="shared" si="194"/>
        <v>0</v>
      </c>
      <c r="O313" s="282">
        <v>0</v>
      </c>
      <c r="P313" s="282">
        <v>0</v>
      </c>
      <c r="Q313" s="282">
        <v>0</v>
      </c>
      <c r="R313" s="283">
        <f t="shared" si="195"/>
        <v>20</v>
      </c>
      <c r="S313" s="284">
        <f t="shared" si="230"/>
        <v>9.1340000000000005E-2</v>
      </c>
      <c r="T313" s="284">
        <f t="shared" si="196"/>
        <v>0</v>
      </c>
      <c r="U313" s="284">
        <f t="shared" si="197"/>
        <v>0</v>
      </c>
      <c r="V313" s="284">
        <f t="shared" si="198"/>
        <v>2.725E-2</v>
      </c>
      <c r="W313" s="283">
        <f t="shared" si="199"/>
        <v>0</v>
      </c>
      <c r="X313" s="283">
        <f t="shared" si="200"/>
        <v>0</v>
      </c>
      <c r="Y313" s="283">
        <f t="shared" si="201"/>
        <v>0</v>
      </c>
      <c r="Z313" s="285">
        <f t="shared" si="202"/>
        <v>0</v>
      </c>
      <c r="AA313" s="285">
        <f t="shared" si="203"/>
        <v>0</v>
      </c>
      <c r="AB313" s="285">
        <f t="shared" si="221"/>
        <v>0</v>
      </c>
      <c r="AC313" s="285">
        <f t="shared" si="222"/>
        <v>0</v>
      </c>
      <c r="AD313" s="285">
        <f t="shared" si="223"/>
        <v>0</v>
      </c>
      <c r="AE313" s="286">
        <v>0</v>
      </c>
      <c r="AF313" s="287">
        <f t="shared" si="204"/>
        <v>0</v>
      </c>
      <c r="AG313" s="288">
        <f t="shared" si="205"/>
        <v>0</v>
      </c>
      <c r="AH313" s="285">
        <f t="shared" si="227"/>
        <v>0</v>
      </c>
      <c r="AI313" s="286">
        <v>0</v>
      </c>
      <c r="AJ313" s="286">
        <v>0</v>
      </c>
      <c r="AK313" s="286">
        <v>0</v>
      </c>
      <c r="AL313" s="285">
        <f t="shared" si="206"/>
        <v>0</v>
      </c>
      <c r="AM313" s="285">
        <f t="shared" si="207"/>
        <v>0</v>
      </c>
      <c r="AN313" s="289">
        <f t="shared" si="224"/>
        <v>1</v>
      </c>
      <c r="AO313" s="290">
        <f t="shared" si="208"/>
        <v>0</v>
      </c>
      <c r="AP313" s="290">
        <f t="shared" si="209"/>
        <v>0</v>
      </c>
      <c r="AQ313" s="290">
        <f t="shared" si="210"/>
        <v>0</v>
      </c>
      <c r="AR313" s="290">
        <f t="shared" si="211"/>
        <v>0</v>
      </c>
      <c r="AS313" s="290">
        <f t="shared" si="212"/>
        <v>0</v>
      </c>
      <c r="AT313" s="290">
        <f t="shared" si="213"/>
        <v>0</v>
      </c>
      <c r="AU313" s="291">
        <f t="shared" si="214"/>
        <v>0</v>
      </c>
      <c r="AV313" s="291">
        <f t="shared" si="231"/>
        <v>0</v>
      </c>
      <c r="AW313" s="292">
        <f t="shared" si="216"/>
        <v>0</v>
      </c>
      <c r="AX313" s="293">
        <f t="shared" si="217"/>
        <v>0</v>
      </c>
      <c r="BC313" s="276">
        <f>IF(BI313=1,IF(BC312=MiscData!$F$1,EOMONTH(BC312,-11),EOMONTH(BC312,1)),BC312)</f>
        <v>41912</v>
      </c>
      <c r="BD313" s="275" t="str">
        <f t="shared" si="225"/>
        <v>20140101LGCME551UM</v>
      </c>
      <c r="BE313" s="294" t="str">
        <f t="shared" si="226"/>
        <v>20140101GSS</v>
      </c>
      <c r="BF313">
        <f>MiscData!$X$5</f>
        <v>20140101</v>
      </c>
      <c r="BI313" s="265">
        <f>IF(BI312+1&gt;MiscData!$Z$42,1,BI312+1)</f>
        <v>6</v>
      </c>
      <c r="BJ313" s="265" t="str">
        <f>VLOOKUP(BI313,MiscData!$Z$5:$AB$46,2,FALSE)</f>
        <v>LGCME551UM</v>
      </c>
      <c r="BK313" s="265" t="str">
        <f>VLOOKUP(BI313,MiscData!$Z$5:$AB$46,3,FALSE)</f>
        <v>GSS</v>
      </c>
    </row>
    <row r="314" spans="1:63" hidden="1">
      <c r="A314" s="275">
        <v>297</v>
      </c>
      <c r="B314" s="276" t="str">
        <f t="shared" si="218"/>
        <v>Sep 2014</v>
      </c>
      <c r="C314" s="277" t="s">
        <v>892</v>
      </c>
      <c r="D314" s="277" t="str">
        <f t="shared" si="220"/>
        <v>LGCME552</v>
      </c>
      <c r="E314" s="278">
        <f t="shared" si="187"/>
        <v>0</v>
      </c>
      <c r="F314" s="279">
        <f>-E314</f>
        <v>0</v>
      </c>
      <c r="G314" s="278">
        <f t="shared" si="188"/>
        <v>0</v>
      </c>
      <c r="H314" s="278">
        <f t="shared" si="189"/>
        <v>0</v>
      </c>
      <c r="I314" s="278">
        <f t="shared" si="190"/>
        <v>0</v>
      </c>
      <c r="J314" s="278">
        <f t="shared" si="191"/>
        <v>0</v>
      </c>
      <c r="K314" s="280">
        <v>0</v>
      </c>
      <c r="L314" s="281">
        <f t="shared" si="192"/>
        <v>0</v>
      </c>
      <c r="M314" s="281">
        <f t="shared" si="193"/>
        <v>0</v>
      </c>
      <c r="N314" s="281">
        <f t="shared" si="194"/>
        <v>0</v>
      </c>
      <c r="O314" s="282">
        <v>0</v>
      </c>
      <c r="P314" s="282">
        <v>0</v>
      </c>
      <c r="Q314" s="282">
        <v>0</v>
      </c>
      <c r="R314" s="283">
        <f t="shared" si="195"/>
        <v>0</v>
      </c>
      <c r="S314" s="284">
        <f t="shared" si="230"/>
        <v>9.1340000000000005E-2</v>
      </c>
      <c r="T314" s="284">
        <f t="shared" si="196"/>
        <v>0</v>
      </c>
      <c r="U314" s="284">
        <f t="shared" si="197"/>
        <v>0</v>
      </c>
      <c r="V314" s="284">
        <f t="shared" si="198"/>
        <v>2.725E-2</v>
      </c>
      <c r="W314" s="283">
        <f t="shared" si="199"/>
        <v>0</v>
      </c>
      <c r="X314" s="283">
        <f t="shared" si="200"/>
        <v>0</v>
      </c>
      <c r="Y314" s="283">
        <f t="shared" si="201"/>
        <v>0</v>
      </c>
      <c r="Z314" s="285">
        <f t="shared" si="202"/>
        <v>0</v>
      </c>
      <c r="AA314" s="285">
        <f t="shared" si="203"/>
        <v>0</v>
      </c>
      <c r="AB314" s="285">
        <f t="shared" si="221"/>
        <v>0</v>
      </c>
      <c r="AC314" s="285">
        <f t="shared" si="222"/>
        <v>0</v>
      </c>
      <c r="AD314" s="285">
        <f t="shared" si="223"/>
        <v>0</v>
      </c>
      <c r="AE314" s="286">
        <v>0</v>
      </c>
      <c r="AF314" s="287">
        <f t="shared" si="204"/>
        <v>0</v>
      </c>
      <c r="AG314" s="288">
        <f t="shared" si="205"/>
        <v>0</v>
      </c>
      <c r="AH314" s="285">
        <f t="shared" si="227"/>
        <v>0</v>
      </c>
      <c r="AI314" s="286">
        <v>0</v>
      </c>
      <c r="AJ314" s="286">
        <v>0</v>
      </c>
      <c r="AK314" s="286">
        <v>0</v>
      </c>
      <c r="AL314" s="285">
        <f t="shared" si="206"/>
        <v>0</v>
      </c>
      <c r="AM314" s="285">
        <f t="shared" si="207"/>
        <v>0</v>
      </c>
      <c r="AN314" s="289">
        <f t="shared" si="224"/>
        <v>1</v>
      </c>
      <c r="AO314" s="290">
        <f t="shared" si="208"/>
        <v>0</v>
      </c>
      <c r="AP314" s="290">
        <f t="shared" si="209"/>
        <v>0</v>
      </c>
      <c r="AQ314" s="290">
        <f t="shared" si="210"/>
        <v>0</v>
      </c>
      <c r="AR314" s="290">
        <f t="shared" si="211"/>
        <v>0</v>
      </c>
      <c r="AS314" s="290">
        <f t="shared" si="212"/>
        <v>0</v>
      </c>
      <c r="AT314" s="290">
        <f t="shared" si="213"/>
        <v>0</v>
      </c>
      <c r="AU314" s="291">
        <f t="shared" si="214"/>
        <v>0</v>
      </c>
      <c r="AV314" s="291">
        <f t="shared" ref="AV314:AV320" si="233">ROUND(AT314-AU314,2)</f>
        <v>0</v>
      </c>
      <c r="AW314" s="292">
        <f t="shared" si="216"/>
        <v>0</v>
      </c>
      <c r="AX314" s="293">
        <f t="shared" si="217"/>
        <v>0</v>
      </c>
      <c r="BC314" s="276">
        <f>IF(BI314=1,IF(BC313=MiscData!$F$1,EOMONTH(BC313,-11),EOMONTH(BC313,1)),BC313)</f>
        <v>41912</v>
      </c>
      <c r="BD314" s="275" t="str">
        <f t="shared" si="225"/>
        <v>20140101LGCME552</v>
      </c>
      <c r="BE314" s="294" t="str">
        <f t="shared" si="226"/>
        <v>20140101GSS</v>
      </c>
      <c r="BF314">
        <f>MiscData!$X$5</f>
        <v>20140101</v>
      </c>
      <c r="BI314" s="265">
        <f>IF(BI313+1&gt;MiscData!$Z$42,1,BI313+1)</f>
        <v>7</v>
      </c>
      <c r="BJ314" s="265" t="str">
        <f>VLOOKUP(BI314,MiscData!$Z$5:$AB$46,2,FALSE)</f>
        <v>LGCME552</v>
      </c>
      <c r="BK314" s="265" t="str">
        <f>VLOOKUP(BI314,MiscData!$Z$5:$AB$46,3,FALSE)</f>
        <v>GSS</v>
      </c>
    </row>
    <row r="315" spans="1:63" hidden="1">
      <c r="A315" s="275">
        <v>298</v>
      </c>
      <c r="B315" s="276" t="str">
        <f t="shared" si="218"/>
        <v>Sep 2014</v>
      </c>
      <c r="C315" s="277" t="s">
        <v>892</v>
      </c>
      <c r="D315" s="277" t="str">
        <f t="shared" si="220"/>
        <v>LGCME557</v>
      </c>
      <c r="E315" s="278">
        <f t="shared" si="187"/>
        <v>0</v>
      </c>
      <c r="F315" s="279">
        <v>0</v>
      </c>
      <c r="G315" s="278">
        <f t="shared" si="188"/>
        <v>0</v>
      </c>
      <c r="H315" s="278">
        <f t="shared" si="189"/>
        <v>0</v>
      </c>
      <c r="I315" s="278">
        <f t="shared" si="190"/>
        <v>0</v>
      </c>
      <c r="J315" s="278">
        <f t="shared" si="191"/>
        <v>0</v>
      </c>
      <c r="K315" s="280">
        <v>0</v>
      </c>
      <c r="L315" s="281">
        <f t="shared" si="192"/>
        <v>0</v>
      </c>
      <c r="M315" s="281">
        <f t="shared" si="193"/>
        <v>0</v>
      </c>
      <c r="N315" s="281">
        <f t="shared" si="194"/>
        <v>0</v>
      </c>
      <c r="O315" s="282">
        <v>0</v>
      </c>
      <c r="P315" s="282">
        <v>0</v>
      </c>
      <c r="Q315" s="282">
        <v>0</v>
      </c>
      <c r="R315" s="283">
        <f t="shared" si="195"/>
        <v>20</v>
      </c>
      <c r="S315" s="284">
        <f t="shared" si="230"/>
        <v>9.1340000000000005E-2</v>
      </c>
      <c r="T315" s="284">
        <f t="shared" si="196"/>
        <v>0</v>
      </c>
      <c r="U315" s="284">
        <f t="shared" si="197"/>
        <v>0</v>
      </c>
      <c r="V315" s="284">
        <f t="shared" si="198"/>
        <v>2.725E-2</v>
      </c>
      <c r="W315" s="283">
        <f t="shared" si="199"/>
        <v>0</v>
      </c>
      <c r="X315" s="283">
        <f t="shared" si="200"/>
        <v>0</v>
      </c>
      <c r="Y315" s="283">
        <f t="shared" si="201"/>
        <v>0</v>
      </c>
      <c r="Z315" s="285">
        <f t="shared" si="202"/>
        <v>0</v>
      </c>
      <c r="AA315" s="285">
        <f t="shared" si="203"/>
        <v>0</v>
      </c>
      <c r="AB315" s="285">
        <f t="shared" si="221"/>
        <v>0</v>
      </c>
      <c r="AC315" s="285">
        <f t="shared" si="222"/>
        <v>0</v>
      </c>
      <c r="AD315" s="285">
        <f t="shared" si="223"/>
        <v>0</v>
      </c>
      <c r="AE315" s="286">
        <v>0</v>
      </c>
      <c r="AF315" s="287">
        <f t="shared" si="204"/>
        <v>0</v>
      </c>
      <c r="AG315" s="288">
        <f t="shared" si="205"/>
        <v>0</v>
      </c>
      <c r="AH315" s="285">
        <f t="shared" si="227"/>
        <v>0</v>
      </c>
      <c r="AI315" s="286">
        <v>0</v>
      </c>
      <c r="AJ315" s="286">
        <v>0</v>
      </c>
      <c r="AK315" s="286">
        <v>0</v>
      </c>
      <c r="AL315" s="285">
        <f t="shared" si="206"/>
        <v>0</v>
      </c>
      <c r="AM315" s="285">
        <f t="shared" si="207"/>
        <v>0</v>
      </c>
      <c r="AN315" s="289">
        <f t="shared" si="224"/>
        <v>1</v>
      </c>
      <c r="AO315" s="290">
        <f t="shared" si="208"/>
        <v>0</v>
      </c>
      <c r="AP315" s="290">
        <f t="shared" si="209"/>
        <v>0</v>
      </c>
      <c r="AQ315" s="290">
        <f t="shared" si="210"/>
        <v>0</v>
      </c>
      <c r="AR315" s="290">
        <f t="shared" si="211"/>
        <v>0</v>
      </c>
      <c r="AS315" s="290">
        <f t="shared" si="212"/>
        <v>0</v>
      </c>
      <c r="AT315" s="290">
        <f t="shared" si="213"/>
        <v>0</v>
      </c>
      <c r="AU315" s="291">
        <f t="shared" si="214"/>
        <v>0</v>
      </c>
      <c r="AV315" s="291">
        <f t="shared" si="233"/>
        <v>0</v>
      </c>
      <c r="AW315" s="292">
        <f t="shared" si="216"/>
        <v>0</v>
      </c>
      <c r="AX315" s="293">
        <f t="shared" si="217"/>
        <v>0</v>
      </c>
      <c r="BC315" s="276">
        <f>IF(BI315=1,IF(BC314=MiscData!$F$1,EOMONTH(BC314,-11),EOMONTH(BC314,1)),BC314)</f>
        <v>41912</v>
      </c>
      <c r="BD315" s="275" t="str">
        <f t="shared" si="225"/>
        <v>20140101LGCME557</v>
      </c>
      <c r="BE315" s="294" t="str">
        <f t="shared" si="226"/>
        <v>20140101GSS</v>
      </c>
      <c r="BF315">
        <f>MiscData!$X$5</f>
        <v>20140101</v>
      </c>
      <c r="BI315" s="265">
        <f>IF(BI314+1&gt;MiscData!$Z$42,1,BI314+1)</f>
        <v>8</v>
      </c>
      <c r="BJ315" s="265" t="str">
        <f>VLOOKUP(BI315,MiscData!$Z$5:$AB$46,2,FALSE)</f>
        <v>LGCME557</v>
      </c>
      <c r="BK315" s="265" t="str">
        <f>VLOOKUP(BI315,MiscData!$Z$5:$AB$46,3,FALSE)</f>
        <v>GSS</v>
      </c>
    </row>
    <row r="316" spans="1:63" hidden="1">
      <c r="A316" s="275">
        <v>299</v>
      </c>
      <c r="B316" s="276" t="str">
        <f t="shared" si="218"/>
        <v>Sep 2014</v>
      </c>
      <c r="C316" s="277" t="str">
        <f t="shared" si="219"/>
        <v>PSS</v>
      </c>
      <c r="D316" s="277" t="str">
        <f t="shared" si="220"/>
        <v>LGCME561</v>
      </c>
      <c r="E316" s="278">
        <f t="shared" si="187"/>
        <v>2573</v>
      </c>
      <c r="F316" s="279">
        <v>0</v>
      </c>
      <c r="G316" s="278">
        <f t="shared" si="188"/>
        <v>0</v>
      </c>
      <c r="H316" s="278">
        <f t="shared" si="189"/>
        <v>0</v>
      </c>
      <c r="I316" s="278">
        <f t="shared" si="190"/>
        <v>0</v>
      </c>
      <c r="J316" s="278">
        <f t="shared" si="191"/>
        <v>167813178</v>
      </c>
      <c r="K316" s="280">
        <v>0</v>
      </c>
      <c r="L316" s="281">
        <f t="shared" si="192"/>
        <v>0</v>
      </c>
      <c r="M316" s="281">
        <f t="shared" si="193"/>
        <v>0</v>
      </c>
      <c r="N316" s="281">
        <f t="shared" si="194"/>
        <v>416583.62</v>
      </c>
      <c r="O316" s="282">
        <v>0</v>
      </c>
      <c r="P316" s="282">
        <v>0</v>
      </c>
      <c r="Q316" s="282">
        <v>0</v>
      </c>
      <c r="R316" s="283">
        <f t="shared" si="195"/>
        <v>90</v>
      </c>
      <c r="S316" s="284">
        <f t="shared" si="230"/>
        <v>4.0599999999999997E-2</v>
      </c>
      <c r="T316" s="284">
        <f t="shared" si="196"/>
        <v>0</v>
      </c>
      <c r="U316" s="284">
        <f t="shared" si="197"/>
        <v>0</v>
      </c>
      <c r="V316" s="284">
        <f t="shared" si="198"/>
        <v>2.725E-2</v>
      </c>
      <c r="W316" s="283">
        <f t="shared" si="199"/>
        <v>0</v>
      </c>
      <c r="X316" s="283">
        <f t="shared" si="200"/>
        <v>14.010000000000002</v>
      </c>
      <c r="Y316" s="283">
        <f t="shared" si="201"/>
        <v>16.399999999999999</v>
      </c>
      <c r="Z316" s="285">
        <f t="shared" si="202"/>
        <v>231570</v>
      </c>
      <c r="AA316" s="285">
        <f t="shared" si="203"/>
        <v>6813215.0300000003</v>
      </c>
      <c r="AB316" s="285">
        <f t="shared" si="221"/>
        <v>0</v>
      </c>
      <c r="AC316" s="285">
        <f t="shared" si="222"/>
        <v>0</v>
      </c>
      <c r="AD316" s="285">
        <f t="shared" si="223"/>
        <v>6831971.3700000001</v>
      </c>
      <c r="AE316" s="286">
        <v>0</v>
      </c>
      <c r="AF316" s="287">
        <f t="shared" si="204"/>
        <v>0</v>
      </c>
      <c r="AG316" s="288">
        <f t="shared" si="205"/>
        <v>0</v>
      </c>
      <c r="AH316" s="285">
        <f t="shared" si="227"/>
        <v>6831971.3700000001</v>
      </c>
      <c r="AI316" s="286">
        <v>0</v>
      </c>
      <c r="AJ316" s="286">
        <v>0</v>
      </c>
      <c r="AK316" s="286">
        <v>0</v>
      </c>
      <c r="AL316" s="285">
        <f t="shared" si="206"/>
        <v>13876756.4</v>
      </c>
      <c r="AM316" s="285">
        <f t="shared" si="207"/>
        <v>13876757</v>
      </c>
      <c r="AN316" s="289">
        <f t="shared" si="224"/>
        <v>1</v>
      </c>
      <c r="AO316" s="290">
        <f t="shared" si="208"/>
        <v>-856352</v>
      </c>
      <c r="AP316" s="290">
        <f t="shared" si="209"/>
        <v>404449</v>
      </c>
      <c r="AQ316" s="290">
        <f t="shared" si="210"/>
        <v>570042</v>
      </c>
      <c r="AR316" s="290">
        <f t="shared" si="211"/>
        <v>0</v>
      </c>
      <c r="AS316" s="290">
        <f t="shared" si="212"/>
        <v>0</v>
      </c>
      <c r="AT316" s="290">
        <f t="shared" si="213"/>
        <v>13994896</v>
      </c>
      <c r="AU316" s="291">
        <f t="shared" si="214"/>
        <v>13994895.4</v>
      </c>
      <c r="AV316" s="291">
        <f t="shared" si="233"/>
        <v>0.6</v>
      </c>
      <c r="AW316" s="292">
        <f t="shared" si="216"/>
        <v>4572909.0999999996</v>
      </c>
      <c r="AX316" s="293">
        <f t="shared" si="217"/>
        <v>2240305.9300000006</v>
      </c>
      <c r="BC316" s="276">
        <f>IF(BI316=1,IF(BC315=MiscData!$F$1,EOMONTH(BC315,-11),EOMONTH(BC315,1)),BC315)</f>
        <v>41912</v>
      </c>
      <c r="BD316" s="275" t="str">
        <f t="shared" si="225"/>
        <v>20140101LGCME561</v>
      </c>
      <c r="BE316" s="294" t="str">
        <f t="shared" si="226"/>
        <v>20140101PSS</v>
      </c>
      <c r="BF316">
        <f>MiscData!$X$5</f>
        <v>20140101</v>
      </c>
      <c r="BI316" s="265">
        <f>IF(BI315+1&gt;MiscData!$Z$42,1,BI315+1)</f>
        <v>9</v>
      </c>
      <c r="BJ316" s="265" t="str">
        <f>VLOOKUP(BI316,MiscData!$Z$5:$AB$46,2,FALSE)</f>
        <v>LGCME561</v>
      </c>
      <c r="BK316" s="265" t="str">
        <f>VLOOKUP(BI316,MiscData!$Z$5:$AB$46,3,FALSE)</f>
        <v>PSS</v>
      </c>
    </row>
    <row r="317" spans="1:63" hidden="1">
      <c r="A317" s="275">
        <v>300</v>
      </c>
      <c r="B317" s="276" t="str">
        <f t="shared" si="218"/>
        <v>Sep 2014</v>
      </c>
      <c r="C317" s="277" t="str">
        <f t="shared" si="219"/>
        <v>PSP</v>
      </c>
      <c r="D317" s="277" t="str">
        <f t="shared" si="220"/>
        <v>LGCME563</v>
      </c>
      <c r="E317" s="278">
        <f t="shared" si="187"/>
        <v>52</v>
      </c>
      <c r="F317" s="279">
        <v>0</v>
      </c>
      <c r="G317" s="278">
        <f t="shared" si="188"/>
        <v>0</v>
      </c>
      <c r="H317" s="278">
        <f t="shared" si="189"/>
        <v>0</v>
      </c>
      <c r="I317" s="278">
        <f t="shared" si="190"/>
        <v>0</v>
      </c>
      <c r="J317" s="278">
        <f t="shared" si="191"/>
        <v>15138627</v>
      </c>
      <c r="K317" s="280">
        <v>0</v>
      </c>
      <c r="L317" s="281">
        <f t="shared" si="192"/>
        <v>0</v>
      </c>
      <c r="M317" s="281">
        <f t="shared" si="193"/>
        <v>0</v>
      </c>
      <c r="N317" s="281">
        <f t="shared" si="194"/>
        <v>36873.29</v>
      </c>
      <c r="O317" s="282">
        <v>0</v>
      </c>
      <c r="P317" s="282">
        <v>0</v>
      </c>
      <c r="Q317" s="282">
        <v>0</v>
      </c>
      <c r="R317" s="283">
        <f t="shared" si="195"/>
        <v>170</v>
      </c>
      <c r="S317" s="284">
        <f t="shared" si="230"/>
        <v>3.9260000000000003E-2</v>
      </c>
      <c r="T317" s="284">
        <f t="shared" si="196"/>
        <v>0</v>
      </c>
      <c r="U317" s="284">
        <f t="shared" si="197"/>
        <v>0</v>
      </c>
      <c r="V317" s="284">
        <f t="shared" si="198"/>
        <v>2.725E-2</v>
      </c>
      <c r="W317" s="283">
        <f t="shared" si="199"/>
        <v>0</v>
      </c>
      <c r="X317" s="283">
        <f t="shared" si="200"/>
        <v>11.660000000000002</v>
      </c>
      <c r="Y317" s="283">
        <f t="shared" si="201"/>
        <v>13.950000000000001</v>
      </c>
      <c r="Z317" s="285">
        <f t="shared" si="202"/>
        <v>8840</v>
      </c>
      <c r="AA317" s="285">
        <f t="shared" si="203"/>
        <v>594342.5</v>
      </c>
      <c r="AB317" s="285">
        <f t="shared" si="221"/>
        <v>0</v>
      </c>
      <c r="AC317" s="285">
        <f t="shared" si="222"/>
        <v>0</v>
      </c>
      <c r="AD317" s="285">
        <f t="shared" si="223"/>
        <v>514382.4</v>
      </c>
      <c r="AE317" s="286">
        <v>0</v>
      </c>
      <c r="AF317" s="287">
        <f t="shared" si="204"/>
        <v>0</v>
      </c>
      <c r="AG317" s="288">
        <f t="shared" si="205"/>
        <v>0</v>
      </c>
      <c r="AH317" s="285">
        <f t="shared" si="227"/>
        <v>514382.4</v>
      </c>
      <c r="AI317" s="286">
        <v>0</v>
      </c>
      <c r="AJ317" s="286">
        <v>0</v>
      </c>
      <c r="AK317" s="286">
        <v>0</v>
      </c>
      <c r="AL317" s="285">
        <f t="shared" si="206"/>
        <v>1117564.8999999999</v>
      </c>
      <c r="AM317" s="285">
        <f t="shared" si="207"/>
        <v>1117565</v>
      </c>
      <c r="AN317" s="289">
        <f t="shared" si="224"/>
        <v>1</v>
      </c>
      <c r="AO317" s="290">
        <f t="shared" si="208"/>
        <v>-77253</v>
      </c>
      <c r="AP317" s="290">
        <f t="shared" si="209"/>
        <v>36486</v>
      </c>
      <c r="AQ317" s="290">
        <f t="shared" si="210"/>
        <v>51424</v>
      </c>
      <c r="AR317" s="290">
        <f t="shared" si="211"/>
        <v>0</v>
      </c>
      <c r="AS317" s="290">
        <f t="shared" si="212"/>
        <v>0</v>
      </c>
      <c r="AT317" s="290">
        <f t="shared" si="213"/>
        <v>1128222</v>
      </c>
      <c r="AU317" s="291">
        <f t="shared" si="214"/>
        <v>1128221.8999999999</v>
      </c>
      <c r="AV317" s="291">
        <f t="shared" si="233"/>
        <v>0.1</v>
      </c>
      <c r="AW317" s="292">
        <f t="shared" si="216"/>
        <v>412527.59</v>
      </c>
      <c r="AX317" s="293">
        <f t="shared" si="217"/>
        <v>181814.90999999997</v>
      </c>
      <c r="BC317" s="276">
        <f>IF(BI317=1,IF(BC316=MiscData!$F$1,EOMONTH(BC316,-11),EOMONTH(BC316,1)),BC316)</f>
        <v>41912</v>
      </c>
      <c r="BD317" s="275" t="str">
        <f t="shared" si="225"/>
        <v>20140101LGCME563</v>
      </c>
      <c r="BE317" s="294" t="str">
        <f t="shared" si="226"/>
        <v>20140101PSP</v>
      </c>
      <c r="BF317">
        <f>MiscData!$X$5</f>
        <v>20140101</v>
      </c>
      <c r="BI317" s="265">
        <f>IF(BI316+1&gt;MiscData!$Z$42,1,BI316+1)</f>
        <v>10</v>
      </c>
      <c r="BJ317" s="265" t="str">
        <f>VLOOKUP(BI317,MiscData!$Z$5:$AB$46,2,FALSE)</f>
        <v>LGCME563</v>
      </c>
      <c r="BK317" s="265" t="str">
        <f>VLOOKUP(BI317,MiscData!$Z$5:$AB$46,3,FALSE)</f>
        <v>PSP</v>
      </c>
    </row>
    <row r="318" spans="1:63" hidden="1">
      <c r="A318" s="275">
        <v>301</v>
      </c>
      <c r="B318" s="276" t="str">
        <f t="shared" si="218"/>
        <v>Sep 2014</v>
      </c>
      <c r="C318" s="277" t="str">
        <f t="shared" si="219"/>
        <v>PSS</v>
      </c>
      <c r="D318" s="277" t="str">
        <f t="shared" si="220"/>
        <v>LGCME567</v>
      </c>
      <c r="E318" s="278">
        <f t="shared" si="187"/>
        <v>0</v>
      </c>
      <c r="F318" s="279">
        <v>0</v>
      </c>
      <c r="G318" s="278">
        <f t="shared" si="188"/>
        <v>0</v>
      </c>
      <c r="H318" s="278">
        <f t="shared" si="189"/>
        <v>0</v>
      </c>
      <c r="I318" s="278">
        <f t="shared" si="190"/>
        <v>0</v>
      </c>
      <c r="J318" s="278">
        <f t="shared" si="191"/>
        <v>0</v>
      </c>
      <c r="K318" s="280">
        <v>0</v>
      </c>
      <c r="L318" s="281">
        <f t="shared" si="192"/>
        <v>0</v>
      </c>
      <c r="M318" s="281">
        <f t="shared" si="193"/>
        <v>0</v>
      </c>
      <c r="N318" s="281">
        <f t="shared" si="194"/>
        <v>0</v>
      </c>
      <c r="O318" s="282">
        <v>0</v>
      </c>
      <c r="P318" s="282">
        <v>0</v>
      </c>
      <c r="Q318" s="282">
        <v>0</v>
      </c>
      <c r="R318" s="283">
        <f t="shared" si="195"/>
        <v>90</v>
      </c>
      <c r="S318" s="284">
        <f t="shared" si="230"/>
        <v>4.0599999999999997E-2</v>
      </c>
      <c r="T318" s="284">
        <f t="shared" si="196"/>
        <v>0</v>
      </c>
      <c r="U318" s="284">
        <f t="shared" si="197"/>
        <v>0</v>
      </c>
      <c r="V318" s="284">
        <f t="shared" si="198"/>
        <v>2.725E-2</v>
      </c>
      <c r="W318" s="283">
        <f t="shared" si="199"/>
        <v>0</v>
      </c>
      <c r="X318" s="283">
        <f t="shared" si="200"/>
        <v>14.010000000000002</v>
      </c>
      <c r="Y318" s="283">
        <f t="shared" si="201"/>
        <v>16.399999999999999</v>
      </c>
      <c r="Z318" s="285">
        <f t="shared" si="202"/>
        <v>0</v>
      </c>
      <c r="AA318" s="285">
        <f t="shared" si="203"/>
        <v>0</v>
      </c>
      <c r="AB318" s="285">
        <f t="shared" si="221"/>
        <v>0</v>
      </c>
      <c r="AC318" s="285">
        <f t="shared" si="222"/>
        <v>0</v>
      </c>
      <c r="AD318" s="285">
        <f t="shared" si="223"/>
        <v>0</v>
      </c>
      <c r="AE318" s="286">
        <v>0</v>
      </c>
      <c r="AF318" s="287">
        <f t="shared" si="204"/>
        <v>0</v>
      </c>
      <c r="AG318" s="288">
        <f t="shared" si="205"/>
        <v>0</v>
      </c>
      <c r="AH318" s="285">
        <f t="shared" si="227"/>
        <v>0</v>
      </c>
      <c r="AI318" s="286">
        <v>0</v>
      </c>
      <c r="AJ318" s="286">
        <v>0</v>
      </c>
      <c r="AK318" s="286">
        <v>0</v>
      </c>
      <c r="AL318" s="285">
        <f t="shared" si="206"/>
        <v>0</v>
      </c>
      <c r="AM318" s="285">
        <f t="shared" si="207"/>
        <v>0</v>
      </c>
      <c r="AN318" s="289">
        <f t="shared" si="224"/>
        <v>1</v>
      </c>
      <c r="AO318" s="290">
        <f t="shared" si="208"/>
        <v>0</v>
      </c>
      <c r="AP318" s="290">
        <f t="shared" si="209"/>
        <v>0</v>
      </c>
      <c r="AQ318" s="290">
        <f t="shared" si="210"/>
        <v>0</v>
      </c>
      <c r="AR318" s="290">
        <f t="shared" si="211"/>
        <v>0</v>
      </c>
      <c r="AS318" s="290">
        <f t="shared" si="212"/>
        <v>0</v>
      </c>
      <c r="AT318" s="290">
        <f t="shared" si="213"/>
        <v>0</v>
      </c>
      <c r="AU318" s="291">
        <f t="shared" si="214"/>
        <v>0</v>
      </c>
      <c r="AV318" s="291">
        <f t="shared" si="233"/>
        <v>0</v>
      </c>
      <c r="AW318" s="292">
        <f t="shared" si="216"/>
        <v>0</v>
      </c>
      <c r="AX318" s="293">
        <f t="shared" si="217"/>
        <v>0</v>
      </c>
      <c r="BC318" s="276">
        <f>IF(BI318=1,IF(BC317=MiscData!$F$1,EOMONTH(BC317,-11),EOMONTH(BC317,1)),BC317)</f>
        <v>41912</v>
      </c>
      <c r="BD318" s="275" t="str">
        <f t="shared" si="225"/>
        <v>20140101LGCME567</v>
      </c>
      <c r="BE318" s="294" t="str">
        <f t="shared" si="226"/>
        <v>20140101PSS</v>
      </c>
      <c r="BF318">
        <f>MiscData!$X$5</f>
        <v>20140101</v>
      </c>
      <c r="BI318" s="265">
        <f>IF(BI317+1&gt;MiscData!$Z$42,1,BI317+1)</f>
        <v>11</v>
      </c>
      <c r="BJ318" s="265" t="str">
        <f>VLOOKUP(BI318,MiscData!$Z$5:$AB$46,2,FALSE)</f>
        <v>LGCME567</v>
      </c>
      <c r="BK318" s="265" t="str">
        <f>VLOOKUP(BI318,MiscData!$Z$5:$AB$46,3,FALSE)</f>
        <v>PSS</v>
      </c>
    </row>
    <row r="319" spans="1:63" hidden="1">
      <c r="A319" s="275">
        <v>302</v>
      </c>
      <c r="B319" s="276" t="str">
        <f t="shared" si="218"/>
        <v>Sep 2014</v>
      </c>
      <c r="C319" s="277" t="str">
        <f t="shared" si="219"/>
        <v>TODS</v>
      </c>
      <c r="D319" s="277" t="str">
        <f t="shared" si="220"/>
        <v>LGCME591</v>
      </c>
      <c r="E319" s="278">
        <f t="shared" si="187"/>
        <v>206</v>
      </c>
      <c r="F319" s="279">
        <v>0</v>
      </c>
      <c r="G319" s="278">
        <f t="shared" si="188"/>
        <v>0</v>
      </c>
      <c r="H319" s="278">
        <f t="shared" si="189"/>
        <v>0</v>
      </c>
      <c r="I319" s="278">
        <f t="shared" si="190"/>
        <v>0</v>
      </c>
      <c r="J319" s="278">
        <f t="shared" si="191"/>
        <v>70388905</v>
      </c>
      <c r="K319" s="280">
        <v>0</v>
      </c>
      <c r="L319" s="281">
        <f t="shared" si="192"/>
        <v>145324.37</v>
      </c>
      <c r="M319" s="281">
        <f t="shared" si="193"/>
        <v>141245.47</v>
      </c>
      <c r="N319" s="281">
        <f t="shared" si="194"/>
        <v>139460.57999999999</v>
      </c>
      <c r="O319" s="282">
        <v>0</v>
      </c>
      <c r="P319" s="282">
        <v>0</v>
      </c>
      <c r="Q319" s="282">
        <v>0</v>
      </c>
      <c r="R319" s="283">
        <f t="shared" si="195"/>
        <v>200</v>
      </c>
      <c r="S319" s="284">
        <f t="shared" si="230"/>
        <v>3.9899999999999998E-2</v>
      </c>
      <c r="T319" s="284">
        <f t="shared" si="196"/>
        <v>0</v>
      </c>
      <c r="U319" s="284">
        <f t="shared" si="197"/>
        <v>0</v>
      </c>
      <c r="V319" s="284">
        <f t="shared" si="198"/>
        <v>2.725E-2</v>
      </c>
      <c r="W319" s="283">
        <f t="shared" si="199"/>
        <v>4</v>
      </c>
      <c r="X319" s="283">
        <f t="shared" si="200"/>
        <v>4.5100000000000007</v>
      </c>
      <c r="Y319" s="283">
        <f t="shared" si="201"/>
        <v>6.11</v>
      </c>
      <c r="Z319" s="285">
        <f t="shared" si="202"/>
        <v>41200</v>
      </c>
      <c r="AA319" s="285">
        <f t="shared" si="203"/>
        <v>2808517.31</v>
      </c>
      <c r="AB319" s="285">
        <f t="shared" si="221"/>
        <v>581297.48</v>
      </c>
      <c r="AC319" s="285">
        <f t="shared" si="222"/>
        <v>637017.06999999995</v>
      </c>
      <c r="AD319" s="285">
        <f t="shared" si="223"/>
        <v>852104.14</v>
      </c>
      <c r="AE319" s="286">
        <v>0</v>
      </c>
      <c r="AF319" s="287">
        <f t="shared" si="204"/>
        <v>0</v>
      </c>
      <c r="AG319" s="288">
        <f t="shared" si="205"/>
        <v>0</v>
      </c>
      <c r="AH319" s="285">
        <f t="shared" si="227"/>
        <v>2070418.69</v>
      </c>
      <c r="AI319" s="286">
        <v>0</v>
      </c>
      <c r="AJ319" s="286">
        <v>0</v>
      </c>
      <c r="AK319" s="286">
        <v>0</v>
      </c>
      <c r="AL319" s="285">
        <f t="shared" si="206"/>
        <v>4920136</v>
      </c>
      <c r="AM319" s="285">
        <f t="shared" si="207"/>
        <v>4920135</v>
      </c>
      <c r="AN319" s="289">
        <f t="shared" si="224"/>
        <v>1</v>
      </c>
      <c r="AO319" s="290">
        <f t="shared" si="208"/>
        <v>-359195</v>
      </c>
      <c r="AP319" s="290">
        <f t="shared" si="209"/>
        <v>169646</v>
      </c>
      <c r="AQ319" s="290">
        <f t="shared" si="210"/>
        <v>239103</v>
      </c>
      <c r="AR319" s="290">
        <f t="shared" si="211"/>
        <v>0</v>
      </c>
      <c r="AS319" s="290">
        <f t="shared" si="212"/>
        <v>0</v>
      </c>
      <c r="AT319" s="290">
        <f t="shared" si="213"/>
        <v>4969689</v>
      </c>
      <c r="AU319" s="291">
        <f t="shared" si="214"/>
        <v>4969690</v>
      </c>
      <c r="AV319" s="291">
        <f t="shared" si="233"/>
        <v>-1</v>
      </c>
      <c r="AW319" s="292">
        <f t="shared" si="216"/>
        <v>1918097.66</v>
      </c>
      <c r="AX319" s="293">
        <f t="shared" si="217"/>
        <v>890419.65000000014</v>
      </c>
      <c r="BC319" s="276">
        <f>IF(BI319=1,IF(BC318=MiscData!$F$1,EOMONTH(BC318,-11),EOMONTH(BC318,1)),BC318)</f>
        <v>41912</v>
      </c>
      <c r="BD319" s="275" t="str">
        <f t="shared" si="225"/>
        <v>20140101LGCME591</v>
      </c>
      <c r="BE319" s="294" t="str">
        <f t="shared" si="226"/>
        <v>20140101TODS</v>
      </c>
      <c r="BF319">
        <f>MiscData!$X$5</f>
        <v>20140101</v>
      </c>
      <c r="BI319" s="265">
        <f>IF(BI318+1&gt;MiscData!$Z$42,1,BI318+1)</f>
        <v>12</v>
      </c>
      <c r="BJ319" s="265" t="str">
        <f>VLOOKUP(BI319,MiscData!$Z$5:$AB$46,2,FALSE)</f>
        <v>LGCME591</v>
      </c>
      <c r="BK319" s="265" t="str">
        <f>VLOOKUP(BI319,MiscData!$Z$5:$AB$46,3,FALSE)</f>
        <v>TODS</v>
      </c>
    </row>
    <row r="320" spans="1:63" hidden="1">
      <c r="A320" s="275">
        <v>303</v>
      </c>
      <c r="B320" s="276" t="str">
        <f t="shared" si="218"/>
        <v>Sep 2014</v>
      </c>
      <c r="C320" s="277" t="str">
        <f t="shared" si="219"/>
        <v>CTODP</v>
      </c>
      <c r="D320" s="277" t="str">
        <f t="shared" si="220"/>
        <v>LGCME593</v>
      </c>
      <c r="E320" s="278">
        <f t="shared" si="187"/>
        <v>35</v>
      </c>
      <c r="F320" s="279">
        <v>0</v>
      </c>
      <c r="G320" s="278">
        <f t="shared" si="188"/>
        <v>0</v>
      </c>
      <c r="H320" s="278">
        <f t="shared" si="189"/>
        <v>0</v>
      </c>
      <c r="I320" s="278">
        <f t="shared" si="190"/>
        <v>0</v>
      </c>
      <c r="J320" s="278">
        <f t="shared" si="191"/>
        <v>37554466</v>
      </c>
      <c r="K320" s="280">
        <v>0</v>
      </c>
      <c r="L320" s="281">
        <f t="shared" si="192"/>
        <v>83908.62</v>
      </c>
      <c r="M320" s="281">
        <f t="shared" si="193"/>
        <v>81618.2</v>
      </c>
      <c r="N320" s="281">
        <f t="shared" si="194"/>
        <v>80941.509999999995</v>
      </c>
      <c r="O320" s="282">
        <v>0</v>
      </c>
      <c r="P320" s="282">
        <v>0</v>
      </c>
      <c r="Q320" s="282">
        <v>0</v>
      </c>
      <c r="R320" s="283">
        <f t="shared" si="195"/>
        <v>300</v>
      </c>
      <c r="S320" s="284">
        <f t="shared" si="230"/>
        <v>3.8100000000000002E-2</v>
      </c>
      <c r="T320" s="284">
        <f t="shared" si="196"/>
        <v>0</v>
      </c>
      <c r="U320" s="284">
        <f t="shared" si="197"/>
        <v>0</v>
      </c>
      <c r="V320" s="284">
        <f t="shared" si="198"/>
        <v>2.725E-2</v>
      </c>
      <c r="W320" s="283">
        <f t="shared" si="199"/>
        <v>3.9800000000000004</v>
      </c>
      <c r="X320" s="283">
        <f t="shared" si="200"/>
        <v>4.13</v>
      </c>
      <c r="Y320" s="283">
        <f t="shared" si="201"/>
        <v>5.83</v>
      </c>
      <c r="Z320" s="285">
        <f t="shared" si="202"/>
        <v>10500</v>
      </c>
      <c r="AA320" s="285">
        <f t="shared" si="203"/>
        <v>1430825.15</v>
      </c>
      <c r="AB320" s="285">
        <f t="shared" si="221"/>
        <v>333956.31</v>
      </c>
      <c r="AC320" s="285">
        <f t="shared" si="222"/>
        <v>337083.17</v>
      </c>
      <c r="AD320" s="285">
        <f t="shared" si="223"/>
        <v>471889</v>
      </c>
      <c r="AE320" s="286">
        <v>0</v>
      </c>
      <c r="AF320" s="287">
        <f t="shared" si="204"/>
        <v>0</v>
      </c>
      <c r="AG320" s="288">
        <f t="shared" si="205"/>
        <v>0</v>
      </c>
      <c r="AH320" s="285">
        <f t="shared" si="227"/>
        <v>1142928.48</v>
      </c>
      <c r="AI320" s="286">
        <v>0</v>
      </c>
      <c r="AJ320" s="286">
        <v>0</v>
      </c>
      <c r="AK320" s="286">
        <v>0</v>
      </c>
      <c r="AL320" s="285">
        <f t="shared" si="206"/>
        <v>2584253.63</v>
      </c>
      <c r="AM320" s="285">
        <f t="shared" si="207"/>
        <v>2584254</v>
      </c>
      <c r="AN320" s="289">
        <f t="shared" si="224"/>
        <v>1</v>
      </c>
      <c r="AO320" s="290">
        <f t="shared" si="208"/>
        <v>-191641</v>
      </c>
      <c r="AP320" s="290">
        <f t="shared" si="209"/>
        <v>90511</v>
      </c>
      <c r="AQ320" s="290">
        <f t="shared" si="210"/>
        <v>127568</v>
      </c>
      <c r="AR320" s="290">
        <f t="shared" si="211"/>
        <v>0</v>
      </c>
      <c r="AS320" s="290">
        <f t="shared" si="212"/>
        <v>0</v>
      </c>
      <c r="AT320" s="290">
        <f t="shared" si="213"/>
        <v>2610692</v>
      </c>
      <c r="AU320" s="291">
        <f t="shared" si="214"/>
        <v>2610691.63</v>
      </c>
      <c r="AV320" s="291">
        <f t="shared" si="233"/>
        <v>0.37</v>
      </c>
      <c r="AW320" s="292">
        <f t="shared" si="216"/>
        <v>1023359.2</v>
      </c>
      <c r="AX320" s="293">
        <f t="shared" si="217"/>
        <v>407465.94999999995</v>
      </c>
      <c r="BC320" s="276">
        <f>IF(BI320=1,IF(BC319=MiscData!$F$1,EOMONTH(BC319,-11),EOMONTH(BC319,1)),BC319)</f>
        <v>41912</v>
      </c>
      <c r="BD320" s="275" t="str">
        <f t="shared" si="225"/>
        <v>20140101LGCME593</v>
      </c>
      <c r="BE320" s="294" t="str">
        <f t="shared" si="226"/>
        <v>20140101CTODP</v>
      </c>
      <c r="BF320">
        <f>MiscData!$X$5</f>
        <v>20140101</v>
      </c>
      <c r="BI320" s="265">
        <f>IF(BI319+1&gt;MiscData!$Z$42,1,BI319+1)</f>
        <v>13</v>
      </c>
      <c r="BJ320" s="265" t="str">
        <f>VLOOKUP(BI320,MiscData!$Z$5:$AB$46,2,FALSE)</f>
        <v>LGCME593</v>
      </c>
      <c r="BK320" s="265" t="str">
        <f>VLOOKUP(BI320,MiscData!$Z$5:$AB$46,3,FALSE)</f>
        <v>CTODP</v>
      </c>
    </row>
    <row r="321" spans="1:63" hidden="1">
      <c r="A321" s="275">
        <v>304</v>
      </c>
      <c r="B321" s="276" t="str">
        <f t="shared" si="218"/>
        <v>Sep 2014</v>
      </c>
      <c r="C321" s="277" t="str">
        <f t="shared" si="219"/>
        <v>GS3</v>
      </c>
      <c r="D321" s="277" t="str">
        <f t="shared" si="220"/>
        <v>LGCME650</v>
      </c>
      <c r="E321" s="278">
        <f t="shared" si="187"/>
        <v>0</v>
      </c>
      <c r="F321" s="279">
        <v>0</v>
      </c>
      <c r="G321" s="278">
        <f t="shared" si="188"/>
        <v>0</v>
      </c>
      <c r="H321" s="278">
        <f t="shared" si="189"/>
        <v>0</v>
      </c>
      <c r="I321" s="278">
        <f t="shared" si="190"/>
        <v>0</v>
      </c>
      <c r="J321" s="278">
        <f t="shared" si="191"/>
        <v>0</v>
      </c>
      <c r="K321" s="280">
        <v>0</v>
      </c>
      <c r="L321" s="281">
        <f t="shared" si="192"/>
        <v>0</v>
      </c>
      <c r="M321" s="281">
        <f t="shared" si="193"/>
        <v>0</v>
      </c>
      <c r="N321" s="281">
        <f t="shared" si="194"/>
        <v>0</v>
      </c>
      <c r="O321" s="282">
        <v>0</v>
      </c>
      <c r="P321" s="282">
        <v>0</v>
      </c>
      <c r="Q321" s="282">
        <v>0</v>
      </c>
      <c r="R321" s="283">
        <f t="shared" si="195"/>
        <v>35</v>
      </c>
      <c r="S321" s="284">
        <f t="shared" si="230"/>
        <v>9.1340000000000005E-2</v>
      </c>
      <c r="T321" s="284">
        <f t="shared" si="196"/>
        <v>0</v>
      </c>
      <c r="U321" s="284">
        <f t="shared" si="197"/>
        <v>0</v>
      </c>
      <c r="V321" s="284">
        <f t="shared" si="198"/>
        <v>2.725E-2</v>
      </c>
      <c r="W321" s="283">
        <f t="shared" si="199"/>
        <v>0</v>
      </c>
      <c r="X321" s="283">
        <f t="shared" si="200"/>
        <v>0</v>
      </c>
      <c r="Y321" s="283">
        <f t="shared" si="201"/>
        <v>0</v>
      </c>
      <c r="Z321" s="285">
        <f t="shared" si="202"/>
        <v>0</v>
      </c>
      <c r="AA321" s="285">
        <f t="shared" si="203"/>
        <v>0</v>
      </c>
      <c r="AB321" s="285">
        <f t="shared" si="221"/>
        <v>0</v>
      </c>
      <c r="AC321" s="285">
        <f t="shared" si="222"/>
        <v>0</v>
      </c>
      <c r="AD321" s="285">
        <f t="shared" si="223"/>
        <v>0</v>
      </c>
      <c r="AE321" s="286">
        <v>0</v>
      </c>
      <c r="AF321" s="287">
        <f t="shared" si="204"/>
        <v>0</v>
      </c>
      <c r="AG321" s="288">
        <f t="shared" si="205"/>
        <v>0</v>
      </c>
      <c r="AH321" s="285">
        <f t="shared" si="227"/>
        <v>0</v>
      </c>
      <c r="AI321" s="286">
        <v>0</v>
      </c>
      <c r="AJ321" s="286">
        <v>0</v>
      </c>
      <c r="AK321" s="286">
        <v>0</v>
      </c>
      <c r="AL321" s="285">
        <f t="shared" si="206"/>
        <v>0</v>
      </c>
      <c r="AM321" s="285">
        <f t="shared" si="207"/>
        <v>0</v>
      </c>
      <c r="AN321" s="289">
        <f t="shared" si="224"/>
        <v>1</v>
      </c>
      <c r="AO321" s="290">
        <f t="shared" si="208"/>
        <v>0</v>
      </c>
      <c r="AP321" s="290">
        <f t="shared" si="209"/>
        <v>0</v>
      </c>
      <c r="AQ321" s="290">
        <f t="shared" si="210"/>
        <v>0</v>
      </c>
      <c r="AR321" s="290">
        <f t="shared" si="211"/>
        <v>0</v>
      </c>
      <c r="AS321" s="290">
        <f t="shared" si="212"/>
        <v>0</v>
      </c>
      <c r="AT321" s="290">
        <f t="shared" si="213"/>
        <v>0</v>
      </c>
      <c r="AU321" s="291">
        <f t="shared" si="214"/>
        <v>0</v>
      </c>
      <c r="AV321" s="291">
        <f t="shared" si="231"/>
        <v>0</v>
      </c>
      <c r="AW321" s="292">
        <f t="shared" si="216"/>
        <v>0</v>
      </c>
      <c r="AX321" s="293">
        <f t="shared" si="217"/>
        <v>0</v>
      </c>
      <c r="BC321" s="276">
        <f>IF(BI321=1,IF(BC320=MiscData!$F$1,EOMONTH(BC320,-11),EOMONTH(BC320,1)),BC320)</f>
        <v>41912</v>
      </c>
      <c r="BD321" s="275" t="str">
        <f t="shared" si="225"/>
        <v>20140101LGCME650</v>
      </c>
      <c r="BE321" s="294" t="str">
        <f t="shared" si="226"/>
        <v>20140101GS3</v>
      </c>
      <c r="BF321">
        <f>MiscData!$X$5</f>
        <v>20140101</v>
      </c>
      <c r="BI321" s="265">
        <f>IF(BI320+1&gt;MiscData!$Z$42,1,BI320+1)</f>
        <v>14</v>
      </c>
      <c r="BJ321" s="265" t="str">
        <f>VLOOKUP(BI321,MiscData!$Z$5:$AB$46,2,FALSE)</f>
        <v>LGCME650</v>
      </c>
      <c r="BK321" s="265" t="str">
        <f>VLOOKUP(BI321,MiscData!$Z$5:$AB$46,3,FALSE)</f>
        <v>GS3</v>
      </c>
    </row>
    <row r="322" spans="1:63" hidden="1">
      <c r="A322" s="275">
        <v>305</v>
      </c>
      <c r="B322" s="276" t="str">
        <f t="shared" si="218"/>
        <v>Sep 2014</v>
      </c>
      <c r="C322" s="277" t="str">
        <f t="shared" si="219"/>
        <v>GS3</v>
      </c>
      <c r="D322" s="277" t="str">
        <f t="shared" si="220"/>
        <v>LGCME651</v>
      </c>
      <c r="E322" s="278">
        <f t="shared" si="187"/>
        <v>16286</v>
      </c>
      <c r="F322" s="279">
        <v>0</v>
      </c>
      <c r="G322" s="278">
        <f t="shared" si="188"/>
        <v>0</v>
      </c>
      <c r="H322" s="278">
        <f t="shared" si="189"/>
        <v>0</v>
      </c>
      <c r="I322" s="278">
        <f t="shared" si="190"/>
        <v>0</v>
      </c>
      <c r="J322" s="278">
        <f t="shared" si="191"/>
        <v>95834898</v>
      </c>
      <c r="K322" s="280">
        <v>0</v>
      </c>
      <c r="L322" s="281">
        <f t="shared" si="192"/>
        <v>226848.68</v>
      </c>
      <c r="M322" s="281">
        <f t="shared" si="193"/>
        <v>0</v>
      </c>
      <c r="N322" s="281">
        <f t="shared" si="194"/>
        <v>0</v>
      </c>
      <c r="O322" s="282">
        <v>0</v>
      </c>
      <c r="P322" s="282">
        <v>0</v>
      </c>
      <c r="Q322" s="282">
        <v>0</v>
      </c>
      <c r="R322" s="283">
        <f t="shared" si="195"/>
        <v>35</v>
      </c>
      <c r="S322" s="284">
        <f t="shared" si="230"/>
        <v>9.1340000000000005E-2</v>
      </c>
      <c r="T322" s="284">
        <f t="shared" si="196"/>
        <v>0</v>
      </c>
      <c r="U322" s="284">
        <f t="shared" si="197"/>
        <v>0</v>
      </c>
      <c r="V322" s="284">
        <f t="shared" si="198"/>
        <v>2.725E-2</v>
      </c>
      <c r="W322" s="283">
        <f t="shared" si="199"/>
        <v>0</v>
      </c>
      <c r="X322" s="283">
        <f t="shared" si="200"/>
        <v>0</v>
      </c>
      <c r="Y322" s="283">
        <f t="shared" si="201"/>
        <v>0</v>
      </c>
      <c r="Z322" s="285">
        <f t="shared" si="202"/>
        <v>570010</v>
      </c>
      <c r="AA322" s="285">
        <f t="shared" si="203"/>
        <v>8753559.5800000001</v>
      </c>
      <c r="AB322" s="285">
        <f t="shared" si="221"/>
        <v>0</v>
      </c>
      <c r="AC322" s="285">
        <f t="shared" si="222"/>
        <v>0</v>
      </c>
      <c r="AD322" s="285">
        <f t="shared" si="223"/>
        <v>0</v>
      </c>
      <c r="AE322" s="286">
        <v>0</v>
      </c>
      <c r="AF322" s="287">
        <f t="shared" si="204"/>
        <v>0</v>
      </c>
      <c r="AG322" s="288">
        <f t="shared" si="205"/>
        <v>0</v>
      </c>
      <c r="AH322" s="285">
        <f t="shared" si="227"/>
        <v>0</v>
      </c>
      <c r="AI322" s="286">
        <v>0</v>
      </c>
      <c r="AJ322" s="286">
        <v>0</v>
      </c>
      <c r="AK322" s="286">
        <v>0</v>
      </c>
      <c r="AL322" s="285">
        <f t="shared" si="206"/>
        <v>9323569.5800000001</v>
      </c>
      <c r="AM322" s="285">
        <f t="shared" si="207"/>
        <v>9323564</v>
      </c>
      <c r="AN322" s="289">
        <f t="shared" si="224"/>
        <v>0.99999899999999997</v>
      </c>
      <c r="AO322" s="290">
        <f t="shared" si="208"/>
        <v>-489046</v>
      </c>
      <c r="AP322" s="290">
        <f t="shared" si="209"/>
        <v>230973</v>
      </c>
      <c r="AQ322" s="290">
        <f t="shared" si="210"/>
        <v>325540</v>
      </c>
      <c r="AR322" s="290">
        <f t="shared" si="211"/>
        <v>0</v>
      </c>
      <c r="AS322" s="290">
        <f t="shared" si="212"/>
        <v>0</v>
      </c>
      <c r="AT322" s="290">
        <f t="shared" si="213"/>
        <v>9391031</v>
      </c>
      <c r="AU322" s="291">
        <f t="shared" si="214"/>
        <v>9391036.5800000001</v>
      </c>
      <c r="AV322" s="291">
        <f t="shared" si="231"/>
        <v>-5.5800000000745058</v>
      </c>
      <c r="AW322" s="292">
        <f t="shared" si="216"/>
        <v>2611500.9700000002</v>
      </c>
      <c r="AX322" s="293">
        <f t="shared" si="217"/>
        <v>6142058.6099999994</v>
      </c>
      <c r="BC322" s="276">
        <f>IF(BI322=1,IF(BC321=MiscData!$F$1,EOMONTH(BC321,-11),EOMONTH(BC321,1)),BC321)</f>
        <v>41912</v>
      </c>
      <c r="BD322" s="275" t="str">
        <f t="shared" si="225"/>
        <v>20140101LGCME651</v>
      </c>
      <c r="BE322" s="294" t="str">
        <f t="shared" si="226"/>
        <v>20140101GS3</v>
      </c>
      <c r="BF322">
        <f>MiscData!$X$5</f>
        <v>20140101</v>
      </c>
      <c r="BI322" s="265">
        <f>IF(BI321+1&gt;MiscData!$Z$42,1,BI321+1)</f>
        <v>15</v>
      </c>
      <c r="BJ322" s="265" t="str">
        <f>VLOOKUP(BI322,MiscData!$Z$5:$AB$46,2,FALSE)</f>
        <v>LGCME651</v>
      </c>
      <c r="BK322" s="265" t="str">
        <f>VLOOKUP(BI322,MiscData!$Z$5:$AB$46,3,FALSE)</f>
        <v>GS3</v>
      </c>
    </row>
    <row r="323" spans="1:63" hidden="1">
      <c r="A323" s="275">
        <v>306</v>
      </c>
      <c r="B323" s="276" t="str">
        <f t="shared" si="218"/>
        <v>Sep 2014</v>
      </c>
      <c r="C323" s="277" t="str">
        <f t="shared" si="219"/>
        <v>GS3</v>
      </c>
      <c r="D323" s="277" t="str">
        <f t="shared" si="220"/>
        <v>LGCME652</v>
      </c>
      <c r="E323" s="278">
        <f t="shared" si="187"/>
        <v>0</v>
      </c>
      <c r="F323" s="279">
        <f>-E323</f>
        <v>0</v>
      </c>
      <c r="G323" s="278">
        <f t="shared" si="188"/>
        <v>0</v>
      </c>
      <c r="H323" s="278">
        <f t="shared" si="189"/>
        <v>0</v>
      </c>
      <c r="I323" s="278">
        <f t="shared" si="190"/>
        <v>0</v>
      </c>
      <c r="J323" s="278">
        <f t="shared" si="191"/>
        <v>0</v>
      </c>
      <c r="K323" s="280">
        <v>0</v>
      </c>
      <c r="L323" s="281">
        <f t="shared" si="192"/>
        <v>0</v>
      </c>
      <c r="M323" s="281">
        <f t="shared" si="193"/>
        <v>0</v>
      </c>
      <c r="N323" s="281">
        <f t="shared" si="194"/>
        <v>0</v>
      </c>
      <c r="O323" s="282">
        <v>0</v>
      </c>
      <c r="P323" s="282">
        <v>0</v>
      </c>
      <c r="Q323" s="282">
        <v>0</v>
      </c>
      <c r="R323" s="283">
        <f t="shared" si="195"/>
        <v>0</v>
      </c>
      <c r="S323" s="284">
        <f t="shared" si="230"/>
        <v>9.1340000000000005E-2</v>
      </c>
      <c r="T323" s="284">
        <f t="shared" si="196"/>
        <v>0</v>
      </c>
      <c r="U323" s="284">
        <f t="shared" si="197"/>
        <v>0</v>
      </c>
      <c r="V323" s="284">
        <f t="shared" si="198"/>
        <v>2.725E-2</v>
      </c>
      <c r="W323" s="283">
        <f t="shared" si="199"/>
        <v>0</v>
      </c>
      <c r="X323" s="283">
        <f t="shared" si="200"/>
        <v>0</v>
      </c>
      <c r="Y323" s="283">
        <f t="shared" si="201"/>
        <v>0</v>
      </c>
      <c r="Z323" s="285">
        <f t="shared" si="202"/>
        <v>0</v>
      </c>
      <c r="AA323" s="285">
        <f t="shared" si="203"/>
        <v>0</v>
      </c>
      <c r="AB323" s="285">
        <f t="shared" si="221"/>
        <v>0</v>
      </c>
      <c r="AC323" s="285">
        <f t="shared" si="222"/>
        <v>0</v>
      </c>
      <c r="AD323" s="285">
        <f t="shared" si="223"/>
        <v>0</v>
      </c>
      <c r="AE323" s="286">
        <v>0</v>
      </c>
      <c r="AF323" s="287">
        <f t="shared" si="204"/>
        <v>0</v>
      </c>
      <c r="AG323" s="288">
        <f t="shared" si="205"/>
        <v>0</v>
      </c>
      <c r="AH323" s="285">
        <f t="shared" si="227"/>
        <v>0</v>
      </c>
      <c r="AI323" s="286">
        <v>0</v>
      </c>
      <c r="AJ323" s="286">
        <v>0</v>
      </c>
      <c r="AK323" s="286">
        <v>0</v>
      </c>
      <c r="AL323" s="285">
        <f t="shared" si="206"/>
        <v>0</v>
      </c>
      <c r="AM323" s="285">
        <f t="shared" si="207"/>
        <v>0</v>
      </c>
      <c r="AN323" s="289">
        <f t="shared" si="224"/>
        <v>1</v>
      </c>
      <c r="AO323" s="290">
        <f t="shared" si="208"/>
        <v>0</v>
      </c>
      <c r="AP323" s="290">
        <f t="shared" si="209"/>
        <v>0</v>
      </c>
      <c r="AQ323" s="290">
        <f t="shared" si="210"/>
        <v>0</v>
      </c>
      <c r="AR323" s="290">
        <f t="shared" si="211"/>
        <v>0</v>
      </c>
      <c r="AS323" s="290">
        <f t="shared" si="212"/>
        <v>0</v>
      </c>
      <c r="AT323" s="290">
        <f t="shared" si="213"/>
        <v>0</v>
      </c>
      <c r="AU323" s="291">
        <f t="shared" si="214"/>
        <v>0</v>
      </c>
      <c r="AV323" s="291">
        <f t="shared" si="231"/>
        <v>0</v>
      </c>
      <c r="AW323" s="292">
        <f t="shared" si="216"/>
        <v>0</v>
      </c>
      <c r="AX323" s="293">
        <f t="shared" si="217"/>
        <v>0</v>
      </c>
      <c r="BC323" s="276">
        <f>IF(BI323=1,IF(BC322=MiscData!$F$1,EOMONTH(BC322,-11),EOMONTH(BC322,1)),BC322)</f>
        <v>41912</v>
      </c>
      <c r="BD323" s="275" t="str">
        <f t="shared" si="225"/>
        <v>20140101LGCME652</v>
      </c>
      <c r="BE323" s="294" t="str">
        <f t="shared" si="226"/>
        <v>20140101GS3</v>
      </c>
      <c r="BF323">
        <f>MiscData!$X$5</f>
        <v>20140101</v>
      </c>
      <c r="BI323" s="265">
        <f>IF(BI322+1&gt;MiscData!$Z$42,1,BI322+1)</f>
        <v>16</v>
      </c>
      <c r="BJ323" s="265" t="str">
        <f>VLOOKUP(BI323,MiscData!$Z$5:$AB$46,2,FALSE)</f>
        <v>LGCME652</v>
      </c>
      <c r="BK323" s="265" t="str">
        <f>VLOOKUP(BI323,MiscData!$Z$5:$AB$46,3,FALSE)</f>
        <v>GS3</v>
      </c>
    </row>
    <row r="324" spans="1:63" hidden="1">
      <c r="A324" s="275">
        <v>307</v>
      </c>
      <c r="B324" s="276" t="str">
        <f t="shared" si="218"/>
        <v>Sep 2014</v>
      </c>
      <c r="C324" s="277" t="str">
        <f t="shared" si="219"/>
        <v>GS3</v>
      </c>
      <c r="D324" s="277" t="str">
        <f t="shared" si="220"/>
        <v>LGCME657</v>
      </c>
      <c r="E324" s="278">
        <f t="shared" ref="E324:E387" si="234">SUMIFS(L_1022_Count,L_1022_Revenue_Month,$B324,L_1022_Rate_Category,$D324)</f>
        <v>0</v>
      </c>
      <c r="F324" s="279">
        <v>0</v>
      </c>
      <c r="G324" s="278">
        <f t="shared" ref="G324:G387" si="235">SUMIFS(L_1022_KWH_P1,L_1022_Revenue_Month,$B324,L_1022_Rate_Category,$D324)</f>
        <v>0</v>
      </c>
      <c r="H324" s="278">
        <f t="shared" ref="H324:H387" si="236">SUMIFS(L_1022_KWH_P2,L_1022_Revenue_Month,$B324,L_1022_Rate_Category,$D324)</f>
        <v>0</v>
      </c>
      <c r="I324" s="278">
        <f t="shared" ref="I324:I387" si="237">SUMIFS(L_1022_KWH_P3,L_1022_Revenue_Month,$B324,L_1022_Rate_Category,$D324)</f>
        <v>0</v>
      </c>
      <c r="J324" s="278">
        <f t="shared" ref="J324:J387" si="238">SUMIFS(L_1022_KWH_Total,L_1022_Revenue_Month,$B324,L_1022_Rate_Category,$D324)</f>
        <v>0</v>
      </c>
      <c r="K324" s="280">
        <v>0</v>
      </c>
      <c r="L324" s="281">
        <f t="shared" ref="L324:L387" si="239">SUMIFS(L_1022_Demand_Base_Measured,L_1022_Revenue_Month,$B324,L_1022_Rate_Category,$D324)</f>
        <v>0</v>
      </c>
      <c r="M324" s="281">
        <f t="shared" ref="M324:M387" si="240">SUMIFS(L_1022_Demand_Inter_Measured,L_1022_Revenue_Month,$B324,L_1022_Rate_Category,$D324)</f>
        <v>0</v>
      </c>
      <c r="N324" s="281">
        <f t="shared" ref="N324:N387" si="241">SUMIFS(L_1022_Demand_Peak_Measured,L_1022_Revenue_Month,$B324,L_1022_Rate_Category,$D324)</f>
        <v>0</v>
      </c>
      <c r="O324" s="282">
        <v>0</v>
      </c>
      <c r="P324" s="282">
        <v>0</v>
      </c>
      <c r="Q324" s="282">
        <v>0</v>
      </c>
      <c r="R324" s="283">
        <f t="shared" ref="R324:R387" si="242">SUMIF(L_Rates_Tariff_Rate_Category,BD324,L_Rates_BSC)</f>
        <v>35</v>
      </c>
      <c r="S324" s="284">
        <f t="shared" si="230"/>
        <v>9.1340000000000005E-2</v>
      </c>
      <c r="T324" s="284">
        <f t="shared" ref="T324:T387" si="243">SUMIF(L_Rates_Tariff_Rate_Category,$BD324,L_Rates_Energy_P2)</f>
        <v>0</v>
      </c>
      <c r="U324" s="284">
        <f t="shared" ref="U324:U387" si="244">SUMIF(L_Rates_Tariff_Rate_Category,$BD324,L_Rates_Energy_P3)</f>
        <v>0</v>
      </c>
      <c r="V324" s="284">
        <f t="shared" ref="V324:V387" si="245">SUMIF(L_Rates_Tariff_Rate_Category,$BD324,L_Rates_Energy_Base_Fuel)</f>
        <v>2.725E-2</v>
      </c>
      <c r="W324" s="283">
        <f t="shared" ref="W324:W387" si="246">SUMIF(L_Rates_Tariff_Rate_Category,$BD324,L_Rates_Demand_Base)</f>
        <v>0</v>
      </c>
      <c r="X324" s="283">
        <f t="shared" ref="X324:X387" si="247">SUMIF(L_Rates_Tariff_Rate_Category,$BD324,L_Rates_Demand_Intermediate)</f>
        <v>0</v>
      </c>
      <c r="Y324" s="283">
        <f t="shared" ref="Y324:Y387" si="248">SUMIF(L_Rates_Tariff_Rate_Category,$BD324,L_Rates_Demand_Peak)</f>
        <v>0</v>
      </c>
      <c r="Z324" s="285">
        <f t="shared" ref="Z324:Z387" si="249">ROUND(($E324+$F324)*$R324,2)</f>
        <v>0</v>
      </c>
      <c r="AA324" s="285">
        <f t="shared" ref="AA324:AA387" si="250">ROUND(IF(G324=0,(J324+K324)*S324,SUMPRODUCT(G324:I324,S324:U324)),2)</f>
        <v>0</v>
      </c>
      <c r="AB324" s="285">
        <f t="shared" si="221"/>
        <v>0</v>
      </c>
      <c r="AC324" s="285">
        <f t="shared" si="222"/>
        <v>0</v>
      </c>
      <c r="AD324" s="285">
        <f t="shared" si="223"/>
        <v>0</v>
      </c>
      <c r="AE324" s="286">
        <v>0</v>
      </c>
      <c r="AF324" s="287">
        <f t="shared" ref="AF324:AF387" si="251">SUMIFS(L_1022_Revenue_Power_Factor,L_1022_Revenue_Month,$B324,L_1022_Rate_Category,$D324)</f>
        <v>0</v>
      </c>
      <c r="AG324" s="288">
        <f t="shared" ref="AG324:AG387" si="252">ROUND(Q324*Y324+P324*X324+O324*W324,2)</f>
        <v>0</v>
      </c>
      <c r="AH324" s="285">
        <f t="shared" si="227"/>
        <v>0</v>
      </c>
      <c r="AI324" s="286">
        <v>0</v>
      </c>
      <c r="AJ324" s="286">
        <v>0</v>
      </c>
      <c r="AK324" s="286">
        <v>0</v>
      </c>
      <c r="AL324" s="285">
        <f t="shared" ref="AL324:AL387" si="253">SUM(Z324:AG324,AI324:AK324)</f>
        <v>0</v>
      </c>
      <c r="AM324" s="285">
        <f t="shared" ref="AM324:AM387" si="254">AT324-SUM(AO324:AS324)</f>
        <v>0</v>
      </c>
      <c r="AN324" s="289">
        <f t="shared" si="224"/>
        <v>1</v>
      </c>
      <c r="AO324" s="290">
        <f t="shared" ref="AO324:AO387" si="255">SUMIFS(L_SBR_FAC,L_SBR_Revenue_Month,$B324,L_SBR_Rate_Category,$D324)</f>
        <v>0</v>
      </c>
      <c r="AP324" s="290">
        <f t="shared" ref="AP324:AP387" si="256">SUMIFS(L_SBR_DSM,L_SBR_Revenue_Month,$B324,L_SBR_Rate_Category,$D324)</f>
        <v>0</v>
      </c>
      <c r="AQ324" s="290">
        <f t="shared" ref="AQ324:AQ387" si="257">SUMIFS(L_SBR_ECR,L_SBR_Revenue_Month,$B324,L_SBR_Rate_Category,$D324)</f>
        <v>0</v>
      </c>
      <c r="AR324" s="290">
        <f t="shared" ref="AR324:AR387" si="258">SUMIFS(L_SBR_MSR,L_SBR_Revenue_Month,$B324,L_SBR_Rate_Category,$D324)</f>
        <v>0</v>
      </c>
      <c r="AS324" s="290">
        <f t="shared" ref="AS324:AS387" si="259">SUMIFS(L_SBR_CSR,L_SBR_Revenue_Month,$B324,L_SBR_Rate_Category,$D324)</f>
        <v>0</v>
      </c>
      <c r="AT324" s="290">
        <f t="shared" ref="AT324:AT387" si="260">SUMIFS(L_SBR_Revenue_Total,L_SBR_Revenue_Month,$B324,L_SBR_Rate_Category,$D324)</f>
        <v>0</v>
      </c>
      <c r="AU324" s="291">
        <f t="shared" ref="AU324:AU387" si="261">SUM(AL324,AO324:AS324)</f>
        <v>0</v>
      </c>
      <c r="AV324" s="291">
        <f t="shared" si="231"/>
        <v>0</v>
      </c>
      <c r="AW324" s="292">
        <f t="shared" ref="AW324:AW387" si="262">ROUND(J324*V324,2)</f>
        <v>0</v>
      </c>
      <c r="AX324" s="293">
        <f t="shared" ref="AX324:AX387" si="263">AA324+AJ324-AW324</f>
        <v>0</v>
      </c>
      <c r="BC324" s="276">
        <f>IF(BI324=1,IF(BC323=MiscData!$F$1,EOMONTH(BC323,-11),EOMONTH(BC323,1)),BC323)</f>
        <v>41912</v>
      </c>
      <c r="BD324" s="275" t="str">
        <f t="shared" si="225"/>
        <v>20140101LGCME657</v>
      </c>
      <c r="BE324" s="294" t="str">
        <f t="shared" si="226"/>
        <v>20140101GS3</v>
      </c>
      <c r="BF324">
        <f>MiscData!$X$5</f>
        <v>20140101</v>
      </c>
      <c r="BI324" s="265">
        <f>IF(BI323+1&gt;MiscData!$Z$42,1,BI323+1)</f>
        <v>17</v>
      </c>
      <c r="BJ324" s="265" t="str">
        <f>VLOOKUP(BI324,MiscData!$Z$5:$AB$46,2,FALSE)</f>
        <v>LGCME657</v>
      </c>
      <c r="BK324" s="265" t="str">
        <f>VLOOKUP(BI324,MiscData!$Z$5:$AB$46,3,FALSE)</f>
        <v>GS3</v>
      </c>
    </row>
    <row r="325" spans="1:63" hidden="1">
      <c r="A325" s="275">
        <v>308</v>
      </c>
      <c r="B325" s="276" t="str">
        <f t="shared" ref="B325:B388" si="264">TEXT(BC325,"mmm yyyy")</f>
        <v>Sep 2014</v>
      </c>
      <c r="C325" s="277" t="str">
        <f t="shared" ref="C325:C385" si="265">BK325</f>
        <v>LWC</v>
      </c>
      <c r="D325" s="277" t="str">
        <f t="shared" ref="D325:D388" si="266">BJ325</f>
        <v>LGCME671</v>
      </c>
      <c r="E325" s="278">
        <f t="shared" si="234"/>
        <v>2</v>
      </c>
      <c r="F325" s="279">
        <v>0</v>
      </c>
      <c r="G325" s="278">
        <f t="shared" si="235"/>
        <v>0</v>
      </c>
      <c r="H325" s="278">
        <f t="shared" si="236"/>
        <v>0</v>
      </c>
      <c r="I325" s="278">
        <f t="shared" si="237"/>
        <v>0</v>
      </c>
      <c r="J325" s="278">
        <f t="shared" si="238"/>
        <v>5318100</v>
      </c>
      <c r="K325" s="280">
        <v>0</v>
      </c>
      <c r="L325" s="281">
        <f t="shared" si="239"/>
        <v>0</v>
      </c>
      <c r="M325" s="281">
        <f t="shared" si="240"/>
        <v>0</v>
      </c>
      <c r="N325" s="281">
        <f t="shared" si="241"/>
        <v>9450</v>
      </c>
      <c r="O325" s="282">
        <v>0</v>
      </c>
      <c r="P325" s="282">
        <v>0</v>
      </c>
      <c r="Q325" s="282">
        <v>0</v>
      </c>
      <c r="R325" s="283">
        <f t="shared" si="242"/>
        <v>0</v>
      </c>
      <c r="S325" s="284">
        <f t="shared" si="230"/>
        <v>3.7019999999999997E-2</v>
      </c>
      <c r="T325" s="284">
        <f t="shared" si="243"/>
        <v>0</v>
      </c>
      <c r="U325" s="284">
        <f t="shared" si="244"/>
        <v>0</v>
      </c>
      <c r="V325" s="284">
        <f t="shared" si="245"/>
        <v>2.725E-2</v>
      </c>
      <c r="W325" s="283">
        <f t="shared" si="246"/>
        <v>0</v>
      </c>
      <c r="X325" s="283">
        <f t="shared" si="247"/>
        <v>10.35</v>
      </c>
      <c r="Y325" s="283">
        <f t="shared" si="248"/>
        <v>10.35</v>
      </c>
      <c r="Z325" s="285">
        <f t="shared" si="249"/>
        <v>0</v>
      </c>
      <c r="AA325" s="285">
        <f t="shared" si="250"/>
        <v>196876.06</v>
      </c>
      <c r="AB325" s="285">
        <f t="shared" ref="AB325:AB388" si="267">ROUND(L325*W325,2)</f>
        <v>0</v>
      </c>
      <c r="AC325" s="285">
        <f t="shared" ref="AC325:AC388" si="268">ROUND(M325*X325,2)</f>
        <v>0</v>
      </c>
      <c r="AD325" s="285">
        <f t="shared" ref="AD325:AD388" si="269">ROUND(N325*Y325,2)</f>
        <v>97807.5</v>
      </c>
      <c r="AE325" s="286">
        <v>0</v>
      </c>
      <c r="AF325" s="287">
        <f t="shared" si="251"/>
        <v>0</v>
      </c>
      <c r="AG325" s="288">
        <f t="shared" si="252"/>
        <v>0</v>
      </c>
      <c r="AH325" s="285">
        <f t="shared" ref="AH325:AH388" si="270">SUM(AB325:AG325)</f>
        <v>97807.5</v>
      </c>
      <c r="AI325" s="286">
        <v>0</v>
      </c>
      <c r="AJ325" s="286">
        <v>0</v>
      </c>
      <c r="AK325" s="286">
        <v>0</v>
      </c>
      <c r="AL325" s="285">
        <f t="shared" si="253"/>
        <v>294683.56</v>
      </c>
      <c r="AM325" s="285">
        <f t="shared" si="254"/>
        <v>294683.53223598877</v>
      </c>
      <c r="AN325" s="289">
        <f t="shared" ref="AN325:AN388" si="271">IF(AND(AL325=0,AM325=0),1,IF(AL325=0,0,ROUND(AM325/AL325,6)))</f>
        <v>1</v>
      </c>
      <c r="AO325" s="290">
        <f t="shared" si="255"/>
        <v>-27138.309215826801</v>
      </c>
      <c r="AP325" s="290">
        <f t="shared" si="256"/>
        <v>0</v>
      </c>
      <c r="AQ325" s="290">
        <f t="shared" si="257"/>
        <v>18065</v>
      </c>
      <c r="AR325" s="290">
        <f t="shared" si="258"/>
        <v>0</v>
      </c>
      <c r="AS325" s="290">
        <f t="shared" si="259"/>
        <v>0</v>
      </c>
      <c r="AT325" s="290">
        <f t="shared" si="260"/>
        <v>285610.22302016197</v>
      </c>
      <c r="AU325" s="291">
        <f t="shared" si="261"/>
        <v>285610.2507841732</v>
      </c>
      <c r="AV325" s="291">
        <f t="shared" si="231"/>
        <v>-2.7764011232648045E-2</v>
      </c>
      <c r="AW325" s="292">
        <f t="shared" si="262"/>
        <v>144918.23000000001</v>
      </c>
      <c r="AX325" s="293">
        <f t="shared" si="263"/>
        <v>51957.829999999987</v>
      </c>
      <c r="BC325" s="276">
        <f>IF(BI325=1,IF(BC324=MiscData!$F$1,EOMONTH(BC324,-11),EOMONTH(BC324,1)),BC324)</f>
        <v>41912</v>
      </c>
      <c r="BD325" s="275" t="str">
        <f t="shared" ref="BD325:BD388" si="272">CONCATENATE(BF325&amp;BJ325)</f>
        <v>20140101LGCME671</v>
      </c>
      <c r="BE325" s="294" t="str">
        <f t="shared" ref="BE325:BE388" si="273">CONCATENATE(BF325&amp;BK325)</f>
        <v>20140101LWC</v>
      </c>
      <c r="BF325">
        <f>MiscData!$X$5</f>
        <v>20140101</v>
      </c>
      <c r="BI325" s="265">
        <f>IF(BI324+1&gt;MiscData!$Z$42,1,BI324+1)</f>
        <v>18</v>
      </c>
      <c r="BJ325" s="265" t="str">
        <f>VLOOKUP(BI325,MiscData!$Z$5:$AB$46,2,FALSE)</f>
        <v>LGCME671</v>
      </c>
      <c r="BK325" s="265" t="str">
        <f>VLOOKUP(BI325,MiscData!$Z$5:$AB$46,3,FALSE)</f>
        <v>LWC</v>
      </c>
    </row>
    <row r="326" spans="1:63" hidden="1">
      <c r="A326" s="275">
        <v>309</v>
      </c>
      <c r="B326" s="276" t="str">
        <f t="shared" si="264"/>
        <v>Sep 2014</v>
      </c>
      <c r="C326" s="277" t="str">
        <f t="shared" si="265"/>
        <v>CSR</v>
      </c>
      <c r="D326" s="277" t="str">
        <f t="shared" si="266"/>
        <v>LGCSR760</v>
      </c>
      <c r="E326" s="278">
        <f t="shared" si="234"/>
        <v>0</v>
      </c>
      <c r="F326" s="279">
        <v>0</v>
      </c>
      <c r="G326" s="278">
        <f t="shared" si="235"/>
        <v>0</v>
      </c>
      <c r="H326" s="278">
        <f t="shared" si="236"/>
        <v>0</v>
      </c>
      <c r="I326" s="278">
        <f t="shared" si="237"/>
        <v>0</v>
      </c>
      <c r="J326" s="278">
        <f t="shared" si="238"/>
        <v>0</v>
      </c>
      <c r="K326" s="280">
        <v>0</v>
      </c>
      <c r="L326" s="281">
        <f t="shared" si="239"/>
        <v>0</v>
      </c>
      <c r="M326" s="281">
        <f t="shared" si="240"/>
        <v>0</v>
      </c>
      <c r="N326" s="281">
        <f t="shared" si="241"/>
        <v>0</v>
      </c>
      <c r="O326" s="282">
        <v>0</v>
      </c>
      <c r="P326" s="282">
        <v>0</v>
      </c>
      <c r="Q326" s="282">
        <v>0</v>
      </c>
      <c r="R326" s="283">
        <f t="shared" si="242"/>
        <v>0</v>
      </c>
      <c r="S326" s="284">
        <f t="shared" si="230"/>
        <v>0</v>
      </c>
      <c r="T326" s="284">
        <f t="shared" si="243"/>
        <v>0</v>
      </c>
      <c r="U326" s="284">
        <f t="shared" si="244"/>
        <v>0</v>
      </c>
      <c r="V326" s="284">
        <f t="shared" si="245"/>
        <v>0</v>
      </c>
      <c r="W326" s="283">
        <f t="shared" si="246"/>
        <v>0</v>
      </c>
      <c r="X326" s="283">
        <f t="shared" si="247"/>
        <v>0</v>
      </c>
      <c r="Y326" s="283">
        <f t="shared" si="248"/>
        <v>0</v>
      </c>
      <c r="Z326" s="285">
        <f t="shared" si="249"/>
        <v>0</v>
      </c>
      <c r="AA326" s="285">
        <f t="shared" si="250"/>
        <v>0</v>
      </c>
      <c r="AB326" s="285">
        <f t="shared" si="267"/>
        <v>0</v>
      </c>
      <c r="AC326" s="285">
        <f t="shared" si="268"/>
        <v>0</v>
      </c>
      <c r="AD326" s="285">
        <f t="shared" si="269"/>
        <v>0</v>
      </c>
      <c r="AE326" s="286">
        <v>0</v>
      </c>
      <c r="AF326" s="287">
        <f t="shared" si="251"/>
        <v>0</v>
      </c>
      <c r="AG326" s="288">
        <f t="shared" si="252"/>
        <v>0</v>
      </c>
      <c r="AH326" s="285">
        <f t="shared" si="270"/>
        <v>0</v>
      </c>
      <c r="AI326" s="286">
        <v>0</v>
      </c>
      <c r="AJ326" s="286">
        <v>0</v>
      </c>
      <c r="AK326" s="286">
        <v>0</v>
      </c>
      <c r="AL326" s="285">
        <f t="shared" si="253"/>
        <v>0</v>
      </c>
      <c r="AM326" s="285">
        <f t="shared" si="254"/>
        <v>0</v>
      </c>
      <c r="AN326" s="289">
        <f t="shared" si="271"/>
        <v>1</v>
      </c>
      <c r="AO326" s="290">
        <f t="shared" si="255"/>
        <v>0</v>
      </c>
      <c r="AP326" s="290">
        <f t="shared" si="256"/>
        <v>0</v>
      </c>
      <c r="AQ326" s="290">
        <f t="shared" si="257"/>
        <v>0</v>
      </c>
      <c r="AR326" s="290">
        <f t="shared" si="258"/>
        <v>0</v>
      </c>
      <c r="AS326" s="290">
        <f t="shared" si="259"/>
        <v>-221406</v>
      </c>
      <c r="AT326" s="290">
        <f t="shared" si="260"/>
        <v>-221406</v>
      </c>
      <c r="AU326" s="291">
        <f t="shared" si="261"/>
        <v>-221406</v>
      </c>
      <c r="AV326" s="291">
        <f t="shared" si="231"/>
        <v>0</v>
      </c>
      <c r="AW326" s="292">
        <f t="shared" si="262"/>
        <v>0</v>
      </c>
      <c r="AX326" s="293">
        <f t="shared" si="263"/>
        <v>0</v>
      </c>
      <c r="BC326" s="276">
        <f>IF(BI326=1,IF(BC325=MiscData!$F$1,EOMONTH(BC325,-11),EOMONTH(BC325,1)),BC325)</f>
        <v>41912</v>
      </c>
      <c r="BD326" s="275" t="str">
        <f t="shared" si="272"/>
        <v>20140101LGCSR760</v>
      </c>
      <c r="BE326" s="294" t="str">
        <f t="shared" si="273"/>
        <v>20140101CSR</v>
      </c>
      <c r="BF326">
        <f>MiscData!$X$5</f>
        <v>20140101</v>
      </c>
      <c r="BI326" s="265">
        <f>IF(BI325+1&gt;MiscData!$Z$42,1,BI325+1)</f>
        <v>19</v>
      </c>
      <c r="BJ326" s="265" t="str">
        <f>VLOOKUP(BI326,MiscData!$Z$5:$AB$46,2,FALSE)</f>
        <v>LGCSR760</v>
      </c>
      <c r="BK326" s="265" t="str">
        <f>VLOOKUP(BI326,MiscData!$Z$5:$AB$46,3,FALSE)</f>
        <v>CSR</v>
      </c>
    </row>
    <row r="327" spans="1:63" hidden="1">
      <c r="A327" s="275">
        <v>310</v>
      </c>
      <c r="B327" s="276" t="str">
        <f t="shared" si="264"/>
        <v>Sep 2014</v>
      </c>
      <c r="C327" s="277" t="str">
        <f t="shared" si="265"/>
        <v>CSR</v>
      </c>
      <c r="D327" s="277" t="str">
        <f t="shared" si="266"/>
        <v>LGCSR780</v>
      </c>
      <c r="E327" s="278">
        <f t="shared" si="234"/>
        <v>0</v>
      </c>
      <c r="F327" s="279">
        <v>0</v>
      </c>
      <c r="G327" s="278">
        <f t="shared" si="235"/>
        <v>0</v>
      </c>
      <c r="H327" s="278">
        <f t="shared" si="236"/>
        <v>0</v>
      </c>
      <c r="I327" s="278">
        <f t="shared" si="237"/>
        <v>0</v>
      </c>
      <c r="J327" s="278">
        <f t="shared" si="238"/>
        <v>0</v>
      </c>
      <c r="K327" s="280">
        <v>0</v>
      </c>
      <c r="L327" s="281">
        <f t="shared" si="239"/>
        <v>0</v>
      </c>
      <c r="M327" s="281">
        <f t="shared" si="240"/>
        <v>0</v>
      </c>
      <c r="N327" s="281">
        <f t="shared" si="241"/>
        <v>0</v>
      </c>
      <c r="O327" s="282">
        <v>0</v>
      </c>
      <c r="P327" s="282">
        <v>0</v>
      </c>
      <c r="Q327" s="282">
        <v>0</v>
      </c>
      <c r="R327" s="283">
        <f t="shared" si="242"/>
        <v>0</v>
      </c>
      <c r="S327" s="284">
        <f t="shared" si="230"/>
        <v>0</v>
      </c>
      <c r="T327" s="284">
        <f t="shared" si="243"/>
        <v>0</v>
      </c>
      <c r="U327" s="284">
        <f t="shared" si="244"/>
        <v>0</v>
      </c>
      <c r="V327" s="284">
        <f t="shared" si="245"/>
        <v>0</v>
      </c>
      <c r="W327" s="283">
        <f t="shared" si="246"/>
        <v>0</v>
      </c>
      <c r="X327" s="283">
        <f t="shared" si="247"/>
        <v>0</v>
      </c>
      <c r="Y327" s="283">
        <f t="shared" si="248"/>
        <v>0</v>
      </c>
      <c r="Z327" s="285">
        <f t="shared" si="249"/>
        <v>0</v>
      </c>
      <c r="AA327" s="285">
        <f t="shared" si="250"/>
        <v>0</v>
      </c>
      <c r="AB327" s="285">
        <f t="shared" si="267"/>
        <v>0</v>
      </c>
      <c r="AC327" s="285">
        <f t="shared" si="268"/>
        <v>0</v>
      </c>
      <c r="AD327" s="285">
        <f t="shared" si="269"/>
        <v>0</v>
      </c>
      <c r="AE327" s="286">
        <v>0</v>
      </c>
      <c r="AF327" s="287">
        <f t="shared" si="251"/>
        <v>0</v>
      </c>
      <c r="AG327" s="288">
        <f t="shared" si="252"/>
        <v>0</v>
      </c>
      <c r="AH327" s="285">
        <f t="shared" si="270"/>
        <v>0</v>
      </c>
      <c r="AI327" s="286">
        <v>0</v>
      </c>
      <c r="AJ327" s="286">
        <v>0</v>
      </c>
      <c r="AK327" s="286">
        <v>0</v>
      </c>
      <c r="AL327" s="285">
        <f t="shared" si="253"/>
        <v>0</v>
      </c>
      <c r="AM327" s="285">
        <f t="shared" si="254"/>
        <v>0</v>
      </c>
      <c r="AN327" s="289">
        <f t="shared" si="271"/>
        <v>1</v>
      </c>
      <c r="AO327" s="290">
        <f t="shared" si="255"/>
        <v>0</v>
      </c>
      <c r="AP327" s="290">
        <f t="shared" si="256"/>
        <v>0</v>
      </c>
      <c r="AQ327" s="290">
        <f t="shared" si="257"/>
        <v>0</v>
      </c>
      <c r="AR327" s="290">
        <f t="shared" si="258"/>
        <v>0</v>
      </c>
      <c r="AS327" s="290">
        <f t="shared" si="259"/>
        <v>-65120</v>
      </c>
      <c r="AT327" s="290">
        <f t="shared" si="260"/>
        <v>-65120</v>
      </c>
      <c r="AU327" s="291">
        <f t="shared" si="261"/>
        <v>-65120</v>
      </c>
      <c r="AV327" s="291">
        <f t="shared" si="231"/>
        <v>0</v>
      </c>
      <c r="AW327" s="292">
        <f t="shared" si="262"/>
        <v>0</v>
      </c>
      <c r="AX327" s="293">
        <f t="shared" si="263"/>
        <v>0</v>
      </c>
      <c r="BC327" s="276">
        <f>IF(BI327=1,IF(BC326=MiscData!$F$1,EOMONTH(BC326,-11),EOMONTH(BC326,1)),BC326)</f>
        <v>41912</v>
      </c>
      <c r="BD327" s="275" t="str">
        <f t="shared" si="272"/>
        <v>20140101LGCSR780</v>
      </c>
      <c r="BE327" s="294" t="str">
        <f t="shared" si="273"/>
        <v>20140101CSR</v>
      </c>
      <c r="BF327">
        <f>MiscData!$X$5</f>
        <v>20140101</v>
      </c>
      <c r="BI327" s="265">
        <f>IF(BI326+1&gt;MiscData!$Z$42,1,BI326+1)</f>
        <v>20</v>
      </c>
      <c r="BJ327" s="265" t="str">
        <f>VLOOKUP(BI327,MiscData!$Z$5:$AB$46,2,FALSE)</f>
        <v>LGCSR780</v>
      </c>
      <c r="BK327" s="265" t="str">
        <f>VLOOKUP(BI327,MiscData!$Z$5:$AB$46,3,FALSE)</f>
        <v>CSR</v>
      </c>
    </row>
    <row r="328" spans="1:63">
      <c r="A328" s="275">
        <v>311</v>
      </c>
      <c r="B328" s="276" t="str">
        <f t="shared" si="264"/>
        <v>Sep 2014</v>
      </c>
      <c r="C328" s="277" t="str">
        <f t="shared" si="265"/>
        <v>FK</v>
      </c>
      <c r="D328" s="277" t="str">
        <f t="shared" si="266"/>
        <v>LGINE599</v>
      </c>
      <c r="E328" s="278">
        <f t="shared" si="234"/>
        <v>1</v>
      </c>
      <c r="F328" s="279">
        <v>0</v>
      </c>
      <c r="G328" s="278">
        <f t="shared" si="235"/>
        <v>0</v>
      </c>
      <c r="H328" s="278">
        <f t="shared" si="236"/>
        <v>0</v>
      </c>
      <c r="I328" s="278">
        <f t="shared" si="237"/>
        <v>0</v>
      </c>
      <c r="J328" s="278">
        <f t="shared" si="238"/>
        <v>11024000</v>
      </c>
      <c r="K328" s="280">
        <v>0</v>
      </c>
      <c r="L328" s="281">
        <f t="shared" si="239"/>
        <v>0</v>
      </c>
      <c r="M328" s="281">
        <f t="shared" si="240"/>
        <v>0</v>
      </c>
      <c r="N328" s="281">
        <f t="shared" si="241"/>
        <v>20654</v>
      </c>
      <c r="O328" s="282">
        <v>0</v>
      </c>
      <c r="P328" s="282">
        <v>0</v>
      </c>
      <c r="Q328" s="282">
        <v>0</v>
      </c>
      <c r="R328" s="283">
        <f t="shared" si="242"/>
        <v>0</v>
      </c>
      <c r="S328" s="284">
        <f t="shared" si="230"/>
        <v>3.7400000000000003E-2</v>
      </c>
      <c r="T328" s="284">
        <f t="shared" si="243"/>
        <v>0</v>
      </c>
      <c r="U328" s="284">
        <f t="shared" si="244"/>
        <v>0</v>
      </c>
      <c r="V328" s="284">
        <f t="shared" si="245"/>
        <v>2.725E-2</v>
      </c>
      <c r="W328" s="283">
        <f t="shared" si="246"/>
        <v>0</v>
      </c>
      <c r="X328" s="283">
        <f t="shared" si="247"/>
        <v>12.72</v>
      </c>
      <c r="Y328" s="283">
        <f t="shared" si="248"/>
        <v>15.040000000000001</v>
      </c>
      <c r="Z328" s="285">
        <f t="shared" si="249"/>
        <v>0</v>
      </c>
      <c r="AA328" s="285">
        <f t="shared" si="250"/>
        <v>412297.6</v>
      </c>
      <c r="AB328" s="285">
        <f t="shared" si="267"/>
        <v>0</v>
      </c>
      <c r="AC328" s="285">
        <f t="shared" si="268"/>
        <v>0</v>
      </c>
      <c r="AD328" s="285">
        <f t="shared" si="269"/>
        <v>310636.15999999997</v>
      </c>
      <c r="AE328" s="286">
        <v>0</v>
      </c>
      <c r="AF328" s="287">
        <f t="shared" si="251"/>
        <v>0</v>
      </c>
      <c r="AG328" s="288">
        <f t="shared" si="252"/>
        <v>0</v>
      </c>
      <c r="AH328" s="285">
        <f t="shared" si="270"/>
        <v>310636.15999999997</v>
      </c>
      <c r="AI328" s="286">
        <v>0</v>
      </c>
      <c r="AJ328" s="286">
        <v>0</v>
      </c>
      <c r="AK328" s="286">
        <v>0</v>
      </c>
      <c r="AL328" s="285">
        <f t="shared" si="253"/>
        <v>722933.76000000001</v>
      </c>
      <c r="AM328" s="285">
        <f t="shared" si="254"/>
        <v>722934</v>
      </c>
      <c r="AN328" s="289">
        <f t="shared" si="271"/>
        <v>1</v>
      </c>
      <c r="AO328" s="290">
        <f t="shared" si="255"/>
        <v>-56256</v>
      </c>
      <c r="AP328" s="290">
        <f t="shared" si="256"/>
        <v>0</v>
      </c>
      <c r="AQ328" s="290">
        <f t="shared" si="257"/>
        <v>37447</v>
      </c>
      <c r="AR328" s="290">
        <f t="shared" si="258"/>
        <v>0</v>
      </c>
      <c r="AS328" s="290">
        <f t="shared" si="259"/>
        <v>0</v>
      </c>
      <c r="AT328" s="290">
        <f t="shared" si="260"/>
        <v>704125</v>
      </c>
      <c r="AU328" s="291">
        <f t="shared" si="261"/>
        <v>704124.76</v>
      </c>
      <c r="AV328" s="291">
        <f t="shared" si="231"/>
        <v>0.23999999999068677</v>
      </c>
      <c r="AW328" s="292">
        <f t="shared" si="262"/>
        <v>300404</v>
      </c>
      <c r="AX328" s="293">
        <f t="shared" si="263"/>
        <v>111893.59999999998</v>
      </c>
      <c r="BC328" s="276">
        <f>IF(BI328=1,IF(BC327=MiscData!$F$1,EOMONTH(BC327,-11),EOMONTH(BC327,1)),BC327)</f>
        <v>41912</v>
      </c>
      <c r="BD328" s="275" t="str">
        <f t="shared" si="272"/>
        <v>20140101LGINE599</v>
      </c>
      <c r="BE328" s="294" t="str">
        <f t="shared" si="273"/>
        <v>20140101FK</v>
      </c>
      <c r="BF328">
        <f>MiscData!$X$5</f>
        <v>20140101</v>
      </c>
      <c r="BI328" s="265">
        <f>IF(BI327+1&gt;MiscData!$Z$42,1,BI327+1)</f>
        <v>21</v>
      </c>
      <c r="BJ328" s="265" t="str">
        <f>VLOOKUP(BI328,MiscData!$Z$5:$AB$46,2,FALSE)</f>
        <v>LGINE599</v>
      </c>
      <c r="BK328" s="265" t="str">
        <f>VLOOKUP(BI328,MiscData!$Z$5:$AB$46,3,FALSE)</f>
        <v>FK</v>
      </c>
    </row>
    <row r="329" spans="1:63" hidden="1">
      <c r="A329" s="275">
        <v>312</v>
      </c>
      <c r="B329" s="276" t="str">
        <f t="shared" si="264"/>
        <v>Sep 2014</v>
      </c>
      <c r="C329" s="277" t="str">
        <f t="shared" si="265"/>
        <v>RTS</v>
      </c>
      <c r="D329" s="277" t="str">
        <f t="shared" si="266"/>
        <v>LGINE643</v>
      </c>
      <c r="E329" s="278">
        <f t="shared" si="234"/>
        <v>12</v>
      </c>
      <c r="F329" s="279">
        <v>0</v>
      </c>
      <c r="G329" s="278">
        <f t="shared" si="235"/>
        <v>0</v>
      </c>
      <c r="H329" s="278">
        <f t="shared" si="236"/>
        <v>0</v>
      </c>
      <c r="I329" s="278">
        <f t="shared" si="237"/>
        <v>0</v>
      </c>
      <c r="J329" s="278">
        <f t="shared" si="238"/>
        <v>71926801</v>
      </c>
      <c r="K329" s="280">
        <v>0</v>
      </c>
      <c r="L329" s="281">
        <f t="shared" si="239"/>
        <v>156245.81</v>
      </c>
      <c r="M329" s="281">
        <f t="shared" si="240"/>
        <v>152149.41</v>
      </c>
      <c r="N329" s="281">
        <f t="shared" si="241"/>
        <v>94951.62</v>
      </c>
      <c r="O329" s="282">
        <v>0</v>
      </c>
      <c r="P329" s="282">
        <v>0</v>
      </c>
      <c r="Q329" s="282">
        <v>0</v>
      </c>
      <c r="R329" s="283">
        <f t="shared" si="242"/>
        <v>750</v>
      </c>
      <c r="S329" s="284">
        <f t="shared" si="230"/>
        <v>3.61E-2</v>
      </c>
      <c r="T329" s="284">
        <f t="shared" si="243"/>
        <v>0</v>
      </c>
      <c r="U329" s="284">
        <f t="shared" si="244"/>
        <v>0</v>
      </c>
      <c r="V329" s="284">
        <f t="shared" si="245"/>
        <v>2.725E-2</v>
      </c>
      <c r="W329" s="283">
        <f t="shared" si="246"/>
        <v>2.75</v>
      </c>
      <c r="X329" s="283">
        <f t="shared" si="247"/>
        <v>3</v>
      </c>
      <c r="Y329" s="283">
        <f t="shared" si="248"/>
        <v>4.5500000000000007</v>
      </c>
      <c r="Z329" s="285">
        <f t="shared" si="249"/>
        <v>9000</v>
      </c>
      <c r="AA329" s="285">
        <f t="shared" si="250"/>
        <v>2596557.52</v>
      </c>
      <c r="AB329" s="285">
        <f t="shared" si="267"/>
        <v>429675.98</v>
      </c>
      <c r="AC329" s="285">
        <f t="shared" si="268"/>
        <v>456448.23</v>
      </c>
      <c r="AD329" s="285">
        <f t="shared" si="269"/>
        <v>432029.87</v>
      </c>
      <c r="AE329" s="286">
        <v>0</v>
      </c>
      <c r="AF329" s="287">
        <f t="shared" si="251"/>
        <v>0</v>
      </c>
      <c r="AG329" s="288">
        <f t="shared" si="252"/>
        <v>0</v>
      </c>
      <c r="AH329" s="285">
        <f t="shared" si="270"/>
        <v>1318154.08</v>
      </c>
      <c r="AI329" s="286">
        <v>0</v>
      </c>
      <c r="AJ329" s="286">
        <v>0</v>
      </c>
      <c r="AK329" s="286">
        <v>0</v>
      </c>
      <c r="AL329" s="285">
        <f t="shared" si="253"/>
        <v>3923711.6</v>
      </c>
      <c r="AM329" s="285">
        <f t="shared" si="254"/>
        <v>3923712</v>
      </c>
      <c r="AN329" s="289">
        <f t="shared" si="271"/>
        <v>1</v>
      </c>
      <c r="AO329" s="290">
        <f t="shared" si="255"/>
        <v>-367043</v>
      </c>
      <c r="AP329" s="290">
        <f t="shared" si="256"/>
        <v>0</v>
      </c>
      <c r="AQ329" s="290">
        <f t="shared" si="257"/>
        <v>244327</v>
      </c>
      <c r="AR329" s="290">
        <f t="shared" si="258"/>
        <v>0</v>
      </c>
      <c r="AS329" s="290">
        <f t="shared" si="259"/>
        <v>0</v>
      </c>
      <c r="AT329" s="290">
        <f t="shared" si="260"/>
        <v>3800996</v>
      </c>
      <c r="AU329" s="291">
        <f t="shared" si="261"/>
        <v>3800995.6</v>
      </c>
      <c r="AV329" s="291">
        <f t="shared" si="231"/>
        <v>0.39999999990686774</v>
      </c>
      <c r="AW329" s="292">
        <f t="shared" si="262"/>
        <v>1960005.33</v>
      </c>
      <c r="AX329" s="293">
        <f t="shared" si="263"/>
        <v>636552.18999999994</v>
      </c>
      <c r="BC329" s="276">
        <f>IF(BI329=1,IF(BC328=MiscData!$F$1,EOMONTH(BC328,-11),EOMONTH(BC328,1)),BC328)</f>
        <v>41912</v>
      </c>
      <c r="BD329" s="275" t="str">
        <f t="shared" si="272"/>
        <v>20140101LGINE643</v>
      </c>
      <c r="BE329" s="294" t="str">
        <f t="shared" si="273"/>
        <v>20140101RTS</v>
      </c>
      <c r="BF329">
        <f>MiscData!$X$5</f>
        <v>20140101</v>
      </c>
      <c r="BI329" s="265">
        <f>IF(BI328+1&gt;MiscData!$Z$42,1,BI328+1)</f>
        <v>22</v>
      </c>
      <c r="BJ329" s="265" t="str">
        <f>VLOOKUP(BI329,MiscData!$Z$5:$AB$46,2,FALSE)</f>
        <v>LGINE643</v>
      </c>
      <c r="BK329" s="265" t="str">
        <f>VLOOKUP(BI329,MiscData!$Z$5:$AB$46,3,FALSE)</f>
        <v>RTS</v>
      </c>
    </row>
    <row r="330" spans="1:63" hidden="1">
      <c r="A330" s="275">
        <v>313</v>
      </c>
      <c r="B330" s="276" t="str">
        <f t="shared" si="264"/>
        <v>Sep 2014</v>
      </c>
      <c r="C330" s="277" t="str">
        <f t="shared" si="265"/>
        <v>PSS</v>
      </c>
      <c r="D330" s="277" t="str">
        <f t="shared" si="266"/>
        <v>LGINE661</v>
      </c>
      <c r="E330" s="278">
        <f t="shared" si="234"/>
        <v>230</v>
      </c>
      <c r="F330" s="279">
        <v>0</v>
      </c>
      <c r="G330" s="278">
        <f t="shared" si="235"/>
        <v>0</v>
      </c>
      <c r="H330" s="278">
        <f t="shared" si="236"/>
        <v>0</v>
      </c>
      <c r="I330" s="278">
        <f t="shared" si="237"/>
        <v>0</v>
      </c>
      <c r="J330" s="278">
        <f t="shared" si="238"/>
        <v>24224816</v>
      </c>
      <c r="K330" s="280">
        <v>0</v>
      </c>
      <c r="L330" s="281">
        <f t="shared" si="239"/>
        <v>0</v>
      </c>
      <c r="M330" s="281">
        <f t="shared" si="240"/>
        <v>0</v>
      </c>
      <c r="N330" s="281">
        <f t="shared" si="241"/>
        <v>76493.56</v>
      </c>
      <c r="O330" s="282">
        <v>0</v>
      </c>
      <c r="P330" s="282">
        <v>0</v>
      </c>
      <c r="Q330" s="282">
        <v>0</v>
      </c>
      <c r="R330" s="283">
        <f t="shared" si="242"/>
        <v>90</v>
      </c>
      <c r="S330" s="284">
        <f t="shared" si="230"/>
        <v>4.0599999999999997E-2</v>
      </c>
      <c r="T330" s="284">
        <f t="shared" si="243"/>
        <v>0</v>
      </c>
      <c r="U330" s="284">
        <f t="shared" si="244"/>
        <v>0</v>
      </c>
      <c r="V330" s="284">
        <f t="shared" si="245"/>
        <v>2.725E-2</v>
      </c>
      <c r="W330" s="283">
        <f t="shared" si="246"/>
        <v>0</v>
      </c>
      <c r="X330" s="283">
        <f t="shared" si="247"/>
        <v>14.010000000000002</v>
      </c>
      <c r="Y330" s="283">
        <f t="shared" si="248"/>
        <v>16.399999999999999</v>
      </c>
      <c r="Z330" s="285">
        <f t="shared" si="249"/>
        <v>20700</v>
      </c>
      <c r="AA330" s="285">
        <f t="shared" si="250"/>
        <v>983527.53</v>
      </c>
      <c r="AB330" s="285">
        <f t="shared" si="267"/>
        <v>0</v>
      </c>
      <c r="AC330" s="285">
        <f t="shared" si="268"/>
        <v>0</v>
      </c>
      <c r="AD330" s="285">
        <f t="shared" si="269"/>
        <v>1254494.3799999999</v>
      </c>
      <c r="AE330" s="286">
        <v>0</v>
      </c>
      <c r="AF330" s="287">
        <f t="shared" si="251"/>
        <v>0</v>
      </c>
      <c r="AG330" s="288">
        <f t="shared" si="252"/>
        <v>0</v>
      </c>
      <c r="AH330" s="285">
        <f t="shared" si="270"/>
        <v>1254494.3799999999</v>
      </c>
      <c r="AI330" s="286">
        <v>0</v>
      </c>
      <c r="AJ330" s="286">
        <v>0</v>
      </c>
      <c r="AK330" s="286">
        <v>0</v>
      </c>
      <c r="AL330" s="285">
        <f t="shared" si="253"/>
        <v>2258721.91</v>
      </c>
      <c r="AM330" s="285">
        <f t="shared" si="254"/>
        <v>2258721</v>
      </c>
      <c r="AN330" s="289">
        <f t="shared" si="271"/>
        <v>1</v>
      </c>
      <c r="AO330" s="290">
        <f t="shared" si="255"/>
        <v>-123619</v>
      </c>
      <c r="AP330" s="290">
        <f t="shared" si="256"/>
        <v>58385</v>
      </c>
      <c r="AQ330" s="290">
        <f t="shared" si="257"/>
        <v>82289</v>
      </c>
      <c r="AR330" s="290">
        <f t="shared" si="258"/>
        <v>0</v>
      </c>
      <c r="AS330" s="290">
        <f t="shared" si="259"/>
        <v>0</v>
      </c>
      <c r="AT330" s="290">
        <f t="shared" si="260"/>
        <v>2275776</v>
      </c>
      <c r="AU330" s="291">
        <f t="shared" si="261"/>
        <v>2275776.91</v>
      </c>
      <c r="AV330" s="291">
        <f t="shared" si="231"/>
        <v>-0.91000000014901161</v>
      </c>
      <c r="AW330" s="292">
        <f t="shared" si="262"/>
        <v>660126.24</v>
      </c>
      <c r="AX330" s="293">
        <f t="shared" si="263"/>
        <v>323401.29000000004</v>
      </c>
      <c r="BC330" s="276">
        <f>IF(BI330=1,IF(BC329=MiscData!$F$1,EOMONTH(BC329,-11),EOMONTH(BC329,1)),BC329)</f>
        <v>41912</v>
      </c>
      <c r="BD330" s="275" t="str">
        <f t="shared" si="272"/>
        <v>20140101LGINE661</v>
      </c>
      <c r="BE330" s="294" t="str">
        <f t="shared" si="273"/>
        <v>20140101PSS</v>
      </c>
      <c r="BF330">
        <f>MiscData!$X$5</f>
        <v>20140101</v>
      </c>
      <c r="BI330" s="265">
        <f>IF(BI329+1&gt;MiscData!$Z$42,1,BI329+1)</f>
        <v>23</v>
      </c>
      <c r="BJ330" s="265" t="str">
        <f>VLOOKUP(BI330,MiscData!$Z$5:$AB$46,2,FALSE)</f>
        <v>LGINE661</v>
      </c>
      <c r="BK330" s="265" t="str">
        <f>VLOOKUP(BI330,MiscData!$Z$5:$AB$46,3,FALSE)</f>
        <v>PSS</v>
      </c>
    </row>
    <row r="331" spans="1:63" hidden="1">
      <c r="A331" s="275">
        <v>314</v>
      </c>
      <c r="B331" s="276" t="str">
        <f t="shared" si="264"/>
        <v>Sep 2014</v>
      </c>
      <c r="C331" s="277" t="str">
        <f t="shared" si="265"/>
        <v>PSP</v>
      </c>
      <c r="D331" s="277" t="str">
        <f t="shared" si="266"/>
        <v>LGINE663</v>
      </c>
      <c r="E331" s="278">
        <f t="shared" si="234"/>
        <v>21</v>
      </c>
      <c r="F331" s="279">
        <v>0</v>
      </c>
      <c r="G331" s="278">
        <f t="shared" si="235"/>
        <v>0</v>
      </c>
      <c r="H331" s="278">
        <f t="shared" si="236"/>
        <v>0</v>
      </c>
      <c r="I331" s="278">
        <f t="shared" si="237"/>
        <v>0</v>
      </c>
      <c r="J331" s="278">
        <f t="shared" si="238"/>
        <v>1135505</v>
      </c>
      <c r="K331" s="280">
        <v>0</v>
      </c>
      <c r="L331" s="281">
        <f t="shared" si="239"/>
        <v>0</v>
      </c>
      <c r="M331" s="281">
        <f t="shared" si="240"/>
        <v>0</v>
      </c>
      <c r="N331" s="281">
        <f t="shared" si="241"/>
        <v>4117.66</v>
      </c>
      <c r="O331" s="282">
        <v>0</v>
      </c>
      <c r="P331" s="282">
        <v>0</v>
      </c>
      <c r="Q331" s="282">
        <v>0</v>
      </c>
      <c r="R331" s="283">
        <f t="shared" si="242"/>
        <v>170</v>
      </c>
      <c r="S331" s="284">
        <f t="shared" si="230"/>
        <v>3.9260000000000003E-2</v>
      </c>
      <c r="T331" s="284">
        <f t="shared" si="243"/>
        <v>0</v>
      </c>
      <c r="U331" s="284">
        <f t="shared" si="244"/>
        <v>0</v>
      </c>
      <c r="V331" s="284">
        <f t="shared" si="245"/>
        <v>2.725E-2</v>
      </c>
      <c r="W331" s="283">
        <f t="shared" si="246"/>
        <v>0</v>
      </c>
      <c r="X331" s="283">
        <f t="shared" si="247"/>
        <v>11.660000000000002</v>
      </c>
      <c r="Y331" s="283">
        <f t="shared" si="248"/>
        <v>13.950000000000001</v>
      </c>
      <c r="Z331" s="285">
        <f t="shared" si="249"/>
        <v>3570</v>
      </c>
      <c r="AA331" s="285">
        <f t="shared" si="250"/>
        <v>44579.93</v>
      </c>
      <c r="AB331" s="285">
        <f t="shared" si="267"/>
        <v>0</v>
      </c>
      <c r="AC331" s="285">
        <f t="shared" si="268"/>
        <v>0</v>
      </c>
      <c r="AD331" s="285">
        <f t="shared" si="269"/>
        <v>57441.36</v>
      </c>
      <c r="AE331" s="286">
        <v>0</v>
      </c>
      <c r="AF331" s="287">
        <f t="shared" si="251"/>
        <v>0</v>
      </c>
      <c r="AG331" s="288">
        <f t="shared" si="252"/>
        <v>0</v>
      </c>
      <c r="AH331" s="285">
        <f t="shared" si="270"/>
        <v>57441.36</v>
      </c>
      <c r="AI331" s="286">
        <v>0</v>
      </c>
      <c r="AJ331" s="286">
        <v>0</v>
      </c>
      <c r="AK331" s="286">
        <v>0</v>
      </c>
      <c r="AL331" s="285">
        <f t="shared" si="253"/>
        <v>105591.29000000001</v>
      </c>
      <c r="AM331" s="285">
        <f t="shared" si="254"/>
        <v>105591</v>
      </c>
      <c r="AN331" s="289">
        <f t="shared" si="271"/>
        <v>0.99999700000000002</v>
      </c>
      <c r="AO331" s="290">
        <f t="shared" si="255"/>
        <v>-5794</v>
      </c>
      <c r="AP331" s="290">
        <f t="shared" si="256"/>
        <v>2737</v>
      </c>
      <c r="AQ331" s="290">
        <f t="shared" si="257"/>
        <v>3857</v>
      </c>
      <c r="AR331" s="290">
        <f t="shared" si="258"/>
        <v>0</v>
      </c>
      <c r="AS331" s="290">
        <f t="shared" si="259"/>
        <v>0</v>
      </c>
      <c r="AT331" s="290">
        <f t="shared" si="260"/>
        <v>106391</v>
      </c>
      <c r="AU331" s="291">
        <f t="shared" si="261"/>
        <v>106391.29000000001</v>
      </c>
      <c r="AV331" s="291">
        <f t="shared" si="231"/>
        <v>-0.29000000000814907</v>
      </c>
      <c r="AW331" s="292">
        <f t="shared" si="262"/>
        <v>30942.51</v>
      </c>
      <c r="AX331" s="293">
        <f t="shared" si="263"/>
        <v>13637.420000000002</v>
      </c>
      <c r="BC331" s="276">
        <f>IF(BI331=1,IF(BC330=MiscData!$F$1,EOMONTH(BC330,-11),EOMONTH(BC330,1)),BC330)</f>
        <v>41912</v>
      </c>
      <c r="BD331" s="275" t="str">
        <f t="shared" si="272"/>
        <v>20140101LGINE663</v>
      </c>
      <c r="BE331" s="294" t="str">
        <f t="shared" si="273"/>
        <v>20140101PSP</v>
      </c>
      <c r="BF331">
        <f>MiscData!$X$5</f>
        <v>20140101</v>
      </c>
      <c r="BI331" s="265">
        <f>IF(BI330+1&gt;MiscData!$Z$42,1,BI330+1)</f>
        <v>24</v>
      </c>
      <c r="BJ331" s="265" t="str">
        <f>VLOOKUP(BI331,MiscData!$Z$5:$AB$46,2,FALSE)</f>
        <v>LGINE663</v>
      </c>
      <c r="BK331" s="265" t="str">
        <f>VLOOKUP(BI331,MiscData!$Z$5:$AB$46,3,FALSE)</f>
        <v>PSP</v>
      </c>
    </row>
    <row r="332" spans="1:63" hidden="1">
      <c r="A332" s="275">
        <v>313</v>
      </c>
      <c r="B332" s="276" t="str">
        <f t="shared" si="264"/>
        <v>Sep 2014</v>
      </c>
      <c r="C332" s="277" t="str">
        <f t="shared" si="265"/>
        <v>TODS</v>
      </c>
      <c r="D332" s="277" t="str">
        <f t="shared" si="266"/>
        <v>LGINE691</v>
      </c>
      <c r="E332" s="278">
        <f t="shared" si="234"/>
        <v>83</v>
      </c>
      <c r="F332" s="279">
        <v>0</v>
      </c>
      <c r="G332" s="278">
        <f t="shared" si="235"/>
        <v>0</v>
      </c>
      <c r="H332" s="278">
        <f t="shared" si="236"/>
        <v>0</v>
      </c>
      <c r="I332" s="278">
        <f t="shared" si="237"/>
        <v>0</v>
      </c>
      <c r="J332" s="278">
        <f t="shared" si="238"/>
        <v>21604051</v>
      </c>
      <c r="K332" s="280">
        <v>0</v>
      </c>
      <c r="L332" s="281">
        <f t="shared" si="239"/>
        <v>49950.95</v>
      </c>
      <c r="M332" s="281">
        <f t="shared" si="240"/>
        <v>47252.07</v>
      </c>
      <c r="N332" s="281">
        <f t="shared" si="241"/>
        <v>45996.85</v>
      </c>
      <c r="O332" s="282">
        <v>0</v>
      </c>
      <c r="P332" s="282">
        <v>0</v>
      </c>
      <c r="Q332" s="282">
        <v>0</v>
      </c>
      <c r="R332" s="283">
        <f t="shared" si="242"/>
        <v>200</v>
      </c>
      <c r="S332" s="284">
        <f t="shared" si="230"/>
        <v>3.9899999999999998E-2</v>
      </c>
      <c r="T332" s="284">
        <f t="shared" si="243"/>
        <v>0</v>
      </c>
      <c r="U332" s="284">
        <f t="shared" si="244"/>
        <v>0</v>
      </c>
      <c r="V332" s="284">
        <f t="shared" si="245"/>
        <v>2.725E-2</v>
      </c>
      <c r="W332" s="283">
        <f t="shared" si="246"/>
        <v>4</v>
      </c>
      <c r="X332" s="283">
        <f t="shared" si="247"/>
        <v>4.5100000000000007</v>
      </c>
      <c r="Y332" s="283">
        <f t="shared" si="248"/>
        <v>6.11</v>
      </c>
      <c r="Z332" s="285">
        <f t="shared" si="249"/>
        <v>16600</v>
      </c>
      <c r="AA332" s="285">
        <f t="shared" si="250"/>
        <v>862001.63</v>
      </c>
      <c r="AB332" s="285">
        <f t="shared" si="267"/>
        <v>199803.8</v>
      </c>
      <c r="AC332" s="285">
        <f t="shared" si="268"/>
        <v>213106.84</v>
      </c>
      <c r="AD332" s="285">
        <f t="shared" si="269"/>
        <v>281040.75</v>
      </c>
      <c r="AE332" s="286">
        <v>0</v>
      </c>
      <c r="AF332" s="287">
        <f t="shared" si="251"/>
        <v>0</v>
      </c>
      <c r="AG332" s="288">
        <f t="shared" si="252"/>
        <v>0</v>
      </c>
      <c r="AH332" s="285">
        <f t="shared" si="270"/>
        <v>693951.39</v>
      </c>
      <c r="AI332" s="286">
        <v>0</v>
      </c>
      <c r="AJ332" s="286">
        <v>0</v>
      </c>
      <c r="AK332" s="286">
        <v>0</v>
      </c>
      <c r="AL332" s="285">
        <f t="shared" si="253"/>
        <v>1572553.02</v>
      </c>
      <c r="AM332" s="285">
        <f t="shared" si="254"/>
        <v>1572554</v>
      </c>
      <c r="AN332" s="289">
        <f t="shared" si="271"/>
        <v>1.0000009999999999</v>
      </c>
      <c r="AO332" s="290">
        <f t="shared" si="255"/>
        <v>-110246</v>
      </c>
      <c r="AP332" s="290">
        <f t="shared" si="256"/>
        <v>52068</v>
      </c>
      <c r="AQ332" s="290">
        <f t="shared" si="257"/>
        <v>73386</v>
      </c>
      <c r="AR332" s="290">
        <f t="shared" si="258"/>
        <v>0</v>
      </c>
      <c r="AS332" s="290">
        <f t="shared" si="259"/>
        <v>0</v>
      </c>
      <c r="AT332" s="290">
        <f t="shared" si="260"/>
        <v>1587762</v>
      </c>
      <c r="AU332" s="291">
        <f t="shared" si="261"/>
        <v>1587761.02</v>
      </c>
      <c r="AV332" s="291">
        <f t="shared" si="231"/>
        <v>0.97999999998137355</v>
      </c>
      <c r="AW332" s="292">
        <f t="shared" si="262"/>
        <v>588710.39</v>
      </c>
      <c r="AX332" s="293">
        <f t="shared" si="263"/>
        <v>273291.24</v>
      </c>
      <c r="BC332" s="276">
        <f>IF(BI332=1,IF(BC331=MiscData!$F$1,EOMONTH(BC331,-11),EOMONTH(BC331,1)),BC331)</f>
        <v>41912</v>
      </c>
      <c r="BD332" s="275" t="str">
        <f t="shared" si="272"/>
        <v>20140101LGINE691</v>
      </c>
      <c r="BE332" s="294" t="str">
        <f t="shared" si="273"/>
        <v>20140101TODS</v>
      </c>
      <c r="BF332">
        <f>MiscData!$X$5</f>
        <v>20140101</v>
      </c>
      <c r="BI332" s="265">
        <f>IF(BI331+1&gt;MiscData!$Z$42,1,BI331+1)</f>
        <v>25</v>
      </c>
      <c r="BJ332" s="265" t="str">
        <f>VLOOKUP(BI332,MiscData!$Z$5:$AB$46,2,FALSE)</f>
        <v>LGINE691</v>
      </c>
      <c r="BK332" s="265" t="str">
        <f>VLOOKUP(BI332,MiscData!$Z$5:$AB$46,3,FALSE)</f>
        <v>TODS</v>
      </c>
    </row>
    <row r="333" spans="1:63" hidden="1">
      <c r="A333" s="275">
        <v>314</v>
      </c>
      <c r="B333" s="276" t="str">
        <f t="shared" si="264"/>
        <v>Sep 2014</v>
      </c>
      <c r="C333" s="277" t="str">
        <f t="shared" si="265"/>
        <v>ITODP</v>
      </c>
      <c r="D333" s="277" t="str">
        <f t="shared" si="266"/>
        <v>LGINE693</v>
      </c>
      <c r="E333" s="278">
        <f t="shared" si="234"/>
        <v>65</v>
      </c>
      <c r="F333" s="279">
        <v>0</v>
      </c>
      <c r="G333" s="278">
        <f t="shared" si="235"/>
        <v>0</v>
      </c>
      <c r="H333" s="278">
        <f t="shared" si="236"/>
        <v>0</v>
      </c>
      <c r="I333" s="278">
        <f t="shared" si="237"/>
        <v>0</v>
      </c>
      <c r="J333" s="278">
        <f t="shared" si="238"/>
        <v>143186148</v>
      </c>
      <c r="K333" s="280">
        <v>0</v>
      </c>
      <c r="L333" s="281">
        <f t="shared" si="239"/>
        <v>351643.84</v>
      </c>
      <c r="M333" s="281">
        <f t="shared" si="240"/>
        <v>319243.98</v>
      </c>
      <c r="N333" s="281">
        <f t="shared" si="241"/>
        <v>315003.2</v>
      </c>
      <c r="O333" s="282">
        <v>0</v>
      </c>
      <c r="P333" s="282">
        <v>0</v>
      </c>
      <c r="Q333" s="282">
        <v>0</v>
      </c>
      <c r="R333" s="283">
        <f t="shared" si="242"/>
        <v>300</v>
      </c>
      <c r="S333" s="284">
        <f t="shared" si="230"/>
        <v>3.5380000000000002E-2</v>
      </c>
      <c r="T333" s="284">
        <f t="shared" si="243"/>
        <v>0</v>
      </c>
      <c r="U333" s="284">
        <f t="shared" si="244"/>
        <v>0</v>
      </c>
      <c r="V333" s="284">
        <f t="shared" si="245"/>
        <v>2.725E-2</v>
      </c>
      <c r="W333" s="283">
        <f t="shared" si="246"/>
        <v>3.6300000000000003</v>
      </c>
      <c r="X333" s="283">
        <f t="shared" si="247"/>
        <v>3.7900000000000005</v>
      </c>
      <c r="Y333" s="283">
        <f t="shared" si="248"/>
        <v>4.63</v>
      </c>
      <c r="Z333" s="285">
        <f t="shared" si="249"/>
        <v>19500</v>
      </c>
      <c r="AA333" s="285">
        <f t="shared" si="250"/>
        <v>5065925.92</v>
      </c>
      <c r="AB333" s="285">
        <f t="shared" si="267"/>
        <v>1276467.1399999999</v>
      </c>
      <c r="AC333" s="285">
        <f t="shared" si="268"/>
        <v>1209934.68</v>
      </c>
      <c r="AD333" s="285">
        <f t="shared" si="269"/>
        <v>1458464.82</v>
      </c>
      <c r="AE333" s="286">
        <v>0</v>
      </c>
      <c r="AF333" s="287">
        <f t="shared" si="251"/>
        <v>0</v>
      </c>
      <c r="AG333" s="288">
        <f t="shared" si="252"/>
        <v>0</v>
      </c>
      <c r="AH333" s="285">
        <f t="shared" si="270"/>
        <v>3944866.6399999997</v>
      </c>
      <c r="AI333" s="286">
        <v>0</v>
      </c>
      <c r="AJ333" s="286">
        <v>0</v>
      </c>
      <c r="AK333" s="286">
        <v>0</v>
      </c>
      <c r="AL333" s="285">
        <f t="shared" si="253"/>
        <v>9030292.5599999987</v>
      </c>
      <c r="AM333" s="285">
        <f t="shared" si="254"/>
        <v>9030293</v>
      </c>
      <c r="AN333" s="289">
        <f t="shared" si="271"/>
        <v>1</v>
      </c>
      <c r="AO333" s="290">
        <f t="shared" si="255"/>
        <v>-730680</v>
      </c>
      <c r="AP333" s="290">
        <f t="shared" si="256"/>
        <v>345095</v>
      </c>
      <c r="AQ333" s="290">
        <f t="shared" si="257"/>
        <v>486387</v>
      </c>
      <c r="AR333" s="290">
        <f t="shared" si="258"/>
        <v>0</v>
      </c>
      <c r="AS333" s="290">
        <f t="shared" si="259"/>
        <v>0</v>
      </c>
      <c r="AT333" s="290">
        <f t="shared" si="260"/>
        <v>9131095</v>
      </c>
      <c r="AU333" s="291">
        <f t="shared" si="261"/>
        <v>9131094.5599999987</v>
      </c>
      <c r="AV333" s="291">
        <f t="shared" si="231"/>
        <v>0.44000000134110451</v>
      </c>
      <c r="AW333" s="292">
        <f t="shared" si="262"/>
        <v>3901822.53</v>
      </c>
      <c r="AX333" s="293">
        <f t="shared" si="263"/>
        <v>1164103.3900000001</v>
      </c>
      <c r="BC333" s="276">
        <f>IF(BI333=1,IF(BC332=MiscData!$F$1,EOMONTH(BC332,-11),EOMONTH(BC332,1)),BC332)</f>
        <v>41912</v>
      </c>
      <c r="BD333" s="275" t="str">
        <f t="shared" si="272"/>
        <v>20140101LGINE693</v>
      </c>
      <c r="BE333" s="294" t="str">
        <f t="shared" si="273"/>
        <v>20140101ITODP</v>
      </c>
      <c r="BF333">
        <f>MiscData!$X$5</f>
        <v>20140101</v>
      </c>
      <c r="BI333" s="265">
        <f>IF(BI332+1&gt;MiscData!$Z$42,1,BI332+1)</f>
        <v>26</v>
      </c>
      <c r="BJ333" s="265" t="str">
        <f>VLOOKUP(BI333,MiscData!$Z$5:$AB$46,2,FALSE)</f>
        <v>LGINE693</v>
      </c>
      <c r="BK333" s="265" t="str">
        <f>VLOOKUP(BI333,MiscData!$Z$5:$AB$46,3,FALSE)</f>
        <v>ITODP</v>
      </c>
    </row>
    <row r="334" spans="1:63" hidden="1">
      <c r="A334" s="275">
        <v>315</v>
      </c>
      <c r="B334" s="276" t="str">
        <f t="shared" si="264"/>
        <v>Sep 2014</v>
      </c>
      <c r="C334" s="277" t="str">
        <f t="shared" si="265"/>
        <v>ITODP</v>
      </c>
      <c r="D334" s="277" t="str">
        <f t="shared" si="266"/>
        <v>LGINE694</v>
      </c>
      <c r="E334" s="278">
        <f t="shared" si="234"/>
        <v>0</v>
      </c>
      <c r="F334" s="279">
        <v>0</v>
      </c>
      <c r="G334" s="278">
        <f t="shared" si="235"/>
        <v>0</v>
      </c>
      <c r="H334" s="278">
        <f t="shared" si="236"/>
        <v>0</v>
      </c>
      <c r="I334" s="278">
        <f t="shared" si="237"/>
        <v>0</v>
      </c>
      <c r="J334" s="278">
        <f t="shared" si="238"/>
        <v>0</v>
      </c>
      <c r="K334" s="280">
        <v>0</v>
      </c>
      <c r="L334" s="281">
        <f t="shared" si="239"/>
        <v>0</v>
      </c>
      <c r="M334" s="281">
        <f t="shared" si="240"/>
        <v>0</v>
      </c>
      <c r="N334" s="281">
        <f t="shared" si="241"/>
        <v>0</v>
      </c>
      <c r="O334" s="282">
        <v>0</v>
      </c>
      <c r="P334" s="282">
        <v>0</v>
      </c>
      <c r="Q334" s="282">
        <v>0</v>
      </c>
      <c r="R334" s="283">
        <f t="shared" si="242"/>
        <v>300</v>
      </c>
      <c r="S334" s="284">
        <f t="shared" si="230"/>
        <v>3.5380000000000002E-2</v>
      </c>
      <c r="T334" s="284">
        <f t="shared" si="243"/>
        <v>0</v>
      </c>
      <c r="U334" s="284">
        <f t="shared" si="244"/>
        <v>0</v>
      </c>
      <c r="V334" s="284">
        <f t="shared" si="245"/>
        <v>2.725E-2</v>
      </c>
      <c r="W334" s="283">
        <f t="shared" si="246"/>
        <v>3.6300000000000003</v>
      </c>
      <c r="X334" s="283">
        <f t="shared" si="247"/>
        <v>3.7900000000000005</v>
      </c>
      <c r="Y334" s="283">
        <f t="shared" si="248"/>
        <v>4.63</v>
      </c>
      <c r="Z334" s="285">
        <f t="shared" si="249"/>
        <v>0</v>
      </c>
      <c r="AA334" s="285">
        <f t="shared" si="250"/>
        <v>0</v>
      </c>
      <c r="AB334" s="285">
        <f t="shared" si="267"/>
        <v>0</v>
      </c>
      <c r="AC334" s="285">
        <f t="shared" si="268"/>
        <v>0</v>
      </c>
      <c r="AD334" s="285">
        <f t="shared" si="269"/>
        <v>0</v>
      </c>
      <c r="AE334" s="286">
        <v>0</v>
      </c>
      <c r="AF334" s="287">
        <f t="shared" si="251"/>
        <v>0</v>
      </c>
      <c r="AG334" s="288">
        <f t="shared" si="252"/>
        <v>0</v>
      </c>
      <c r="AH334" s="285">
        <f t="shared" si="270"/>
        <v>0</v>
      </c>
      <c r="AI334" s="286">
        <v>0</v>
      </c>
      <c r="AJ334" s="286">
        <v>0</v>
      </c>
      <c r="AK334" s="286">
        <v>0</v>
      </c>
      <c r="AL334" s="285">
        <f t="shared" si="253"/>
        <v>0</v>
      </c>
      <c r="AM334" s="285">
        <f t="shared" si="254"/>
        <v>0</v>
      </c>
      <c r="AN334" s="289">
        <f t="shared" si="271"/>
        <v>1</v>
      </c>
      <c r="AO334" s="290">
        <f t="shared" si="255"/>
        <v>0</v>
      </c>
      <c r="AP334" s="290">
        <f t="shared" si="256"/>
        <v>0</v>
      </c>
      <c r="AQ334" s="290">
        <f t="shared" si="257"/>
        <v>0</v>
      </c>
      <c r="AR334" s="290">
        <f t="shared" si="258"/>
        <v>0</v>
      </c>
      <c r="AS334" s="290">
        <f t="shared" si="259"/>
        <v>0</v>
      </c>
      <c r="AT334" s="290">
        <f t="shared" si="260"/>
        <v>0</v>
      </c>
      <c r="AU334" s="291">
        <f t="shared" si="261"/>
        <v>0</v>
      </c>
      <c r="AV334" s="291">
        <f t="shared" ref="AV334:AV341" si="274">AT334-AU334</f>
        <v>0</v>
      </c>
      <c r="AW334" s="292">
        <f t="shared" si="262"/>
        <v>0</v>
      </c>
      <c r="AX334" s="293">
        <f t="shared" si="263"/>
        <v>0</v>
      </c>
      <c r="BC334" s="276">
        <f>IF(BI334=1,IF(BC333=MiscData!$F$1,EOMONTH(BC333,-11),EOMONTH(BC333,1)),BC333)</f>
        <v>41912</v>
      </c>
      <c r="BD334" s="275" t="str">
        <f t="shared" si="272"/>
        <v>20140101LGINE694</v>
      </c>
      <c r="BE334" s="294" t="str">
        <f t="shared" si="273"/>
        <v>20140101ITODP</v>
      </c>
      <c r="BF334">
        <f>MiscData!$X$5</f>
        <v>20140101</v>
      </c>
      <c r="BI334" s="265">
        <f>IF(BI333+1&gt;MiscData!$Z$42,1,BI333+1)</f>
        <v>27</v>
      </c>
      <c r="BJ334" s="265" t="str">
        <f>VLOOKUP(BI334,MiscData!$Z$5:$AB$46,2,FALSE)</f>
        <v>LGINE694</v>
      </c>
      <c r="BK334" s="265" t="str">
        <f>VLOOKUP(BI334,MiscData!$Z$5:$AB$46,3,FALSE)</f>
        <v>ITODP</v>
      </c>
    </row>
    <row r="335" spans="1:63" hidden="1">
      <c r="A335" s="275">
        <v>316</v>
      </c>
      <c r="B335" s="276" t="str">
        <f t="shared" si="264"/>
        <v>Sep 2014</v>
      </c>
      <c r="C335" s="277" t="str">
        <f t="shared" si="265"/>
        <v>LE</v>
      </c>
      <c r="D335" s="277" t="str">
        <f t="shared" si="266"/>
        <v>LGMLE570</v>
      </c>
      <c r="E335" s="278">
        <f t="shared" si="234"/>
        <v>0</v>
      </c>
      <c r="F335" s="279">
        <v>0</v>
      </c>
      <c r="G335" s="278">
        <f t="shared" si="235"/>
        <v>0</v>
      </c>
      <c r="H335" s="278">
        <f t="shared" si="236"/>
        <v>0</v>
      </c>
      <c r="I335" s="278">
        <f t="shared" si="237"/>
        <v>0</v>
      </c>
      <c r="J335" s="278">
        <f t="shared" si="238"/>
        <v>0</v>
      </c>
      <c r="K335" s="280">
        <v>0</v>
      </c>
      <c r="L335" s="281">
        <f t="shared" si="239"/>
        <v>0</v>
      </c>
      <c r="M335" s="281">
        <f t="shared" si="240"/>
        <v>0</v>
      </c>
      <c r="N335" s="281">
        <f t="shared" si="241"/>
        <v>0</v>
      </c>
      <c r="O335" s="282">
        <v>0</v>
      </c>
      <c r="P335" s="282">
        <v>0</v>
      </c>
      <c r="Q335" s="282">
        <v>0</v>
      </c>
      <c r="R335" s="283">
        <f t="shared" si="242"/>
        <v>0</v>
      </c>
      <c r="S335" s="284">
        <f t="shared" si="230"/>
        <v>6.4610000000000001E-2</v>
      </c>
      <c r="T335" s="284">
        <f t="shared" si="243"/>
        <v>0</v>
      </c>
      <c r="U335" s="284">
        <f t="shared" si="244"/>
        <v>0</v>
      </c>
      <c r="V335" s="284">
        <f t="shared" si="245"/>
        <v>2.725E-2</v>
      </c>
      <c r="W335" s="283">
        <f t="shared" si="246"/>
        <v>0</v>
      </c>
      <c r="X335" s="283">
        <f t="shared" si="247"/>
        <v>0</v>
      </c>
      <c r="Y335" s="283">
        <f t="shared" si="248"/>
        <v>0</v>
      </c>
      <c r="Z335" s="285">
        <f t="shared" si="249"/>
        <v>0</v>
      </c>
      <c r="AA335" s="285">
        <f t="shared" si="250"/>
        <v>0</v>
      </c>
      <c r="AB335" s="285">
        <f t="shared" si="267"/>
        <v>0</v>
      </c>
      <c r="AC335" s="285">
        <f t="shared" si="268"/>
        <v>0</v>
      </c>
      <c r="AD335" s="285">
        <f t="shared" si="269"/>
        <v>0</v>
      </c>
      <c r="AE335" s="286">
        <v>0</v>
      </c>
      <c r="AF335" s="287">
        <f t="shared" si="251"/>
        <v>0</v>
      </c>
      <c r="AG335" s="288">
        <f t="shared" si="252"/>
        <v>0</v>
      </c>
      <c r="AH335" s="285">
        <f t="shared" si="270"/>
        <v>0</v>
      </c>
      <c r="AI335" s="286">
        <v>0</v>
      </c>
      <c r="AJ335" s="286">
        <v>0</v>
      </c>
      <c r="AK335" s="286">
        <v>0</v>
      </c>
      <c r="AL335" s="285">
        <f t="shared" si="253"/>
        <v>0</v>
      </c>
      <c r="AM335" s="285">
        <f t="shared" si="254"/>
        <v>0</v>
      </c>
      <c r="AN335" s="289">
        <f t="shared" si="271"/>
        <v>1</v>
      </c>
      <c r="AO335" s="290">
        <f t="shared" si="255"/>
        <v>0</v>
      </c>
      <c r="AP335" s="290">
        <f t="shared" si="256"/>
        <v>0</v>
      </c>
      <c r="AQ335" s="290">
        <f t="shared" si="257"/>
        <v>0</v>
      </c>
      <c r="AR335" s="290">
        <f t="shared" si="258"/>
        <v>0</v>
      </c>
      <c r="AS335" s="290">
        <f t="shared" si="259"/>
        <v>0</v>
      </c>
      <c r="AT335" s="290">
        <f t="shared" si="260"/>
        <v>0</v>
      </c>
      <c r="AU335" s="291">
        <f t="shared" si="261"/>
        <v>0</v>
      </c>
      <c r="AV335" s="291">
        <f t="shared" si="274"/>
        <v>0</v>
      </c>
      <c r="AW335" s="292">
        <f t="shared" si="262"/>
        <v>0</v>
      </c>
      <c r="AX335" s="293">
        <f t="shared" si="263"/>
        <v>0</v>
      </c>
      <c r="BC335" s="276">
        <f>IF(BI335=1,IF(BC334=MiscData!$F$1,EOMONTH(BC334,-11),EOMONTH(BC334,1)),BC334)</f>
        <v>41912</v>
      </c>
      <c r="BD335" s="275" t="str">
        <f t="shared" si="272"/>
        <v>20140101LGMLE570</v>
      </c>
      <c r="BE335" s="294" t="str">
        <f t="shared" si="273"/>
        <v>20140101LE</v>
      </c>
      <c r="BF335">
        <f>MiscData!$X$5</f>
        <v>20140101</v>
      </c>
      <c r="BI335" s="265">
        <f>IF(BI334+1&gt;MiscData!$Z$42,1,BI334+1)</f>
        <v>28</v>
      </c>
      <c r="BJ335" s="265" t="str">
        <f>VLOOKUP(BI335,MiscData!$Z$5:$AB$46,2,FALSE)</f>
        <v>LGMLE570</v>
      </c>
      <c r="BK335" s="265" t="str">
        <f>VLOOKUP(BI335,MiscData!$Z$5:$AB$46,3,FALSE)</f>
        <v>LE</v>
      </c>
    </row>
    <row r="336" spans="1:63" hidden="1">
      <c r="A336" s="275">
        <v>317</v>
      </c>
      <c r="B336" s="276" t="str">
        <f t="shared" si="264"/>
        <v>Sep 2014</v>
      </c>
      <c r="C336" s="277" t="str">
        <f t="shared" si="265"/>
        <v>LE</v>
      </c>
      <c r="D336" s="277" t="str">
        <f t="shared" si="266"/>
        <v>LGMLE571</v>
      </c>
      <c r="E336" s="278">
        <f t="shared" si="234"/>
        <v>156</v>
      </c>
      <c r="F336" s="279">
        <v>0</v>
      </c>
      <c r="G336" s="278">
        <f t="shared" si="235"/>
        <v>0</v>
      </c>
      <c r="H336" s="278">
        <f t="shared" si="236"/>
        <v>0</v>
      </c>
      <c r="I336" s="278">
        <f t="shared" si="237"/>
        <v>0</v>
      </c>
      <c r="J336" s="278">
        <f t="shared" si="238"/>
        <v>272078</v>
      </c>
      <c r="K336" s="280">
        <v>0</v>
      </c>
      <c r="L336" s="281">
        <f t="shared" si="239"/>
        <v>0</v>
      </c>
      <c r="M336" s="281">
        <f t="shared" si="240"/>
        <v>0</v>
      </c>
      <c r="N336" s="281">
        <f t="shared" si="241"/>
        <v>0</v>
      </c>
      <c r="O336" s="282">
        <v>0</v>
      </c>
      <c r="P336" s="282">
        <v>0</v>
      </c>
      <c r="Q336" s="282">
        <v>0</v>
      </c>
      <c r="R336" s="283">
        <f t="shared" si="242"/>
        <v>0</v>
      </c>
      <c r="S336" s="284">
        <f t="shared" si="230"/>
        <v>6.4610000000000001E-2</v>
      </c>
      <c r="T336" s="284">
        <f t="shared" si="243"/>
        <v>0</v>
      </c>
      <c r="U336" s="284">
        <f t="shared" si="244"/>
        <v>0</v>
      </c>
      <c r="V336" s="284">
        <f t="shared" si="245"/>
        <v>2.725E-2</v>
      </c>
      <c r="W336" s="283">
        <f t="shared" si="246"/>
        <v>0</v>
      </c>
      <c r="X336" s="283">
        <f t="shared" si="247"/>
        <v>0</v>
      </c>
      <c r="Y336" s="283">
        <f t="shared" si="248"/>
        <v>0</v>
      </c>
      <c r="Z336" s="285">
        <f t="shared" si="249"/>
        <v>0</v>
      </c>
      <c r="AA336" s="285">
        <f t="shared" si="250"/>
        <v>17578.96</v>
      </c>
      <c r="AB336" s="285">
        <f t="shared" si="267"/>
        <v>0</v>
      </c>
      <c r="AC336" s="285">
        <f t="shared" si="268"/>
        <v>0</v>
      </c>
      <c r="AD336" s="285">
        <f t="shared" si="269"/>
        <v>0</v>
      </c>
      <c r="AE336" s="286">
        <v>0</v>
      </c>
      <c r="AF336" s="287">
        <f t="shared" si="251"/>
        <v>0</v>
      </c>
      <c r="AG336" s="288">
        <f t="shared" si="252"/>
        <v>0</v>
      </c>
      <c r="AH336" s="285">
        <f t="shared" si="270"/>
        <v>0</v>
      </c>
      <c r="AI336" s="286">
        <v>0</v>
      </c>
      <c r="AJ336" s="286">
        <v>0</v>
      </c>
      <c r="AK336" s="286">
        <v>0</v>
      </c>
      <c r="AL336" s="285">
        <f t="shared" si="253"/>
        <v>17578.96</v>
      </c>
      <c r="AM336" s="285">
        <f t="shared" si="254"/>
        <v>17579</v>
      </c>
      <c r="AN336" s="289">
        <f t="shared" si="271"/>
        <v>1.0000020000000001</v>
      </c>
      <c r="AO336" s="290">
        <f t="shared" si="255"/>
        <v>-1388</v>
      </c>
      <c r="AP336" s="290">
        <f t="shared" si="256"/>
        <v>0</v>
      </c>
      <c r="AQ336" s="290">
        <f t="shared" si="257"/>
        <v>925</v>
      </c>
      <c r="AR336" s="290">
        <f t="shared" si="258"/>
        <v>0</v>
      </c>
      <c r="AS336" s="290">
        <f t="shared" si="259"/>
        <v>0</v>
      </c>
      <c r="AT336" s="290">
        <f t="shared" si="260"/>
        <v>17116</v>
      </c>
      <c r="AU336" s="291">
        <f t="shared" si="261"/>
        <v>17115.96</v>
      </c>
      <c r="AV336" s="291">
        <f t="shared" si="274"/>
        <v>4.0000000000873115E-2</v>
      </c>
      <c r="AW336" s="292">
        <f t="shared" si="262"/>
        <v>7414.13</v>
      </c>
      <c r="AX336" s="293">
        <f t="shared" si="263"/>
        <v>10164.829999999998</v>
      </c>
      <c r="BC336" s="276">
        <f>IF(BI336=1,IF(BC335=MiscData!$F$1,EOMONTH(BC335,-11),EOMONTH(BC335,1)),BC335)</f>
        <v>41912</v>
      </c>
      <c r="BD336" s="275" t="str">
        <f t="shared" si="272"/>
        <v>20140101LGMLE571</v>
      </c>
      <c r="BE336" s="294" t="str">
        <f t="shared" si="273"/>
        <v>20140101LE</v>
      </c>
      <c r="BF336">
        <f>MiscData!$X$5</f>
        <v>20140101</v>
      </c>
      <c r="BI336" s="265">
        <f>IF(BI335+1&gt;MiscData!$Z$42,1,BI335+1)</f>
        <v>29</v>
      </c>
      <c r="BJ336" s="265" t="str">
        <f>VLOOKUP(BI336,MiscData!$Z$5:$AB$46,2,FALSE)</f>
        <v>LGMLE571</v>
      </c>
      <c r="BK336" s="265" t="str">
        <f>VLOOKUP(BI336,MiscData!$Z$5:$AB$46,3,FALSE)</f>
        <v>LE</v>
      </c>
    </row>
    <row r="337" spans="1:63" hidden="1">
      <c r="A337" s="275">
        <v>318</v>
      </c>
      <c r="B337" s="276" t="str">
        <f t="shared" si="264"/>
        <v>Sep 2014</v>
      </c>
      <c r="C337" s="277" t="str">
        <f t="shared" si="265"/>
        <v>LE</v>
      </c>
      <c r="D337" s="277" t="str">
        <f t="shared" si="266"/>
        <v>LGMLE572</v>
      </c>
      <c r="E337" s="278">
        <f t="shared" si="234"/>
        <v>0</v>
      </c>
      <c r="F337" s="279">
        <v>0</v>
      </c>
      <c r="G337" s="278">
        <f t="shared" si="235"/>
        <v>0</v>
      </c>
      <c r="H337" s="278">
        <f t="shared" si="236"/>
        <v>0</v>
      </c>
      <c r="I337" s="278">
        <f t="shared" si="237"/>
        <v>0</v>
      </c>
      <c r="J337" s="278">
        <f t="shared" si="238"/>
        <v>0</v>
      </c>
      <c r="K337" s="280">
        <v>0</v>
      </c>
      <c r="L337" s="281">
        <f t="shared" si="239"/>
        <v>0</v>
      </c>
      <c r="M337" s="281">
        <f t="shared" si="240"/>
        <v>0</v>
      </c>
      <c r="N337" s="281">
        <f t="shared" si="241"/>
        <v>0</v>
      </c>
      <c r="O337" s="282">
        <v>0</v>
      </c>
      <c r="P337" s="282">
        <v>0</v>
      </c>
      <c r="Q337" s="282">
        <v>0</v>
      </c>
      <c r="R337" s="283">
        <f t="shared" si="242"/>
        <v>0</v>
      </c>
      <c r="S337" s="284">
        <f t="shared" si="230"/>
        <v>6.4610000000000001E-2</v>
      </c>
      <c r="T337" s="284">
        <f t="shared" si="243"/>
        <v>0</v>
      </c>
      <c r="U337" s="284">
        <f t="shared" si="244"/>
        <v>0</v>
      </c>
      <c r="V337" s="284">
        <f t="shared" si="245"/>
        <v>2.725E-2</v>
      </c>
      <c r="W337" s="283">
        <f t="shared" si="246"/>
        <v>0</v>
      </c>
      <c r="X337" s="283">
        <f t="shared" si="247"/>
        <v>0</v>
      </c>
      <c r="Y337" s="283">
        <f t="shared" si="248"/>
        <v>0</v>
      </c>
      <c r="Z337" s="285">
        <f t="shared" si="249"/>
        <v>0</v>
      </c>
      <c r="AA337" s="285">
        <f t="shared" si="250"/>
        <v>0</v>
      </c>
      <c r="AB337" s="285">
        <f t="shared" si="267"/>
        <v>0</v>
      </c>
      <c r="AC337" s="285">
        <f t="shared" si="268"/>
        <v>0</v>
      </c>
      <c r="AD337" s="285">
        <f t="shared" si="269"/>
        <v>0</v>
      </c>
      <c r="AE337" s="286">
        <v>0</v>
      </c>
      <c r="AF337" s="287">
        <f t="shared" si="251"/>
        <v>0</v>
      </c>
      <c r="AG337" s="288">
        <f t="shared" si="252"/>
        <v>0</v>
      </c>
      <c r="AH337" s="285">
        <f t="shared" si="270"/>
        <v>0</v>
      </c>
      <c r="AI337" s="286">
        <v>0</v>
      </c>
      <c r="AJ337" s="286">
        <v>0</v>
      </c>
      <c r="AK337" s="286">
        <v>0</v>
      </c>
      <c r="AL337" s="285">
        <f t="shared" si="253"/>
        <v>0</v>
      </c>
      <c r="AM337" s="285">
        <f t="shared" si="254"/>
        <v>0</v>
      </c>
      <c r="AN337" s="289">
        <f t="shared" si="271"/>
        <v>1</v>
      </c>
      <c r="AO337" s="290">
        <f t="shared" si="255"/>
        <v>0</v>
      </c>
      <c r="AP337" s="290">
        <f t="shared" si="256"/>
        <v>0</v>
      </c>
      <c r="AQ337" s="290">
        <f t="shared" si="257"/>
        <v>0</v>
      </c>
      <c r="AR337" s="290">
        <f t="shared" si="258"/>
        <v>0</v>
      </c>
      <c r="AS337" s="290">
        <f t="shared" si="259"/>
        <v>0</v>
      </c>
      <c r="AT337" s="290">
        <f t="shared" si="260"/>
        <v>0</v>
      </c>
      <c r="AU337" s="291">
        <f t="shared" si="261"/>
        <v>0</v>
      </c>
      <c r="AV337" s="291">
        <f t="shared" si="274"/>
        <v>0</v>
      </c>
      <c r="AW337" s="292">
        <f t="shared" si="262"/>
        <v>0</v>
      </c>
      <c r="AX337" s="293">
        <f t="shared" si="263"/>
        <v>0</v>
      </c>
      <c r="BC337" s="276">
        <f>IF(BI337=1,IF(BC336=MiscData!$F$1,EOMONTH(BC336,-11),EOMONTH(BC336,1)),BC336)</f>
        <v>41912</v>
      </c>
      <c r="BD337" s="275" t="str">
        <f t="shared" si="272"/>
        <v>20140101LGMLE572</v>
      </c>
      <c r="BE337" s="294" t="str">
        <f t="shared" si="273"/>
        <v>20140101LE</v>
      </c>
      <c r="BF337">
        <f>MiscData!$X$5</f>
        <v>20140101</v>
      </c>
      <c r="BI337" s="265">
        <f>IF(BI336+1&gt;MiscData!$Z$42,1,BI336+1)</f>
        <v>30</v>
      </c>
      <c r="BJ337" s="265" t="str">
        <f>VLOOKUP(BI337,MiscData!$Z$5:$AB$46,2,FALSE)</f>
        <v>LGMLE572</v>
      </c>
      <c r="BK337" s="265" t="str">
        <f>VLOOKUP(BI337,MiscData!$Z$5:$AB$46,3,FALSE)</f>
        <v>LE</v>
      </c>
    </row>
    <row r="338" spans="1:63" hidden="1">
      <c r="A338" s="275">
        <v>319</v>
      </c>
      <c r="B338" s="276" t="str">
        <f t="shared" si="264"/>
        <v>Sep 2014</v>
      </c>
      <c r="C338" s="277" t="str">
        <f t="shared" si="265"/>
        <v>TE</v>
      </c>
      <c r="D338" s="277" t="str">
        <f t="shared" si="266"/>
        <v>LGMLE573</v>
      </c>
      <c r="E338" s="278">
        <f t="shared" si="234"/>
        <v>905</v>
      </c>
      <c r="F338" s="279">
        <v>0</v>
      </c>
      <c r="G338" s="278">
        <f t="shared" si="235"/>
        <v>0</v>
      </c>
      <c r="H338" s="278">
        <f t="shared" si="236"/>
        <v>0</v>
      </c>
      <c r="I338" s="278">
        <f t="shared" si="237"/>
        <v>0</v>
      </c>
      <c r="J338" s="278">
        <f t="shared" si="238"/>
        <v>255370</v>
      </c>
      <c r="K338" s="280">
        <v>0</v>
      </c>
      <c r="L338" s="281">
        <f t="shared" si="239"/>
        <v>0</v>
      </c>
      <c r="M338" s="281">
        <f t="shared" si="240"/>
        <v>0</v>
      </c>
      <c r="N338" s="281">
        <f t="shared" si="241"/>
        <v>0</v>
      </c>
      <c r="O338" s="282">
        <v>0</v>
      </c>
      <c r="P338" s="282">
        <v>0</v>
      </c>
      <c r="Q338" s="282">
        <v>0</v>
      </c>
      <c r="R338" s="283">
        <f t="shared" si="242"/>
        <v>3.25</v>
      </c>
      <c r="S338" s="284">
        <f t="shared" si="230"/>
        <v>7.6579999999999995E-2</v>
      </c>
      <c r="T338" s="284">
        <f t="shared" si="243"/>
        <v>0</v>
      </c>
      <c r="U338" s="284">
        <f t="shared" si="244"/>
        <v>0</v>
      </c>
      <c r="V338" s="284">
        <f t="shared" si="245"/>
        <v>2.725E-2</v>
      </c>
      <c r="W338" s="283">
        <f t="shared" si="246"/>
        <v>0</v>
      </c>
      <c r="X338" s="283">
        <f t="shared" si="247"/>
        <v>0</v>
      </c>
      <c r="Y338" s="283">
        <f t="shared" si="248"/>
        <v>0</v>
      </c>
      <c r="Z338" s="285">
        <f t="shared" si="249"/>
        <v>2941.25</v>
      </c>
      <c r="AA338" s="285">
        <f t="shared" si="250"/>
        <v>19556.23</v>
      </c>
      <c r="AB338" s="285">
        <f t="shared" si="267"/>
        <v>0</v>
      </c>
      <c r="AC338" s="285">
        <f t="shared" si="268"/>
        <v>0</v>
      </c>
      <c r="AD338" s="285">
        <f t="shared" si="269"/>
        <v>0</v>
      </c>
      <c r="AE338" s="286">
        <v>0</v>
      </c>
      <c r="AF338" s="287">
        <f t="shared" si="251"/>
        <v>0</v>
      </c>
      <c r="AG338" s="288">
        <f t="shared" si="252"/>
        <v>0</v>
      </c>
      <c r="AH338" s="285">
        <f t="shared" si="270"/>
        <v>0</v>
      </c>
      <c r="AI338" s="286">
        <v>0</v>
      </c>
      <c r="AJ338" s="286">
        <v>0</v>
      </c>
      <c r="AK338" s="286">
        <v>0</v>
      </c>
      <c r="AL338" s="285">
        <f t="shared" si="253"/>
        <v>22497.48</v>
      </c>
      <c r="AM338" s="285">
        <f t="shared" si="254"/>
        <v>22497</v>
      </c>
      <c r="AN338" s="289">
        <f t="shared" si="271"/>
        <v>0.99997899999999995</v>
      </c>
      <c r="AO338" s="290">
        <f t="shared" si="255"/>
        <v>-1302</v>
      </c>
      <c r="AP338" s="290">
        <f t="shared" si="256"/>
        <v>0</v>
      </c>
      <c r="AQ338" s="290">
        <f t="shared" si="257"/>
        <v>868</v>
      </c>
      <c r="AR338" s="290">
        <f t="shared" si="258"/>
        <v>0</v>
      </c>
      <c r="AS338" s="290">
        <f t="shared" si="259"/>
        <v>0</v>
      </c>
      <c r="AT338" s="290">
        <f t="shared" si="260"/>
        <v>22063</v>
      </c>
      <c r="AU338" s="291">
        <f t="shared" si="261"/>
        <v>22063.48</v>
      </c>
      <c r="AV338" s="291">
        <f t="shared" si="274"/>
        <v>-0.47999999999956344</v>
      </c>
      <c r="AW338" s="292">
        <f t="shared" si="262"/>
        <v>6958.83</v>
      </c>
      <c r="AX338" s="293">
        <f t="shared" si="263"/>
        <v>12597.4</v>
      </c>
      <c r="BC338" s="276">
        <f>IF(BI338=1,IF(BC337=MiscData!$F$1,EOMONTH(BC337,-11),EOMONTH(BC337,1)),BC337)</f>
        <v>41912</v>
      </c>
      <c r="BD338" s="275" t="str">
        <f t="shared" si="272"/>
        <v>20140101LGMLE573</v>
      </c>
      <c r="BE338" s="294" t="str">
        <f t="shared" si="273"/>
        <v>20140101TE</v>
      </c>
      <c r="BF338">
        <f>MiscData!$X$5</f>
        <v>20140101</v>
      </c>
      <c r="BI338" s="265">
        <f>IF(BI337+1&gt;MiscData!$Z$42,1,BI337+1)</f>
        <v>31</v>
      </c>
      <c r="BJ338" s="265" t="str">
        <f>VLOOKUP(BI338,MiscData!$Z$5:$AB$46,2,FALSE)</f>
        <v>LGMLE573</v>
      </c>
      <c r="BK338" s="265" t="str">
        <f>VLOOKUP(BI338,MiscData!$Z$5:$AB$46,3,FALSE)</f>
        <v>TE</v>
      </c>
    </row>
    <row r="339" spans="1:63" hidden="1">
      <c r="A339" s="275">
        <v>320</v>
      </c>
      <c r="B339" s="276" t="str">
        <f t="shared" si="264"/>
        <v>Sep 2014</v>
      </c>
      <c r="C339" s="277" t="str">
        <f t="shared" si="265"/>
        <v>TE</v>
      </c>
      <c r="D339" s="277" t="str">
        <f t="shared" si="266"/>
        <v>LGMLE574</v>
      </c>
      <c r="E339" s="278">
        <f t="shared" si="234"/>
        <v>0</v>
      </c>
      <c r="F339" s="279">
        <v>0</v>
      </c>
      <c r="G339" s="278">
        <f t="shared" si="235"/>
        <v>0</v>
      </c>
      <c r="H339" s="278">
        <f t="shared" si="236"/>
        <v>0</v>
      </c>
      <c r="I339" s="278">
        <f t="shared" si="237"/>
        <v>0</v>
      </c>
      <c r="J339" s="278">
        <f t="shared" si="238"/>
        <v>0</v>
      </c>
      <c r="K339" s="280">
        <v>0</v>
      </c>
      <c r="L339" s="281">
        <f t="shared" si="239"/>
        <v>0</v>
      </c>
      <c r="M339" s="281">
        <f t="shared" si="240"/>
        <v>0</v>
      </c>
      <c r="N339" s="281">
        <f t="shared" si="241"/>
        <v>0</v>
      </c>
      <c r="O339" s="282">
        <v>0</v>
      </c>
      <c r="P339" s="282">
        <v>0</v>
      </c>
      <c r="Q339" s="282">
        <v>0</v>
      </c>
      <c r="R339" s="283">
        <f t="shared" si="242"/>
        <v>3.25</v>
      </c>
      <c r="S339" s="284">
        <f t="shared" si="230"/>
        <v>7.6579999999999995E-2</v>
      </c>
      <c r="T339" s="284">
        <f t="shared" si="243"/>
        <v>0</v>
      </c>
      <c r="U339" s="284">
        <f t="shared" si="244"/>
        <v>0</v>
      </c>
      <c r="V339" s="284">
        <f t="shared" si="245"/>
        <v>2.725E-2</v>
      </c>
      <c r="W339" s="283">
        <f t="shared" si="246"/>
        <v>0</v>
      </c>
      <c r="X339" s="283">
        <f t="shared" si="247"/>
        <v>0</v>
      </c>
      <c r="Y339" s="283">
        <f t="shared" si="248"/>
        <v>0</v>
      </c>
      <c r="Z339" s="285">
        <f t="shared" si="249"/>
        <v>0</v>
      </c>
      <c r="AA339" s="285">
        <f t="shared" si="250"/>
        <v>0</v>
      </c>
      <c r="AB339" s="285">
        <f t="shared" si="267"/>
        <v>0</v>
      </c>
      <c r="AC339" s="285">
        <f t="shared" si="268"/>
        <v>0</v>
      </c>
      <c r="AD339" s="285">
        <f t="shared" si="269"/>
        <v>0</v>
      </c>
      <c r="AE339" s="286">
        <v>0</v>
      </c>
      <c r="AF339" s="287">
        <f t="shared" si="251"/>
        <v>0</v>
      </c>
      <c r="AG339" s="288">
        <f t="shared" si="252"/>
        <v>0</v>
      </c>
      <c r="AH339" s="285">
        <f t="shared" si="270"/>
        <v>0</v>
      </c>
      <c r="AI339" s="286">
        <v>0</v>
      </c>
      <c r="AJ339" s="286">
        <v>0</v>
      </c>
      <c r="AK339" s="286">
        <v>0</v>
      </c>
      <c r="AL339" s="285">
        <f t="shared" si="253"/>
        <v>0</v>
      </c>
      <c r="AM339" s="285">
        <f t="shared" si="254"/>
        <v>0</v>
      </c>
      <c r="AN339" s="289">
        <f t="shared" si="271"/>
        <v>1</v>
      </c>
      <c r="AO339" s="290">
        <f t="shared" si="255"/>
        <v>0</v>
      </c>
      <c r="AP339" s="290">
        <f t="shared" si="256"/>
        <v>0</v>
      </c>
      <c r="AQ339" s="290">
        <f t="shared" si="257"/>
        <v>0</v>
      </c>
      <c r="AR339" s="290">
        <f t="shared" si="258"/>
        <v>0</v>
      </c>
      <c r="AS339" s="290">
        <f t="shared" si="259"/>
        <v>0</v>
      </c>
      <c r="AT339" s="290">
        <f t="shared" si="260"/>
        <v>0</v>
      </c>
      <c r="AU339" s="291">
        <f t="shared" si="261"/>
        <v>0</v>
      </c>
      <c r="AV339" s="291">
        <f t="shared" si="274"/>
        <v>0</v>
      </c>
      <c r="AW339" s="292">
        <f t="shared" si="262"/>
        <v>0</v>
      </c>
      <c r="AX339" s="293">
        <f t="shared" si="263"/>
        <v>0</v>
      </c>
      <c r="BC339" s="276">
        <f>IF(BI339=1,IF(BC338=MiscData!$F$1,EOMONTH(BC338,-11),EOMONTH(BC338,1)),BC338)</f>
        <v>41912</v>
      </c>
      <c r="BD339" s="275" t="str">
        <f t="shared" si="272"/>
        <v>20140101LGMLE574</v>
      </c>
      <c r="BE339" s="294" t="str">
        <f t="shared" si="273"/>
        <v>20140101TE</v>
      </c>
      <c r="BF339">
        <f>MiscData!$X$5</f>
        <v>20140101</v>
      </c>
      <c r="BI339" s="265">
        <f>IF(BI338+1&gt;MiscData!$Z$42,1,BI338+1)</f>
        <v>32</v>
      </c>
      <c r="BJ339" s="265" t="str">
        <f>VLOOKUP(BI339,MiscData!$Z$5:$AB$46,2,FALSE)</f>
        <v>LGMLE574</v>
      </c>
      <c r="BK339" s="265" t="str">
        <f>VLOOKUP(BI339,MiscData!$Z$5:$AB$46,3,FALSE)</f>
        <v>TE</v>
      </c>
    </row>
    <row r="340" spans="1:63" hidden="1">
      <c r="A340" s="275">
        <v>321</v>
      </c>
      <c r="B340" s="276" t="str">
        <f t="shared" si="264"/>
        <v>Sep 2014</v>
      </c>
      <c r="C340" s="277" t="str">
        <f t="shared" si="265"/>
        <v>RS</v>
      </c>
      <c r="D340" s="277" t="str">
        <f t="shared" si="266"/>
        <v>LGRSE411</v>
      </c>
      <c r="E340" s="278">
        <f t="shared" si="234"/>
        <v>0</v>
      </c>
      <c r="F340" s="279">
        <v>0</v>
      </c>
      <c r="G340" s="278">
        <f t="shared" si="235"/>
        <v>0</v>
      </c>
      <c r="H340" s="278">
        <f t="shared" si="236"/>
        <v>0</v>
      </c>
      <c r="I340" s="278">
        <f t="shared" si="237"/>
        <v>0</v>
      </c>
      <c r="J340" s="278">
        <f t="shared" si="238"/>
        <v>0</v>
      </c>
      <c r="K340" s="280">
        <v>0</v>
      </c>
      <c r="L340" s="281">
        <f t="shared" si="239"/>
        <v>0</v>
      </c>
      <c r="M340" s="281">
        <f t="shared" si="240"/>
        <v>0</v>
      </c>
      <c r="N340" s="281">
        <f t="shared" si="241"/>
        <v>0</v>
      </c>
      <c r="O340" s="282">
        <v>0</v>
      </c>
      <c r="P340" s="282">
        <v>0</v>
      </c>
      <c r="Q340" s="282">
        <v>0</v>
      </c>
      <c r="R340" s="283">
        <f t="shared" si="242"/>
        <v>0</v>
      </c>
      <c r="S340" s="284">
        <f t="shared" si="230"/>
        <v>8.0760000000000012E-2</v>
      </c>
      <c r="T340" s="284">
        <f t="shared" si="243"/>
        <v>0</v>
      </c>
      <c r="U340" s="284">
        <f t="shared" si="244"/>
        <v>0</v>
      </c>
      <c r="V340" s="284">
        <f t="shared" si="245"/>
        <v>2.725E-2</v>
      </c>
      <c r="W340" s="283">
        <f t="shared" si="246"/>
        <v>0</v>
      </c>
      <c r="X340" s="283">
        <f t="shared" si="247"/>
        <v>0</v>
      </c>
      <c r="Y340" s="283">
        <f t="shared" si="248"/>
        <v>0</v>
      </c>
      <c r="Z340" s="285">
        <f t="shared" si="249"/>
        <v>0</v>
      </c>
      <c r="AA340" s="285">
        <f t="shared" si="250"/>
        <v>0</v>
      </c>
      <c r="AB340" s="285">
        <f t="shared" si="267"/>
        <v>0</v>
      </c>
      <c r="AC340" s="285">
        <f t="shared" si="268"/>
        <v>0</v>
      </c>
      <c r="AD340" s="285">
        <f t="shared" si="269"/>
        <v>0</v>
      </c>
      <c r="AE340" s="286">
        <v>0</v>
      </c>
      <c r="AF340" s="287">
        <f t="shared" si="251"/>
        <v>0</v>
      </c>
      <c r="AG340" s="288">
        <f t="shared" si="252"/>
        <v>0</v>
      </c>
      <c r="AH340" s="285">
        <f t="shared" si="270"/>
        <v>0</v>
      </c>
      <c r="AI340" s="286">
        <v>0</v>
      </c>
      <c r="AJ340" s="286">
        <v>0</v>
      </c>
      <c r="AK340" s="286">
        <v>0</v>
      </c>
      <c r="AL340" s="285">
        <f t="shared" si="253"/>
        <v>0</v>
      </c>
      <c r="AM340" s="285">
        <f t="shared" si="254"/>
        <v>0</v>
      </c>
      <c r="AN340" s="289">
        <f t="shared" si="271"/>
        <v>1</v>
      </c>
      <c r="AO340" s="290">
        <f t="shared" si="255"/>
        <v>0</v>
      </c>
      <c r="AP340" s="290">
        <f t="shared" si="256"/>
        <v>0</v>
      </c>
      <c r="AQ340" s="290">
        <f t="shared" si="257"/>
        <v>0</v>
      </c>
      <c r="AR340" s="290">
        <f t="shared" si="258"/>
        <v>0</v>
      </c>
      <c r="AS340" s="290">
        <f t="shared" si="259"/>
        <v>0</v>
      </c>
      <c r="AT340" s="290">
        <f t="shared" si="260"/>
        <v>0</v>
      </c>
      <c r="AU340" s="291">
        <f t="shared" si="261"/>
        <v>0</v>
      </c>
      <c r="AV340" s="291">
        <f t="shared" si="274"/>
        <v>0</v>
      </c>
      <c r="AW340" s="292">
        <f t="shared" si="262"/>
        <v>0</v>
      </c>
      <c r="AX340" s="293">
        <f t="shared" si="263"/>
        <v>0</v>
      </c>
      <c r="BC340" s="276">
        <f>IF(BI340=1,IF(BC339=MiscData!$F$1,EOMONTH(BC339,-11),EOMONTH(BC339,1)),BC339)</f>
        <v>41912</v>
      </c>
      <c r="BD340" s="275" t="str">
        <f t="shared" si="272"/>
        <v>20140101LGRSE411</v>
      </c>
      <c r="BE340" s="294" t="str">
        <f t="shared" si="273"/>
        <v>20140101RS</v>
      </c>
      <c r="BF340">
        <f>MiscData!$X$5</f>
        <v>20140101</v>
      </c>
      <c r="BI340" s="265">
        <f>IF(BI339+1&gt;MiscData!$Z$42,1,BI339+1)</f>
        <v>33</v>
      </c>
      <c r="BJ340" s="265" t="str">
        <f>VLOOKUP(BI340,MiscData!$Z$5:$AB$46,2,FALSE)</f>
        <v>LGRSE411</v>
      </c>
      <c r="BK340" s="265" t="str">
        <f>VLOOKUP(BI340,MiscData!$Z$5:$AB$46,3,FALSE)</f>
        <v>RS</v>
      </c>
    </row>
    <row r="341" spans="1:63" hidden="1">
      <c r="A341" s="275">
        <v>322</v>
      </c>
      <c r="B341" s="276" t="str">
        <f t="shared" si="264"/>
        <v>Sep 2014</v>
      </c>
      <c r="C341" s="277" t="str">
        <f t="shared" si="265"/>
        <v>RS</v>
      </c>
      <c r="D341" s="277" t="str">
        <f t="shared" si="266"/>
        <v>LGRSE511</v>
      </c>
      <c r="E341" s="278">
        <f t="shared" si="234"/>
        <v>358331</v>
      </c>
      <c r="F341" s="279">
        <v>0</v>
      </c>
      <c r="G341" s="278">
        <f t="shared" si="235"/>
        <v>0</v>
      </c>
      <c r="H341" s="278">
        <f t="shared" si="236"/>
        <v>0</v>
      </c>
      <c r="I341" s="278">
        <f t="shared" si="237"/>
        <v>0</v>
      </c>
      <c r="J341" s="278">
        <f t="shared" si="238"/>
        <v>443841351</v>
      </c>
      <c r="K341" s="280">
        <v>0</v>
      </c>
      <c r="L341" s="281">
        <f t="shared" si="239"/>
        <v>0</v>
      </c>
      <c r="M341" s="281">
        <f t="shared" si="240"/>
        <v>0</v>
      </c>
      <c r="N341" s="281">
        <f t="shared" si="241"/>
        <v>0</v>
      </c>
      <c r="O341" s="282">
        <v>0</v>
      </c>
      <c r="P341" s="282">
        <v>0</v>
      </c>
      <c r="Q341" s="282">
        <v>0</v>
      </c>
      <c r="R341" s="283">
        <f t="shared" si="242"/>
        <v>10.75</v>
      </c>
      <c r="S341" s="284">
        <f t="shared" si="230"/>
        <v>8.0760000000000012E-2</v>
      </c>
      <c r="T341" s="284">
        <f t="shared" si="243"/>
        <v>0</v>
      </c>
      <c r="U341" s="284">
        <f t="shared" si="244"/>
        <v>0</v>
      </c>
      <c r="V341" s="284">
        <f t="shared" si="245"/>
        <v>2.725E-2</v>
      </c>
      <c r="W341" s="283">
        <f t="shared" si="246"/>
        <v>0</v>
      </c>
      <c r="X341" s="283">
        <f t="shared" si="247"/>
        <v>0</v>
      </c>
      <c r="Y341" s="283">
        <f t="shared" si="248"/>
        <v>0</v>
      </c>
      <c r="Z341" s="285">
        <f t="shared" si="249"/>
        <v>3852058.25</v>
      </c>
      <c r="AA341" s="285">
        <f t="shared" si="250"/>
        <v>35844627.509999998</v>
      </c>
      <c r="AB341" s="285">
        <f t="shared" si="267"/>
        <v>0</v>
      </c>
      <c r="AC341" s="285">
        <f t="shared" si="268"/>
        <v>0</v>
      </c>
      <c r="AD341" s="285">
        <f t="shared" si="269"/>
        <v>0</v>
      </c>
      <c r="AE341" s="286">
        <v>0</v>
      </c>
      <c r="AF341" s="287">
        <f t="shared" si="251"/>
        <v>0</v>
      </c>
      <c r="AG341" s="288">
        <f t="shared" si="252"/>
        <v>0</v>
      </c>
      <c r="AH341" s="285">
        <f t="shared" si="270"/>
        <v>0</v>
      </c>
      <c r="AI341" s="286">
        <v>0</v>
      </c>
      <c r="AJ341" s="286">
        <v>0</v>
      </c>
      <c r="AK341" s="286">
        <v>0</v>
      </c>
      <c r="AL341" s="285">
        <f t="shared" si="253"/>
        <v>39696685.759999998</v>
      </c>
      <c r="AM341" s="285">
        <f t="shared" si="254"/>
        <v>39696685</v>
      </c>
      <c r="AN341" s="289">
        <f t="shared" si="271"/>
        <v>1</v>
      </c>
      <c r="AO341" s="290">
        <f t="shared" si="255"/>
        <v>-2264926</v>
      </c>
      <c r="AP341" s="290">
        <f t="shared" si="256"/>
        <v>1069710</v>
      </c>
      <c r="AQ341" s="290">
        <f t="shared" si="257"/>
        <v>1507678</v>
      </c>
      <c r="AR341" s="290">
        <f t="shared" si="258"/>
        <v>0</v>
      </c>
      <c r="AS341" s="290">
        <f t="shared" si="259"/>
        <v>0</v>
      </c>
      <c r="AT341" s="290">
        <f t="shared" si="260"/>
        <v>40009147</v>
      </c>
      <c r="AU341" s="291">
        <f t="shared" si="261"/>
        <v>40009147.759999998</v>
      </c>
      <c r="AV341" s="291">
        <f t="shared" si="274"/>
        <v>-0.75999999791383743</v>
      </c>
      <c r="AW341" s="292">
        <f t="shared" si="262"/>
        <v>12094676.810000001</v>
      </c>
      <c r="AX341" s="293">
        <f t="shared" si="263"/>
        <v>23749950.699999996</v>
      </c>
      <c r="BC341" s="276">
        <f>IF(BI341=1,IF(BC340=MiscData!$F$1,EOMONTH(BC340,-11),EOMONTH(BC340,1)),BC340)</f>
        <v>41912</v>
      </c>
      <c r="BD341" s="275" t="str">
        <f t="shared" si="272"/>
        <v>20140101LGRSE511</v>
      </c>
      <c r="BE341" s="294" t="str">
        <f t="shared" si="273"/>
        <v>20140101RS</v>
      </c>
      <c r="BF341">
        <f>MiscData!$X$5</f>
        <v>20140101</v>
      </c>
      <c r="BI341" s="265">
        <f>IF(BI340+1&gt;MiscData!$Z$42,1,BI340+1)</f>
        <v>34</v>
      </c>
      <c r="BJ341" s="265" t="str">
        <f>VLOOKUP(BI341,MiscData!$Z$5:$AB$46,2,FALSE)</f>
        <v>LGRSE511</v>
      </c>
      <c r="BK341" s="265" t="str">
        <f>VLOOKUP(BI341,MiscData!$Z$5:$AB$46,3,FALSE)</f>
        <v>RS</v>
      </c>
    </row>
    <row r="342" spans="1:63" hidden="1">
      <c r="A342" s="275">
        <v>323</v>
      </c>
      <c r="B342" s="276" t="str">
        <f t="shared" si="264"/>
        <v>Sep 2014</v>
      </c>
      <c r="C342" s="277" t="str">
        <f t="shared" si="265"/>
        <v>RS</v>
      </c>
      <c r="D342" s="277" t="str">
        <f t="shared" si="266"/>
        <v>LGRSE519</v>
      </c>
      <c r="E342" s="278">
        <f t="shared" si="234"/>
        <v>0</v>
      </c>
      <c r="F342" s="279">
        <v>0</v>
      </c>
      <c r="G342" s="278">
        <f t="shared" si="235"/>
        <v>0</v>
      </c>
      <c r="H342" s="278">
        <f t="shared" si="236"/>
        <v>0</v>
      </c>
      <c r="I342" s="278">
        <f t="shared" si="237"/>
        <v>0</v>
      </c>
      <c r="J342" s="278">
        <f t="shared" si="238"/>
        <v>0</v>
      </c>
      <c r="K342" s="280">
        <v>0</v>
      </c>
      <c r="L342" s="281">
        <f t="shared" si="239"/>
        <v>0</v>
      </c>
      <c r="M342" s="281">
        <f t="shared" si="240"/>
        <v>0</v>
      </c>
      <c r="N342" s="281">
        <f t="shared" si="241"/>
        <v>0</v>
      </c>
      <c r="O342" s="282">
        <v>0</v>
      </c>
      <c r="P342" s="282">
        <v>0</v>
      </c>
      <c r="Q342" s="282">
        <v>0</v>
      </c>
      <c r="R342" s="283">
        <f t="shared" si="242"/>
        <v>10.75</v>
      </c>
      <c r="S342" s="284">
        <f t="shared" si="230"/>
        <v>8.0760000000000012E-2</v>
      </c>
      <c r="T342" s="284">
        <f t="shared" si="243"/>
        <v>0</v>
      </c>
      <c r="U342" s="284">
        <f t="shared" si="244"/>
        <v>0</v>
      </c>
      <c r="V342" s="284">
        <f t="shared" si="245"/>
        <v>2.725E-2</v>
      </c>
      <c r="W342" s="283">
        <f t="shared" si="246"/>
        <v>0</v>
      </c>
      <c r="X342" s="283">
        <f t="shared" si="247"/>
        <v>0</v>
      </c>
      <c r="Y342" s="283">
        <f t="shared" si="248"/>
        <v>0</v>
      </c>
      <c r="Z342" s="285">
        <f t="shared" si="249"/>
        <v>0</v>
      </c>
      <c r="AA342" s="285">
        <f t="shared" si="250"/>
        <v>0</v>
      </c>
      <c r="AB342" s="285">
        <f t="shared" si="267"/>
        <v>0</v>
      </c>
      <c r="AC342" s="285">
        <f t="shared" si="268"/>
        <v>0</v>
      </c>
      <c r="AD342" s="285">
        <f t="shared" si="269"/>
        <v>0</v>
      </c>
      <c r="AE342" s="286">
        <v>0</v>
      </c>
      <c r="AF342" s="287">
        <f t="shared" si="251"/>
        <v>0</v>
      </c>
      <c r="AG342" s="288">
        <f t="shared" si="252"/>
        <v>0</v>
      </c>
      <c r="AH342" s="285">
        <f t="shared" si="270"/>
        <v>0</v>
      </c>
      <c r="AI342" s="286">
        <v>0</v>
      </c>
      <c r="AJ342" s="286">
        <v>0</v>
      </c>
      <c r="AK342" s="286">
        <v>0</v>
      </c>
      <c r="AL342" s="285">
        <f t="shared" si="253"/>
        <v>0</v>
      </c>
      <c r="AM342" s="285">
        <f t="shared" si="254"/>
        <v>0</v>
      </c>
      <c r="AN342" s="289">
        <f t="shared" si="271"/>
        <v>1</v>
      </c>
      <c r="AO342" s="290">
        <f t="shared" si="255"/>
        <v>0</v>
      </c>
      <c r="AP342" s="290">
        <f t="shared" si="256"/>
        <v>0</v>
      </c>
      <c r="AQ342" s="290">
        <f t="shared" si="257"/>
        <v>0</v>
      </c>
      <c r="AR342" s="290">
        <f t="shared" si="258"/>
        <v>0</v>
      </c>
      <c r="AS342" s="290">
        <f t="shared" si="259"/>
        <v>0</v>
      </c>
      <c r="AT342" s="290">
        <f t="shared" si="260"/>
        <v>0</v>
      </c>
      <c r="AU342" s="291">
        <f t="shared" si="261"/>
        <v>0</v>
      </c>
      <c r="AV342" s="291">
        <f t="shared" ref="AV342:AV346" si="275">ROUND(AT342-AU342,2)</f>
        <v>0</v>
      </c>
      <c r="AW342" s="292">
        <f t="shared" si="262"/>
        <v>0</v>
      </c>
      <c r="AX342" s="293">
        <f t="shared" si="263"/>
        <v>0</v>
      </c>
      <c r="BC342" s="276">
        <f>IF(BI342=1,IF(BC341=MiscData!$F$1,EOMONTH(BC341,-11),EOMONTH(BC341,1)),BC341)</f>
        <v>41912</v>
      </c>
      <c r="BD342" s="275" t="str">
        <f t="shared" si="272"/>
        <v>20140101LGRSE519</v>
      </c>
      <c r="BE342" s="294" t="str">
        <f t="shared" si="273"/>
        <v>20140101RS</v>
      </c>
      <c r="BF342">
        <f>MiscData!$X$5</f>
        <v>20140101</v>
      </c>
      <c r="BI342" s="265">
        <f>IF(BI341+1&gt;MiscData!$Z$42,1,BI341+1)</f>
        <v>35</v>
      </c>
      <c r="BJ342" s="265" t="str">
        <f>VLOOKUP(BI342,MiscData!$Z$5:$AB$46,2,FALSE)</f>
        <v>LGRSE519</v>
      </c>
      <c r="BK342" s="265" t="str">
        <f>VLOOKUP(BI342,MiscData!$Z$5:$AB$46,3,FALSE)</f>
        <v>RS</v>
      </c>
    </row>
    <row r="343" spans="1:63" hidden="1">
      <c r="A343" s="275">
        <v>324</v>
      </c>
      <c r="B343" s="276" t="str">
        <f t="shared" si="264"/>
        <v>Sep 2014</v>
      </c>
      <c r="C343" s="277" t="s">
        <v>13</v>
      </c>
      <c r="D343" s="277" t="str">
        <f t="shared" si="266"/>
        <v>LGRSE540</v>
      </c>
      <c r="E343" s="278">
        <f t="shared" si="234"/>
        <v>0</v>
      </c>
      <c r="F343" s="279">
        <v>0</v>
      </c>
      <c r="G343" s="278">
        <f t="shared" si="235"/>
        <v>0</v>
      </c>
      <c r="H343" s="278">
        <f t="shared" si="236"/>
        <v>0</v>
      </c>
      <c r="I343" s="278">
        <f t="shared" si="237"/>
        <v>0</v>
      </c>
      <c r="J343" s="278">
        <f t="shared" si="238"/>
        <v>0</v>
      </c>
      <c r="K343" s="280">
        <v>0</v>
      </c>
      <c r="L343" s="281">
        <f t="shared" si="239"/>
        <v>0</v>
      </c>
      <c r="M343" s="281">
        <f t="shared" si="240"/>
        <v>0</v>
      </c>
      <c r="N343" s="281">
        <f t="shared" si="241"/>
        <v>0</v>
      </c>
      <c r="O343" s="282">
        <v>0</v>
      </c>
      <c r="P343" s="282">
        <v>0</v>
      </c>
      <c r="Q343" s="282">
        <v>0</v>
      </c>
      <c r="R343" s="283">
        <f t="shared" si="242"/>
        <v>10.75</v>
      </c>
      <c r="S343" s="284">
        <f t="shared" si="230"/>
        <v>8.0760000000000012E-2</v>
      </c>
      <c r="T343" s="284">
        <f t="shared" si="243"/>
        <v>0</v>
      </c>
      <c r="U343" s="284">
        <f t="shared" si="244"/>
        <v>0</v>
      </c>
      <c r="V343" s="284">
        <f t="shared" si="245"/>
        <v>2.725E-2</v>
      </c>
      <c r="W343" s="283">
        <f t="shared" si="246"/>
        <v>0</v>
      </c>
      <c r="X343" s="283">
        <f t="shared" si="247"/>
        <v>0</v>
      </c>
      <c r="Y343" s="283">
        <f t="shared" si="248"/>
        <v>0</v>
      </c>
      <c r="Z343" s="285">
        <f t="shared" si="249"/>
        <v>0</v>
      </c>
      <c r="AA343" s="285">
        <f t="shared" si="250"/>
        <v>0</v>
      </c>
      <c r="AB343" s="285">
        <f t="shared" si="267"/>
        <v>0</v>
      </c>
      <c r="AC343" s="285">
        <f t="shared" si="268"/>
        <v>0</v>
      </c>
      <c r="AD343" s="285">
        <f t="shared" si="269"/>
        <v>0</v>
      </c>
      <c r="AE343" s="286">
        <v>0</v>
      </c>
      <c r="AF343" s="287">
        <f t="shared" si="251"/>
        <v>0</v>
      </c>
      <c r="AG343" s="288">
        <f t="shared" si="252"/>
        <v>0</v>
      </c>
      <c r="AH343" s="285">
        <f t="shared" si="270"/>
        <v>0</v>
      </c>
      <c r="AI343" s="286">
        <v>0</v>
      </c>
      <c r="AJ343" s="286">
        <v>0</v>
      </c>
      <c r="AK343" s="286">
        <v>0</v>
      </c>
      <c r="AL343" s="285">
        <f t="shared" si="253"/>
        <v>0</v>
      </c>
      <c r="AM343" s="285">
        <f t="shared" si="254"/>
        <v>0</v>
      </c>
      <c r="AN343" s="289">
        <f t="shared" si="271"/>
        <v>1</v>
      </c>
      <c r="AO343" s="290">
        <f t="shared" si="255"/>
        <v>0</v>
      </c>
      <c r="AP343" s="290">
        <f t="shared" si="256"/>
        <v>0</v>
      </c>
      <c r="AQ343" s="290">
        <f t="shared" si="257"/>
        <v>0</v>
      </c>
      <c r="AR343" s="290">
        <f t="shared" si="258"/>
        <v>0</v>
      </c>
      <c r="AS343" s="290">
        <f t="shared" si="259"/>
        <v>0</v>
      </c>
      <c r="AT343" s="290">
        <f t="shared" si="260"/>
        <v>0</v>
      </c>
      <c r="AU343" s="291">
        <f t="shared" si="261"/>
        <v>0</v>
      </c>
      <c r="AV343" s="291">
        <f t="shared" si="275"/>
        <v>0</v>
      </c>
      <c r="AW343" s="292">
        <f t="shared" si="262"/>
        <v>0</v>
      </c>
      <c r="AX343" s="293">
        <f t="shared" si="263"/>
        <v>0</v>
      </c>
      <c r="BC343" s="276">
        <f>IF(BI343=1,IF(BC342=MiscData!$F$1,EOMONTH(BC342,-11),EOMONTH(BC342,1)),BC342)</f>
        <v>41912</v>
      </c>
      <c r="BD343" s="275" t="str">
        <f t="shared" si="272"/>
        <v>20140101LGRSE540</v>
      </c>
      <c r="BE343" s="294" t="str">
        <f t="shared" si="273"/>
        <v>20140101VFD</v>
      </c>
      <c r="BF343">
        <f>MiscData!$X$5</f>
        <v>20140101</v>
      </c>
      <c r="BI343" s="265">
        <f>IF(BI342+1&gt;MiscData!$Z$42,1,BI342+1)</f>
        <v>36</v>
      </c>
      <c r="BJ343" s="265" t="str">
        <f>VLOOKUP(BI343,MiscData!$Z$5:$AB$46,2,FALSE)</f>
        <v>LGRSE540</v>
      </c>
      <c r="BK343" s="265" t="str">
        <f>VLOOKUP(BI343,MiscData!$Z$5:$AB$46,3,FALSE)</f>
        <v>VFD</v>
      </c>
    </row>
    <row r="344" spans="1:63" hidden="1">
      <c r="A344" s="275">
        <v>325</v>
      </c>
      <c r="B344" s="276" t="str">
        <f t="shared" si="264"/>
        <v>Sep 2014</v>
      </c>
      <c r="C344" s="277" t="str">
        <f t="shared" si="265"/>
        <v>LEV</v>
      </c>
      <c r="D344" s="277" t="str">
        <f t="shared" si="266"/>
        <v>LGRSE543</v>
      </c>
      <c r="E344" s="278">
        <f t="shared" si="234"/>
        <v>0</v>
      </c>
      <c r="F344" s="279">
        <v>0</v>
      </c>
      <c r="G344" s="278">
        <f t="shared" si="235"/>
        <v>0</v>
      </c>
      <c r="H344" s="278">
        <f t="shared" si="236"/>
        <v>0</v>
      </c>
      <c r="I344" s="278">
        <f t="shared" si="237"/>
        <v>0</v>
      </c>
      <c r="J344" s="278">
        <f t="shared" si="238"/>
        <v>0</v>
      </c>
      <c r="K344" s="280">
        <v>0</v>
      </c>
      <c r="L344" s="281">
        <f t="shared" si="239"/>
        <v>0</v>
      </c>
      <c r="M344" s="281">
        <f t="shared" si="240"/>
        <v>0</v>
      </c>
      <c r="N344" s="281">
        <f t="shared" si="241"/>
        <v>0</v>
      </c>
      <c r="O344" s="282">
        <v>0</v>
      </c>
      <c r="P344" s="282">
        <v>0</v>
      </c>
      <c r="Q344" s="282">
        <v>0</v>
      </c>
      <c r="R344" s="283">
        <f t="shared" si="242"/>
        <v>10.75</v>
      </c>
      <c r="S344" s="284">
        <f t="shared" si="230"/>
        <v>5.8200000000000002E-2</v>
      </c>
      <c r="T344" s="284">
        <f t="shared" si="243"/>
        <v>7.8990000000000005E-2</v>
      </c>
      <c r="U344" s="284">
        <f t="shared" si="244"/>
        <v>0.14451000000000003</v>
      </c>
      <c r="V344" s="284">
        <f t="shared" si="245"/>
        <v>2.725E-2</v>
      </c>
      <c r="W344" s="283">
        <f t="shared" si="246"/>
        <v>0</v>
      </c>
      <c r="X344" s="283">
        <f t="shared" si="247"/>
        <v>0</v>
      </c>
      <c r="Y344" s="283">
        <f t="shared" si="248"/>
        <v>0</v>
      </c>
      <c r="Z344" s="285">
        <f t="shared" si="249"/>
        <v>0</v>
      </c>
      <c r="AA344" s="285">
        <f t="shared" si="250"/>
        <v>0</v>
      </c>
      <c r="AB344" s="285">
        <f t="shared" si="267"/>
        <v>0</v>
      </c>
      <c r="AC344" s="285">
        <f t="shared" si="268"/>
        <v>0</v>
      </c>
      <c r="AD344" s="285">
        <f t="shared" si="269"/>
        <v>0</v>
      </c>
      <c r="AE344" s="286">
        <v>0</v>
      </c>
      <c r="AF344" s="287">
        <f t="shared" si="251"/>
        <v>0</v>
      </c>
      <c r="AG344" s="288">
        <f t="shared" si="252"/>
        <v>0</v>
      </c>
      <c r="AH344" s="285">
        <f t="shared" si="270"/>
        <v>0</v>
      </c>
      <c r="AI344" s="286">
        <v>0</v>
      </c>
      <c r="AJ344" s="286">
        <v>0</v>
      </c>
      <c r="AK344" s="286">
        <v>0</v>
      </c>
      <c r="AL344" s="285">
        <f t="shared" si="253"/>
        <v>0</v>
      </c>
      <c r="AM344" s="285">
        <f t="shared" si="254"/>
        <v>0</v>
      </c>
      <c r="AN344" s="289">
        <f t="shared" si="271"/>
        <v>1</v>
      </c>
      <c r="AO344" s="290">
        <f t="shared" si="255"/>
        <v>0</v>
      </c>
      <c r="AP344" s="290">
        <f t="shared" si="256"/>
        <v>0</v>
      </c>
      <c r="AQ344" s="290">
        <f t="shared" si="257"/>
        <v>0</v>
      </c>
      <c r="AR344" s="290">
        <f t="shared" si="258"/>
        <v>0</v>
      </c>
      <c r="AS344" s="290">
        <f t="shared" si="259"/>
        <v>0</v>
      </c>
      <c r="AT344" s="290">
        <f t="shared" si="260"/>
        <v>0</v>
      </c>
      <c r="AU344" s="291">
        <f t="shared" si="261"/>
        <v>0</v>
      </c>
      <c r="AV344" s="291">
        <f t="shared" si="275"/>
        <v>0</v>
      </c>
      <c r="AW344" s="292">
        <f t="shared" si="262"/>
        <v>0</v>
      </c>
      <c r="AX344" s="293">
        <f t="shared" si="263"/>
        <v>0</v>
      </c>
      <c r="BC344" s="276">
        <f>IF(BI344=1,IF(BC343=MiscData!$F$1,EOMONTH(BC343,-11),EOMONTH(BC343,1)),BC343)</f>
        <v>41912</v>
      </c>
      <c r="BD344" s="275" t="str">
        <f t="shared" si="272"/>
        <v>20140101LGRSE543</v>
      </c>
      <c r="BE344" s="294" t="str">
        <f t="shared" si="273"/>
        <v>20140101LEV</v>
      </c>
      <c r="BF344">
        <f>MiscData!$X$5</f>
        <v>20140101</v>
      </c>
      <c r="BI344" s="265">
        <f>IF(BI343+1&gt;MiscData!$Z$42,1,BI343+1)</f>
        <v>37</v>
      </c>
      <c r="BJ344" s="265" t="str">
        <f>VLOOKUP(BI344,MiscData!$Z$5:$AB$46,2,FALSE)</f>
        <v>LGRSE543</v>
      </c>
      <c r="BK344" s="265" t="str">
        <f>VLOOKUP(BI344,MiscData!$Z$5:$AB$46,3,FALSE)</f>
        <v>LEV</v>
      </c>
    </row>
    <row r="345" spans="1:63" hidden="1">
      <c r="A345" s="275">
        <v>326</v>
      </c>
      <c r="B345" s="276" t="str">
        <f t="shared" si="264"/>
        <v>Sep 2014</v>
      </c>
      <c r="C345" s="277" t="str">
        <f t="shared" si="265"/>
        <v>LEV</v>
      </c>
      <c r="D345" s="277" t="str">
        <f t="shared" si="266"/>
        <v>LGRSE547</v>
      </c>
      <c r="E345" s="278">
        <f t="shared" si="234"/>
        <v>0</v>
      </c>
      <c r="F345" s="279">
        <v>0</v>
      </c>
      <c r="G345" s="278">
        <f t="shared" si="235"/>
        <v>0</v>
      </c>
      <c r="H345" s="278">
        <f t="shared" si="236"/>
        <v>0</v>
      </c>
      <c r="I345" s="278">
        <f t="shared" si="237"/>
        <v>0</v>
      </c>
      <c r="J345" s="278">
        <f t="shared" si="238"/>
        <v>0</v>
      </c>
      <c r="K345" s="280">
        <v>0</v>
      </c>
      <c r="L345" s="281">
        <f t="shared" si="239"/>
        <v>0</v>
      </c>
      <c r="M345" s="281">
        <f t="shared" si="240"/>
        <v>0</v>
      </c>
      <c r="N345" s="281">
        <f t="shared" si="241"/>
        <v>0</v>
      </c>
      <c r="O345" s="282">
        <v>0</v>
      </c>
      <c r="P345" s="282">
        <v>0</v>
      </c>
      <c r="Q345" s="282">
        <v>0</v>
      </c>
      <c r="R345" s="283">
        <f t="shared" si="242"/>
        <v>10.75</v>
      </c>
      <c r="S345" s="284">
        <f t="shared" si="230"/>
        <v>5.8200000000000002E-2</v>
      </c>
      <c r="T345" s="284">
        <f t="shared" si="243"/>
        <v>7.8990000000000005E-2</v>
      </c>
      <c r="U345" s="284">
        <f t="shared" si="244"/>
        <v>0.14451000000000003</v>
      </c>
      <c r="V345" s="284">
        <f t="shared" si="245"/>
        <v>2.725E-2</v>
      </c>
      <c r="W345" s="283">
        <f t="shared" si="246"/>
        <v>0</v>
      </c>
      <c r="X345" s="283">
        <f t="shared" si="247"/>
        <v>0</v>
      </c>
      <c r="Y345" s="283">
        <f t="shared" si="248"/>
        <v>0</v>
      </c>
      <c r="Z345" s="285">
        <f t="shared" si="249"/>
        <v>0</v>
      </c>
      <c r="AA345" s="285">
        <f t="shared" si="250"/>
        <v>0</v>
      </c>
      <c r="AB345" s="285">
        <f t="shared" si="267"/>
        <v>0</v>
      </c>
      <c r="AC345" s="285">
        <f t="shared" si="268"/>
        <v>0</v>
      </c>
      <c r="AD345" s="285">
        <f t="shared" si="269"/>
        <v>0</v>
      </c>
      <c r="AE345" s="286">
        <v>0</v>
      </c>
      <c r="AF345" s="287">
        <f t="shared" si="251"/>
        <v>0</v>
      </c>
      <c r="AG345" s="288">
        <f t="shared" si="252"/>
        <v>0</v>
      </c>
      <c r="AH345" s="285">
        <f t="shared" si="270"/>
        <v>0</v>
      </c>
      <c r="AI345" s="286">
        <v>0</v>
      </c>
      <c r="AJ345" s="286">
        <v>0</v>
      </c>
      <c r="AK345" s="286">
        <v>0</v>
      </c>
      <c r="AL345" s="285">
        <f t="shared" si="253"/>
        <v>0</v>
      </c>
      <c r="AM345" s="285">
        <f t="shared" si="254"/>
        <v>0</v>
      </c>
      <c r="AN345" s="289">
        <f t="shared" si="271"/>
        <v>1</v>
      </c>
      <c r="AO345" s="290">
        <f t="shared" si="255"/>
        <v>0</v>
      </c>
      <c r="AP345" s="290">
        <f t="shared" si="256"/>
        <v>0</v>
      </c>
      <c r="AQ345" s="290">
        <f t="shared" si="257"/>
        <v>0</v>
      </c>
      <c r="AR345" s="290">
        <f t="shared" si="258"/>
        <v>0</v>
      </c>
      <c r="AS345" s="290">
        <f t="shared" si="259"/>
        <v>0</v>
      </c>
      <c r="AT345" s="290">
        <f t="shared" si="260"/>
        <v>0</v>
      </c>
      <c r="AU345" s="291">
        <f t="shared" si="261"/>
        <v>0</v>
      </c>
      <c r="AV345" s="291">
        <f t="shared" si="275"/>
        <v>0</v>
      </c>
      <c r="AW345" s="292">
        <f t="shared" si="262"/>
        <v>0</v>
      </c>
      <c r="AX345" s="293">
        <f t="shared" si="263"/>
        <v>0</v>
      </c>
      <c r="BC345" s="276">
        <f>IF(BI345=1,IF(BC344=MiscData!$F$1,EOMONTH(BC344,-11),EOMONTH(BC344,1)),BC344)</f>
        <v>41912</v>
      </c>
      <c r="BD345" s="275" t="str">
        <f t="shared" si="272"/>
        <v>20140101LGRSE547</v>
      </c>
      <c r="BE345" s="294" t="str">
        <f t="shared" si="273"/>
        <v>20140101LEV</v>
      </c>
      <c r="BF345">
        <f>MiscData!$X$5</f>
        <v>20140101</v>
      </c>
      <c r="BI345" s="265">
        <f>IF(BI344+1&gt;MiscData!$Z$42,1,BI344+1)</f>
        <v>38</v>
      </c>
      <c r="BJ345" s="265" t="str">
        <f>VLOOKUP(BI345,MiscData!$Z$5:$AB$46,2,FALSE)</f>
        <v>LGRSE547</v>
      </c>
      <c r="BK345" s="265" t="str">
        <f>VLOOKUP(BI345,MiscData!$Z$5:$AB$46,3,FALSE)</f>
        <v>LEV</v>
      </c>
    </row>
    <row r="346" spans="1:63" hidden="1">
      <c r="A346" s="275">
        <v>327</v>
      </c>
      <c r="B346" s="276" t="str">
        <f t="shared" si="264"/>
        <v>Oct 2014</v>
      </c>
      <c r="C346" s="277" t="str">
        <f t="shared" si="265"/>
        <v>FLSP</v>
      </c>
      <c r="D346" s="277" t="str">
        <f t="shared" si="266"/>
        <v>LGINE682</v>
      </c>
      <c r="E346" s="278">
        <f t="shared" si="234"/>
        <v>0</v>
      </c>
      <c r="F346" s="279">
        <v>0</v>
      </c>
      <c r="G346" s="278">
        <f t="shared" si="235"/>
        <v>0</v>
      </c>
      <c r="H346" s="278">
        <f t="shared" si="236"/>
        <v>0</v>
      </c>
      <c r="I346" s="278">
        <f t="shared" si="237"/>
        <v>0</v>
      </c>
      <c r="J346" s="278">
        <f t="shared" si="238"/>
        <v>0</v>
      </c>
      <c r="K346" s="280">
        <v>0</v>
      </c>
      <c r="L346" s="281">
        <f t="shared" si="239"/>
        <v>0</v>
      </c>
      <c r="M346" s="281">
        <f t="shared" si="240"/>
        <v>0</v>
      </c>
      <c r="N346" s="281">
        <f t="shared" si="241"/>
        <v>0</v>
      </c>
      <c r="O346" s="282">
        <v>0</v>
      </c>
      <c r="P346" s="282">
        <v>0</v>
      </c>
      <c r="Q346" s="282">
        <v>0</v>
      </c>
      <c r="R346" s="283">
        <f t="shared" si="242"/>
        <v>750</v>
      </c>
      <c r="S346" s="284">
        <f t="shared" si="230"/>
        <v>3.61E-2</v>
      </c>
      <c r="T346" s="284">
        <f t="shared" si="243"/>
        <v>0</v>
      </c>
      <c r="U346" s="284">
        <f t="shared" si="244"/>
        <v>0</v>
      </c>
      <c r="V346" s="284">
        <f t="shared" si="245"/>
        <v>2.725E-2</v>
      </c>
      <c r="W346" s="283">
        <f t="shared" si="246"/>
        <v>1.8900000000000001</v>
      </c>
      <c r="X346" s="283">
        <f t="shared" si="247"/>
        <v>1.8900000000000001</v>
      </c>
      <c r="Y346" s="283">
        <f t="shared" si="248"/>
        <v>2.94</v>
      </c>
      <c r="Z346" s="285">
        <f t="shared" si="249"/>
        <v>0</v>
      </c>
      <c r="AA346" s="285">
        <f t="shared" si="250"/>
        <v>0</v>
      </c>
      <c r="AB346" s="285">
        <f t="shared" si="267"/>
        <v>0</v>
      </c>
      <c r="AC346" s="285">
        <f t="shared" si="268"/>
        <v>0</v>
      </c>
      <c r="AD346" s="285">
        <f t="shared" si="269"/>
        <v>0</v>
      </c>
      <c r="AE346" s="286">
        <v>0</v>
      </c>
      <c r="AF346" s="287">
        <f t="shared" si="251"/>
        <v>0</v>
      </c>
      <c r="AG346" s="288">
        <f t="shared" si="252"/>
        <v>0</v>
      </c>
      <c r="AH346" s="285">
        <f t="shared" si="270"/>
        <v>0</v>
      </c>
      <c r="AI346" s="286">
        <v>0</v>
      </c>
      <c r="AJ346" s="286">
        <v>0</v>
      </c>
      <c r="AK346" s="286">
        <v>0</v>
      </c>
      <c r="AL346" s="285">
        <f t="shared" si="253"/>
        <v>0</v>
      </c>
      <c r="AM346" s="285">
        <f t="shared" si="254"/>
        <v>0</v>
      </c>
      <c r="AN346" s="289">
        <f t="shared" si="271"/>
        <v>1</v>
      </c>
      <c r="AO346" s="290">
        <f t="shared" si="255"/>
        <v>0</v>
      </c>
      <c r="AP346" s="290">
        <f t="shared" si="256"/>
        <v>0</v>
      </c>
      <c r="AQ346" s="290">
        <f t="shared" si="257"/>
        <v>0</v>
      </c>
      <c r="AR346" s="290">
        <f t="shared" si="258"/>
        <v>0</v>
      </c>
      <c r="AS346" s="290">
        <f t="shared" si="259"/>
        <v>0</v>
      </c>
      <c r="AT346" s="290">
        <f t="shared" si="260"/>
        <v>0</v>
      </c>
      <c r="AU346" s="291">
        <f t="shared" si="261"/>
        <v>0</v>
      </c>
      <c r="AV346" s="291">
        <f t="shared" si="275"/>
        <v>0</v>
      </c>
      <c r="AW346" s="292">
        <f t="shared" si="262"/>
        <v>0</v>
      </c>
      <c r="AX346" s="293">
        <f t="shared" si="263"/>
        <v>0</v>
      </c>
      <c r="BC346" s="276">
        <f>IF(BI346=1,IF(BC345=MiscData!$F$1,EOMONTH(BC345,-11),EOMONTH(BC345,1)),BC345)</f>
        <v>41943</v>
      </c>
      <c r="BD346" s="275" t="str">
        <f t="shared" si="272"/>
        <v>20140101LGINE682</v>
      </c>
      <c r="BE346" s="294" t="str">
        <f t="shared" si="273"/>
        <v>20140101FLSP</v>
      </c>
      <c r="BF346">
        <f>MiscData!$X$5</f>
        <v>20140101</v>
      </c>
      <c r="BI346" s="265">
        <f>IF(BI345+1&gt;MiscData!$Z$42,1,BI345+1)</f>
        <v>1</v>
      </c>
      <c r="BJ346" s="265" t="str">
        <f>VLOOKUP(BI346,MiscData!$Z$5:$AB$46,2,FALSE)</f>
        <v>LGINE682</v>
      </c>
      <c r="BK346" s="265" t="str">
        <f>VLOOKUP(BI346,MiscData!$Z$5:$AB$46,3,FALSE)</f>
        <v>FLSP</v>
      </c>
    </row>
    <row r="347" spans="1:63" hidden="1">
      <c r="A347" s="275">
        <v>328</v>
      </c>
      <c r="B347" s="276" t="str">
        <f t="shared" si="264"/>
        <v>Oct 2014</v>
      </c>
      <c r="C347" s="277" t="str">
        <f t="shared" si="265"/>
        <v>FLST</v>
      </c>
      <c r="D347" s="277" t="str">
        <f t="shared" si="266"/>
        <v>LGINE683</v>
      </c>
      <c r="E347" s="278">
        <f t="shared" si="234"/>
        <v>0</v>
      </c>
      <c r="F347" s="279">
        <v>0</v>
      </c>
      <c r="G347" s="278">
        <f t="shared" si="235"/>
        <v>0</v>
      </c>
      <c r="H347" s="278">
        <f t="shared" si="236"/>
        <v>0</v>
      </c>
      <c r="I347" s="278">
        <f t="shared" si="237"/>
        <v>0</v>
      </c>
      <c r="J347" s="278">
        <f t="shared" si="238"/>
        <v>0</v>
      </c>
      <c r="K347" s="280">
        <v>0</v>
      </c>
      <c r="L347" s="281">
        <f t="shared" si="239"/>
        <v>0</v>
      </c>
      <c r="M347" s="281">
        <f t="shared" si="240"/>
        <v>0</v>
      </c>
      <c r="N347" s="281">
        <f t="shared" si="241"/>
        <v>0</v>
      </c>
      <c r="O347" s="282">
        <v>0</v>
      </c>
      <c r="P347" s="282">
        <v>0</v>
      </c>
      <c r="Q347" s="282">
        <v>0</v>
      </c>
      <c r="R347" s="283">
        <f t="shared" si="242"/>
        <v>750</v>
      </c>
      <c r="S347" s="284">
        <f t="shared" si="230"/>
        <v>3.61E-2</v>
      </c>
      <c r="T347" s="284">
        <f t="shared" si="243"/>
        <v>0</v>
      </c>
      <c r="U347" s="284">
        <f t="shared" si="244"/>
        <v>0</v>
      </c>
      <c r="V347" s="284">
        <f t="shared" si="245"/>
        <v>2.725E-2</v>
      </c>
      <c r="W347" s="283">
        <f t="shared" si="246"/>
        <v>1.1400000000000001</v>
      </c>
      <c r="X347" s="283">
        <f t="shared" si="247"/>
        <v>1.8900000000000001</v>
      </c>
      <c r="Y347" s="283">
        <f t="shared" si="248"/>
        <v>2.94</v>
      </c>
      <c r="Z347" s="285">
        <f t="shared" si="249"/>
        <v>0</v>
      </c>
      <c r="AA347" s="285">
        <f t="shared" si="250"/>
        <v>0</v>
      </c>
      <c r="AB347" s="285">
        <f t="shared" si="267"/>
        <v>0</v>
      </c>
      <c r="AC347" s="285">
        <f t="shared" si="268"/>
        <v>0</v>
      </c>
      <c r="AD347" s="285">
        <f t="shared" si="269"/>
        <v>0</v>
      </c>
      <c r="AE347" s="286">
        <v>0</v>
      </c>
      <c r="AF347" s="287">
        <f t="shared" si="251"/>
        <v>0</v>
      </c>
      <c r="AG347" s="288">
        <f t="shared" si="252"/>
        <v>0</v>
      </c>
      <c r="AH347" s="285">
        <f t="shared" si="270"/>
        <v>0</v>
      </c>
      <c r="AI347" s="286">
        <v>0</v>
      </c>
      <c r="AJ347" s="286">
        <v>0</v>
      </c>
      <c r="AK347" s="286">
        <v>0</v>
      </c>
      <c r="AL347" s="285">
        <f t="shared" si="253"/>
        <v>0</v>
      </c>
      <c r="AM347" s="285">
        <f t="shared" si="254"/>
        <v>0</v>
      </c>
      <c r="AN347" s="289">
        <f t="shared" si="271"/>
        <v>1</v>
      </c>
      <c r="AO347" s="290">
        <f t="shared" si="255"/>
        <v>0</v>
      </c>
      <c r="AP347" s="290">
        <f t="shared" si="256"/>
        <v>0</v>
      </c>
      <c r="AQ347" s="290">
        <f t="shared" si="257"/>
        <v>0</v>
      </c>
      <c r="AR347" s="290">
        <f t="shared" si="258"/>
        <v>0</v>
      </c>
      <c r="AS347" s="290">
        <f t="shared" si="259"/>
        <v>0</v>
      </c>
      <c r="AT347" s="290">
        <f t="shared" si="260"/>
        <v>0</v>
      </c>
      <c r="AU347" s="291">
        <f t="shared" si="261"/>
        <v>0</v>
      </c>
      <c r="AV347" s="291">
        <f t="shared" ref="AV347:AV374" si="276">AT347-AU347</f>
        <v>0</v>
      </c>
      <c r="AW347" s="292">
        <f t="shared" si="262"/>
        <v>0</v>
      </c>
      <c r="AX347" s="293">
        <f t="shared" si="263"/>
        <v>0</v>
      </c>
      <c r="BC347" s="276">
        <f>IF(BI347=1,IF(BC346=MiscData!$F$1,EOMONTH(BC346,-11),EOMONTH(BC346,1)),BC346)</f>
        <v>41943</v>
      </c>
      <c r="BD347" s="275" t="str">
        <f t="shared" si="272"/>
        <v>20140101LGINE683</v>
      </c>
      <c r="BE347" s="294" t="str">
        <f t="shared" si="273"/>
        <v>20140101FLST</v>
      </c>
      <c r="BF347">
        <f>MiscData!$X$5</f>
        <v>20140101</v>
      </c>
      <c r="BI347" s="265">
        <f>IF(BI346+1&gt;MiscData!$Z$42,1,BI346+1)</f>
        <v>2</v>
      </c>
      <c r="BJ347" s="265" t="str">
        <f>VLOOKUP(BI347,MiscData!$Z$5:$AB$46,2,FALSE)</f>
        <v>LGINE683</v>
      </c>
      <c r="BK347" s="265" t="str">
        <f>VLOOKUP(BI347,MiscData!$Z$5:$AB$46,3,FALSE)</f>
        <v>FLST</v>
      </c>
    </row>
    <row r="348" spans="1:63" hidden="1">
      <c r="A348" s="275">
        <v>329</v>
      </c>
      <c r="B348" s="276" t="str">
        <f t="shared" si="264"/>
        <v>Oct 2014</v>
      </c>
      <c r="C348" s="277" t="s">
        <v>892</v>
      </c>
      <c r="D348" s="277" t="str">
        <f t="shared" si="266"/>
        <v>LGCME451</v>
      </c>
      <c r="E348" s="278">
        <f t="shared" si="234"/>
        <v>0</v>
      </c>
      <c r="F348" s="279">
        <f>-E348</f>
        <v>0</v>
      </c>
      <c r="G348" s="278">
        <f t="shared" si="235"/>
        <v>0</v>
      </c>
      <c r="H348" s="278">
        <f t="shared" si="236"/>
        <v>0</v>
      </c>
      <c r="I348" s="278">
        <f t="shared" si="237"/>
        <v>0</v>
      </c>
      <c r="J348" s="278">
        <f t="shared" si="238"/>
        <v>0</v>
      </c>
      <c r="K348" s="280">
        <v>0</v>
      </c>
      <c r="L348" s="281">
        <f t="shared" si="239"/>
        <v>0</v>
      </c>
      <c r="M348" s="281">
        <f t="shared" si="240"/>
        <v>0</v>
      </c>
      <c r="N348" s="281">
        <f t="shared" si="241"/>
        <v>0</v>
      </c>
      <c r="O348" s="282">
        <v>0</v>
      </c>
      <c r="P348" s="282">
        <v>0</v>
      </c>
      <c r="Q348" s="282">
        <v>0</v>
      </c>
      <c r="R348" s="283">
        <f t="shared" si="242"/>
        <v>0</v>
      </c>
      <c r="S348" s="284">
        <f t="shared" si="230"/>
        <v>9.1340000000000005E-2</v>
      </c>
      <c r="T348" s="284">
        <f t="shared" si="243"/>
        <v>0</v>
      </c>
      <c r="U348" s="284">
        <f t="shared" si="244"/>
        <v>0</v>
      </c>
      <c r="V348" s="284">
        <f t="shared" si="245"/>
        <v>2.725E-2</v>
      </c>
      <c r="W348" s="283">
        <f t="shared" si="246"/>
        <v>0</v>
      </c>
      <c r="X348" s="283">
        <f t="shared" si="247"/>
        <v>0</v>
      </c>
      <c r="Y348" s="283">
        <f t="shared" si="248"/>
        <v>0</v>
      </c>
      <c r="Z348" s="285">
        <f t="shared" si="249"/>
        <v>0</v>
      </c>
      <c r="AA348" s="285">
        <f t="shared" si="250"/>
        <v>0</v>
      </c>
      <c r="AB348" s="285">
        <f t="shared" si="267"/>
        <v>0</v>
      </c>
      <c r="AC348" s="285">
        <f t="shared" si="268"/>
        <v>0</v>
      </c>
      <c r="AD348" s="285">
        <f t="shared" si="269"/>
        <v>0</v>
      </c>
      <c r="AE348" s="286">
        <v>0</v>
      </c>
      <c r="AF348" s="287">
        <f t="shared" si="251"/>
        <v>0</v>
      </c>
      <c r="AG348" s="288">
        <f t="shared" si="252"/>
        <v>0</v>
      </c>
      <c r="AH348" s="285">
        <f t="shared" si="270"/>
        <v>0</v>
      </c>
      <c r="AI348" s="286">
        <v>0</v>
      </c>
      <c r="AJ348" s="286">
        <v>0</v>
      </c>
      <c r="AK348" s="286">
        <v>0</v>
      </c>
      <c r="AL348" s="285">
        <f t="shared" si="253"/>
        <v>0</v>
      </c>
      <c r="AM348" s="285">
        <f t="shared" si="254"/>
        <v>0</v>
      </c>
      <c r="AN348" s="289">
        <f t="shared" si="271"/>
        <v>1</v>
      </c>
      <c r="AO348" s="290">
        <f t="shared" si="255"/>
        <v>0</v>
      </c>
      <c r="AP348" s="290">
        <f t="shared" si="256"/>
        <v>0</v>
      </c>
      <c r="AQ348" s="290">
        <f t="shared" si="257"/>
        <v>0</v>
      </c>
      <c r="AR348" s="290">
        <f t="shared" si="258"/>
        <v>0</v>
      </c>
      <c r="AS348" s="290">
        <f t="shared" si="259"/>
        <v>0</v>
      </c>
      <c r="AT348" s="290">
        <f t="shared" si="260"/>
        <v>0</v>
      </c>
      <c r="AU348" s="291">
        <f t="shared" si="261"/>
        <v>0</v>
      </c>
      <c r="AV348" s="291">
        <f t="shared" si="276"/>
        <v>0</v>
      </c>
      <c r="AW348" s="292">
        <f t="shared" si="262"/>
        <v>0</v>
      </c>
      <c r="AX348" s="293">
        <f t="shared" si="263"/>
        <v>0</v>
      </c>
      <c r="BC348" s="276">
        <f>IF(BI348=1,IF(BC347=MiscData!$F$1,EOMONTH(BC347,-11),EOMONTH(BC347,1)),BC347)</f>
        <v>41943</v>
      </c>
      <c r="BD348" s="275" t="str">
        <f t="shared" si="272"/>
        <v>20140101LGCME451</v>
      </c>
      <c r="BE348" s="294" t="str">
        <f t="shared" si="273"/>
        <v>20140101GSS</v>
      </c>
      <c r="BF348">
        <f>MiscData!$X$5</f>
        <v>20140101</v>
      </c>
      <c r="BI348" s="265">
        <f>IF(BI347+1&gt;MiscData!$Z$42,1,BI347+1)</f>
        <v>3</v>
      </c>
      <c r="BJ348" s="265" t="str">
        <f>VLOOKUP(BI348,MiscData!$Z$5:$AB$46,2,FALSE)</f>
        <v>LGCME451</v>
      </c>
      <c r="BK348" s="265" t="str">
        <f>VLOOKUP(BI348,MiscData!$Z$5:$AB$46,3,FALSE)</f>
        <v>GSS</v>
      </c>
    </row>
    <row r="349" spans="1:63" hidden="1">
      <c r="A349" s="275">
        <v>330</v>
      </c>
      <c r="B349" s="276" t="str">
        <f t="shared" si="264"/>
        <v>Oct 2014</v>
      </c>
      <c r="C349" s="277" t="s">
        <v>892</v>
      </c>
      <c r="D349" s="277" t="str">
        <f t="shared" si="266"/>
        <v>LGCME550</v>
      </c>
      <c r="E349" s="278">
        <f t="shared" si="234"/>
        <v>0</v>
      </c>
      <c r="F349" s="279">
        <v>0</v>
      </c>
      <c r="G349" s="278">
        <f t="shared" si="235"/>
        <v>0</v>
      </c>
      <c r="H349" s="278">
        <f t="shared" si="236"/>
        <v>0</v>
      </c>
      <c r="I349" s="278">
        <f t="shared" si="237"/>
        <v>0</v>
      </c>
      <c r="J349" s="278">
        <f t="shared" si="238"/>
        <v>0</v>
      </c>
      <c r="K349" s="280">
        <v>0</v>
      </c>
      <c r="L349" s="281">
        <f t="shared" si="239"/>
        <v>0</v>
      </c>
      <c r="M349" s="281">
        <f t="shared" si="240"/>
        <v>0</v>
      </c>
      <c r="N349" s="281">
        <f t="shared" si="241"/>
        <v>0</v>
      </c>
      <c r="O349" s="282">
        <v>0</v>
      </c>
      <c r="P349" s="282">
        <v>0</v>
      </c>
      <c r="Q349" s="282">
        <v>0</v>
      </c>
      <c r="R349" s="283">
        <f t="shared" si="242"/>
        <v>20</v>
      </c>
      <c r="S349" s="284">
        <f t="shared" si="230"/>
        <v>9.1340000000000005E-2</v>
      </c>
      <c r="T349" s="284">
        <f t="shared" si="243"/>
        <v>0</v>
      </c>
      <c r="U349" s="284">
        <f t="shared" si="244"/>
        <v>0</v>
      </c>
      <c r="V349" s="284">
        <f t="shared" si="245"/>
        <v>2.725E-2</v>
      </c>
      <c r="W349" s="283">
        <f t="shared" si="246"/>
        <v>0</v>
      </c>
      <c r="X349" s="283">
        <f t="shared" si="247"/>
        <v>0</v>
      </c>
      <c r="Y349" s="283">
        <f t="shared" si="248"/>
        <v>0</v>
      </c>
      <c r="Z349" s="285">
        <f t="shared" si="249"/>
        <v>0</v>
      </c>
      <c r="AA349" s="285">
        <f t="shared" si="250"/>
        <v>0</v>
      </c>
      <c r="AB349" s="285">
        <f t="shared" si="267"/>
        <v>0</v>
      </c>
      <c r="AC349" s="285">
        <f t="shared" si="268"/>
        <v>0</v>
      </c>
      <c r="AD349" s="285">
        <f t="shared" si="269"/>
        <v>0</v>
      </c>
      <c r="AE349" s="286">
        <v>0</v>
      </c>
      <c r="AF349" s="287">
        <f t="shared" si="251"/>
        <v>0</v>
      </c>
      <c r="AG349" s="288">
        <f t="shared" si="252"/>
        <v>0</v>
      </c>
      <c r="AH349" s="285">
        <f t="shared" si="270"/>
        <v>0</v>
      </c>
      <c r="AI349" s="286">
        <v>0</v>
      </c>
      <c r="AJ349" s="286">
        <v>0</v>
      </c>
      <c r="AK349" s="286">
        <v>0</v>
      </c>
      <c r="AL349" s="285">
        <f t="shared" si="253"/>
        <v>0</v>
      </c>
      <c r="AM349" s="285">
        <f t="shared" si="254"/>
        <v>0</v>
      </c>
      <c r="AN349" s="289">
        <f t="shared" si="271"/>
        <v>1</v>
      </c>
      <c r="AO349" s="290">
        <f t="shared" si="255"/>
        <v>0</v>
      </c>
      <c r="AP349" s="290">
        <f t="shared" si="256"/>
        <v>0</v>
      </c>
      <c r="AQ349" s="290">
        <f t="shared" si="257"/>
        <v>0</v>
      </c>
      <c r="AR349" s="290">
        <f t="shared" si="258"/>
        <v>0</v>
      </c>
      <c r="AS349" s="290">
        <f t="shared" si="259"/>
        <v>0</v>
      </c>
      <c r="AT349" s="290">
        <f t="shared" si="260"/>
        <v>0</v>
      </c>
      <c r="AU349" s="291">
        <f t="shared" si="261"/>
        <v>0</v>
      </c>
      <c r="AV349" s="291">
        <f t="shared" si="276"/>
        <v>0</v>
      </c>
      <c r="AW349" s="292">
        <f t="shared" si="262"/>
        <v>0</v>
      </c>
      <c r="AX349" s="293">
        <f t="shared" si="263"/>
        <v>0</v>
      </c>
      <c r="BC349" s="276">
        <f>IF(BI349=1,IF(BC348=MiscData!$F$1,EOMONTH(BC348,-11),EOMONTH(BC348,1)),BC348)</f>
        <v>41943</v>
      </c>
      <c r="BD349" s="275" t="str">
        <f t="shared" si="272"/>
        <v>20140101LGCME550</v>
      </c>
      <c r="BE349" s="294" t="str">
        <f t="shared" si="273"/>
        <v>20140101GSS</v>
      </c>
      <c r="BF349">
        <f>MiscData!$X$5</f>
        <v>20140101</v>
      </c>
      <c r="BI349" s="265">
        <f>IF(BI348+1&gt;MiscData!$Z$42,1,BI348+1)</f>
        <v>4</v>
      </c>
      <c r="BJ349" s="265" t="str">
        <f>VLOOKUP(BI349,MiscData!$Z$5:$AB$46,2,FALSE)</f>
        <v>LGCME550</v>
      </c>
      <c r="BK349" s="265" t="str">
        <f>VLOOKUP(BI349,MiscData!$Z$5:$AB$46,3,FALSE)</f>
        <v>GSS</v>
      </c>
    </row>
    <row r="350" spans="1:63" hidden="1">
      <c r="A350" s="275">
        <v>331</v>
      </c>
      <c r="B350" s="276" t="str">
        <f t="shared" si="264"/>
        <v>Oct 2014</v>
      </c>
      <c r="C350" s="277" t="s">
        <v>892</v>
      </c>
      <c r="D350" s="277" t="str">
        <f t="shared" si="266"/>
        <v>LGCME551</v>
      </c>
      <c r="E350" s="278">
        <f t="shared" si="234"/>
        <v>28059</v>
      </c>
      <c r="F350" s="279">
        <v>0</v>
      </c>
      <c r="G350" s="278">
        <f t="shared" si="235"/>
        <v>0</v>
      </c>
      <c r="H350" s="278">
        <f t="shared" si="236"/>
        <v>0</v>
      </c>
      <c r="I350" s="278">
        <f t="shared" si="237"/>
        <v>0</v>
      </c>
      <c r="J350" s="278">
        <f t="shared" si="238"/>
        <v>30560254</v>
      </c>
      <c r="K350" s="280">
        <v>0</v>
      </c>
      <c r="L350" s="281">
        <f t="shared" si="239"/>
        <v>0</v>
      </c>
      <c r="M350" s="281">
        <f t="shared" si="240"/>
        <v>0</v>
      </c>
      <c r="N350" s="281">
        <f t="shared" si="241"/>
        <v>0</v>
      </c>
      <c r="O350" s="282">
        <v>0</v>
      </c>
      <c r="P350" s="282">
        <v>0</v>
      </c>
      <c r="Q350" s="282">
        <v>0</v>
      </c>
      <c r="R350" s="283">
        <f t="shared" si="242"/>
        <v>20</v>
      </c>
      <c r="S350" s="284">
        <f t="shared" si="230"/>
        <v>9.1340000000000005E-2</v>
      </c>
      <c r="T350" s="284">
        <f t="shared" si="243"/>
        <v>0</v>
      </c>
      <c r="U350" s="284">
        <f t="shared" si="244"/>
        <v>0</v>
      </c>
      <c r="V350" s="284">
        <f t="shared" si="245"/>
        <v>2.725E-2</v>
      </c>
      <c r="W350" s="283">
        <f t="shared" si="246"/>
        <v>0</v>
      </c>
      <c r="X350" s="283">
        <f t="shared" si="247"/>
        <v>0</v>
      </c>
      <c r="Y350" s="283">
        <f t="shared" si="248"/>
        <v>0</v>
      </c>
      <c r="Z350" s="285">
        <f t="shared" si="249"/>
        <v>561180</v>
      </c>
      <c r="AA350" s="285">
        <f t="shared" si="250"/>
        <v>2791373.6</v>
      </c>
      <c r="AB350" s="285">
        <f t="shared" si="267"/>
        <v>0</v>
      </c>
      <c r="AC350" s="285">
        <f t="shared" si="268"/>
        <v>0</v>
      </c>
      <c r="AD350" s="285">
        <f t="shared" si="269"/>
        <v>0</v>
      </c>
      <c r="AE350" s="286">
        <v>0</v>
      </c>
      <c r="AF350" s="287">
        <f t="shared" si="251"/>
        <v>0</v>
      </c>
      <c r="AG350" s="288">
        <f t="shared" si="252"/>
        <v>0</v>
      </c>
      <c r="AH350" s="285">
        <f t="shared" si="270"/>
        <v>0</v>
      </c>
      <c r="AI350" s="286">
        <v>0</v>
      </c>
      <c r="AJ350" s="286">
        <v>0</v>
      </c>
      <c r="AK350" s="286">
        <v>0</v>
      </c>
      <c r="AL350" s="285">
        <f t="shared" si="253"/>
        <v>3352553.6</v>
      </c>
      <c r="AM350" s="285">
        <f t="shared" si="254"/>
        <v>3352553</v>
      </c>
      <c r="AN350" s="289">
        <f t="shared" si="271"/>
        <v>1</v>
      </c>
      <c r="AO350" s="290">
        <f t="shared" si="255"/>
        <v>-33599</v>
      </c>
      <c r="AP350" s="290">
        <f t="shared" si="256"/>
        <v>71038</v>
      </c>
      <c r="AQ350" s="290">
        <f t="shared" si="257"/>
        <v>148367</v>
      </c>
      <c r="AR350" s="290">
        <f t="shared" si="258"/>
        <v>0</v>
      </c>
      <c r="AS350" s="290">
        <f t="shared" si="259"/>
        <v>0</v>
      </c>
      <c r="AT350" s="290">
        <f t="shared" si="260"/>
        <v>3538359</v>
      </c>
      <c r="AU350" s="291">
        <f t="shared" si="261"/>
        <v>3538359.6</v>
      </c>
      <c r="AV350" s="291">
        <f t="shared" si="276"/>
        <v>-0.60000000009313226</v>
      </c>
      <c r="AW350" s="292">
        <f t="shared" si="262"/>
        <v>832766.92</v>
      </c>
      <c r="AX350" s="293">
        <f t="shared" si="263"/>
        <v>1958606.6800000002</v>
      </c>
      <c r="BC350" s="276">
        <f>IF(BI350=1,IF(BC349=MiscData!$F$1,EOMONTH(BC349,-11),EOMONTH(BC349,1)),BC349)</f>
        <v>41943</v>
      </c>
      <c r="BD350" s="275" t="str">
        <f t="shared" si="272"/>
        <v>20140101LGCME551</v>
      </c>
      <c r="BE350" s="294" t="str">
        <f t="shared" si="273"/>
        <v>20140101GSS</v>
      </c>
      <c r="BF350">
        <f>MiscData!$X$5</f>
        <v>20140101</v>
      </c>
      <c r="BI350" s="265">
        <f>IF(BI349+1&gt;MiscData!$Z$42,1,BI349+1)</f>
        <v>5</v>
      </c>
      <c r="BJ350" s="265" t="str">
        <f>VLOOKUP(BI350,MiscData!$Z$5:$AB$46,2,FALSE)</f>
        <v>LGCME551</v>
      </c>
      <c r="BK350" s="265" t="str">
        <f>VLOOKUP(BI350,MiscData!$Z$5:$AB$46,3,FALSE)</f>
        <v>GSS</v>
      </c>
    </row>
    <row r="351" spans="1:63" hidden="1">
      <c r="A351" s="275">
        <v>332</v>
      </c>
      <c r="B351" s="276" t="str">
        <f t="shared" si="264"/>
        <v>Oct 2014</v>
      </c>
      <c r="C351" s="277" t="s">
        <v>892</v>
      </c>
      <c r="D351" s="277" t="str">
        <f t="shared" si="266"/>
        <v>LGCME551UM</v>
      </c>
      <c r="E351" s="278">
        <f t="shared" si="234"/>
        <v>0</v>
      </c>
      <c r="F351" s="279">
        <v>0</v>
      </c>
      <c r="G351" s="278">
        <f t="shared" si="235"/>
        <v>0</v>
      </c>
      <c r="H351" s="278">
        <f t="shared" si="236"/>
        <v>0</v>
      </c>
      <c r="I351" s="278">
        <f t="shared" si="237"/>
        <v>0</v>
      </c>
      <c r="J351" s="278">
        <f t="shared" si="238"/>
        <v>0</v>
      </c>
      <c r="K351" s="280">
        <v>0</v>
      </c>
      <c r="L351" s="281">
        <f t="shared" si="239"/>
        <v>0</v>
      </c>
      <c r="M351" s="281">
        <f t="shared" si="240"/>
        <v>0</v>
      </c>
      <c r="N351" s="281">
        <f t="shared" si="241"/>
        <v>0</v>
      </c>
      <c r="O351" s="282">
        <v>0</v>
      </c>
      <c r="P351" s="282">
        <v>0</v>
      </c>
      <c r="Q351" s="282">
        <v>0</v>
      </c>
      <c r="R351" s="283">
        <f t="shared" si="242"/>
        <v>20</v>
      </c>
      <c r="S351" s="284">
        <f t="shared" si="230"/>
        <v>9.1340000000000005E-2</v>
      </c>
      <c r="T351" s="284">
        <f t="shared" si="243"/>
        <v>0</v>
      </c>
      <c r="U351" s="284">
        <f t="shared" si="244"/>
        <v>0</v>
      </c>
      <c r="V351" s="284">
        <f t="shared" si="245"/>
        <v>2.725E-2</v>
      </c>
      <c r="W351" s="283">
        <f t="shared" si="246"/>
        <v>0</v>
      </c>
      <c r="X351" s="283">
        <f t="shared" si="247"/>
        <v>0</v>
      </c>
      <c r="Y351" s="283">
        <f t="shared" si="248"/>
        <v>0</v>
      </c>
      <c r="Z351" s="285">
        <f t="shared" si="249"/>
        <v>0</v>
      </c>
      <c r="AA351" s="285">
        <f t="shared" si="250"/>
        <v>0</v>
      </c>
      <c r="AB351" s="285">
        <f t="shared" si="267"/>
        <v>0</v>
      </c>
      <c r="AC351" s="285">
        <f t="shared" si="268"/>
        <v>0</v>
      </c>
      <c r="AD351" s="285">
        <f t="shared" si="269"/>
        <v>0</v>
      </c>
      <c r="AE351" s="286">
        <v>0</v>
      </c>
      <c r="AF351" s="287">
        <f t="shared" si="251"/>
        <v>0</v>
      </c>
      <c r="AG351" s="288">
        <f t="shared" si="252"/>
        <v>0</v>
      </c>
      <c r="AH351" s="285">
        <f t="shared" si="270"/>
        <v>0</v>
      </c>
      <c r="AI351" s="286">
        <v>0</v>
      </c>
      <c r="AJ351" s="286">
        <v>0</v>
      </c>
      <c r="AK351" s="286">
        <v>0</v>
      </c>
      <c r="AL351" s="285">
        <f t="shared" si="253"/>
        <v>0</v>
      </c>
      <c r="AM351" s="285">
        <f t="shared" si="254"/>
        <v>0</v>
      </c>
      <c r="AN351" s="289">
        <f t="shared" si="271"/>
        <v>1</v>
      </c>
      <c r="AO351" s="290">
        <f t="shared" si="255"/>
        <v>0</v>
      </c>
      <c r="AP351" s="290">
        <f t="shared" si="256"/>
        <v>0</v>
      </c>
      <c r="AQ351" s="290">
        <f t="shared" si="257"/>
        <v>0</v>
      </c>
      <c r="AR351" s="290">
        <f t="shared" si="258"/>
        <v>0</v>
      </c>
      <c r="AS351" s="290">
        <f t="shared" si="259"/>
        <v>0</v>
      </c>
      <c r="AT351" s="290">
        <f t="shared" si="260"/>
        <v>0</v>
      </c>
      <c r="AU351" s="291">
        <f t="shared" si="261"/>
        <v>0</v>
      </c>
      <c r="AV351" s="291">
        <f t="shared" si="276"/>
        <v>0</v>
      </c>
      <c r="AW351" s="292">
        <f t="shared" si="262"/>
        <v>0</v>
      </c>
      <c r="AX351" s="293">
        <f t="shared" si="263"/>
        <v>0</v>
      </c>
      <c r="BC351" s="276">
        <f>IF(BI351=1,IF(BC350=MiscData!$F$1,EOMONTH(BC350,-11),EOMONTH(BC350,1)),BC350)</f>
        <v>41943</v>
      </c>
      <c r="BD351" s="275" t="str">
        <f t="shared" si="272"/>
        <v>20140101LGCME551UM</v>
      </c>
      <c r="BE351" s="294" t="str">
        <f t="shared" si="273"/>
        <v>20140101GSS</v>
      </c>
      <c r="BF351">
        <f>MiscData!$X$5</f>
        <v>20140101</v>
      </c>
      <c r="BI351" s="265">
        <f>IF(BI350+1&gt;MiscData!$Z$42,1,BI350+1)</f>
        <v>6</v>
      </c>
      <c r="BJ351" s="265" t="str">
        <f>VLOOKUP(BI351,MiscData!$Z$5:$AB$46,2,FALSE)</f>
        <v>LGCME551UM</v>
      </c>
      <c r="BK351" s="265" t="str">
        <f>VLOOKUP(BI351,MiscData!$Z$5:$AB$46,3,FALSE)</f>
        <v>GSS</v>
      </c>
    </row>
    <row r="352" spans="1:63" hidden="1">
      <c r="A352" s="275">
        <v>333</v>
      </c>
      <c r="B352" s="276" t="str">
        <f t="shared" si="264"/>
        <v>Oct 2014</v>
      </c>
      <c r="C352" s="277" t="s">
        <v>892</v>
      </c>
      <c r="D352" s="277" t="str">
        <f t="shared" si="266"/>
        <v>LGCME552</v>
      </c>
      <c r="E352" s="278">
        <f t="shared" si="234"/>
        <v>0</v>
      </c>
      <c r="F352" s="279">
        <f>-E352</f>
        <v>0</v>
      </c>
      <c r="G352" s="278">
        <f t="shared" si="235"/>
        <v>0</v>
      </c>
      <c r="H352" s="278">
        <f t="shared" si="236"/>
        <v>0</v>
      </c>
      <c r="I352" s="278">
        <f t="shared" si="237"/>
        <v>0</v>
      </c>
      <c r="J352" s="278">
        <f t="shared" si="238"/>
        <v>0</v>
      </c>
      <c r="K352" s="280">
        <v>0</v>
      </c>
      <c r="L352" s="281">
        <f t="shared" si="239"/>
        <v>0</v>
      </c>
      <c r="M352" s="281">
        <f t="shared" si="240"/>
        <v>0</v>
      </c>
      <c r="N352" s="281">
        <f t="shared" si="241"/>
        <v>0</v>
      </c>
      <c r="O352" s="282">
        <v>0</v>
      </c>
      <c r="P352" s="282">
        <v>0</v>
      </c>
      <c r="Q352" s="282">
        <v>0</v>
      </c>
      <c r="R352" s="283">
        <f t="shared" si="242"/>
        <v>0</v>
      </c>
      <c r="S352" s="284">
        <f t="shared" si="230"/>
        <v>9.1340000000000005E-2</v>
      </c>
      <c r="T352" s="284">
        <f t="shared" si="243"/>
        <v>0</v>
      </c>
      <c r="U352" s="284">
        <f t="shared" si="244"/>
        <v>0</v>
      </c>
      <c r="V352" s="284">
        <f t="shared" si="245"/>
        <v>2.725E-2</v>
      </c>
      <c r="W352" s="283">
        <f t="shared" si="246"/>
        <v>0</v>
      </c>
      <c r="X352" s="283">
        <f t="shared" si="247"/>
        <v>0</v>
      </c>
      <c r="Y352" s="283">
        <f t="shared" si="248"/>
        <v>0</v>
      </c>
      <c r="Z352" s="285">
        <f t="shared" si="249"/>
        <v>0</v>
      </c>
      <c r="AA352" s="285">
        <f t="shared" si="250"/>
        <v>0</v>
      </c>
      <c r="AB352" s="285">
        <f t="shared" si="267"/>
        <v>0</v>
      </c>
      <c r="AC352" s="285">
        <f t="shared" si="268"/>
        <v>0</v>
      </c>
      <c r="AD352" s="285">
        <f t="shared" si="269"/>
        <v>0</v>
      </c>
      <c r="AE352" s="286">
        <v>0</v>
      </c>
      <c r="AF352" s="287">
        <f t="shared" si="251"/>
        <v>0</v>
      </c>
      <c r="AG352" s="288">
        <f t="shared" si="252"/>
        <v>0</v>
      </c>
      <c r="AH352" s="285">
        <f t="shared" si="270"/>
        <v>0</v>
      </c>
      <c r="AI352" s="286">
        <v>0</v>
      </c>
      <c r="AJ352" s="286">
        <v>0</v>
      </c>
      <c r="AK352" s="286">
        <v>0</v>
      </c>
      <c r="AL352" s="285">
        <f t="shared" si="253"/>
        <v>0</v>
      </c>
      <c r="AM352" s="285">
        <f t="shared" si="254"/>
        <v>0</v>
      </c>
      <c r="AN352" s="289">
        <f t="shared" si="271"/>
        <v>1</v>
      </c>
      <c r="AO352" s="290">
        <f t="shared" si="255"/>
        <v>0</v>
      </c>
      <c r="AP352" s="290">
        <f t="shared" si="256"/>
        <v>0</v>
      </c>
      <c r="AQ352" s="290">
        <f t="shared" si="257"/>
        <v>0</v>
      </c>
      <c r="AR352" s="290">
        <f t="shared" si="258"/>
        <v>0</v>
      </c>
      <c r="AS352" s="290">
        <f t="shared" si="259"/>
        <v>0</v>
      </c>
      <c r="AT352" s="290">
        <f t="shared" si="260"/>
        <v>0</v>
      </c>
      <c r="AU352" s="291">
        <f t="shared" si="261"/>
        <v>0</v>
      </c>
      <c r="AV352" s="291">
        <f>ROUND(AT352-AU352,2)</f>
        <v>0</v>
      </c>
      <c r="AW352" s="292">
        <f t="shared" si="262"/>
        <v>0</v>
      </c>
      <c r="AX352" s="293">
        <f t="shared" si="263"/>
        <v>0</v>
      </c>
      <c r="BC352" s="276">
        <f>IF(BI352=1,IF(BC351=MiscData!$F$1,EOMONTH(BC351,-11),EOMONTH(BC351,1)),BC351)</f>
        <v>41943</v>
      </c>
      <c r="BD352" s="275" t="str">
        <f t="shared" si="272"/>
        <v>20140101LGCME552</v>
      </c>
      <c r="BE352" s="294" t="str">
        <f t="shared" si="273"/>
        <v>20140101GSS</v>
      </c>
      <c r="BF352">
        <f>MiscData!$X$5</f>
        <v>20140101</v>
      </c>
      <c r="BI352" s="265">
        <f>IF(BI351+1&gt;MiscData!$Z$42,1,BI351+1)</f>
        <v>7</v>
      </c>
      <c r="BJ352" s="265" t="str">
        <f>VLOOKUP(BI352,MiscData!$Z$5:$AB$46,2,FALSE)</f>
        <v>LGCME552</v>
      </c>
      <c r="BK352" s="265" t="str">
        <f>VLOOKUP(BI352,MiscData!$Z$5:$AB$46,3,FALSE)</f>
        <v>GSS</v>
      </c>
    </row>
    <row r="353" spans="1:63" hidden="1">
      <c r="A353" s="275">
        <v>334</v>
      </c>
      <c r="B353" s="276" t="str">
        <f t="shared" si="264"/>
        <v>Oct 2014</v>
      </c>
      <c r="C353" s="277" t="s">
        <v>892</v>
      </c>
      <c r="D353" s="277" t="str">
        <f t="shared" si="266"/>
        <v>LGCME557</v>
      </c>
      <c r="E353" s="278">
        <f t="shared" si="234"/>
        <v>0</v>
      </c>
      <c r="F353" s="279">
        <v>0</v>
      </c>
      <c r="G353" s="278">
        <f t="shared" si="235"/>
        <v>0</v>
      </c>
      <c r="H353" s="278">
        <f t="shared" si="236"/>
        <v>0</v>
      </c>
      <c r="I353" s="278">
        <f t="shared" si="237"/>
        <v>0</v>
      </c>
      <c r="J353" s="278">
        <f t="shared" si="238"/>
        <v>0</v>
      </c>
      <c r="K353" s="280">
        <v>0</v>
      </c>
      <c r="L353" s="281">
        <f t="shared" si="239"/>
        <v>0</v>
      </c>
      <c r="M353" s="281">
        <f t="shared" si="240"/>
        <v>0</v>
      </c>
      <c r="N353" s="281">
        <f t="shared" si="241"/>
        <v>0</v>
      </c>
      <c r="O353" s="282">
        <v>0</v>
      </c>
      <c r="P353" s="282">
        <v>0</v>
      </c>
      <c r="Q353" s="282">
        <v>0</v>
      </c>
      <c r="R353" s="283">
        <f t="shared" si="242"/>
        <v>20</v>
      </c>
      <c r="S353" s="284">
        <f t="shared" si="230"/>
        <v>9.1340000000000005E-2</v>
      </c>
      <c r="T353" s="284">
        <f t="shared" si="243"/>
        <v>0</v>
      </c>
      <c r="U353" s="284">
        <f t="shared" si="244"/>
        <v>0</v>
      </c>
      <c r="V353" s="284">
        <f t="shared" si="245"/>
        <v>2.725E-2</v>
      </c>
      <c r="W353" s="283">
        <f t="shared" si="246"/>
        <v>0</v>
      </c>
      <c r="X353" s="283">
        <f t="shared" si="247"/>
        <v>0</v>
      </c>
      <c r="Y353" s="283">
        <f t="shared" si="248"/>
        <v>0</v>
      </c>
      <c r="Z353" s="285">
        <f t="shared" si="249"/>
        <v>0</v>
      </c>
      <c r="AA353" s="285">
        <f t="shared" si="250"/>
        <v>0</v>
      </c>
      <c r="AB353" s="285">
        <f t="shared" si="267"/>
        <v>0</v>
      </c>
      <c r="AC353" s="285">
        <f t="shared" si="268"/>
        <v>0</v>
      </c>
      <c r="AD353" s="285">
        <f t="shared" si="269"/>
        <v>0</v>
      </c>
      <c r="AE353" s="286">
        <v>0</v>
      </c>
      <c r="AF353" s="287">
        <f t="shared" si="251"/>
        <v>0</v>
      </c>
      <c r="AG353" s="288">
        <f t="shared" si="252"/>
        <v>0</v>
      </c>
      <c r="AH353" s="285">
        <f t="shared" si="270"/>
        <v>0</v>
      </c>
      <c r="AI353" s="286">
        <v>0</v>
      </c>
      <c r="AJ353" s="286">
        <v>0</v>
      </c>
      <c r="AK353" s="286">
        <v>0</v>
      </c>
      <c r="AL353" s="285">
        <f t="shared" si="253"/>
        <v>0</v>
      </c>
      <c r="AM353" s="285">
        <f t="shared" si="254"/>
        <v>0</v>
      </c>
      <c r="AN353" s="289">
        <f t="shared" si="271"/>
        <v>1</v>
      </c>
      <c r="AO353" s="290">
        <f t="shared" si="255"/>
        <v>0</v>
      </c>
      <c r="AP353" s="290">
        <f t="shared" si="256"/>
        <v>0</v>
      </c>
      <c r="AQ353" s="290">
        <f t="shared" si="257"/>
        <v>0</v>
      </c>
      <c r="AR353" s="290">
        <f t="shared" si="258"/>
        <v>0</v>
      </c>
      <c r="AS353" s="290">
        <f t="shared" si="259"/>
        <v>0</v>
      </c>
      <c r="AT353" s="290">
        <f t="shared" si="260"/>
        <v>0</v>
      </c>
      <c r="AU353" s="291">
        <f t="shared" si="261"/>
        <v>0</v>
      </c>
      <c r="AV353" s="291">
        <f t="shared" si="276"/>
        <v>0</v>
      </c>
      <c r="AW353" s="292">
        <f t="shared" si="262"/>
        <v>0</v>
      </c>
      <c r="AX353" s="293">
        <f t="shared" si="263"/>
        <v>0</v>
      </c>
      <c r="BC353" s="276">
        <f>IF(BI353=1,IF(BC352=MiscData!$F$1,EOMONTH(BC352,-11),EOMONTH(BC352,1)),BC352)</f>
        <v>41943</v>
      </c>
      <c r="BD353" s="275" t="str">
        <f t="shared" si="272"/>
        <v>20140101LGCME557</v>
      </c>
      <c r="BE353" s="294" t="str">
        <f t="shared" si="273"/>
        <v>20140101GSS</v>
      </c>
      <c r="BF353">
        <f>MiscData!$X$5</f>
        <v>20140101</v>
      </c>
      <c r="BI353" s="265">
        <f>IF(BI352+1&gt;MiscData!$Z$42,1,BI352+1)</f>
        <v>8</v>
      </c>
      <c r="BJ353" s="265" t="str">
        <f>VLOOKUP(BI353,MiscData!$Z$5:$AB$46,2,FALSE)</f>
        <v>LGCME557</v>
      </c>
      <c r="BK353" s="265" t="str">
        <f>VLOOKUP(BI353,MiscData!$Z$5:$AB$46,3,FALSE)</f>
        <v>GSS</v>
      </c>
    </row>
    <row r="354" spans="1:63" hidden="1">
      <c r="A354" s="275">
        <v>335</v>
      </c>
      <c r="B354" s="276" t="str">
        <f t="shared" si="264"/>
        <v>Oct 2014</v>
      </c>
      <c r="C354" s="277" t="str">
        <f t="shared" si="265"/>
        <v>PSS</v>
      </c>
      <c r="D354" s="277" t="str">
        <f t="shared" si="266"/>
        <v>LGCME561</v>
      </c>
      <c r="E354" s="278">
        <f t="shared" si="234"/>
        <v>2573</v>
      </c>
      <c r="F354" s="279">
        <v>0</v>
      </c>
      <c r="G354" s="278">
        <f t="shared" si="235"/>
        <v>0</v>
      </c>
      <c r="H354" s="278">
        <f t="shared" si="236"/>
        <v>0</v>
      </c>
      <c r="I354" s="278">
        <f t="shared" si="237"/>
        <v>0</v>
      </c>
      <c r="J354" s="278">
        <f t="shared" si="238"/>
        <v>142980406</v>
      </c>
      <c r="K354" s="280">
        <v>0</v>
      </c>
      <c r="L354" s="281">
        <f t="shared" si="239"/>
        <v>0</v>
      </c>
      <c r="M354" s="281">
        <f t="shared" si="240"/>
        <v>355039.45</v>
      </c>
      <c r="N354" s="281">
        <f t="shared" si="241"/>
        <v>0</v>
      </c>
      <c r="O354" s="282">
        <v>0</v>
      </c>
      <c r="P354" s="282">
        <v>0</v>
      </c>
      <c r="Q354" s="282">
        <v>0</v>
      </c>
      <c r="R354" s="283">
        <f t="shared" si="242"/>
        <v>90</v>
      </c>
      <c r="S354" s="284">
        <f t="shared" si="230"/>
        <v>4.0599999999999997E-2</v>
      </c>
      <c r="T354" s="284">
        <f t="shared" si="243"/>
        <v>0</v>
      </c>
      <c r="U354" s="284">
        <f t="shared" si="244"/>
        <v>0</v>
      </c>
      <c r="V354" s="284">
        <f t="shared" si="245"/>
        <v>2.725E-2</v>
      </c>
      <c r="W354" s="283">
        <f t="shared" si="246"/>
        <v>0</v>
      </c>
      <c r="X354" s="283">
        <f t="shared" si="247"/>
        <v>14.010000000000002</v>
      </c>
      <c r="Y354" s="283">
        <f t="shared" si="248"/>
        <v>16.399999999999999</v>
      </c>
      <c r="Z354" s="285">
        <f t="shared" si="249"/>
        <v>231570</v>
      </c>
      <c r="AA354" s="285">
        <f t="shared" si="250"/>
        <v>5805004.4800000004</v>
      </c>
      <c r="AB354" s="285">
        <f t="shared" si="267"/>
        <v>0</v>
      </c>
      <c r="AC354" s="285">
        <f t="shared" si="268"/>
        <v>4974102.6900000004</v>
      </c>
      <c r="AD354" s="285">
        <f t="shared" si="269"/>
        <v>0</v>
      </c>
      <c r="AE354" s="286">
        <v>0</v>
      </c>
      <c r="AF354" s="287">
        <f t="shared" si="251"/>
        <v>0</v>
      </c>
      <c r="AG354" s="288">
        <f t="shared" si="252"/>
        <v>0</v>
      </c>
      <c r="AH354" s="285">
        <f t="shared" si="270"/>
        <v>4974102.6900000004</v>
      </c>
      <c r="AI354" s="286">
        <v>0</v>
      </c>
      <c r="AJ354" s="286">
        <v>0</v>
      </c>
      <c r="AK354" s="286">
        <v>0</v>
      </c>
      <c r="AL354" s="285">
        <f t="shared" si="253"/>
        <v>11010677.170000002</v>
      </c>
      <c r="AM354" s="285">
        <f t="shared" si="254"/>
        <v>11010678</v>
      </c>
      <c r="AN354" s="289">
        <f t="shared" si="271"/>
        <v>1</v>
      </c>
      <c r="AO354" s="290">
        <f t="shared" si="255"/>
        <v>-157196</v>
      </c>
      <c r="AP354" s="290">
        <f t="shared" si="256"/>
        <v>332363</v>
      </c>
      <c r="AQ354" s="290">
        <f t="shared" si="257"/>
        <v>694156</v>
      </c>
      <c r="AR354" s="290">
        <f t="shared" si="258"/>
        <v>0</v>
      </c>
      <c r="AS354" s="290">
        <f t="shared" si="259"/>
        <v>0</v>
      </c>
      <c r="AT354" s="290">
        <f t="shared" si="260"/>
        <v>11880001</v>
      </c>
      <c r="AU354" s="291">
        <f t="shared" si="261"/>
        <v>11880000.170000002</v>
      </c>
      <c r="AV354" s="291">
        <f t="shared" si="276"/>
        <v>0.82999999821186066</v>
      </c>
      <c r="AW354" s="292">
        <f t="shared" si="262"/>
        <v>3896216.06</v>
      </c>
      <c r="AX354" s="293">
        <f t="shared" si="263"/>
        <v>1908788.4200000004</v>
      </c>
      <c r="BC354" s="276">
        <f>IF(BI354=1,IF(BC353=MiscData!$F$1,EOMONTH(BC353,-11),EOMONTH(BC353,1)),BC353)</f>
        <v>41943</v>
      </c>
      <c r="BD354" s="275" t="str">
        <f t="shared" si="272"/>
        <v>20140101LGCME561</v>
      </c>
      <c r="BE354" s="294" t="str">
        <f t="shared" si="273"/>
        <v>20140101PSS</v>
      </c>
      <c r="BF354">
        <f>MiscData!$X$5</f>
        <v>20140101</v>
      </c>
      <c r="BI354" s="265">
        <f>IF(BI353+1&gt;MiscData!$Z$42,1,BI353+1)</f>
        <v>9</v>
      </c>
      <c r="BJ354" s="265" t="str">
        <f>VLOOKUP(BI354,MiscData!$Z$5:$AB$46,2,FALSE)</f>
        <v>LGCME561</v>
      </c>
      <c r="BK354" s="265" t="str">
        <f>VLOOKUP(BI354,MiscData!$Z$5:$AB$46,3,FALSE)</f>
        <v>PSS</v>
      </c>
    </row>
    <row r="355" spans="1:63" hidden="1">
      <c r="A355" s="275">
        <v>336</v>
      </c>
      <c r="B355" s="276" t="str">
        <f t="shared" si="264"/>
        <v>Oct 2014</v>
      </c>
      <c r="C355" s="277" t="str">
        <f t="shared" si="265"/>
        <v>PSP</v>
      </c>
      <c r="D355" s="277" t="str">
        <f t="shared" si="266"/>
        <v>LGCME563</v>
      </c>
      <c r="E355" s="278">
        <f t="shared" si="234"/>
        <v>52</v>
      </c>
      <c r="F355" s="279">
        <v>0</v>
      </c>
      <c r="G355" s="278">
        <f t="shared" si="235"/>
        <v>0</v>
      </c>
      <c r="H355" s="278">
        <f t="shared" si="236"/>
        <v>0</v>
      </c>
      <c r="I355" s="278">
        <f t="shared" si="237"/>
        <v>0</v>
      </c>
      <c r="J355" s="278">
        <f t="shared" si="238"/>
        <v>12570706</v>
      </c>
      <c r="K355" s="280">
        <v>0</v>
      </c>
      <c r="L355" s="281">
        <f t="shared" si="239"/>
        <v>0</v>
      </c>
      <c r="M355" s="281">
        <f t="shared" si="240"/>
        <v>30506.65</v>
      </c>
      <c r="N355" s="281">
        <f t="shared" si="241"/>
        <v>0</v>
      </c>
      <c r="O355" s="282">
        <v>0</v>
      </c>
      <c r="P355" s="282">
        <v>0</v>
      </c>
      <c r="Q355" s="282">
        <v>0</v>
      </c>
      <c r="R355" s="283">
        <f t="shared" si="242"/>
        <v>170</v>
      </c>
      <c r="S355" s="284">
        <f t="shared" si="230"/>
        <v>3.9260000000000003E-2</v>
      </c>
      <c r="T355" s="284">
        <f t="shared" si="243"/>
        <v>0</v>
      </c>
      <c r="U355" s="284">
        <f t="shared" si="244"/>
        <v>0</v>
      </c>
      <c r="V355" s="284">
        <f t="shared" si="245"/>
        <v>2.725E-2</v>
      </c>
      <c r="W355" s="283">
        <f t="shared" si="246"/>
        <v>0</v>
      </c>
      <c r="X355" s="283">
        <f t="shared" si="247"/>
        <v>11.660000000000002</v>
      </c>
      <c r="Y355" s="283">
        <f t="shared" si="248"/>
        <v>13.950000000000001</v>
      </c>
      <c r="Z355" s="285">
        <f t="shared" si="249"/>
        <v>8840</v>
      </c>
      <c r="AA355" s="285">
        <f t="shared" si="250"/>
        <v>493525.92</v>
      </c>
      <c r="AB355" s="285">
        <f t="shared" si="267"/>
        <v>0</v>
      </c>
      <c r="AC355" s="285">
        <f t="shared" si="268"/>
        <v>355707.54</v>
      </c>
      <c r="AD355" s="285">
        <f t="shared" si="269"/>
        <v>0</v>
      </c>
      <c r="AE355" s="286">
        <v>0</v>
      </c>
      <c r="AF355" s="287">
        <f t="shared" si="251"/>
        <v>0</v>
      </c>
      <c r="AG355" s="288">
        <f t="shared" si="252"/>
        <v>0</v>
      </c>
      <c r="AH355" s="285">
        <f t="shared" si="270"/>
        <v>355707.54</v>
      </c>
      <c r="AI355" s="286">
        <v>0</v>
      </c>
      <c r="AJ355" s="286">
        <v>0</v>
      </c>
      <c r="AK355" s="286">
        <v>0</v>
      </c>
      <c r="AL355" s="285">
        <f t="shared" si="253"/>
        <v>858073.46</v>
      </c>
      <c r="AM355" s="285">
        <f t="shared" si="254"/>
        <v>858073</v>
      </c>
      <c r="AN355" s="289">
        <f t="shared" si="271"/>
        <v>0.99999899999999997</v>
      </c>
      <c r="AO355" s="290">
        <f t="shared" si="255"/>
        <v>-13820</v>
      </c>
      <c r="AP355" s="290">
        <f t="shared" si="256"/>
        <v>29221</v>
      </c>
      <c r="AQ355" s="290">
        <f t="shared" si="257"/>
        <v>61030</v>
      </c>
      <c r="AR355" s="290">
        <f t="shared" si="258"/>
        <v>0</v>
      </c>
      <c r="AS355" s="290">
        <f t="shared" si="259"/>
        <v>0</v>
      </c>
      <c r="AT355" s="290">
        <f t="shared" si="260"/>
        <v>934504</v>
      </c>
      <c r="AU355" s="291">
        <f t="shared" si="261"/>
        <v>934504.46</v>
      </c>
      <c r="AV355" s="291">
        <f t="shared" ref="AV355:AV361" si="277">ROUND(AT355-AU355,2)</f>
        <v>-0.46</v>
      </c>
      <c r="AW355" s="292">
        <f t="shared" si="262"/>
        <v>342551.74</v>
      </c>
      <c r="AX355" s="293">
        <f t="shared" si="263"/>
        <v>150974.18</v>
      </c>
      <c r="BC355" s="276">
        <f>IF(BI355=1,IF(BC354=MiscData!$F$1,EOMONTH(BC354,-11),EOMONTH(BC354,1)),BC354)</f>
        <v>41943</v>
      </c>
      <c r="BD355" s="275" t="str">
        <f t="shared" si="272"/>
        <v>20140101LGCME563</v>
      </c>
      <c r="BE355" s="294" t="str">
        <f t="shared" si="273"/>
        <v>20140101PSP</v>
      </c>
      <c r="BF355">
        <f>MiscData!$X$5</f>
        <v>20140101</v>
      </c>
      <c r="BI355" s="265">
        <f>IF(BI354+1&gt;MiscData!$Z$42,1,BI354+1)</f>
        <v>10</v>
      </c>
      <c r="BJ355" s="265" t="str">
        <f>VLOOKUP(BI355,MiscData!$Z$5:$AB$46,2,FALSE)</f>
        <v>LGCME563</v>
      </c>
      <c r="BK355" s="265" t="str">
        <f>VLOOKUP(BI355,MiscData!$Z$5:$AB$46,3,FALSE)</f>
        <v>PSP</v>
      </c>
    </row>
    <row r="356" spans="1:63" hidden="1">
      <c r="A356" s="275">
        <v>337</v>
      </c>
      <c r="B356" s="276" t="str">
        <f t="shared" si="264"/>
        <v>Oct 2014</v>
      </c>
      <c r="C356" s="277" t="str">
        <f t="shared" si="265"/>
        <v>PSS</v>
      </c>
      <c r="D356" s="277" t="str">
        <f t="shared" si="266"/>
        <v>LGCME567</v>
      </c>
      <c r="E356" s="278">
        <f t="shared" si="234"/>
        <v>0</v>
      </c>
      <c r="F356" s="279">
        <v>0</v>
      </c>
      <c r="G356" s="278">
        <f t="shared" si="235"/>
        <v>0</v>
      </c>
      <c r="H356" s="278">
        <f t="shared" si="236"/>
        <v>0</v>
      </c>
      <c r="I356" s="278">
        <f t="shared" si="237"/>
        <v>0</v>
      </c>
      <c r="J356" s="278">
        <f t="shared" si="238"/>
        <v>0</v>
      </c>
      <c r="K356" s="280">
        <v>0</v>
      </c>
      <c r="L356" s="281">
        <f t="shared" si="239"/>
        <v>0</v>
      </c>
      <c r="M356" s="281">
        <f t="shared" si="240"/>
        <v>0</v>
      </c>
      <c r="N356" s="281">
        <f t="shared" si="241"/>
        <v>0</v>
      </c>
      <c r="O356" s="282">
        <v>0</v>
      </c>
      <c r="P356" s="282">
        <v>0</v>
      </c>
      <c r="Q356" s="282">
        <v>0</v>
      </c>
      <c r="R356" s="283">
        <f t="shared" si="242"/>
        <v>90</v>
      </c>
      <c r="S356" s="284">
        <f t="shared" si="230"/>
        <v>4.0599999999999997E-2</v>
      </c>
      <c r="T356" s="284">
        <f t="shared" si="243"/>
        <v>0</v>
      </c>
      <c r="U356" s="284">
        <f t="shared" si="244"/>
        <v>0</v>
      </c>
      <c r="V356" s="284">
        <f t="shared" si="245"/>
        <v>2.725E-2</v>
      </c>
      <c r="W356" s="283">
        <f t="shared" si="246"/>
        <v>0</v>
      </c>
      <c r="X356" s="283">
        <f t="shared" si="247"/>
        <v>14.010000000000002</v>
      </c>
      <c r="Y356" s="283">
        <f t="shared" si="248"/>
        <v>16.399999999999999</v>
      </c>
      <c r="Z356" s="285">
        <f t="shared" si="249"/>
        <v>0</v>
      </c>
      <c r="AA356" s="285">
        <f t="shared" si="250"/>
        <v>0</v>
      </c>
      <c r="AB356" s="285">
        <f t="shared" si="267"/>
        <v>0</v>
      </c>
      <c r="AC356" s="285">
        <f t="shared" si="268"/>
        <v>0</v>
      </c>
      <c r="AD356" s="285">
        <f t="shared" si="269"/>
        <v>0</v>
      </c>
      <c r="AE356" s="286">
        <v>0</v>
      </c>
      <c r="AF356" s="287">
        <f t="shared" si="251"/>
        <v>0</v>
      </c>
      <c r="AG356" s="288">
        <f t="shared" si="252"/>
        <v>0</v>
      </c>
      <c r="AH356" s="285">
        <f t="shared" si="270"/>
        <v>0</v>
      </c>
      <c r="AI356" s="286">
        <v>0</v>
      </c>
      <c r="AJ356" s="286">
        <v>0</v>
      </c>
      <c r="AK356" s="286">
        <v>0</v>
      </c>
      <c r="AL356" s="285">
        <f t="shared" si="253"/>
        <v>0</v>
      </c>
      <c r="AM356" s="285">
        <f t="shared" si="254"/>
        <v>0</v>
      </c>
      <c r="AN356" s="289">
        <f t="shared" si="271"/>
        <v>1</v>
      </c>
      <c r="AO356" s="290">
        <f t="shared" si="255"/>
        <v>0</v>
      </c>
      <c r="AP356" s="290">
        <f t="shared" si="256"/>
        <v>0</v>
      </c>
      <c r="AQ356" s="290">
        <f t="shared" si="257"/>
        <v>0</v>
      </c>
      <c r="AR356" s="290">
        <f t="shared" si="258"/>
        <v>0</v>
      </c>
      <c r="AS356" s="290">
        <f t="shared" si="259"/>
        <v>0</v>
      </c>
      <c r="AT356" s="290">
        <f t="shared" si="260"/>
        <v>0</v>
      </c>
      <c r="AU356" s="291">
        <f t="shared" si="261"/>
        <v>0</v>
      </c>
      <c r="AV356" s="291">
        <f t="shared" si="277"/>
        <v>0</v>
      </c>
      <c r="AW356" s="292">
        <f t="shared" si="262"/>
        <v>0</v>
      </c>
      <c r="AX356" s="293">
        <f t="shared" si="263"/>
        <v>0</v>
      </c>
      <c r="BC356" s="276">
        <f>IF(BI356=1,IF(BC355=MiscData!$F$1,EOMONTH(BC355,-11),EOMONTH(BC355,1)),BC355)</f>
        <v>41943</v>
      </c>
      <c r="BD356" s="275" t="str">
        <f t="shared" si="272"/>
        <v>20140101LGCME567</v>
      </c>
      <c r="BE356" s="294" t="str">
        <f t="shared" si="273"/>
        <v>20140101PSS</v>
      </c>
      <c r="BF356">
        <f>MiscData!$X$5</f>
        <v>20140101</v>
      </c>
      <c r="BI356" s="265">
        <f>IF(BI355+1&gt;MiscData!$Z$42,1,BI355+1)</f>
        <v>11</v>
      </c>
      <c r="BJ356" s="265" t="str">
        <f>VLOOKUP(BI356,MiscData!$Z$5:$AB$46,2,FALSE)</f>
        <v>LGCME567</v>
      </c>
      <c r="BK356" s="265" t="str">
        <f>VLOOKUP(BI356,MiscData!$Z$5:$AB$46,3,FALSE)</f>
        <v>PSS</v>
      </c>
    </row>
    <row r="357" spans="1:63" hidden="1">
      <c r="A357" s="275">
        <v>338</v>
      </c>
      <c r="B357" s="276" t="str">
        <f t="shared" si="264"/>
        <v>Oct 2014</v>
      </c>
      <c r="C357" s="277" t="str">
        <f t="shared" si="265"/>
        <v>TODS</v>
      </c>
      <c r="D357" s="277" t="str">
        <f t="shared" si="266"/>
        <v>LGCME591</v>
      </c>
      <c r="E357" s="278">
        <f t="shared" si="234"/>
        <v>207</v>
      </c>
      <c r="F357" s="279">
        <v>0</v>
      </c>
      <c r="G357" s="278">
        <f t="shared" si="235"/>
        <v>0</v>
      </c>
      <c r="H357" s="278">
        <f t="shared" si="236"/>
        <v>0</v>
      </c>
      <c r="I357" s="278">
        <f t="shared" si="237"/>
        <v>0</v>
      </c>
      <c r="J357" s="278">
        <f t="shared" si="238"/>
        <v>60450509</v>
      </c>
      <c r="K357" s="280">
        <v>0</v>
      </c>
      <c r="L357" s="281">
        <f t="shared" si="239"/>
        <v>132961.79999999999</v>
      </c>
      <c r="M357" s="281">
        <f t="shared" si="240"/>
        <v>128592.73</v>
      </c>
      <c r="N357" s="281">
        <f t="shared" si="241"/>
        <v>126755.12</v>
      </c>
      <c r="O357" s="282">
        <v>0</v>
      </c>
      <c r="P357" s="282">
        <v>0</v>
      </c>
      <c r="Q357" s="282">
        <v>0</v>
      </c>
      <c r="R357" s="283">
        <f t="shared" si="242"/>
        <v>200</v>
      </c>
      <c r="S357" s="284">
        <f t="shared" si="230"/>
        <v>3.9899999999999998E-2</v>
      </c>
      <c r="T357" s="284">
        <f t="shared" si="243"/>
        <v>0</v>
      </c>
      <c r="U357" s="284">
        <f t="shared" si="244"/>
        <v>0</v>
      </c>
      <c r="V357" s="284">
        <f t="shared" si="245"/>
        <v>2.725E-2</v>
      </c>
      <c r="W357" s="283">
        <f t="shared" si="246"/>
        <v>4</v>
      </c>
      <c r="X357" s="283">
        <f t="shared" si="247"/>
        <v>4.5100000000000007</v>
      </c>
      <c r="Y357" s="283">
        <f t="shared" si="248"/>
        <v>6.11</v>
      </c>
      <c r="Z357" s="285">
        <f t="shared" si="249"/>
        <v>41400</v>
      </c>
      <c r="AA357" s="285">
        <f t="shared" si="250"/>
        <v>2411975.31</v>
      </c>
      <c r="AB357" s="285">
        <f t="shared" si="267"/>
        <v>531847.19999999995</v>
      </c>
      <c r="AC357" s="285">
        <f t="shared" si="268"/>
        <v>579953.21</v>
      </c>
      <c r="AD357" s="285">
        <f t="shared" si="269"/>
        <v>774473.78</v>
      </c>
      <c r="AE357" s="286">
        <v>0</v>
      </c>
      <c r="AF357" s="287">
        <f t="shared" si="251"/>
        <v>0</v>
      </c>
      <c r="AG357" s="288">
        <f t="shared" si="252"/>
        <v>0</v>
      </c>
      <c r="AH357" s="285">
        <f t="shared" si="270"/>
        <v>1886274.19</v>
      </c>
      <c r="AI357" s="286">
        <v>0</v>
      </c>
      <c r="AJ357" s="286">
        <v>0</v>
      </c>
      <c r="AK357" s="286">
        <v>0</v>
      </c>
      <c r="AL357" s="285">
        <f t="shared" si="253"/>
        <v>4339649.5</v>
      </c>
      <c r="AM357" s="285">
        <f t="shared" si="254"/>
        <v>4339650</v>
      </c>
      <c r="AN357" s="289">
        <f t="shared" si="271"/>
        <v>1</v>
      </c>
      <c r="AO357" s="290">
        <f t="shared" si="255"/>
        <v>-66461</v>
      </c>
      <c r="AP357" s="290">
        <f t="shared" si="256"/>
        <v>140519</v>
      </c>
      <c r="AQ357" s="290">
        <f t="shared" si="257"/>
        <v>293482</v>
      </c>
      <c r="AR357" s="290">
        <f t="shared" si="258"/>
        <v>0</v>
      </c>
      <c r="AS357" s="290">
        <f t="shared" si="259"/>
        <v>0</v>
      </c>
      <c r="AT357" s="290">
        <f t="shared" si="260"/>
        <v>4707190</v>
      </c>
      <c r="AU357" s="291">
        <f t="shared" si="261"/>
        <v>4707189.5</v>
      </c>
      <c r="AV357" s="291">
        <f t="shared" si="277"/>
        <v>0.5</v>
      </c>
      <c r="AW357" s="292">
        <f t="shared" si="262"/>
        <v>1647276.37</v>
      </c>
      <c r="AX357" s="293">
        <f t="shared" si="263"/>
        <v>764698.94</v>
      </c>
      <c r="BC357" s="276">
        <f>IF(BI357=1,IF(BC356=MiscData!$F$1,EOMONTH(BC356,-11),EOMONTH(BC356,1)),BC356)</f>
        <v>41943</v>
      </c>
      <c r="BD357" s="275" t="str">
        <f t="shared" si="272"/>
        <v>20140101LGCME591</v>
      </c>
      <c r="BE357" s="294" t="str">
        <f t="shared" si="273"/>
        <v>20140101TODS</v>
      </c>
      <c r="BF357">
        <f>MiscData!$X$5</f>
        <v>20140101</v>
      </c>
      <c r="BI357" s="265">
        <f>IF(BI356+1&gt;MiscData!$Z$42,1,BI356+1)</f>
        <v>12</v>
      </c>
      <c r="BJ357" s="265" t="str">
        <f>VLOOKUP(BI357,MiscData!$Z$5:$AB$46,2,FALSE)</f>
        <v>LGCME591</v>
      </c>
      <c r="BK357" s="265" t="str">
        <f>VLOOKUP(BI357,MiscData!$Z$5:$AB$46,3,FALSE)</f>
        <v>TODS</v>
      </c>
    </row>
    <row r="358" spans="1:63" hidden="1">
      <c r="A358" s="275">
        <v>339</v>
      </c>
      <c r="B358" s="276" t="str">
        <f t="shared" si="264"/>
        <v>Oct 2014</v>
      </c>
      <c r="C358" s="277" t="str">
        <f t="shared" si="265"/>
        <v>CTODP</v>
      </c>
      <c r="D358" s="277" t="str">
        <f t="shared" si="266"/>
        <v>LGCME593</v>
      </c>
      <c r="E358" s="278">
        <f t="shared" si="234"/>
        <v>35</v>
      </c>
      <c r="F358" s="279">
        <v>0</v>
      </c>
      <c r="G358" s="278">
        <f t="shared" si="235"/>
        <v>0</v>
      </c>
      <c r="H358" s="278">
        <f t="shared" si="236"/>
        <v>0</v>
      </c>
      <c r="I358" s="278">
        <f t="shared" si="237"/>
        <v>0</v>
      </c>
      <c r="J358" s="278">
        <f t="shared" si="238"/>
        <v>31311359</v>
      </c>
      <c r="K358" s="280">
        <v>0</v>
      </c>
      <c r="L358" s="281">
        <f t="shared" si="239"/>
        <v>74978.64</v>
      </c>
      <c r="M358" s="281">
        <f t="shared" si="240"/>
        <v>72101.52</v>
      </c>
      <c r="N358" s="281">
        <f t="shared" si="241"/>
        <v>71079.070000000007</v>
      </c>
      <c r="O358" s="282">
        <v>0</v>
      </c>
      <c r="P358" s="282">
        <v>0</v>
      </c>
      <c r="Q358" s="282">
        <v>0</v>
      </c>
      <c r="R358" s="283">
        <f t="shared" si="242"/>
        <v>300</v>
      </c>
      <c r="S358" s="284">
        <f t="shared" si="230"/>
        <v>3.8100000000000002E-2</v>
      </c>
      <c r="T358" s="284">
        <f t="shared" si="243"/>
        <v>0</v>
      </c>
      <c r="U358" s="284">
        <f t="shared" si="244"/>
        <v>0</v>
      </c>
      <c r="V358" s="284">
        <f t="shared" si="245"/>
        <v>2.725E-2</v>
      </c>
      <c r="W358" s="283">
        <f t="shared" si="246"/>
        <v>3.9800000000000004</v>
      </c>
      <c r="X358" s="283">
        <f t="shared" si="247"/>
        <v>4.13</v>
      </c>
      <c r="Y358" s="283">
        <f t="shared" si="248"/>
        <v>5.83</v>
      </c>
      <c r="Z358" s="285">
        <f t="shared" si="249"/>
        <v>10500</v>
      </c>
      <c r="AA358" s="285">
        <f t="shared" si="250"/>
        <v>1192962.78</v>
      </c>
      <c r="AB358" s="285">
        <f t="shared" si="267"/>
        <v>298414.99</v>
      </c>
      <c r="AC358" s="285">
        <f t="shared" si="268"/>
        <v>297779.28000000003</v>
      </c>
      <c r="AD358" s="285">
        <f t="shared" si="269"/>
        <v>414390.98</v>
      </c>
      <c r="AE358" s="286">
        <v>0</v>
      </c>
      <c r="AF358" s="287">
        <f t="shared" si="251"/>
        <v>0</v>
      </c>
      <c r="AG358" s="288">
        <f t="shared" si="252"/>
        <v>0</v>
      </c>
      <c r="AH358" s="285">
        <f t="shared" si="270"/>
        <v>1010585.25</v>
      </c>
      <c r="AI358" s="286">
        <v>0</v>
      </c>
      <c r="AJ358" s="286">
        <v>0</v>
      </c>
      <c r="AK358" s="286">
        <v>0</v>
      </c>
      <c r="AL358" s="285">
        <f t="shared" si="253"/>
        <v>2214048.0300000003</v>
      </c>
      <c r="AM358" s="285">
        <f t="shared" si="254"/>
        <v>2214048</v>
      </c>
      <c r="AN358" s="289">
        <f t="shared" si="271"/>
        <v>1</v>
      </c>
      <c r="AO358" s="290">
        <f t="shared" si="255"/>
        <v>-34424</v>
      </c>
      <c r="AP358" s="290">
        <f t="shared" si="256"/>
        <v>72784</v>
      </c>
      <c r="AQ358" s="290">
        <f t="shared" si="257"/>
        <v>152014</v>
      </c>
      <c r="AR358" s="290">
        <f t="shared" si="258"/>
        <v>0</v>
      </c>
      <c r="AS358" s="290">
        <f t="shared" si="259"/>
        <v>0</v>
      </c>
      <c r="AT358" s="290">
        <f t="shared" si="260"/>
        <v>2404422</v>
      </c>
      <c r="AU358" s="291">
        <f t="shared" si="261"/>
        <v>2404422.0300000003</v>
      </c>
      <c r="AV358" s="291">
        <f t="shared" si="277"/>
        <v>-0.03</v>
      </c>
      <c r="AW358" s="292">
        <f t="shared" si="262"/>
        <v>853234.53</v>
      </c>
      <c r="AX358" s="293">
        <f t="shared" si="263"/>
        <v>339728.25</v>
      </c>
      <c r="BC358" s="276">
        <f>IF(BI358=1,IF(BC357=MiscData!$F$1,EOMONTH(BC357,-11),EOMONTH(BC357,1)),BC357)</f>
        <v>41943</v>
      </c>
      <c r="BD358" s="275" t="str">
        <f t="shared" si="272"/>
        <v>20140101LGCME593</v>
      </c>
      <c r="BE358" s="294" t="str">
        <f t="shared" si="273"/>
        <v>20140101CTODP</v>
      </c>
      <c r="BF358">
        <f>MiscData!$X$5</f>
        <v>20140101</v>
      </c>
      <c r="BI358" s="265">
        <f>IF(BI357+1&gt;MiscData!$Z$42,1,BI357+1)</f>
        <v>13</v>
      </c>
      <c r="BJ358" s="265" t="str">
        <f>VLOOKUP(BI358,MiscData!$Z$5:$AB$46,2,FALSE)</f>
        <v>LGCME593</v>
      </c>
      <c r="BK358" s="265" t="str">
        <f>VLOOKUP(BI358,MiscData!$Z$5:$AB$46,3,FALSE)</f>
        <v>CTODP</v>
      </c>
    </row>
    <row r="359" spans="1:63" hidden="1">
      <c r="A359" s="275">
        <v>340</v>
      </c>
      <c r="B359" s="276" t="str">
        <f t="shared" si="264"/>
        <v>Oct 2014</v>
      </c>
      <c r="C359" s="277" t="str">
        <f t="shared" si="265"/>
        <v>GS3</v>
      </c>
      <c r="D359" s="277" t="str">
        <f t="shared" si="266"/>
        <v>LGCME650</v>
      </c>
      <c r="E359" s="278">
        <f t="shared" si="234"/>
        <v>0</v>
      </c>
      <c r="F359" s="279">
        <v>0</v>
      </c>
      <c r="G359" s="278">
        <f t="shared" si="235"/>
        <v>0</v>
      </c>
      <c r="H359" s="278">
        <f t="shared" si="236"/>
        <v>0</v>
      </c>
      <c r="I359" s="278">
        <f t="shared" si="237"/>
        <v>0</v>
      </c>
      <c r="J359" s="278">
        <f t="shared" si="238"/>
        <v>0</v>
      </c>
      <c r="K359" s="280">
        <v>0</v>
      </c>
      <c r="L359" s="281">
        <f t="shared" si="239"/>
        <v>0</v>
      </c>
      <c r="M359" s="281">
        <f t="shared" si="240"/>
        <v>0</v>
      </c>
      <c r="N359" s="281">
        <f t="shared" si="241"/>
        <v>0</v>
      </c>
      <c r="O359" s="282">
        <v>0</v>
      </c>
      <c r="P359" s="282">
        <v>0</v>
      </c>
      <c r="Q359" s="282">
        <v>0</v>
      </c>
      <c r="R359" s="283">
        <f t="shared" si="242"/>
        <v>35</v>
      </c>
      <c r="S359" s="284">
        <f t="shared" si="230"/>
        <v>9.1340000000000005E-2</v>
      </c>
      <c r="T359" s="284">
        <f t="shared" si="243"/>
        <v>0</v>
      </c>
      <c r="U359" s="284">
        <f t="shared" si="244"/>
        <v>0</v>
      </c>
      <c r="V359" s="284">
        <f t="shared" si="245"/>
        <v>2.725E-2</v>
      </c>
      <c r="W359" s="283">
        <f t="shared" si="246"/>
        <v>0</v>
      </c>
      <c r="X359" s="283">
        <f t="shared" si="247"/>
        <v>0</v>
      </c>
      <c r="Y359" s="283">
        <f t="shared" si="248"/>
        <v>0</v>
      </c>
      <c r="Z359" s="285">
        <f t="shared" si="249"/>
        <v>0</v>
      </c>
      <c r="AA359" s="285">
        <f t="shared" si="250"/>
        <v>0</v>
      </c>
      <c r="AB359" s="285">
        <f t="shared" si="267"/>
        <v>0</v>
      </c>
      <c r="AC359" s="285">
        <f t="shared" si="268"/>
        <v>0</v>
      </c>
      <c r="AD359" s="285">
        <f t="shared" si="269"/>
        <v>0</v>
      </c>
      <c r="AE359" s="286">
        <v>0</v>
      </c>
      <c r="AF359" s="287">
        <f t="shared" si="251"/>
        <v>0</v>
      </c>
      <c r="AG359" s="288">
        <f t="shared" si="252"/>
        <v>0</v>
      </c>
      <c r="AH359" s="285">
        <f t="shared" si="270"/>
        <v>0</v>
      </c>
      <c r="AI359" s="286">
        <v>0</v>
      </c>
      <c r="AJ359" s="286">
        <v>0</v>
      </c>
      <c r="AK359" s="286">
        <v>0</v>
      </c>
      <c r="AL359" s="285">
        <f t="shared" si="253"/>
        <v>0</v>
      </c>
      <c r="AM359" s="285">
        <f t="shared" si="254"/>
        <v>0</v>
      </c>
      <c r="AN359" s="289">
        <f t="shared" si="271"/>
        <v>1</v>
      </c>
      <c r="AO359" s="290">
        <f t="shared" si="255"/>
        <v>0</v>
      </c>
      <c r="AP359" s="290">
        <f t="shared" si="256"/>
        <v>0</v>
      </c>
      <c r="AQ359" s="290">
        <f t="shared" si="257"/>
        <v>0</v>
      </c>
      <c r="AR359" s="290">
        <f t="shared" si="258"/>
        <v>0</v>
      </c>
      <c r="AS359" s="290">
        <f t="shared" si="259"/>
        <v>0</v>
      </c>
      <c r="AT359" s="290">
        <f t="shared" si="260"/>
        <v>0</v>
      </c>
      <c r="AU359" s="291">
        <f t="shared" si="261"/>
        <v>0</v>
      </c>
      <c r="AV359" s="291">
        <f t="shared" si="277"/>
        <v>0</v>
      </c>
      <c r="AW359" s="292">
        <f t="shared" si="262"/>
        <v>0</v>
      </c>
      <c r="AX359" s="293">
        <f t="shared" si="263"/>
        <v>0</v>
      </c>
      <c r="BC359" s="276">
        <f>IF(BI359=1,IF(BC358=MiscData!$F$1,EOMONTH(BC358,-11),EOMONTH(BC358,1)),BC358)</f>
        <v>41943</v>
      </c>
      <c r="BD359" s="275" t="str">
        <f t="shared" si="272"/>
        <v>20140101LGCME650</v>
      </c>
      <c r="BE359" s="294" t="str">
        <f t="shared" si="273"/>
        <v>20140101GS3</v>
      </c>
      <c r="BF359">
        <f>MiscData!$X$5</f>
        <v>20140101</v>
      </c>
      <c r="BI359" s="265">
        <f>IF(BI358+1&gt;MiscData!$Z$42,1,BI358+1)</f>
        <v>14</v>
      </c>
      <c r="BJ359" s="265" t="str">
        <f>VLOOKUP(BI359,MiscData!$Z$5:$AB$46,2,FALSE)</f>
        <v>LGCME650</v>
      </c>
      <c r="BK359" s="265" t="str">
        <f>VLOOKUP(BI359,MiscData!$Z$5:$AB$46,3,FALSE)</f>
        <v>GS3</v>
      </c>
    </row>
    <row r="360" spans="1:63" hidden="1">
      <c r="A360" s="275">
        <v>341</v>
      </c>
      <c r="B360" s="276" t="str">
        <f t="shared" si="264"/>
        <v>Oct 2014</v>
      </c>
      <c r="C360" s="277" t="str">
        <f t="shared" si="265"/>
        <v>GS3</v>
      </c>
      <c r="D360" s="277" t="str">
        <f t="shared" si="266"/>
        <v>LGCME651</v>
      </c>
      <c r="E360" s="278">
        <f t="shared" si="234"/>
        <v>16292</v>
      </c>
      <c r="F360" s="279">
        <v>0</v>
      </c>
      <c r="G360" s="278">
        <f t="shared" si="235"/>
        <v>0</v>
      </c>
      <c r="H360" s="278">
        <f t="shared" si="236"/>
        <v>0</v>
      </c>
      <c r="I360" s="278">
        <f t="shared" si="237"/>
        <v>0</v>
      </c>
      <c r="J360" s="278">
        <f t="shared" si="238"/>
        <v>77924991</v>
      </c>
      <c r="K360" s="280">
        <v>0</v>
      </c>
      <c r="L360" s="281">
        <f t="shared" si="239"/>
        <v>215413.13</v>
      </c>
      <c r="M360" s="281">
        <f t="shared" si="240"/>
        <v>0</v>
      </c>
      <c r="N360" s="281">
        <f t="shared" si="241"/>
        <v>0</v>
      </c>
      <c r="O360" s="282">
        <v>0</v>
      </c>
      <c r="P360" s="282">
        <v>0</v>
      </c>
      <c r="Q360" s="282">
        <v>0</v>
      </c>
      <c r="R360" s="283">
        <f t="shared" si="242"/>
        <v>35</v>
      </c>
      <c r="S360" s="284">
        <f t="shared" si="230"/>
        <v>9.1340000000000005E-2</v>
      </c>
      <c r="T360" s="284">
        <f t="shared" si="243"/>
        <v>0</v>
      </c>
      <c r="U360" s="284">
        <f t="shared" si="244"/>
        <v>0</v>
      </c>
      <c r="V360" s="284">
        <f t="shared" si="245"/>
        <v>2.725E-2</v>
      </c>
      <c r="W360" s="283">
        <f t="shared" si="246"/>
        <v>0</v>
      </c>
      <c r="X360" s="283">
        <f t="shared" si="247"/>
        <v>0</v>
      </c>
      <c r="Y360" s="283">
        <f t="shared" si="248"/>
        <v>0</v>
      </c>
      <c r="Z360" s="285">
        <f t="shared" si="249"/>
        <v>570220</v>
      </c>
      <c r="AA360" s="285">
        <f t="shared" si="250"/>
        <v>7117668.6799999997</v>
      </c>
      <c r="AB360" s="285">
        <f t="shared" si="267"/>
        <v>0</v>
      </c>
      <c r="AC360" s="285">
        <f t="shared" si="268"/>
        <v>0</v>
      </c>
      <c r="AD360" s="285">
        <f t="shared" si="269"/>
        <v>0</v>
      </c>
      <c r="AE360" s="286">
        <v>0</v>
      </c>
      <c r="AF360" s="287">
        <f t="shared" si="251"/>
        <v>0</v>
      </c>
      <c r="AG360" s="288">
        <f t="shared" si="252"/>
        <v>0</v>
      </c>
      <c r="AH360" s="285">
        <f t="shared" si="270"/>
        <v>0</v>
      </c>
      <c r="AI360" s="286">
        <v>0</v>
      </c>
      <c r="AJ360" s="286">
        <v>0</v>
      </c>
      <c r="AK360" s="286">
        <v>0</v>
      </c>
      <c r="AL360" s="285">
        <f t="shared" si="253"/>
        <v>7687888.6799999997</v>
      </c>
      <c r="AM360" s="285">
        <f t="shared" si="254"/>
        <v>7687890</v>
      </c>
      <c r="AN360" s="289">
        <f t="shared" si="271"/>
        <v>1</v>
      </c>
      <c r="AO360" s="290">
        <f t="shared" si="255"/>
        <v>-85672</v>
      </c>
      <c r="AP360" s="290">
        <f t="shared" si="256"/>
        <v>181140</v>
      </c>
      <c r="AQ360" s="290">
        <f t="shared" si="257"/>
        <v>378319</v>
      </c>
      <c r="AR360" s="290">
        <f t="shared" si="258"/>
        <v>0</v>
      </c>
      <c r="AS360" s="290">
        <f t="shared" si="259"/>
        <v>0</v>
      </c>
      <c r="AT360" s="290">
        <f t="shared" si="260"/>
        <v>8161677</v>
      </c>
      <c r="AU360" s="291">
        <f t="shared" si="261"/>
        <v>8161675.6799999997</v>
      </c>
      <c r="AV360" s="291">
        <f t="shared" si="277"/>
        <v>1.32</v>
      </c>
      <c r="AW360" s="292">
        <f t="shared" si="262"/>
        <v>2123456</v>
      </c>
      <c r="AX360" s="293">
        <f t="shared" si="263"/>
        <v>4994212.68</v>
      </c>
      <c r="BC360" s="276">
        <f>IF(BI360=1,IF(BC359=MiscData!$F$1,EOMONTH(BC359,-11),EOMONTH(BC359,1)),BC359)</f>
        <v>41943</v>
      </c>
      <c r="BD360" s="275" t="str">
        <f t="shared" si="272"/>
        <v>20140101LGCME651</v>
      </c>
      <c r="BE360" s="294" t="str">
        <f t="shared" si="273"/>
        <v>20140101GS3</v>
      </c>
      <c r="BF360">
        <f>MiscData!$X$5</f>
        <v>20140101</v>
      </c>
      <c r="BI360" s="265">
        <f>IF(BI359+1&gt;MiscData!$Z$42,1,BI359+1)</f>
        <v>15</v>
      </c>
      <c r="BJ360" s="265" t="str">
        <f>VLOOKUP(BI360,MiscData!$Z$5:$AB$46,2,FALSE)</f>
        <v>LGCME651</v>
      </c>
      <c r="BK360" s="265" t="str">
        <f>VLOOKUP(BI360,MiscData!$Z$5:$AB$46,3,FALSE)</f>
        <v>GS3</v>
      </c>
    </row>
    <row r="361" spans="1:63" hidden="1">
      <c r="A361" s="275">
        <v>342</v>
      </c>
      <c r="B361" s="276" t="str">
        <f t="shared" si="264"/>
        <v>Oct 2014</v>
      </c>
      <c r="C361" s="277" t="str">
        <f t="shared" si="265"/>
        <v>GS3</v>
      </c>
      <c r="D361" s="277" t="str">
        <f t="shared" si="266"/>
        <v>LGCME652</v>
      </c>
      <c r="E361" s="278">
        <f t="shared" si="234"/>
        <v>0</v>
      </c>
      <c r="F361" s="279">
        <f>-E361</f>
        <v>0</v>
      </c>
      <c r="G361" s="278">
        <f t="shared" si="235"/>
        <v>0</v>
      </c>
      <c r="H361" s="278">
        <f t="shared" si="236"/>
        <v>0</v>
      </c>
      <c r="I361" s="278">
        <f t="shared" si="237"/>
        <v>0</v>
      </c>
      <c r="J361" s="278">
        <f t="shared" si="238"/>
        <v>0</v>
      </c>
      <c r="K361" s="280">
        <v>0</v>
      </c>
      <c r="L361" s="281">
        <f t="shared" si="239"/>
        <v>0</v>
      </c>
      <c r="M361" s="281">
        <f t="shared" si="240"/>
        <v>0</v>
      </c>
      <c r="N361" s="281">
        <f t="shared" si="241"/>
        <v>0</v>
      </c>
      <c r="O361" s="282">
        <v>0</v>
      </c>
      <c r="P361" s="282">
        <v>0</v>
      </c>
      <c r="Q361" s="282">
        <v>0</v>
      </c>
      <c r="R361" s="283">
        <f t="shared" si="242"/>
        <v>0</v>
      </c>
      <c r="S361" s="284">
        <f t="shared" ref="S361:S424" si="278">SUMIF(L_Rates_Tariff_Rate_Category,$BD361,L_Rates_Energy)</f>
        <v>9.1340000000000005E-2</v>
      </c>
      <c r="T361" s="284">
        <f t="shared" si="243"/>
        <v>0</v>
      </c>
      <c r="U361" s="284">
        <f t="shared" si="244"/>
        <v>0</v>
      </c>
      <c r="V361" s="284">
        <f t="shared" si="245"/>
        <v>2.725E-2</v>
      </c>
      <c r="W361" s="283">
        <f t="shared" si="246"/>
        <v>0</v>
      </c>
      <c r="X361" s="283">
        <f t="shared" si="247"/>
        <v>0</v>
      </c>
      <c r="Y361" s="283">
        <f t="shared" si="248"/>
        <v>0</v>
      </c>
      <c r="Z361" s="285">
        <f t="shared" si="249"/>
        <v>0</v>
      </c>
      <c r="AA361" s="285">
        <f t="shared" si="250"/>
        <v>0</v>
      </c>
      <c r="AB361" s="285">
        <f t="shared" si="267"/>
        <v>0</v>
      </c>
      <c r="AC361" s="285">
        <f t="shared" si="268"/>
        <v>0</v>
      </c>
      <c r="AD361" s="285">
        <f t="shared" si="269"/>
        <v>0</v>
      </c>
      <c r="AE361" s="286">
        <v>0</v>
      </c>
      <c r="AF361" s="287">
        <f t="shared" si="251"/>
        <v>0</v>
      </c>
      <c r="AG361" s="288">
        <f t="shared" si="252"/>
        <v>0</v>
      </c>
      <c r="AH361" s="285">
        <f t="shared" si="270"/>
        <v>0</v>
      </c>
      <c r="AI361" s="286">
        <v>0</v>
      </c>
      <c r="AJ361" s="286">
        <v>0</v>
      </c>
      <c r="AK361" s="286">
        <v>0</v>
      </c>
      <c r="AL361" s="285">
        <f t="shared" si="253"/>
        <v>0</v>
      </c>
      <c r="AM361" s="285">
        <f t="shared" si="254"/>
        <v>0</v>
      </c>
      <c r="AN361" s="289">
        <f t="shared" si="271"/>
        <v>1</v>
      </c>
      <c r="AO361" s="290">
        <f t="shared" si="255"/>
        <v>0</v>
      </c>
      <c r="AP361" s="290">
        <f t="shared" si="256"/>
        <v>0</v>
      </c>
      <c r="AQ361" s="290">
        <f t="shared" si="257"/>
        <v>0</v>
      </c>
      <c r="AR361" s="290">
        <f t="shared" si="258"/>
        <v>0</v>
      </c>
      <c r="AS361" s="290">
        <f t="shared" si="259"/>
        <v>0</v>
      </c>
      <c r="AT361" s="290">
        <f t="shared" si="260"/>
        <v>0</v>
      </c>
      <c r="AU361" s="291">
        <f t="shared" si="261"/>
        <v>0</v>
      </c>
      <c r="AV361" s="291">
        <f t="shared" si="277"/>
        <v>0</v>
      </c>
      <c r="AW361" s="292">
        <f t="shared" si="262"/>
        <v>0</v>
      </c>
      <c r="AX361" s="293">
        <f t="shared" si="263"/>
        <v>0</v>
      </c>
      <c r="BC361" s="276">
        <f>IF(BI361=1,IF(BC360=MiscData!$F$1,EOMONTH(BC360,-11),EOMONTH(BC360,1)),BC360)</f>
        <v>41943</v>
      </c>
      <c r="BD361" s="275" t="str">
        <f t="shared" si="272"/>
        <v>20140101LGCME652</v>
      </c>
      <c r="BE361" s="294" t="str">
        <f t="shared" si="273"/>
        <v>20140101GS3</v>
      </c>
      <c r="BF361">
        <f>MiscData!$X$5</f>
        <v>20140101</v>
      </c>
      <c r="BI361" s="265">
        <f>IF(BI360+1&gt;MiscData!$Z$42,1,BI360+1)</f>
        <v>16</v>
      </c>
      <c r="BJ361" s="265" t="str">
        <f>VLOOKUP(BI361,MiscData!$Z$5:$AB$46,2,FALSE)</f>
        <v>LGCME652</v>
      </c>
      <c r="BK361" s="265" t="str">
        <f>VLOOKUP(BI361,MiscData!$Z$5:$AB$46,3,FALSE)</f>
        <v>GS3</v>
      </c>
    </row>
    <row r="362" spans="1:63" hidden="1">
      <c r="A362" s="275">
        <v>343</v>
      </c>
      <c r="B362" s="276" t="str">
        <f t="shared" si="264"/>
        <v>Oct 2014</v>
      </c>
      <c r="C362" s="277" t="str">
        <f t="shared" si="265"/>
        <v>GS3</v>
      </c>
      <c r="D362" s="277" t="str">
        <f t="shared" si="266"/>
        <v>LGCME657</v>
      </c>
      <c r="E362" s="278">
        <f t="shared" si="234"/>
        <v>0</v>
      </c>
      <c r="F362" s="279">
        <v>0</v>
      </c>
      <c r="G362" s="278">
        <f t="shared" si="235"/>
        <v>0</v>
      </c>
      <c r="H362" s="278">
        <f t="shared" si="236"/>
        <v>0</v>
      </c>
      <c r="I362" s="278">
        <f t="shared" si="237"/>
        <v>0</v>
      </c>
      <c r="J362" s="278">
        <f t="shared" si="238"/>
        <v>0</v>
      </c>
      <c r="K362" s="280">
        <v>0</v>
      </c>
      <c r="L362" s="281">
        <f t="shared" si="239"/>
        <v>0</v>
      </c>
      <c r="M362" s="281">
        <f t="shared" si="240"/>
        <v>0</v>
      </c>
      <c r="N362" s="281">
        <f t="shared" si="241"/>
        <v>0</v>
      </c>
      <c r="O362" s="282">
        <v>0</v>
      </c>
      <c r="P362" s="282">
        <v>0</v>
      </c>
      <c r="Q362" s="282">
        <v>0</v>
      </c>
      <c r="R362" s="283">
        <f t="shared" si="242"/>
        <v>35</v>
      </c>
      <c r="S362" s="284">
        <f t="shared" si="278"/>
        <v>9.1340000000000005E-2</v>
      </c>
      <c r="T362" s="284">
        <f t="shared" si="243"/>
        <v>0</v>
      </c>
      <c r="U362" s="284">
        <f t="shared" si="244"/>
        <v>0</v>
      </c>
      <c r="V362" s="284">
        <f t="shared" si="245"/>
        <v>2.725E-2</v>
      </c>
      <c r="W362" s="283">
        <f t="shared" si="246"/>
        <v>0</v>
      </c>
      <c r="X362" s="283">
        <f t="shared" si="247"/>
        <v>0</v>
      </c>
      <c r="Y362" s="283">
        <f t="shared" si="248"/>
        <v>0</v>
      </c>
      <c r="Z362" s="285">
        <f t="shared" si="249"/>
        <v>0</v>
      </c>
      <c r="AA362" s="285">
        <f t="shared" si="250"/>
        <v>0</v>
      </c>
      <c r="AB362" s="285">
        <f t="shared" si="267"/>
        <v>0</v>
      </c>
      <c r="AC362" s="285">
        <f t="shared" si="268"/>
        <v>0</v>
      </c>
      <c r="AD362" s="285">
        <f t="shared" si="269"/>
        <v>0</v>
      </c>
      <c r="AE362" s="286">
        <v>0</v>
      </c>
      <c r="AF362" s="287">
        <f t="shared" si="251"/>
        <v>0</v>
      </c>
      <c r="AG362" s="288">
        <f t="shared" si="252"/>
        <v>0</v>
      </c>
      <c r="AH362" s="285">
        <f t="shared" si="270"/>
        <v>0</v>
      </c>
      <c r="AI362" s="286">
        <v>0</v>
      </c>
      <c r="AJ362" s="286">
        <v>0</v>
      </c>
      <c r="AK362" s="286">
        <v>0</v>
      </c>
      <c r="AL362" s="285">
        <f t="shared" si="253"/>
        <v>0</v>
      </c>
      <c r="AM362" s="285">
        <f t="shared" si="254"/>
        <v>0</v>
      </c>
      <c r="AN362" s="289">
        <f t="shared" si="271"/>
        <v>1</v>
      </c>
      <c r="AO362" s="290">
        <f t="shared" si="255"/>
        <v>0</v>
      </c>
      <c r="AP362" s="290">
        <f t="shared" si="256"/>
        <v>0</v>
      </c>
      <c r="AQ362" s="290">
        <f t="shared" si="257"/>
        <v>0</v>
      </c>
      <c r="AR362" s="290">
        <f t="shared" si="258"/>
        <v>0</v>
      </c>
      <c r="AS362" s="290">
        <f t="shared" si="259"/>
        <v>0</v>
      </c>
      <c r="AT362" s="290">
        <f t="shared" si="260"/>
        <v>0</v>
      </c>
      <c r="AU362" s="291">
        <f t="shared" si="261"/>
        <v>0</v>
      </c>
      <c r="AV362" s="291">
        <f t="shared" si="276"/>
        <v>0</v>
      </c>
      <c r="AW362" s="292">
        <f t="shared" si="262"/>
        <v>0</v>
      </c>
      <c r="AX362" s="293">
        <f t="shared" si="263"/>
        <v>0</v>
      </c>
      <c r="BC362" s="276">
        <f>IF(BI362=1,IF(BC361=MiscData!$F$1,EOMONTH(BC361,-11),EOMONTH(BC361,1)),BC361)</f>
        <v>41943</v>
      </c>
      <c r="BD362" s="275" t="str">
        <f t="shared" si="272"/>
        <v>20140101LGCME657</v>
      </c>
      <c r="BE362" s="294" t="str">
        <f t="shared" si="273"/>
        <v>20140101GS3</v>
      </c>
      <c r="BF362">
        <f>MiscData!$X$5</f>
        <v>20140101</v>
      </c>
      <c r="BI362" s="265">
        <f>IF(BI361+1&gt;MiscData!$Z$42,1,BI361+1)</f>
        <v>17</v>
      </c>
      <c r="BJ362" s="265" t="str">
        <f>VLOOKUP(BI362,MiscData!$Z$5:$AB$46,2,FALSE)</f>
        <v>LGCME657</v>
      </c>
      <c r="BK362" s="265" t="str">
        <f>VLOOKUP(BI362,MiscData!$Z$5:$AB$46,3,FALSE)</f>
        <v>GS3</v>
      </c>
    </row>
    <row r="363" spans="1:63" hidden="1">
      <c r="A363" s="275">
        <v>344</v>
      </c>
      <c r="B363" s="276" t="str">
        <f t="shared" si="264"/>
        <v>Oct 2014</v>
      </c>
      <c r="C363" s="277" t="str">
        <f t="shared" si="265"/>
        <v>LWC</v>
      </c>
      <c r="D363" s="277" t="str">
        <f t="shared" si="266"/>
        <v>LGCME671</v>
      </c>
      <c r="E363" s="278">
        <f t="shared" si="234"/>
        <v>2</v>
      </c>
      <c r="F363" s="279">
        <v>0</v>
      </c>
      <c r="G363" s="278">
        <f t="shared" si="235"/>
        <v>0</v>
      </c>
      <c r="H363" s="278">
        <f t="shared" si="236"/>
        <v>0</v>
      </c>
      <c r="I363" s="278">
        <f t="shared" si="237"/>
        <v>0</v>
      </c>
      <c r="J363" s="278">
        <f t="shared" si="238"/>
        <v>4450800</v>
      </c>
      <c r="K363" s="280">
        <v>0</v>
      </c>
      <c r="L363" s="281">
        <f t="shared" si="239"/>
        <v>0</v>
      </c>
      <c r="M363" s="281">
        <f t="shared" si="240"/>
        <v>9450</v>
      </c>
      <c r="N363" s="281">
        <f t="shared" si="241"/>
        <v>0</v>
      </c>
      <c r="O363" s="282">
        <v>0</v>
      </c>
      <c r="P363" s="282">
        <v>0</v>
      </c>
      <c r="Q363" s="282">
        <v>0</v>
      </c>
      <c r="R363" s="283">
        <f t="shared" si="242"/>
        <v>0</v>
      </c>
      <c r="S363" s="284">
        <f t="shared" si="278"/>
        <v>3.7019999999999997E-2</v>
      </c>
      <c r="T363" s="284">
        <f t="shared" si="243"/>
        <v>0</v>
      </c>
      <c r="U363" s="284">
        <f t="shared" si="244"/>
        <v>0</v>
      </c>
      <c r="V363" s="284">
        <f t="shared" si="245"/>
        <v>2.725E-2</v>
      </c>
      <c r="W363" s="283">
        <f t="shared" si="246"/>
        <v>0</v>
      </c>
      <c r="X363" s="283">
        <f t="shared" si="247"/>
        <v>10.35</v>
      </c>
      <c r="Y363" s="283">
        <f t="shared" si="248"/>
        <v>10.35</v>
      </c>
      <c r="Z363" s="285">
        <f t="shared" si="249"/>
        <v>0</v>
      </c>
      <c r="AA363" s="285">
        <f t="shared" si="250"/>
        <v>164768.62</v>
      </c>
      <c r="AB363" s="285">
        <f t="shared" si="267"/>
        <v>0</v>
      </c>
      <c r="AC363" s="285">
        <f t="shared" si="268"/>
        <v>97807.5</v>
      </c>
      <c r="AD363" s="285">
        <f t="shared" si="269"/>
        <v>0</v>
      </c>
      <c r="AE363" s="286">
        <v>0</v>
      </c>
      <c r="AF363" s="287">
        <f t="shared" si="251"/>
        <v>0</v>
      </c>
      <c r="AG363" s="288">
        <f t="shared" si="252"/>
        <v>0</v>
      </c>
      <c r="AH363" s="285">
        <f t="shared" si="270"/>
        <v>97807.5</v>
      </c>
      <c r="AI363" s="286">
        <v>0</v>
      </c>
      <c r="AJ363" s="286">
        <v>0</v>
      </c>
      <c r="AK363" s="286">
        <v>0</v>
      </c>
      <c r="AL363" s="285">
        <f t="shared" si="253"/>
        <v>262576.12</v>
      </c>
      <c r="AM363" s="285">
        <f t="shared" si="254"/>
        <v>262576</v>
      </c>
      <c r="AN363" s="289">
        <f t="shared" si="271"/>
        <v>1</v>
      </c>
      <c r="AO363" s="290">
        <f t="shared" si="255"/>
        <v>-4893</v>
      </c>
      <c r="AP363" s="290">
        <f t="shared" si="256"/>
        <v>0</v>
      </c>
      <c r="AQ363" s="290">
        <f t="shared" si="257"/>
        <v>21608</v>
      </c>
      <c r="AR363" s="290">
        <f t="shared" si="258"/>
        <v>0</v>
      </c>
      <c r="AS363" s="290">
        <f t="shared" si="259"/>
        <v>0</v>
      </c>
      <c r="AT363" s="290">
        <f t="shared" si="260"/>
        <v>279291</v>
      </c>
      <c r="AU363" s="291">
        <f t="shared" si="261"/>
        <v>279291.12</v>
      </c>
      <c r="AV363" s="291">
        <f t="shared" si="276"/>
        <v>-0.11999999999534339</v>
      </c>
      <c r="AW363" s="292">
        <f t="shared" si="262"/>
        <v>121284.3</v>
      </c>
      <c r="AX363" s="293">
        <f t="shared" si="263"/>
        <v>43484.319999999992</v>
      </c>
      <c r="BC363" s="276">
        <f>IF(BI363=1,IF(BC362=MiscData!$F$1,EOMONTH(BC362,-11),EOMONTH(BC362,1)),BC362)</f>
        <v>41943</v>
      </c>
      <c r="BD363" s="275" t="str">
        <f t="shared" si="272"/>
        <v>20140101LGCME671</v>
      </c>
      <c r="BE363" s="294" t="str">
        <f t="shared" si="273"/>
        <v>20140101LWC</v>
      </c>
      <c r="BF363">
        <f>MiscData!$X$5</f>
        <v>20140101</v>
      </c>
      <c r="BI363" s="265">
        <f>IF(BI362+1&gt;MiscData!$Z$42,1,BI362+1)</f>
        <v>18</v>
      </c>
      <c r="BJ363" s="265" t="str">
        <f>VLOOKUP(BI363,MiscData!$Z$5:$AB$46,2,FALSE)</f>
        <v>LGCME671</v>
      </c>
      <c r="BK363" s="265" t="str">
        <f>VLOOKUP(BI363,MiscData!$Z$5:$AB$46,3,FALSE)</f>
        <v>LWC</v>
      </c>
    </row>
    <row r="364" spans="1:63" hidden="1">
      <c r="A364" s="275">
        <v>345</v>
      </c>
      <c r="B364" s="276" t="str">
        <f t="shared" si="264"/>
        <v>Oct 2014</v>
      </c>
      <c r="C364" s="277" t="str">
        <f t="shared" si="265"/>
        <v>CSR</v>
      </c>
      <c r="D364" s="277" t="str">
        <f t="shared" si="266"/>
        <v>LGCSR760</v>
      </c>
      <c r="E364" s="278">
        <f t="shared" si="234"/>
        <v>0</v>
      </c>
      <c r="F364" s="279">
        <v>0</v>
      </c>
      <c r="G364" s="278">
        <f t="shared" si="235"/>
        <v>0</v>
      </c>
      <c r="H364" s="278">
        <f t="shared" si="236"/>
        <v>0</v>
      </c>
      <c r="I364" s="278">
        <f t="shared" si="237"/>
        <v>0</v>
      </c>
      <c r="J364" s="278">
        <f t="shared" si="238"/>
        <v>0</v>
      </c>
      <c r="K364" s="280">
        <v>0</v>
      </c>
      <c r="L364" s="281">
        <f t="shared" si="239"/>
        <v>0</v>
      </c>
      <c r="M364" s="281">
        <f t="shared" si="240"/>
        <v>0</v>
      </c>
      <c r="N364" s="281">
        <f t="shared" si="241"/>
        <v>0</v>
      </c>
      <c r="O364" s="282">
        <v>0</v>
      </c>
      <c r="P364" s="282">
        <v>0</v>
      </c>
      <c r="Q364" s="282">
        <v>0</v>
      </c>
      <c r="R364" s="283">
        <f t="shared" si="242"/>
        <v>0</v>
      </c>
      <c r="S364" s="284">
        <f t="shared" si="278"/>
        <v>0</v>
      </c>
      <c r="T364" s="284">
        <f t="shared" si="243"/>
        <v>0</v>
      </c>
      <c r="U364" s="284">
        <f t="shared" si="244"/>
        <v>0</v>
      </c>
      <c r="V364" s="284">
        <f t="shared" si="245"/>
        <v>0</v>
      </c>
      <c r="W364" s="283">
        <f t="shared" si="246"/>
        <v>0</v>
      </c>
      <c r="X364" s="283">
        <f t="shared" si="247"/>
        <v>0</v>
      </c>
      <c r="Y364" s="283">
        <f t="shared" si="248"/>
        <v>0</v>
      </c>
      <c r="Z364" s="285">
        <f t="shared" si="249"/>
        <v>0</v>
      </c>
      <c r="AA364" s="285">
        <f t="shared" si="250"/>
        <v>0</v>
      </c>
      <c r="AB364" s="285">
        <f t="shared" si="267"/>
        <v>0</v>
      </c>
      <c r="AC364" s="285">
        <f t="shared" si="268"/>
        <v>0</v>
      </c>
      <c r="AD364" s="285">
        <f t="shared" si="269"/>
        <v>0</v>
      </c>
      <c r="AE364" s="286">
        <v>0</v>
      </c>
      <c r="AF364" s="287">
        <f t="shared" si="251"/>
        <v>0</v>
      </c>
      <c r="AG364" s="288">
        <f t="shared" si="252"/>
        <v>0</v>
      </c>
      <c r="AH364" s="285">
        <f t="shared" si="270"/>
        <v>0</v>
      </c>
      <c r="AI364" s="286">
        <v>0</v>
      </c>
      <c r="AJ364" s="286">
        <v>0</v>
      </c>
      <c r="AK364" s="286">
        <v>0</v>
      </c>
      <c r="AL364" s="285">
        <f t="shared" si="253"/>
        <v>0</v>
      </c>
      <c r="AM364" s="285">
        <f t="shared" si="254"/>
        <v>0</v>
      </c>
      <c r="AN364" s="289">
        <f t="shared" si="271"/>
        <v>1</v>
      </c>
      <c r="AO364" s="290">
        <f t="shared" si="255"/>
        <v>0</v>
      </c>
      <c r="AP364" s="290">
        <f t="shared" si="256"/>
        <v>0</v>
      </c>
      <c r="AQ364" s="290">
        <f t="shared" si="257"/>
        <v>0</v>
      </c>
      <c r="AR364" s="290">
        <f t="shared" si="258"/>
        <v>0</v>
      </c>
      <c r="AS364" s="290">
        <f t="shared" si="259"/>
        <v>-286526</v>
      </c>
      <c r="AT364" s="290">
        <f t="shared" si="260"/>
        <v>-286526</v>
      </c>
      <c r="AU364" s="291">
        <f t="shared" si="261"/>
        <v>-286526</v>
      </c>
      <c r="AV364" s="291">
        <f t="shared" si="276"/>
        <v>0</v>
      </c>
      <c r="AW364" s="292">
        <f t="shared" si="262"/>
        <v>0</v>
      </c>
      <c r="AX364" s="293">
        <f t="shared" si="263"/>
        <v>0</v>
      </c>
      <c r="BC364" s="276">
        <f>IF(BI364=1,IF(BC363=MiscData!$F$1,EOMONTH(BC363,-11),EOMONTH(BC363,1)),BC363)</f>
        <v>41943</v>
      </c>
      <c r="BD364" s="275" t="str">
        <f t="shared" si="272"/>
        <v>20140101LGCSR760</v>
      </c>
      <c r="BE364" s="294" t="str">
        <f t="shared" si="273"/>
        <v>20140101CSR</v>
      </c>
      <c r="BF364">
        <f>MiscData!$X$5</f>
        <v>20140101</v>
      </c>
      <c r="BI364" s="265">
        <f>IF(BI363+1&gt;MiscData!$Z$42,1,BI363+1)</f>
        <v>19</v>
      </c>
      <c r="BJ364" s="265" t="str">
        <f>VLOOKUP(BI364,MiscData!$Z$5:$AB$46,2,FALSE)</f>
        <v>LGCSR760</v>
      </c>
      <c r="BK364" s="265" t="str">
        <f>VLOOKUP(BI364,MiscData!$Z$5:$AB$46,3,FALSE)</f>
        <v>CSR</v>
      </c>
    </row>
    <row r="365" spans="1:63" hidden="1">
      <c r="A365" s="275">
        <v>346</v>
      </c>
      <c r="B365" s="276" t="str">
        <f t="shared" si="264"/>
        <v>Oct 2014</v>
      </c>
      <c r="C365" s="277" t="str">
        <f t="shared" si="265"/>
        <v>CSR</v>
      </c>
      <c r="D365" s="277" t="str">
        <f t="shared" si="266"/>
        <v>LGCSR780</v>
      </c>
      <c r="E365" s="278">
        <f t="shared" si="234"/>
        <v>0</v>
      </c>
      <c r="F365" s="279">
        <v>0</v>
      </c>
      <c r="G365" s="278">
        <f t="shared" si="235"/>
        <v>0</v>
      </c>
      <c r="H365" s="278">
        <f t="shared" si="236"/>
        <v>0</v>
      </c>
      <c r="I365" s="278">
        <f t="shared" si="237"/>
        <v>0</v>
      </c>
      <c r="J365" s="278">
        <f t="shared" si="238"/>
        <v>0</v>
      </c>
      <c r="K365" s="280">
        <v>0</v>
      </c>
      <c r="L365" s="281">
        <f t="shared" si="239"/>
        <v>0</v>
      </c>
      <c r="M365" s="281">
        <f t="shared" si="240"/>
        <v>0</v>
      </c>
      <c r="N365" s="281">
        <f t="shared" si="241"/>
        <v>0</v>
      </c>
      <c r="O365" s="282">
        <v>0</v>
      </c>
      <c r="P365" s="282">
        <v>0</v>
      </c>
      <c r="Q365" s="282">
        <v>0</v>
      </c>
      <c r="R365" s="283">
        <f t="shared" si="242"/>
        <v>0</v>
      </c>
      <c r="S365" s="284">
        <f t="shared" si="278"/>
        <v>0</v>
      </c>
      <c r="T365" s="284">
        <f t="shared" si="243"/>
        <v>0</v>
      </c>
      <c r="U365" s="284">
        <f t="shared" si="244"/>
        <v>0</v>
      </c>
      <c r="V365" s="284">
        <f t="shared" si="245"/>
        <v>0</v>
      </c>
      <c r="W365" s="283">
        <f t="shared" si="246"/>
        <v>0</v>
      </c>
      <c r="X365" s="283">
        <f t="shared" si="247"/>
        <v>0</v>
      </c>
      <c r="Y365" s="283">
        <f t="shared" si="248"/>
        <v>0</v>
      </c>
      <c r="Z365" s="285">
        <f t="shared" si="249"/>
        <v>0</v>
      </c>
      <c r="AA365" s="285">
        <f t="shared" si="250"/>
        <v>0</v>
      </c>
      <c r="AB365" s="285">
        <f t="shared" si="267"/>
        <v>0</v>
      </c>
      <c r="AC365" s="285">
        <f t="shared" si="268"/>
        <v>0</v>
      </c>
      <c r="AD365" s="285">
        <f t="shared" si="269"/>
        <v>0</v>
      </c>
      <c r="AE365" s="286">
        <v>0</v>
      </c>
      <c r="AF365" s="287">
        <f t="shared" si="251"/>
        <v>0</v>
      </c>
      <c r="AG365" s="288">
        <f t="shared" si="252"/>
        <v>0</v>
      </c>
      <c r="AH365" s="285">
        <f t="shared" si="270"/>
        <v>0</v>
      </c>
      <c r="AI365" s="286">
        <v>0</v>
      </c>
      <c r="AJ365" s="286">
        <v>0</v>
      </c>
      <c r="AK365" s="286">
        <v>0</v>
      </c>
      <c r="AL365" s="285">
        <f t="shared" si="253"/>
        <v>0</v>
      </c>
      <c r="AM365" s="285">
        <f t="shared" si="254"/>
        <v>0</v>
      </c>
      <c r="AN365" s="289">
        <f t="shared" si="271"/>
        <v>1</v>
      </c>
      <c r="AO365" s="290">
        <f t="shared" si="255"/>
        <v>0</v>
      </c>
      <c r="AP365" s="290">
        <f t="shared" si="256"/>
        <v>0</v>
      </c>
      <c r="AQ365" s="290">
        <f t="shared" si="257"/>
        <v>0</v>
      </c>
      <c r="AR365" s="290">
        <f t="shared" si="258"/>
        <v>0</v>
      </c>
      <c r="AS365" s="290">
        <f t="shared" si="259"/>
        <v>0</v>
      </c>
      <c r="AT365" s="290">
        <f t="shared" si="260"/>
        <v>0</v>
      </c>
      <c r="AU365" s="291">
        <f t="shared" si="261"/>
        <v>0</v>
      </c>
      <c r="AV365" s="291">
        <f t="shared" si="276"/>
        <v>0</v>
      </c>
      <c r="AW365" s="292">
        <f t="shared" si="262"/>
        <v>0</v>
      </c>
      <c r="AX365" s="293">
        <f t="shared" si="263"/>
        <v>0</v>
      </c>
      <c r="BC365" s="276">
        <f>IF(BI365=1,IF(BC364=MiscData!$F$1,EOMONTH(BC364,-11),EOMONTH(BC364,1)),BC364)</f>
        <v>41943</v>
      </c>
      <c r="BD365" s="275" t="str">
        <f t="shared" si="272"/>
        <v>20140101LGCSR780</v>
      </c>
      <c r="BE365" s="294" t="str">
        <f t="shared" si="273"/>
        <v>20140101CSR</v>
      </c>
      <c r="BF365">
        <f>MiscData!$X$5</f>
        <v>20140101</v>
      </c>
      <c r="BI365" s="265">
        <f>IF(BI364+1&gt;MiscData!$Z$42,1,BI364+1)</f>
        <v>20</v>
      </c>
      <c r="BJ365" s="265" t="str">
        <f>VLOOKUP(BI365,MiscData!$Z$5:$AB$46,2,FALSE)</f>
        <v>LGCSR780</v>
      </c>
      <c r="BK365" s="265" t="str">
        <f>VLOOKUP(BI365,MiscData!$Z$5:$AB$46,3,FALSE)</f>
        <v>CSR</v>
      </c>
    </row>
    <row r="366" spans="1:63">
      <c r="A366" s="275">
        <v>347</v>
      </c>
      <c r="B366" s="276" t="str">
        <f t="shared" si="264"/>
        <v>Oct 2014</v>
      </c>
      <c r="C366" s="277" t="str">
        <f t="shared" si="265"/>
        <v>FK</v>
      </c>
      <c r="D366" s="277" t="str">
        <f t="shared" si="266"/>
        <v>LGINE599</v>
      </c>
      <c r="E366" s="278">
        <f t="shared" si="234"/>
        <v>1</v>
      </c>
      <c r="F366" s="279">
        <v>0</v>
      </c>
      <c r="G366" s="278">
        <f t="shared" si="235"/>
        <v>0</v>
      </c>
      <c r="H366" s="278">
        <f t="shared" si="236"/>
        <v>0</v>
      </c>
      <c r="I366" s="278">
        <f t="shared" si="237"/>
        <v>0</v>
      </c>
      <c r="J366" s="278">
        <f t="shared" si="238"/>
        <v>8804400</v>
      </c>
      <c r="K366" s="280">
        <v>0</v>
      </c>
      <c r="L366" s="281">
        <f t="shared" si="239"/>
        <v>0</v>
      </c>
      <c r="M366" s="281">
        <f t="shared" si="240"/>
        <v>13032</v>
      </c>
      <c r="N366" s="281">
        <f t="shared" si="241"/>
        <v>0</v>
      </c>
      <c r="O366" s="282">
        <v>0</v>
      </c>
      <c r="P366" s="282">
        <v>0</v>
      </c>
      <c r="Q366" s="282">
        <v>0</v>
      </c>
      <c r="R366" s="283">
        <f t="shared" si="242"/>
        <v>0</v>
      </c>
      <c r="S366" s="284">
        <f t="shared" si="278"/>
        <v>3.7400000000000003E-2</v>
      </c>
      <c r="T366" s="284">
        <f t="shared" si="243"/>
        <v>0</v>
      </c>
      <c r="U366" s="284">
        <f t="shared" si="244"/>
        <v>0</v>
      </c>
      <c r="V366" s="284">
        <f t="shared" si="245"/>
        <v>2.725E-2</v>
      </c>
      <c r="W366" s="283">
        <f t="shared" si="246"/>
        <v>0</v>
      </c>
      <c r="X366" s="283">
        <f t="shared" si="247"/>
        <v>12.72</v>
      </c>
      <c r="Y366" s="283">
        <f t="shared" si="248"/>
        <v>15.040000000000001</v>
      </c>
      <c r="Z366" s="285">
        <f t="shared" si="249"/>
        <v>0</v>
      </c>
      <c r="AA366" s="285">
        <f t="shared" si="250"/>
        <v>329284.56</v>
      </c>
      <c r="AB366" s="285">
        <f t="shared" si="267"/>
        <v>0</v>
      </c>
      <c r="AC366" s="285">
        <f t="shared" si="268"/>
        <v>165767.04000000001</v>
      </c>
      <c r="AD366" s="285">
        <f t="shared" si="269"/>
        <v>0</v>
      </c>
      <c r="AE366" s="286">
        <v>0</v>
      </c>
      <c r="AF366" s="287">
        <f t="shared" si="251"/>
        <v>0</v>
      </c>
      <c r="AG366" s="288">
        <f t="shared" si="252"/>
        <v>0</v>
      </c>
      <c r="AH366" s="285">
        <f t="shared" si="270"/>
        <v>165767.04000000001</v>
      </c>
      <c r="AI366" s="286">
        <v>0</v>
      </c>
      <c r="AJ366" s="286">
        <v>0</v>
      </c>
      <c r="AK366" s="286">
        <v>0</v>
      </c>
      <c r="AL366" s="285">
        <f t="shared" si="253"/>
        <v>495051.6</v>
      </c>
      <c r="AM366" s="285">
        <f t="shared" si="254"/>
        <v>495051</v>
      </c>
      <c r="AN366" s="289">
        <f t="shared" si="271"/>
        <v>0.99999899999999997</v>
      </c>
      <c r="AO366" s="290">
        <f t="shared" si="255"/>
        <v>-9680</v>
      </c>
      <c r="AP366" s="290">
        <f t="shared" si="256"/>
        <v>0</v>
      </c>
      <c r="AQ366" s="290">
        <f t="shared" si="257"/>
        <v>42745</v>
      </c>
      <c r="AR366" s="290">
        <f t="shared" si="258"/>
        <v>0</v>
      </c>
      <c r="AS366" s="290">
        <f t="shared" si="259"/>
        <v>0</v>
      </c>
      <c r="AT366" s="290">
        <f t="shared" si="260"/>
        <v>528116</v>
      </c>
      <c r="AU366" s="291">
        <f t="shared" si="261"/>
        <v>528116.6</v>
      </c>
      <c r="AV366" s="291">
        <f t="shared" si="276"/>
        <v>-0.59999999997671694</v>
      </c>
      <c r="AW366" s="292">
        <f t="shared" si="262"/>
        <v>239919.9</v>
      </c>
      <c r="AX366" s="293">
        <f t="shared" si="263"/>
        <v>89364.66</v>
      </c>
      <c r="BC366" s="276">
        <f>IF(BI366=1,IF(BC365=MiscData!$F$1,EOMONTH(BC365,-11),EOMONTH(BC365,1)),BC365)</f>
        <v>41943</v>
      </c>
      <c r="BD366" s="275" t="str">
        <f t="shared" si="272"/>
        <v>20140101LGINE599</v>
      </c>
      <c r="BE366" s="294" t="str">
        <f t="shared" si="273"/>
        <v>20140101FK</v>
      </c>
      <c r="BF366">
        <f>MiscData!$X$5</f>
        <v>20140101</v>
      </c>
      <c r="BI366" s="265">
        <f>IF(BI365+1&gt;MiscData!$Z$42,1,BI365+1)</f>
        <v>21</v>
      </c>
      <c r="BJ366" s="265" t="str">
        <f>VLOOKUP(BI366,MiscData!$Z$5:$AB$46,2,FALSE)</f>
        <v>LGINE599</v>
      </c>
      <c r="BK366" s="265" t="str">
        <f>VLOOKUP(BI366,MiscData!$Z$5:$AB$46,3,FALSE)</f>
        <v>FK</v>
      </c>
    </row>
    <row r="367" spans="1:63" hidden="1">
      <c r="A367" s="275">
        <v>348</v>
      </c>
      <c r="B367" s="276" t="str">
        <f t="shared" si="264"/>
        <v>Oct 2014</v>
      </c>
      <c r="C367" s="277" t="str">
        <f t="shared" si="265"/>
        <v>RTS</v>
      </c>
      <c r="D367" s="277" t="str">
        <f t="shared" si="266"/>
        <v>LGINE643</v>
      </c>
      <c r="E367" s="278">
        <f t="shared" si="234"/>
        <v>12</v>
      </c>
      <c r="F367" s="279">
        <v>0</v>
      </c>
      <c r="G367" s="278">
        <f t="shared" si="235"/>
        <v>0</v>
      </c>
      <c r="H367" s="278">
        <f t="shared" si="236"/>
        <v>0</v>
      </c>
      <c r="I367" s="278">
        <f t="shared" si="237"/>
        <v>0</v>
      </c>
      <c r="J367" s="278">
        <f t="shared" si="238"/>
        <v>69246739</v>
      </c>
      <c r="K367" s="280">
        <v>0</v>
      </c>
      <c r="L367" s="281">
        <f t="shared" si="239"/>
        <v>159628.04999999999</v>
      </c>
      <c r="M367" s="281">
        <f t="shared" si="240"/>
        <v>153595.60999999999</v>
      </c>
      <c r="N367" s="281">
        <f t="shared" si="241"/>
        <v>91413.63</v>
      </c>
      <c r="O367" s="282">
        <v>0</v>
      </c>
      <c r="P367" s="282">
        <v>0</v>
      </c>
      <c r="Q367" s="282">
        <v>0</v>
      </c>
      <c r="R367" s="283">
        <f t="shared" si="242"/>
        <v>750</v>
      </c>
      <c r="S367" s="284">
        <f t="shared" si="278"/>
        <v>3.61E-2</v>
      </c>
      <c r="T367" s="284">
        <f t="shared" si="243"/>
        <v>0</v>
      </c>
      <c r="U367" s="284">
        <f t="shared" si="244"/>
        <v>0</v>
      </c>
      <c r="V367" s="284">
        <f t="shared" si="245"/>
        <v>2.725E-2</v>
      </c>
      <c r="W367" s="283">
        <f t="shared" si="246"/>
        <v>2.75</v>
      </c>
      <c r="X367" s="283">
        <f t="shared" si="247"/>
        <v>3</v>
      </c>
      <c r="Y367" s="283">
        <f t="shared" si="248"/>
        <v>4.5500000000000007</v>
      </c>
      <c r="Z367" s="285">
        <f t="shared" si="249"/>
        <v>9000</v>
      </c>
      <c r="AA367" s="285">
        <f t="shared" si="250"/>
        <v>2499807.2799999998</v>
      </c>
      <c r="AB367" s="285">
        <f t="shared" si="267"/>
        <v>438977.14</v>
      </c>
      <c r="AC367" s="285">
        <f t="shared" si="268"/>
        <v>460786.83</v>
      </c>
      <c r="AD367" s="285">
        <f t="shared" si="269"/>
        <v>415932.02</v>
      </c>
      <c r="AE367" s="286">
        <v>0</v>
      </c>
      <c r="AF367" s="287">
        <f t="shared" si="251"/>
        <v>0</v>
      </c>
      <c r="AG367" s="288">
        <f t="shared" si="252"/>
        <v>0</v>
      </c>
      <c r="AH367" s="285">
        <f t="shared" si="270"/>
        <v>1315695.99</v>
      </c>
      <c r="AI367" s="286">
        <v>0</v>
      </c>
      <c r="AJ367" s="286">
        <v>0</v>
      </c>
      <c r="AK367" s="286">
        <v>0</v>
      </c>
      <c r="AL367" s="285">
        <f t="shared" si="253"/>
        <v>3824503.27</v>
      </c>
      <c r="AM367" s="285">
        <f t="shared" si="254"/>
        <v>3824503</v>
      </c>
      <c r="AN367" s="289">
        <f t="shared" si="271"/>
        <v>1</v>
      </c>
      <c r="AO367" s="290">
        <f t="shared" si="255"/>
        <v>-76131</v>
      </c>
      <c r="AP367" s="290">
        <f t="shared" si="256"/>
        <v>0</v>
      </c>
      <c r="AQ367" s="290">
        <f t="shared" si="257"/>
        <v>336186</v>
      </c>
      <c r="AR367" s="290">
        <f t="shared" si="258"/>
        <v>0</v>
      </c>
      <c r="AS367" s="290">
        <f t="shared" si="259"/>
        <v>0</v>
      </c>
      <c r="AT367" s="290">
        <f t="shared" si="260"/>
        <v>4084558</v>
      </c>
      <c r="AU367" s="291">
        <f t="shared" si="261"/>
        <v>4084558.27</v>
      </c>
      <c r="AV367" s="291">
        <f t="shared" si="276"/>
        <v>-0.27000000001862645</v>
      </c>
      <c r="AW367" s="292">
        <f t="shared" si="262"/>
        <v>1886973.64</v>
      </c>
      <c r="AX367" s="293">
        <f t="shared" si="263"/>
        <v>612833.6399999999</v>
      </c>
      <c r="BC367" s="276">
        <f>IF(BI367=1,IF(BC366=MiscData!$F$1,EOMONTH(BC366,-11),EOMONTH(BC366,1)),BC366)</f>
        <v>41943</v>
      </c>
      <c r="BD367" s="275" t="str">
        <f t="shared" si="272"/>
        <v>20140101LGINE643</v>
      </c>
      <c r="BE367" s="294" t="str">
        <f t="shared" si="273"/>
        <v>20140101RTS</v>
      </c>
      <c r="BF367">
        <f>MiscData!$X$5</f>
        <v>20140101</v>
      </c>
      <c r="BI367" s="265">
        <f>IF(BI366+1&gt;MiscData!$Z$42,1,BI366+1)</f>
        <v>22</v>
      </c>
      <c r="BJ367" s="265" t="str">
        <f>VLOOKUP(BI367,MiscData!$Z$5:$AB$46,2,FALSE)</f>
        <v>LGINE643</v>
      </c>
      <c r="BK367" s="265" t="str">
        <f>VLOOKUP(BI367,MiscData!$Z$5:$AB$46,3,FALSE)</f>
        <v>RTS</v>
      </c>
    </row>
    <row r="368" spans="1:63" hidden="1">
      <c r="A368" s="275">
        <v>349</v>
      </c>
      <c r="B368" s="276" t="str">
        <f t="shared" si="264"/>
        <v>Oct 2014</v>
      </c>
      <c r="C368" s="277" t="str">
        <f t="shared" si="265"/>
        <v>PSS</v>
      </c>
      <c r="D368" s="277" t="str">
        <f t="shared" si="266"/>
        <v>LGINE661</v>
      </c>
      <c r="E368" s="278">
        <f t="shared" si="234"/>
        <v>229</v>
      </c>
      <c r="F368" s="279">
        <v>0</v>
      </c>
      <c r="G368" s="278">
        <f t="shared" si="235"/>
        <v>0</v>
      </c>
      <c r="H368" s="278">
        <f t="shared" si="236"/>
        <v>0</v>
      </c>
      <c r="I368" s="278">
        <f t="shared" si="237"/>
        <v>0</v>
      </c>
      <c r="J368" s="278">
        <f t="shared" si="238"/>
        <v>21421688</v>
      </c>
      <c r="K368" s="280">
        <v>0</v>
      </c>
      <c r="L368" s="281">
        <f t="shared" si="239"/>
        <v>0</v>
      </c>
      <c r="M368" s="281">
        <f t="shared" si="240"/>
        <v>67270.850000000006</v>
      </c>
      <c r="N368" s="281">
        <f t="shared" si="241"/>
        <v>0</v>
      </c>
      <c r="O368" s="282">
        <v>0</v>
      </c>
      <c r="P368" s="282">
        <v>0</v>
      </c>
      <c r="Q368" s="282">
        <v>0</v>
      </c>
      <c r="R368" s="283">
        <f t="shared" si="242"/>
        <v>90</v>
      </c>
      <c r="S368" s="284">
        <f t="shared" si="278"/>
        <v>4.0599999999999997E-2</v>
      </c>
      <c r="T368" s="284">
        <f t="shared" si="243"/>
        <v>0</v>
      </c>
      <c r="U368" s="284">
        <f t="shared" si="244"/>
        <v>0</v>
      </c>
      <c r="V368" s="284">
        <f t="shared" si="245"/>
        <v>2.725E-2</v>
      </c>
      <c r="W368" s="283">
        <f t="shared" si="246"/>
        <v>0</v>
      </c>
      <c r="X368" s="283">
        <f t="shared" si="247"/>
        <v>14.010000000000002</v>
      </c>
      <c r="Y368" s="283">
        <f t="shared" si="248"/>
        <v>16.399999999999999</v>
      </c>
      <c r="Z368" s="285">
        <f t="shared" si="249"/>
        <v>20610</v>
      </c>
      <c r="AA368" s="285">
        <f t="shared" si="250"/>
        <v>869720.53</v>
      </c>
      <c r="AB368" s="285">
        <f t="shared" si="267"/>
        <v>0</v>
      </c>
      <c r="AC368" s="285">
        <f t="shared" si="268"/>
        <v>942464.61</v>
      </c>
      <c r="AD368" s="285">
        <f t="shared" si="269"/>
        <v>0</v>
      </c>
      <c r="AE368" s="286">
        <v>0</v>
      </c>
      <c r="AF368" s="287">
        <f t="shared" si="251"/>
        <v>0</v>
      </c>
      <c r="AG368" s="288">
        <f t="shared" si="252"/>
        <v>0</v>
      </c>
      <c r="AH368" s="285">
        <f t="shared" si="270"/>
        <v>942464.61</v>
      </c>
      <c r="AI368" s="286">
        <v>0</v>
      </c>
      <c r="AJ368" s="286">
        <v>0</v>
      </c>
      <c r="AK368" s="286">
        <v>0</v>
      </c>
      <c r="AL368" s="285">
        <f t="shared" si="253"/>
        <v>1832795.1400000001</v>
      </c>
      <c r="AM368" s="285">
        <f t="shared" si="254"/>
        <v>1832795</v>
      </c>
      <c r="AN368" s="289">
        <f t="shared" si="271"/>
        <v>1</v>
      </c>
      <c r="AO368" s="290">
        <f t="shared" si="255"/>
        <v>-23551</v>
      </c>
      <c r="AP368" s="290">
        <f t="shared" si="256"/>
        <v>49796</v>
      </c>
      <c r="AQ368" s="290">
        <f t="shared" si="257"/>
        <v>104000</v>
      </c>
      <c r="AR368" s="290">
        <f t="shared" si="258"/>
        <v>0</v>
      </c>
      <c r="AS368" s="290">
        <f t="shared" si="259"/>
        <v>0</v>
      </c>
      <c r="AT368" s="290">
        <f t="shared" si="260"/>
        <v>1963040</v>
      </c>
      <c r="AU368" s="291">
        <f t="shared" si="261"/>
        <v>1963040.1400000001</v>
      </c>
      <c r="AV368" s="291">
        <f t="shared" si="276"/>
        <v>-0.14000000013038516</v>
      </c>
      <c r="AW368" s="292">
        <f t="shared" si="262"/>
        <v>583741</v>
      </c>
      <c r="AX368" s="293">
        <f t="shared" si="263"/>
        <v>285979.53000000003</v>
      </c>
      <c r="BC368" s="276">
        <f>IF(BI368=1,IF(BC367=MiscData!$F$1,EOMONTH(BC367,-11),EOMONTH(BC367,1)),BC367)</f>
        <v>41943</v>
      </c>
      <c r="BD368" s="275" t="str">
        <f t="shared" si="272"/>
        <v>20140101LGINE661</v>
      </c>
      <c r="BE368" s="294" t="str">
        <f t="shared" si="273"/>
        <v>20140101PSS</v>
      </c>
      <c r="BF368">
        <f>MiscData!$X$5</f>
        <v>20140101</v>
      </c>
      <c r="BI368" s="265">
        <f>IF(BI367+1&gt;MiscData!$Z$42,1,BI367+1)</f>
        <v>23</v>
      </c>
      <c r="BJ368" s="265" t="str">
        <f>VLOOKUP(BI368,MiscData!$Z$5:$AB$46,2,FALSE)</f>
        <v>LGINE661</v>
      </c>
      <c r="BK368" s="265" t="str">
        <f>VLOOKUP(BI368,MiscData!$Z$5:$AB$46,3,FALSE)</f>
        <v>PSS</v>
      </c>
    </row>
    <row r="369" spans="1:63" hidden="1">
      <c r="A369" s="275">
        <v>350</v>
      </c>
      <c r="B369" s="276" t="str">
        <f t="shared" si="264"/>
        <v>Oct 2014</v>
      </c>
      <c r="C369" s="277" t="str">
        <f t="shared" si="265"/>
        <v>PSP</v>
      </c>
      <c r="D369" s="277" t="str">
        <f t="shared" si="266"/>
        <v>LGINE663</v>
      </c>
      <c r="E369" s="278">
        <f t="shared" si="234"/>
        <v>21</v>
      </c>
      <c r="F369" s="279">
        <v>0</v>
      </c>
      <c r="G369" s="278">
        <f t="shared" si="235"/>
        <v>0</v>
      </c>
      <c r="H369" s="278">
        <f t="shared" si="236"/>
        <v>0</v>
      </c>
      <c r="I369" s="278">
        <f t="shared" si="237"/>
        <v>0</v>
      </c>
      <c r="J369" s="278">
        <f t="shared" si="238"/>
        <v>1036606</v>
      </c>
      <c r="K369" s="280">
        <v>0</v>
      </c>
      <c r="L369" s="281">
        <f t="shared" si="239"/>
        <v>0</v>
      </c>
      <c r="M369" s="281">
        <f t="shared" si="240"/>
        <v>3759.02</v>
      </c>
      <c r="N369" s="281">
        <f t="shared" si="241"/>
        <v>0</v>
      </c>
      <c r="O369" s="282">
        <v>0</v>
      </c>
      <c r="P369" s="282">
        <v>0</v>
      </c>
      <c r="Q369" s="282">
        <v>0</v>
      </c>
      <c r="R369" s="283">
        <f t="shared" si="242"/>
        <v>170</v>
      </c>
      <c r="S369" s="284">
        <f t="shared" si="278"/>
        <v>3.9260000000000003E-2</v>
      </c>
      <c r="T369" s="284">
        <f t="shared" si="243"/>
        <v>0</v>
      </c>
      <c r="U369" s="284">
        <f t="shared" si="244"/>
        <v>0</v>
      </c>
      <c r="V369" s="284">
        <f t="shared" si="245"/>
        <v>2.725E-2</v>
      </c>
      <c r="W369" s="283">
        <f t="shared" si="246"/>
        <v>0</v>
      </c>
      <c r="X369" s="283">
        <f t="shared" si="247"/>
        <v>11.660000000000002</v>
      </c>
      <c r="Y369" s="283">
        <f t="shared" si="248"/>
        <v>13.950000000000001</v>
      </c>
      <c r="Z369" s="285">
        <f t="shared" si="249"/>
        <v>3570</v>
      </c>
      <c r="AA369" s="285">
        <f t="shared" si="250"/>
        <v>40697.15</v>
      </c>
      <c r="AB369" s="285">
        <f t="shared" si="267"/>
        <v>0</v>
      </c>
      <c r="AC369" s="285">
        <f t="shared" si="268"/>
        <v>43830.17</v>
      </c>
      <c r="AD369" s="285">
        <f t="shared" si="269"/>
        <v>0</v>
      </c>
      <c r="AE369" s="286">
        <v>0</v>
      </c>
      <c r="AF369" s="287">
        <f t="shared" si="251"/>
        <v>0</v>
      </c>
      <c r="AG369" s="288">
        <f t="shared" si="252"/>
        <v>0</v>
      </c>
      <c r="AH369" s="285">
        <f t="shared" si="270"/>
        <v>43830.17</v>
      </c>
      <c r="AI369" s="286">
        <v>0</v>
      </c>
      <c r="AJ369" s="286">
        <v>0</v>
      </c>
      <c r="AK369" s="286">
        <v>0</v>
      </c>
      <c r="AL369" s="285">
        <f t="shared" si="253"/>
        <v>88097.32</v>
      </c>
      <c r="AM369" s="285">
        <f t="shared" si="254"/>
        <v>88097</v>
      </c>
      <c r="AN369" s="289">
        <f t="shared" si="271"/>
        <v>0.999996</v>
      </c>
      <c r="AO369" s="290">
        <f t="shared" si="255"/>
        <v>-1140</v>
      </c>
      <c r="AP369" s="290">
        <f t="shared" si="256"/>
        <v>2410</v>
      </c>
      <c r="AQ369" s="290">
        <f t="shared" si="257"/>
        <v>5033</v>
      </c>
      <c r="AR369" s="290">
        <f t="shared" si="258"/>
        <v>0</v>
      </c>
      <c r="AS369" s="290">
        <f t="shared" si="259"/>
        <v>0</v>
      </c>
      <c r="AT369" s="290">
        <f t="shared" si="260"/>
        <v>94400</v>
      </c>
      <c r="AU369" s="291">
        <f t="shared" si="261"/>
        <v>94400.320000000007</v>
      </c>
      <c r="AV369" s="291">
        <f t="shared" si="276"/>
        <v>-0.32000000000698492</v>
      </c>
      <c r="AW369" s="292">
        <f t="shared" si="262"/>
        <v>28247.51</v>
      </c>
      <c r="AX369" s="293">
        <f t="shared" si="263"/>
        <v>12449.640000000003</v>
      </c>
      <c r="BC369" s="276">
        <f>IF(BI369=1,IF(BC368=MiscData!$F$1,EOMONTH(BC368,-11),EOMONTH(BC368,1)),BC368)</f>
        <v>41943</v>
      </c>
      <c r="BD369" s="275" t="str">
        <f t="shared" si="272"/>
        <v>20140101LGINE663</v>
      </c>
      <c r="BE369" s="294" t="str">
        <f t="shared" si="273"/>
        <v>20140101PSP</v>
      </c>
      <c r="BF369">
        <f>MiscData!$X$5</f>
        <v>20140101</v>
      </c>
      <c r="BI369" s="265">
        <f>IF(BI368+1&gt;MiscData!$Z$42,1,BI368+1)</f>
        <v>24</v>
      </c>
      <c r="BJ369" s="265" t="str">
        <f>VLOOKUP(BI369,MiscData!$Z$5:$AB$46,2,FALSE)</f>
        <v>LGINE663</v>
      </c>
      <c r="BK369" s="265" t="str">
        <f>VLOOKUP(BI369,MiscData!$Z$5:$AB$46,3,FALSE)</f>
        <v>PSP</v>
      </c>
    </row>
    <row r="370" spans="1:63" hidden="1">
      <c r="A370" s="275">
        <v>351</v>
      </c>
      <c r="B370" s="276" t="str">
        <f t="shared" si="264"/>
        <v>Oct 2014</v>
      </c>
      <c r="C370" s="277" t="str">
        <f t="shared" si="265"/>
        <v>TODS</v>
      </c>
      <c r="D370" s="277" t="str">
        <f t="shared" si="266"/>
        <v>LGINE691</v>
      </c>
      <c r="E370" s="278">
        <f t="shared" si="234"/>
        <v>84</v>
      </c>
      <c r="F370" s="279">
        <v>0</v>
      </c>
      <c r="G370" s="278">
        <f t="shared" si="235"/>
        <v>0</v>
      </c>
      <c r="H370" s="278">
        <f t="shared" si="236"/>
        <v>0</v>
      </c>
      <c r="I370" s="278">
        <f t="shared" si="237"/>
        <v>0</v>
      </c>
      <c r="J370" s="278">
        <f t="shared" si="238"/>
        <v>19113805</v>
      </c>
      <c r="K370" s="280">
        <v>0</v>
      </c>
      <c r="L370" s="281">
        <f t="shared" si="239"/>
        <v>47639.19</v>
      </c>
      <c r="M370" s="281">
        <f t="shared" si="240"/>
        <v>43831.32</v>
      </c>
      <c r="N370" s="281">
        <f t="shared" si="241"/>
        <v>42883.64</v>
      </c>
      <c r="O370" s="282">
        <v>0</v>
      </c>
      <c r="P370" s="282">
        <v>0</v>
      </c>
      <c r="Q370" s="282">
        <v>0</v>
      </c>
      <c r="R370" s="283">
        <f t="shared" si="242"/>
        <v>200</v>
      </c>
      <c r="S370" s="284">
        <f t="shared" si="278"/>
        <v>3.9899999999999998E-2</v>
      </c>
      <c r="T370" s="284">
        <f t="shared" si="243"/>
        <v>0</v>
      </c>
      <c r="U370" s="284">
        <f t="shared" si="244"/>
        <v>0</v>
      </c>
      <c r="V370" s="284">
        <f t="shared" si="245"/>
        <v>2.725E-2</v>
      </c>
      <c r="W370" s="283">
        <f t="shared" si="246"/>
        <v>4</v>
      </c>
      <c r="X370" s="283">
        <f t="shared" si="247"/>
        <v>4.5100000000000007</v>
      </c>
      <c r="Y370" s="283">
        <f t="shared" si="248"/>
        <v>6.11</v>
      </c>
      <c r="Z370" s="285">
        <f t="shared" si="249"/>
        <v>16800</v>
      </c>
      <c r="AA370" s="285">
        <f t="shared" si="250"/>
        <v>762640.82</v>
      </c>
      <c r="AB370" s="285">
        <f t="shared" si="267"/>
        <v>190556.76</v>
      </c>
      <c r="AC370" s="285">
        <f t="shared" si="268"/>
        <v>197679.25</v>
      </c>
      <c r="AD370" s="285">
        <f t="shared" si="269"/>
        <v>262019.04</v>
      </c>
      <c r="AE370" s="286">
        <v>0</v>
      </c>
      <c r="AF370" s="287">
        <f t="shared" si="251"/>
        <v>0</v>
      </c>
      <c r="AG370" s="288">
        <f t="shared" si="252"/>
        <v>0</v>
      </c>
      <c r="AH370" s="285">
        <f t="shared" si="270"/>
        <v>650255.05000000005</v>
      </c>
      <c r="AI370" s="286">
        <v>0</v>
      </c>
      <c r="AJ370" s="286">
        <v>0</v>
      </c>
      <c r="AK370" s="286">
        <v>0</v>
      </c>
      <c r="AL370" s="285">
        <f t="shared" si="253"/>
        <v>1429695.87</v>
      </c>
      <c r="AM370" s="285">
        <f t="shared" si="254"/>
        <v>1429695</v>
      </c>
      <c r="AN370" s="289">
        <f t="shared" si="271"/>
        <v>0.99999899999999997</v>
      </c>
      <c r="AO370" s="290">
        <f t="shared" si="255"/>
        <v>-21014</v>
      </c>
      <c r="AP370" s="290">
        <f t="shared" si="256"/>
        <v>44431</v>
      </c>
      <c r="AQ370" s="290">
        <f t="shared" si="257"/>
        <v>92796</v>
      </c>
      <c r="AR370" s="290">
        <f t="shared" si="258"/>
        <v>0</v>
      </c>
      <c r="AS370" s="290">
        <f t="shared" si="259"/>
        <v>0</v>
      </c>
      <c r="AT370" s="290">
        <f t="shared" si="260"/>
        <v>1545908</v>
      </c>
      <c r="AU370" s="291">
        <f t="shared" si="261"/>
        <v>1545908.87</v>
      </c>
      <c r="AV370" s="291">
        <f t="shared" si="276"/>
        <v>-0.87000000011175871</v>
      </c>
      <c r="AW370" s="292">
        <f t="shared" si="262"/>
        <v>520851.19</v>
      </c>
      <c r="AX370" s="293">
        <f t="shared" si="263"/>
        <v>241789.62999999995</v>
      </c>
      <c r="BC370" s="276">
        <f>IF(BI370=1,IF(BC369=MiscData!$F$1,EOMONTH(BC369,-11),EOMONTH(BC369,1)),BC369)</f>
        <v>41943</v>
      </c>
      <c r="BD370" s="275" t="str">
        <f t="shared" si="272"/>
        <v>20140101LGINE691</v>
      </c>
      <c r="BE370" s="294" t="str">
        <f t="shared" si="273"/>
        <v>20140101TODS</v>
      </c>
      <c r="BF370">
        <f>MiscData!$X$5</f>
        <v>20140101</v>
      </c>
      <c r="BI370" s="265">
        <f>IF(BI369+1&gt;MiscData!$Z$42,1,BI369+1)</f>
        <v>25</v>
      </c>
      <c r="BJ370" s="265" t="str">
        <f>VLOOKUP(BI370,MiscData!$Z$5:$AB$46,2,FALSE)</f>
        <v>LGINE691</v>
      </c>
      <c r="BK370" s="265" t="str">
        <f>VLOOKUP(BI370,MiscData!$Z$5:$AB$46,3,FALSE)</f>
        <v>TODS</v>
      </c>
    </row>
    <row r="371" spans="1:63" hidden="1">
      <c r="A371" s="275">
        <v>352</v>
      </c>
      <c r="B371" s="276" t="str">
        <f t="shared" si="264"/>
        <v>Oct 2014</v>
      </c>
      <c r="C371" s="277" t="str">
        <f t="shared" si="265"/>
        <v>ITODP</v>
      </c>
      <c r="D371" s="277" t="str">
        <f t="shared" si="266"/>
        <v>LGINE693</v>
      </c>
      <c r="E371" s="278">
        <f t="shared" si="234"/>
        <v>65</v>
      </c>
      <c r="F371" s="279">
        <v>0</v>
      </c>
      <c r="G371" s="278">
        <f t="shared" si="235"/>
        <v>0</v>
      </c>
      <c r="H371" s="278">
        <f t="shared" si="236"/>
        <v>0</v>
      </c>
      <c r="I371" s="278">
        <f t="shared" si="237"/>
        <v>0</v>
      </c>
      <c r="J371" s="278">
        <f t="shared" si="238"/>
        <v>130715093</v>
      </c>
      <c r="K371" s="280">
        <v>0</v>
      </c>
      <c r="L371" s="281">
        <f t="shared" si="239"/>
        <v>321016.78000000003</v>
      </c>
      <c r="M371" s="281">
        <f t="shared" si="240"/>
        <v>291438.84999999998</v>
      </c>
      <c r="N371" s="281">
        <f t="shared" si="241"/>
        <v>287567.43</v>
      </c>
      <c r="O371" s="282">
        <v>0</v>
      </c>
      <c r="P371" s="282">
        <v>0</v>
      </c>
      <c r="Q371" s="282">
        <v>0</v>
      </c>
      <c r="R371" s="283">
        <f t="shared" si="242"/>
        <v>300</v>
      </c>
      <c r="S371" s="284">
        <f t="shared" si="278"/>
        <v>3.5380000000000002E-2</v>
      </c>
      <c r="T371" s="284">
        <f t="shared" si="243"/>
        <v>0</v>
      </c>
      <c r="U371" s="284">
        <f t="shared" si="244"/>
        <v>0</v>
      </c>
      <c r="V371" s="284">
        <f t="shared" si="245"/>
        <v>2.725E-2</v>
      </c>
      <c r="W371" s="283">
        <f t="shared" si="246"/>
        <v>3.6300000000000003</v>
      </c>
      <c r="X371" s="283">
        <f t="shared" si="247"/>
        <v>3.7900000000000005</v>
      </c>
      <c r="Y371" s="283">
        <f t="shared" si="248"/>
        <v>4.63</v>
      </c>
      <c r="Z371" s="285">
        <f t="shared" si="249"/>
        <v>19500</v>
      </c>
      <c r="AA371" s="285">
        <f t="shared" si="250"/>
        <v>4624699.99</v>
      </c>
      <c r="AB371" s="285">
        <f t="shared" si="267"/>
        <v>1165290.9099999999</v>
      </c>
      <c r="AC371" s="285">
        <f t="shared" si="268"/>
        <v>1104553.24</v>
      </c>
      <c r="AD371" s="285">
        <f t="shared" si="269"/>
        <v>1331437.2</v>
      </c>
      <c r="AE371" s="286">
        <v>0</v>
      </c>
      <c r="AF371" s="287">
        <f t="shared" si="251"/>
        <v>0</v>
      </c>
      <c r="AG371" s="288">
        <f t="shared" si="252"/>
        <v>0</v>
      </c>
      <c r="AH371" s="285">
        <f t="shared" si="270"/>
        <v>3601281.3499999996</v>
      </c>
      <c r="AI371" s="286">
        <v>0</v>
      </c>
      <c r="AJ371" s="286">
        <v>0</v>
      </c>
      <c r="AK371" s="286">
        <v>0</v>
      </c>
      <c r="AL371" s="285">
        <f t="shared" si="253"/>
        <v>8245481.3400000008</v>
      </c>
      <c r="AM371" s="285">
        <f t="shared" si="254"/>
        <v>8245482</v>
      </c>
      <c r="AN371" s="289">
        <f t="shared" si="271"/>
        <v>1</v>
      </c>
      <c r="AO371" s="290">
        <f t="shared" si="255"/>
        <v>-143711</v>
      </c>
      <c r="AP371" s="290">
        <f t="shared" si="256"/>
        <v>303852</v>
      </c>
      <c r="AQ371" s="290">
        <f t="shared" si="257"/>
        <v>634609</v>
      </c>
      <c r="AR371" s="290">
        <f t="shared" si="258"/>
        <v>0</v>
      </c>
      <c r="AS371" s="290">
        <f t="shared" si="259"/>
        <v>0</v>
      </c>
      <c r="AT371" s="290">
        <f t="shared" si="260"/>
        <v>9040232</v>
      </c>
      <c r="AU371" s="291">
        <f t="shared" si="261"/>
        <v>9040231.3399999999</v>
      </c>
      <c r="AV371" s="291">
        <f t="shared" si="276"/>
        <v>0.66000000014901161</v>
      </c>
      <c r="AW371" s="292">
        <f t="shared" si="262"/>
        <v>3561986.28</v>
      </c>
      <c r="AX371" s="293">
        <f t="shared" si="263"/>
        <v>1062713.7100000004</v>
      </c>
      <c r="BC371" s="276">
        <f>IF(BI371=1,IF(BC370=MiscData!$F$1,EOMONTH(BC370,-11),EOMONTH(BC370,1)),BC370)</f>
        <v>41943</v>
      </c>
      <c r="BD371" s="275" t="str">
        <f t="shared" si="272"/>
        <v>20140101LGINE693</v>
      </c>
      <c r="BE371" s="294" t="str">
        <f t="shared" si="273"/>
        <v>20140101ITODP</v>
      </c>
      <c r="BF371">
        <f>MiscData!$X$5</f>
        <v>20140101</v>
      </c>
      <c r="BI371" s="265">
        <f>IF(BI370+1&gt;MiscData!$Z$42,1,BI370+1)</f>
        <v>26</v>
      </c>
      <c r="BJ371" s="265" t="str">
        <f>VLOOKUP(BI371,MiscData!$Z$5:$AB$46,2,FALSE)</f>
        <v>LGINE693</v>
      </c>
      <c r="BK371" s="265" t="str">
        <f>VLOOKUP(BI371,MiscData!$Z$5:$AB$46,3,FALSE)</f>
        <v>ITODP</v>
      </c>
    </row>
    <row r="372" spans="1:63" hidden="1">
      <c r="A372" s="275">
        <v>353</v>
      </c>
      <c r="B372" s="276" t="str">
        <f t="shared" si="264"/>
        <v>Oct 2014</v>
      </c>
      <c r="C372" s="277" t="str">
        <f t="shared" si="265"/>
        <v>ITODP</v>
      </c>
      <c r="D372" s="277" t="str">
        <f t="shared" si="266"/>
        <v>LGINE694</v>
      </c>
      <c r="E372" s="278">
        <f t="shared" si="234"/>
        <v>0</v>
      </c>
      <c r="F372" s="279">
        <v>0</v>
      </c>
      <c r="G372" s="278">
        <f t="shared" si="235"/>
        <v>0</v>
      </c>
      <c r="H372" s="278">
        <f t="shared" si="236"/>
        <v>0</v>
      </c>
      <c r="I372" s="278">
        <f t="shared" si="237"/>
        <v>0</v>
      </c>
      <c r="J372" s="278">
        <f t="shared" si="238"/>
        <v>0</v>
      </c>
      <c r="K372" s="280">
        <v>0</v>
      </c>
      <c r="L372" s="281">
        <f t="shared" si="239"/>
        <v>0</v>
      </c>
      <c r="M372" s="281">
        <f t="shared" si="240"/>
        <v>0</v>
      </c>
      <c r="N372" s="281">
        <f t="shared" si="241"/>
        <v>0</v>
      </c>
      <c r="O372" s="282">
        <v>0</v>
      </c>
      <c r="P372" s="282">
        <v>0</v>
      </c>
      <c r="Q372" s="282">
        <v>0</v>
      </c>
      <c r="R372" s="283">
        <f t="shared" si="242"/>
        <v>300</v>
      </c>
      <c r="S372" s="284">
        <f t="shared" si="278"/>
        <v>3.5380000000000002E-2</v>
      </c>
      <c r="T372" s="284">
        <f t="shared" si="243"/>
        <v>0</v>
      </c>
      <c r="U372" s="284">
        <f t="shared" si="244"/>
        <v>0</v>
      </c>
      <c r="V372" s="284">
        <f t="shared" si="245"/>
        <v>2.725E-2</v>
      </c>
      <c r="W372" s="283">
        <f t="shared" si="246"/>
        <v>3.6300000000000003</v>
      </c>
      <c r="X372" s="283">
        <f t="shared" si="247"/>
        <v>3.7900000000000005</v>
      </c>
      <c r="Y372" s="283">
        <f t="shared" si="248"/>
        <v>4.63</v>
      </c>
      <c r="Z372" s="285">
        <f t="shared" si="249"/>
        <v>0</v>
      </c>
      <c r="AA372" s="285">
        <f t="shared" si="250"/>
        <v>0</v>
      </c>
      <c r="AB372" s="285">
        <f t="shared" si="267"/>
        <v>0</v>
      </c>
      <c r="AC372" s="285">
        <f t="shared" si="268"/>
        <v>0</v>
      </c>
      <c r="AD372" s="285">
        <f t="shared" si="269"/>
        <v>0</v>
      </c>
      <c r="AE372" s="286">
        <v>0</v>
      </c>
      <c r="AF372" s="287">
        <f t="shared" si="251"/>
        <v>0</v>
      </c>
      <c r="AG372" s="288">
        <f t="shared" si="252"/>
        <v>0</v>
      </c>
      <c r="AH372" s="285">
        <f t="shared" si="270"/>
        <v>0</v>
      </c>
      <c r="AI372" s="286">
        <v>0</v>
      </c>
      <c r="AJ372" s="286">
        <v>0</v>
      </c>
      <c r="AK372" s="286">
        <v>0</v>
      </c>
      <c r="AL372" s="285">
        <f t="shared" si="253"/>
        <v>0</v>
      </c>
      <c r="AM372" s="285">
        <f t="shared" si="254"/>
        <v>0</v>
      </c>
      <c r="AN372" s="289">
        <f t="shared" si="271"/>
        <v>1</v>
      </c>
      <c r="AO372" s="290">
        <f t="shared" si="255"/>
        <v>0</v>
      </c>
      <c r="AP372" s="290">
        <f t="shared" si="256"/>
        <v>0</v>
      </c>
      <c r="AQ372" s="290">
        <f t="shared" si="257"/>
        <v>0</v>
      </c>
      <c r="AR372" s="290">
        <f t="shared" si="258"/>
        <v>0</v>
      </c>
      <c r="AS372" s="290">
        <f t="shared" si="259"/>
        <v>0</v>
      </c>
      <c r="AT372" s="290">
        <f t="shared" si="260"/>
        <v>0</v>
      </c>
      <c r="AU372" s="291">
        <f t="shared" si="261"/>
        <v>0</v>
      </c>
      <c r="AV372" s="291">
        <f t="shared" si="276"/>
        <v>0</v>
      </c>
      <c r="AW372" s="292">
        <f t="shared" si="262"/>
        <v>0</v>
      </c>
      <c r="AX372" s="293">
        <f t="shared" si="263"/>
        <v>0</v>
      </c>
      <c r="BC372" s="276">
        <f>IF(BI372=1,IF(BC371=MiscData!$F$1,EOMONTH(BC371,-11),EOMONTH(BC371,1)),BC371)</f>
        <v>41943</v>
      </c>
      <c r="BD372" s="275" t="str">
        <f t="shared" si="272"/>
        <v>20140101LGINE694</v>
      </c>
      <c r="BE372" s="294" t="str">
        <f t="shared" si="273"/>
        <v>20140101ITODP</v>
      </c>
      <c r="BF372">
        <f>MiscData!$X$5</f>
        <v>20140101</v>
      </c>
      <c r="BI372" s="265">
        <f>IF(BI371+1&gt;MiscData!$Z$42,1,BI371+1)</f>
        <v>27</v>
      </c>
      <c r="BJ372" s="265" t="str">
        <f>VLOOKUP(BI372,MiscData!$Z$5:$AB$46,2,FALSE)</f>
        <v>LGINE694</v>
      </c>
      <c r="BK372" s="265" t="str">
        <f>VLOOKUP(BI372,MiscData!$Z$5:$AB$46,3,FALSE)</f>
        <v>ITODP</v>
      </c>
    </row>
    <row r="373" spans="1:63" hidden="1">
      <c r="A373" s="275">
        <v>352</v>
      </c>
      <c r="B373" s="276" t="str">
        <f t="shared" si="264"/>
        <v>Oct 2014</v>
      </c>
      <c r="C373" s="277" t="str">
        <f t="shared" si="265"/>
        <v>LE</v>
      </c>
      <c r="D373" s="277" t="str">
        <f t="shared" si="266"/>
        <v>LGMLE570</v>
      </c>
      <c r="E373" s="278">
        <f t="shared" si="234"/>
        <v>0</v>
      </c>
      <c r="F373" s="279">
        <v>0</v>
      </c>
      <c r="G373" s="278">
        <f t="shared" si="235"/>
        <v>0</v>
      </c>
      <c r="H373" s="278">
        <f t="shared" si="236"/>
        <v>0</v>
      </c>
      <c r="I373" s="278">
        <f t="shared" si="237"/>
        <v>0</v>
      </c>
      <c r="J373" s="278">
        <f t="shared" si="238"/>
        <v>0</v>
      </c>
      <c r="K373" s="280">
        <v>0</v>
      </c>
      <c r="L373" s="281">
        <f t="shared" si="239"/>
        <v>0</v>
      </c>
      <c r="M373" s="281">
        <f t="shared" si="240"/>
        <v>0</v>
      </c>
      <c r="N373" s="281">
        <f t="shared" si="241"/>
        <v>0</v>
      </c>
      <c r="O373" s="282">
        <v>0</v>
      </c>
      <c r="P373" s="282">
        <v>0</v>
      </c>
      <c r="Q373" s="282">
        <v>0</v>
      </c>
      <c r="R373" s="283">
        <f t="shared" si="242"/>
        <v>0</v>
      </c>
      <c r="S373" s="284">
        <f t="shared" si="278"/>
        <v>6.4610000000000001E-2</v>
      </c>
      <c r="T373" s="284">
        <f t="shared" si="243"/>
        <v>0</v>
      </c>
      <c r="U373" s="284">
        <f t="shared" si="244"/>
        <v>0</v>
      </c>
      <c r="V373" s="284">
        <f t="shared" si="245"/>
        <v>2.725E-2</v>
      </c>
      <c r="W373" s="283">
        <f t="shared" si="246"/>
        <v>0</v>
      </c>
      <c r="X373" s="283">
        <f t="shared" si="247"/>
        <v>0</v>
      </c>
      <c r="Y373" s="283">
        <f t="shared" si="248"/>
        <v>0</v>
      </c>
      <c r="Z373" s="285">
        <f t="shared" si="249"/>
        <v>0</v>
      </c>
      <c r="AA373" s="285">
        <f t="shared" si="250"/>
        <v>0</v>
      </c>
      <c r="AB373" s="285">
        <f t="shared" si="267"/>
        <v>0</v>
      </c>
      <c r="AC373" s="285">
        <f t="shared" si="268"/>
        <v>0</v>
      </c>
      <c r="AD373" s="285">
        <f t="shared" si="269"/>
        <v>0</v>
      </c>
      <c r="AE373" s="286">
        <v>0</v>
      </c>
      <c r="AF373" s="287">
        <f t="shared" si="251"/>
        <v>0</v>
      </c>
      <c r="AG373" s="288">
        <f t="shared" si="252"/>
        <v>0</v>
      </c>
      <c r="AH373" s="285">
        <f t="shared" si="270"/>
        <v>0</v>
      </c>
      <c r="AI373" s="286">
        <v>0</v>
      </c>
      <c r="AJ373" s="286">
        <v>0</v>
      </c>
      <c r="AK373" s="286">
        <v>0</v>
      </c>
      <c r="AL373" s="285">
        <f t="shared" si="253"/>
        <v>0</v>
      </c>
      <c r="AM373" s="285">
        <f t="shared" si="254"/>
        <v>0</v>
      </c>
      <c r="AN373" s="289">
        <f t="shared" si="271"/>
        <v>1</v>
      </c>
      <c r="AO373" s="290">
        <f t="shared" si="255"/>
        <v>0</v>
      </c>
      <c r="AP373" s="290">
        <f t="shared" si="256"/>
        <v>0</v>
      </c>
      <c r="AQ373" s="290">
        <f t="shared" si="257"/>
        <v>0</v>
      </c>
      <c r="AR373" s="290">
        <f t="shared" si="258"/>
        <v>0</v>
      </c>
      <c r="AS373" s="290">
        <f t="shared" si="259"/>
        <v>0</v>
      </c>
      <c r="AT373" s="290">
        <f t="shared" si="260"/>
        <v>0</v>
      </c>
      <c r="AU373" s="291">
        <f t="shared" si="261"/>
        <v>0</v>
      </c>
      <c r="AV373" s="291">
        <f t="shared" si="276"/>
        <v>0</v>
      </c>
      <c r="AW373" s="292">
        <f t="shared" si="262"/>
        <v>0</v>
      </c>
      <c r="AX373" s="293">
        <f t="shared" si="263"/>
        <v>0</v>
      </c>
      <c r="BC373" s="276">
        <f>IF(BI373=1,IF(BC372=MiscData!$F$1,EOMONTH(BC372,-11),EOMONTH(BC372,1)),BC372)</f>
        <v>41943</v>
      </c>
      <c r="BD373" s="275" t="str">
        <f t="shared" si="272"/>
        <v>20140101LGMLE570</v>
      </c>
      <c r="BE373" s="294" t="str">
        <f t="shared" si="273"/>
        <v>20140101LE</v>
      </c>
      <c r="BF373">
        <f>MiscData!$X$5</f>
        <v>20140101</v>
      </c>
      <c r="BI373" s="265">
        <f>IF(BI372+1&gt;MiscData!$Z$42,1,BI372+1)</f>
        <v>28</v>
      </c>
      <c r="BJ373" s="265" t="str">
        <f>VLOOKUP(BI373,MiscData!$Z$5:$AB$46,2,FALSE)</f>
        <v>LGMLE570</v>
      </c>
      <c r="BK373" s="265" t="str">
        <f>VLOOKUP(BI373,MiscData!$Z$5:$AB$46,3,FALSE)</f>
        <v>LE</v>
      </c>
    </row>
    <row r="374" spans="1:63" hidden="1">
      <c r="A374" s="275">
        <v>353</v>
      </c>
      <c r="B374" s="276" t="str">
        <f t="shared" si="264"/>
        <v>Oct 2014</v>
      </c>
      <c r="C374" s="277" t="str">
        <f t="shared" si="265"/>
        <v>LE</v>
      </c>
      <c r="D374" s="277" t="str">
        <f t="shared" si="266"/>
        <v>LGMLE571</v>
      </c>
      <c r="E374" s="278">
        <f t="shared" si="234"/>
        <v>156</v>
      </c>
      <c r="F374" s="279">
        <v>0</v>
      </c>
      <c r="G374" s="278">
        <f t="shared" si="235"/>
        <v>0</v>
      </c>
      <c r="H374" s="278">
        <f t="shared" si="236"/>
        <v>0</v>
      </c>
      <c r="I374" s="278">
        <f t="shared" si="237"/>
        <v>0</v>
      </c>
      <c r="J374" s="278">
        <f t="shared" si="238"/>
        <v>280619</v>
      </c>
      <c r="K374" s="280">
        <v>0</v>
      </c>
      <c r="L374" s="281">
        <f t="shared" si="239"/>
        <v>0</v>
      </c>
      <c r="M374" s="281">
        <f t="shared" si="240"/>
        <v>0</v>
      </c>
      <c r="N374" s="281">
        <f t="shared" si="241"/>
        <v>0</v>
      </c>
      <c r="O374" s="282">
        <v>0</v>
      </c>
      <c r="P374" s="282">
        <v>0</v>
      </c>
      <c r="Q374" s="282">
        <v>0</v>
      </c>
      <c r="R374" s="283">
        <f t="shared" si="242"/>
        <v>0</v>
      </c>
      <c r="S374" s="284">
        <f t="shared" si="278"/>
        <v>6.4610000000000001E-2</v>
      </c>
      <c r="T374" s="284">
        <f t="shared" si="243"/>
        <v>0</v>
      </c>
      <c r="U374" s="284">
        <f t="shared" si="244"/>
        <v>0</v>
      </c>
      <c r="V374" s="284">
        <f t="shared" si="245"/>
        <v>2.725E-2</v>
      </c>
      <c r="W374" s="283">
        <f t="shared" si="246"/>
        <v>0</v>
      </c>
      <c r="X374" s="283">
        <f t="shared" si="247"/>
        <v>0</v>
      </c>
      <c r="Y374" s="283">
        <f t="shared" si="248"/>
        <v>0</v>
      </c>
      <c r="Z374" s="285">
        <f t="shared" si="249"/>
        <v>0</v>
      </c>
      <c r="AA374" s="285">
        <f t="shared" si="250"/>
        <v>18130.79</v>
      </c>
      <c r="AB374" s="285">
        <f t="shared" si="267"/>
        <v>0</v>
      </c>
      <c r="AC374" s="285">
        <f t="shared" si="268"/>
        <v>0</v>
      </c>
      <c r="AD374" s="285">
        <f t="shared" si="269"/>
        <v>0</v>
      </c>
      <c r="AE374" s="286">
        <v>0</v>
      </c>
      <c r="AF374" s="287">
        <f t="shared" si="251"/>
        <v>0</v>
      </c>
      <c r="AG374" s="288">
        <f t="shared" si="252"/>
        <v>0</v>
      </c>
      <c r="AH374" s="285">
        <f t="shared" si="270"/>
        <v>0</v>
      </c>
      <c r="AI374" s="286">
        <v>0</v>
      </c>
      <c r="AJ374" s="286">
        <v>0</v>
      </c>
      <c r="AK374" s="286">
        <v>0</v>
      </c>
      <c r="AL374" s="285">
        <f t="shared" si="253"/>
        <v>18130.79</v>
      </c>
      <c r="AM374" s="285">
        <f t="shared" si="254"/>
        <v>18131</v>
      </c>
      <c r="AN374" s="289">
        <f t="shared" si="271"/>
        <v>1.0000119999999999</v>
      </c>
      <c r="AO374" s="290">
        <f t="shared" si="255"/>
        <v>-309</v>
      </c>
      <c r="AP374" s="290">
        <f t="shared" si="256"/>
        <v>0</v>
      </c>
      <c r="AQ374" s="290">
        <f t="shared" si="257"/>
        <v>1361</v>
      </c>
      <c r="AR374" s="290">
        <f t="shared" si="258"/>
        <v>0</v>
      </c>
      <c r="AS374" s="290">
        <f t="shared" si="259"/>
        <v>0</v>
      </c>
      <c r="AT374" s="290">
        <f t="shared" si="260"/>
        <v>19183</v>
      </c>
      <c r="AU374" s="291">
        <f t="shared" si="261"/>
        <v>19182.79</v>
      </c>
      <c r="AV374" s="291">
        <f t="shared" si="276"/>
        <v>0.20999999999912689</v>
      </c>
      <c r="AW374" s="292">
        <f t="shared" si="262"/>
        <v>7646.87</v>
      </c>
      <c r="AX374" s="293">
        <f t="shared" si="263"/>
        <v>10483.920000000002</v>
      </c>
      <c r="BC374" s="276">
        <f>IF(BI374=1,IF(BC373=MiscData!$F$1,EOMONTH(BC373,-11),EOMONTH(BC373,1)),BC373)</f>
        <v>41943</v>
      </c>
      <c r="BD374" s="275" t="str">
        <f t="shared" si="272"/>
        <v>20140101LGMLE571</v>
      </c>
      <c r="BE374" s="294" t="str">
        <f t="shared" si="273"/>
        <v>20140101LE</v>
      </c>
      <c r="BF374">
        <f>MiscData!$X$5</f>
        <v>20140101</v>
      </c>
      <c r="BI374" s="265">
        <f>IF(BI373+1&gt;MiscData!$Z$42,1,BI373+1)</f>
        <v>29</v>
      </c>
      <c r="BJ374" s="265" t="str">
        <f>VLOOKUP(BI374,MiscData!$Z$5:$AB$46,2,FALSE)</f>
        <v>LGMLE571</v>
      </c>
      <c r="BK374" s="265" t="str">
        <f>VLOOKUP(BI374,MiscData!$Z$5:$AB$46,3,FALSE)</f>
        <v>LE</v>
      </c>
    </row>
    <row r="375" spans="1:63" hidden="1">
      <c r="A375" s="275">
        <v>354</v>
      </c>
      <c r="B375" s="276" t="str">
        <f t="shared" si="264"/>
        <v>Oct 2014</v>
      </c>
      <c r="C375" s="277" t="str">
        <f t="shared" si="265"/>
        <v>LE</v>
      </c>
      <c r="D375" s="277" t="str">
        <f t="shared" si="266"/>
        <v>LGMLE572</v>
      </c>
      <c r="E375" s="278">
        <f t="shared" si="234"/>
        <v>0</v>
      </c>
      <c r="F375" s="279">
        <v>0</v>
      </c>
      <c r="G375" s="278">
        <f t="shared" si="235"/>
        <v>0</v>
      </c>
      <c r="H375" s="278">
        <f t="shared" si="236"/>
        <v>0</v>
      </c>
      <c r="I375" s="278">
        <f t="shared" si="237"/>
        <v>0</v>
      </c>
      <c r="J375" s="278">
        <f t="shared" si="238"/>
        <v>0</v>
      </c>
      <c r="K375" s="280">
        <v>0</v>
      </c>
      <c r="L375" s="281">
        <f t="shared" si="239"/>
        <v>0</v>
      </c>
      <c r="M375" s="281">
        <f t="shared" si="240"/>
        <v>0</v>
      </c>
      <c r="N375" s="281">
        <f t="shared" si="241"/>
        <v>0</v>
      </c>
      <c r="O375" s="282">
        <v>0</v>
      </c>
      <c r="P375" s="282">
        <v>0</v>
      </c>
      <c r="Q375" s="282">
        <v>0</v>
      </c>
      <c r="R375" s="283">
        <f t="shared" si="242"/>
        <v>0</v>
      </c>
      <c r="S375" s="284">
        <f t="shared" si="278"/>
        <v>6.4610000000000001E-2</v>
      </c>
      <c r="T375" s="284">
        <f t="shared" si="243"/>
        <v>0</v>
      </c>
      <c r="U375" s="284">
        <f t="shared" si="244"/>
        <v>0</v>
      </c>
      <c r="V375" s="284">
        <f t="shared" si="245"/>
        <v>2.725E-2</v>
      </c>
      <c r="W375" s="283">
        <f t="shared" si="246"/>
        <v>0</v>
      </c>
      <c r="X375" s="283">
        <f t="shared" si="247"/>
        <v>0</v>
      </c>
      <c r="Y375" s="283">
        <f t="shared" si="248"/>
        <v>0</v>
      </c>
      <c r="Z375" s="285">
        <f t="shared" si="249"/>
        <v>0</v>
      </c>
      <c r="AA375" s="285">
        <f t="shared" si="250"/>
        <v>0</v>
      </c>
      <c r="AB375" s="285">
        <f t="shared" si="267"/>
        <v>0</v>
      </c>
      <c r="AC375" s="285">
        <f t="shared" si="268"/>
        <v>0</v>
      </c>
      <c r="AD375" s="285">
        <f t="shared" si="269"/>
        <v>0</v>
      </c>
      <c r="AE375" s="286">
        <v>0</v>
      </c>
      <c r="AF375" s="287">
        <f t="shared" si="251"/>
        <v>0</v>
      </c>
      <c r="AG375" s="288">
        <f t="shared" si="252"/>
        <v>0</v>
      </c>
      <c r="AH375" s="285">
        <f t="shared" si="270"/>
        <v>0</v>
      </c>
      <c r="AI375" s="286">
        <v>0</v>
      </c>
      <c r="AJ375" s="286">
        <v>0</v>
      </c>
      <c r="AK375" s="286">
        <v>0</v>
      </c>
      <c r="AL375" s="285">
        <f t="shared" si="253"/>
        <v>0</v>
      </c>
      <c r="AM375" s="285">
        <f t="shared" si="254"/>
        <v>0</v>
      </c>
      <c r="AN375" s="289">
        <f t="shared" si="271"/>
        <v>1</v>
      </c>
      <c r="AO375" s="290">
        <f t="shared" si="255"/>
        <v>0</v>
      </c>
      <c r="AP375" s="290">
        <f t="shared" si="256"/>
        <v>0</v>
      </c>
      <c r="AQ375" s="290">
        <f t="shared" si="257"/>
        <v>0</v>
      </c>
      <c r="AR375" s="290">
        <f t="shared" si="258"/>
        <v>0</v>
      </c>
      <c r="AS375" s="290">
        <f t="shared" si="259"/>
        <v>0</v>
      </c>
      <c r="AT375" s="290">
        <f t="shared" si="260"/>
        <v>0</v>
      </c>
      <c r="AU375" s="291">
        <f t="shared" si="261"/>
        <v>0</v>
      </c>
      <c r="AV375" s="291">
        <f t="shared" ref="AV375:AV388" si="279">AT375-AU375</f>
        <v>0</v>
      </c>
      <c r="AW375" s="292">
        <f t="shared" si="262"/>
        <v>0</v>
      </c>
      <c r="AX375" s="293">
        <f t="shared" si="263"/>
        <v>0</v>
      </c>
      <c r="BC375" s="276">
        <f>IF(BI375=1,IF(BC374=MiscData!$F$1,EOMONTH(BC374,-11),EOMONTH(BC374,1)),BC374)</f>
        <v>41943</v>
      </c>
      <c r="BD375" s="275" t="str">
        <f t="shared" si="272"/>
        <v>20140101LGMLE572</v>
      </c>
      <c r="BE375" s="294" t="str">
        <f t="shared" si="273"/>
        <v>20140101LE</v>
      </c>
      <c r="BF375">
        <f>MiscData!$X$5</f>
        <v>20140101</v>
      </c>
      <c r="BI375" s="265">
        <f>IF(BI374+1&gt;MiscData!$Z$42,1,BI374+1)</f>
        <v>30</v>
      </c>
      <c r="BJ375" s="265" t="str">
        <f>VLOOKUP(BI375,MiscData!$Z$5:$AB$46,2,FALSE)</f>
        <v>LGMLE572</v>
      </c>
      <c r="BK375" s="265" t="str">
        <f>VLOOKUP(BI375,MiscData!$Z$5:$AB$46,3,FALSE)</f>
        <v>LE</v>
      </c>
    </row>
    <row r="376" spans="1:63" hidden="1">
      <c r="A376" s="275">
        <v>355</v>
      </c>
      <c r="B376" s="276" t="str">
        <f t="shared" si="264"/>
        <v>Oct 2014</v>
      </c>
      <c r="C376" s="277" t="str">
        <f t="shared" si="265"/>
        <v>TE</v>
      </c>
      <c r="D376" s="277" t="str">
        <f t="shared" si="266"/>
        <v>LGMLE573</v>
      </c>
      <c r="E376" s="278">
        <f t="shared" si="234"/>
        <v>905</v>
      </c>
      <c r="F376" s="279">
        <v>0</v>
      </c>
      <c r="G376" s="278">
        <f t="shared" si="235"/>
        <v>0</v>
      </c>
      <c r="H376" s="278">
        <f t="shared" si="236"/>
        <v>0</v>
      </c>
      <c r="I376" s="278">
        <f t="shared" si="237"/>
        <v>0</v>
      </c>
      <c r="J376" s="278">
        <f t="shared" si="238"/>
        <v>257054</v>
      </c>
      <c r="K376" s="280">
        <v>0</v>
      </c>
      <c r="L376" s="281">
        <f t="shared" si="239"/>
        <v>0</v>
      </c>
      <c r="M376" s="281">
        <f t="shared" si="240"/>
        <v>0</v>
      </c>
      <c r="N376" s="281">
        <f t="shared" si="241"/>
        <v>0</v>
      </c>
      <c r="O376" s="282">
        <v>0</v>
      </c>
      <c r="P376" s="282">
        <v>0</v>
      </c>
      <c r="Q376" s="282">
        <v>0</v>
      </c>
      <c r="R376" s="283">
        <f t="shared" si="242"/>
        <v>3.25</v>
      </c>
      <c r="S376" s="284">
        <f t="shared" si="278"/>
        <v>7.6579999999999995E-2</v>
      </c>
      <c r="T376" s="284">
        <f t="shared" si="243"/>
        <v>0</v>
      </c>
      <c r="U376" s="284">
        <f t="shared" si="244"/>
        <v>0</v>
      </c>
      <c r="V376" s="284">
        <f t="shared" si="245"/>
        <v>2.725E-2</v>
      </c>
      <c r="W376" s="283">
        <f t="shared" si="246"/>
        <v>0</v>
      </c>
      <c r="X376" s="283">
        <f t="shared" si="247"/>
        <v>0</v>
      </c>
      <c r="Y376" s="283">
        <f t="shared" si="248"/>
        <v>0</v>
      </c>
      <c r="Z376" s="285">
        <f t="shared" si="249"/>
        <v>2941.25</v>
      </c>
      <c r="AA376" s="285">
        <f t="shared" si="250"/>
        <v>19685.2</v>
      </c>
      <c r="AB376" s="285">
        <f t="shared" si="267"/>
        <v>0</v>
      </c>
      <c r="AC376" s="285">
        <f t="shared" si="268"/>
        <v>0</v>
      </c>
      <c r="AD376" s="285">
        <f t="shared" si="269"/>
        <v>0</v>
      </c>
      <c r="AE376" s="286">
        <v>0</v>
      </c>
      <c r="AF376" s="287">
        <f t="shared" si="251"/>
        <v>0</v>
      </c>
      <c r="AG376" s="288">
        <f t="shared" si="252"/>
        <v>0</v>
      </c>
      <c r="AH376" s="285">
        <f t="shared" si="270"/>
        <v>0</v>
      </c>
      <c r="AI376" s="286">
        <v>0</v>
      </c>
      <c r="AJ376" s="286">
        <v>0</v>
      </c>
      <c r="AK376" s="286">
        <v>0</v>
      </c>
      <c r="AL376" s="285">
        <f t="shared" si="253"/>
        <v>22626.45</v>
      </c>
      <c r="AM376" s="285">
        <f t="shared" si="254"/>
        <v>22626</v>
      </c>
      <c r="AN376" s="289">
        <f t="shared" si="271"/>
        <v>0.99997999999999998</v>
      </c>
      <c r="AO376" s="290">
        <f t="shared" si="255"/>
        <v>-283</v>
      </c>
      <c r="AP376" s="290">
        <f t="shared" si="256"/>
        <v>0</v>
      </c>
      <c r="AQ376" s="290">
        <f t="shared" si="257"/>
        <v>1247</v>
      </c>
      <c r="AR376" s="290">
        <f t="shared" si="258"/>
        <v>0</v>
      </c>
      <c r="AS376" s="290">
        <f t="shared" si="259"/>
        <v>0</v>
      </c>
      <c r="AT376" s="290">
        <f t="shared" si="260"/>
        <v>23590</v>
      </c>
      <c r="AU376" s="291">
        <f t="shared" si="261"/>
        <v>23590.45</v>
      </c>
      <c r="AV376" s="291">
        <f t="shared" si="279"/>
        <v>-0.4500000000007276</v>
      </c>
      <c r="AW376" s="292">
        <f t="shared" si="262"/>
        <v>7004.72</v>
      </c>
      <c r="AX376" s="293">
        <f t="shared" si="263"/>
        <v>12680.48</v>
      </c>
      <c r="BC376" s="276">
        <f>IF(BI376=1,IF(BC375=MiscData!$F$1,EOMONTH(BC375,-11),EOMONTH(BC375,1)),BC375)</f>
        <v>41943</v>
      </c>
      <c r="BD376" s="275" t="str">
        <f t="shared" si="272"/>
        <v>20140101LGMLE573</v>
      </c>
      <c r="BE376" s="294" t="str">
        <f t="shared" si="273"/>
        <v>20140101TE</v>
      </c>
      <c r="BF376">
        <f>MiscData!$X$5</f>
        <v>20140101</v>
      </c>
      <c r="BI376" s="265">
        <f>IF(BI375+1&gt;MiscData!$Z$42,1,BI375+1)</f>
        <v>31</v>
      </c>
      <c r="BJ376" s="265" t="str">
        <f>VLOOKUP(BI376,MiscData!$Z$5:$AB$46,2,FALSE)</f>
        <v>LGMLE573</v>
      </c>
      <c r="BK376" s="265" t="str">
        <f>VLOOKUP(BI376,MiscData!$Z$5:$AB$46,3,FALSE)</f>
        <v>TE</v>
      </c>
    </row>
    <row r="377" spans="1:63" hidden="1">
      <c r="A377" s="275">
        <v>356</v>
      </c>
      <c r="B377" s="276" t="str">
        <f t="shared" si="264"/>
        <v>Oct 2014</v>
      </c>
      <c r="C377" s="277" t="str">
        <f t="shared" si="265"/>
        <v>TE</v>
      </c>
      <c r="D377" s="277" t="str">
        <f t="shared" si="266"/>
        <v>LGMLE574</v>
      </c>
      <c r="E377" s="278">
        <f t="shared" si="234"/>
        <v>0</v>
      </c>
      <c r="F377" s="279">
        <v>0</v>
      </c>
      <c r="G377" s="278">
        <f t="shared" si="235"/>
        <v>0</v>
      </c>
      <c r="H377" s="278">
        <f t="shared" si="236"/>
        <v>0</v>
      </c>
      <c r="I377" s="278">
        <f t="shared" si="237"/>
        <v>0</v>
      </c>
      <c r="J377" s="278">
        <f t="shared" si="238"/>
        <v>0</v>
      </c>
      <c r="K377" s="280">
        <v>0</v>
      </c>
      <c r="L377" s="281">
        <f t="shared" si="239"/>
        <v>0</v>
      </c>
      <c r="M377" s="281">
        <f t="shared" si="240"/>
        <v>0</v>
      </c>
      <c r="N377" s="281">
        <f t="shared" si="241"/>
        <v>0</v>
      </c>
      <c r="O377" s="282">
        <v>0</v>
      </c>
      <c r="P377" s="282">
        <v>0</v>
      </c>
      <c r="Q377" s="282">
        <v>0</v>
      </c>
      <c r="R377" s="283">
        <f t="shared" si="242"/>
        <v>3.25</v>
      </c>
      <c r="S377" s="284">
        <f t="shared" si="278"/>
        <v>7.6579999999999995E-2</v>
      </c>
      <c r="T377" s="284">
        <f t="shared" si="243"/>
        <v>0</v>
      </c>
      <c r="U377" s="284">
        <f t="shared" si="244"/>
        <v>0</v>
      </c>
      <c r="V377" s="284">
        <f t="shared" si="245"/>
        <v>2.725E-2</v>
      </c>
      <c r="W377" s="283">
        <f t="shared" si="246"/>
        <v>0</v>
      </c>
      <c r="X377" s="283">
        <f t="shared" si="247"/>
        <v>0</v>
      </c>
      <c r="Y377" s="283">
        <f t="shared" si="248"/>
        <v>0</v>
      </c>
      <c r="Z377" s="285">
        <f t="shared" si="249"/>
        <v>0</v>
      </c>
      <c r="AA377" s="285">
        <f t="shared" si="250"/>
        <v>0</v>
      </c>
      <c r="AB377" s="285">
        <f t="shared" si="267"/>
        <v>0</v>
      </c>
      <c r="AC377" s="285">
        <f t="shared" si="268"/>
        <v>0</v>
      </c>
      <c r="AD377" s="285">
        <f t="shared" si="269"/>
        <v>0</v>
      </c>
      <c r="AE377" s="286">
        <v>0</v>
      </c>
      <c r="AF377" s="287">
        <f t="shared" si="251"/>
        <v>0</v>
      </c>
      <c r="AG377" s="288">
        <f t="shared" si="252"/>
        <v>0</v>
      </c>
      <c r="AH377" s="285">
        <f t="shared" si="270"/>
        <v>0</v>
      </c>
      <c r="AI377" s="286">
        <v>0</v>
      </c>
      <c r="AJ377" s="286">
        <v>0</v>
      </c>
      <c r="AK377" s="286">
        <v>0</v>
      </c>
      <c r="AL377" s="285">
        <f t="shared" si="253"/>
        <v>0</v>
      </c>
      <c r="AM377" s="285">
        <f t="shared" si="254"/>
        <v>0</v>
      </c>
      <c r="AN377" s="289">
        <f t="shared" si="271"/>
        <v>1</v>
      </c>
      <c r="AO377" s="290">
        <f t="shared" si="255"/>
        <v>0</v>
      </c>
      <c r="AP377" s="290">
        <f t="shared" si="256"/>
        <v>0</v>
      </c>
      <c r="AQ377" s="290">
        <f t="shared" si="257"/>
        <v>0</v>
      </c>
      <c r="AR377" s="290">
        <f t="shared" si="258"/>
        <v>0</v>
      </c>
      <c r="AS377" s="290">
        <f t="shared" si="259"/>
        <v>0</v>
      </c>
      <c r="AT377" s="290">
        <f t="shared" si="260"/>
        <v>0</v>
      </c>
      <c r="AU377" s="291">
        <f t="shared" si="261"/>
        <v>0</v>
      </c>
      <c r="AV377" s="291">
        <f t="shared" si="279"/>
        <v>0</v>
      </c>
      <c r="AW377" s="292">
        <f t="shared" si="262"/>
        <v>0</v>
      </c>
      <c r="AX377" s="293">
        <f t="shared" si="263"/>
        <v>0</v>
      </c>
      <c r="BC377" s="276">
        <f>IF(BI377=1,IF(BC376=MiscData!$F$1,EOMONTH(BC376,-11),EOMONTH(BC376,1)),BC376)</f>
        <v>41943</v>
      </c>
      <c r="BD377" s="275" t="str">
        <f t="shared" si="272"/>
        <v>20140101LGMLE574</v>
      </c>
      <c r="BE377" s="294" t="str">
        <f t="shared" si="273"/>
        <v>20140101TE</v>
      </c>
      <c r="BF377">
        <f>MiscData!$X$5</f>
        <v>20140101</v>
      </c>
      <c r="BI377" s="265">
        <f>IF(BI376+1&gt;MiscData!$Z$42,1,BI376+1)</f>
        <v>32</v>
      </c>
      <c r="BJ377" s="265" t="str">
        <f>VLOOKUP(BI377,MiscData!$Z$5:$AB$46,2,FALSE)</f>
        <v>LGMLE574</v>
      </c>
      <c r="BK377" s="265" t="str">
        <f>VLOOKUP(BI377,MiscData!$Z$5:$AB$46,3,FALSE)</f>
        <v>TE</v>
      </c>
    </row>
    <row r="378" spans="1:63" hidden="1">
      <c r="A378" s="275">
        <v>357</v>
      </c>
      <c r="B378" s="276" t="str">
        <f t="shared" si="264"/>
        <v>Oct 2014</v>
      </c>
      <c r="C378" s="277" t="str">
        <f t="shared" si="265"/>
        <v>RS</v>
      </c>
      <c r="D378" s="277" t="str">
        <f t="shared" si="266"/>
        <v>LGRSE411</v>
      </c>
      <c r="E378" s="278">
        <f t="shared" si="234"/>
        <v>0</v>
      </c>
      <c r="F378" s="279">
        <v>0</v>
      </c>
      <c r="G378" s="278">
        <f t="shared" si="235"/>
        <v>0</v>
      </c>
      <c r="H378" s="278">
        <f t="shared" si="236"/>
        <v>0</v>
      </c>
      <c r="I378" s="278">
        <f t="shared" si="237"/>
        <v>0</v>
      </c>
      <c r="J378" s="278">
        <f t="shared" si="238"/>
        <v>0</v>
      </c>
      <c r="K378" s="280">
        <v>0</v>
      </c>
      <c r="L378" s="281">
        <f t="shared" si="239"/>
        <v>0</v>
      </c>
      <c r="M378" s="281">
        <f t="shared" si="240"/>
        <v>0</v>
      </c>
      <c r="N378" s="281">
        <f t="shared" si="241"/>
        <v>0</v>
      </c>
      <c r="O378" s="282">
        <v>0</v>
      </c>
      <c r="P378" s="282">
        <v>0</v>
      </c>
      <c r="Q378" s="282">
        <v>0</v>
      </c>
      <c r="R378" s="283">
        <f t="shared" si="242"/>
        <v>0</v>
      </c>
      <c r="S378" s="284">
        <f t="shared" si="278"/>
        <v>8.0760000000000012E-2</v>
      </c>
      <c r="T378" s="284">
        <f t="shared" si="243"/>
        <v>0</v>
      </c>
      <c r="U378" s="284">
        <f t="shared" si="244"/>
        <v>0</v>
      </c>
      <c r="V378" s="284">
        <f t="shared" si="245"/>
        <v>2.725E-2</v>
      </c>
      <c r="W378" s="283">
        <f t="shared" si="246"/>
        <v>0</v>
      </c>
      <c r="X378" s="283">
        <f t="shared" si="247"/>
        <v>0</v>
      </c>
      <c r="Y378" s="283">
        <f t="shared" si="248"/>
        <v>0</v>
      </c>
      <c r="Z378" s="285">
        <f t="shared" si="249"/>
        <v>0</v>
      </c>
      <c r="AA378" s="285">
        <f t="shared" si="250"/>
        <v>0</v>
      </c>
      <c r="AB378" s="285">
        <f t="shared" si="267"/>
        <v>0</v>
      </c>
      <c r="AC378" s="285">
        <f t="shared" si="268"/>
        <v>0</v>
      </c>
      <c r="AD378" s="285">
        <f t="shared" si="269"/>
        <v>0</v>
      </c>
      <c r="AE378" s="286">
        <v>0</v>
      </c>
      <c r="AF378" s="287">
        <f t="shared" si="251"/>
        <v>0</v>
      </c>
      <c r="AG378" s="288">
        <f t="shared" si="252"/>
        <v>0</v>
      </c>
      <c r="AH378" s="285">
        <f t="shared" si="270"/>
        <v>0</v>
      </c>
      <c r="AI378" s="286">
        <v>0</v>
      </c>
      <c r="AJ378" s="286">
        <v>0</v>
      </c>
      <c r="AK378" s="286">
        <v>0</v>
      </c>
      <c r="AL378" s="285">
        <f t="shared" si="253"/>
        <v>0</v>
      </c>
      <c r="AM378" s="285">
        <f t="shared" si="254"/>
        <v>0</v>
      </c>
      <c r="AN378" s="289">
        <f t="shared" si="271"/>
        <v>1</v>
      </c>
      <c r="AO378" s="290">
        <f t="shared" si="255"/>
        <v>0</v>
      </c>
      <c r="AP378" s="290">
        <f t="shared" si="256"/>
        <v>0</v>
      </c>
      <c r="AQ378" s="290">
        <f t="shared" si="257"/>
        <v>0</v>
      </c>
      <c r="AR378" s="290">
        <f t="shared" si="258"/>
        <v>0</v>
      </c>
      <c r="AS378" s="290">
        <f t="shared" si="259"/>
        <v>0</v>
      </c>
      <c r="AT378" s="290">
        <f t="shared" si="260"/>
        <v>0</v>
      </c>
      <c r="AU378" s="291">
        <f t="shared" si="261"/>
        <v>0</v>
      </c>
      <c r="AV378" s="291">
        <f t="shared" si="279"/>
        <v>0</v>
      </c>
      <c r="AW378" s="292">
        <f t="shared" si="262"/>
        <v>0</v>
      </c>
      <c r="AX378" s="293">
        <f t="shared" si="263"/>
        <v>0</v>
      </c>
      <c r="BC378" s="276">
        <f>IF(BI378=1,IF(BC377=MiscData!$F$1,EOMONTH(BC377,-11),EOMONTH(BC377,1)),BC377)</f>
        <v>41943</v>
      </c>
      <c r="BD378" s="275" t="str">
        <f t="shared" si="272"/>
        <v>20140101LGRSE411</v>
      </c>
      <c r="BE378" s="294" t="str">
        <f t="shared" si="273"/>
        <v>20140101RS</v>
      </c>
      <c r="BF378">
        <f>MiscData!$X$5</f>
        <v>20140101</v>
      </c>
      <c r="BI378" s="265">
        <f>IF(BI377+1&gt;MiscData!$Z$42,1,BI377+1)</f>
        <v>33</v>
      </c>
      <c r="BJ378" s="265" t="str">
        <f>VLOOKUP(BI378,MiscData!$Z$5:$AB$46,2,FALSE)</f>
        <v>LGRSE411</v>
      </c>
      <c r="BK378" s="265" t="str">
        <f>VLOOKUP(BI378,MiscData!$Z$5:$AB$46,3,FALSE)</f>
        <v>RS</v>
      </c>
    </row>
    <row r="379" spans="1:63" hidden="1">
      <c r="A379" s="275">
        <v>358</v>
      </c>
      <c r="B379" s="276" t="str">
        <f t="shared" si="264"/>
        <v>Oct 2014</v>
      </c>
      <c r="C379" s="277" t="str">
        <f t="shared" si="265"/>
        <v>RS</v>
      </c>
      <c r="D379" s="277" t="str">
        <f t="shared" si="266"/>
        <v>LGRSE511</v>
      </c>
      <c r="E379" s="278">
        <f t="shared" si="234"/>
        <v>358537</v>
      </c>
      <c r="F379" s="279">
        <v>0</v>
      </c>
      <c r="G379" s="278">
        <f t="shared" si="235"/>
        <v>0</v>
      </c>
      <c r="H379" s="278">
        <f t="shared" si="236"/>
        <v>0</v>
      </c>
      <c r="I379" s="278">
        <f t="shared" si="237"/>
        <v>0</v>
      </c>
      <c r="J379" s="278">
        <f t="shared" si="238"/>
        <v>278535029</v>
      </c>
      <c r="K379" s="280">
        <v>0</v>
      </c>
      <c r="L379" s="281">
        <f t="shared" si="239"/>
        <v>0</v>
      </c>
      <c r="M379" s="281">
        <f t="shared" si="240"/>
        <v>0</v>
      </c>
      <c r="N379" s="281">
        <f t="shared" si="241"/>
        <v>0</v>
      </c>
      <c r="O379" s="282">
        <v>0</v>
      </c>
      <c r="P379" s="282">
        <v>0</v>
      </c>
      <c r="Q379" s="282">
        <v>0</v>
      </c>
      <c r="R379" s="283">
        <f t="shared" si="242"/>
        <v>10.75</v>
      </c>
      <c r="S379" s="284">
        <f t="shared" si="278"/>
        <v>8.0760000000000012E-2</v>
      </c>
      <c r="T379" s="284">
        <f t="shared" si="243"/>
        <v>0</v>
      </c>
      <c r="U379" s="284">
        <f t="shared" si="244"/>
        <v>0</v>
      </c>
      <c r="V379" s="284">
        <f t="shared" si="245"/>
        <v>2.725E-2</v>
      </c>
      <c r="W379" s="283">
        <f t="shared" si="246"/>
        <v>0</v>
      </c>
      <c r="X379" s="283">
        <f t="shared" si="247"/>
        <v>0</v>
      </c>
      <c r="Y379" s="283">
        <f t="shared" si="248"/>
        <v>0</v>
      </c>
      <c r="Z379" s="285">
        <f t="shared" si="249"/>
        <v>3854272.75</v>
      </c>
      <c r="AA379" s="285">
        <f t="shared" si="250"/>
        <v>22494488.940000001</v>
      </c>
      <c r="AB379" s="285">
        <f t="shared" si="267"/>
        <v>0</v>
      </c>
      <c r="AC379" s="285">
        <f t="shared" si="268"/>
        <v>0</v>
      </c>
      <c r="AD379" s="285">
        <f t="shared" si="269"/>
        <v>0</v>
      </c>
      <c r="AE379" s="286">
        <v>0</v>
      </c>
      <c r="AF379" s="287">
        <f t="shared" si="251"/>
        <v>0</v>
      </c>
      <c r="AG379" s="288">
        <f t="shared" si="252"/>
        <v>0</v>
      </c>
      <c r="AH379" s="285">
        <f t="shared" si="270"/>
        <v>0</v>
      </c>
      <c r="AI379" s="286">
        <v>0</v>
      </c>
      <c r="AJ379" s="286">
        <v>0</v>
      </c>
      <c r="AK379" s="286">
        <v>0</v>
      </c>
      <c r="AL379" s="285">
        <f t="shared" si="253"/>
        <v>26348761.690000001</v>
      </c>
      <c r="AM379" s="285">
        <f t="shared" si="254"/>
        <v>26348762</v>
      </c>
      <c r="AN379" s="289">
        <f t="shared" si="271"/>
        <v>1</v>
      </c>
      <c r="AO379" s="290">
        <f t="shared" si="255"/>
        <v>-306227</v>
      </c>
      <c r="AP379" s="290">
        <f t="shared" si="256"/>
        <v>647465</v>
      </c>
      <c r="AQ379" s="290">
        <f t="shared" si="257"/>
        <v>1352261</v>
      </c>
      <c r="AR379" s="290">
        <f t="shared" si="258"/>
        <v>0</v>
      </c>
      <c r="AS379" s="290">
        <f t="shared" si="259"/>
        <v>0</v>
      </c>
      <c r="AT379" s="290">
        <f t="shared" si="260"/>
        <v>28042261</v>
      </c>
      <c r="AU379" s="291">
        <f t="shared" si="261"/>
        <v>28042260.690000001</v>
      </c>
      <c r="AV379" s="291">
        <f t="shared" si="279"/>
        <v>0.30999999865889549</v>
      </c>
      <c r="AW379" s="292">
        <f t="shared" si="262"/>
        <v>7590079.54</v>
      </c>
      <c r="AX379" s="293">
        <f t="shared" si="263"/>
        <v>14904409.400000002</v>
      </c>
      <c r="BC379" s="276">
        <f>IF(BI379=1,IF(BC378=MiscData!$F$1,EOMONTH(BC378,-11),EOMONTH(BC378,1)),BC378)</f>
        <v>41943</v>
      </c>
      <c r="BD379" s="275" t="str">
        <f t="shared" si="272"/>
        <v>20140101LGRSE511</v>
      </c>
      <c r="BE379" s="294" t="str">
        <f t="shared" si="273"/>
        <v>20140101RS</v>
      </c>
      <c r="BF379">
        <f>MiscData!$X$5</f>
        <v>20140101</v>
      </c>
      <c r="BI379" s="265">
        <f>IF(BI378+1&gt;MiscData!$Z$42,1,BI378+1)</f>
        <v>34</v>
      </c>
      <c r="BJ379" s="265" t="str">
        <f>VLOOKUP(BI379,MiscData!$Z$5:$AB$46,2,FALSE)</f>
        <v>LGRSE511</v>
      </c>
      <c r="BK379" s="265" t="str">
        <f>VLOOKUP(BI379,MiscData!$Z$5:$AB$46,3,FALSE)</f>
        <v>RS</v>
      </c>
    </row>
    <row r="380" spans="1:63" hidden="1">
      <c r="A380" s="275">
        <v>359</v>
      </c>
      <c r="B380" s="276" t="str">
        <f t="shared" si="264"/>
        <v>Oct 2014</v>
      </c>
      <c r="C380" s="277" t="str">
        <f t="shared" si="265"/>
        <v>RS</v>
      </c>
      <c r="D380" s="277" t="str">
        <f t="shared" si="266"/>
        <v>LGRSE519</v>
      </c>
      <c r="E380" s="278">
        <f t="shared" si="234"/>
        <v>0</v>
      </c>
      <c r="F380" s="279">
        <v>0</v>
      </c>
      <c r="G380" s="278">
        <f t="shared" si="235"/>
        <v>0</v>
      </c>
      <c r="H380" s="278">
        <f t="shared" si="236"/>
        <v>0</v>
      </c>
      <c r="I380" s="278">
        <f t="shared" si="237"/>
        <v>0</v>
      </c>
      <c r="J380" s="278">
        <f t="shared" si="238"/>
        <v>0</v>
      </c>
      <c r="K380" s="280">
        <v>0</v>
      </c>
      <c r="L380" s="281">
        <f t="shared" si="239"/>
        <v>0</v>
      </c>
      <c r="M380" s="281">
        <f t="shared" si="240"/>
        <v>0</v>
      </c>
      <c r="N380" s="281">
        <f t="shared" si="241"/>
        <v>0</v>
      </c>
      <c r="O380" s="282">
        <v>0</v>
      </c>
      <c r="P380" s="282">
        <v>0</v>
      </c>
      <c r="Q380" s="282">
        <v>0</v>
      </c>
      <c r="R380" s="283">
        <f t="shared" si="242"/>
        <v>10.75</v>
      </c>
      <c r="S380" s="284">
        <f t="shared" si="278"/>
        <v>8.0760000000000012E-2</v>
      </c>
      <c r="T380" s="284">
        <f t="shared" si="243"/>
        <v>0</v>
      </c>
      <c r="U380" s="284">
        <f t="shared" si="244"/>
        <v>0</v>
      </c>
      <c r="V380" s="284">
        <f t="shared" si="245"/>
        <v>2.725E-2</v>
      </c>
      <c r="W380" s="283">
        <f t="shared" si="246"/>
        <v>0</v>
      </c>
      <c r="X380" s="283">
        <f t="shared" si="247"/>
        <v>0</v>
      </c>
      <c r="Y380" s="283">
        <f t="shared" si="248"/>
        <v>0</v>
      </c>
      <c r="Z380" s="285">
        <f t="shared" si="249"/>
        <v>0</v>
      </c>
      <c r="AA380" s="285">
        <f t="shared" si="250"/>
        <v>0</v>
      </c>
      <c r="AB380" s="285">
        <f t="shared" si="267"/>
        <v>0</v>
      </c>
      <c r="AC380" s="285">
        <f t="shared" si="268"/>
        <v>0</v>
      </c>
      <c r="AD380" s="285">
        <f t="shared" si="269"/>
        <v>0</v>
      </c>
      <c r="AE380" s="286">
        <v>0</v>
      </c>
      <c r="AF380" s="287">
        <f t="shared" si="251"/>
        <v>0</v>
      </c>
      <c r="AG380" s="288">
        <f t="shared" si="252"/>
        <v>0</v>
      </c>
      <c r="AH380" s="285">
        <f t="shared" si="270"/>
        <v>0</v>
      </c>
      <c r="AI380" s="286">
        <v>0</v>
      </c>
      <c r="AJ380" s="286">
        <v>0</v>
      </c>
      <c r="AK380" s="286">
        <v>0</v>
      </c>
      <c r="AL380" s="285">
        <f t="shared" si="253"/>
        <v>0</v>
      </c>
      <c r="AM380" s="285">
        <f t="shared" si="254"/>
        <v>0</v>
      </c>
      <c r="AN380" s="289">
        <f t="shared" si="271"/>
        <v>1</v>
      </c>
      <c r="AO380" s="290">
        <f t="shared" si="255"/>
        <v>0</v>
      </c>
      <c r="AP380" s="290">
        <f t="shared" si="256"/>
        <v>0</v>
      </c>
      <c r="AQ380" s="290">
        <f t="shared" si="257"/>
        <v>0</v>
      </c>
      <c r="AR380" s="290">
        <f t="shared" si="258"/>
        <v>0</v>
      </c>
      <c r="AS380" s="290">
        <f t="shared" si="259"/>
        <v>0</v>
      </c>
      <c r="AT380" s="290">
        <f t="shared" si="260"/>
        <v>0</v>
      </c>
      <c r="AU380" s="291">
        <f t="shared" si="261"/>
        <v>0</v>
      </c>
      <c r="AV380" s="291">
        <f t="shared" si="279"/>
        <v>0</v>
      </c>
      <c r="AW380" s="292">
        <f t="shared" si="262"/>
        <v>0</v>
      </c>
      <c r="AX380" s="293">
        <f t="shared" si="263"/>
        <v>0</v>
      </c>
      <c r="BC380" s="276">
        <f>IF(BI380=1,IF(BC379=MiscData!$F$1,EOMONTH(BC379,-11),EOMONTH(BC379,1)),BC379)</f>
        <v>41943</v>
      </c>
      <c r="BD380" s="275" t="str">
        <f t="shared" si="272"/>
        <v>20140101LGRSE519</v>
      </c>
      <c r="BE380" s="294" t="str">
        <f t="shared" si="273"/>
        <v>20140101RS</v>
      </c>
      <c r="BF380">
        <f>MiscData!$X$5</f>
        <v>20140101</v>
      </c>
      <c r="BI380" s="265">
        <f>IF(BI379+1&gt;MiscData!$Z$42,1,BI379+1)</f>
        <v>35</v>
      </c>
      <c r="BJ380" s="265" t="str">
        <f>VLOOKUP(BI380,MiscData!$Z$5:$AB$46,2,FALSE)</f>
        <v>LGRSE519</v>
      </c>
      <c r="BK380" s="265" t="str">
        <f>VLOOKUP(BI380,MiscData!$Z$5:$AB$46,3,FALSE)</f>
        <v>RS</v>
      </c>
    </row>
    <row r="381" spans="1:63" hidden="1">
      <c r="A381" s="275">
        <v>360</v>
      </c>
      <c r="B381" s="276" t="str">
        <f t="shared" si="264"/>
        <v>Oct 2014</v>
      </c>
      <c r="C381" s="277" t="s">
        <v>13</v>
      </c>
      <c r="D381" s="277" t="str">
        <f t="shared" si="266"/>
        <v>LGRSE540</v>
      </c>
      <c r="E381" s="278">
        <f t="shared" si="234"/>
        <v>0</v>
      </c>
      <c r="F381" s="279">
        <v>0</v>
      </c>
      <c r="G381" s="278">
        <f t="shared" si="235"/>
        <v>0</v>
      </c>
      <c r="H381" s="278">
        <f t="shared" si="236"/>
        <v>0</v>
      </c>
      <c r="I381" s="278">
        <f t="shared" si="237"/>
        <v>0</v>
      </c>
      <c r="J381" s="278">
        <f t="shared" si="238"/>
        <v>0</v>
      </c>
      <c r="K381" s="280">
        <v>0</v>
      </c>
      <c r="L381" s="281">
        <f t="shared" si="239"/>
        <v>0</v>
      </c>
      <c r="M381" s="281">
        <f t="shared" si="240"/>
        <v>0</v>
      </c>
      <c r="N381" s="281">
        <f t="shared" si="241"/>
        <v>0</v>
      </c>
      <c r="O381" s="282">
        <v>0</v>
      </c>
      <c r="P381" s="282">
        <v>0</v>
      </c>
      <c r="Q381" s="282">
        <v>0</v>
      </c>
      <c r="R381" s="283">
        <f t="shared" si="242"/>
        <v>10.75</v>
      </c>
      <c r="S381" s="284">
        <f t="shared" si="278"/>
        <v>8.0760000000000012E-2</v>
      </c>
      <c r="T381" s="284">
        <f t="shared" si="243"/>
        <v>0</v>
      </c>
      <c r="U381" s="284">
        <f t="shared" si="244"/>
        <v>0</v>
      </c>
      <c r="V381" s="284">
        <f t="shared" si="245"/>
        <v>2.725E-2</v>
      </c>
      <c r="W381" s="283">
        <f t="shared" si="246"/>
        <v>0</v>
      </c>
      <c r="X381" s="283">
        <f t="shared" si="247"/>
        <v>0</v>
      </c>
      <c r="Y381" s="283">
        <f t="shared" si="248"/>
        <v>0</v>
      </c>
      <c r="Z381" s="285">
        <f t="shared" si="249"/>
        <v>0</v>
      </c>
      <c r="AA381" s="285">
        <f t="shared" si="250"/>
        <v>0</v>
      </c>
      <c r="AB381" s="285">
        <f t="shared" si="267"/>
        <v>0</v>
      </c>
      <c r="AC381" s="285">
        <f t="shared" si="268"/>
        <v>0</v>
      </c>
      <c r="AD381" s="285">
        <f t="shared" si="269"/>
        <v>0</v>
      </c>
      <c r="AE381" s="286">
        <v>0</v>
      </c>
      <c r="AF381" s="287">
        <f t="shared" si="251"/>
        <v>0</v>
      </c>
      <c r="AG381" s="288">
        <f t="shared" si="252"/>
        <v>0</v>
      </c>
      <c r="AH381" s="285">
        <f t="shared" si="270"/>
        <v>0</v>
      </c>
      <c r="AI381" s="286">
        <v>0</v>
      </c>
      <c r="AJ381" s="286">
        <v>0</v>
      </c>
      <c r="AK381" s="286">
        <v>0</v>
      </c>
      <c r="AL381" s="285">
        <f t="shared" si="253"/>
        <v>0</v>
      </c>
      <c r="AM381" s="285">
        <f t="shared" si="254"/>
        <v>0</v>
      </c>
      <c r="AN381" s="289">
        <f t="shared" si="271"/>
        <v>1</v>
      </c>
      <c r="AO381" s="290">
        <f t="shared" si="255"/>
        <v>0</v>
      </c>
      <c r="AP381" s="290">
        <f t="shared" si="256"/>
        <v>0</v>
      </c>
      <c r="AQ381" s="290">
        <f t="shared" si="257"/>
        <v>0</v>
      </c>
      <c r="AR381" s="290">
        <f t="shared" si="258"/>
        <v>0</v>
      </c>
      <c r="AS381" s="290">
        <f t="shared" si="259"/>
        <v>0</v>
      </c>
      <c r="AT381" s="290">
        <f t="shared" si="260"/>
        <v>0</v>
      </c>
      <c r="AU381" s="291">
        <f t="shared" si="261"/>
        <v>0</v>
      </c>
      <c r="AV381" s="291">
        <f t="shared" si="279"/>
        <v>0</v>
      </c>
      <c r="AW381" s="292">
        <f t="shared" si="262"/>
        <v>0</v>
      </c>
      <c r="AX381" s="293">
        <f t="shared" si="263"/>
        <v>0</v>
      </c>
      <c r="BC381" s="276">
        <f>IF(BI381=1,IF(BC380=MiscData!$F$1,EOMONTH(BC380,-11),EOMONTH(BC380,1)),BC380)</f>
        <v>41943</v>
      </c>
      <c r="BD381" s="275" t="str">
        <f t="shared" si="272"/>
        <v>20140101LGRSE540</v>
      </c>
      <c r="BE381" s="294" t="str">
        <f t="shared" si="273"/>
        <v>20140101VFD</v>
      </c>
      <c r="BF381">
        <f>MiscData!$X$5</f>
        <v>20140101</v>
      </c>
      <c r="BI381" s="265">
        <f>IF(BI380+1&gt;MiscData!$Z$42,1,BI380+1)</f>
        <v>36</v>
      </c>
      <c r="BJ381" s="265" t="str">
        <f>VLOOKUP(BI381,MiscData!$Z$5:$AB$46,2,FALSE)</f>
        <v>LGRSE540</v>
      </c>
      <c r="BK381" s="265" t="str">
        <f>VLOOKUP(BI381,MiscData!$Z$5:$AB$46,3,FALSE)</f>
        <v>VFD</v>
      </c>
    </row>
    <row r="382" spans="1:63" hidden="1">
      <c r="A382" s="275">
        <v>361</v>
      </c>
      <c r="B382" s="276" t="str">
        <f t="shared" si="264"/>
        <v>Oct 2014</v>
      </c>
      <c r="C382" s="277" t="str">
        <f t="shared" si="265"/>
        <v>LEV</v>
      </c>
      <c r="D382" s="277" t="str">
        <f t="shared" si="266"/>
        <v>LGRSE543</v>
      </c>
      <c r="E382" s="278">
        <f t="shared" si="234"/>
        <v>0</v>
      </c>
      <c r="F382" s="279">
        <v>0</v>
      </c>
      <c r="G382" s="278">
        <f t="shared" si="235"/>
        <v>0</v>
      </c>
      <c r="H382" s="278">
        <f t="shared" si="236"/>
        <v>0</v>
      </c>
      <c r="I382" s="278">
        <f t="shared" si="237"/>
        <v>0</v>
      </c>
      <c r="J382" s="278">
        <f t="shared" si="238"/>
        <v>0</v>
      </c>
      <c r="K382" s="280">
        <v>0</v>
      </c>
      <c r="L382" s="281">
        <f t="shared" si="239"/>
        <v>0</v>
      </c>
      <c r="M382" s="281">
        <f t="shared" si="240"/>
        <v>0</v>
      </c>
      <c r="N382" s="281">
        <f t="shared" si="241"/>
        <v>0</v>
      </c>
      <c r="O382" s="282">
        <v>0</v>
      </c>
      <c r="P382" s="282">
        <v>0</v>
      </c>
      <c r="Q382" s="282">
        <v>0</v>
      </c>
      <c r="R382" s="283">
        <f t="shared" si="242"/>
        <v>10.75</v>
      </c>
      <c r="S382" s="284">
        <f t="shared" si="278"/>
        <v>5.8200000000000002E-2</v>
      </c>
      <c r="T382" s="284">
        <f t="shared" si="243"/>
        <v>7.8990000000000005E-2</v>
      </c>
      <c r="U382" s="284">
        <f t="shared" si="244"/>
        <v>0.14451000000000003</v>
      </c>
      <c r="V382" s="284">
        <f t="shared" si="245"/>
        <v>2.725E-2</v>
      </c>
      <c r="W382" s="283">
        <f t="shared" si="246"/>
        <v>0</v>
      </c>
      <c r="X382" s="283">
        <f t="shared" si="247"/>
        <v>0</v>
      </c>
      <c r="Y382" s="283">
        <f t="shared" si="248"/>
        <v>0</v>
      </c>
      <c r="Z382" s="285">
        <f t="shared" si="249"/>
        <v>0</v>
      </c>
      <c r="AA382" s="285">
        <f t="shared" si="250"/>
        <v>0</v>
      </c>
      <c r="AB382" s="285">
        <f t="shared" si="267"/>
        <v>0</v>
      </c>
      <c r="AC382" s="285">
        <f t="shared" si="268"/>
        <v>0</v>
      </c>
      <c r="AD382" s="285">
        <f t="shared" si="269"/>
        <v>0</v>
      </c>
      <c r="AE382" s="286">
        <v>0</v>
      </c>
      <c r="AF382" s="287">
        <f t="shared" si="251"/>
        <v>0</v>
      </c>
      <c r="AG382" s="288">
        <f t="shared" si="252"/>
        <v>0</v>
      </c>
      <c r="AH382" s="285">
        <f t="shared" si="270"/>
        <v>0</v>
      </c>
      <c r="AI382" s="286">
        <v>0</v>
      </c>
      <c r="AJ382" s="286">
        <v>0</v>
      </c>
      <c r="AK382" s="286">
        <v>0</v>
      </c>
      <c r="AL382" s="285">
        <f t="shared" si="253"/>
        <v>0</v>
      </c>
      <c r="AM382" s="285">
        <f t="shared" si="254"/>
        <v>0</v>
      </c>
      <c r="AN382" s="289">
        <f t="shared" si="271"/>
        <v>1</v>
      </c>
      <c r="AO382" s="290">
        <f t="shared" si="255"/>
        <v>0</v>
      </c>
      <c r="AP382" s="290">
        <f t="shared" si="256"/>
        <v>0</v>
      </c>
      <c r="AQ382" s="290">
        <f t="shared" si="257"/>
        <v>0</v>
      </c>
      <c r="AR382" s="290">
        <f t="shared" si="258"/>
        <v>0</v>
      </c>
      <c r="AS382" s="290">
        <f t="shared" si="259"/>
        <v>0</v>
      </c>
      <c r="AT382" s="290">
        <f t="shared" si="260"/>
        <v>0</v>
      </c>
      <c r="AU382" s="291">
        <f t="shared" si="261"/>
        <v>0</v>
      </c>
      <c r="AV382" s="291">
        <f t="shared" si="279"/>
        <v>0</v>
      </c>
      <c r="AW382" s="292">
        <f t="shared" si="262"/>
        <v>0</v>
      </c>
      <c r="AX382" s="293">
        <f t="shared" si="263"/>
        <v>0</v>
      </c>
      <c r="BC382" s="276">
        <f>IF(BI382=1,IF(BC381=MiscData!$F$1,EOMONTH(BC381,-11),EOMONTH(BC381,1)),BC381)</f>
        <v>41943</v>
      </c>
      <c r="BD382" s="275" t="str">
        <f t="shared" si="272"/>
        <v>20140101LGRSE543</v>
      </c>
      <c r="BE382" s="294" t="str">
        <f t="shared" si="273"/>
        <v>20140101LEV</v>
      </c>
      <c r="BF382">
        <f>MiscData!$X$5</f>
        <v>20140101</v>
      </c>
      <c r="BI382" s="265">
        <f>IF(BI381+1&gt;MiscData!$Z$42,1,BI381+1)</f>
        <v>37</v>
      </c>
      <c r="BJ382" s="265" t="str">
        <f>VLOOKUP(BI382,MiscData!$Z$5:$AB$46,2,FALSE)</f>
        <v>LGRSE543</v>
      </c>
      <c r="BK382" s="265" t="str">
        <f>VLOOKUP(BI382,MiscData!$Z$5:$AB$46,3,FALSE)</f>
        <v>LEV</v>
      </c>
    </row>
    <row r="383" spans="1:63" hidden="1">
      <c r="A383" s="275">
        <v>362</v>
      </c>
      <c r="B383" s="276" t="str">
        <f t="shared" si="264"/>
        <v>Oct 2014</v>
      </c>
      <c r="C383" s="277" t="str">
        <f t="shared" si="265"/>
        <v>LEV</v>
      </c>
      <c r="D383" s="277" t="str">
        <f t="shared" si="266"/>
        <v>LGRSE547</v>
      </c>
      <c r="E383" s="278">
        <f t="shared" si="234"/>
        <v>0</v>
      </c>
      <c r="F383" s="279">
        <v>0</v>
      </c>
      <c r="G383" s="278">
        <f t="shared" si="235"/>
        <v>0</v>
      </c>
      <c r="H383" s="278">
        <f t="shared" si="236"/>
        <v>0</v>
      </c>
      <c r="I383" s="278">
        <f t="shared" si="237"/>
        <v>0</v>
      </c>
      <c r="J383" s="278">
        <f t="shared" si="238"/>
        <v>0</v>
      </c>
      <c r="K383" s="280">
        <v>0</v>
      </c>
      <c r="L383" s="281">
        <f t="shared" si="239"/>
        <v>0</v>
      </c>
      <c r="M383" s="281">
        <f t="shared" si="240"/>
        <v>0</v>
      </c>
      <c r="N383" s="281">
        <f t="shared" si="241"/>
        <v>0</v>
      </c>
      <c r="O383" s="282">
        <v>0</v>
      </c>
      <c r="P383" s="282">
        <v>0</v>
      </c>
      <c r="Q383" s="282">
        <v>0</v>
      </c>
      <c r="R383" s="283">
        <f t="shared" si="242"/>
        <v>10.75</v>
      </c>
      <c r="S383" s="284">
        <f t="shared" si="278"/>
        <v>5.8200000000000002E-2</v>
      </c>
      <c r="T383" s="284">
        <f t="shared" si="243"/>
        <v>7.8990000000000005E-2</v>
      </c>
      <c r="U383" s="284">
        <f t="shared" si="244"/>
        <v>0.14451000000000003</v>
      </c>
      <c r="V383" s="284">
        <f t="shared" si="245"/>
        <v>2.725E-2</v>
      </c>
      <c r="W383" s="283">
        <f t="shared" si="246"/>
        <v>0</v>
      </c>
      <c r="X383" s="283">
        <f t="shared" si="247"/>
        <v>0</v>
      </c>
      <c r="Y383" s="283">
        <f t="shared" si="248"/>
        <v>0</v>
      </c>
      <c r="Z383" s="285">
        <f t="shared" si="249"/>
        <v>0</v>
      </c>
      <c r="AA383" s="285">
        <f t="shared" si="250"/>
        <v>0</v>
      </c>
      <c r="AB383" s="285">
        <f t="shared" si="267"/>
        <v>0</v>
      </c>
      <c r="AC383" s="285">
        <f t="shared" si="268"/>
        <v>0</v>
      </c>
      <c r="AD383" s="285">
        <f t="shared" si="269"/>
        <v>0</v>
      </c>
      <c r="AE383" s="286">
        <v>0</v>
      </c>
      <c r="AF383" s="287">
        <f t="shared" si="251"/>
        <v>0</v>
      </c>
      <c r="AG383" s="288">
        <f t="shared" si="252"/>
        <v>0</v>
      </c>
      <c r="AH383" s="285">
        <f t="shared" si="270"/>
        <v>0</v>
      </c>
      <c r="AI383" s="286">
        <v>0</v>
      </c>
      <c r="AJ383" s="286">
        <v>0</v>
      </c>
      <c r="AK383" s="286">
        <v>0</v>
      </c>
      <c r="AL383" s="285">
        <f t="shared" si="253"/>
        <v>0</v>
      </c>
      <c r="AM383" s="285">
        <f t="shared" si="254"/>
        <v>0</v>
      </c>
      <c r="AN383" s="289">
        <f t="shared" si="271"/>
        <v>1</v>
      </c>
      <c r="AO383" s="290">
        <f t="shared" si="255"/>
        <v>0</v>
      </c>
      <c r="AP383" s="290">
        <f t="shared" si="256"/>
        <v>0</v>
      </c>
      <c r="AQ383" s="290">
        <f t="shared" si="257"/>
        <v>0</v>
      </c>
      <c r="AR383" s="290">
        <f t="shared" si="258"/>
        <v>0</v>
      </c>
      <c r="AS383" s="290">
        <f t="shared" si="259"/>
        <v>0</v>
      </c>
      <c r="AT383" s="290">
        <f t="shared" si="260"/>
        <v>0</v>
      </c>
      <c r="AU383" s="291">
        <f t="shared" si="261"/>
        <v>0</v>
      </c>
      <c r="AV383" s="291">
        <f t="shared" ref="AV383:AV387" si="280">ROUND(AT383-AU383,2)</f>
        <v>0</v>
      </c>
      <c r="AW383" s="292">
        <f t="shared" si="262"/>
        <v>0</v>
      </c>
      <c r="AX383" s="293">
        <f t="shared" si="263"/>
        <v>0</v>
      </c>
      <c r="BC383" s="276">
        <f>IF(BI383=1,IF(BC382=MiscData!$F$1,EOMONTH(BC382,-11),EOMONTH(BC382,1)),BC382)</f>
        <v>41943</v>
      </c>
      <c r="BD383" s="275" t="str">
        <f t="shared" si="272"/>
        <v>20140101LGRSE547</v>
      </c>
      <c r="BE383" s="294" t="str">
        <f t="shared" si="273"/>
        <v>20140101LEV</v>
      </c>
      <c r="BF383">
        <f>MiscData!$X$5</f>
        <v>20140101</v>
      </c>
      <c r="BI383" s="265">
        <f>IF(BI382+1&gt;MiscData!$Z$42,1,BI382+1)</f>
        <v>38</v>
      </c>
      <c r="BJ383" s="265" t="str">
        <f>VLOOKUP(BI383,MiscData!$Z$5:$AB$46,2,FALSE)</f>
        <v>LGRSE547</v>
      </c>
      <c r="BK383" s="265" t="str">
        <f>VLOOKUP(BI383,MiscData!$Z$5:$AB$46,3,FALSE)</f>
        <v>LEV</v>
      </c>
    </row>
    <row r="384" spans="1:63" hidden="1">
      <c r="A384" s="275">
        <v>363</v>
      </c>
      <c r="B384" s="276" t="str">
        <f t="shared" si="264"/>
        <v>Nov 2014</v>
      </c>
      <c r="C384" s="277" t="str">
        <f t="shared" si="265"/>
        <v>FLSP</v>
      </c>
      <c r="D384" s="277" t="str">
        <f t="shared" si="266"/>
        <v>LGINE682</v>
      </c>
      <c r="E384" s="278">
        <f t="shared" si="234"/>
        <v>0</v>
      </c>
      <c r="F384" s="279">
        <v>0</v>
      </c>
      <c r="G384" s="278">
        <f t="shared" si="235"/>
        <v>0</v>
      </c>
      <c r="H384" s="278">
        <f t="shared" si="236"/>
        <v>0</v>
      </c>
      <c r="I384" s="278">
        <f t="shared" si="237"/>
        <v>0</v>
      </c>
      <c r="J384" s="278">
        <f t="shared" si="238"/>
        <v>0</v>
      </c>
      <c r="K384" s="280">
        <v>0</v>
      </c>
      <c r="L384" s="281">
        <f t="shared" si="239"/>
        <v>0</v>
      </c>
      <c r="M384" s="281">
        <f t="shared" si="240"/>
        <v>0</v>
      </c>
      <c r="N384" s="281">
        <f t="shared" si="241"/>
        <v>0</v>
      </c>
      <c r="O384" s="282">
        <v>0</v>
      </c>
      <c r="P384" s="282">
        <v>0</v>
      </c>
      <c r="Q384" s="282">
        <v>0</v>
      </c>
      <c r="R384" s="283">
        <f t="shared" si="242"/>
        <v>750</v>
      </c>
      <c r="S384" s="284">
        <f t="shared" si="278"/>
        <v>3.61E-2</v>
      </c>
      <c r="T384" s="284">
        <f t="shared" si="243"/>
        <v>0</v>
      </c>
      <c r="U384" s="284">
        <f t="shared" si="244"/>
        <v>0</v>
      </c>
      <c r="V384" s="284">
        <f t="shared" si="245"/>
        <v>2.725E-2</v>
      </c>
      <c r="W384" s="283">
        <f t="shared" si="246"/>
        <v>1.8900000000000001</v>
      </c>
      <c r="X384" s="283">
        <f t="shared" si="247"/>
        <v>1.8900000000000001</v>
      </c>
      <c r="Y384" s="283">
        <f t="shared" si="248"/>
        <v>2.94</v>
      </c>
      <c r="Z384" s="285">
        <f t="shared" si="249"/>
        <v>0</v>
      </c>
      <c r="AA384" s="285">
        <f t="shared" si="250"/>
        <v>0</v>
      </c>
      <c r="AB384" s="285">
        <f t="shared" si="267"/>
        <v>0</v>
      </c>
      <c r="AC384" s="285">
        <f t="shared" si="268"/>
        <v>0</v>
      </c>
      <c r="AD384" s="285">
        <f t="shared" si="269"/>
        <v>0</v>
      </c>
      <c r="AE384" s="286">
        <v>0</v>
      </c>
      <c r="AF384" s="287">
        <f t="shared" si="251"/>
        <v>0</v>
      </c>
      <c r="AG384" s="288">
        <f t="shared" si="252"/>
        <v>0</v>
      </c>
      <c r="AH384" s="285">
        <f t="shared" si="270"/>
        <v>0</v>
      </c>
      <c r="AI384" s="286">
        <v>0</v>
      </c>
      <c r="AJ384" s="286">
        <v>0</v>
      </c>
      <c r="AK384" s="286">
        <v>0</v>
      </c>
      <c r="AL384" s="285">
        <f t="shared" si="253"/>
        <v>0</v>
      </c>
      <c r="AM384" s="285">
        <f t="shared" si="254"/>
        <v>0</v>
      </c>
      <c r="AN384" s="289">
        <f t="shared" si="271"/>
        <v>1</v>
      </c>
      <c r="AO384" s="290">
        <f t="shared" si="255"/>
        <v>0</v>
      </c>
      <c r="AP384" s="290">
        <f t="shared" si="256"/>
        <v>0</v>
      </c>
      <c r="AQ384" s="290">
        <f t="shared" si="257"/>
        <v>0</v>
      </c>
      <c r="AR384" s="290">
        <f t="shared" si="258"/>
        <v>0</v>
      </c>
      <c r="AS384" s="290">
        <f t="shared" si="259"/>
        <v>0</v>
      </c>
      <c r="AT384" s="290">
        <f t="shared" si="260"/>
        <v>0</v>
      </c>
      <c r="AU384" s="291">
        <f t="shared" si="261"/>
        <v>0</v>
      </c>
      <c r="AV384" s="291">
        <f t="shared" si="280"/>
        <v>0</v>
      </c>
      <c r="AW384" s="292">
        <f t="shared" si="262"/>
        <v>0</v>
      </c>
      <c r="AX384" s="293">
        <f t="shared" si="263"/>
        <v>0</v>
      </c>
      <c r="BC384" s="276">
        <f>IF(BI384=1,IF(BC383=MiscData!$F$1,EOMONTH(BC383,-11),EOMONTH(BC383,1)),BC383)</f>
        <v>41973</v>
      </c>
      <c r="BD384" s="275" t="str">
        <f t="shared" si="272"/>
        <v>20140101LGINE682</v>
      </c>
      <c r="BE384" s="294" t="str">
        <f t="shared" si="273"/>
        <v>20140101FLSP</v>
      </c>
      <c r="BF384">
        <f>MiscData!$X$5</f>
        <v>20140101</v>
      </c>
      <c r="BI384" s="265">
        <f>IF(BI383+1&gt;MiscData!$Z$42,1,BI383+1)</f>
        <v>1</v>
      </c>
      <c r="BJ384" s="265" t="str">
        <f>VLOOKUP(BI384,MiscData!$Z$5:$AB$46,2,FALSE)</f>
        <v>LGINE682</v>
      </c>
      <c r="BK384" s="265" t="str">
        <f>VLOOKUP(BI384,MiscData!$Z$5:$AB$46,3,FALSE)</f>
        <v>FLSP</v>
      </c>
    </row>
    <row r="385" spans="1:63" hidden="1">
      <c r="A385" s="275">
        <v>364</v>
      </c>
      <c r="B385" s="276" t="str">
        <f t="shared" si="264"/>
        <v>Nov 2014</v>
      </c>
      <c r="C385" s="277" t="str">
        <f t="shared" si="265"/>
        <v>FLST</v>
      </c>
      <c r="D385" s="277" t="str">
        <f t="shared" si="266"/>
        <v>LGINE683</v>
      </c>
      <c r="E385" s="278">
        <f t="shared" si="234"/>
        <v>0</v>
      </c>
      <c r="F385" s="279">
        <v>0</v>
      </c>
      <c r="G385" s="278">
        <f t="shared" si="235"/>
        <v>0</v>
      </c>
      <c r="H385" s="278">
        <f t="shared" si="236"/>
        <v>0</v>
      </c>
      <c r="I385" s="278">
        <f t="shared" si="237"/>
        <v>0</v>
      </c>
      <c r="J385" s="278">
        <f t="shared" si="238"/>
        <v>0</v>
      </c>
      <c r="K385" s="280">
        <v>0</v>
      </c>
      <c r="L385" s="281">
        <f t="shared" si="239"/>
        <v>0</v>
      </c>
      <c r="M385" s="281">
        <f t="shared" si="240"/>
        <v>0</v>
      </c>
      <c r="N385" s="281">
        <f t="shared" si="241"/>
        <v>0</v>
      </c>
      <c r="O385" s="282">
        <v>0</v>
      </c>
      <c r="P385" s="282">
        <v>0</v>
      </c>
      <c r="Q385" s="282">
        <v>0</v>
      </c>
      <c r="R385" s="283">
        <f t="shared" si="242"/>
        <v>750</v>
      </c>
      <c r="S385" s="284">
        <f t="shared" si="278"/>
        <v>3.61E-2</v>
      </c>
      <c r="T385" s="284">
        <f t="shared" si="243"/>
        <v>0</v>
      </c>
      <c r="U385" s="284">
        <f t="shared" si="244"/>
        <v>0</v>
      </c>
      <c r="V385" s="284">
        <f t="shared" si="245"/>
        <v>2.725E-2</v>
      </c>
      <c r="W385" s="283">
        <f t="shared" si="246"/>
        <v>1.1400000000000001</v>
      </c>
      <c r="X385" s="283">
        <f t="shared" si="247"/>
        <v>1.8900000000000001</v>
      </c>
      <c r="Y385" s="283">
        <f t="shared" si="248"/>
        <v>2.94</v>
      </c>
      <c r="Z385" s="285">
        <f t="shared" si="249"/>
        <v>0</v>
      </c>
      <c r="AA385" s="285">
        <f t="shared" si="250"/>
        <v>0</v>
      </c>
      <c r="AB385" s="285">
        <f t="shared" si="267"/>
        <v>0</v>
      </c>
      <c r="AC385" s="285">
        <f t="shared" si="268"/>
        <v>0</v>
      </c>
      <c r="AD385" s="285">
        <f t="shared" si="269"/>
        <v>0</v>
      </c>
      <c r="AE385" s="286">
        <v>0</v>
      </c>
      <c r="AF385" s="287">
        <f t="shared" si="251"/>
        <v>0</v>
      </c>
      <c r="AG385" s="288">
        <f t="shared" si="252"/>
        <v>0</v>
      </c>
      <c r="AH385" s="285">
        <f t="shared" si="270"/>
        <v>0</v>
      </c>
      <c r="AI385" s="286">
        <v>0</v>
      </c>
      <c r="AJ385" s="286">
        <v>0</v>
      </c>
      <c r="AK385" s="286">
        <v>0</v>
      </c>
      <c r="AL385" s="285">
        <f t="shared" si="253"/>
        <v>0</v>
      </c>
      <c r="AM385" s="285">
        <f t="shared" si="254"/>
        <v>0</v>
      </c>
      <c r="AN385" s="289">
        <f t="shared" si="271"/>
        <v>1</v>
      </c>
      <c r="AO385" s="290">
        <f t="shared" si="255"/>
        <v>0</v>
      </c>
      <c r="AP385" s="290">
        <f t="shared" si="256"/>
        <v>0</v>
      </c>
      <c r="AQ385" s="290">
        <f t="shared" si="257"/>
        <v>0</v>
      </c>
      <c r="AR385" s="290">
        <f t="shared" si="258"/>
        <v>0</v>
      </c>
      <c r="AS385" s="290">
        <f t="shared" si="259"/>
        <v>0</v>
      </c>
      <c r="AT385" s="290">
        <f t="shared" si="260"/>
        <v>0</v>
      </c>
      <c r="AU385" s="291">
        <f t="shared" si="261"/>
        <v>0</v>
      </c>
      <c r="AV385" s="291">
        <f t="shared" si="280"/>
        <v>0</v>
      </c>
      <c r="AW385" s="292">
        <f t="shared" si="262"/>
        <v>0</v>
      </c>
      <c r="AX385" s="293">
        <f t="shared" si="263"/>
        <v>0</v>
      </c>
      <c r="BC385" s="276">
        <f>IF(BI385=1,IF(BC384=MiscData!$F$1,EOMONTH(BC384,-11),EOMONTH(BC384,1)),BC384)</f>
        <v>41973</v>
      </c>
      <c r="BD385" s="275" t="str">
        <f t="shared" si="272"/>
        <v>20140101LGINE683</v>
      </c>
      <c r="BE385" s="294" t="str">
        <f t="shared" si="273"/>
        <v>20140101FLST</v>
      </c>
      <c r="BF385">
        <f>MiscData!$X$5</f>
        <v>20140101</v>
      </c>
      <c r="BI385" s="265">
        <f>IF(BI384+1&gt;MiscData!$Z$42,1,BI384+1)</f>
        <v>2</v>
      </c>
      <c r="BJ385" s="265" t="str">
        <f>VLOOKUP(BI385,MiscData!$Z$5:$AB$46,2,FALSE)</f>
        <v>LGINE683</v>
      </c>
      <c r="BK385" s="265" t="str">
        <f>VLOOKUP(BI385,MiscData!$Z$5:$AB$46,3,FALSE)</f>
        <v>FLST</v>
      </c>
    </row>
    <row r="386" spans="1:63" hidden="1">
      <c r="A386" s="275">
        <v>365</v>
      </c>
      <c r="B386" s="276" t="str">
        <f t="shared" si="264"/>
        <v>Nov 2014</v>
      </c>
      <c r="C386" s="277" t="s">
        <v>892</v>
      </c>
      <c r="D386" s="277" t="str">
        <f t="shared" si="266"/>
        <v>LGCME451</v>
      </c>
      <c r="E386" s="278">
        <f t="shared" si="234"/>
        <v>0</v>
      </c>
      <c r="F386" s="279">
        <f>-E386</f>
        <v>0</v>
      </c>
      <c r="G386" s="278">
        <f t="shared" si="235"/>
        <v>0</v>
      </c>
      <c r="H386" s="278">
        <f t="shared" si="236"/>
        <v>0</v>
      </c>
      <c r="I386" s="278">
        <f t="shared" si="237"/>
        <v>0</v>
      </c>
      <c r="J386" s="278">
        <f t="shared" si="238"/>
        <v>0</v>
      </c>
      <c r="K386" s="280">
        <v>0</v>
      </c>
      <c r="L386" s="281">
        <f t="shared" si="239"/>
        <v>0</v>
      </c>
      <c r="M386" s="281">
        <f t="shared" si="240"/>
        <v>0</v>
      </c>
      <c r="N386" s="281">
        <f t="shared" si="241"/>
        <v>0</v>
      </c>
      <c r="O386" s="282">
        <v>0</v>
      </c>
      <c r="P386" s="282">
        <v>0</v>
      </c>
      <c r="Q386" s="282">
        <v>0</v>
      </c>
      <c r="R386" s="283">
        <f t="shared" si="242"/>
        <v>0</v>
      </c>
      <c r="S386" s="284">
        <f t="shared" si="278"/>
        <v>9.1340000000000005E-2</v>
      </c>
      <c r="T386" s="284">
        <f t="shared" si="243"/>
        <v>0</v>
      </c>
      <c r="U386" s="284">
        <f t="shared" si="244"/>
        <v>0</v>
      </c>
      <c r="V386" s="284">
        <f t="shared" si="245"/>
        <v>2.725E-2</v>
      </c>
      <c r="W386" s="283">
        <f t="shared" si="246"/>
        <v>0</v>
      </c>
      <c r="X386" s="283">
        <f t="shared" si="247"/>
        <v>0</v>
      </c>
      <c r="Y386" s="283">
        <f t="shared" si="248"/>
        <v>0</v>
      </c>
      <c r="Z386" s="285">
        <f t="shared" si="249"/>
        <v>0</v>
      </c>
      <c r="AA386" s="285">
        <f t="shared" si="250"/>
        <v>0</v>
      </c>
      <c r="AB386" s="285">
        <f t="shared" si="267"/>
        <v>0</v>
      </c>
      <c r="AC386" s="285">
        <f t="shared" si="268"/>
        <v>0</v>
      </c>
      <c r="AD386" s="285">
        <f t="shared" si="269"/>
        <v>0</v>
      </c>
      <c r="AE386" s="286">
        <v>0</v>
      </c>
      <c r="AF386" s="287">
        <f t="shared" si="251"/>
        <v>0</v>
      </c>
      <c r="AG386" s="288">
        <f t="shared" si="252"/>
        <v>0</v>
      </c>
      <c r="AH386" s="285">
        <f t="shared" si="270"/>
        <v>0</v>
      </c>
      <c r="AI386" s="286">
        <v>0</v>
      </c>
      <c r="AJ386" s="286">
        <v>0</v>
      </c>
      <c r="AK386" s="286">
        <v>0</v>
      </c>
      <c r="AL386" s="285">
        <f t="shared" si="253"/>
        <v>0</v>
      </c>
      <c r="AM386" s="285">
        <f t="shared" si="254"/>
        <v>0</v>
      </c>
      <c r="AN386" s="289">
        <f t="shared" si="271"/>
        <v>1</v>
      </c>
      <c r="AO386" s="290">
        <f t="shared" si="255"/>
        <v>0</v>
      </c>
      <c r="AP386" s="290">
        <f t="shared" si="256"/>
        <v>0</v>
      </c>
      <c r="AQ386" s="290">
        <f t="shared" si="257"/>
        <v>0</v>
      </c>
      <c r="AR386" s="290">
        <f t="shared" si="258"/>
        <v>0</v>
      </c>
      <c r="AS386" s="290">
        <f t="shared" si="259"/>
        <v>0</v>
      </c>
      <c r="AT386" s="290">
        <f t="shared" si="260"/>
        <v>0</v>
      </c>
      <c r="AU386" s="291">
        <f t="shared" si="261"/>
        <v>0</v>
      </c>
      <c r="AV386" s="291">
        <f t="shared" si="280"/>
        <v>0</v>
      </c>
      <c r="AW386" s="292">
        <f t="shared" si="262"/>
        <v>0</v>
      </c>
      <c r="AX386" s="293">
        <f t="shared" si="263"/>
        <v>0</v>
      </c>
      <c r="BC386" s="276">
        <f>IF(BI386=1,IF(BC385=MiscData!$F$1,EOMONTH(BC385,-11),EOMONTH(BC385,1)),BC385)</f>
        <v>41973</v>
      </c>
      <c r="BD386" s="275" t="str">
        <f t="shared" si="272"/>
        <v>20140101LGCME451</v>
      </c>
      <c r="BE386" s="294" t="str">
        <f t="shared" si="273"/>
        <v>20140101GSS</v>
      </c>
      <c r="BF386">
        <f>MiscData!$X$5</f>
        <v>20140101</v>
      </c>
      <c r="BI386" s="265">
        <f>IF(BI385+1&gt;MiscData!$Z$42,1,BI385+1)</f>
        <v>3</v>
      </c>
      <c r="BJ386" s="265" t="str">
        <f>VLOOKUP(BI386,MiscData!$Z$5:$AB$46,2,FALSE)</f>
        <v>LGCME451</v>
      </c>
      <c r="BK386" s="265" t="str">
        <f>VLOOKUP(BI386,MiscData!$Z$5:$AB$46,3,FALSE)</f>
        <v>GSS</v>
      </c>
    </row>
    <row r="387" spans="1:63" hidden="1">
      <c r="A387" s="275">
        <v>366</v>
      </c>
      <c r="B387" s="276" t="str">
        <f t="shared" si="264"/>
        <v>Nov 2014</v>
      </c>
      <c r="C387" s="277" t="s">
        <v>892</v>
      </c>
      <c r="D387" s="277" t="str">
        <f t="shared" si="266"/>
        <v>LGCME550</v>
      </c>
      <c r="E387" s="278">
        <f t="shared" si="234"/>
        <v>0</v>
      </c>
      <c r="F387" s="279">
        <v>0</v>
      </c>
      <c r="G387" s="278">
        <f t="shared" si="235"/>
        <v>0</v>
      </c>
      <c r="H387" s="278">
        <f t="shared" si="236"/>
        <v>0</v>
      </c>
      <c r="I387" s="278">
        <f t="shared" si="237"/>
        <v>0</v>
      </c>
      <c r="J387" s="278">
        <f t="shared" si="238"/>
        <v>0</v>
      </c>
      <c r="K387" s="280">
        <v>0</v>
      </c>
      <c r="L387" s="281">
        <f t="shared" si="239"/>
        <v>0</v>
      </c>
      <c r="M387" s="281">
        <f t="shared" si="240"/>
        <v>0</v>
      </c>
      <c r="N387" s="281">
        <f t="shared" si="241"/>
        <v>0</v>
      </c>
      <c r="O387" s="282">
        <v>0</v>
      </c>
      <c r="P387" s="282">
        <v>0</v>
      </c>
      <c r="Q387" s="282">
        <v>0</v>
      </c>
      <c r="R387" s="283">
        <f t="shared" si="242"/>
        <v>20</v>
      </c>
      <c r="S387" s="284">
        <f t="shared" si="278"/>
        <v>9.1340000000000005E-2</v>
      </c>
      <c r="T387" s="284">
        <f t="shared" si="243"/>
        <v>0</v>
      </c>
      <c r="U387" s="284">
        <f t="shared" si="244"/>
        <v>0</v>
      </c>
      <c r="V387" s="284">
        <f t="shared" si="245"/>
        <v>2.725E-2</v>
      </c>
      <c r="W387" s="283">
        <f t="shared" si="246"/>
        <v>0</v>
      </c>
      <c r="X387" s="283">
        <f t="shared" si="247"/>
        <v>0</v>
      </c>
      <c r="Y387" s="283">
        <f t="shared" si="248"/>
        <v>0</v>
      </c>
      <c r="Z387" s="285">
        <f t="shared" si="249"/>
        <v>0</v>
      </c>
      <c r="AA387" s="285">
        <f t="shared" si="250"/>
        <v>0</v>
      </c>
      <c r="AB387" s="285">
        <f t="shared" si="267"/>
        <v>0</v>
      </c>
      <c r="AC387" s="285">
        <f t="shared" si="268"/>
        <v>0</v>
      </c>
      <c r="AD387" s="285">
        <f t="shared" si="269"/>
        <v>0</v>
      </c>
      <c r="AE387" s="286">
        <v>0</v>
      </c>
      <c r="AF387" s="287">
        <f t="shared" si="251"/>
        <v>0</v>
      </c>
      <c r="AG387" s="288">
        <f t="shared" si="252"/>
        <v>0</v>
      </c>
      <c r="AH387" s="285">
        <f t="shared" si="270"/>
        <v>0</v>
      </c>
      <c r="AI387" s="286">
        <v>0</v>
      </c>
      <c r="AJ387" s="286">
        <v>0</v>
      </c>
      <c r="AK387" s="286">
        <v>0</v>
      </c>
      <c r="AL387" s="285">
        <f t="shared" si="253"/>
        <v>0</v>
      </c>
      <c r="AM387" s="285">
        <f t="shared" si="254"/>
        <v>0</v>
      </c>
      <c r="AN387" s="289">
        <f t="shared" si="271"/>
        <v>1</v>
      </c>
      <c r="AO387" s="290">
        <f t="shared" si="255"/>
        <v>0</v>
      </c>
      <c r="AP387" s="290">
        <f t="shared" si="256"/>
        <v>0</v>
      </c>
      <c r="AQ387" s="290">
        <f t="shared" si="257"/>
        <v>0</v>
      </c>
      <c r="AR387" s="290">
        <f t="shared" si="258"/>
        <v>0</v>
      </c>
      <c r="AS387" s="290">
        <f t="shared" si="259"/>
        <v>0</v>
      </c>
      <c r="AT387" s="290">
        <f t="shared" si="260"/>
        <v>0</v>
      </c>
      <c r="AU387" s="291">
        <f t="shared" si="261"/>
        <v>0</v>
      </c>
      <c r="AV387" s="291">
        <f t="shared" si="280"/>
        <v>0</v>
      </c>
      <c r="AW387" s="292">
        <f t="shared" si="262"/>
        <v>0</v>
      </c>
      <c r="AX387" s="293">
        <f t="shared" si="263"/>
        <v>0</v>
      </c>
      <c r="BC387" s="276">
        <f>IF(BI387=1,IF(BC386=MiscData!$F$1,EOMONTH(BC386,-11),EOMONTH(BC386,1)),BC386)</f>
        <v>41973</v>
      </c>
      <c r="BD387" s="275" t="str">
        <f t="shared" si="272"/>
        <v>20140101LGCME550</v>
      </c>
      <c r="BE387" s="294" t="str">
        <f t="shared" si="273"/>
        <v>20140101GSS</v>
      </c>
      <c r="BF387">
        <f>MiscData!$X$5</f>
        <v>20140101</v>
      </c>
      <c r="BI387" s="265">
        <f>IF(BI386+1&gt;MiscData!$Z$42,1,BI386+1)</f>
        <v>4</v>
      </c>
      <c r="BJ387" s="265" t="str">
        <f>VLOOKUP(BI387,MiscData!$Z$5:$AB$46,2,FALSE)</f>
        <v>LGCME550</v>
      </c>
      <c r="BK387" s="265" t="str">
        <f>VLOOKUP(BI387,MiscData!$Z$5:$AB$46,3,FALSE)</f>
        <v>GSS</v>
      </c>
    </row>
    <row r="388" spans="1:63" hidden="1">
      <c r="A388" s="275">
        <v>367</v>
      </c>
      <c r="B388" s="276" t="str">
        <f t="shared" si="264"/>
        <v>Nov 2014</v>
      </c>
      <c r="C388" s="277" t="s">
        <v>892</v>
      </c>
      <c r="D388" s="277" t="str">
        <f t="shared" si="266"/>
        <v>LGCME551</v>
      </c>
      <c r="E388" s="278">
        <f t="shared" ref="E388:E459" si="281">SUMIFS(L_1022_Count,L_1022_Revenue_Month,$B388,L_1022_Rate_Category,$D388)</f>
        <v>28070</v>
      </c>
      <c r="F388" s="279">
        <v>0</v>
      </c>
      <c r="G388" s="278">
        <f t="shared" ref="G388:G459" si="282">SUMIFS(L_1022_KWH_P1,L_1022_Revenue_Month,$B388,L_1022_Rate_Category,$D388)</f>
        <v>0</v>
      </c>
      <c r="H388" s="278">
        <f t="shared" ref="H388:H459" si="283">SUMIFS(L_1022_KWH_P2,L_1022_Revenue_Month,$B388,L_1022_Rate_Category,$D388)</f>
        <v>0</v>
      </c>
      <c r="I388" s="278">
        <f t="shared" ref="I388:I459" si="284">SUMIFS(L_1022_KWH_P3,L_1022_Revenue_Month,$B388,L_1022_Rate_Category,$D388)</f>
        <v>0</v>
      </c>
      <c r="J388" s="278">
        <f t="shared" ref="J388:J459" si="285">SUMIFS(L_1022_KWH_Total,L_1022_Revenue_Month,$B388,L_1022_Rate_Category,$D388)</f>
        <v>28603574</v>
      </c>
      <c r="K388" s="280">
        <v>0</v>
      </c>
      <c r="L388" s="281">
        <f t="shared" ref="L388:L459" si="286">SUMIFS(L_1022_Demand_Base_Measured,L_1022_Revenue_Month,$B388,L_1022_Rate_Category,$D388)</f>
        <v>0</v>
      </c>
      <c r="M388" s="281">
        <f t="shared" ref="M388:M459" si="287">SUMIFS(L_1022_Demand_Inter_Measured,L_1022_Revenue_Month,$B388,L_1022_Rate_Category,$D388)</f>
        <v>0</v>
      </c>
      <c r="N388" s="281">
        <f t="shared" ref="N388:N459" si="288">SUMIFS(L_1022_Demand_Peak_Measured,L_1022_Revenue_Month,$B388,L_1022_Rate_Category,$D388)</f>
        <v>0</v>
      </c>
      <c r="O388" s="282">
        <v>0</v>
      </c>
      <c r="P388" s="282">
        <v>0</v>
      </c>
      <c r="Q388" s="282">
        <v>0</v>
      </c>
      <c r="R388" s="283">
        <f t="shared" ref="R388:R459" si="289">SUMIF(L_Rates_Tariff_Rate_Category,BD388,L_Rates_BSC)</f>
        <v>20</v>
      </c>
      <c r="S388" s="284">
        <f t="shared" si="278"/>
        <v>9.1340000000000005E-2</v>
      </c>
      <c r="T388" s="284">
        <f t="shared" ref="T388:T459" si="290">SUMIF(L_Rates_Tariff_Rate_Category,$BD388,L_Rates_Energy_P2)</f>
        <v>0</v>
      </c>
      <c r="U388" s="284">
        <f t="shared" ref="U388:U459" si="291">SUMIF(L_Rates_Tariff_Rate_Category,$BD388,L_Rates_Energy_P3)</f>
        <v>0</v>
      </c>
      <c r="V388" s="284">
        <f t="shared" ref="V388:V459" si="292">SUMIF(L_Rates_Tariff_Rate_Category,$BD388,L_Rates_Energy_Base_Fuel)</f>
        <v>2.725E-2</v>
      </c>
      <c r="W388" s="283">
        <f t="shared" ref="W388:W459" si="293">SUMIF(L_Rates_Tariff_Rate_Category,$BD388,L_Rates_Demand_Base)</f>
        <v>0</v>
      </c>
      <c r="X388" s="283">
        <f t="shared" ref="X388:X459" si="294">SUMIF(L_Rates_Tariff_Rate_Category,$BD388,L_Rates_Demand_Intermediate)</f>
        <v>0</v>
      </c>
      <c r="Y388" s="283">
        <f t="shared" ref="Y388:Y459" si="295">SUMIF(L_Rates_Tariff_Rate_Category,$BD388,L_Rates_Demand_Peak)</f>
        <v>0</v>
      </c>
      <c r="Z388" s="285">
        <f t="shared" ref="Z388:Z451" si="296">ROUND(($E388+$F388)*$R388,2)</f>
        <v>561400</v>
      </c>
      <c r="AA388" s="285">
        <f t="shared" ref="AA388:AA451" si="297">ROUND(IF(G388=0,(J388+K388)*S388,SUMPRODUCT(G388:I388,S388:U388)),2)</f>
        <v>2612650.4500000002</v>
      </c>
      <c r="AB388" s="285">
        <f t="shared" si="267"/>
        <v>0</v>
      </c>
      <c r="AC388" s="285">
        <f t="shared" si="268"/>
        <v>0</v>
      </c>
      <c r="AD388" s="285">
        <f t="shared" si="269"/>
        <v>0</v>
      </c>
      <c r="AE388" s="286">
        <v>0</v>
      </c>
      <c r="AF388" s="287">
        <f t="shared" ref="AF388:AF459" si="298">SUMIFS(L_1022_Revenue_Power_Factor,L_1022_Revenue_Month,$B388,L_1022_Rate_Category,$D388)</f>
        <v>0</v>
      </c>
      <c r="AG388" s="288">
        <f t="shared" ref="AG388:AG451" si="299">ROUND(Q388*Y388+P388*X388+O388*W388,2)</f>
        <v>0</v>
      </c>
      <c r="AH388" s="285">
        <f t="shared" si="270"/>
        <v>0</v>
      </c>
      <c r="AI388" s="286">
        <v>0</v>
      </c>
      <c r="AJ388" s="286">
        <v>0</v>
      </c>
      <c r="AK388" s="286">
        <v>0</v>
      </c>
      <c r="AL388" s="285">
        <f t="shared" ref="AL388:AL451" si="300">SUM(Z388:AG388,AI388:AK388)</f>
        <v>3174050.45</v>
      </c>
      <c r="AM388" s="285">
        <f t="shared" ref="AM388:AM459" si="301">AT388-SUM(AO388:AS388)</f>
        <v>3174044</v>
      </c>
      <c r="AN388" s="289">
        <f t="shared" si="271"/>
        <v>0.99999800000000005</v>
      </c>
      <c r="AO388" s="290">
        <f t="shared" ref="AO388:AO459" si="302">SUMIFS(L_SBR_FAC,L_SBR_Revenue_Month,$B388,L_SBR_Rate_Category,$D388)</f>
        <v>-10107</v>
      </c>
      <c r="AP388" s="290">
        <f t="shared" ref="AP388:AP459" si="303">SUMIFS(L_SBR_DSM,L_SBR_Revenue_Month,$B388,L_SBR_Rate_Category,$D388)</f>
        <v>83511</v>
      </c>
      <c r="AQ388" s="290">
        <f t="shared" ref="AQ388:AQ459" si="304">SUMIFS(L_SBR_ECR,L_SBR_Revenue_Month,$B388,L_SBR_Rate_Category,$D388)</f>
        <v>148504</v>
      </c>
      <c r="AR388" s="290">
        <f t="shared" ref="AR388:AR459" si="305">SUMIFS(L_SBR_MSR,L_SBR_Revenue_Month,$B388,L_SBR_Rate_Category,$D388)</f>
        <v>0</v>
      </c>
      <c r="AS388" s="290">
        <f t="shared" ref="AS388:AS459" si="306">SUMIFS(L_SBR_CSR,L_SBR_Revenue_Month,$B388,L_SBR_Rate_Category,$D388)</f>
        <v>0</v>
      </c>
      <c r="AT388" s="290">
        <f t="shared" ref="AT388:AT459" si="307">SUMIFS(L_SBR_Revenue_Total,L_SBR_Revenue_Month,$B388,L_SBR_Rate_Category,$D388)</f>
        <v>3395952</v>
      </c>
      <c r="AU388" s="291">
        <f t="shared" ref="AU388:AU459" si="308">SUM(AL388,AO388:AS388)</f>
        <v>3395958.45</v>
      </c>
      <c r="AV388" s="291">
        <f t="shared" si="279"/>
        <v>-6.4500000001862645</v>
      </c>
      <c r="AW388" s="292">
        <f t="shared" ref="AW388:AW451" si="309">ROUND(J388*V388,2)</f>
        <v>779447.39</v>
      </c>
      <c r="AX388" s="293">
        <f t="shared" ref="AX388:AX451" si="310">AA388+AJ388-AW388</f>
        <v>1833203.06</v>
      </c>
      <c r="BC388" s="276">
        <f>IF(BI388=1,IF(BC387=MiscData!$F$1,EOMONTH(BC387,-11),EOMONTH(BC387,1)),BC387)</f>
        <v>41973</v>
      </c>
      <c r="BD388" s="275" t="str">
        <f t="shared" si="272"/>
        <v>20140101LGCME551</v>
      </c>
      <c r="BE388" s="294" t="str">
        <f t="shared" si="273"/>
        <v>20140101GSS</v>
      </c>
      <c r="BF388">
        <f>MiscData!$X$5</f>
        <v>20140101</v>
      </c>
      <c r="BI388" s="265">
        <f>IF(BI387+1&gt;MiscData!$Z$42,1,BI387+1)</f>
        <v>5</v>
      </c>
      <c r="BJ388" s="265" t="str">
        <f>VLOOKUP(BI388,MiscData!$Z$5:$AB$46,2,FALSE)</f>
        <v>LGCME551</v>
      </c>
      <c r="BK388" s="265" t="str">
        <f>VLOOKUP(BI388,MiscData!$Z$5:$AB$46,3,FALSE)</f>
        <v>GSS</v>
      </c>
    </row>
    <row r="389" spans="1:63" hidden="1">
      <c r="A389" s="275">
        <v>368</v>
      </c>
      <c r="B389" s="276" t="str">
        <f t="shared" ref="B389:B459" si="311">TEXT(BC389,"mmm yyyy")</f>
        <v>Nov 2014</v>
      </c>
      <c r="C389" s="277" t="s">
        <v>892</v>
      </c>
      <c r="D389" s="277" t="str">
        <f t="shared" ref="D389:D459" si="312">BJ389</f>
        <v>LGCME551UM</v>
      </c>
      <c r="E389" s="278">
        <f t="shared" si="281"/>
        <v>0</v>
      </c>
      <c r="F389" s="279">
        <v>0</v>
      </c>
      <c r="G389" s="278">
        <f t="shared" si="282"/>
        <v>0</v>
      </c>
      <c r="H389" s="278">
        <f t="shared" si="283"/>
        <v>0</v>
      </c>
      <c r="I389" s="278">
        <f t="shared" si="284"/>
        <v>0</v>
      </c>
      <c r="J389" s="278">
        <f t="shared" si="285"/>
        <v>0</v>
      </c>
      <c r="K389" s="280">
        <v>0</v>
      </c>
      <c r="L389" s="281">
        <f t="shared" si="286"/>
        <v>0</v>
      </c>
      <c r="M389" s="281">
        <f t="shared" si="287"/>
        <v>0</v>
      </c>
      <c r="N389" s="281">
        <f t="shared" si="288"/>
        <v>0</v>
      </c>
      <c r="O389" s="282">
        <v>0</v>
      </c>
      <c r="P389" s="282">
        <v>0</v>
      </c>
      <c r="Q389" s="282">
        <v>0</v>
      </c>
      <c r="R389" s="283">
        <f t="shared" si="289"/>
        <v>20</v>
      </c>
      <c r="S389" s="284">
        <f t="shared" si="278"/>
        <v>9.1340000000000005E-2</v>
      </c>
      <c r="T389" s="284">
        <f t="shared" si="290"/>
        <v>0</v>
      </c>
      <c r="U389" s="284">
        <f t="shared" si="291"/>
        <v>0</v>
      </c>
      <c r="V389" s="284">
        <f t="shared" si="292"/>
        <v>2.725E-2</v>
      </c>
      <c r="W389" s="283">
        <f t="shared" si="293"/>
        <v>0</v>
      </c>
      <c r="X389" s="283">
        <f t="shared" si="294"/>
        <v>0</v>
      </c>
      <c r="Y389" s="283">
        <f t="shared" si="295"/>
        <v>0</v>
      </c>
      <c r="Z389" s="285">
        <f t="shared" si="296"/>
        <v>0</v>
      </c>
      <c r="AA389" s="285">
        <f t="shared" si="297"/>
        <v>0</v>
      </c>
      <c r="AB389" s="285">
        <f t="shared" ref="AB389:AB452" si="313">ROUND(L389*W389,2)</f>
        <v>0</v>
      </c>
      <c r="AC389" s="285">
        <f t="shared" ref="AC389:AC452" si="314">ROUND(M389*X389,2)</f>
        <v>0</v>
      </c>
      <c r="AD389" s="285">
        <f t="shared" ref="AD389:AD452" si="315">ROUND(N389*Y389,2)</f>
        <v>0</v>
      </c>
      <c r="AE389" s="286">
        <v>0</v>
      </c>
      <c r="AF389" s="287">
        <f t="shared" si="298"/>
        <v>0</v>
      </c>
      <c r="AG389" s="288">
        <f t="shared" si="299"/>
        <v>0</v>
      </c>
      <c r="AH389" s="285">
        <f t="shared" ref="AH389:AH459" si="316">SUM(AB389:AG389)</f>
        <v>0</v>
      </c>
      <c r="AI389" s="286">
        <v>0</v>
      </c>
      <c r="AJ389" s="286">
        <v>0</v>
      </c>
      <c r="AK389" s="286">
        <v>0</v>
      </c>
      <c r="AL389" s="285">
        <f t="shared" si="300"/>
        <v>0</v>
      </c>
      <c r="AM389" s="285">
        <f t="shared" si="301"/>
        <v>0</v>
      </c>
      <c r="AN389" s="289">
        <f t="shared" ref="AN389:AN459" si="317">IF(AND(AL389=0,AM389=0),1,IF(AL389=0,0,ROUND(AM389/AL389,6)))</f>
        <v>1</v>
      </c>
      <c r="AO389" s="290">
        <f t="shared" si="302"/>
        <v>0</v>
      </c>
      <c r="AP389" s="290">
        <f t="shared" si="303"/>
        <v>0</v>
      </c>
      <c r="AQ389" s="290">
        <f t="shared" si="304"/>
        <v>0</v>
      </c>
      <c r="AR389" s="290">
        <f t="shared" si="305"/>
        <v>0</v>
      </c>
      <c r="AS389" s="290">
        <f t="shared" si="306"/>
        <v>0</v>
      </c>
      <c r="AT389" s="290">
        <f t="shared" si="307"/>
        <v>0</v>
      </c>
      <c r="AU389" s="291">
        <f t="shared" si="308"/>
        <v>0</v>
      </c>
      <c r="AV389" s="291">
        <f t="shared" ref="AV389:AV415" si="318">AT389-AU389</f>
        <v>0</v>
      </c>
      <c r="AW389" s="292">
        <f t="shared" si="309"/>
        <v>0</v>
      </c>
      <c r="AX389" s="293">
        <f t="shared" si="310"/>
        <v>0</v>
      </c>
      <c r="BC389" s="276">
        <f>IF(BI389=1,IF(BC388=MiscData!$F$1,EOMONTH(BC388,-11),EOMONTH(BC388,1)),BC388)</f>
        <v>41973</v>
      </c>
      <c r="BD389" s="275" t="str">
        <f t="shared" ref="BD389:BD459" si="319">CONCATENATE(BF389&amp;BJ389)</f>
        <v>20140101LGCME551UM</v>
      </c>
      <c r="BE389" s="294" t="str">
        <f t="shared" ref="BE389:BE459" si="320">CONCATENATE(BF389&amp;BK389)</f>
        <v>20140101GSS</v>
      </c>
      <c r="BF389">
        <f>MiscData!$X$5</f>
        <v>20140101</v>
      </c>
      <c r="BI389" s="265">
        <f>IF(BI388+1&gt;MiscData!$Z$42,1,BI388+1)</f>
        <v>6</v>
      </c>
      <c r="BJ389" s="265" t="str">
        <f>VLOOKUP(BI389,MiscData!$Z$5:$AB$46,2,FALSE)</f>
        <v>LGCME551UM</v>
      </c>
      <c r="BK389" s="265" t="str">
        <f>VLOOKUP(BI389,MiscData!$Z$5:$AB$46,3,FALSE)</f>
        <v>GSS</v>
      </c>
    </row>
    <row r="390" spans="1:63" hidden="1">
      <c r="A390" s="275">
        <v>369</v>
      </c>
      <c r="B390" s="276" t="str">
        <f t="shared" si="311"/>
        <v>Nov 2014</v>
      </c>
      <c r="C390" s="277" t="s">
        <v>892</v>
      </c>
      <c r="D390" s="277" t="str">
        <f t="shared" si="312"/>
        <v>LGCME552</v>
      </c>
      <c r="E390" s="278">
        <f t="shared" si="281"/>
        <v>0</v>
      </c>
      <c r="F390" s="279">
        <f>-E390</f>
        <v>0</v>
      </c>
      <c r="G390" s="278">
        <f t="shared" si="282"/>
        <v>0</v>
      </c>
      <c r="H390" s="278">
        <f t="shared" si="283"/>
        <v>0</v>
      </c>
      <c r="I390" s="278">
        <f t="shared" si="284"/>
        <v>0</v>
      </c>
      <c r="J390" s="278">
        <f t="shared" si="285"/>
        <v>0</v>
      </c>
      <c r="K390" s="280">
        <v>0</v>
      </c>
      <c r="L390" s="281">
        <f t="shared" si="286"/>
        <v>0</v>
      </c>
      <c r="M390" s="281">
        <f t="shared" si="287"/>
        <v>0</v>
      </c>
      <c r="N390" s="281">
        <f t="shared" si="288"/>
        <v>0</v>
      </c>
      <c r="O390" s="282">
        <v>0</v>
      </c>
      <c r="P390" s="282">
        <v>0</v>
      </c>
      <c r="Q390" s="282">
        <v>0</v>
      </c>
      <c r="R390" s="283">
        <f t="shared" si="289"/>
        <v>0</v>
      </c>
      <c r="S390" s="284">
        <f t="shared" si="278"/>
        <v>9.1340000000000005E-2</v>
      </c>
      <c r="T390" s="284">
        <f t="shared" si="290"/>
        <v>0</v>
      </c>
      <c r="U390" s="284">
        <f t="shared" si="291"/>
        <v>0</v>
      </c>
      <c r="V390" s="284">
        <f t="shared" si="292"/>
        <v>2.725E-2</v>
      </c>
      <c r="W390" s="283">
        <f t="shared" si="293"/>
        <v>0</v>
      </c>
      <c r="X390" s="283">
        <f t="shared" si="294"/>
        <v>0</v>
      </c>
      <c r="Y390" s="283">
        <f t="shared" si="295"/>
        <v>0</v>
      </c>
      <c r="Z390" s="285">
        <f t="shared" si="296"/>
        <v>0</v>
      </c>
      <c r="AA390" s="285">
        <f t="shared" si="297"/>
        <v>0</v>
      </c>
      <c r="AB390" s="285">
        <f t="shared" si="313"/>
        <v>0</v>
      </c>
      <c r="AC390" s="285">
        <f t="shared" si="314"/>
        <v>0</v>
      </c>
      <c r="AD390" s="285">
        <f t="shared" si="315"/>
        <v>0</v>
      </c>
      <c r="AE390" s="286">
        <v>0</v>
      </c>
      <c r="AF390" s="287">
        <f t="shared" si="298"/>
        <v>0</v>
      </c>
      <c r="AG390" s="288">
        <f t="shared" si="299"/>
        <v>0</v>
      </c>
      <c r="AH390" s="285">
        <f t="shared" si="316"/>
        <v>0</v>
      </c>
      <c r="AI390" s="286">
        <v>0</v>
      </c>
      <c r="AJ390" s="286">
        <v>0</v>
      </c>
      <c r="AK390" s="286">
        <v>0</v>
      </c>
      <c r="AL390" s="285">
        <f t="shared" si="300"/>
        <v>0</v>
      </c>
      <c r="AM390" s="285">
        <f t="shared" si="301"/>
        <v>0</v>
      </c>
      <c r="AN390" s="289">
        <f t="shared" si="317"/>
        <v>1</v>
      </c>
      <c r="AO390" s="290">
        <f t="shared" si="302"/>
        <v>0</v>
      </c>
      <c r="AP390" s="290">
        <f t="shared" si="303"/>
        <v>0</v>
      </c>
      <c r="AQ390" s="290">
        <f t="shared" si="304"/>
        <v>0</v>
      </c>
      <c r="AR390" s="290">
        <f t="shared" si="305"/>
        <v>0</v>
      </c>
      <c r="AS390" s="290">
        <f t="shared" si="306"/>
        <v>0</v>
      </c>
      <c r="AT390" s="290">
        <f t="shared" si="307"/>
        <v>0</v>
      </c>
      <c r="AU390" s="291">
        <f t="shared" si="308"/>
        <v>0</v>
      </c>
      <c r="AV390" s="291">
        <f t="shared" si="318"/>
        <v>0</v>
      </c>
      <c r="AW390" s="292">
        <f t="shared" si="309"/>
        <v>0</v>
      </c>
      <c r="AX390" s="293">
        <f t="shared" si="310"/>
        <v>0</v>
      </c>
      <c r="BC390" s="276">
        <f>IF(BI390=1,IF(BC389=MiscData!$F$1,EOMONTH(BC389,-11),EOMONTH(BC389,1)),BC389)</f>
        <v>41973</v>
      </c>
      <c r="BD390" s="275" t="str">
        <f t="shared" si="319"/>
        <v>20140101LGCME552</v>
      </c>
      <c r="BE390" s="294" t="str">
        <f t="shared" si="320"/>
        <v>20140101GSS</v>
      </c>
      <c r="BF390">
        <f>MiscData!$X$5</f>
        <v>20140101</v>
      </c>
      <c r="BI390" s="265">
        <f>IF(BI389+1&gt;MiscData!$Z$42,1,BI389+1)</f>
        <v>7</v>
      </c>
      <c r="BJ390" s="265" t="str">
        <f>VLOOKUP(BI390,MiscData!$Z$5:$AB$46,2,FALSE)</f>
        <v>LGCME552</v>
      </c>
      <c r="BK390" s="265" t="str">
        <f>VLOOKUP(BI390,MiscData!$Z$5:$AB$46,3,FALSE)</f>
        <v>GSS</v>
      </c>
    </row>
    <row r="391" spans="1:63" hidden="1">
      <c r="A391" s="275">
        <v>370</v>
      </c>
      <c r="B391" s="276" t="str">
        <f t="shared" si="311"/>
        <v>Nov 2014</v>
      </c>
      <c r="C391" s="277" t="s">
        <v>892</v>
      </c>
      <c r="D391" s="277" t="str">
        <f t="shared" si="312"/>
        <v>LGCME557</v>
      </c>
      <c r="E391" s="278">
        <f t="shared" si="281"/>
        <v>0</v>
      </c>
      <c r="F391" s="279">
        <v>0</v>
      </c>
      <c r="G391" s="278">
        <f t="shared" si="282"/>
        <v>0</v>
      </c>
      <c r="H391" s="278">
        <f t="shared" si="283"/>
        <v>0</v>
      </c>
      <c r="I391" s="278">
        <f t="shared" si="284"/>
        <v>0</v>
      </c>
      <c r="J391" s="278">
        <f t="shared" si="285"/>
        <v>0</v>
      </c>
      <c r="K391" s="280">
        <v>0</v>
      </c>
      <c r="L391" s="281">
        <f t="shared" si="286"/>
        <v>0</v>
      </c>
      <c r="M391" s="281">
        <f t="shared" si="287"/>
        <v>0</v>
      </c>
      <c r="N391" s="281">
        <f t="shared" si="288"/>
        <v>0</v>
      </c>
      <c r="O391" s="282">
        <v>0</v>
      </c>
      <c r="P391" s="282">
        <v>0</v>
      </c>
      <c r="Q391" s="282">
        <v>0</v>
      </c>
      <c r="R391" s="283">
        <f t="shared" si="289"/>
        <v>20</v>
      </c>
      <c r="S391" s="284">
        <f t="shared" si="278"/>
        <v>9.1340000000000005E-2</v>
      </c>
      <c r="T391" s="284">
        <f t="shared" si="290"/>
        <v>0</v>
      </c>
      <c r="U391" s="284">
        <f t="shared" si="291"/>
        <v>0</v>
      </c>
      <c r="V391" s="284">
        <f t="shared" si="292"/>
        <v>2.725E-2</v>
      </c>
      <c r="W391" s="283">
        <f t="shared" si="293"/>
        <v>0</v>
      </c>
      <c r="X391" s="283">
        <f t="shared" si="294"/>
        <v>0</v>
      </c>
      <c r="Y391" s="283">
        <f t="shared" si="295"/>
        <v>0</v>
      </c>
      <c r="Z391" s="285">
        <f t="shared" si="296"/>
        <v>0</v>
      </c>
      <c r="AA391" s="285">
        <f t="shared" si="297"/>
        <v>0</v>
      </c>
      <c r="AB391" s="285">
        <f t="shared" si="313"/>
        <v>0</v>
      </c>
      <c r="AC391" s="285">
        <f t="shared" si="314"/>
        <v>0</v>
      </c>
      <c r="AD391" s="285">
        <f t="shared" si="315"/>
        <v>0</v>
      </c>
      <c r="AE391" s="286">
        <v>0</v>
      </c>
      <c r="AF391" s="287">
        <f t="shared" si="298"/>
        <v>0</v>
      </c>
      <c r="AG391" s="288">
        <f t="shared" si="299"/>
        <v>0</v>
      </c>
      <c r="AH391" s="285">
        <f t="shared" si="316"/>
        <v>0</v>
      </c>
      <c r="AI391" s="286">
        <v>0</v>
      </c>
      <c r="AJ391" s="286">
        <v>0</v>
      </c>
      <c r="AK391" s="286">
        <v>0</v>
      </c>
      <c r="AL391" s="285">
        <f t="shared" si="300"/>
        <v>0</v>
      </c>
      <c r="AM391" s="285">
        <f t="shared" si="301"/>
        <v>0</v>
      </c>
      <c r="AN391" s="289">
        <f t="shared" si="317"/>
        <v>1</v>
      </c>
      <c r="AO391" s="290">
        <f t="shared" si="302"/>
        <v>0</v>
      </c>
      <c r="AP391" s="290">
        <f t="shared" si="303"/>
        <v>0</v>
      </c>
      <c r="AQ391" s="290">
        <f t="shared" si="304"/>
        <v>0</v>
      </c>
      <c r="AR391" s="290">
        <f t="shared" si="305"/>
        <v>0</v>
      </c>
      <c r="AS391" s="290">
        <f t="shared" si="306"/>
        <v>0</v>
      </c>
      <c r="AT391" s="290">
        <f t="shared" si="307"/>
        <v>0</v>
      </c>
      <c r="AU391" s="291">
        <f t="shared" si="308"/>
        <v>0</v>
      </c>
      <c r="AV391" s="291">
        <f t="shared" si="318"/>
        <v>0</v>
      </c>
      <c r="AW391" s="292">
        <f t="shared" si="309"/>
        <v>0</v>
      </c>
      <c r="AX391" s="293">
        <f t="shared" si="310"/>
        <v>0</v>
      </c>
      <c r="BC391" s="276">
        <f>IF(BI391=1,IF(BC390=MiscData!$F$1,EOMONTH(BC390,-11),EOMONTH(BC390,1)),BC390)</f>
        <v>41973</v>
      </c>
      <c r="BD391" s="275" t="str">
        <f t="shared" si="319"/>
        <v>20140101LGCME557</v>
      </c>
      <c r="BE391" s="294" t="str">
        <f t="shared" si="320"/>
        <v>20140101GSS</v>
      </c>
      <c r="BF391">
        <f>MiscData!$X$5</f>
        <v>20140101</v>
      </c>
      <c r="BI391" s="265">
        <f>IF(BI390+1&gt;MiscData!$Z$42,1,BI390+1)</f>
        <v>8</v>
      </c>
      <c r="BJ391" s="265" t="str">
        <f>VLOOKUP(BI391,MiscData!$Z$5:$AB$46,2,FALSE)</f>
        <v>LGCME557</v>
      </c>
      <c r="BK391" s="265" t="str">
        <f>VLOOKUP(BI391,MiscData!$Z$5:$AB$46,3,FALSE)</f>
        <v>GSS</v>
      </c>
    </row>
    <row r="392" spans="1:63" hidden="1">
      <c r="A392" s="275">
        <v>371</v>
      </c>
      <c r="B392" s="276" t="str">
        <f t="shared" si="311"/>
        <v>Nov 2014</v>
      </c>
      <c r="C392" s="277" t="str">
        <f t="shared" ref="C392:C459" si="321">BK392</f>
        <v>PSS</v>
      </c>
      <c r="D392" s="277" t="str">
        <f t="shared" si="312"/>
        <v>LGCME561</v>
      </c>
      <c r="E392" s="278">
        <f t="shared" si="281"/>
        <v>2573</v>
      </c>
      <c r="F392" s="279">
        <v>0</v>
      </c>
      <c r="G392" s="278">
        <f t="shared" si="282"/>
        <v>0</v>
      </c>
      <c r="H392" s="278">
        <f t="shared" si="283"/>
        <v>0</v>
      </c>
      <c r="I392" s="278">
        <f t="shared" si="284"/>
        <v>0</v>
      </c>
      <c r="J392" s="278">
        <f t="shared" si="285"/>
        <v>128845885</v>
      </c>
      <c r="K392" s="280">
        <v>0</v>
      </c>
      <c r="L392" s="281">
        <f t="shared" si="286"/>
        <v>0</v>
      </c>
      <c r="M392" s="281">
        <f t="shared" si="287"/>
        <v>319974.63</v>
      </c>
      <c r="N392" s="281">
        <f t="shared" si="288"/>
        <v>0</v>
      </c>
      <c r="O392" s="282">
        <v>0</v>
      </c>
      <c r="P392" s="282">
        <v>0</v>
      </c>
      <c r="Q392" s="282">
        <v>0</v>
      </c>
      <c r="R392" s="283">
        <f t="shared" si="289"/>
        <v>90</v>
      </c>
      <c r="S392" s="284">
        <f t="shared" si="278"/>
        <v>4.0599999999999997E-2</v>
      </c>
      <c r="T392" s="284">
        <f t="shared" si="290"/>
        <v>0</v>
      </c>
      <c r="U392" s="284">
        <f t="shared" si="291"/>
        <v>0</v>
      </c>
      <c r="V392" s="284">
        <f t="shared" si="292"/>
        <v>2.725E-2</v>
      </c>
      <c r="W392" s="283">
        <f t="shared" si="293"/>
        <v>0</v>
      </c>
      <c r="X392" s="283">
        <f t="shared" si="294"/>
        <v>14.010000000000002</v>
      </c>
      <c r="Y392" s="283">
        <f t="shared" si="295"/>
        <v>16.399999999999999</v>
      </c>
      <c r="Z392" s="285">
        <f t="shared" si="296"/>
        <v>231570</v>
      </c>
      <c r="AA392" s="285">
        <f t="shared" si="297"/>
        <v>5231142.93</v>
      </c>
      <c r="AB392" s="285">
        <f t="shared" si="313"/>
        <v>0</v>
      </c>
      <c r="AC392" s="285">
        <f t="shared" si="314"/>
        <v>4482844.57</v>
      </c>
      <c r="AD392" s="285">
        <f t="shared" si="315"/>
        <v>0</v>
      </c>
      <c r="AE392" s="286">
        <v>0</v>
      </c>
      <c r="AF392" s="287">
        <f t="shared" si="298"/>
        <v>0</v>
      </c>
      <c r="AG392" s="288">
        <f t="shared" si="299"/>
        <v>0</v>
      </c>
      <c r="AH392" s="285">
        <f t="shared" si="316"/>
        <v>4482844.57</v>
      </c>
      <c r="AI392" s="286">
        <v>0</v>
      </c>
      <c r="AJ392" s="286">
        <v>0</v>
      </c>
      <c r="AK392" s="286">
        <v>0</v>
      </c>
      <c r="AL392" s="285">
        <f t="shared" si="300"/>
        <v>9945557.5</v>
      </c>
      <c r="AM392" s="285">
        <f t="shared" si="301"/>
        <v>9945557</v>
      </c>
      <c r="AN392" s="289">
        <f t="shared" si="317"/>
        <v>1</v>
      </c>
      <c r="AO392" s="290">
        <f t="shared" si="302"/>
        <v>-45529</v>
      </c>
      <c r="AP392" s="290">
        <f t="shared" si="303"/>
        <v>376178</v>
      </c>
      <c r="AQ392" s="290">
        <f t="shared" si="304"/>
        <v>668943</v>
      </c>
      <c r="AR392" s="290">
        <f t="shared" si="305"/>
        <v>0</v>
      </c>
      <c r="AS392" s="290">
        <f t="shared" si="306"/>
        <v>0</v>
      </c>
      <c r="AT392" s="290">
        <f t="shared" si="307"/>
        <v>10945149</v>
      </c>
      <c r="AU392" s="291">
        <f t="shared" si="308"/>
        <v>10945149.5</v>
      </c>
      <c r="AV392" s="291">
        <f t="shared" si="318"/>
        <v>-0.5</v>
      </c>
      <c r="AW392" s="292">
        <f t="shared" si="309"/>
        <v>3511050.37</v>
      </c>
      <c r="AX392" s="293">
        <f t="shared" si="310"/>
        <v>1720092.5599999996</v>
      </c>
      <c r="BC392" s="276">
        <f>IF(BI392=1,IF(BC391=MiscData!$F$1,EOMONTH(BC391,-11),EOMONTH(BC391,1)),BC391)</f>
        <v>41973</v>
      </c>
      <c r="BD392" s="275" t="str">
        <f t="shared" si="319"/>
        <v>20140101LGCME561</v>
      </c>
      <c r="BE392" s="294" t="str">
        <f t="shared" si="320"/>
        <v>20140101PSS</v>
      </c>
      <c r="BF392">
        <f>MiscData!$X$5</f>
        <v>20140101</v>
      </c>
      <c r="BI392" s="265">
        <f>IF(BI391+1&gt;MiscData!$Z$42,1,BI391+1)</f>
        <v>9</v>
      </c>
      <c r="BJ392" s="265" t="str">
        <f>VLOOKUP(BI392,MiscData!$Z$5:$AB$46,2,FALSE)</f>
        <v>LGCME561</v>
      </c>
      <c r="BK392" s="265" t="str">
        <f>VLOOKUP(BI392,MiscData!$Z$5:$AB$46,3,FALSE)</f>
        <v>PSS</v>
      </c>
    </row>
    <row r="393" spans="1:63" hidden="1">
      <c r="A393" s="275">
        <v>372</v>
      </c>
      <c r="B393" s="276" t="str">
        <f t="shared" si="311"/>
        <v>Nov 2014</v>
      </c>
      <c r="C393" s="277" t="str">
        <f t="shared" si="321"/>
        <v>PSP</v>
      </c>
      <c r="D393" s="277" t="str">
        <f t="shared" si="312"/>
        <v>LGCME563</v>
      </c>
      <c r="E393" s="278">
        <f t="shared" si="281"/>
        <v>52</v>
      </c>
      <c r="F393" s="279">
        <v>0</v>
      </c>
      <c r="G393" s="278">
        <f t="shared" si="282"/>
        <v>0</v>
      </c>
      <c r="H393" s="278">
        <f t="shared" si="283"/>
        <v>0</v>
      </c>
      <c r="I393" s="278">
        <f t="shared" si="284"/>
        <v>0</v>
      </c>
      <c r="J393" s="278">
        <f t="shared" si="285"/>
        <v>11215351</v>
      </c>
      <c r="K393" s="280">
        <v>0</v>
      </c>
      <c r="L393" s="281">
        <f t="shared" si="286"/>
        <v>0</v>
      </c>
      <c r="M393" s="281">
        <f t="shared" si="287"/>
        <v>27177.05</v>
      </c>
      <c r="N393" s="281">
        <f t="shared" si="288"/>
        <v>0</v>
      </c>
      <c r="O393" s="282">
        <v>0</v>
      </c>
      <c r="P393" s="282">
        <v>0</v>
      </c>
      <c r="Q393" s="282">
        <v>0</v>
      </c>
      <c r="R393" s="283">
        <f t="shared" si="289"/>
        <v>170</v>
      </c>
      <c r="S393" s="284">
        <f t="shared" si="278"/>
        <v>3.9260000000000003E-2</v>
      </c>
      <c r="T393" s="284">
        <f t="shared" si="290"/>
        <v>0</v>
      </c>
      <c r="U393" s="284">
        <f t="shared" si="291"/>
        <v>0</v>
      </c>
      <c r="V393" s="284">
        <f t="shared" si="292"/>
        <v>2.725E-2</v>
      </c>
      <c r="W393" s="283">
        <f t="shared" si="293"/>
        <v>0</v>
      </c>
      <c r="X393" s="283">
        <f t="shared" si="294"/>
        <v>11.660000000000002</v>
      </c>
      <c r="Y393" s="283">
        <f t="shared" si="295"/>
        <v>13.950000000000001</v>
      </c>
      <c r="Z393" s="285">
        <f t="shared" si="296"/>
        <v>8840</v>
      </c>
      <c r="AA393" s="285">
        <f t="shared" si="297"/>
        <v>440314.68</v>
      </c>
      <c r="AB393" s="285">
        <f t="shared" si="313"/>
        <v>0</v>
      </c>
      <c r="AC393" s="285">
        <f t="shared" si="314"/>
        <v>316884.40000000002</v>
      </c>
      <c r="AD393" s="285">
        <f t="shared" si="315"/>
        <v>0</v>
      </c>
      <c r="AE393" s="286">
        <v>0</v>
      </c>
      <c r="AF393" s="287">
        <f t="shared" si="298"/>
        <v>0</v>
      </c>
      <c r="AG393" s="288">
        <f t="shared" si="299"/>
        <v>0</v>
      </c>
      <c r="AH393" s="285">
        <f t="shared" si="316"/>
        <v>316884.40000000002</v>
      </c>
      <c r="AI393" s="286">
        <v>0</v>
      </c>
      <c r="AJ393" s="286">
        <v>0</v>
      </c>
      <c r="AK393" s="286">
        <v>0</v>
      </c>
      <c r="AL393" s="285">
        <f t="shared" si="300"/>
        <v>766039.08000000007</v>
      </c>
      <c r="AM393" s="285">
        <f t="shared" si="301"/>
        <v>766039</v>
      </c>
      <c r="AN393" s="289">
        <f t="shared" si="317"/>
        <v>1</v>
      </c>
      <c r="AO393" s="290">
        <f t="shared" si="302"/>
        <v>-3963</v>
      </c>
      <c r="AP393" s="290">
        <f t="shared" si="303"/>
        <v>32744</v>
      </c>
      <c r="AQ393" s="290">
        <f t="shared" si="304"/>
        <v>58228</v>
      </c>
      <c r="AR393" s="290">
        <f t="shared" si="305"/>
        <v>0</v>
      </c>
      <c r="AS393" s="290">
        <f t="shared" si="306"/>
        <v>0</v>
      </c>
      <c r="AT393" s="290">
        <f t="shared" si="307"/>
        <v>853048</v>
      </c>
      <c r="AU393" s="291">
        <f t="shared" si="308"/>
        <v>853048.08000000007</v>
      </c>
      <c r="AV393" s="291">
        <f>ROUND(AT393-AU393,2)</f>
        <v>-0.08</v>
      </c>
      <c r="AW393" s="292">
        <f t="shared" si="309"/>
        <v>305618.31</v>
      </c>
      <c r="AX393" s="293">
        <f t="shared" si="310"/>
        <v>134696.37</v>
      </c>
      <c r="BC393" s="276">
        <f>IF(BI393=1,IF(BC392=MiscData!$F$1,EOMONTH(BC392,-11),EOMONTH(BC392,1)),BC392)</f>
        <v>41973</v>
      </c>
      <c r="BD393" s="275" t="str">
        <f t="shared" si="319"/>
        <v>20140101LGCME563</v>
      </c>
      <c r="BE393" s="294" t="str">
        <f t="shared" si="320"/>
        <v>20140101PSP</v>
      </c>
      <c r="BF393">
        <f>MiscData!$X$5</f>
        <v>20140101</v>
      </c>
      <c r="BI393" s="265">
        <f>IF(BI392+1&gt;MiscData!$Z$42,1,BI392+1)</f>
        <v>10</v>
      </c>
      <c r="BJ393" s="265" t="str">
        <f>VLOOKUP(BI393,MiscData!$Z$5:$AB$46,2,FALSE)</f>
        <v>LGCME563</v>
      </c>
      <c r="BK393" s="265" t="str">
        <f>VLOOKUP(BI393,MiscData!$Z$5:$AB$46,3,FALSE)</f>
        <v>PSP</v>
      </c>
    </row>
    <row r="394" spans="1:63" hidden="1">
      <c r="A394" s="275">
        <v>373</v>
      </c>
      <c r="B394" s="276" t="str">
        <f t="shared" si="311"/>
        <v>Nov 2014</v>
      </c>
      <c r="C394" s="277" t="str">
        <f t="shared" si="321"/>
        <v>PSS</v>
      </c>
      <c r="D394" s="277" t="str">
        <f t="shared" si="312"/>
        <v>LGCME567</v>
      </c>
      <c r="E394" s="278">
        <f t="shared" si="281"/>
        <v>0</v>
      </c>
      <c r="F394" s="279">
        <v>0</v>
      </c>
      <c r="G394" s="278">
        <f t="shared" si="282"/>
        <v>0</v>
      </c>
      <c r="H394" s="278">
        <f t="shared" si="283"/>
        <v>0</v>
      </c>
      <c r="I394" s="278">
        <f t="shared" si="284"/>
        <v>0</v>
      </c>
      <c r="J394" s="278">
        <f t="shared" si="285"/>
        <v>0</v>
      </c>
      <c r="K394" s="280">
        <v>0</v>
      </c>
      <c r="L394" s="281">
        <f t="shared" si="286"/>
        <v>0</v>
      </c>
      <c r="M394" s="281">
        <f t="shared" si="287"/>
        <v>0</v>
      </c>
      <c r="N394" s="281">
        <f t="shared" si="288"/>
        <v>0</v>
      </c>
      <c r="O394" s="282">
        <v>0</v>
      </c>
      <c r="P394" s="282">
        <v>0</v>
      </c>
      <c r="Q394" s="282">
        <v>0</v>
      </c>
      <c r="R394" s="283">
        <f t="shared" si="289"/>
        <v>90</v>
      </c>
      <c r="S394" s="284">
        <f t="shared" si="278"/>
        <v>4.0599999999999997E-2</v>
      </c>
      <c r="T394" s="284">
        <f t="shared" si="290"/>
        <v>0</v>
      </c>
      <c r="U394" s="284">
        <f t="shared" si="291"/>
        <v>0</v>
      </c>
      <c r="V394" s="284">
        <f t="shared" si="292"/>
        <v>2.725E-2</v>
      </c>
      <c r="W394" s="283">
        <f t="shared" si="293"/>
        <v>0</v>
      </c>
      <c r="X394" s="283">
        <f t="shared" si="294"/>
        <v>14.010000000000002</v>
      </c>
      <c r="Y394" s="283">
        <f t="shared" si="295"/>
        <v>16.399999999999999</v>
      </c>
      <c r="Z394" s="285">
        <f t="shared" si="296"/>
        <v>0</v>
      </c>
      <c r="AA394" s="285">
        <f t="shared" si="297"/>
        <v>0</v>
      </c>
      <c r="AB394" s="285">
        <f t="shared" si="313"/>
        <v>0</v>
      </c>
      <c r="AC394" s="285">
        <f t="shared" si="314"/>
        <v>0</v>
      </c>
      <c r="AD394" s="285">
        <f t="shared" si="315"/>
        <v>0</v>
      </c>
      <c r="AE394" s="286">
        <v>0</v>
      </c>
      <c r="AF394" s="287">
        <f t="shared" si="298"/>
        <v>0</v>
      </c>
      <c r="AG394" s="288">
        <f t="shared" si="299"/>
        <v>0</v>
      </c>
      <c r="AH394" s="285">
        <f t="shared" si="316"/>
        <v>0</v>
      </c>
      <c r="AI394" s="286">
        <v>0</v>
      </c>
      <c r="AJ394" s="286">
        <v>0</v>
      </c>
      <c r="AK394" s="286">
        <v>0</v>
      </c>
      <c r="AL394" s="285">
        <f t="shared" si="300"/>
        <v>0</v>
      </c>
      <c r="AM394" s="285">
        <f t="shared" si="301"/>
        <v>0</v>
      </c>
      <c r="AN394" s="289">
        <f t="shared" si="317"/>
        <v>1</v>
      </c>
      <c r="AO394" s="290">
        <f t="shared" si="302"/>
        <v>0</v>
      </c>
      <c r="AP394" s="290">
        <f t="shared" si="303"/>
        <v>0</v>
      </c>
      <c r="AQ394" s="290">
        <f t="shared" si="304"/>
        <v>0</v>
      </c>
      <c r="AR394" s="290">
        <f t="shared" si="305"/>
        <v>0</v>
      </c>
      <c r="AS394" s="290">
        <f t="shared" si="306"/>
        <v>0</v>
      </c>
      <c r="AT394" s="290">
        <f t="shared" si="307"/>
        <v>0</v>
      </c>
      <c r="AU394" s="291">
        <f t="shared" si="308"/>
        <v>0</v>
      </c>
      <c r="AV394" s="291">
        <f t="shared" si="318"/>
        <v>0</v>
      </c>
      <c r="AW394" s="292">
        <f t="shared" si="309"/>
        <v>0</v>
      </c>
      <c r="AX394" s="293">
        <f t="shared" si="310"/>
        <v>0</v>
      </c>
      <c r="BC394" s="276">
        <f>IF(BI394=1,IF(BC393=MiscData!$F$1,EOMONTH(BC393,-11),EOMONTH(BC393,1)),BC393)</f>
        <v>41973</v>
      </c>
      <c r="BD394" s="275" t="str">
        <f t="shared" si="319"/>
        <v>20140101LGCME567</v>
      </c>
      <c r="BE394" s="294" t="str">
        <f t="shared" si="320"/>
        <v>20140101PSS</v>
      </c>
      <c r="BF394">
        <f>MiscData!$X$5</f>
        <v>20140101</v>
      </c>
      <c r="BI394" s="265">
        <f>IF(BI393+1&gt;MiscData!$Z$42,1,BI393+1)</f>
        <v>11</v>
      </c>
      <c r="BJ394" s="265" t="str">
        <f>VLOOKUP(BI394,MiscData!$Z$5:$AB$46,2,FALSE)</f>
        <v>LGCME567</v>
      </c>
      <c r="BK394" s="265" t="str">
        <f>VLOOKUP(BI394,MiscData!$Z$5:$AB$46,3,FALSE)</f>
        <v>PSS</v>
      </c>
    </row>
    <row r="395" spans="1:63" hidden="1">
      <c r="A395" s="275">
        <v>374</v>
      </c>
      <c r="B395" s="276" t="str">
        <f t="shared" si="311"/>
        <v>Nov 2014</v>
      </c>
      <c r="C395" s="277" t="str">
        <f t="shared" si="321"/>
        <v>TODS</v>
      </c>
      <c r="D395" s="277" t="str">
        <f t="shared" si="312"/>
        <v>LGCME591</v>
      </c>
      <c r="E395" s="278">
        <f t="shared" si="281"/>
        <v>208</v>
      </c>
      <c r="F395" s="279">
        <v>0</v>
      </c>
      <c r="G395" s="278">
        <f t="shared" si="282"/>
        <v>0</v>
      </c>
      <c r="H395" s="278">
        <f t="shared" si="283"/>
        <v>0</v>
      </c>
      <c r="I395" s="278">
        <f t="shared" si="284"/>
        <v>0</v>
      </c>
      <c r="J395" s="278">
        <f t="shared" si="285"/>
        <v>54908223</v>
      </c>
      <c r="K395" s="280">
        <v>0</v>
      </c>
      <c r="L395" s="281">
        <f t="shared" si="286"/>
        <v>126641.58</v>
      </c>
      <c r="M395" s="281">
        <f t="shared" si="287"/>
        <v>119511.25</v>
      </c>
      <c r="N395" s="281">
        <f t="shared" si="288"/>
        <v>115331.89</v>
      </c>
      <c r="O395" s="282">
        <v>0</v>
      </c>
      <c r="P395" s="282">
        <v>0</v>
      </c>
      <c r="Q395" s="282">
        <v>0</v>
      </c>
      <c r="R395" s="283">
        <f t="shared" si="289"/>
        <v>200</v>
      </c>
      <c r="S395" s="284">
        <f t="shared" si="278"/>
        <v>3.9899999999999998E-2</v>
      </c>
      <c r="T395" s="284">
        <f t="shared" si="290"/>
        <v>0</v>
      </c>
      <c r="U395" s="284">
        <f t="shared" si="291"/>
        <v>0</v>
      </c>
      <c r="V395" s="284">
        <f t="shared" si="292"/>
        <v>2.725E-2</v>
      </c>
      <c r="W395" s="283">
        <f t="shared" si="293"/>
        <v>4</v>
      </c>
      <c r="X395" s="283">
        <f t="shared" si="294"/>
        <v>4.5100000000000007</v>
      </c>
      <c r="Y395" s="283">
        <f t="shared" si="295"/>
        <v>6.11</v>
      </c>
      <c r="Z395" s="285">
        <f t="shared" si="296"/>
        <v>41600</v>
      </c>
      <c r="AA395" s="285">
        <f t="shared" si="297"/>
        <v>2190838.1</v>
      </c>
      <c r="AB395" s="285">
        <f t="shared" si="313"/>
        <v>506566.32</v>
      </c>
      <c r="AC395" s="285">
        <f t="shared" si="314"/>
        <v>538995.74</v>
      </c>
      <c r="AD395" s="285">
        <f t="shared" si="315"/>
        <v>704677.85</v>
      </c>
      <c r="AE395" s="286">
        <v>0</v>
      </c>
      <c r="AF395" s="287">
        <f t="shared" si="298"/>
        <v>0</v>
      </c>
      <c r="AG395" s="288">
        <f t="shared" si="299"/>
        <v>0</v>
      </c>
      <c r="AH395" s="285">
        <f t="shared" si="316"/>
        <v>1750239.9100000001</v>
      </c>
      <c r="AI395" s="286">
        <v>0</v>
      </c>
      <c r="AJ395" s="286">
        <v>0</v>
      </c>
      <c r="AK395" s="286">
        <v>0</v>
      </c>
      <c r="AL395" s="285">
        <f t="shared" si="300"/>
        <v>3982678.0100000002</v>
      </c>
      <c r="AM395" s="285">
        <f t="shared" si="301"/>
        <v>3982677</v>
      </c>
      <c r="AN395" s="289">
        <f t="shared" si="317"/>
        <v>1</v>
      </c>
      <c r="AO395" s="290">
        <f t="shared" si="302"/>
        <v>-19402</v>
      </c>
      <c r="AP395" s="290">
        <f t="shared" si="303"/>
        <v>160310</v>
      </c>
      <c r="AQ395" s="290">
        <f t="shared" si="304"/>
        <v>285073</v>
      </c>
      <c r="AR395" s="290">
        <f t="shared" si="305"/>
        <v>0</v>
      </c>
      <c r="AS395" s="290">
        <f t="shared" si="306"/>
        <v>0</v>
      </c>
      <c r="AT395" s="290">
        <f t="shared" si="307"/>
        <v>4408658</v>
      </c>
      <c r="AU395" s="291">
        <f t="shared" si="308"/>
        <v>4408659.01</v>
      </c>
      <c r="AV395" s="291">
        <f t="shared" si="318"/>
        <v>-1.0099999997764826</v>
      </c>
      <c r="AW395" s="292">
        <f t="shared" si="309"/>
        <v>1496249.08</v>
      </c>
      <c r="AX395" s="293">
        <f t="shared" si="310"/>
        <v>694589.02</v>
      </c>
      <c r="BC395" s="276">
        <f>IF(BI395=1,IF(BC394=MiscData!$F$1,EOMONTH(BC394,-11),EOMONTH(BC394,1)),BC394)</f>
        <v>41973</v>
      </c>
      <c r="BD395" s="275" t="str">
        <f t="shared" si="319"/>
        <v>20140101LGCME591</v>
      </c>
      <c r="BE395" s="294" t="str">
        <f t="shared" si="320"/>
        <v>20140101TODS</v>
      </c>
      <c r="BF395">
        <f>MiscData!$X$5</f>
        <v>20140101</v>
      </c>
      <c r="BI395" s="265">
        <f>IF(BI394+1&gt;MiscData!$Z$42,1,BI394+1)</f>
        <v>12</v>
      </c>
      <c r="BJ395" s="265" t="str">
        <f>VLOOKUP(BI395,MiscData!$Z$5:$AB$46,2,FALSE)</f>
        <v>LGCME591</v>
      </c>
      <c r="BK395" s="265" t="str">
        <f>VLOOKUP(BI395,MiscData!$Z$5:$AB$46,3,FALSE)</f>
        <v>TODS</v>
      </c>
    </row>
    <row r="396" spans="1:63" hidden="1">
      <c r="A396" s="275">
        <v>375</v>
      </c>
      <c r="B396" s="276" t="str">
        <f t="shared" si="311"/>
        <v>Nov 2014</v>
      </c>
      <c r="C396" s="277" t="str">
        <f t="shared" si="321"/>
        <v>CTODP</v>
      </c>
      <c r="D396" s="277" t="str">
        <f t="shared" si="312"/>
        <v>LGCME593</v>
      </c>
      <c r="E396" s="278">
        <f t="shared" si="281"/>
        <v>35</v>
      </c>
      <c r="F396" s="279">
        <v>0</v>
      </c>
      <c r="G396" s="278">
        <f t="shared" si="282"/>
        <v>0</v>
      </c>
      <c r="H396" s="278">
        <f t="shared" si="283"/>
        <v>0</v>
      </c>
      <c r="I396" s="278">
        <f t="shared" si="284"/>
        <v>0</v>
      </c>
      <c r="J396" s="278">
        <f t="shared" si="285"/>
        <v>28058758</v>
      </c>
      <c r="K396" s="280">
        <v>0</v>
      </c>
      <c r="L396" s="281">
        <f t="shared" si="286"/>
        <v>70658.820000000007</v>
      </c>
      <c r="M396" s="281">
        <f t="shared" si="287"/>
        <v>65548.070000000007</v>
      </c>
      <c r="N396" s="281">
        <f t="shared" si="288"/>
        <v>63778.93</v>
      </c>
      <c r="O396" s="282">
        <v>0</v>
      </c>
      <c r="P396" s="282">
        <v>0</v>
      </c>
      <c r="Q396" s="282">
        <v>0</v>
      </c>
      <c r="R396" s="283">
        <f t="shared" si="289"/>
        <v>300</v>
      </c>
      <c r="S396" s="284">
        <f t="shared" si="278"/>
        <v>3.8100000000000002E-2</v>
      </c>
      <c r="T396" s="284">
        <f t="shared" si="290"/>
        <v>0</v>
      </c>
      <c r="U396" s="284">
        <f t="shared" si="291"/>
        <v>0</v>
      </c>
      <c r="V396" s="284">
        <f t="shared" si="292"/>
        <v>2.725E-2</v>
      </c>
      <c r="W396" s="283">
        <f t="shared" si="293"/>
        <v>3.9800000000000004</v>
      </c>
      <c r="X396" s="283">
        <f t="shared" si="294"/>
        <v>4.13</v>
      </c>
      <c r="Y396" s="283">
        <f t="shared" si="295"/>
        <v>5.83</v>
      </c>
      <c r="Z396" s="285">
        <f t="shared" si="296"/>
        <v>10500</v>
      </c>
      <c r="AA396" s="285">
        <f t="shared" si="297"/>
        <v>1069038.68</v>
      </c>
      <c r="AB396" s="285">
        <f t="shared" si="313"/>
        <v>281222.09999999998</v>
      </c>
      <c r="AC396" s="285">
        <f t="shared" si="314"/>
        <v>270713.53000000003</v>
      </c>
      <c r="AD396" s="285">
        <f t="shared" si="315"/>
        <v>371831.16</v>
      </c>
      <c r="AE396" s="286">
        <v>0</v>
      </c>
      <c r="AF396" s="287">
        <f t="shared" si="298"/>
        <v>0</v>
      </c>
      <c r="AG396" s="288">
        <f t="shared" si="299"/>
        <v>0</v>
      </c>
      <c r="AH396" s="285">
        <f t="shared" si="316"/>
        <v>923766.79</v>
      </c>
      <c r="AI396" s="286">
        <v>0</v>
      </c>
      <c r="AJ396" s="286">
        <v>0</v>
      </c>
      <c r="AK396" s="286">
        <v>0</v>
      </c>
      <c r="AL396" s="285">
        <f t="shared" si="300"/>
        <v>2003305.4699999997</v>
      </c>
      <c r="AM396" s="285">
        <f t="shared" si="301"/>
        <v>2003306</v>
      </c>
      <c r="AN396" s="289">
        <f t="shared" si="317"/>
        <v>1</v>
      </c>
      <c r="AO396" s="290">
        <f t="shared" si="302"/>
        <v>-9915</v>
      </c>
      <c r="AP396" s="290">
        <f t="shared" si="303"/>
        <v>81920</v>
      </c>
      <c r="AQ396" s="290">
        <f t="shared" si="304"/>
        <v>145676</v>
      </c>
      <c r="AR396" s="290">
        <f t="shared" si="305"/>
        <v>0</v>
      </c>
      <c r="AS396" s="290">
        <f t="shared" si="306"/>
        <v>0</v>
      </c>
      <c r="AT396" s="290">
        <f t="shared" si="307"/>
        <v>2220987</v>
      </c>
      <c r="AU396" s="291">
        <f t="shared" si="308"/>
        <v>2220986.4699999997</v>
      </c>
      <c r="AV396" s="291">
        <f t="shared" ref="AV396:AV402" si="322">ROUND(AT396-AU396,2)</f>
        <v>0.53</v>
      </c>
      <c r="AW396" s="292">
        <f t="shared" si="309"/>
        <v>764601.16</v>
      </c>
      <c r="AX396" s="293">
        <f t="shared" si="310"/>
        <v>304437.5199999999</v>
      </c>
      <c r="BC396" s="276">
        <f>IF(BI396=1,IF(BC395=MiscData!$F$1,EOMONTH(BC395,-11),EOMONTH(BC395,1)),BC395)</f>
        <v>41973</v>
      </c>
      <c r="BD396" s="275" t="str">
        <f t="shared" si="319"/>
        <v>20140101LGCME593</v>
      </c>
      <c r="BE396" s="294" t="str">
        <f t="shared" si="320"/>
        <v>20140101CTODP</v>
      </c>
      <c r="BF396">
        <f>MiscData!$X$5</f>
        <v>20140101</v>
      </c>
      <c r="BI396" s="265">
        <f>IF(BI395+1&gt;MiscData!$Z$42,1,BI395+1)</f>
        <v>13</v>
      </c>
      <c r="BJ396" s="265" t="str">
        <f>VLOOKUP(BI396,MiscData!$Z$5:$AB$46,2,FALSE)</f>
        <v>LGCME593</v>
      </c>
      <c r="BK396" s="265" t="str">
        <f>VLOOKUP(BI396,MiscData!$Z$5:$AB$46,3,FALSE)</f>
        <v>CTODP</v>
      </c>
    </row>
    <row r="397" spans="1:63" hidden="1">
      <c r="A397" s="275">
        <v>376</v>
      </c>
      <c r="B397" s="276" t="str">
        <f t="shared" si="311"/>
        <v>Nov 2014</v>
      </c>
      <c r="C397" s="277" t="str">
        <f t="shared" si="321"/>
        <v>GS3</v>
      </c>
      <c r="D397" s="277" t="str">
        <f t="shared" si="312"/>
        <v>LGCME650</v>
      </c>
      <c r="E397" s="278">
        <f t="shared" si="281"/>
        <v>0</v>
      </c>
      <c r="F397" s="279">
        <v>0</v>
      </c>
      <c r="G397" s="278">
        <f t="shared" si="282"/>
        <v>0</v>
      </c>
      <c r="H397" s="278">
        <f t="shared" si="283"/>
        <v>0</v>
      </c>
      <c r="I397" s="278">
        <f t="shared" si="284"/>
        <v>0</v>
      </c>
      <c r="J397" s="278">
        <f t="shared" si="285"/>
        <v>0</v>
      </c>
      <c r="K397" s="280">
        <v>0</v>
      </c>
      <c r="L397" s="281">
        <f t="shared" si="286"/>
        <v>0</v>
      </c>
      <c r="M397" s="281">
        <f t="shared" si="287"/>
        <v>0</v>
      </c>
      <c r="N397" s="281">
        <f t="shared" si="288"/>
        <v>0</v>
      </c>
      <c r="O397" s="282">
        <v>0</v>
      </c>
      <c r="P397" s="282">
        <v>0</v>
      </c>
      <c r="Q397" s="282">
        <v>0</v>
      </c>
      <c r="R397" s="283">
        <f t="shared" si="289"/>
        <v>35</v>
      </c>
      <c r="S397" s="284">
        <f t="shared" si="278"/>
        <v>9.1340000000000005E-2</v>
      </c>
      <c r="T397" s="284">
        <f t="shared" si="290"/>
        <v>0</v>
      </c>
      <c r="U397" s="284">
        <f t="shared" si="291"/>
        <v>0</v>
      </c>
      <c r="V397" s="284">
        <f t="shared" si="292"/>
        <v>2.725E-2</v>
      </c>
      <c r="W397" s="283">
        <f t="shared" si="293"/>
        <v>0</v>
      </c>
      <c r="X397" s="283">
        <f t="shared" si="294"/>
        <v>0</v>
      </c>
      <c r="Y397" s="283">
        <f t="shared" si="295"/>
        <v>0</v>
      </c>
      <c r="Z397" s="285">
        <f t="shared" si="296"/>
        <v>0</v>
      </c>
      <c r="AA397" s="285">
        <f t="shared" si="297"/>
        <v>0</v>
      </c>
      <c r="AB397" s="285">
        <f t="shared" si="313"/>
        <v>0</v>
      </c>
      <c r="AC397" s="285">
        <f t="shared" si="314"/>
        <v>0</v>
      </c>
      <c r="AD397" s="285">
        <f t="shared" si="315"/>
        <v>0</v>
      </c>
      <c r="AE397" s="286">
        <v>0</v>
      </c>
      <c r="AF397" s="287">
        <f t="shared" si="298"/>
        <v>0</v>
      </c>
      <c r="AG397" s="288">
        <f t="shared" si="299"/>
        <v>0</v>
      </c>
      <c r="AH397" s="285">
        <f t="shared" si="316"/>
        <v>0</v>
      </c>
      <c r="AI397" s="286">
        <v>0</v>
      </c>
      <c r="AJ397" s="286">
        <v>0</v>
      </c>
      <c r="AK397" s="286">
        <v>0</v>
      </c>
      <c r="AL397" s="285">
        <f t="shared" si="300"/>
        <v>0</v>
      </c>
      <c r="AM397" s="285">
        <f t="shared" si="301"/>
        <v>0</v>
      </c>
      <c r="AN397" s="289">
        <f t="shared" si="317"/>
        <v>1</v>
      </c>
      <c r="AO397" s="290">
        <f t="shared" si="302"/>
        <v>0</v>
      </c>
      <c r="AP397" s="290">
        <f t="shared" si="303"/>
        <v>0</v>
      </c>
      <c r="AQ397" s="290">
        <f t="shared" si="304"/>
        <v>0</v>
      </c>
      <c r="AR397" s="290">
        <f t="shared" si="305"/>
        <v>0</v>
      </c>
      <c r="AS397" s="290">
        <f t="shared" si="306"/>
        <v>0</v>
      </c>
      <c r="AT397" s="290">
        <f t="shared" si="307"/>
        <v>0</v>
      </c>
      <c r="AU397" s="291">
        <f t="shared" si="308"/>
        <v>0</v>
      </c>
      <c r="AV397" s="291">
        <f t="shared" si="322"/>
        <v>0</v>
      </c>
      <c r="AW397" s="292">
        <f t="shared" si="309"/>
        <v>0</v>
      </c>
      <c r="AX397" s="293">
        <f t="shared" si="310"/>
        <v>0</v>
      </c>
      <c r="BC397" s="276">
        <f>IF(BI397=1,IF(BC396=MiscData!$F$1,EOMONTH(BC396,-11),EOMONTH(BC396,1)),BC396)</f>
        <v>41973</v>
      </c>
      <c r="BD397" s="275" t="str">
        <f t="shared" si="319"/>
        <v>20140101LGCME650</v>
      </c>
      <c r="BE397" s="294" t="str">
        <f t="shared" si="320"/>
        <v>20140101GS3</v>
      </c>
      <c r="BF397">
        <f>MiscData!$X$5</f>
        <v>20140101</v>
      </c>
      <c r="BI397" s="265">
        <f>IF(BI396+1&gt;MiscData!$Z$42,1,BI396+1)</f>
        <v>14</v>
      </c>
      <c r="BJ397" s="265" t="str">
        <f>VLOOKUP(BI397,MiscData!$Z$5:$AB$46,2,FALSE)</f>
        <v>LGCME650</v>
      </c>
      <c r="BK397" s="265" t="str">
        <f>VLOOKUP(BI397,MiscData!$Z$5:$AB$46,3,FALSE)</f>
        <v>GS3</v>
      </c>
    </row>
    <row r="398" spans="1:63" hidden="1">
      <c r="A398" s="275">
        <v>377</v>
      </c>
      <c r="B398" s="276" t="str">
        <f t="shared" si="311"/>
        <v>Nov 2014</v>
      </c>
      <c r="C398" s="277" t="str">
        <f t="shared" si="321"/>
        <v>GS3</v>
      </c>
      <c r="D398" s="277" t="str">
        <f t="shared" si="312"/>
        <v>LGCME651</v>
      </c>
      <c r="E398" s="278">
        <f t="shared" si="281"/>
        <v>16298</v>
      </c>
      <c r="F398" s="279">
        <v>0</v>
      </c>
      <c r="G398" s="278">
        <f t="shared" si="282"/>
        <v>0</v>
      </c>
      <c r="H398" s="278">
        <f t="shared" si="283"/>
        <v>0</v>
      </c>
      <c r="I398" s="278">
        <f t="shared" si="284"/>
        <v>0</v>
      </c>
      <c r="J398" s="278">
        <f t="shared" si="285"/>
        <v>72923500</v>
      </c>
      <c r="K398" s="280">
        <v>0</v>
      </c>
      <c r="L398" s="281">
        <f t="shared" si="286"/>
        <v>211099.45</v>
      </c>
      <c r="M398" s="281">
        <f t="shared" si="287"/>
        <v>0</v>
      </c>
      <c r="N398" s="281">
        <f t="shared" si="288"/>
        <v>0</v>
      </c>
      <c r="O398" s="282">
        <v>0</v>
      </c>
      <c r="P398" s="282">
        <v>0</v>
      </c>
      <c r="Q398" s="282">
        <v>0</v>
      </c>
      <c r="R398" s="283">
        <f t="shared" si="289"/>
        <v>35</v>
      </c>
      <c r="S398" s="284">
        <f t="shared" si="278"/>
        <v>9.1340000000000005E-2</v>
      </c>
      <c r="T398" s="284">
        <f t="shared" si="290"/>
        <v>0</v>
      </c>
      <c r="U398" s="284">
        <f t="shared" si="291"/>
        <v>0</v>
      </c>
      <c r="V398" s="284">
        <f t="shared" si="292"/>
        <v>2.725E-2</v>
      </c>
      <c r="W398" s="283">
        <f t="shared" si="293"/>
        <v>0</v>
      </c>
      <c r="X398" s="283">
        <f t="shared" si="294"/>
        <v>0</v>
      </c>
      <c r="Y398" s="283">
        <f t="shared" si="295"/>
        <v>0</v>
      </c>
      <c r="Z398" s="285">
        <f t="shared" si="296"/>
        <v>570430</v>
      </c>
      <c r="AA398" s="285">
        <f t="shared" si="297"/>
        <v>6660832.4900000002</v>
      </c>
      <c r="AB398" s="285">
        <f t="shared" si="313"/>
        <v>0</v>
      </c>
      <c r="AC398" s="285">
        <f t="shared" si="314"/>
        <v>0</v>
      </c>
      <c r="AD398" s="285">
        <f t="shared" si="315"/>
        <v>0</v>
      </c>
      <c r="AE398" s="286">
        <v>0</v>
      </c>
      <c r="AF398" s="287">
        <f t="shared" si="298"/>
        <v>0</v>
      </c>
      <c r="AG398" s="288">
        <f t="shared" si="299"/>
        <v>0</v>
      </c>
      <c r="AH398" s="285">
        <f t="shared" si="316"/>
        <v>0</v>
      </c>
      <c r="AI398" s="286">
        <v>0</v>
      </c>
      <c r="AJ398" s="286">
        <v>0</v>
      </c>
      <c r="AK398" s="286">
        <v>0</v>
      </c>
      <c r="AL398" s="285">
        <f t="shared" si="300"/>
        <v>7231262.4900000002</v>
      </c>
      <c r="AM398" s="285">
        <f t="shared" si="301"/>
        <v>7231274</v>
      </c>
      <c r="AN398" s="289">
        <f t="shared" si="317"/>
        <v>1.0000020000000001</v>
      </c>
      <c r="AO398" s="290">
        <f t="shared" si="302"/>
        <v>-25768</v>
      </c>
      <c r="AP398" s="290">
        <f t="shared" si="303"/>
        <v>212907</v>
      </c>
      <c r="AQ398" s="290">
        <f t="shared" si="304"/>
        <v>378605</v>
      </c>
      <c r="AR398" s="290">
        <f t="shared" si="305"/>
        <v>0</v>
      </c>
      <c r="AS398" s="290">
        <f t="shared" si="306"/>
        <v>0</v>
      </c>
      <c r="AT398" s="290">
        <f t="shared" si="307"/>
        <v>7797018</v>
      </c>
      <c r="AU398" s="291">
        <f t="shared" si="308"/>
        <v>7797006.4900000002</v>
      </c>
      <c r="AV398" s="291">
        <f t="shared" si="322"/>
        <v>11.51</v>
      </c>
      <c r="AW398" s="292">
        <f t="shared" si="309"/>
        <v>1987165.38</v>
      </c>
      <c r="AX398" s="293">
        <f t="shared" si="310"/>
        <v>4673667.1100000003</v>
      </c>
      <c r="BC398" s="276">
        <f>IF(BI398=1,IF(BC397=MiscData!$F$1,EOMONTH(BC397,-11),EOMONTH(BC397,1)),BC397)</f>
        <v>41973</v>
      </c>
      <c r="BD398" s="275" t="str">
        <f t="shared" si="319"/>
        <v>20140101LGCME651</v>
      </c>
      <c r="BE398" s="294" t="str">
        <f t="shared" si="320"/>
        <v>20140101GS3</v>
      </c>
      <c r="BF398">
        <f>MiscData!$X$5</f>
        <v>20140101</v>
      </c>
      <c r="BI398" s="265">
        <f>IF(BI397+1&gt;MiscData!$Z$42,1,BI397+1)</f>
        <v>15</v>
      </c>
      <c r="BJ398" s="265" t="str">
        <f>VLOOKUP(BI398,MiscData!$Z$5:$AB$46,2,FALSE)</f>
        <v>LGCME651</v>
      </c>
      <c r="BK398" s="265" t="str">
        <f>VLOOKUP(BI398,MiscData!$Z$5:$AB$46,3,FALSE)</f>
        <v>GS3</v>
      </c>
    </row>
    <row r="399" spans="1:63" hidden="1">
      <c r="A399" s="275">
        <v>378</v>
      </c>
      <c r="B399" s="276" t="str">
        <f t="shared" si="311"/>
        <v>Nov 2014</v>
      </c>
      <c r="C399" s="277" t="str">
        <f t="shared" si="321"/>
        <v>GS3</v>
      </c>
      <c r="D399" s="277" t="str">
        <f t="shared" si="312"/>
        <v>LGCME652</v>
      </c>
      <c r="E399" s="278">
        <f t="shared" si="281"/>
        <v>0</v>
      </c>
      <c r="F399" s="279">
        <f>-E399</f>
        <v>0</v>
      </c>
      <c r="G399" s="278">
        <f t="shared" si="282"/>
        <v>0</v>
      </c>
      <c r="H399" s="278">
        <f t="shared" si="283"/>
        <v>0</v>
      </c>
      <c r="I399" s="278">
        <f t="shared" si="284"/>
        <v>0</v>
      </c>
      <c r="J399" s="278">
        <f t="shared" si="285"/>
        <v>0</v>
      </c>
      <c r="K399" s="280">
        <v>0</v>
      </c>
      <c r="L399" s="281">
        <f t="shared" si="286"/>
        <v>0</v>
      </c>
      <c r="M399" s="281">
        <f t="shared" si="287"/>
        <v>0</v>
      </c>
      <c r="N399" s="281">
        <f t="shared" si="288"/>
        <v>0</v>
      </c>
      <c r="O399" s="282">
        <v>0</v>
      </c>
      <c r="P399" s="282">
        <v>0</v>
      </c>
      <c r="Q399" s="282">
        <v>0</v>
      </c>
      <c r="R399" s="283">
        <f t="shared" si="289"/>
        <v>0</v>
      </c>
      <c r="S399" s="284">
        <f t="shared" si="278"/>
        <v>9.1340000000000005E-2</v>
      </c>
      <c r="T399" s="284">
        <f t="shared" si="290"/>
        <v>0</v>
      </c>
      <c r="U399" s="284">
        <f t="shared" si="291"/>
        <v>0</v>
      </c>
      <c r="V399" s="284">
        <f t="shared" si="292"/>
        <v>2.725E-2</v>
      </c>
      <c r="W399" s="283">
        <f t="shared" si="293"/>
        <v>0</v>
      </c>
      <c r="X399" s="283">
        <f t="shared" si="294"/>
        <v>0</v>
      </c>
      <c r="Y399" s="283">
        <f t="shared" si="295"/>
        <v>0</v>
      </c>
      <c r="Z399" s="285">
        <f t="shared" si="296"/>
        <v>0</v>
      </c>
      <c r="AA399" s="285">
        <f t="shared" si="297"/>
        <v>0</v>
      </c>
      <c r="AB399" s="285">
        <f t="shared" si="313"/>
        <v>0</v>
      </c>
      <c r="AC399" s="285">
        <f t="shared" si="314"/>
        <v>0</v>
      </c>
      <c r="AD399" s="285">
        <f t="shared" si="315"/>
        <v>0</v>
      </c>
      <c r="AE399" s="286">
        <v>0</v>
      </c>
      <c r="AF399" s="287">
        <f t="shared" si="298"/>
        <v>0</v>
      </c>
      <c r="AG399" s="288">
        <f t="shared" si="299"/>
        <v>0</v>
      </c>
      <c r="AH399" s="285">
        <f t="shared" si="316"/>
        <v>0</v>
      </c>
      <c r="AI399" s="286">
        <v>0</v>
      </c>
      <c r="AJ399" s="286">
        <v>0</v>
      </c>
      <c r="AK399" s="286">
        <v>0</v>
      </c>
      <c r="AL399" s="285">
        <f t="shared" si="300"/>
        <v>0</v>
      </c>
      <c r="AM399" s="285">
        <f t="shared" si="301"/>
        <v>0</v>
      </c>
      <c r="AN399" s="289">
        <f t="shared" si="317"/>
        <v>1</v>
      </c>
      <c r="AO399" s="290">
        <f t="shared" si="302"/>
        <v>0</v>
      </c>
      <c r="AP399" s="290">
        <f t="shared" si="303"/>
        <v>0</v>
      </c>
      <c r="AQ399" s="290">
        <f t="shared" si="304"/>
        <v>0</v>
      </c>
      <c r="AR399" s="290">
        <f t="shared" si="305"/>
        <v>0</v>
      </c>
      <c r="AS399" s="290">
        <f t="shared" si="306"/>
        <v>0</v>
      </c>
      <c r="AT399" s="290">
        <f t="shared" si="307"/>
        <v>0</v>
      </c>
      <c r="AU399" s="291">
        <f t="shared" si="308"/>
        <v>0</v>
      </c>
      <c r="AV399" s="291">
        <f t="shared" si="322"/>
        <v>0</v>
      </c>
      <c r="AW399" s="292">
        <f t="shared" si="309"/>
        <v>0</v>
      </c>
      <c r="AX399" s="293">
        <f t="shared" si="310"/>
        <v>0</v>
      </c>
      <c r="BC399" s="276">
        <f>IF(BI399=1,IF(BC398=MiscData!$F$1,EOMONTH(BC398,-11),EOMONTH(BC398,1)),BC398)</f>
        <v>41973</v>
      </c>
      <c r="BD399" s="275" t="str">
        <f t="shared" si="319"/>
        <v>20140101LGCME652</v>
      </c>
      <c r="BE399" s="294" t="str">
        <f t="shared" si="320"/>
        <v>20140101GS3</v>
      </c>
      <c r="BF399">
        <f>MiscData!$X$5</f>
        <v>20140101</v>
      </c>
      <c r="BI399" s="265">
        <f>IF(BI398+1&gt;MiscData!$Z$42,1,BI398+1)</f>
        <v>16</v>
      </c>
      <c r="BJ399" s="265" t="str">
        <f>VLOOKUP(BI399,MiscData!$Z$5:$AB$46,2,FALSE)</f>
        <v>LGCME652</v>
      </c>
      <c r="BK399" s="265" t="str">
        <f>VLOOKUP(BI399,MiscData!$Z$5:$AB$46,3,FALSE)</f>
        <v>GS3</v>
      </c>
    </row>
    <row r="400" spans="1:63" hidden="1">
      <c r="A400" s="275">
        <v>379</v>
      </c>
      <c r="B400" s="276" t="str">
        <f t="shared" si="311"/>
        <v>Nov 2014</v>
      </c>
      <c r="C400" s="277" t="str">
        <f t="shared" si="321"/>
        <v>GS3</v>
      </c>
      <c r="D400" s="277" t="str">
        <f t="shared" si="312"/>
        <v>LGCME657</v>
      </c>
      <c r="E400" s="278">
        <f t="shared" si="281"/>
        <v>0</v>
      </c>
      <c r="F400" s="279">
        <v>0</v>
      </c>
      <c r="G400" s="278">
        <f t="shared" si="282"/>
        <v>0</v>
      </c>
      <c r="H400" s="278">
        <f t="shared" si="283"/>
        <v>0</v>
      </c>
      <c r="I400" s="278">
        <f t="shared" si="284"/>
        <v>0</v>
      </c>
      <c r="J400" s="278">
        <f t="shared" si="285"/>
        <v>0</v>
      </c>
      <c r="K400" s="280">
        <v>0</v>
      </c>
      <c r="L400" s="281">
        <f t="shared" si="286"/>
        <v>0</v>
      </c>
      <c r="M400" s="281">
        <f t="shared" si="287"/>
        <v>0</v>
      </c>
      <c r="N400" s="281">
        <f t="shared" si="288"/>
        <v>0</v>
      </c>
      <c r="O400" s="282">
        <v>0</v>
      </c>
      <c r="P400" s="282">
        <v>0</v>
      </c>
      <c r="Q400" s="282">
        <v>0</v>
      </c>
      <c r="R400" s="283">
        <f t="shared" si="289"/>
        <v>35</v>
      </c>
      <c r="S400" s="284">
        <f t="shared" si="278"/>
        <v>9.1340000000000005E-2</v>
      </c>
      <c r="T400" s="284">
        <f t="shared" si="290"/>
        <v>0</v>
      </c>
      <c r="U400" s="284">
        <f t="shared" si="291"/>
        <v>0</v>
      </c>
      <c r="V400" s="284">
        <f t="shared" si="292"/>
        <v>2.725E-2</v>
      </c>
      <c r="W400" s="283">
        <f t="shared" si="293"/>
        <v>0</v>
      </c>
      <c r="X400" s="283">
        <f t="shared" si="294"/>
        <v>0</v>
      </c>
      <c r="Y400" s="283">
        <f t="shared" si="295"/>
        <v>0</v>
      </c>
      <c r="Z400" s="285">
        <f t="shared" si="296"/>
        <v>0</v>
      </c>
      <c r="AA400" s="285">
        <f t="shared" si="297"/>
        <v>0</v>
      </c>
      <c r="AB400" s="285">
        <f t="shared" si="313"/>
        <v>0</v>
      </c>
      <c r="AC400" s="285">
        <f t="shared" si="314"/>
        <v>0</v>
      </c>
      <c r="AD400" s="285">
        <f t="shared" si="315"/>
        <v>0</v>
      </c>
      <c r="AE400" s="286">
        <v>0</v>
      </c>
      <c r="AF400" s="287">
        <f t="shared" si="298"/>
        <v>0</v>
      </c>
      <c r="AG400" s="288">
        <f t="shared" si="299"/>
        <v>0</v>
      </c>
      <c r="AH400" s="285">
        <f t="shared" si="316"/>
        <v>0</v>
      </c>
      <c r="AI400" s="286">
        <v>0</v>
      </c>
      <c r="AJ400" s="286">
        <v>0</v>
      </c>
      <c r="AK400" s="286">
        <v>0</v>
      </c>
      <c r="AL400" s="285">
        <f t="shared" si="300"/>
        <v>0</v>
      </c>
      <c r="AM400" s="285">
        <f t="shared" si="301"/>
        <v>0</v>
      </c>
      <c r="AN400" s="289">
        <f t="shared" si="317"/>
        <v>1</v>
      </c>
      <c r="AO400" s="290">
        <f t="shared" si="302"/>
        <v>0</v>
      </c>
      <c r="AP400" s="290">
        <f t="shared" si="303"/>
        <v>0</v>
      </c>
      <c r="AQ400" s="290">
        <f t="shared" si="304"/>
        <v>0</v>
      </c>
      <c r="AR400" s="290">
        <f t="shared" si="305"/>
        <v>0</v>
      </c>
      <c r="AS400" s="290">
        <f t="shared" si="306"/>
        <v>0</v>
      </c>
      <c r="AT400" s="290">
        <f t="shared" si="307"/>
        <v>0</v>
      </c>
      <c r="AU400" s="291">
        <f t="shared" si="308"/>
        <v>0</v>
      </c>
      <c r="AV400" s="291">
        <f t="shared" si="322"/>
        <v>0</v>
      </c>
      <c r="AW400" s="292">
        <f t="shared" si="309"/>
        <v>0</v>
      </c>
      <c r="AX400" s="293">
        <f t="shared" si="310"/>
        <v>0</v>
      </c>
      <c r="BC400" s="276">
        <f>IF(BI400=1,IF(BC399=MiscData!$F$1,EOMONTH(BC399,-11),EOMONTH(BC399,1)),BC399)</f>
        <v>41973</v>
      </c>
      <c r="BD400" s="275" t="str">
        <f t="shared" si="319"/>
        <v>20140101LGCME657</v>
      </c>
      <c r="BE400" s="294" t="str">
        <f t="shared" si="320"/>
        <v>20140101GS3</v>
      </c>
      <c r="BF400">
        <f>MiscData!$X$5</f>
        <v>20140101</v>
      </c>
      <c r="BI400" s="265">
        <f>IF(BI399+1&gt;MiscData!$Z$42,1,BI399+1)</f>
        <v>17</v>
      </c>
      <c r="BJ400" s="265" t="str">
        <f>VLOOKUP(BI400,MiscData!$Z$5:$AB$46,2,FALSE)</f>
        <v>LGCME657</v>
      </c>
      <c r="BK400" s="265" t="str">
        <f>VLOOKUP(BI400,MiscData!$Z$5:$AB$46,3,FALSE)</f>
        <v>GS3</v>
      </c>
    </row>
    <row r="401" spans="1:63" hidden="1">
      <c r="A401" s="275">
        <v>380</v>
      </c>
      <c r="B401" s="276" t="str">
        <f t="shared" si="311"/>
        <v>Nov 2014</v>
      </c>
      <c r="C401" s="277" t="str">
        <f t="shared" si="321"/>
        <v>LWC</v>
      </c>
      <c r="D401" s="277" t="str">
        <f t="shared" si="312"/>
        <v>LGCME671</v>
      </c>
      <c r="E401" s="278">
        <f t="shared" si="281"/>
        <v>2</v>
      </c>
      <c r="F401" s="279">
        <v>0</v>
      </c>
      <c r="G401" s="278">
        <f t="shared" si="282"/>
        <v>0</v>
      </c>
      <c r="H401" s="278">
        <f t="shared" si="283"/>
        <v>0</v>
      </c>
      <c r="I401" s="278">
        <f t="shared" si="284"/>
        <v>0</v>
      </c>
      <c r="J401" s="278">
        <f t="shared" si="285"/>
        <v>4366800</v>
      </c>
      <c r="K401" s="280">
        <v>0</v>
      </c>
      <c r="L401" s="281">
        <f t="shared" si="286"/>
        <v>0</v>
      </c>
      <c r="M401" s="281">
        <f t="shared" si="287"/>
        <v>9450</v>
      </c>
      <c r="N401" s="281">
        <f t="shared" si="288"/>
        <v>0</v>
      </c>
      <c r="O401" s="282">
        <v>0</v>
      </c>
      <c r="P401" s="282">
        <v>0</v>
      </c>
      <c r="Q401" s="282">
        <v>0</v>
      </c>
      <c r="R401" s="283">
        <f t="shared" si="289"/>
        <v>0</v>
      </c>
      <c r="S401" s="284">
        <f t="shared" si="278"/>
        <v>3.7019999999999997E-2</v>
      </c>
      <c r="T401" s="284">
        <f t="shared" si="290"/>
        <v>0</v>
      </c>
      <c r="U401" s="284">
        <f t="shared" si="291"/>
        <v>0</v>
      </c>
      <c r="V401" s="284">
        <f t="shared" si="292"/>
        <v>2.725E-2</v>
      </c>
      <c r="W401" s="283">
        <f t="shared" si="293"/>
        <v>0</v>
      </c>
      <c r="X401" s="283">
        <f t="shared" si="294"/>
        <v>10.35</v>
      </c>
      <c r="Y401" s="283">
        <f t="shared" si="295"/>
        <v>10.35</v>
      </c>
      <c r="Z401" s="285">
        <f t="shared" si="296"/>
        <v>0</v>
      </c>
      <c r="AA401" s="285">
        <f t="shared" si="297"/>
        <v>161658.94</v>
      </c>
      <c r="AB401" s="285">
        <f t="shared" si="313"/>
        <v>0</v>
      </c>
      <c r="AC401" s="285">
        <f t="shared" si="314"/>
        <v>97807.5</v>
      </c>
      <c r="AD401" s="285">
        <f t="shared" si="315"/>
        <v>0</v>
      </c>
      <c r="AE401" s="286">
        <v>0</v>
      </c>
      <c r="AF401" s="287">
        <f t="shared" si="298"/>
        <v>0</v>
      </c>
      <c r="AG401" s="288">
        <f t="shared" si="299"/>
        <v>0</v>
      </c>
      <c r="AH401" s="285">
        <f t="shared" si="316"/>
        <v>97807.5</v>
      </c>
      <c r="AI401" s="286">
        <v>0</v>
      </c>
      <c r="AJ401" s="286">
        <v>0</v>
      </c>
      <c r="AK401" s="286">
        <v>0</v>
      </c>
      <c r="AL401" s="285">
        <f t="shared" si="300"/>
        <v>259466.44</v>
      </c>
      <c r="AM401" s="285">
        <f t="shared" si="301"/>
        <v>259466</v>
      </c>
      <c r="AN401" s="289">
        <f t="shared" si="317"/>
        <v>0.99999800000000005</v>
      </c>
      <c r="AO401" s="290">
        <f t="shared" si="302"/>
        <v>-1543</v>
      </c>
      <c r="AP401" s="290">
        <f t="shared" si="303"/>
        <v>0</v>
      </c>
      <c r="AQ401" s="290">
        <f t="shared" si="304"/>
        <v>22672</v>
      </c>
      <c r="AR401" s="290">
        <f t="shared" si="305"/>
        <v>0</v>
      </c>
      <c r="AS401" s="290">
        <f t="shared" si="306"/>
        <v>0</v>
      </c>
      <c r="AT401" s="290">
        <f t="shared" si="307"/>
        <v>280595</v>
      </c>
      <c r="AU401" s="291">
        <f t="shared" si="308"/>
        <v>280595.44</v>
      </c>
      <c r="AV401" s="291">
        <f t="shared" si="322"/>
        <v>-0.44</v>
      </c>
      <c r="AW401" s="292">
        <f t="shared" si="309"/>
        <v>118995.3</v>
      </c>
      <c r="AX401" s="293">
        <f t="shared" si="310"/>
        <v>42663.64</v>
      </c>
      <c r="BC401" s="276">
        <f>IF(BI401=1,IF(BC400=MiscData!$F$1,EOMONTH(BC400,-11),EOMONTH(BC400,1)),BC400)</f>
        <v>41973</v>
      </c>
      <c r="BD401" s="275" t="str">
        <f t="shared" si="319"/>
        <v>20140101LGCME671</v>
      </c>
      <c r="BE401" s="294" t="str">
        <f t="shared" si="320"/>
        <v>20140101LWC</v>
      </c>
      <c r="BF401">
        <f>MiscData!$X$5</f>
        <v>20140101</v>
      </c>
      <c r="BI401" s="265">
        <f>IF(BI400+1&gt;MiscData!$Z$42,1,BI400+1)</f>
        <v>18</v>
      </c>
      <c r="BJ401" s="265" t="str">
        <f>VLOOKUP(BI401,MiscData!$Z$5:$AB$46,2,FALSE)</f>
        <v>LGCME671</v>
      </c>
      <c r="BK401" s="265" t="str">
        <f>VLOOKUP(BI401,MiscData!$Z$5:$AB$46,3,FALSE)</f>
        <v>LWC</v>
      </c>
    </row>
    <row r="402" spans="1:63" hidden="1">
      <c r="A402" s="275">
        <v>381</v>
      </c>
      <c r="B402" s="276" t="str">
        <f t="shared" si="311"/>
        <v>Nov 2014</v>
      </c>
      <c r="C402" s="277" t="str">
        <f t="shared" si="321"/>
        <v>CSR</v>
      </c>
      <c r="D402" s="277" t="str">
        <f t="shared" si="312"/>
        <v>LGCSR760</v>
      </c>
      <c r="E402" s="278">
        <f t="shared" si="281"/>
        <v>0</v>
      </c>
      <c r="F402" s="279">
        <v>0</v>
      </c>
      <c r="G402" s="278">
        <f t="shared" si="282"/>
        <v>0</v>
      </c>
      <c r="H402" s="278">
        <f t="shared" si="283"/>
        <v>0</v>
      </c>
      <c r="I402" s="278">
        <f t="shared" si="284"/>
        <v>0</v>
      </c>
      <c r="J402" s="278">
        <f t="shared" si="285"/>
        <v>0</v>
      </c>
      <c r="K402" s="280">
        <v>0</v>
      </c>
      <c r="L402" s="281">
        <f t="shared" si="286"/>
        <v>0</v>
      </c>
      <c r="M402" s="281">
        <f t="shared" si="287"/>
        <v>0</v>
      </c>
      <c r="N402" s="281">
        <f t="shared" si="288"/>
        <v>0</v>
      </c>
      <c r="O402" s="282">
        <v>0</v>
      </c>
      <c r="P402" s="282">
        <v>0</v>
      </c>
      <c r="Q402" s="282">
        <v>0</v>
      </c>
      <c r="R402" s="283">
        <f t="shared" si="289"/>
        <v>0</v>
      </c>
      <c r="S402" s="284">
        <f t="shared" si="278"/>
        <v>0</v>
      </c>
      <c r="T402" s="284">
        <f t="shared" si="290"/>
        <v>0</v>
      </c>
      <c r="U402" s="284">
        <f t="shared" si="291"/>
        <v>0</v>
      </c>
      <c r="V402" s="284">
        <f t="shared" si="292"/>
        <v>0</v>
      </c>
      <c r="W402" s="283">
        <f t="shared" si="293"/>
        <v>0</v>
      </c>
      <c r="X402" s="283">
        <f t="shared" si="294"/>
        <v>0</v>
      </c>
      <c r="Y402" s="283">
        <f t="shared" si="295"/>
        <v>0</v>
      </c>
      <c r="Z402" s="285">
        <f t="shared" si="296"/>
        <v>0</v>
      </c>
      <c r="AA402" s="285">
        <f t="shared" si="297"/>
        <v>0</v>
      </c>
      <c r="AB402" s="285">
        <f t="shared" si="313"/>
        <v>0</v>
      </c>
      <c r="AC402" s="285">
        <f t="shared" si="314"/>
        <v>0</v>
      </c>
      <c r="AD402" s="285">
        <f t="shared" si="315"/>
        <v>0</v>
      </c>
      <c r="AE402" s="286">
        <v>0</v>
      </c>
      <c r="AF402" s="287">
        <f t="shared" si="298"/>
        <v>0</v>
      </c>
      <c r="AG402" s="288">
        <f t="shared" si="299"/>
        <v>0</v>
      </c>
      <c r="AH402" s="285">
        <f t="shared" si="316"/>
        <v>0</v>
      </c>
      <c r="AI402" s="286">
        <v>0</v>
      </c>
      <c r="AJ402" s="286">
        <v>0</v>
      </c>
      <c r="AK402" s="286">
        <v>0</v>
      </c>
      <c r="AL402" s="285">
        <f t="shared" si="300"/>
        <v>0</v>
      </c>
      <c r="AM402" s="285">
        <f t="shared" si="301"/>
        <v>0</v>
      </c>
      <c r="AN402" s="289">
        <f t="shared" si="317"/>
        <v>1</v>
      </c>
      <c r="AO402" s="290">
        <f t="shared" si="302"/>
        <v>0</v>
      </c>
      <c r="AP402" s="290">
        <f t="shared" si="303"/>
        <v>0</v>
      </c>
      <c r="AQ402" s="290">
        <f t="shared" si="304"/>
        <v>0</v>
      </c>
      <c r="AR402" s="290">
        <f t="shared" si="305"/>
        <v>0</v>
      </c>
      <c r="AS402" s="290">
        <f t="shared" si="306"/>
        <v>-286526</v>
      </c>
      <c r="AT402" s="290">
        <f t="shared" si="307"/>
        <v>-286526</v>
      </c>
      <c r="AU402" s="291">
        <f t="shared" si="308"/>
        <v>-286526</v>
      </c>
      <c r="AV402" s="291">
        <f t="shared" si="322"/>
        <v>0</v>
      </c>
      <c r="AW402" s="292">
        <f t="shared" si="309"/>
        <v>0</v>
      </c>
      <c r="AX402" s="293">
        <f t="shared" si="310"/>
        <v>0</v>
      </c>
      <c r="BC402" s="276">
        <f>IF(BI402=1,IF(BC401=MiscData!$F$1,EOMONTH(BC401,-11),EOMONTH(BC401,1)),BC401)</f>
        <v>41973</v>
      </c>
      <c r="BD402" s="275" t="str">
        <f t="shared" si="319"/>
        <v>20140101LGCSR760</v>
      </c>
      <c r="BE402" s="294" t="str">
        <f t="shared" si="320"/>
        <v>20140101CSR</v>
      </c>
      <c r="BF402">
        <f>MiscData!$X$5</f>
        <v>20140101</v>
      </c>
      <c r="BI402" s="265">
        <f>IF(BI401+1&gt;MiscData!$Z$42,1,BI401+1)</f>
        <v>19</v>
      </c>
      <c r="BJ402" s="265" t="str">
        <f>VLOOKUP(BI402,MiscData!$Z$5:$AB$46,2,FALSE)</f>
        <v>LGCSR760</v>
      </c>
      <c r="BK402" s="265" t="str">
        <f>VLOOKUP(BI402,MiscData!$Z$5:$AB$46,3,FALSE)</f>
        <v>CSR</v>
      </c>
    </row>
    <row r="403" spans="1:63" hidden="1">
      <c r="A403" s="275">
        <v>382</v>
      </c>
      <c r="B403" s="276" t="str">
        <f t="shared" si="311"/>
        <v>Nov 2014</v>
      </c>
      <c r="C403" s="277" t="str">
        <f t="shared" si="321"/>
        <v>CSR</v>
      </c>
      <c r="D403" s="277" t="str">
        <f t="shared" si="312"/>
        <v>LGCSR780</v>
      </c>
      <c r="E403" s="278">
        <f t="shared" si="281"/>
        <v>0</v>
      </c>
      <c r="F403" s="279">
        <v>0</v>
      </c>
      <c r="G403" s="278">
        <f t="shared" si="282"/>
        <v>0</v>
      </c>
      <c r="H403" s="278">
        <f t="shared" si="283"/>
        <v>0</v>
      </c>
      <c r="I403" s="278">
        <f t="shared" si="284"/>
        <v>0</v>
      </c>
      <c r="J403" s="278">
        <f t="shared" si="285"/>
        <v>0</v>
      </c>
      <c r="K403" s="280">
        <v>0</v>
      </c>
      <c r="L403" s="281">
        <f t="shared" si="286"/>
        <v>0</v>
      </c>
      <c r="M403" s="281">
        <f t="shared" si="287"/>
        <v>0</v>
      </c>
      <c r="N403" s="281">
        <f t="shared" si="288"/>
        <v>0</v>
      </c>
      <c r="O403" s="282">
        <v>0</v>
      </c>
      <c r="P403" s="282">
        <v>0</v>
      </c>
      <c r="Q403" s="282">
        <v>0</v>
      </c>
      <c r="R403" s="283">
        <f t="shared" si="289"/>
        <v>0</v>
      </c>
      <c r="S403" s="284">
        <f t="shared" si="278"/>
        <v>0</v>
      </c>
      <c r="T403" s="284">
        <f t="shared" si="290"/>
        <v>0</v>
      </c>
      <c r="U403" s="284">
        <f t="shared" si="291"/>
        <v>0</v>
      </c>
      <c r="V403" s="284">
        <f t="shared" si="292"/>
        <v>0</v>
      </c>
      <c r="W403" s="283">
        <f t="shared" si="293"/>
        <v>0</v>
      </c>
      <c r="X403" s="283">
        <f t="shared" si="294"/>
        <v>0</v>
      </c>
      <c r="Y403" s="283">
        <f t="shared" si="295"/>
        <v>0</v>
      </c>
      <c r="Z403" s="285">
        <f t="shared" si="296"/>
        <v>0</v>
      </c>
      <c r="AA403" s="285">
        <f t="shared" si="297"/>
        <v>0</v>
      </c>
      <c r="AB403" s="285">
        <f t="shared" si="313"/>
        <v>0</v>
      </c>
      <c r="AC403" s="285">
        <f t="shared" si="314"/>
        <v>0</v>
      </c>
      <c r="AD403" s="285">
        <f t="shared" si="315"/>
        <v>0</v>
      </c>
      <c r="AE403" s="286">
        <v>0</v>
      </c>
      <c r="AF403" s="287">
        <f t="shared" si="298"/>
        <v>0</v>
      </c>
      <c r="AG403" s="288">
        <f t="shared" si="299"/>
        <v>0</v>
      </c>
      <c r="AH403" s="285">
        <f t="shared" si="316"/>
        <v>0</v>
      </c>
      <c r="AI403" s="286">
        <v>0</v>
      </c>
      <c r="AJ403" s="286">
        <v>0</v>
      </c>
      <c r="AK403" s="286">
        <v>0</v>
      </c>
      <c r="AL403" s="285">
        <f t="shared" si="300"/>
        <v>0</v>
      </c>
      <c r="AM403" s="285">
        <f t="shared" si="301"/>
        <v>0</v>
      </c>
      <c r="AN403" s="289">
        <f t="shared" si="317"/>
        <v>1</v>
      </c>
      <c r="AO403" s="290">
        <f t="shared" si="302"/>
        <v>0</v>
      </c>
      <c r="AP403" s="290">
        <f t="shared" si="303"/>
        <v>0</v>
      </c>
      <c r="AQ403" s="290">
        <f t="shared" si="304"/>
        <v>0</v>
      </c>
      <c r="AR403" s="290">
        <f t="shared" si="305"/>
        <v>0</v>
      </c>
      <c r="AS403" s="290">
        <f t="shared" si="306"/>
        <v>0</v>
      </c>
      <c r="AT403" s="290">
        <f t="shared" si="307"/>
        <v>0</v>
      </c>
      <c r="AU403" s="291">
        <f t="shared" si="308"/>
        <v>0</v>
      </c>
      <c r="AV403" s="291">
        <f t="shared" si="318"/>
        <v>0</v>
      </c>
      <c r="AW403" s="292">
        <f t="shared" si="309"/>
        <v>0</v>
      </c>
      <c r="AX403" s="293">
        <f t="shared" si="310"/>
        <v>0</v>
      </c>
      <c r="BC403" s="276">
        <f>IF(BI403=1,IF(BC402=MiscData!$F$1,EOMONTH(BC402,-11),EOMONTH(BC402,1)),BC402)</f>
        <v>41973</v>
      </c>
      <c r="BD403" s="275" t="str">
        <f t="shared" si="319"/>
        <v>20140101LGCSR780</v>
      </c>
      <c r="BE403" s="294" t="str">
        <f t="shared" si="320"/>
        <v>20140101CSR</v>
      </c>
      <c r="BF403">
        <f>MiscData!$X$5</f>
        <v>20140101</v>
      </c>
      <c r="BI403" s="265">
        <f>IF(BI402+1&gt;MiscData!$Z$42,1,BI402+1)</f>
        <v>20</v>
      </c>
      <c r="BJ403" s="265" t="str">
        <f>VLOOKUP(BI403,MiscData!$Z$5:$AB$46,2,FALSE)</f>
        <v>LGCSR780</v>
      </c>
      <c r="BK403" s="265" t="str">
        <f>VLOOKUP(BI403,MiscData!$Z$5:$AB$46,3,FALSE)</f>
        <v>CSR</v>
      </c>
    </row>
    <row r="404" spans="1:63">
      <c r="A404" s="275">
        <v>383</v>
      </c>
      <c r="B404" s="276" t="str">
        <f t="shared" si="311"/>
        <v>Nov 2014</v>
      </c>
      <c r="C404" s="277" t="str">
        <f t="shared" si="321"/>
        <v>FK</v>
      </c>
      <c r="D404" s="277" t="str">
        <f t="shared" si="312"/>
        <v>LGINE599</v>
      </c>
      <c r="E404" s="278">
        <f t="shared" si="281"/>
        <v>1</v>
      </c>
      <c r="F404" s="279">
        <v>0</v>
      </c>
      <c r="G404" s="278">
        <f t="shared" si="282"/>
        <v>0</v>
      </c>
      <c r="H404" s="278">
        <f t="shared" si="283"/>
        <v>0</v>
      </c>
      <c r="I404" s="278">
        <f t="shared" si="284"/>
        <v>0</v>
      </c>
      <c r="J404" s="278">
        <f t="shared" si="285"/>
        <v>8264000</v>
      </c>
      <c r="K404" s="280">
        <v>0</v>
      </c>
      <c r="L404" s="281">
        <f t="shared" si="286"/>
        <v>0</v>
      </c>
      <c r="M404" s="281">
        <f t="shared" si="287"/>
        <v>11920</v>
      </c>
      <c r="N404" s="281">
        <f t="shared" si="288"/>
        <v>0</v>
      </c>
      <c r="O404" s="282">
        <v>0</v>
      </c>
      <c r="P404" s="282">
        <v>0</v>
      </c>
      <c r="Q404" s="282">
        <v>0</v>
      </c>
      <c r="R404" s="283">
        <f t="shared" si="289"/>
        <v>0</v>
      </c>
      <c r="S404" s="284">
        <f t="shared" si="278"/>
        <v>3.7400000000000003E-2</v>
      </c>
      <c r="T404" s="284">
        <f t="shared" si="290"/>
        <v>0</v>
      </c>
      <c r="U404" s="284">
        <f t="shared" si="291"/>
        <v>0</v>
      </c>
      <c r="V404" s="284">
        <f t="shared" si="292"/>
        <v>2.725E-2</v>
      </c>
      <c r="W404" s="283">
        <f t="shared" si="293"/>
        <v>0</v>
      </c>
      <c r="X404" s="283">
        <f t="shared" si="294"/>
        <v>12.72</v>
      </c>
      <c r="Y404" s="283">
        <f t="shared" si="295"/>
        <v>15.040000000000001</v>
      </c>
      <c r="Z404" s="285">
        <f t="shared" si="296"/>
        <v>0</v>
      </c>
      <c r="AA404" s="285">
        <f t="shared" si="297"/>
        <v>309073.59999999998</v>
      </c>
      <c r="AB404" s="285">
        <f t="shared" si="313"/>
        <v>0</v>
      </c>
      <c r="AC404" s="285">
        <f t="shared" si="314"/>
        <v>151622.39999999999</v>
      </c>
      <c r="AD404" s="285">
        <f t="shared" si="315"/>
        <v>0</v>
      </c>
      <c r="AE404" s="286">
        <v>0</v>
      </c>
      <c r="AF404" s="287">
        <f t="shared" si="298"/>
        <v>0</v>
      </c>
      <c r="AG404" s="288">
        <f t="shared" si="299"/>
        <v>0</v>
      </c>
      <c r="AH404" s="285">
        <f t="shared" si="316"/>
        <v>151622.39999999999</v>
      </c>
      <c r="AI404" s="286">
        <v>0</v>
      </c>
      <c r="AJ404" s="286">
        <v>0</v>
      </c>
      <c r="AK404" s="286">
        <v>0</v>
      </c>
      <c r="AL404" s="285">
        <f t="shared" si="300"/>
        <v>460696</v>
      </c>
      <c r="AM404" s="285">
        <f t="shared" si="301"/>
        <v>460696</v>
      </c>
      <c r="AN404" s="289">
        <f t="shared" si="317"/>
        <v>1</v>
      </c>
      <c r="AO404" s="290">
        <f t="shared" si="302"/>
        <v>-2920</v>
      </c>
      <c r="AP404" s="290">
        <f t="shared" si="303"/>
        <v>0</v>
      </c>
      <c r="AQ404" s="290">
        <f t="shared" si="304"/>
        <v>42905</v>
      </c>
      <c r="AR404" s="290">
        <f t="shared" si="305"/>
        <v>0</v>
      </c>
      <c r="AS404" s="290">
        <f t="shared" si="306"/>
        <v>0</v>
      </c>
      <c r="AT404" s="290">
        <f t="shared" si="307"/>
        <v>500681</v>
      </c>
      <c r="AU404" s="291">
        <f t="shared" si="308"/>
        <v>500681</v>
      </c>
      <c r="AV404" s="291">
        <f t="shared" si="318"/>
        <v>0</v>
      </c>
      <c r="AW404" s="292">
        <f t="shared" si="309"/>
        <v>225194</v>
      </c>
      <c r="AX404" s="293">
        <f t="shared" si="310"/>
        <v>83879.599999999977</v>
      </c>
      <c r="BC404" s="276">
        <f>IF(BI404=1,IF(BC403=MiscData!$F$1,EOMONTH(BC403,-11),EOMONTH(BC403,1)),BC403)</f>
        <v>41973</v>
      </c>
      <c r="BD404" s="275" t="str">
        <f t="shared" si="319"/>
        <v>20140101LGINE599</v>
      </c>
      <c r="BE404" s="294" t="str">
        <f t="shared" si="320"/>
        <v>20140101FK</v>
      </c>
      <c r="BF404">
        <f>MiscData!$X$5</f>
        <v>20140101</v>
      </c>
      <c r="BI404" s="265">
        <f>IF(BI403+1&gt;MiscData!$Z$42,1,BI403+1)</f>
        <v>21</v>
      </c>
      <c r="BJ404" s="265" t="str">
        <f>VLOOKUP(BI404,MiscData!$Z$5:$AB$46,2,FALSE)</f>
        <v>LGINE599</v>
      </c>
      <c r="BK404" s="265" t="str">
        <f>VLOOKUP(BI404,MiscData!$Z$5:$AB$46,3,FALSE)</f>
        <v>FK</v>
      </c>
    </row>
    <row r="405" spans="1:63" hidden="1">
      <c r="A405" s="275">
        <v>384</v>
      </c>
      <c r="B405" s="276" t="str">
        <f t="shared" si="311"/>
        <v>Nov 2014</v>
      </c>
      <c r="C405" s="277" t="str">
        <f t="shared" si="321"/>
        <v>RTS</v>
      </c>
      <c r="D405" s="277" t="str">
        <f t="shared" si="312"/>
        <v>LGINE643</v>
      </c>
      <c r="E405" s="278">
        <f t="shared" si="281"/>
        <v>12</v>
      </c>
      <c r="F405" s="279">
        <v>0</v>
      </c>
      <c r="G405" s="278">
        <f t="shared" si="282"/>
        <v>0</v>
      </c>
      <c r="H405" s="278">
        <f t="shared" si="283"/>
        <v>0</v>
      </c>
      <c r="I405" s="278">
        <f t="shared" si="284"/>
        <v>0</v>
      </c>
      <c r="J405" s="278">
        <f t="shared" si="285"/>
        <v>68955967</v>
      </c>
      <c r="K405" s="280">
        <v>0</v>
      </c>
      <c r="L405" s="281">
        <f t="shared" si="286"/>
        <v>145048.32000000001</v>
      </c>
      <c r="M405" s="281">
        <f t="shared" si="287"/>
        <v>140764.74</v>
      </c>
      <c r="N405" s="281">
        <f t="shared" si="288"/>
        <v>91029.78</v>
      </c>
      <c r="O405" s="282">
        <v>0</v>
      </c>
      <c r="P405" s="282">
        <v>0</v>
      </c>
      <c r="Q405" s="282">
        <v>0</v>
      </c>
      <c r="R405" s="283">
        <f t="shared" si="289"/>
        <v>750</v>
      </c>
      <c r="S405" s="284">
        <f t="shared" si="278"/>
        <v>3.61E-2</v>
      </c>
      <c r="T405" s="284">
        <f t="shared" si="290"/>
        <v>0</v>
      </c>
      <c r="U405" s="284">
        <f t="shared" si="291"/>
        <v>0</v>
      </c>
      <c r="V405" s="284">
        <f t="shared" si="292"/>
        <v>2.725E-2</v>
      </c>
      <c r="W405" s="283">
        <f t="shared" si="293"/>
        <v>2.75</v>
      </c>
      <c r="X405" s="283">
        <f t="shared" si="294"/>
        <v>3</v>
      </c>
      <c r="Y405" s="283">
        <f t="shared" si="295"/>
        <v>4.5500000000000007</v>
      </c>
      <c r="Z405" s="285">
        <f t="shared" si="296"/>
        <v>9000</v>
      </c>
      <c r="AA405" s="285">
        <f t="shared" si="297"/>
        <v>2489310.41</v>
      </c>
      <c r="AB405" s="285">
        <f t="shared" si="313"/>
        <v>398882.88</v>
      </c>
      <c r="AC405" s="285">
        <f t="shared" si="314"/>
        <v>422294.22</v>
      </c>
      <c r="AD405" s="285">
        <f t="shared" si="315"/>
        <v>414185.5</v>
      </c>
      <c r="AE405" s="286">
        <v>0</v>
      </c>
      <c r="AF405" s="287">
        <f t="shared" si="298"/>
        <v>0</v>
      </c>
      <c r="AG405" s="288">
        <f t="shared" si="299"/>
        <v>0</v>
      </c>
      <c r="AH405" s="285">
        <f t="shared" si="316"/>
        <v>1235362.6000000001</v>
      </c>
      <c r="AI405" s="286">
        <v>0</v>
      </c>
      <c r="AJ405" s="286">
        <v>0</v>
      </c>
      <c r="AK405" s="286">
        <v>0</v>
      </c>
      <c r="AL405" s="285">
        <f t="shared" si="300"/>
        <v>3733673.01</v>
      </c>
      <c r="AM405" s="285">
        <f t="shared" si="301"/>
        <v>3733673</v>
      </c>
      <c r="AN405" s="289">
        <f t="shared" si="317"/>
        <v>1</v>
      </c>
      <c r="AO405" s="290">
        <f t="shared" si="302"/>
        <v>-24366</v>
      </c>
      <c r="AP405" s="290">
        <f t="shared" si="303"/>
        <v>0</v>
      </c>
      <c r="AQ405" s="290">
        <f t="shared" si="304"/>
        <v>358006</v>
      </c>
      <c r="AR405" s="290">
        <f t="shared" si="305"/>
        <v>0</v>
      </c>
      <c r="AS405" s="290">
        <f t="shared" si="306"/>
        <v>0</v>
      </c>
      <c r="AT405" s="290">
        <f t="shared" si="307"/>
        <v>4067313</v>
      </c>
      <c r="AU405" s="291">
        <f t="shared" si="308"/>
        <v>4067313.01</v>
      </c>
      <c r="AV405" s="291">
        <f t="shared" si="318"/>
        <v>-9.9999997764825821E-3</v>
      </c>
      <c r="AW405" s="292">
        <f t="shared" si="309"/>
        <v>1879050.1</v>
      </c>
      <c r="AX405" s="293">
        <f t="shared" si="310"/>
        <v>610260.31000000006</v>
      </c>
      <c r="BC405" s="276">
        <f>IF(BI405=1,IF(BC404=MiscData!$F$1,EOMONTH(BC404,-11),EOMONTH(BC404,1)),BC404)</f>
        <v>41973</v>
      </c>
      <c r="BD405" s="275" t="str">
        <f t="shared" si="319"/>
        <v>20140101LGINE643</v>
      </c>
      <c r="BE405" s="294" t="str">
        <f t="shared" si="320"/>
        <v>20140101RTS</v>
      </c>
      <c r="BF405">
        <f>MiscData!$X$5</f>
        <v>20140101</v>
      </c>
      <c r="BI405" s="265">
        <f>IF(BI404+1&gt;MiscData!$Z$42,1,BI404+1)</f>
        <v>22</v>
      </c>
      <c r="BJ405" s="265" t="str">
        <f>VLOOKUP(BI405,MiscData!$Z$5:$AB$46,2,FALSE)</f>
        <v>LGINE643</v>
      </c>
      <c r="BK405" s="265" t="str">
        <f>VLOOKUP(BI405,MiscData!$Z$5:$AB$46,3,FALSE)</f>
        <v>RTS</v>
      </c>
    </row>
    <row r="406" spans="1:63" hidden="1">
      <c r="A406" s="275">
        <v>385</v>
      </c>
      <c r="B406" s="276" t="str">
        <f t="shared" si="311"/>
        <v>Nov 2014</v>
      </c>
      <c r="C406" s="277" t="str">
        <f t="shared" si="321"/>
        <v>PSS</v>
      </c>
      <c r="D406" s="277" t="str">
        <f t="shared" si="312"/>
        <v>LGINE661</v>
      </c>
      <c r="E406" s="278">
        <f t="shared" si="281"/>
        <v>227</v>
      </c>
      <c r="F406" s="279">
        <v>0</v>
      </c>
      <c r="G406" s="278">
        <f t="shared" si="282"/>
        <v>0</v>
      </c>
      <c r="H406" s="278">
        <f t="shared" si="283"/>
        <v>0</v>
      </c>
      <c r="I406" s="278">
        <f t="shared" si="284"/>
        <v>0</v>
      </c>
      <c r="J406" s="278">
        <f t="shared" si="285"/>
        <v>20224931</v>
      </c>
      <c r="K406" s="280">
        <v>0</v>
      </c>
      <c r="L406" s="281">
        <f t="shared" si="286"/>
        <v>0</v>
      </c>
      <c r="M406" s="281">
        <f t="shared" si="287"/>
        <v>63375.32</v>
      </c>
      <c r="N406" s="281">
        <f t="shared" si="288"/>
        <v>0</v>
      </c>
      <c r="O406" s="282">
        <v>0</v>
      </c>
      <c r="P406" s="282">
        <v>0</v>
      </c>
      <c r="Q406" s="282">
        <v>0</v>
      </c>
      <c r="R406" s="283">
        <f t="shared" si="289"/>
        <v>90</v>
      </c>
      <c r="S406" s="284">
        <f t="shared" si="278"/>
        <v>4.0599999999999997E-2</v>
      </c>
      <c r="T406" s="284">
        <f t="shared" si="290"/>
        <v>0</v>
      </c>
      <c r="U406" s="284">
        <f t="shared" si="291"/>
        <v>0</v>
      </c>
      <c r="V406" s="284">
        <f t="shared" si="292"/>
        <v>2.725E-2</v>
      </c>
      <c r="W406" s="283">
        <f t="shared" si="293"/>
        <v>0</v>
      </c>
      <c r="X406" s="283">
        <f t="shared" si="294"/>
        <v>14.010000000000002</v>
      </c>
      <c r="Y406" s="283">
        <f t="shared" si="295"/>
        <v>16.399999999999999</v>
      </c>
      <c r="Z406" s="285">
        <f t="shared" si="296"/>
        <v>20430</v>
      </c>
      <c r="AA406" s="285">
        <f t="shared" si="297"/>
        <v>821132.2</v>
      </c>
      <c r="AB406" s="285">
        <f t="shared" si="313"/>
        <v>0</v>
      </c>
      <c r="AC406" s="285">
        <f t="shared" si="314"/>
        <v>887888.23</v>
      </c>
      <c r="AD406" s="285">
        <f t="shared" si="315"/>
        <v>0</v>
      </c>
      <c r="AE406" s="286">
        <v>0</v>
      </c>
      <c r="AF406" s="287">
        <f t="shared" si="298"/>
        <v>0</v>
      </c>
      <c r="AG406" s="288">
        <f t="shared" si="299"/>
        <v>0</v>
      </c>
      <c r="AH406" s="285">
        <f t="shared" si="316"/>
        <v>887888.23</v>
      </c>
      <c r="AI406" s="286">
        <v>0</v>
      </c>
      <c r="AJ406" s="286">
        <v>0</v>
      </c>
      <c r="AK406" s="286">
        <v>0</v>
      </c>
      <c r="AL406" s="285">
        <f t="shared" si="300"/>
        <v>1729450.43</v>
      </c>
      <c r="AM406" s="285">
        <f t="shared" si="301"/>
        <v>1729450</v>
      </c>
      <c r="AN406" s="289">
        <f t="shared" si="317"/>
        <v>1</v>
      </c>
      <c r="AO406" s="290">
        <f t="shared" si="302"/>
        <v>-7147</v>
      </c>
      <c r="AP406" s="290">
        <f t="shared" si="303"/>
        <v>59049</v>
      </c>
      <c r="AQ406" s="290">
        <f t="shared" si="304"/>
        <v>105004</v>
      </c>
      <c r="AR406" s="290">
        <f t="shared" si="305"/>
        <v>0</v>
      </c>
      <c r="AS406" s="290">
        <f t="shared" si="306"/>
        <v>0</v>
      </c>
      <c r="AT406" s="290">
        <f t="shared" si="307"/>
        <v>1886356</v>
      </c>
      <c r="AU406" s="291">
        <f t="shared" si="308"/>
        <v>1886356.43</v>
      </c>
      <c r="AV406" s="291">
        <f t="shared" si="318"/>
        <v>-0.42999999993480742</v>
      </c>
      <c r="AW406" s="292">
        <f t="shared" si="309"/>
        <v>551129.37</v>
      </c>
      <c r="AX406" s="293">
        <f t="shared" si="310"/>
        <v>270002.82999999996</v>
      </c>
      <c r="BC406" s="276">
        <f>IF(BI406=1,IF(BC405=MiscData!$F$1,EOMONTH(BC405,-11),EOMONTH(BC405,1)),BC405)</f>
        <v>41973</v>
      </c>
      <c r="BD406" s="275" t="str">
        <f t="shared" si="319"/>
        <v>20140101LGINE661</v>
      </c>
      <c r="BE406" s="294" t="str">
        <f t="shared" si="320"/>
        <v>20140101PSS</v>
      </c>
      <c r="BF406">
        <f>MiscData!$X$5</f>
        <v>20140101</v>
      </c>
      <c r="BI406" s="265">
        <f>IF(BI405+1&gt;MiscData!$Z$42,1,BI405+1)</f>
        <v>23</v>
      </c>
      <c r="BJ406" s="265" t="str">
        <f>VLOOKUP(BI406,MiscData!$Z$5:$AB$46,2,FALSE)</f>
        <v>LGINE661</v>
      </c>
      <c r="BK406" s="265" t="str">
        <f>VLOOKUP(BI406,MiscData!$Z$5:$AB$46,3,FALSE)</f>
        <v>PSS</v>
      </c>
    </row>
    <row r="407" spans="1:63" hidden="1">
      <c r="A407" s="275">
        <v>386</v>
      </c>
      <c r="B407" s="276" t="str">
        <f t="shared" si="311"/>
        <v>Nov 2014</v>
      </c>
      <c r="C407" s="277" t="str">
        <f t="shared" si="321"/>
        <v>PSP</v>
      </c>
      <c r="D407" s="277" t="str">
        <f t="shared" si="312"/>
        <v>LGINE663</v>
      </c>
      <c r="E407" s="278">
        <f t="shared" si="281"/>
        <v>21</v>
      </c>
      <c r="F407" s="279">
        <v>0</v>
      </c>
      <c r="G407" s="278">
        <f t="shared" si="282"/>
        <v>0</v>
      </c>
      <c r="H407" s="278">
        <f t="shared" si="283"/>
        <v>0</v>
      </c>
      <c r="I407" s="278">
        <f t="shared" si="284"/>
        <v>0</v>
      </c>
      <c r="J407" s="278">
        <f t="shared" si="285"/>
        <v>1005709</v>
      </c>
      <c r="K407" s="280">
        <v>0</v>
      </c>
      <c r="L407" s="281">
        <f t="shared" si="286"/>
        <v>0</v>
      </c>
      <c r="M407" s="281">
        <f t="shared" si="287"/>
        <v>3646.98</v>
      </c>
      <c r="N407" s="281">
        <f t="shared" si="288"/>
        <v>0</v>
      </c>
      <c r="O407" s="282">
        <v>0</v>
      </c>
      <c r="P407" s="282">
        <v>0</v>
      </c>
      <c r="Q407" s="282">
        <v>0</v>
      </c>
      <c r="R407" s="283">
        <f t="shared" si="289"/>
        <v>170</v>
      </c>
      <c r="S407" s="284">
        <f t="shared" si="278"/>
        <v>3.9260000000000003E-2</v>
      </c>
      <c r="T407" s="284">
        <f t="shared" si="290"/>
        <v>0</v>
      </c>
      <c r="U407" s="284">
        <f t="shared" si="291"/>
        <v>0</v>
      </c>
      <c r="V407" s="284">
        <f t="shared" si="292"/>
        <v>2.725E-2</v>
      </c>
      <c r="W407" s="283">
        <f t="shared" si="293"/>
        <v>0</v>
      </c>
      <c r="X407" s="283">
        <f t="shared" si="294"/>
        <v>11.660000000000002</v>
      </c>
      <c r="Y407" s="283">
        <f t="shared" si="295"/>
        <v>13.950000000000001</v>
      </c>
      <c r="Z407" s="285">
        <f t="shared" si="296"/>
        <v>3570</v>
      </c>
      <c r="AA407" s="285">
        <f t="shared" si="297"/>
        <v>39484.14</v>
      </c>
      <c r="AB407" s="285">
        <f t="shared" si="313"/>
        <v>0</v>
      </c>
      <c r="AC407" s="285">
        <f t="shared" si="314"/>
        <v>42523.79</v>
      </c>
      <c r="AD407" s="285">
        <f t="shared" si="315"/>
        <v>0</v>
      </c>
      <c r="AE407" s="286">
        <v>0</v>
      </c>
      <c r="AF407" s="287">
        <f t="shared" si="298"/>
        <v>0</v>
      </c>
      <c r="AG407" s="288">
        <f t="shared" si="299"/>
        <v>0</v>
      </c>
      <c r="AH407" s="285">
        <f t="shared" si="316"/>
        <v>42523.79</v>
      </c>
      <c r="AI407" s="286">
        <v>0</v>
      </c>
      <c r="AJ407" s="286">
        <v>0</v>
      </c>
      <c r="AK407" s="286">
        <v>0</v>
      </c>
      <c r="AL407" s="285">
        <f t="shared" si="300"/>
        <v>85577.93</v>
      </c>
      <c r="AM407" s="285">
        <f t="shared" si="301"/>
        <v>85578</v>
      </c>
      <c r="AN407" s="289">
        <f t="shared" si="317"/>
        <v>1.0000009999999999</v>
      </c>
      <c r="AO407" s="290">
        <f t="shared" si="302"/>
        <v>-355</v>
      </c>
      <c r="AP407" s="290">
        <f t="shared" si="303"/>
        <v>2936</v>
      </c>
      <c r="AQ407" s="290">
        <f t="shared" si="304"/>
        <v>5221</v>
      </c>
      <c r="AR407" s="290">
        <f t="shared" si="305"/>
        <v>0</v>
      </c>
      <c r="AS407" s="290">
        <f t="shared" si="306"/>
        <v>0</v>
      </c>
      <c r="AT407" s="290">
        <f t="shared" si="307"/>
        <v>93380</v>
      </c>
      <c r="AU407" s="291">
        <f t="shared" si="308"/>
        <v>93379.93</v>
      </c>
      <c r="AV407" s="291">
        <f t="shared" si="318"/>
        <v>7.0000000006984919E-2</v>
      </c>
      <c r="AW407" s="292">
        <f t="shared" si="309"/>
        <v>27405.57</v>
      </c>
      <c r="AX407" s="293">
        <f t="shared" si="310"/>
        <v>12078.57</v>
      </c>
      <c r="BC407" s="276">
        <f>IF(BI407=1,IF(BC406=MiscData!$F$1,EOMONTH(BC406,-11),EOMONTH(BC406,1)),BC406)</f>
        <v>41973</v>
      </c>
      <c r="BD407" s="275" t="str">
        <f t="shared" si="319"/>
        <v>20140101LGINE663</v>
      </c>
      <c r="BE407" s="294" t="str">
        <f t="shared" si="320"/>
        <v>20140101PSP</v>
      </c>
      <c r="BF407">
        <f>MiscData!$X$5</f>
        <v>20140101</v>
      </c>
      <c r="BI407" s="265">
        <f>IF(BI406+1&gt;MiscData!$Z$42,1,BI406+1)</f>
        <v>24</v>
      </c>
      <c r="BJ407" s="265" t="str">
        <f>VLOOKUP(BI407,MiscData!$Z$5:$AB$46,2,FALSE)</f>
        <v>LGINE663</v>
      </c>
      <c r="BK407" s="265" t="str">
        <f>VLOOKUP(BI407,MiscData!$Z$5:$AB$46,3,FALSE)</f>
        <v>PSP</v>
      </c>
    </row>
    <row r="408" spans="1:63" hidden="1">
      <c r="A408" s="275">
        <v>387</v>
      </c>
      <c r="B408" s="276" t="str">
        <f t="shared" si="311"/>
        <v>Nov 2014</v>
      </c>
      <c r="C408" s="277" t="str">
        <f t="shared" si="321"/>
        <v>TODS</v>
      </c>
      <c r="D408" s="277" t="str">
        <f t="shared" si="312"/>
        <v>LGINE691</v>
      </c>
      <c r="E408" s="278">
        <f t="shared" si="281"/>
        <v>85</v>
      </c>
      <c r="F408" s="279">
        <v>0</v>
      </c>
      <c r="G408" s="278">
        <f t="shared" si="282"/>
        <v>0</v>
      </c>
      <c r="H408" s="278">
        <f t="shared" si="283"/>
        <v>0</v>
      </c>
      <c r="I408" s="278">
        <f t="shared" si="284"/>
        <v>0</v>
      </c>
      <c r="J408" s="278">
        <f t="shared" si="285"/>
        <v>18761930</v>
      </c>
      <c r="K408" s="280">
        <v>0</v>
      </c>
      <c r="L408" s="281">
        <f t="shared" si="286"/>
        <v>48665.98</v>
      </c>
      <c r="M408" s="281">
        <f t="shared" si="287"/>
        <v>45660.480000000003</v>
      </c>
      <c r="N408" s="281">
        <f t="shared" si="288"/>
        <v>44826.91</v>
      </c>
      <c r="O408" s="282">
        <v>0</v>
      </c>
      <c r="P408" s="282">
        <v>0</v>
      </c>
      <c r="Q408" s="282">
        <v>0</v>
      </c>
      <c r="R408" s="283">
        <f t="shared" si="289"/>
        <v>200</v>
      </c>
      <c r="S408" s="284">
        <f t="shared" si="278"/>
        <v>3.9899999999999998E-2</v>
      </c>
      <c r="T408" s="284">
        <f t="shared" si="290"/>
        <v>0</v>
      </c>
      <c r="U408" s="284">
        <f t="shared" si="291"/>
        <v>0</v>
      </c>
      <c r="V408" s="284">
        <f t="shared" si="292"/>
        <v>2.725E-2</v>
      </c>
      <c r="W408" s="283">
        <f t="shared" si="293"/>
        <v>4</v>
      </c>
      <c r="X408" s="283">
        <f t="shared" si="294"/>
        <v>4.5100000000000007</v>
      </c>
      <c r="Y408" s="283">
        <f t="shared" si="295"/>
        <v>6.11</v>
      </c>
      <c r="Z408" s="285">
        <f t="shared" si="296"/>
        <v>17000</v>
      </c>
      <c r="AA408" s="285">
        <f t="shared" si="297"/>
        <v>748601.01</v>
      </c>
      <c r="AB408" s="285">
        <f t="shared" si="313"/>
        <v>194663.92</v>
      </c>
      <c r="AC408" s="285">
        <f t="shared" si="314"/>
        <v>205928.76</v>
      </c>
      <c r="AD408" s="285">
        <f t="shared" si="315"/>
        <v>273892.42</v>
      </c>
      <c r="AE408" s="286">
        <v>0</v>
      </c>
      <c r="AF408" s="287">
        <f t="shared" si="298"/>
        <v>0</v>
      </c>
      <c r="AG408" s="288">
        <f t="shared" si="299"/>
        <v>0</v>
      </c>
      <c r="AH408" s="285">
        <f t="shared" si="316"/>
        <v>674485.10000000009</v>
      </c>
      <c r="AI408" s="286">
        <v>0</v>
      </c>
      <c r="AJ408" s="286">
        <v>0</v>
      </c>
      <c r="AK408" s="286">
        <v>0</v>
      </c>
      <c r="AL408" s="285">
        <f t="shared" si="300"/>
        <v>1440086.1099999999</v>
      </c>
      <c r="AM408" s="285">
        <f t="shared" si="301"/>
        <v>1440087</v>
      </c>
      <c r="AN408" s="289">
        <f t="shared" si="317"/>
        <v>1.0000009999999999</v>
      </c>
      <c r="AO408" s="290">
        <f t="shared" si="302"/>
        <v>-6630</v>
      </c>
      <c r="AP408" s="290">
        <f t="shared" si="303"/>
        <v>54777</v>
      </c>
      <c r="AQ408" s="290">
        <f t="shared" si="304"/>
        <v>97408</v>
      </c>
      <c r="AR408" s="290">
        <f t="shared" si="305"/>
        <v>0</v>
      </c>
      <c r="AS408" s="290">
        <f t="shared" si="306"/>
        <v>0</v>
      </c>
      <c r="AT408" s="290">
        <f t="shared" si="307"/>
        <v>1585642</v>
      </c>
      <c r="AU408" s="291">
        <f t="shared" si="308"/>
        <v>1585641.1099999999</v>
      </c>
      <c r="AV408" s="291">
        <f t="shared" si="318"/>
        <v>0.89000000013038516</v>
      </c>
      <c r="AW408" s="292">
        <f t="shared" si="309"/>
        <v>511262.59</v>
      </c>
      <c r="AX408" s="293">
        <f t="shared" si="310"/>
        <v>237338.41999999998</v>
      </c>
      <c r="BC408" s="276">
        <f>IF(BI408=1,IF(BC407=MiscData!$F$1,EOMONTH(BC407,-11),EOMONTH(BC407,1)),BC407)</f>
        <v>41973</v>
      </c>
      <c r="BD408" s="275" t="str">
        <f t="shared" si="319"/>
        <v>20140101LGINE691</v>
      </c>
      <c r="BE408" s="294" t="str">
        <f t="shared" si="320"/>
        <v>20140101TODS</v>
      </c>
      <c r="BF408">
        <f>MiscData!$X$5</f>
        <v>20140101</v>
      </c>
      <c r="BI408" s="265">
        <f>IF(BI407+1&gt;MiscData!$Z$42,1,BI407+1)</f>
        <v>25</v>
      </c>
      <c r="BJ408" s="265" t="str">
        <f>VLOOKUP(BI408,MiscData!$Z$5:$AB$46,2,FALSE)</f>
        <v>LGINE691</v>
      </c>
      <c r="BK408" s="265" t="str">
        <f>VLOOKUP(BI408,MiscData!$Z$5:$AB$46,3,FALSE)</f>
        <v>TODS</v>
      </c>
    </row>
    <row r="409" spans="1:63" hidden="1">
      <c r="A409" s="275">
        <v>388</v>
      </c>
      <c r="B409" s="276" t="str">
        <f t="shared" si="311"/>
        <v>Nov 2014</v>
      </c>
      <c r="C409" s="277" t="str">
        <f t="shared" si="321"/>
        <v>ITODP</v>
      </c>
      <c r="D409" s="277" t="str">
        <f t="shared" si="312"/>
        <v>LGINE693</v>
      </c>
      <c r="E409" s="278">
        <f t="shared" si="281"/>
        <v>66</v>
      </c>
      <c r="F409" s="279">
        <v>0</v>
      </c>
      <c r="G409" s="278">
        <f t="shared" si="282"/>
        <v>0</v>
      </c>
      <c r="H409" s="278">
        <f t="shared" si="283"/>
        <v>0</v>
      </c>
      <c r="I409" s="278">
        <f t="shared" si="284"/>
        <v>0</v>
      </c>
      <c r="J409" s="278">
        <f t="shared" si="285"/>
        <v>126819004</v>
      </c>
      <c r="K409" s="280">
        <v>0</v>
      </c>
      <c r="L409" s="281">
        <f t="shared" si="286"/>
        <v>311448.57</v>
      </c>
      <c r="M409" s="281">
        <f t="shared" si="287"/>
        <v>282752.24</v>
      </c>
      <c r="N409" s="281">
        <f t="shared" si="288"/>
        <v>278996.21000000002</v>
      </c>
      <c r="O409" s="282">
        <v>0</v>
      </c>
      <c r="P409" s="282">
        <v>0</v>
      </c>
      <c r="Q409" s="282">
        <v>0</v>
      </c>
      <c r="R409" s="283">
        <f t="shared" si="289"/>
        <v>300</v>
      </c>
      <c r="S409" s="284">
        <f t="shared" si="278"/>
        <v>3.5380000000000002E-2</v>
      </c>
      <c r="T409" s="284">
        <f t="shared" si="290"/>
        <v>0</v>
      </c>
      <c r="U409" s="284">
        <f t="shared" si="291"/>
        <v>0</v>
      </c>
      <c r="V409" s="284">
        <f t="shared" si="292"/>
        <v>2.725E-2</v>
      </c>
      <c r="W409" s="283">
        <f t="shared" si="293"/>
        <v>3.6300000000000003</v>
      </c>
      <c r="X409" s="283">
        <f t="shared" si="294"/>
        <v>3.7900000000000005</v>
      </c>
      <c r="Y409" s="283">
        <f t="shared" si="295"/>
        <v>4.63</v>
      </c>
      <c r="Z409" s="285">
        <f t="shared" si="296"/>
        <v>19800</v>
      </c>
      <c r="AA409" s="285">
        <f t="shared" si="297"/>
        <v>4486856.3600000003</v>
      </c>
      <c r="AB409" s="285">
        <f t="shared" si="313"/>
        <v>1130558.31</v>
      </c>
      <c r="AC409" s="285">
        <f t="shared" si="314"/>
        <v>1071630.99</v>
      </c>
      <c r="AD409" s="285">
        <f t="shared" si="315"/>
        <v>1291752.45</v>
      </c>
      <c r="AE409" s="286">
        <v>0</v>
      </c>
      <c r="AF409" s="287">
        <f t="shared" si="298"/>
        <v>0</v>
      </c>
      <c r="AG409" s="288">
        <f t="shared" si="299"/>
        <v>0</v>
      </c>
      <c r="AH409" s="285">
        <f t="shared" si="316"/>
        <v>3493941.75</v>
      </c>
      <c r="AI409" s="286">
        <v>0</v>
      </c>
      <c r="AJ409" s="286">
        <v>0</v>
      </c>
      <c r="AK409" s="286">
        <v>0</v>
      </c>
      <c r="AL409" s="285">
        <f t="shared" si="300"/>
        <v>8000598.1100000003</v>
      </c>
      <c r="AM409" s="285">
        <f t="shared" si="301"/>
        <v>8000597</v>
      </c>
      <c r="AN409" s="289">
        <f t="shared" si="317"/>
        <v>1</v>
      </c>
      <c r="AO409" s="290">
        <f t="shared" si="302"/>
        <v>-44812</v>
      </c>
      <c r="AP409" s="290">
        <f t="shared" si="303"/>
        <v>370260</v>
      </c>
      <c r="AQ409" s="290">
        <f t="shared" si="304"/>
        <v>658420</v>
      </c>
      <c r="AR409" s="290">
        <f t="shared" si="305"/>
        <v>0</v>
      </c>
      <c r="AS409" s="290">
        <f t="shared" si="306"/>
        <v>0</v>
      </c>
      <c r="AT409" s="290">
        <f t="shared" si="307"/>
        <v>8984465</v>
      </c>
      <c r="AU409" s="291">
        <f t="shared" si="308"/>
        <v>8984466.1099999994</v>
      </c>
      <c r="AV409" s="291">
        <f t="shared" si="318"/>
        <v>-1.1099999994039536</v>
      </c>
      <c r="AW409" s="292">
        <f t="shared" si="309"/>
        <v>3455817.86</v>
      </c>
      <c r="AX409" s="293">
        <f t="shared" si="310"/>
        <v>1031038.5000000005</v>
      </c>
      <c r="BC409" s="276">
        <f>IF(BI409=1,IF(BC408=MiscData!$F$1,EOMONTH(BC408,-11),EOMONTH(BC408,1)),BC408)</f>
        <v>41973</v>
      </c>
      <c r="BD409" s="275" t="str">
        <f t="shared" si="319"/>
        <v>20140101LGINE693</v>
      </c>
      <c r="BE409" s="294" t="str">
        <f t="shared" si="320"/>
        <v>20140101ITODP</v>
      </c>
      <c r="BF409">
        <f>MiscData!$X$5</f>
        <v>20140101</v>
      </c>
      <c r="BI409" s="265">
        <f>IF(BI408+1&gt;MiscData!$Z$42,1,BI408+1)</f>
        <v>26</v>
      </c>
      <c r="BJ409" s="265" t="str">
        <f>VLOOKUP(BI409,MiscData!$Z$5:$AB$46,2,FALSE)</f>
        <v>LGINE693</v>
      </c>
      <c r="BK409" s="265" t="str">
        <f>VLOOKUP(BI409,MiscData!$Z$5:$AB$46,3,FALSE)</f>
        <v>ITODP</v>
      </c>
    </row>
    <row r="410" spans="1:63" hidden="1">
      <c r="A410" s="275">
        <v>389</v>
      </c>
      <c r="B410" s="276" t="str">
        <f t="shared" si="311"/>
        <v>Nov 2014</v>
      </c>
      <c r="C410" s="277" t="str">
        <f t="shared" si="321"/>
        <v>ITODP</v>
      </c>
      <c r="D410" s="277" t="str">
        <f t="shared" si="312"/>
        <v>LGINE694</v>
      </c>
      <c r="E410" s="278">
        <f t="shared" si="281"/>
        <v>0</v>
      </c>
      <c r="F410" s="279">
        <v>0</v>
      </c>
      <c r="G410" s="278">
        <f t="shared" si="282"/>
        <v>0</v>
      </c>
      <c r="H410" s="278">
        <f t="shared" si="283"/>
        <v>0</v>
      </c>
      <c r="I410" s="278">
        <f t="shared" si="284"/>
        <v>0</v>
      </c>
      <c r="J410" s="278">
        <f t="shared" si="285"/>
        <v>0</v>
      </c>
      <c r="K410" s="280">
        <v>0</v>
      </c>
      <c r="L410" s="281">
        <f t="shared" si="286"/>
        <v>0</v>
      </c>
      <c r="M410" s="281">
        <f t="shared" si="287"/>
        <v>0</v>
      </c>
      <c r="N410" s="281">
        <f t="shared" si="288"/>
        <v>0</v>
      </c>
      <c r="O410" s="282">
        <v>0</v>
      </c>
      <c r="P410" s="282">
        <v>0</v>
      </c>
      <c r="Q410" s="282">
        <v>0</v>
      </c>
      <c r="R410" s="283">
        <f t="shared" si="289"/>
        <v>300</v>
      </c>
      <c r="S410" s="284">
        <f t="shared" si="278"/>
        <v>3.5380000000000002E-2</v>
      </c>
      <c r="T410" s="284">
        <f t="shared" si="290"/>
        <v>0</v>
      </c>
      <c r="U410" s="284">
        <f t="shared" si="291"/>
        <v>0</v>
      </c>
      <c r="V410" s="284">
        <f t="shared" si="292"/>
        <v>2.725E-2</v>
      </c>
      <c r="W410" s="283">
        <f t="shared" si="293"/>
        <v>3.6300000000000003</v>
      </c>
      <c r="X410" s="283">
        <f t="shared" si="294"/>
        <v>3.7900000000000005</v>
      </c>
      <c r="Y410" s="283">
        <f t="shared" si="295"/>
        <v>4.63</v>
      </c>
      <c r="Z410" s="285">
        <f t="shared" si="296"/>
        <v>0</v>
      </c>
      <c r="AA410" s="285">
        <f t="shared" si="297"/>
        <v>0</v>
      </c>
      <c r="AB410" s="285">
        <f t="shared" si="313"/>
        <v>0</v>
      </c>
      <c r="AC410" s="285">
        <f t="shared" si="314"/>
        <v>0</v>
      </c>
      <c r="AD410" s="285">
        <f t="shared" si="315"/>
        <v>0</v>
      </c>
      <c r="AE410" s="286">
        <v>0</v>
      </c>
      <c r="AF410" s="287">
        <f t="shared" si="298"/>
        <v>0</v>
      </c>
      <c r="AG410" s="288">
        <f t="shared" si="299"/>
        <v>0</v>
      </c>
      <c r="AH410" s="285">
        <f t="shared" si="316"/>
        <v>0</v>
      </c>
      <c r="AI410" s="286">
        <v>0</v>
      </c>
      <c r="AJ410" s="286">
        <v>0</v>
      </c>
      <c r="AK410" s="286">
        <v>0</v>
      </c>
      <c r="AL410" s="285">
        <f t="shared" si="300"/>
        <v>0</v>
      </c>
      <c r="AM410" s="285">
        <f t="shared" si="301"/>
        <v>0</v>
      </c>
      <c r="AN410" s="289">
        <f t="shared" si="317"/>
        <v>1</v>
      </c>
      <c r="AO410" s="290">
        <f t="shared" si="302"/>
        <v>0</v>
      </c>
      <c r="AP410" s="290">
        <f t="shared" si="303"/>
        <v>0</v>
      </c>
      <c r="AQ410" s="290">
        <f t="shared" si="304"/>
        <v>0</v>
      </c>
      <c r="AR410" s="290">
        <f t="shared" si="305"/>
        <v>0</v>
      </c>
      <c r="AS410" s="290">
        <f t="shared" si="306"/>
        <v>0</v>
      </c>
      <c r="AT410" s="290">
        <f t="shared" si="307"/>
        <v>0</v>
      </c>
      <c r="AU410" s="291">
        <f t="shared" si="308"/>
        <v>0</v>
      </c>
      <c r="AV410" s="291">
        <f t="shared" si="318"/>
        <v>0</v>
      </c>
      <c r="AW410" s="292">
        <f t="shared" si="309"/>
        <v>0</v>
      </c>
      <c r="AX410" s="293">
        <f t="shared" si="310"/>
        <v>0</v>
      </c>
      <c r="BC410" s="276">
        <f>IF(BI410=1,IF(BC409=MiscData!$F$1,EOMONTH(BC409,-11),EOMONTH(BC409,1)),BC409)</f>
        <v>41973</v>
      </c>
      <c r="BD410" s="275" t="str">
        <f t="shared" si="319"/>
        <v>20140101LGINE694</v>
      </c>
      <c r="BE410" s="294" t="str">
        <f t="shared" si="320"/>
        <v>20140101ITODP</v>
      </c>
      <c r="BF410">
        <f>MiscData!$X$5</f>
        <v>20140101</v>
      </c>
      <c r="BI410" s="265">
        <f>IF(BI409+1&gt;MiscData!$Z$42,1,BI409+1)</f>
        <v>27</v>
      </c>
      <c r="BJ410" s="265" t="str">
        <f>VLOOKUP(BI410,MiscData!$Z$5:$AB$46,2,FALSE)</f>
        <v>LGINE694</v>
      </c>
      <c r="BK410" s="265" t="str">
        <f>VLOOKUP(BI410,MiscData!$Z$5:$AB$46,3,FALSE)</f>
        <v>ITODP</v>
      </c>
    </row>
    <row r="411" spans="1:63" hidden="1">
      <c r="A411" s="275">
        <v>390</v>
      </c>
      <c r="B411" s="276" t="str">
        <f t="shared" si="311"/>
        <v>Nov 2014</v>
      </c>
      <c r="C411" s="277" t="str">
        <f t="shared" si="321"/>
        <v>LE</v>
      </c>
      <c r="D411" s="277" t="str">
        <f t="shared" si="312"/>
        <v>LGMLE570</v>
      </c>
      <c r="E411" s="278">
        <f t="shared" si="281"/>
        <v>0</v>
      </c>
      <c r="F411" s="279">
        <v>0</v>
      </c>
      <c r="G411" s="278">
        <f t="shared" si="282"/>
        <v>0</v>
      </c>
      <c r="H411" s="278">
        <f t="shared" si="283"/>
        <v>0</v>
      </c>
      <c r="I411" s="278">
        <f t="shared" si="284"/>
        <v>0</v>
      </c>
      <c r="J411" s="278">
        <f t="shared" si="285"/>
        <v>0</v>
      </c>
      <c r="K411" s="280">
        <v>0</v>
      </c>
      <c r="L411" s="281">
        <f t="shared" si="286"/>
        <v>0</v>
      </c>
      <c r="M411" s="281">
        <f t="shared" si="287"/>
        <v>0</v>
      </c>
      <c r="N411" s="281">
        <f t="shared" si="288"/>
        <v>0</v>
      </c>
      <c r="O411" s="282">
        <v>0</v>
      </c>
      <c r="P411" s="282">
        <v>0</v>
      </c>
      <c r="Q411" s="282">
        <v>0</v>
      </c>
      <c r="R411" s="283">
        <f t="shared" si="289"/>
        <v>0</v>
      </c>
      <c r="S411" s="284">
        <f t="shared" si="278"/>
        <v>6.4610000000000001E-2</v>
      </c>
      <c r="T411" s="284">
        <f t="shared" si="290"/>
        <v>0</v>
      </c>
      <c r="U411" s="284">
        <f t="shared" si="291"/>
        <v>0</v>
      </c>
      <c r="V411" s="284">
        <f t="shared" si="292"/>
        <v>2.725E-2</v>
      </c>
      <c r="W411" s="283">
        <f t="shared" si="293"/>
        <v>0</v>
      </c>
      <c r="X411" s="283">
        <f t="shared" si="294"/>
        <v>0</v>
      </c>
      <c r="Y411" s="283">
        <f t="shared" si="295"/>
        <v>0</v>
      </c>
      <c r="Z411" s="285">
        <f t="shared" si="296"/>
        <v>0</v>
      </c>
      <c r="AA411" s="285">
        <f t="shared" si="297"/>
        <v>0</v>
      </c>
      <c r="AB411" s="285">
        <f t="shared" si="313"/>
        <v>0</v>
      </c>
      <c r="AC411" s="285">
        <f t="shared" si="314"/>
        <v>0</v>
      </c>
      <c r="AD411" s="285">
        <f t="shared" si="315"/>
        <v>0</v>
      </c>
      <c r="AE411" s="286">
        <v>0</v>
      </c>
      <c r="AF411" s="287">
        <f t="shared" si="298"/>
        <v>0</v>
      </c>
      <c r="AG411" s="288">
        <f t="shared" si="299"/>
        <v>0</v>
      </c>
      <c r="AH411" s="285">
        <f t="shared" si="316"/>
        <v>0</v>
      </c>
      <c r="AI411" s="286">
        <v>0</v>
      </c>
      <c r="AJ411" s="286">
        <v>0</v>
      </c>
      <c r="AK411" s="286">
        <v>0</v>
      </c>
      <c r="AL411" s="285">
        <f t="shared" si="300"/>
        <v>0</v>
      </c>
      <c r="AM411" s="285">
        <f t="shared" si="301"/>
        <v>0</v>
      </c>
      <c r="AN411" s="289">
        <f t="shared" si="317"/>
        <v>1</v>
      </c>
      <c r="AO411" s="290">
        <f t="shared" si="302"/>
        <v>0</v>
      </c>
      <c r="AP411" s="290">
        <f t="shared" si="303"/>
        <v>0</v>
      </c>
      <c r="AQ411" s="290">
        <f t="shared" si="304"/>
        <v>0</v>
      </c>
      <c r="AR411" s="290">
        <f t="shared" si="305"/>
        <v>0</v>
      </c>
      <c r="AS411" s="290">
        <f t="shared" si="306"/>
        <v>0</v>
      </c>
      <c r="AT411" s="290">
        <f t="shared" si="307"/>
        <v>0</v>
      </c>
      <c r="AU411" s="291">
        <f t="shared" si="308"/>
        <v>0</v>
      </c>
      <c r="AV411" s="291">
        <f t="shared" si="318"/>
        <v>0</v>
      </c>
      <c r="AW411" s="292">
        <f t="shared" si="309"/>
        <v>0</v>
      </c>
      <c r="AX411" s="293">
        <f t="shared" si="310"/>
        <v>0</v>
      </c>
      <c r="BC411" s="276">
        <f>IF(BI411=1,IF(BC410=MiscData!$F$1,EOMONTH(BC410,-11),EOMONTH(BC410,1)),BC410)</f>
        <v>41973</v>
      </c>
      <c r="BD411" s="275" t="str">
        <f t="shared" si="319"/>
        <v>20140101LGMLE570</v>
      </c>
      <c r="BE411" s="294" t="str">
        <f t="shared" si="320"/>
        <v>20140101LE</v>
      </c>
      <c r="BF411">
        <f>MiscData!$X$5</f>
        <v>20140101</v>
      </c>
      <c r="BI411" s="265">
        <f>IF(BI410+1&gt;MiscData!$Z$42,1,BI410+1)</f>
        <v>28</v>
      </c>
      <c r="BJ411" s="265" t="str">
        <f>VLOOKUP(BI411,MiscData!$Z$5:$AB$46,2,FALSE)</f>
        <v>LGMLE570</v>
      </c>
      <c r="BK411" s="265" t="str">
        <f>VLOOKUP(BI411,MiscData!$Z$5:$AB$46,3,FALSE)</f>
        <v>LE</v>
      </c>
    </row>
    <row r="412" spans="1:63" hidden="1">
      <c r="A412" s="275">
        <v>391</v>
      </c>
      <c r="B412" s="276" t="str">
        <f t="shared" si="311"/>
        <v>Nov 2014</v>
      </c>
      <c r="C412" s="277" t="str">
        <f t="shared" si="321"/>
        <v>LE</v>
      </c>
      <c r="D412" s="277" t="str">
        <f t="shared" si="312"/>
        <v>LGMLE571</v>
      </c>
      <c r="E412" s="278">
        <f t="shared" si="281"/>
        <v>156</v>
      </c>
      <c r="F412" s="279">
        <v>0</v>
      </c>
      <c r="G412" s="278">
        <f t="shared" si="282"/>
        <v>0</v>
      </c>
      <c r="H412" s="278">
        <f t="shared" si="283"/>
        <v>0</v>
      </c>
      <c r="I412" s="278">
        <f t="shared" si="284"/>
        <v>0</v>
      </c>
      <c r="J412" s="278">
        <f t="shared" si="285"/>
        <v>309305</v>
      </c>
      <c r="K412" s="280">
        <v>0</v>
      </c>
      <c r="L412" s="281">
        <f t="shared" si="286"/>
        <v>0</v>
      </c>
      <c r="M412" s="281">
        <f t="shared" si="287"/>
        <v>0</v>
      </c>
      <c r="N412" s="281">
        <f t="shared" si="288"/>
        <v>0</v>
      </c>
      <c r="O412" s="282">
        <v>0</v>
      </c>
      <c r="P412" s="282">
        <v>0</v>
      </c>
      <c r="Q412" s="282">
        <v>0</v>
      </c>
      <c r="R412" s="283">
        <f t="shared" si="289"/>
        <v>0</v>
      </c>
      <c r="S412" s="284">
        <f t="shared" si="278"/>
        <v>6.4610000000000001E-2</v>
      </c>
      <c r="T412" s="284">
        <f t="shared" si="290"/>
        <v>0</v>
      </c>
      <c r="U412" s="284">
        <f t="shared" si="291"/>
        <v>0</v>
      </c>
      <c r="V412" s="284">
        <f t="shared" si="292"/>
        <v>2.725E-2</v>
      </c>
      <c r="W412" s="283">
        <f t="shared" si="293"/>
        <v>0</v>
      </c>
      <c r="X412" s="283">
        <f t="shared" si="294"/>
        <v>0</v>
      </c>
      <c r="Y412" s="283">
        <f t="shared" si="295"/>
        <v>0</v>
      </c>
      <c r="Z412" s="285">
        <f t="shared" si="296"/>
        <v>0</v>
      </c>
      <c r="AA412" s="285">
        <f t="shared" si="297"/>
        <v>19984.2</v>
      </c>
      <c r="AB412" s="285">
        <f t="shared" si="313"/>
        <v>0</v>
      </c>
      <c r="AC412" s="285">
        <f t="shared" si="314"/>
        <v>0</v>
      </c>
      <c r="AD412" s="285">
        <f t="shared" si="315"/>
        <v>0</v>
      </c>
      <c r="AE412" s="286">
        <v>0</v>
      </c>
      <c r="AF412" s="287">
        <f t="shared" si="298"/>
        <v>0</v>
      </c>
      <c r="AG412" s="288">
        <f t="shared" si="299"/>
        <v>0</v>
      </c>
      <c r="AH412" s="285">
        <f t="shared" si="316"/>
        <v>0</v>
      </c>
      <c r="AI412" s="286">
        <v>0</v>
      </c>
      <c r="AJ412" s="286">
        <v>0</v>
      </c>
      <c r="AK412" s="286">
        <v>0</v>
      </c>
      <c r="AL412" s="285">
        <f t="shared" si="300"/>
        <v>19984.2</v>
      </c>
      <c r="AM412" s="285">
        <f t="shared" si="301"/>
        <v>19984</v>
      </c>
      <c r="AN412" s="289">
        <f t="shared" si="317"/>
        <v>0.99999000000000005</v>
      </c>
      <c r="AO412" s="290">
        <f t="shared" si="302"/>
        <v>-108</v>
      </c>
      <c r="AP412" s="290">
        <f t="shared" si="303"/>
        <v>0</v>
      </c>
      <c r="AQ412" s="290">
        <f t="shared" si="304"/>
        <v>1605</v>
      </c>
      <c r="AR412" s="290">
        <f t="shared" si="305"/>
        <v>0</v>
      </c>
      <c r="AS412" s="290">
        <f t="shared" si="306"/>
        <v>0</v>
      </c>
      <c r="AT412" s="290">
        <f t="shared" si="307"/>
        <v>21481</v>
      </c>
      <c r="AU412" s="291">
        <f t="shared" si="308"/>
        <v>21481.200000000001</v>
      </c>
      <c r="AV412" s="291">
        <f t="shared" si="318"/>
        <v>-0.2000000000007276</v>
      </c>
      <c r="AW412" s="292">
        <f t="shared" si="309"/>
        <v>8428.56</v>
      </c>
      <c r="AX412" s="293">
        <f t="shared" si="310"/>
        <v>11555.640000000001</v>
      </c>
      <c r="BC412" s="276">
        <f>IF(BI412=1,IF(BC411=MiscData!$F$1,EOMONTH(BC411,-11),EOMONTH(BC411,1)),BC411)</f>
        <v>41973</v>
      </c>
      <c r="BD412" s="275" t="str">
        <f t="shared" si="319"/>
        <v>20140101LGMLE571</v>
      </c>
      <c r="BE412" s="294" t="str">
        <f t="shared" si="320"/>
        <v>20140101LE</v>
      </c>
      <c r="BF412">
        <f>MiscData!$X$5</f>
        <v>20140101</v>
      </c>
      <c r="BI412" s="265">
        <f>IF(BI411+1&gt;MiscData!$Z$42,1,BI411+1)</f>
        <v>29</v>
      </c>
      <c r="BJ412" s="265" t="str">
        <f>VLOOKUP(BI412,MiscData!$Z$5:$AB$46,2,FALSE)</f>
        <v>LGMLE571</v>
      </c>
      <c r="BK412" s="265" t="str">
        <f>VLOOKUP(BI412,MiscData!$Z$5:$AB$46,3,FALSE)</f>
        <v>LE</v>
      </c>
    </row>
    <row r="413" spans="1:63" hidden="1">
      <c r="A413" s="275">
        <v>392</v>
      </c>
      <c r="B413" s="276" t="str">
        <f t="shared" si="311"/>
        <v>Nov 2014</v>
      </c>
      <c r="C413" s="277" t="str">
        <f t="shared" si="321"/>
        <v>LE</v>
      </c>
      <c r="D413" s="277" t="str">
        <f t="shared" si="312"/>
        <v>LGMLE572</v>
      </c>
      <c r="E413" s="278">
        <f t="shared" si="281"/>
        <v>0</v>
      </c>
      <c r="F413" s="279">
        <v>0</v>
      </c>
      <c r="G413" s="278">
        <f t="shared" si="282"/>
        <v>0</v>
      </c>
      <c r="H413" s="278">
        <f t="shared" si="283"/>
        <v>0</v>
      </c>
      <c r="I413" s="278">
        <f t="shared" si="284"/>
        <v>0</v>
      </c>
      <c r="J413" s="278">
        <f t="shared" si="285"/>
        <v>0</v>
      </c>
      <c r="K413" s="280">
        <v>0</v>
      </c>
      <c r="L413" s="281">
        <f t="shared" si="286"/>
        <v>0</v>
      </c>
      <c r="M413" s="281">
        <f t="shared" si="287"/>
        <v>0</v>
      </c>
      <c r="N413" s="281">
        <f t="shared" si="288"/>
        <v>0</v>
      </c>
      <c r="O413" s="282">
        <v>0</v>
      </c>
      <c r="P413" s="282">
        <v>0</v>
      </c>
      <c r="Q413" s="282">
        <v>0</v>
      </c>
      <c r="R413" s="283">
        <f t="shared" si="289"/>
        <v>0</v>
      </c>
      <c r="S413" s="284">
        <f t="shared" si="278"/>
        <v>6.4610000000000001E-2</v>
      </c>
      <c r="T413" s="284">
        <f t="shared" si="290"/>
        <v>0</v>
      </c>
      <c r="U413" s="284">
        <f t="shared" si="291"/>
        <v>0</v>
      </c>
      <c r="V413" s="284">
        <f t="shared" si="292"/>
        <v>2.725E-2</v>
      </c>
      <c r="W413" s="283">
        <f t="shared" si="293"/>
        <v>0</v>
      </c>
      <c r="X413" s="283">
        <f t="shared" si="294"/>
        <v>0</v>
      </c>
      <c r="Y413" s="283">
        <f t="shared" si="295"/>
        <v>0</v>
      </c>
      <c r="Z413" s="285">
        <f t="shared" si="296"/>
        <v>0</v>
      </c>
      <c r="AA413" s="285">
        <f t="shared" si="297"/>
        <v>0</v>
      </c>
      <c r="AB413" s="285">
        <f t="shared" si="313"/>
        <v>0</v>
      </c>
      <c r="AC413" s="285">
        <f t="shared" si="314"/>
        <v>0</v>
      </c>
      <c r="AD413" s="285">
        <f t="shared" si="315"/>
        <v>0</v>
      </c>
      <c r="AE413" s="286">
        <v>0</v>
      </c>
      <c r="AF413" s="287">
        <f t="shared" si="298"/>
        <v>0</v>
      </c>
      <c r="AG413" s="288">
        <f t="shared" si="299"/>
        <v>0</v>
      </c>
      <c r="AH413" s="285">
        <f t="shared" si="316"/>
        <v>0</v>
      </c>
      <c r="AI413" s="286">
        <v>0</v>
      </c>
      <c r="AJ413" s="286">
        <v>0</v>
      </c>
      <c r="AK413" s="286">
        <v>0</v>
      </c>
      <c r="AL413" s="285">
        <f t="shared" si="300"/>
        <v>0</v>
      </c>
      <c r="AM413" s="285">
        <f t="shared" si="301"/>
        <v>0</v>
      </c>
      <c r="AN413" s="289">
        <f t="shared" si="317"/>
        <v>1</v>
      </c>
      <c r="AO413" s="290">
        <f t="shared" si="302"/>
        <v>0</v>
      </c>
      <c r="AP413" s="290">
        <f t="shared" si="303"/>
        <v>0</v>
      </c>
      <c r="AQ413" s="290">
        <f t="shared" si="304"/>
        <v>0</v>
      </c>
      <c r="AR413" s="290">
        <f t="shared" si="305"/>
        <v>0</v>
      </c>
      <c r="AS413" s="290">
        <f t="shared" si="306"/>
        <v>0</v>
      </c>
      <c r="AT413" s="290">
        <f t="shared" si="307"/>
        <v>0</v>
      </c>
      <c r="AU413" s="291">
        <f t="shared" si="308"/>
        <v>0</v>
      </c>
      <c r="AV413" s="291">
        <f t="shared" si="318"/>
        <v>0</v>
      </c>
      <c r="AW413" s="292">
        <f t="shared" si="309"/>
        <v>0</v>
      </c>
      <c r="AX413" s="293">
        <f t="shared" si="310"/>
        <v>0</v>
      </c>
      <c r="BC413" s="276">
        <f>IF(BI413=1,IF(BC412=MiscData!$F$1,EOMONTH(BC412,-11),EOMONTH(BC412,1)),BC412)</f>
        <v>41973</v>
      </c>
      <c r="BD413" s="275" t="str">
        <f t="shared" si="319"/>
        <v>20140101LGMLE572</v>
      </c>
      <c r="BE413" s="294" t="str">
        <f t="shared" si="320"/>
        <v>20140101LE</v>
      </c>
      <c r="BF413">
        <f>MiscData!$X$5</f>
        <v>20140101</v>
      </c>
      <c r="BI413" s="265">
        <f>IF(BI412+1&gt;MiscData!$Z$42,1,BI412+1)</f>
        <v>30</v>
      </c>
      <c r="BJ413" s="265" t="str">
        <f>VLOOKUP(BI413,MiscData!$Z$5:$AB$46,2,FALSE)</f>
        <v>LGMLE572</v>
      </c>
      <c r="BK413" s="265" t="str">
        <f>VLOOKUP(BI413,MiscData!$Z$5:$AB$46,3,FALSE)</f>
        <v>LE</v>
      </c>
    </row>
    <row r="414" spans="1:63" hidden="1">
      <c r="A414" s="275">
        <v>391</v>
      </c>
      <c r="B414" s="276" t="str">
        <f t="shared" si="311"/>
        <v>Nov 2014</v>
      </c>
      <c r="C414" s="277" t="str">
        <f t="shared" si="321"/>
        <v>TE</v>
      </c>
      <c r="D414" s="277" t="str">
        <f t="shared" si="312"/>
        <v>LGMLE573</v>
      </c>
      <c r="E414" s="278">
        <f t="shared" si="281"/>
        <v>905</v>
      </c>
      <c r="F414" s="279">
        <v>0</v>
      </c>
      <c r="G414" s="278">
        <f t="shared" si="282"/>
        <v>0</v>
      </c>
      <c r="H414" s="278">
        <f t="shared" si="283"/>
        <v>0</v>
      </c>
      <c r="I414" s="278">
        <f t="shared" si="284"/>
        <v>0</v>
      </c>
      <c r="J414" s="278">
        <f t="shared" si="285"/>
        <v>265656</v>
      </c>
      <c r="K414" s="280">
        <v>0</v>
      </c>
      <c r="L414" s="281">
        <f t="shared" si="286"/>
        <v>0</v>
      </c>
      <c r="M414" s="281">
        <f t="shared" si="287"/>
        <v>0</v>
      </c>
      <c r="N414" s="281">
        <f t="shared" si="288"/>
        <v>0</v>
      </c>
      <c r="O414" s="282">
        <v>0</v>
      </c>
      <c r="P414" s="282">
        <v>0</v>
      </c>
      <c r="Q414" s="282">
        <v>0</v>
      </c>
      <c r="R414" s="283">
        <f t="shared" si="289"/>
        <v>3.25</v>
      </c>
      <c r="S414" s="284">
        <f t="shared" si="278"/>
        <v>7.6579999999999995E-2</v>
      </c>
      <c r="T414" s="284">
        <f t="shared" si="290"/>
        <v>0</v>
      </c>
      <c r="U414" s="284">
        <f t="shared" si="291"/>
        <v>0</v>
      </c>
      <c r="V414" s="284">
        <f t="shared" si="292"/>
        <v>2.725E-2</v>
      </c>
      <c r="W414" s="283">
        <f t="shared" si="293"/>
        <v>0</v>
      </c>
      <c r="X414" s="283">
        <f t="shared" si="294"/>
        <v>0</v>
      </c>
      <c r="Y414" s="283">
        <f t="shared" si="295"/>
        <v>0</v>
      </c>
      <c r="Z414" s="285">
        <f t="shared" si="296"/>
        <v>2941.25</v>
      </c>
      <c r="AA414" s="285">
        <f t="shared" si="297"/>
        <v>20343.939999999999</v>
      </c>
      <c r="AB414" s="285">
        <f t="shared" si="313"/>
        <v>0</v>
      </c>
      <c r="AC414" s="285">
        <f t="shared" si="314"/>
        <v>0</v>
      </c>
      <c r="AD414" s="285">
        <f t="shared" si="315"/>
        <v>0</v>
      </c>
      <c r="AE414" s="286">
        <v>0</v>
      </c>
      <c r="AF414" s="287">
        <f t="shared" si="298"/>
        <v>0</v>
      </c>
      <c r="AG414" s="288">
        <f t="shared" si="299"/>
        <v>0</v>
      </c>
      <c r="AH414" s="285">
        <f t="shared" si="316"/>
        <v>0</v>
      </c>
      <c r="AI414" s="286">
        <v>0</v>
      </c>
      <c r="AJ414" s="286">
        <v>0</v>
      </c>
      <c r="AK414" s="286">
        <v>0</v>
      </c>
      <c r="AL414" s="285">
        <f t="shared" si="300"/>
        <v>23285.19</v>
      </c>
      <c r="AM414" s="285">
        <f t="shared" si="301"/>
        <v>23285</v>
      </c>
      <c r="AN414" s="289">
        <f t="shared" si="317"/>
        <v>0.99999199999999999</v>
      </c>
      <c r="AO414" s="290">
        <f t="shared" si="302"/>
        <v>-93</v>
      </c>
      <c r="AP414" s="290">
        <f t="shared" si="303"/>
        <v>0</v>
      </c>
      <c r="AQ414" s="290">
        <f t="shared" si="304"/>
        <v>1379</v>
      </c>
      <c r="AR414" s="290">
        <f t="shared" si="305"/>
        <v>0</v>
      </c>
      <c r="AS414" s="290">
        <f t="shared" si="306"/>
        <v>0</v>
      </c>
      <c r="AT414" s="290">
        <f t="shared" si="307"/>
        <v>24571</v>
      </c>
      <c r="AU414" s="291">
        <f t="shared" si="308"/>
        <v>24571.19</v>
      </c>
      <c r="AV414" s="291">
        <f t="shared" si="318"/>
        <v>-0.18999999999869033</v>
      </c>
      <c r="AW414" s="292">
        <f t="shared" si="309"/>
        <v>7239.13</v>
      </c>
      <c r="AX414" s="293">
        <f t="shared" si="310"/>
        <v>13104.809999999998</v>
      </c>
      <c r="BC414" s="276">
        <f>IF(BI414=1,IF(BC413=MiscData!$F$1,EOMONTH(BC413,-11),EOMONTH(BC413,1)),BC413)</f>
        <v>41973</v>
      </c>
      <c r="BD414" s="275" t="str">
        <f t="shared" si="319"/>
        <v>20140101LGMLE573</v>
      </c>
      <c r="BE414" s="294" t="str">
        <f t="shared" si="320"/>
        <v>20140101TE</v>
      </c>
      <c r="BF414">
        <f>MiscData!$X$5</f>
        <v>20140101</v>
      </c>
      <c r="BI414" s="265">
        <f>IF(BI413+1&gt;MiscData!$Z$42,1,BI413+1)</f>
        <v>31</v>
      </c>
      <c r="BJ414" s="265" t="str">
        <f>VLOOKUP(BI414,MiscData!$Z$5:$AB$46,2,FALSE)</f>
        <v>LGMLE573</v>
      </c>
      <c r="BK414" s="265" t="str">
        <f>VLOOKUP(BI414,MiscData!$Z$5:$AB$46,3,FALSE)</f>
        <v>TE</v>
      </c>
    </row>
    <row r="415" spans="1:63" hidden="1">
      <c r="A415" s="275">
        <v>392</v>
      </c>
      <c r="B415" s="276" t="str">
        <f t="shared" si="311"/>
        <v>Nov 2014</v>
      </c>
      <c r="C415" s="277" t="str">
        <f t="shared" si="321"/>
        <v>TE</v>
      </c>
      <c r="D415" s="277" t="str">
        <f t="shared" si="312"/>
        <v>LGMLE574</v>
      </c>
      <c r="E415" s="278">
        <f t="shared" si="281"/>
        <v>0</v>
      </c>
      <c r="F415" s="279">
        <v>0</v>
      </c>
      <c r="G415" s="278">
        <f t="shared" si="282"/>
        <v>0</v>
      </c>
      <c r="H415" s="278">
        <f t="shared" si="283"/>
        <v>0</v>
      </c>
      <c r="I415" s="278">
        <f t="shared" si="284"/>
        <v>0</v>
      </c>
      <c r="J415" s="278">
        <f t="shared" si="285"/>
        <v>0</v>
      </c>
      <c r="K415" s="280">
        <v>0</v>
      </c>
      <c r="L415" s="281">
        <f t="shared" si="286"/>
        <v>0</v>
      </c>
      <c r="M415" s="281">
        <f t="shared" si="287"/>
        <v>0</v>
      </c>
      <c r="N415" s="281">
        <f t="shared" si="288"/>
        <v>0</v>
      </c>
      <c r="O415" s="282">
        <v>0</v>
      </c>
      <c r="P415" s="282">
        <v>0</v>
      </c>
      <c r="Q415" s="282">
        <v>0</v>
      </c>
      <c r="R415" s="283">
        <f t="shared" si="289"/>
        <v>3.25</v>
      </c>
      <c r="S415" s="284">
        <f t="shared" si="278"/>
        <v>7.6579999999999995E-2</v>
      </c>
      <c r="T415" s="284">
        <f t="shared" si="290"/>
        <v>0</v>
      </c>
      <c r="U415" s="284">
        <f t="shared" si="291"/>
        <v>0</v>
      </c>
      <c r="V415" s="284">
        <f t="shared" si="292"/>
        <v>2.725E-2</v>
      </c>
      <c r="W415" s="283">
        <f t="shared" si="293"/>
        <v>0</v>
      </c>
      <c r="X415" s="283">
        <f t="shared" si="294"/>
        <v>0</v>
      </c>
      <c r="Y415" s="283">
        <f t="shared" si="295"/>
        <v>0</v>
      </c>
      <c r="Z415" s="285">
        <f t="shared" si="296"/>
        <v>0</v>
      </c>
      <c r="AA415" s="285">
        <f t="shared" si="297"/>
        <v>0</v>
      </c>
      <c r="AB415" s="285">
        <f t="shared" si="313"/>
        <v>0</v>
      </c>
      <c r="AC415" s="285">
        <f t="shared" si="314"/>
        <v>0</v>
      </c>
      <c r="AD415" s="285">
        <f t="shared" si="315"/>
        <v>0</v>
      </c>
      <c r="AE415" s="286">
        <v>0</v>
      </c>
      <c r="AF415" s="287">
        <f t="shared" si="298"/>
        <v>0</v>
      </c>
      <c r="AG415" s="288">
        <f t="shared" si="299"/>
        <v>0</v>
      </c>
      <c r="AH415" s="285">
        <f t="shared" si="316"/>
        <v>0</v>
      </c>
      <c r="AI415" s="286">
        <v>0</v>
      </c>
      <c r="AJ415" s="286">
        <v>0</v>
      </c>
      <c r="AK415" s="286">
        <v>0</v>
      </c>
      <c r="AL415" s="285">
        <f t="shared" si="300"/>
        <v>0</v>
      </c>
      <c r="AM415" s="285">
        <f t="shared" si="301"/>
        <v>0</v>
      </c>
      <c r="AN415" s="289">
        <f t="shared" si="317"/>
        <v>1</v>
      </c>
      <c r="AO415" s="290">
        <f t="shared" si="302"/>
        <v>0</v>
      </c>
      <c r="AP415" s="290">
        <f t="shared" si="303"/>
        <v>0</v>
      </c>
      <c r="AQ415" s="290">
        <f t="shared" si="304"/>
        <v>0</v>
      </c>
      <c r="AR415" s="290">
        <f t="shared" si="305"/>
        <v>0</v>
      </c>
      <c r="AS415" s="290">
        <f t="shared" si="306"/>
        <v>0</v>
      </c>
      <c r="AT415" s="290">
        <f t="shared" si="307"/>
        <v>0</v>
      </c>
      <c r="AU415" s="291">
        <f t="shared" si="308"/>
        <v>0</v>
      </c>
      <c r="AV415" s="291">
        <f t="shared" si="318"/>
        <v>0</v>
      </c>
      <c r="AW415" s="292">
        <f t="shared" si="309"/>
        <v>0</v>
      </c>
      <c r="AX415" s="293">
        <f t="shared" si="310"/>
        <v>0</v>
      </c>
      <c r="BC415" s="276">
        <f>IF(BI415=1,IF(BC414=MiscData!$F$1,EOMONTH(BC414,-11),EOMONTH(BC414,1)),BC414)</f>
        <v>41973</v>
      </c>
      <c r="BD415" s="275" t="str">
        <f t="shared" si="319"/>
        <v>20140101LGMLE574</v>
      </c>
      <c r="BE415" s="294" t="str">
        <f t="shared" si="320"/>
        <v>20140101TE</v>
      </c>
      <c r="BF415">
        <f>MiscData!$X$5</f>
        <v>20140101</v>
      </c>
      <c r="BI415" s="265">
        <f>IF(BI414+1&gt;MiscData!$Z$42,1,BI414+1)</f>
        <v>32</v>
      </c>
      <c r="BJ415" s="265" t="str">
        <f>VLOOKUP(BI415,MiscData!$Z$5:$AB$46,2,FALSE)</f>
        <v>LGMLE574</v>
      </c>
      <c r="BK415" s="265" t="str">
        <f>VLOOKUP(BI415,MiscData!$Z$5:$AB$46,3,FALSE)</f>
        <v>TE</v>
      </c>
    </row>
    <row r="416" spans="1:63" hidden="1">
      <c r="A416" s="275">
        <v>393</v>
      </c>
      <c r="B416" s="276" t="str">
        <f t="shared" si="311"/>
        <v>Nov 2014</v>
      </c>
      <c r="C416" s="277" t="str">
        <f t="shared" si="321"/>
        <v>RS</v>
      </c>
      <c r="D416" s="277" t="str">
        <f t="shared" si="312"/>
        <v>LGRSE411</v>
      </c>
      <c r="E416" s="278">
        <f t="shared" si="281"/>
        <v>0</v>
      </c>
      <c r="F416" s="279">
        <v>0</v>
      </c>
      <c r="G416" s="278">
        <f t="shared" si="282"/>
        <v>0</v>
      </c>
      <c r="H416" s="278">
        <f t="shared" si="283"/>
        <v>0</v>
      </c>
      <c r="I416" s="278">
        <f t="shared" si="284"/>
        <v>0</v>
      </c>
      <c r="J416" s="278">
        <f t="shared" si="285"/>
        <v>0</v>
      </c>
      <c r="K416" s="280">
        <v>0</v>
      </c>
      <c r="L416" s="281">
        <f t="shared" si="286"/>
        <v>0</v>
      </c>
      <c r="M416" s="281">
        <f t="shared" si="287"/>
        <v>0</v>
      </c>
      <c r="N416" s="281">
        <f t="shared" si="288"/>
        <v>0</v>
      </c>
      <c r="O416" s="282">
        <v>0</v>
      </c>
      <c r="P416" s="282">
        <v>0</v>
      </c>
      <c r="Q416" s="282">
        <v>0</v>
      </c>
      <c r="R416" s="283">
        <f t="shared" si="289"/>
        <v>0</v>
      </c>
      <c r="S416" s="284">
        <f t="shared" si="278"/>
        <v>8.0760000000000012E-2</v>
      </c>
      <c r="T416" s="284">
        <f t="shared" si="290"/>
        <v>0</v>
      </c>
      <c r="U416" s="284">
        <f t="shared" si="291"/>
        <v>0</v>
      </c>
      <c r="V416" s="284">
        <f t="shared" si="292"/>
        <v>2.725E-2</v>
      </c>
      <c r="W416" s="283">
        <f t="shared" si="293"/>
        <v>0</v>
      </c>
      <c r="X416" s="283">
        <f t="shared" si="294"/>
        <v>0</v>
      </c>
      <c r="Y416" s="283">
        <f t="shared" si="295"/>
        <v>0</v>
      </c>
      <c r="Z416" s="285">
        <f t="shared" si="296"/>
        <v>0</v>
      </c>
      <c r="AA416" s="285">
        <f t="shared" si="297"/>
        <v>0</v>
      </c>
      <c r="AB416" s="285">
        <f t="shared" si="313"/>
        <v>0</v>
      </c>
      <c r="AC416" s="285">
        <f t="shared" si="314"/>
        <v>0</v>
      </c>
      <c r="AD416" s="285">
        <f t="shared" si="315"/>
        <v>0</v>
      </c>
      <c r="AE416" s="286">
        <v>0</v>
      </c>
      <c r="AF416" s="287">
        <f t="shared" si="298"/>
        <v>0</v>
      </c>
      <c r="AG416" s="288">
        <f t="shared" si="299"/>
        <v>0</v>
      </c>
      <c r="AH416" s="285">
        <f t="shared" si="316"/>
        <v>0</v>
      </c>
      <c r="AI416" s="286">
        <v>0</v>
      </c>
      <c r="AJ416" s="286">
        <v>0</v>
      </c>
      <c r="AK416" s="286">
        <v>0</v>
      </c>
      <c r="AL416" s="285">
        <f t="shared" si="300"/>
        <v>0</v>
      </c>
      <c r="AM416" s="285">
        <f t="shared" si="301"/>
        <v>0</v>
      </c>
      <c r="AN416" s="289">
        <f t="shared" si="317"/>
        <v>1</v>
      </c>
      <c r="AO416" s="290">
        <f t="shared" si="302"/>
        <v>0</v>
      </c>
      <c r="AP416" s="290">
        <f t="shared" si="303"/>
        <v>0</v>
      </c>
      <c r="AQ416" s="290">
        <f t="shared" si="304"/>
        <v>0</v>
      </c>
      <c r="AR416" s="290">
        <f t="shared" si="305"/>
        <v>0</v>
      </c>
      <c r="AS416" s="290">
        <f t="shared" si="306"/>
        <v>0</v>
      </c>
      <c r="AT416" s="290">
        <f t="shared" si="307"/>
        <v>0</v>
      </c>
      <c r="AU416" s="291">
        <f t="shared" si="308"/>
        <v>0</v>
      </c>
      <c r="AV416" s="291">
        <f t="shared" ref="AV416:AV430" si="323">AT416-AU416</f>
        <v>0</v>
      </c>
      <c r="AW416" s="292">
        <f t="shared" si="309"/>
        <v>0</v>
      </c>
      <c r="AX416" s="293">
        <f t="shared" si="310"/>
        <v>0</v>
      </c>
      <c r="BC416" s="276">
        <f>IF(BI416=1,IF(BC415=MiscData!$F$1,EOMONTH(BC415,-11),EOMONTH(BC415,1)),BC415)</f>
        <v>41973</v>
      </c>
      <c r="BD416" s="275" t="str">
        <f t="shared" si="319"/>
        <v>20140101LGRSE411</v>
      </c>
      <c r="BE416" s="294" t="str">
        <f t="shared" si="320"/>
        <v>20140101RS</v>
      </c>
      <c r="BF416">
        <f>MiscData!$X$5</f>
        <v>20140101</v>
      </c>
      <c r="BI416" s="265">
        <f>IF(BI415+1&gt;MiscData!$Z$42,1,BI415+1)</f>
        <v>33</v>
      </c>
      <c r="BJ416" s="265" t="str">
        <f>VLOOKUP(BI416,MiscData!$Z$5:$AB$46,2,FALSE)</f>
        <v>LGRSE411</v>
      </c>
      <c r="BK416" s="265" t="str">
        <f>VLOOKUP(BI416,MiscData!$Z$5:$AB$46,3,FALSE)</f>
        <v>RS</v>
      </c>
    </row>
    <row r="417" spans="1:63" hidden="1">
      <c r="A417" s="275">
        <v>394</v>
      </c>
      <c r="B417" s="276" t="str">
        <f t="shared" si="311"/>
        <v>Nov 2014</v>
      </c>
      <c r="C417" s="277" t="str">
        <f t="shared" si="321"/>
        <v>RS</v>
      </c>
      <c r="D417" s="277" t="str">
        <f t="shared" si="312"/>
        <v>LGRSE511</v>
      </c>
      <c r="E417" s="278">
        <f t="shared" si="281"/>
        <v>358743</v>
      </c>
      <c r="F417" s="279">
        <v>0</v>
      </c>
      <c r="G417" s="278">
        <f t="shared" si="282"/>
        <v>0</v>
      </c>
      <c r="H417" s="278">
        <f t="shared" si="283"/>
        <v>0</v>
      </c>
      <c r="I417" s="278">
        <f t="shared" si="284"/>
        <v>0</v>
      </c>
      <c r="J417" s="278">
        <f t="shared" si="285"/>
        <v>250737996</v>
      </c>
      <c r="K417" s="280">
        <v>0</v>
      </c>
      <c r="L417" s="281">
        <f t="shared" si="286"/>
        <v>0</v>
      </c>
      <c r="M417" s="281">
        <f t="shared" si="287"/>
        <v>0</v>
      </c>
      <c r="N417" s="281">
        <f t="shared" si="288"/>
        <v>0</v>
      </c>
      <c r="O417" s="282">
        <v>0</v>
      </c>
      <c r="P417" s="282">
        <v>0</v>
      </c>
      <c r="Q417" s="282">
        <v>0</v>
      </c>
      <c r="R417" s="283">
        <f t="shared" si="289"/>
        <v>10.75</v>
      </c>
      <c r="S417" s="284">
        <f t="shared" si="278"/>
        <v>8.0760000000000012E-2</v>
      </c>
      <c r="T417" s="284">
        <f t="shared" si="290"/>
        <v>0</v>
      </c>
      <c r="U417" s="284">
        <f t="shared" si="291"/>
        <v>0</v>
      </c>
      <c r="V417" s="284">
        <f t="shared" si="292"/>
        <v>2.725E-2</v>
      </c>
      <c r="W417" s="283">
        <f t="shared" si="293"/>
        <v>0</v>
      </c>
      <c r="X417" s="283">
        <f t="shared" si="294"/>
        <v>0</v>
      </c>
      <c r="Y417" s="283">
        <f t="shared" si="295"/>
        <v>0</v>
      </c>
      <c r="Z417" s="285">
        <f t="shared" si="296"/>
        <v>3856487.25</v>
      </c>
      <c r="AA417" s="285">
        <f t="shared" si="297"/>
        <v>20249600.559999999</v>
      </c>
      <c r="AB417" s="285">
        <f t="shared" si="313"/>
        <v>0</v>
      </c>
      <c r="AC417" s="285">
        <f t="shared" si="314"/>
        <v>0</v>
      </c>
      <c r="AD417" s="285">
        <f t="shared" si="315"/>
        <v>0</v>
      </c>
      <c r="AE417" s="286">
        <v>0</v>
      </c>
      <c r="AF417" s="287">
        <f t="shared" si="298"/>
        <v>0</v>
      </c>
      <c r="AG417" s="288">
        <f t="shared" si="299"/>
        <v>0</v>
      </c>
      <c r="AH417" s="285">
        <f t="shared" si="316"/>
        <v>0</v>
      </c>
      <c r="AI417" s="286">
        <v>0</v>
      </c>
      <c r="AJ417" s="286">
        <v>0</v>
      </c>
      <c r="AK417" s="286">
        <v>0</v>
      </c>
      <c r="AL417" s="285">
        <f t="shared" si="300"/>
        <v>24106087.809999999</v>
      </c>
      <c r="AM417" s="285">
        <f t="shared" si="301"/>
        <v>24106088</v>
      </c>
      <c r="AN417" s="289">
        <f t="shared" si="317"/>
        <v>1</v>
      </c>
      <c r="AO417" s="290">
        <f t="shared" si="302"/>
        <v>-88600</v>
      </c>
      <c r="AP417" s="290">
        <f t="shared" si="303"/>
        <v>732053</v>
      </c>
      <c r="AQ417" s="290">
        <f t="shared" si="304"/>
        <v>1301783</v>
      </c>
      <c r="AR417" s="290">
        <f t="shared" si="305"/>
        <v>0</v>
      </c>
      <c r="AS417" s="290">
        <f t="shared" si="306"/>
        <v>0</v>
      </c>
      <c r="AT417" s="290">
        <f t="shared" si="307"/>
        <v>26051324</v>
      </c>
      <c r="AU417" s="291">
        <f t="shared" si="308"/>
        <v>26051323.809999999</v>
      </c>
      <c r="AV417" s="291">
        <f t="shared" si="323"/>
        <v>0.19000000134110451</v>
      </c>
      <c r="AW417" s="292">
        <f t="shared" si="309"/>
        <v>6832610.3899999997</v>
      </c>
      <c r="AX417" s="293">
        <f t="shared" si="310"/>
        <v>13416990.169999998</v>
      </c>
      <c r="BC417" s="276">
        <f>IF(BI417=1,IF(BC416=MiscData!$F$1,EOMONTH(BC416,-11),EOMONTH(BC416,1)),BC416)</f>
        <v>41973</v>
      </c>
      <c r="BD417" s="275" t="str">
        <f t="shared" si="319"/>
        <v>20140101LGRSE511</v>
      </c>
      <c r="BE417" s="294" t="str">
        <f t="shared" si="320"/>
        <v>20140101RS</v>
      </c>
      <c r="BF417">
        <f>MiscData!$X$5</f>
        <v>20140101</v>
      </c>
      <c r="BI417" s="265">
        <f>IF(BI416+1&gt;MiscData!$Z$42,1,BI416+1)</f>
        <v>34</v>
      </c>
      <c r="BJ417" s="265" t="str">
        <f>VLOOKUP(BI417,MiscData!$Z$5:$AB$46,2,FALSE)</f>
        <v>LGRSE511</v>
      </c>
      <c r="BK417" s="265" t="str">
        <f>VLOOKUP(BI417,MiscData!$Z$5:$AB$46,3,FALSE)</f>
        <v>RS</v>
      </c>
    </row>
    <row r="418" spans="1:63" hidden="1">
      <c r="A418" s="275">
        <v>395</v>
      </c>
      <c r="B418" s="276" t="str">
        <f t="shared" si="311"/>
        <v>Nov 2014</v>
      </c>
      <c r="C418" s="277" t="str">
        <f t="shared" si="321"/>
        <v>RS</v>
      </c>
      <c r="D418" s="277" t="str">
        <f t="shared" si="312"/>
        <v>LGRSE519</v>
      </c>
      <c r="E418" s="278">
        <f t="shared" si="281"/>
        <v>0</v>
      </c>
      <c r="F418" s="279">
        <v>0</v>
      </c>
      <c r="G418" s="278">
        <f t="shared" si="282"/>
        <v>0</v>
      </c>
      <c r="H418" s="278">
        <f t="shared" si="283"/>
        <v>0</v>
      </c>
      <c r="I418" s="278">
        <f t="shared" si="284"/>
        <v>0</v>
      </c>
      <c r="J418" s="278">
        <f t="shared" si="285"/>
        <v>0</v>
      </c>
      <c r="K418" s="280">
        <v>0</v>
      </c>
      <c r="L418" s="281">
        <f t="shared" si="286"/>
        <v>0</v>
      </c>
      <c r="M418" s="281">
        <f t="shared" si="287"/>
        <v>0</v>
      </c>
      <c r="N418" s="281">
        <f t="shared" si="288"/>
        <v>0</v>
      </c>
      <c r="O418" s="282">
        <v>0</v>
      </c>
      <c r="P418" s="282">
        <v>0</v>
      </c>
      <c r="Q418" s="282">
        <v>0</v>
      </c>
      <c r="R418" s="283">
        <f t="shared" si="289"/>
        <v>10.75</v>
      </c>
      <c r="S418" s="284">
        <f t="shared" si="278"/>
        <v>8.0760000000000012E-2</v>
      </c>
      <c r="T418" s="284">
        <f t="shared" si="290"/>
        <v>0</v>
      </c>
      <c r="U418" s="284">
        <f t="shared" si="291"/>
        <v>0</v>
      </c>
      <c r="V418" s="284">
        <f t="shared" si="292"/>
        <v>2.725E-2</v>
      </c>
      <c r="W418" s="283">
        <f t="shared" si="293"/>
        <v>0</v>
      </c>
      <c r="X418" s="283">
        <f t="shared" si="294"/>
        <v>0</v>
      </c>
      <c r="Y418" s="283">
        <f t="shared" si="295"/>
        <v>0</v>
      </c>
      <c r="Z418" s="285">
        <f t="shared" si="296"/>
        <v>0</v>
      </c>
      <c r="AA418" s="285">
        <f t="shared" si="297"/>
        <v>0</v>
      </c>
      <c r="AB418" s="285">
        <f t="shared" si="313"/>
        <v>0</v>
      </c>
      <c r="AC418" s="285">
        <f t="shared" si="314"/>
        <v>0</v>
      </c>
      <c r="AD418" s="285">
        <f t="shared" si="315"/>
        <v>0</v>
      </c>
      <c r="AE418" s="286">
        <v>0</v>
      </c>
      <c r="AF418" s="287">
        <f t="shared" si="298"/>
        <v>0</v>
      </c>
      <c r="AG418" s="288">
        <f t="shared" si="299"/>
        <v>0</v>
      </c>
      <c r="AH418" s="285">
        <f t="shared" si="316"/>
        <v>0</v>
      </c>
      <c r="AI418" s="286">
        <v>0</v>
      </c>
      <c r="AJ418" s="286">
        <v>0</v>
      </c>
      <c r="AK418" s="286">
        <v>0</v>
      </c>
      <c r="AL418" s="285">
        <f t="shared" si="300"/>
        <v>0</v>
      </c>
      <c r="AM418" s="285">
        <f t="shared" si="301"/>
        <v>0</v>
      </c>
      <c r="AN418" s="289">
        <f t="shared" si="317"/>
        <v>1</v>
      </c>
      <c r="AO418" s="290">
        <f t="shared" si="302"/>
        <v>0</v>
      </c>
      <c r="AP418" s="290">
        <f t="shared" si="303"/>
        <v>0</v>
      </c>
      <c r="AQ418" s="290">
        <f t="shared" si="304"/>
        <v>0</v>
      </c>
      <c r="AR418" s="290">
        <f t="shared" si="305"/>
        <v>0</v>
      </c>
      <c r="AS418" s="290">
        <f t="shared" si="306"/>
        <v>0</v>
      </c>
      <c r="AT418" s="290">
        <f t="shared" si="307"/>
        <v>0</v>
      </c>
      <c r="AU418" s="291">
        <f t="shared" si="308"/>
        <v>0</v>
      </c>
      <c r="AV418" s="291">
        <f t="shared" si="323"/>
        <v>0</v>
      </c>
      <c r="AW418" s="292">
        <f t="shared" si="309"/>
        <v>0</v>
      </c>
      <c r="AX418" s="293">
        <f t="shared" si="310"/>
        <v>0</v>
      </c>
      <c r="BC418" s="276">
        <f>IF(BI418=1,IF(BC417=MiscData!$F$1,EOMONTH(BC417,-11),EOMONTH(BC417,1)),BC417)</f>
        <v>41973</v>
      </c>
      <c r="BD418" s="275" t="str">
        <f t="shared" si="319"/>
        <v>20140101LGRSE519</v>
      </c>
      <c r="BE418" s="294" t="str">
        <f t="shared" si="320"/>
        <v>20140101RS</v>
      </c>
      <c r="BF418">
        <f>MiscData!$X$5</f>
        <v>20140101</v>
      </c>
      <c r="BI418" s="265">
        <f>IF(BI417+1&gt;MiscData!$Z$42,1,BI417+1)</f>
        <v>35</v>
      </c>
      <c r="BJ418" s="265" t="str">
        <f>VLOOKUP(BI418,MiscData!$Z$5:$AB$46,2,FALSE)</f>
        <v>LGRSE519</v>
      </c>
      <c r="BK418" s="265" t="str">
        <f>VLOOKUP(BI418,MiscData!$Z$5:$AB$46,3,FALSE)</f>
        <v>RS</v>
      </c>
    </row>
    <row r="419" spans="1:63" hidden="1">
      <c r="A419" s="275">
        <v>396</v>
      </c>
      <c r="B419" s="276" t="str">
        <f t="shared" si="311"/>
        <v>Nov 2014</v>
      </c>
      <c r="C419" s="277" t="s">
        <v>13</v>
      </c>
      <c r="D419" s="277" t="str">
        <f t="shared" si="312"/>
        <v>LGRSE540</v>
      </c>
      <c r="E419" s="278">
        <f t="shared" si="281"/>
        <v>0</v>
      </c>
      <c r="F419" s="279">
        <v>0</v>
      </c>
      <c r="G419" s="278">
        <f t="shared" si="282"/>
        <v>0</v>
      </c>
      <c r="H419" s="278">
        <f t="shared" si="283"/>
        <v>0</v>
      </c>
      <c r="I419" s="278">
        <f t="shared" si="284"/>
        <v>0</v>
      </c>
      <c r="J419" s="278">
        <f t="shared" si="285"/>
        <v>0</v>
      </c>
      <c r="K419" s="280">
        <v>0</v>
      </c>
      <c r="L419" s="281">
        <f t="shared" si="286"/>
        <v>0</v>
      </c>
      <c r="M419" s="281">
        <f t="shared" si="287"/>
        <v>0</v>
      </c>
      <c r="N419" s="281">
        <f t="shared" si="288"/>
        <v>0</v>
      </c>
      <c r="O419" s="282">
        <v>0</v>
      </c>
      <c r="P419" s="282">
        <v>0</v>
      </c>
      <c r="Q419" s="282">
        <v>0</v>
      </c>
      <c r="R419" s="283">
        <f t="shared" si="289"/>
        <v>10.75</v>
      </c>
      <c r="S419" s="284">
        <f t="shared" si="278"/>
        <v>8.0760000000000012E-2</v>
      </c>
      <c r="T419" s="284">
        <f t="shared" si="290"/>
        <v>0</v>
      </c>
      <c r="U419" s="284">
        <f t="shared" si="291"/>
        <v>0</v>
      </c>
      <c r="V419" s="284">
        <f t="shared" si="292"/>
        <v>2.725E-2</v>
      </c>
      <c r="W419" s="283">
        <f t="shared" si="293"/>
        <v>0</v>
      </c>
      <c r="X419" s="283">
        <f t="shared" si="294"/>
        <v>0</v>
      </c>
      <c r="Y419" s="283">
        <f t="shared" si="295"/>
        <v>0</v>
      </c>
      <c r="Z419" s="285">
        <f t="shared" si="296"/>
        <v>0</v>
      </c>
      <c r="AA419" s="285">
        <f t="shared" si="297"/>
        <v>0</v>
      </c>
      <c r="AB419" s="285">
        <f t="shared" si="313"/>
        <v>0</v>
      </c>
      <c r="AC419" s="285">
        <f t="shared" si="314"/>
        <v>0</v>
      </c>
      <c r="AD419" s="285">
        <f t="shared" si="315"/>
        <v>0</v>
      </c>
      <c r="AE419" s="286">
        <v>0</v>
      </c>
      <c r="AF419" s="287">
        <f t="shared" si="298"/>
        <v>0</v>
      </c>
      <c r="AG419" s="288">
        <f t="shared" si="299"/>
        <v>0</v>
      </c>
      <c r="AH419" s="285">
        <f t="shared" si="316"/>
        <v>0</v>
      </c>
      <c r="AI419" s="286">
        <v>0</v>
      </c>
      <c r="AJ419" s="286">
        <v>0</v>
      </c>
      <c r="AK419" s="286">
        <v>0</v>
      </c>
      <c r="AL419" s="285">
        <f t="shared" si="300"/>
        <v>0</v>
      </c>
      <c r="AM419" s="285">
        <f t="shared" si="301"/>
        <v>0</v>
      </c>
      <c r="AN419" s="289">
        <f t="shared" si="317"/>
        <v>1</v>
      </c>
      <c r="AO419" s="290">
        <f t="shared" si="302"/>
        <v>0</v>
      </c>
      <c r="AP419" s="290">
        <f t="shared" si="303"/>
        <v>0</v>
      </c>
      <c r="AQ419" s="290">
        <f t="shared" si="304"/>
        <v>0</v>
      </c>
      <c r="AR419" s="290">
        <f t="shared" si="305"/>
        <v>0</v>
      </c>
      <c r="AS419" s="290">
        <f t="shared" si="306"/>
        <v>0</v>
      </c>
      <c r="AT419" s="290">
        <f t="shared" si="307"/>
        <v>0</v>
      </c>
      <c r="AU419" s="291">
        <f t="shared" si="308"/>
        <v>0</v>
      </c>
      <c r="AV419" s="291">
        <f t="shared" si="323"/>
        <v>0</v>
      </c>
      <c r="AW419" s="292">
        <f t="shared" si="309"/>
        <v>0</v>
      </c>
      <c r="AX419" s="293">
        <f t="shared" si="310"/>
        <v>0</v>
      </c>
      <c r="BC419" s="276">
        <f>IF(BI419=1,IF(BC418=MiscData!$F$1,EOMONTH(BC418,-11),EOMONTH(BC418,1)),BC418)</f>
        <v>41973</v>
      </c>
      <c r="BD419" s="275" t="str">
        <f t="shared" si="319"/>
        <v>20140101LGRSE540</v>
      </c>
      <c r="BE419" s="294" t="str">
        <f t="shared" si="320"/>
        <v>20140101VFD</v>
      </c>
      <c r="BF419">
        <f>MiscData!$X$5</f>
        <v>20140101</v>
      </c>
      <c r="BI419" s="265">
        <f>IF(BI418+1&gt;MiscData!$Z$42,1,BI418+1)</f>
        <v>36</v>
      </c>
      <c r="BJ419" s="265" t="str">
        <f>VLOOKUP(BI419,MiscData!$Z$5:$AB$46,2,FALSE)</f>
        <v>LGRSE540</v>
      </c>
      <c r="BK419" s="265" t="str">
        <f>VLOOKUP(BI419,MiscData!$Z$5:$AB$46,3,FALSE)</f>
        <v>VFD</v>
      </c>
    </row>
    <row r="420" spans="1:63" hidden="1">
      <c r="A420" s="275">
        <v>397</v>
      </c>
      <c r="B420" s="276" t="str">
        <f t="shared" si="311"/>
        <v>Nov 2014</v>
      </c>
      <c r="C420" s="277" t="str">
        <f t="shared" si="321"/>
        <v>LEV</v>
      </c>
      <c r="D420" s="277" t="str">
        <f t="shared" si="312"/>
        <v>LGRSE543</v>
      </c>
      <c r="E420" s="278">
        <f t="shared" si="281"/>
        <v>0</v>
      </c>
      <c r="F420" s="279">
        <v>0</v>
      </c>
      <c r="G420" s="278">
        <f t="shared" si="282"/>
        <v>0</v>
      </c>
      <c r="H420" s="278">
        <f t="shared" si="283"/>
        <v>0</v>
      </c>
      <c r="I420" s="278">
        <f t="shared" si="284"/>
        <v>0</v>
      </c>
      <c r="J420" s="278">
        <f t="shared" si="285"/>
        <v>0</v>
      </c>
      <c r="K420" s="280">
        <v>0</v>
      </c>
      <c r="L420" s="281">
        <f t="shared" si="286"/>
        <v>0</v>
      </c>
      <c r="M420" s="281">
        <f t="shared" si="287"/>
        <v>0</v>
      </c>
      <c r="N420" s="281">
        <f t="shared" si="288"/>
        <v>0</v>
      </c>
      <c r="O420" s="282">
        <v>0</v>
      </c>
      <c r="P420" s="282">
        <v>0</v>
      </c>
      <c r="Q420" s="282">
        <v>0</v>
      </c>
      <c r="R420" s="283">
        <f t="shared" si="289"/>
        <v>10.75</v>
      </c>
      <c r="S420" s="284">
        <f t="shared" si="278"/>
        <v>5.8200000000000002E-2</v>
      </c>
      <c r="T420" s="284">
        <f t="shared" si="290"/>
        <v>7.8990000000000005E-2</v>
      </c>
      <c r="U420" s="284">
        <f t="shared" si="291"/>
        <v>0.14451000000000003</v>
      </c>
      <c r="V420" s="284">
        <f t="shared" si="292"/>
        <v>2.725E-2</v>
      </c>
      <c r="W420" s="283">
        <f t="shared" si="293"/>
        <v>0</v>
      </c>
      <c r="X420" s="283">
        <f t="shared" si="294"/>
        <v>0</v>
      </c>
      <c r="Y420" s="283">
        <f t="shared" si="295"/>
        <v>0</v>
      </c>
      <c r="Z420" s="285">
        <f t="shared" si="296"/>
        <v>0</v>
      </c>
      <c r="AA420" s="285">
        <f t="shared" si="297"/>
        <v>0</v>
      </c>
      <c r="AB420" s="285">
        <f t="shared" si="313"/>
        <v>0</v>
      </c>
      <c r="AC420" s="285">
        <f t="shared" si="314"/>
        <v>0</v>
      </c>
      <c r="AD420" s="285">
        <f t="shared" si="315"/>
        <v>0</v>
      </c>
      <c r="AE420" s="286">
        <v>0</v>
      </c>
      <c r="AF420" s="287">
        <f t="shared" si="298"/>
        <v>0</v>
      </c>
      <c r="AG420" s="288">
        <f t="shared" si="299"/>
        <v>0</v>
      </c>
      <c r="AH420" s="285">
        <f t="shared" si="316"/>
        <v>0</v>
      </c>
      <c r="AI420" s="286">
        <v>0</v>
      </c>
      <c r="AJ420" s="286">
        <v>0</v>
      </c>
      <c r="AK420" s="286">
        <v>0</v>
      </c>
      <c r="AL420" s="285">
        <f t="shared" si="300"/>
        <v>0</v>
      </c>
      <c r="AM420" s="285">
        <f t="shared" si="301"/>
        <v>0</v>
      </c>
      <c r="AN420" s="289">
        <f t="shared" si="317"/>
        <v>1</v>
      </c>
      <c r="AO420" s="290">
        <f t="shared" si="302"/>
        <v>0</v>
      </c>
      <c r="AP420" s="290">
        <f t="shared" si="303"/>
        <v>0</v>
      </c>
      <c r="AQ420" s="290">
        <f t="shared" si="304"/>
        <v>0</v>
      </c>
      <c r="AR420" s="290">
        <f t="shared" si="305"/>
        <v>0</v>
      </c>
      <c r="AS420" s="290">
        <f t="shared" si="306"/>
        <v>0</v>
      </c>
      <c r="AT420" s="290">
        <f t="shared" si="307"/>
        <v>0</v>
      </c>
      <c r="AU420" s="291">
        <f t="shared" si="308"/>
        <v>0</v>
      </c>
      <c r="AV420" s="291">
        <f t="shared" si="323"/>
        <v>0</v>
      </c>
      <c r="AW420" s="292">
        <f t="shared" si="309"/>
        <v>0</v>
      </c>
      <c r="AX420" s="293">
        <f t="shared" si="310"/>
        <v>0</v>
      </c>
      <c r="BC420" s="276">
        <f>IF(BI420=1,IF(BC419=MiscData!$F$1,EOMONTH(BC419,-11),EOMONTH(BC419,1)),BC419)</f>
        <v>41973</v>
      </c>
      <c r="BD420" s="275" t="str">
        <f t="shared" si="319"/>
        <v>20140101LGRSE543</v>
      </c>
      <c r="BE420" s="294" t="str">
        <f t="shared" si="320"/>
        <v>20140101LEV</v>
      </c>
      <c r="BF420">
        <f>MiscData!$X$5</f>
        <v>20140101</v>
      </c>
      <c r="BI420" s="265">
        <f>IF(BI419+1&gt;MiscData!$Z$42,1,BI419+1)</f>
        <v>37</v>
      </c>
      <c r="BJ420" s="265" t="str">
        <f>VLOOKUP(BI420,MiscData!$Z$5:$AB$46,2,FALSE)</f>
        <v>LGRSE543</v>
      </c>
      <c r="BK420" s="265" t="str">
        <f>VLOOKUP(BI420,MiscData!$Z$5:$AB$46,3,FALSE)</f>
        <v>LEV</v>
      </c>
    </row>
    <row r="421" spans="1:63" hidden="1">
      <c r="A421" s="275">
        <v>398</v>
      </c>
      <c r="B421" s="276" t="str">
        <f t="shared" si="311"/>
        <v>Nov 2014</v>
      </c>
      <c r="C421" s="277" t="str">
        <f t="shared" si="321"/>
        <v>LEV</v>
      </c>
      <c r="D421" s="277" t="str">
        <f t="shared" si="312"/>
        <v>LGRSE547</v>
      </c>
      <c r="E421" s="278">
        <f t="shared" si="281"/>
        <v>0</v>
      </c>
      <c r="F421" s="279">
        <v>0</v>
      </c>
      <c r="G421" s="278">
        <f t="shared" si="282"/>
        <v>0</v>
      </c>
      <c r="H421" s="278">
        <f t="shared" si="283"/>
        <v>0</v>
      </c>
      <c r="I421" s="278">
        <f t="shared" si="284"/>
        <v>0</v>
      </c>
      <c r="J421" s="278">
        <f t="shared" si="285"/>
        <v>0</v>
      </c>
      <c r="K421" s="280">
        <v>0</v>
      </c>
      <c r="L421" s="281">
        <f t="shared" si="286"/>
        <v>0</v>
      </c>
      <c r="M421" s="281">
        <f t="shared" si="287"/>
        <v>0</v>
      </c>
      <c r="N421" s="281">
        <f t="shared" si="288"/>
        <v>0</v>
      </c>
      <c r="O421" s="282">
        <v>0</v>
      </c>
      <c r="P421" s="282">
        <v>0</v>
      </c>
      <c r="Q421" s="282">
        <v>0</v>
      </c>
      <c r="R421" s="283">
        <f t="shared" si="289"/>
        <v>10.75</v>
      </c>
      <c r="S421" s="284">
        <f t="shared" si="278"/>
        <v>5.8200000000000002E-2</v>
      </c>
      <c r="T421" s="284">
        <f t="shared" si="290"/>
        <v>7.8990000000000005E-2</v>
      </c>
      <c r="U421" s="284">
        <f t="shared" si="291"/>
        <v>0.14451000000000003</v>
      </c>
      <c r="V421" s="284">
        <f t="shared" si="292"/>
        <v>2.725E-2</v>
      </c>
      <c r="W421" s="283">
        <f t="shared" si="293"/>
        <v>0</v>
      </c>
      <c r="X421" s="283">
        <f t="shared" si="294"/>
        <v>0</v>
      </c>
      <c r="Y421" s="283">
        <f t="shared" si="295"/>
        <v>0</v>
      </c>
      <c r="Z421" s="285">
        <f t="shared" si="296"/>
        <v>0</v>
      </c>
      <c r="AA421" s="285">
        <f t="shared" si="297"/>
        <v>0</v>
      </c>
      <c r="AB421" s="285">
        <f t="shared" si="313"/>
        <v>0</v>
      </c>
      <c r="AC421" s="285">
        <f t="shared" si="314"/>
        <v>0</v>
      </c>
      <c r="AD421" s="285">
        <f t="shared" si="315"/>
        <v>0</v>
      </c>
      <c r="AE421" s="286">
        <v>0</v>
      </c>
      <c r="AF421" s="287">
        <f t="shared" si="298"/>
        <v>0</v>
      </c>
      <c r="AG421" s="288">
        <f t="shared" si="299"/>
        <v>0</v>
      </c>
      <c r="AH421" s="285">
        <f t="shared" si="316"/>
        <v>0</v>
      </c>
      <c r="AI421" s="286">
        <v>0</v>
      </c>
      <c r="AJ421" s="286">
        <v>0</v>
      </c>
      <c r="AK421" s="286">
        <v>0</v>
      </c>
      <c r="AL421" s="285">
        <f t="shared" si="300"/>
        <v>0</v>
      </c>
      <c r="AM421" s="285">
        <f t="shared" si="301"/>
        <v>0</v>
      </c>
      <c r="AN421" s="289">
        <f t="shared" si="317"/>
        <v>1</v>
      </c>
      <c r="AO421" s="290">
        <f t="shared" si="302"/>
        <v>0</v>
      </c>
      <c r="AP421" s="290">
        <f t="shared" si="303"/>
        <v>0</v>
      </c>
      <c r="AQ421" s="290">
        <f t="shared" si="304"/>
        <v>0</v>
      </c>
      <c r="AR421" s="290">
        <f t="shared" si="305"/>
        <v>0</v>
      </c>
      <c r="AS421" s="290">
        <f t="shared" si="306"/>
        <v>0</v>
      </c>
      <c r="AT421" s="290">
        <f t="shared" si="307"/>
        <v>0</v>
      </c>
      <c r="AU421" s="291">
        <f t="shared" si="308"/>
        <v>0</v>
      </c>
      <c r="AV421" s="291">
        <f t="shared" si="323"/>
        <v>0</v>
      </c>
      <c r="AW421" s="292">
        <f t="shared" si="309"/>
        <v>0</v>
      </c>
      <c r="AX421" s="293">
        <f t="shared" si="310"/>
        <v>0</v>
      </c>
      <c r="BC421" s="276">
        <f>IF(BI421=1,IF(BC420=MiscData!$F$1,EOMONTH(BC420,-11),EOMONTH(BC420,1)),BC420)</f>
        <v>41973</v>
      </c>
      <c r="BD421" s="275" t="str">
        <f t="shared" si="319"/>
        <v>20140101LGRSE547</v>
      </c>
      <c r="BE421" s="294" t="str">
        <f t="shared" si="320"/>
        <v>20140101LEV</v>
      </c>
      <c r="BF421">
        <f>MiscData!$X$5</f>
        <v>20140101</v>
      </c>
      <c r="BI421" s="265">
        <f>IF(BI420+1&gt;MiscData!$Z$42,1,BI420+1)</f>
        <v>38</v>
      </c>
      <c r="BJ421" s="265" t="str">
        <f>VLOOKUP(BI421,MiscData!$Z$5:$AB$46,2,FALSE)</f>
        <v>LGRSE547</v>
      </c>
      <c r="BK421" s="265" t="str">
        <f>VLOOKUP(BI421,MiscData!$Z$5:$AB$46,3,FALSE)</f>
        <v>LEV</v>
      </c>
    </row>
    <row r="422" spans="1:63" hidden="1">
      <c r="A422" s="275">
        <v>399</v>
      </c>
      <c r="B422" s="276" t="str">
        <f t="shared" si="311"/>
        <v>Dec 2014</v>
      </c>
      <c r="C422" s="277" t="str">
        <f t="shared" si="321"/>
        <v>FLSP</v>
      </c>
      <c r="D422" s="277" t="str">
        <f t="shared" si="312"/>
        <v>LGINE682</v>
      </c>
      <c r="E422" s="278">
        <f t="shared" si="281"/>
        <v>0</v>
      </c>
      <c r="F422" s="279">
        <v>0</v>
      </c>
      <c r="G422" s="278">
        <f t="shared" si="282"/>
        <v>0</v>
      </c>
      <c r="H422" s="278">
        <f t="shared" si="283"/>
        <v>0</v>
      </c>
      <c r="I422" s="278">
        <f t="shared" si="284"/>
        <v>0</v>
      </c>
      <c r="J422" s="278">
        <f t="shared" si="285"/>
        <v>0</v>
      </c>
      <c r="K422" s="280">
        <v>0</v>
      </c>
      <c r="L422" s="281">
        <f t="shared" si="286"/>
        <v>0</v>
      </c>
      <c r="M422" s="281">
        <f t="shared" si="287"/>
        <v>0</v>
      </c>
      <c r="N422" s="281">
        <f t="shared" si="288"/>
        <v>0</v>
      </c>
      <c r="O422" s="282">
        <v>0</v>
      </c>
      <c r="P422" s="282">
        <v>0</v>
      </c>
      <c r="Q422" s="282">
        <v>0</v>
      </c>
      <c r="R422" s="283">
        <f t="shared" si="289"/>
        <v>750</v>
      </c>
      <c r="S422" s="284">
        <f t="shared" si="278"/>
        <v>3.61E-2</v>
      </c>
      <c r="T422" s="284">
        <f t="shared" si="290"/>
        <v>0</v>
      </c>
      <c r="U422" s="284">
        <f t="shared" si="291"/>
        <v>0</v>
      </c>
      <c r="V422" s="284">
        <f t="shared" si="292"/>
        <v>2.725E-2</v>
      </c>
      <c r="W422" s="283">
        <f t="shared" si="293"/>
        <v>1.8900000000000001</v>
      </c>
      <c r="X422" s="283">
        <f t="shared" si="294"/>
        <v>1.8900000000000001</v>
      </c>
      <c r="Y422" s="283">
        <f t="shared" si="295"/>
        <v>2.94</v>
      </c>
      <c r="Z422" s="285">
        <f t="shared" si="296"/>
        <v>0</v>
      </c>
      <c r="AA422" s="285">
        <f t="shared" si="297"/>
        <v>0</v>
      </c>
      <c r="AB422" s="285">
        <f t="shared" si="313"/>
        <v>0</v>
      </c>
      <c r="AC422" s="285">
        <f t="shared" si="314"/>
        <v>0</v>
      </c>
      <c r="AD422" s="285">
        <f t="shared" si="315"/>
        <v>0</v>
      </c>
      <c r="AE422" s="286">
        <v>0</v>
      </c>
      <c r="AF422" s="287">
        <f t="shared" si="298"/>
        <v>0</v>
      </c>
      <c r="AG422" s="288">
        <f t="shared" si="299"/>
        <v>0</v>
      </c>
      <c r="AH422" s="285">
        <f t="shared" si="316"/>
        <v>0</v>
      </c>
      <c r="AI422" s="286">
        <v>0</v>
      </c>
      <c r="AJ422" s="286">
        <v>0</v>
      </c>
      <c r="AK422" s="286">
        <v>0</v>
      </c>
      <c r="AL422" s="285">
        <f t="shared" si="300"/>
        <v>0</v>
      </c>
      <c r="AM422" s="285">
        <f t="shared" si="301"/>
        <v>0</v>
      </c>
      <c r="AN422" s="289">
        <f t="shared" si="317"/>
        <v>1</v>
      </c>
      <c r="AO422" s="290">
        <f t="shared" si="302"/>
        <v>0</v>
      </c>
      <c r="AP422" s="290">
        <f t="shared" si="303"/>
        <v>0</v>
      </c>
      <c r="AQ422" s="290">
        <f t="shared" si="304"/>
        <v>0</v>
      </c>
      <c r="AR422" s="290">
        <f t="shared" si="305"/>
        <v>0</v>
      </c>
      <c r="AS422" s="290">
        <f t="shared" si="306"/>
        <v>0</v>
      </c>
      <c r="AT422" s="290">
        <f t="shared" si="307"/>
        <v>0</v>
      </c>
      <c r="AU422" s="291">
        <f t="shared" si="308"/>
        <v>0</v>
      </c>
      <c r="AV422" s="291">
        <f t="shared" si="323"/>
        <v>0</v>
      </c>
      <c r="AW422" s="292">
        <f t="shared" si="309"/>
        <v>0</v>
      </c>
      <c r="AX422" s="293">
        <f t="shared" si="310"/>
        <v>0</v>
      </c>
      <c r="BC422" s="276">
        <f>IF(BI422=1,IF(BC421=MiscData!$F$1,EOMONTH(BC421,-11),EOMONTH(BC421,1)),BC421)</f>
        <v>42004</v>
      </c>
      <c r="BD422" s="275" t="str">
        <f t="shared" si="319"/>
        <v>20140101LGINE682</v>
      </c>
      <c r="BE422" s="294" t="str">
        <f t="shared" si="320"/>
        <v>20140101FLSP</v>
      </c>
      <c r="BF422">
        <f>MiscData!$X$5</f>
        <v>20140101</v>
      </c>
      <c r="BI422" s="265">
        <f>IF(BI421+1&gt;MiscData!$Z$42,1,BI421+1)</f>
        <v>1</v>
      </c>
      <c r="BJ422" s="265" t="str">
        <f>VLOOKUP(BI422,MiscData!$Z$5:$AB$46,2,FALSE)</f>
        <v>LGINE682</v>
      </c>
      <c r="BK422" s="265" t="str">
        <f>VLOOKUP(BI422,MiscData!$Z$5:$AB$46,3,FALSE)</f>
        <v>FLSP</v>
      </c>
    </row>
    <row r="423" spans="1:63" hidden="1">
      <c r="A423" s="275">
        <v>400</v>
      </c>
      <c r="B423" s="276" t="str">
        <f t="shared" si="311"/>
        <v>Dec 2014</v>
      </c>
      <c r="C423" s="277" t="str">
        <f t="shared" si="321"/>
        <v>FLST</v>
      </c>
      <c r="D423" s="277" t="str">
        <f t="shared" si="312"/>
        <v>LGINE683</v>
      </c>
      <c r="E423" s="278">
        <f t="shared" si="281"/>
        <v>0</v>
      </c>
      <c r="F423" s="279">
        <v>0</v>
      </c>
      <c r="G423" s="278">
        <f t="shared" si="282"/>
        <v>0</v>
      </c>
      <c r="H423" s="278">
        <f t="shared" si="283"/>
        <v>0</v>
      </c>
      <c r="I423" s="278">
        <f t="shared" si="284"/>
        <v>0</v>
      </c>
      <c r="J423" s="278">
        <f t="shared" si="285"/>
        <v>0</v>
      </c>
      <c r="K423" s="280">
        <v>0</v>
      </c>
      <c r="L423" s="281">
        <f t="shared" si="286"/>
        <v>0</v>
      </c>
      <c r="M423" s="281">
        <f t="shared" si="287"/>
        <v>0</v>
      </c>
      <c r="N423" s="281">
        <f t="shared" si="288"/>
        <v>0</v>
      </c>
      <c r="O423" s="282">
        <v>0</v>
      </c>
      <c r="P423" s="282">
        <v>0</v>
      </c>
      <c r="Q423" s="282">
        <v>0</v>
      </c>
      <c r="R423" s="283">
        <f t="shared" si="289"/>
        <v>750</v>
      </c>
      <c r="S423" s="284">
        <f t="shared" si="278"/>
        <v>3.61E-2</v>
      </c>
      <c r="T423" s="284">
        <f t="shared" si="290"/>
        <v>0</v>
      </c>
      <c r="U423" s="284">
        <f t="shared" si="291"/>
        <v>0</v>
      </c>
      <c r="V423" s="284">
        <f t="shared" si="292"/>
        <v>2.725E-2</v>
      </c>
      <c r="W423" s="283">
        <f t="shared" si="293"/>
        <v>1.1400000000000001</v>
      </c>
      <c r="X423" s="283">
        <f t="shared" si="294"/>
        <v>1.8900000000000001</v>
      </c>
      <c r="Y423" s="283">
        <f t="shared" si="295"/>
        <v>2.94</v>
      </c>
      <c r="Z423" s="285">
        <f t="shared" si="296"/>
        <v>0</v>
      </c>
      <c r="AA423" s="285">
        <f t="shared" si="297"/>
        <v>0</v>
      </c>
      <c r="AB423" s="285">
        <f t="shared" si="313"/>
        <v>0</v>
      </c>
      <c r="AC423" s="285">
        <f t="shared" si="314"/>
        <v>0</v>
      </c>
      <c r="AD423" s="285">
        <f t="shared" si="315"/>
        <v>0</v>
      </c>
      <c r="AE423" s="286">
        <v>0</v>
      </c>
      <c r="AF423" s="287">
        <f t="shared" si="298"/>
        <v>0</v>
      </c>
      <c r="AG423" s="288">
        <f t="shared" si="299"/>
        <v>0</v>
      </c>
      <c r="AH423" s="285">
        <f t="shared" si="316"/>
        <v>0</v>
      </c>
      <c r="AI423" s="286">
        <v>0</v>
      </c>
      <c r="AJ423" s="286">
        <v>0</v>
      </c>
      <c r="AK423" s="286">
        <v>0</v>
      </c>
      <c r="AL423" s="285">
        <f t="shared" si="300"/>
        <v>0</v>
      </c>
      <c r="AM423" s="285">
        <f t="shared" si="301"/>
        <v>0</v>
      </c>
      <c r="AN423" s="289">
        <f t="shared" si="317"/>
        <v>1</v>
      </c>
      <c r="AO423" s="290">
        <f t="shared" si="302"/>
        <v>0</v>
      </c>
      <c r="AP423" s="290">
        <f t="shared" si="303"/>
        <v>0</v>
      </c>
      <c r="AQ423" s="290">
        <f t="shared" si="304"/>
        <v>0</v>
      </c>
      <c r="AR423" s="290">
        <f t="shared" si="305"/>
        <v>0</v>
      </c>
      <c r="AS423" s="290">
        <f t="shared" si="306"/>
        <v>0</v>
      </c>
      <c r="AT423" s="290">
        <f t="shared" si="307"/>
        <v>0</v>
      </c>
      <c r="AU423" s="291">
        <f t="shared" si="308"/>
        <v>0</v>
      </c>
      <c r="AV423" s="291">
        <f t="shared" si="323"/>
        <v>0</v>
      </c>
      <c r="AW423" s="292">
        <f t="shared" si="309"/>
        <v>0</v>
      </c>
      <c r="AX423" s="293">
        <f t="shared" si="310"/>
        <v>0</v>
      </c>
      <c r="BC423" s="276">
        <f>IF(BI423=1,IF(BC422=MiscData!$F$1,EOMONTH(BC422,-11),EOMONTH(BC422,1)),BC422)</f>
        <v>42004</v>
      </c>
      <c r="BD423" s="275" t="str">
        <f t="shared" si="319"/>
        <v>20140101LGINE683</v>
      </c>
      <c r="BE423" s="294" t="str">
        <f t="shared" si="320"/>
        <v>20140101FLST</v>
      </c>
      <c r="BF423">
        <f>MiscData!$X$5</f>
        <v>20140101</v>
      </c>
      <c r="BI423" s="265">
        <f>IF(BI422+1&gt;MiscData!$Z$42,1,BI422+1)</f>
        <v>2</v>
      </c>
      <c r="BJ423" s="265" t="str">
        <f>VLOOKUP(BI423,MiscData!$Z$5:$AB$46,2,FALSE)</f>
        <v>LGINE683</v>
      </c>
      <c r="BK423" s="265" t="str">
        <f>VLOOKUP(BI423,MiscData!$Z$5:$AB$46,3,FALSE)</f>
        <v>FLST</v>
      </c>
    </row>
    <row r="424" spans="1:63" hidden="1">
      <c r="A424" s="275">
        <v>401</v>
      </c>
      <c r="B424" s="276" t="str">
        <f t="shared" si="311"/>
        <v>Dec 2014</v>
      </c>
      <c r="C424" s="277" t="s">
        <v>892</v>
      </c>
      <c r="D424" s="277" t="str">
        <f t="shared" si="312"/>
        <v>LGCME451</v>
      </c>
      <c r="E424" s="278">
        <f t="shared" si="281"/>
        <v>0</v>
      </c>
      <c r="F424" s="279">
        <f>-E424</f>
        <v>0</v>
      </c>
      <c r="G424" s="278">
        <f t="shared" si="282"/>
        <v>0</v>
      </c>
      <c r="H424" s="278">
        <f t="shared" si="283"/>
        <v>0</v>
      </c>
      <c r="I424" s="278">
        <f t="shared" si="284"/>
        <v>0</v>
      </c>
      <c r="J424" s="278">
        <f t="shared" si="285"/>
        <v>0</v>
      </c>
      <c r="K424" s="280">
        <v>0</v>
      </c>
      <c r="L424" s="281">
        <f t="shared" si="286"/>
        <v>0</v>
      </c>
      <c r="M424" s="281">
        <f t="shared" si="287"/>
        <v>0</v>
      </c>
      <c r="N424" s="281">
        <f t="shared" si="288"/>
        <v>0</v>
      </c>
      <c r="O424" s="282">
        <v>0</v>
      </c>
      <c r="P424" s="282">
        <v>0</v>
      </c>
      <c r="Q424" s="282">
        <v>0</v>
      </c>
      <c r="R424" s="283">
        <f t="shared" si="289"/>
        <v>0</v>
      </c>
      <c r="S424" s="284">
        <f t="shared" si="278"/>
        <v>9.1340000000000005E-2</v>
      </c>
      <c r="T424" s="284">
        <f t="shared" si="290"/>
        <v>0</v>
      </c>
      <c r="U424" s="284">
        <f t="shared" si="291"/>
        <v>0</v>
      </c>
      <c r="V424" s="284">
        <f t="shared" si="292"/>
        <v>2.725E-2</v>
      </c>
      <c r="W424" s="283">
        <f t="shared" si="293"/>
        <v>0</v>
      </c>
      <c r="X424" s="283">
        <f t="shared" si="294"/>
        <v>0</v>
      </c>
      <c r="Y424" s="283">
        <f t="shared" si="295"/>
        <v>0</v>
      </c>
      <c r="Z424" s="285">
        <f t="shared" si="296"/>
        <v>0</v>
      </c>
      <c r="AA424" s="285">
        <f t="shared" si="297"/>
        <v>0</v>
      </c>
      <c r="AB424" s="285">
        <f t="shared" si="313"/>
        <v>0</v>
      </c>
      <c r="AC424" s="285">
        <f t="shared" si="314"/>
        <v>0</v>
      </c>
      <c r="AD424" s="285">
        <f t="shared" si="315"/>
        <v>0</v>
      </c>
      <c r="AE424" s="286">
        <v>0</v>
      </c>
      <c r="AF424" s="287">
        <f t="shared" si="298"/>
        <v>0</v>
      </c>
      <c r="AG424" s="288">
        <f t="shared" si="299"/>
        <v>0</v>
      </c>
      <c r="AH424" s="285">
        <f t="shared" si="316"/>
        <v>0</v>
      </c>
      <c r="AI424" s="286">
        <v>0</v>
      </c>
      <c r="AJ424" s="286">
        <v>0</v>
      </c>
      <c r="AK424" s="286">
        <v>0</v>
      </c>
      <c r="AL424" s="285">
        <f t="shared" si="300"/>
        <v>0</v>
      </c>
      <c r="AM424" s="285">
        <f t="shared" si="301"/>
        <v>0</v>
      </c>
      <c r="AN424" s="289">
        <f t="shared" si="317"/>
        <v>1</v>
      </c>
      <c r="AO424" s="290">
        <f t="shared" si="302"/>
        <v>0</v>
      </c>
      <c r="AP424" s="290">
        <f t="shared" si="303"/>
        <v>0</v>
      </c>
      <c r="AQ424" s="290">
        <f t="shared" si="304"/>
        <v>0</v>
      </c>
      <c r="AR424" s="290">
        <f t="shared" si="305"/>
        <v>0</v>
      </c>
      <c r="AS424" s="290">
        <f t="shared" si="306"/>
        <v>0</v>
      </c>
      <c r="AT424" s="290">
        <f t="shared" si="307"/>
        <v>0</v>
      </c>
      <c r="AU424" s="291">
        <f t="shared" si="308"/>
        <v>0</v>
      </c>
      <c r="AV424" s="291">
        <f t="shared" ref="AV424:AV428" si="324">ROUND(AT424-AU424,2)</f>
        <v>0</v>
      </c>
      <c r="AW424" s="292">
        <f t="shared" si="309"/>
        <v>0</v>
      </c>
      <c r="AX424" s="293">
        <f t="shared" si="310"/>
        <v>0</v>
      </c>
      <c r="BC424" s="276">
        <f>IF(BI424=1,IF(BC423=MiscData!$F$1,EOMONTH(BC423,-11),EOMONTH(BC423,1)),BC423)</f>
        <v>42004</v>
      </c>
      <c r="BD424" s="275" t="str">
        <f t="shared" si="319"/>
        <v>20140101LGCME451</v>
      </c>
      <c r="BE424" s="294" t="str">
        <f t="shared" si="320"/>
        <v>20140101GSS</v>
      </c>
      <c r="BF424">
        <f>MiscData!$X$5</f>
        <v>20140101</v>
      </c>
      <c r="BI424" s="265">
        <f>IF(BI423+1&gt;MiscData!$Z$42,1,BI423+1)</f>
        <v>3</v>
      </c>
      <c r="BJ424" s="265" t="str">
        <f>VLOOKUP(BI424,MiscData!$Z$5:$AB$46,2,FALSE)</f>
        <v>LGCME451</v>
      </c>
      <c r="BK424" s="265" t="str">
        <f>VLOOKUP(BI424,MiscData!$Z$5:$AB$46,3,FALSE)</f>
        <v>GSS</v>
      </c>
    </row>
    <row r="425" spans="1:63" hidden="1">
      <c r="A425" s="275">
        <v>402</v>
      </c>
      <c r="B425" s="276" t="str">
        <f t="shared" si="311"/>
        <v>Dec 2014</v>
      </c>
      <c r="C425" s="277" t="s">
        <v>892</v>
      </c>
      <c r="D425" s="277" t="str">
        <f t="shared" si="312"/>
        <v>LGCME550</v>
      </c>
      <c r="E425" s="278">
        <f t="shared" si="281"/>
        <v>0</v>
      </c>
      <c r="F425" s="279">
        <v>0</v>
      </c>
      <c r="G425" s="278">
        <f t="shared" si="282"/>
        <v>0</v>
      </c>
      <c r="H425" s="278">
        <f t="shared" si="283"/>
        <v>0</v>
      </c>
      <c r="I425" s="278">
        <f t="shared" si="284"/>
        <v>0</v>
      </c>
      <c r="J425" s="278">
        <f t="shared" si="285"/>
        <v>0</v>
      </c>
      <c r="K425" s="280">
        <v>0</v>
      </c>
      <c r="L425" s="281">
        <f t="shared" si="286"/>
        <v>0</v>
      </c>
      <c r="M425" s="281">
        <f t="shared" si="287"/>
        <v>0</v>
      </c>
      <c r="N425" s="281">
        <f t="shared" si="288"/>
        <v>0</v>
      </c>
      <c r="O425" s="282">
        <v>0</v>
      </c>
      <c r="P425" s="282">
        <v>0</v>
      </c>
      <c r="Q425" s="282">
        <v>0</v>
      </c>
      <c r="R425" s="283">
        <f t="shared" si="289"/>
        <v>20</v>
      </c>
      <c r="S425" s="284">
        <f t="shared" ref="S425:S459" si="325">SUMIF(L_Rates_Tariff_Rate_Category,$BD425,L_Rates_Energy)</f>
        <v>9.1340000000000005E-2</v>
      </c>
      <c r="T425" s="284">
        <f t="shared" si="290"/>
        <v>0</v>
      </c>
      <c r="U425" s="284">
        <f t="shared" si="291"/>
        <v>0</v>
      </c>
      <c r="V425" s="284">
        <f t="shared" si="292"/>
        <v>2.725E-2</v>
      </c>
      <c r="W425" s="283">
        <f t="shared" si="293"/>
        <v>0</v>
      </c>
      <c r="X425" s="283">
        <f t="shared" si="294"/>
        <v>0</v>
      </c>
      <c r="Y425" s="283">
        <f t="shared" si="295"/>
        <v>0</v>
      </c>
      <c r="Z425" s="285">
        <f t="shared" si="296"/>
        <v>0</v>
      </c>
      <c r="AA425" s="285">
        <f t="shared" si="297"/>
        <v>0</v>
      </c>
      <c r="AB425" s="285">
        <f t="shared" si="313"/>
        <v>0</v>
      </c>
      <c r="AC425" s="285">
        <f t="shared" si="314"/>
        <v>0</v>
      </c>
      <c r="AD425" s="285">
        <f t="shared" si="315"/>
        <v>0</v>
      </c>
      <c r="AE425" s="286">
        <v>0</v>
      </c>
      <c r="AF425" s="287">
        <f t="shared" si="298"/>
        <v>0</v>
      </c>
      <c r="AG425" s="288">
        <f t="shared" si="299"/>
        <v>0</v>
      </c>
      <c r="AH425" s="285">
        <f t="shared" si="316"/>
        <v>0</v>
      </c>
      <c r="AI425" s="286">
        <v>0</v>
      </c>
      <c r="AJ425" s="286">
        <v>0</v>
      </c>
      <c r="AK425" s="286">
        <v>0</v>
      </c>
      <c r="AL425" s="285">
        <f t="shared" si="300"/>
        <v>0</v>
      </c>
      <c r="AM425" s="285">
        <f t="shared" si="301"/>
        <v>0</v>
      </c>
      <c r="AN425" s="289">
        <f t="shared" si="317"/>
        <v>1</v>
      </c>
      <c r="AO425" s="290">
        <f t="shared" si="302"/>
        <v>0</v>
      </c>
      <c r="AP425" s="290">
        <f t="shared" si="303"/>
        <v>0</v>
      </c>
      <c r="AQ425" s="290">
        <f t="shared" si="304"/>
        <v>0</v>
      </c>
      <c r="AR425" s="290">
        <f t="shared" si="305"/>
        <v>0</v>
      </c>
      <c r="AS425" s="290">
        <f t="shared" si="306"/>
        <v>0</v>
      </c>
      <c r="AT425" s="290">
        <f t="shared" si="307"/>
        <v>0</v>
      </c>
      <c r="AU425" s="291">
        <f t="shared" si="308"/>
        <v>0</v>
      </c>
      <c r="AV425" s="291">
        <f t="shared" si="324"/>
        <v>0</v>
      </c>
      <c r="AW425" s="292">
        <f t="shared" si="309"/>
        <v>0</v>
      </c>
      <c r="AX425" s="293">
        <f t="shared" si="310"/>
        <v>0</v>
      </c>
      <c r="BC425" s="276">
        <f>IF(BI425=1,IF(BC424=MiscData!$F$1,EOMONTH(BC424,-11),EOMONTH(BC424,1)),BC424)</f>
        <v>42004</v>
      </c>
      <c r="BD425" s="275" t="str">
        <f t="shared" si="319"/>
        <v>20140101LGCME550</v>
      </c>
      <c r="BE425" s="294" t="str">
        <f t="shared" si="320"/>
        <v>20140101GSS</v>
      </c>
      <c r="BF425">
        <f>MiscData!$X$5</f>
        <v>20140101</v>
      </c>
      <c r="BI425" s="265">
        <f>IF(BI424+1&gt;MiscData!$Z$42,1,BI424+1)</f>
        <v>4</v>
      </c>
      <c r="BJ425" s="265" t="str">
        <f>VLOOKUP(BI425,MiscData!$Z$5:$AB$46,2,FALSE)</f>
        <v>LGCME550</v>
      </c>
      <c r="BK425" s="265" t="str">
        <f>VLOOKUP(BI425,MiscData!$Z$5:$AB$46,3,FALSE)</f>
        <v>GSS</v>
      </c>
    </row>
    <row r="426" spans="1:63" hidden="1">
      <c r="A426" s="275">
        <v>403</v>
      </c>
      <c r="B426" s="276" t="str">
        <f t="shared" si="311"/>
        <v>Dec 2014</v>
      </c>
      <c r="C426" s="277" t="s">
        <v>892</v>
      </c>
      <c r="D426" s="277" t="str">
        <f t="shared" si="312"/>
        <v>LGCME551</v>
      </c>
      <c r="E426" s="278">
        <f t="shared" si="281"/>
        <v>28080</v>
      </c>
      <c r="F426" s="279">
        <v>0</v>
      </c>
      <c r="G426" s="278">
        <f t="shared" si="282"/>
        <v>0</v>
      </c>
      <c r="H426" s="278">
        <f t="shared" si="283"/>
        <v>0</v>
      </c>
      <c r="I426" s="278">
        <f t="shared" si="284"/>
        <v>0</v>
      </c>
      <c r="J426" s="278">
        <f t="shared" si="285"/>
        <v>30580171</v>
      </c>
      <c r="K426" s="280">
        <v>0</v>
      </c>
      <c r="L426" s="281">
        <f t="shared" si="286"/>
        <v>0</v>
      </c>
      <c r="M426" s="281">
        <f t="shared" si="287"/>
        <v>0</v>
      </c>
      <c r="N426" s="281">
        <f t="shared" si="288"/>
        <v>0</v>
      </c>
      <c r="O426" s="282">
        <v>0</v>
      </c>
      <c r="P426" s="282">
        <v>0</v>
      </c>
      <c r="Q426" s="282">
        <v>0</v>
      </c>
      <c r="R426" s="283">
        <f t="shared" si="289"/>
        <v>20</v>
      </c>
      <c r="S426" s="284">
        <f t="shared" si="325"/>
        <v>9.1340000000000005E-2</v>
      </c>
      <c r="T426" s="284">
        <f t="shared" si="290"/>
        <v>0</v>
      </c>
      <c r="U426" s="284">
        <f t="shared" si="291"/>
        <v>0</v>
      </c>
      <c r="V426" s="284">
        <f t="shared" si="292"/>
        <v>2.725E-2</v>
      </c>
      <c r="W426" s="283">
        <f t="shared" si="293"/>
        <v>0</v>
      </c>
      <c r="X426" s="283">
        <f t="shared" si="294"/>
        <v>0</v>
      </c>
      <c r="Y426" s="283">
        <f t="shared" si="295"/>
        <v>0</v>
      </c>
      <c r="Z426" s="285">
        <f t="shared" si="296"/>
        <v>561600</v>
      </c>
      <c r="AA426" s="285">
        <f t="shared" si="297"/>
        <v>2793192.82</v>
      </c>
      <c r="AB426" s="285">
        <f t="shared" si="313"/>
        <v>0</v>
      </c>
      <c r="AC426" s="285">
        <f t="shared" si="314"/>
        <v>0</v>
      </c>
      <c r="AD426" s="285">
        <f t="shared" si="315"/>
        <v>0</v>
      </c>
      <c r="AE426" s="286">
        <v>0</v>
      </c>
      <c r="AF426" s="287">
        <f t="shared" si="298"/>
        <v>0</v>
      </c>
      <c r="AG426" s="288">
        <f t="shared" si="299"/>
        <v>0</v>
      </c>
      <c r="AH426" s="285">
        <f t="shared" si="316"/>
        <v>0</v>
      </c>
      <c r="AI426" s="286">
        <v>0</v>
      </c>
      <c r="AJ426" s="286">
        <v>0</v>
      </c>
      <c r="AK426" s="286">
        <v>0</v>
      </c>
      <c r="AL426" s="285">
        <f t="shared" si="300"/>
        <v>3354792.82</v>
      </c>
      <c r="AM426" s="285">
        <f t="shared" si="301"/>
        <v>3354802</v>
      </c>
      <c r="AN426" s="289">
        <f t="shared" si="317"/>
        <v>1.000003</v>
      </c>
      <c r="AO426" s="290">
        <f t="shared" si="302"/>
        <v>-15928</v>
      </c>
      <c r="AP426" s="290">
        <f t="shared" si="303"/>
        <v>81156</v>
      </c>
      <c r="AQ426" s="290">
        <f t="shared" si="304"/>
        <v>143474</v>
      </c>
      <c r="AR426" s="290">
        <f t="shared" si="305"/>
        <v>0</v>
      </c>
      <c r="AS426" s="290">
        <f t="shared" si="306"/>
        <v>0</v>
      </c>
      <c r="AT426" s="290">
        <f t="shared" si="307"/>
        <v>3563504</v>
      </c>
      <c r="AU426" s="291">
        <f t="shared" si="308"/>
        <v>3563494.82</v>
      </c>
      <c r="AV426" s="291">
        <f t="shared" si="324"/>
        <v>9.18</v>
      </c>
      <c r="AW426" s="292">
        <f t="shared" si="309"/>
        <v>833309.66</v>
      </c>
      <c r="AX426" s="293">
        <f t="shared" si="310"/>
        <v>1959883.1599999997</v>
      </c>
      <c r="BC426" s="276">
        <f>IF(BI426=1,IF(BC425=MiscData!$F$1,EOMONTH(BC425,-11),EOMONTH(BC425,1)),BC425)</f>
        <v>42004</v>
      </c>
      <c r="BD426" s="275" t="str">
        <f t="shared" si="319"/>
        <v>20140101LGCME551</v>
      </c>
      <c r="BE426" s="294" t="str">
        <f t="shared" si="320"/>
        <v>20140101GSS</v>
      </c>
      <c r="BF426">
        <f>MiscData!$X$5</f>
        <v>20140101</v>
      </c>
      <c r="BI426" s="265">
        <f>IF(BI425+1&gt;MiscData!$Z$42,1,BI425+1)</f>
        <v>5</v>
      </c>
      <c r="BJ426" s="265" t="str">
        <f>VLOOKUP(BI426,MiscData!$Z$5:$AB$46,2,FALSE)</f>
        <v>LGCME551</v>
      </c>
      <c r="BK426" s="265" t="str">
        <f>VLOOKUP(BI426,MiscData!$Z$5:$AB$46,3,FALSE)</f>
        <v>GSS</v>
      </c>
    </row>
    <row r="427" spans="1:63" hidden="1">
      <c r="A427" s="275">
        <v>404</v>
      </c>
      <c r="B427" s="276" t="str">
        <f t="shared" si="311"/>
        <v>Dec 2014</v>
      </c>
      <c r="C427" s="277" t="s">
        <v>892</v>
      </c>
      <c r="D427" s="277" t="str">
        <f t="shared" si="312"/>
        <v>LGCME551UM</v>
      </c>
      <c r="E427" s="278">
        <f t="shared" si="281"/>
        <v>0</v>
      </c>
      <c r="F427" s="279">
        <v>0</v>
      </c>
      <c r="G427" s="278">
        <f t="shared" si="282"/>
        <v>0</v>
      </c>
      <c r="H427" s="278">
        <f t="shared" si="283"/>
        <v>0</v>
      </c>
      <c r="I427" s="278">
        <f t="shared" si="284"/>
        <v>0</v>
      </c>
      <c r="J427" s="278">
        <f t="shared" si="285"/>
        <v>0</v>
      </c>
      <c r="K427" s="280">
        <v>0</v>
      </c>
      <c r="L427" s="281">
        <f t="shared" si="286"/>
        <v>0</v>
      </c>
      <c r="M427" s="281">
        <f t="shared" si="287"/>
        <v>0</v>
      </c>
      <c r="N427" s="281">
        <f t="shared" si="288"/>
        <v>0</v>
      </c>
      <c r="O427" s="282">
        <v>0</v>
      </c>
      <c r="P427" s="282">
        <v>0</v>
      </c>
      <c r="Q427" s="282">
        <v>0</v>
      </c>
      <c r="R427" s="283">
        <f t="shared" si="289"/>
        <v>20</v>
      </c>
      <c r="S427" s="284">
        <f t="shared" si="325"/>
        <v>9.1340000000000005E-2</v>
      </c>
      <c r="T427" s="284">
        <f t="shared" si="290"/>
        <v>0</v>
      </c>
      <c r="U427" s="284">
        <f t="shared" si="291"/>
        <v>0</v>
      </c>
      <c r="V427" s="284">
        <f t="shared" si="292"/>
        <v>2.725E-2</v>
      </c>
      <c r="W427" s="283">
        <f t="shared" si="293"/>
        <v>0</v>
      </c>
      <c r="X427" s="283">
        <f t="shared" si="294"/>
        <v>0</v>
      </c>
      <c r="Y427" s="283">
        <f t="shared" si="295"/>
        <v>0</v>
      </c>
      <c r="Z427" s="285">
        <f t="shared" si="296"/>
        <v>0</v>
      </c>
      <c r="AA427" s="285">
        <f t="shared" si="297"/>
        <v>0</v>
      </c>
      <c r="AB427" s="285">
        <f t="shared" si="313"/>
        <v>0</v>
      </c>
      <c r="AC427" s="285">
        <f t="shared" si="314"/>
        <v>0</v>
      </c>
      <c r="AD427" s="285">
        <f t="shared" si="315"/>
        <v>0</v>
      </c>
      <c r="AE427" s="286">
        <v>0</v>
      </c>
      <c r="AF427" s="287">
        <f t="shared" si="298"/>
        <v>0</v>
      </c>
      <c r="AG427" s="288">
        <f t="shared" si="299"/>
        <v>0</v>
      </c>
      <c r="AH427" s="285">
        <f t="shared" si="316"/>
        <v>0</v>
      </c>
      <c r="AI427" s="286">
        <v>0</v>
      </c>
      <c r="AJ427" s="286">
        <v>0</v>
      </c>
      <c r="AK427" s="286">
        <v>0</v>
      </c>
      <c r="AL427" s="285">
        <f t="shared" si="300"/>
        <v>0</v>
      </c>
      <c r="AM427" s="285">
        <f t="shared" si="301"/>
        <v>0</v>
      </c>
      <c r="AN427" s="289">
        <f t="shared" si="317"/>
        <v>1</v>
      </c>
      <c r="AO427" s="290">
        <f t="shared" si="302"/>
        <v>0</v>
      </c>
      <c r="AP427" s="290">
        <f t="shared" si="303"/>
        <v>0</v>
      </c>
      <c r="AQ427" s="290">
        <f t="shared" si="304"/>
        <v>0</v>
      </c>
      <c r="AR427" s="290">
        <f t="shared" si="305"/>
        <v>0</v>
      </c>
      <c r="AS427" s="290">
        <f t="shared" si="306"/>
        <v>0</v>
      </c>
      <c r="AT427" s="290">
        <f t="shared" si="307"/>
        <v>0</v>
      </c>
      <c r="AU427" s="291">
        <f t="shared" si="308"/>
        <v>0</v>
      </c>
      <c r="AV427" s="291">
        <f t="shared" si="324"/>
        <v>0</v>
      </c>
      <c r="AW427" s="292">
        <f t="shared" si="309"/>
        <v>0</v>
      </c>
      <c r="AX427" s="293">
        <f t="shared" si="310"/>
        <v>0</v>
      </c>
      <c r="BC427" s="276">
        <f>IF(BI427=1,IF(BC426=MiscData!$F$1,EOMONTH(BC426,-11),EOMONTH(BC426,1)),BC426)</f>
        <v>42004</v>
      </c>
      <c r="BD427" s="275" t="str">
        <f t="shared" si="319"/>
        <v>20140101LGCME551UM</v>
      </c>
      <c r="BE427" s="294" t="str">
        <f t="shared" si="320"/>
        <v>20140101GSS</v>
      </c>
      <c r="BF427">
        <f>MiscData!$X$5</f>
        <v>20140101</v>
      </c>
      <c r="BI427" s="265">
        <f>IF(BI426+1&gt;MiscData!$Z$42,1,BI426+1)</f>
        <v>6</v>
      </c>
      <c r="BJ427" s="265" t="str">
        <f>VLOOKUP(BI427,MiscData!$Z$5:$AB$46,2,FALSE)</f>
        <v>LGCME551UM</v>
      </c>
      <c r="BK427" s="265" t="str">
        <f>VLOOKUP(BI427,MiscData!$Z$5:$AB$46,3,FALSE)</f>
        <v>GSS</v>
      </c>
    </row>
    <row r="428" spans="1:63" hidden="1">
      <c r="A428" s="275">
        <v>405</v>
      </c>
      <c r="B428" s="276" t="str">
        <f t="shared" si="311"/>
        <v>Dec 2014</v>
      </c>
      <c r="C428" s="277" t="s">
        <v>892</v>
      </c>
      <c r="D428" s="277" t="str">
        <f t="shared" si="312"/>
        <v>LGCME552</v>
      </c>
      <c r="E428" s="278">
        <f t="shared" si="281"/>
        <v>0</v>
      </c>
      <c r="F428" s="279">
        <f>-E428</f>
        <v>0</v>
      </c>
      <c r="G428" s="278">
        <f t="shared" si="282"/>
        <v>0</v>
      </c>
      <c r="H428" s="278">
        <f t="shared" si="283"/>
        <v>0</v>
      </c>
      <c r="I428" s="278">
        <f t="shared" si="284"/>
        <v>0</v>
      </c>
      <c r="J428" s="278">
        <f t="shared" si="285"/>
        <v>0</v>
      </c>
      <c r="K428" s="280">
        <v>0</v>
      </c>
      <c r="L428" s="281">
        <f t="shared" si="286"/>
        <v>0</v>
      </c>
      <c r="M428" s="281">
        <f t="shared" si="287"/>
        <v>0</v>
      </c>
      <c r="N428" s="281">
        <f t="shared" si="288"/>
        <v>0</v>
      </c>
      <c r="O428" s="282">
        <v>0</v>
      </c>
      <c r="P428" s="282">
        <v>0</v>
      </c>
      <c r="Q428" s="282">
        <v>0</v>
      </c>
      <c r="R428" s="283">
        <f t="shared" si="289"/>
        <v>0</v>
      </c>
      <c r="S428" s="284">
        <f t="shared" si="325"/>
        <v>9.1340000000000005E-2</v>
      </c>
      <c r="T428" s="284">
        <f t="shared" si="290"/>
        <v>0</v>
      </c>
      <c r="U428" s="284">
        <f t="shared" si="291"/>
        <v>0</v>
      </c>
      <c r="V428" s="284">
        <f t="shared" si="292"/>
        <v>2.725E-2</v>
      </c>
      <c r="W428" s="283">
        <f t="shared" si="293"/>
        <v>0</v>
      </c>
      <c r="X428" s="283">
        <f t="shared" si="294"/>
        <v>0</v>
      </c>
      <c r="Y428" s="283">
        <f t="shared" si="295"/>
        <v>0</v>
      </c>
      <c r="Z428" s="285">
        <f t="shared" si="296"/>
        <v>0</v>
      </c>
      <c r="AA428" s="285">
        <f t="shared" si="297"/>
        <v>0</v>
      </c>
      <c r="AB428" s="285">
        <f t="shared" si="313"/>
        <v>0</v>
      </c>
      <c r="AC428" s="285">
        <f t="shared" si="314"/>
        <v>0</v>
      </c>
      <c r="AD428" s="285">
        <f t="shared" si="315"/>
        <v>0</v>
      </c>
      <c r="AE428" s="286">
        <v>0</v>
      </c>
      <c r="AF428" s="287">
        <f t="shared" si="298"/>
        <v>0</v>
      </c>
      <c r="AG428" s="288">
        <f t="shared" si="299"/>
        <v>0</v>
      </c>
      <c r="AH428" s="285">
        <f t="shared" si="316"/>
        <v>0</v>
      </c>
      <c r="AI428" s="286">
        <v>0</v>
      </c>
      <c r="AJ428" s="286">
        <v>0</v>
      </c>
      <c r="AK428" s="286">
        <v>0</v>
      </c>
      <c r="AL428" s="285">
        <f t="shared" si="300"/>
        <v>0</v>
      </c>
      <c r="AM428" s="285">
        <f t="shared" si="301"/>
        <v>0</v>
      </c>
      <c r="AN428" s="289">
        <f t="shared" si="317"/>
        <v>1</v>
      </c>
      <c r="AO428" s="290">
        <f t="shared" si="302"/>
        <v>0</v>
      </c>
      <c r="AP428" s="290">
        <f t="shared" si="303"/>
        <v>0</v>
      </c>
      <c r="AQ428" s="290">
        <f t="shared" si="304"/>
        <v>0</v>
      </c>
      <c r="AR428" s="290">
        <f t="shared" si="305"/>
        <v>0</v>
      </c>
      <c r="AS428" s="290">
        <f t="shared" si="306"/>
        <v>0</v>
      </c>
      <c r="AT428" s="290">
        <f t="shared" si="307"/>
        <v>0</v>
      </c>
      <c r="AU428" s="291">
        <f t="shared" si="308"/>
        <v>0</v>
      </c>
      <c r="AV428" s="291">
        <f t="shared" si="324"/>
        <v>0</v>
      </c>
      <c r="AW428" s="292">
        <f t="shared" si="309"/>
        <v>0</v>
      </c>
      <c r="AX428" s="293">
        <f t="shared" si="310"/>
        <v>0</v>
      </c>
      <c r="BC428" s="276">
        <f>IF(BI428=1,IF(BC427=MiscData!$F$1,EOMONTH(BC427,-11),EOMONTH(BC427,1)),BC427)</f>
        <v>42004</v>
      </c>
      <c r="BD428" s="275" t="str">
        <f t="shared" si="319"/>
        <v>20140101LGCME552</v>
      </c>
      <c r="BE428" s="294" t="str">
        <f t="shared" si="320"/>
        <v>20140101GSS</v>
      </c>
      <c r="BF428">
        <f>MiscData!$X$5</f>
        <v>20140101</v>
      </c>
      <c r="BI428" s="265">
        <f>IF(BI427+1&gt;MiscData!$Z$42,1,BI427+1)</f>
        <v>7</v>
      </c>
      <c r="BJ428" s="265" t="str">
        <f>VLOOKUP(BI428,MiscData!$Z$5:$AB$46,2,FALSE)</f>
        <v>LGCME552</v>
      </c>
      <c r="BK428" s="265" t="str">
        <f>VLOOKUP(BI428,MiscData!$Z$5:$AB$46,3,FALSE)</f>
        <v>GSS</v>
      </c>
    </row>
    <row r="429" spans="1:63" hidden="1">
      <c r="A429" s="275">
        <v>406</v>
      </c>
      <c r="B429" s="276" t="str">
        <f t="shared" si="311"/>
        <v>Dec 2014</v>
      </c>
      <c r="C429" s="277" t="s">
        <v>892</v>
      </c>
      <c r="D429" s="277" t="str">
        <f t="shared" si="312"/>
        <v>LGCME557</v>
      </c>
      <c r="E429" s="278">
        <f t="shared" si="281"/>
        <v>0</v>
      </c>
      <c r="F429" s="279">
        <v>0</v>
      </c>
      <c r="G429" s="278">
        <f t="shared" si="282"/>
        <v>0</v>
      </c>
      <c r="H429" s="278">
        <f t="shared" si="283"/>
        <v>0</v>
      </c>
      <c r="I429" s="278">
        <f t="shared" si="284"/>
        <v>0</v>
      </c>
      <c r="J429" s="278">
        <f t="shared" si="285"/>
        <v>0</v>
      </c>
      <c r="K429" s="280">
        <v>0</v>
      </c>
      <c r="L429" s="281">
        <f t="shared" si="286"/>
        <v>0</v>
      </c>
      <c r="M429" s="281">
        <f t="shared" si="287"/>
        <v>0</v>
      </c>
      <c r="N429" s="281">
        <f t="shared" si="288"/>
        <v>0</v>
      </c>
      <c r="O429" s="282">
        <v>0</v>
      </c>
      <c r="P429" s="282">
        <v>0</v>
      </c>
      <c r="Q429" s="282">
        <v>0</v>
      </c>
      <c r="R429" s="283">
        <f t="shared" si="289"/>
        <v>20</v>
      </c>
      <c r="S429" s="284">
        <f t="shared" si="325"/>
        <v>9.1340000000000005E-2</v>
      </c>
      <c r="T429" s="284">
        <f t="shared" si="290"/>
        <v>0</v>
      </c>
      <c r="U429" s="284">
        <f t="shared" si="291"/>
        <v>0</v>
      </c>
      <c r="V429" s="284">
        <f t="shared" si="292"/>
        <v>2.725E-2</v>
      </c>
      <c r="W429" s="283">
        <f t="shared" si="293"/>
        <v>0</v>
      </c>
      <c r="X429" s="283">
        <f t="shared" si="294"/>
        <v>0</v>
      </c>
      <c r="Y429" s="283">
        <f t="shared" si="295"/>
        <v>0</v>
      </c>
      <c r="Z429" s="285">
        <f t="shared" si="296"/>
        <v>0</v>
      </c>
      <c r="AA429" s="285">
        <f t="shared" si="297"/>
        <v>0</v>
      </c>
      <c r="AB429" s="285">
        <f t="shared" si="313"/>
        <v>0</v>
      </c>
      <c r="AC429" s="285">
        <f t="shared" si="314"/>
        <v>0</v>
      </c>
      <c r="AD429" s="285">
        <f t="shared" si="315"/>
        <v>0</v>
      </c>
      <c r="AE429" s="286">
        <v>0</v>
      </c>
      <c r="AF429" s="287">
        <f t="shared" si="298"/>
        <v>0</v>
      </c>
      <c r="AG429" s="288">
        <f t="shared" si="299"/>
        <v>0</v>
      </c>
      <c r="AH429" s="285">
        <f t="shared" si="316"/>
        <v>0</v>
      </c>
      <c r="AI429" s="286">
        <v>0</v>
      </c>
      <c r="AJ429" s="286">
        <v>0</v>
      </c>
      <c r="AK429" s="286">
        <v>0</v>
      </c>
      <c r="AL429" s="285">
        <f t="shared" si="300"/>
        <v>0</v>
      </c>
      <c r="AM429" s="285">
        <f t="shared" si="301"/>
        <v>0</v>
      </c>
      <c r="AN429" s="289">
        <f t="shared" si="317"/>
        <v>1</v>
      </c>
      <c r="AO429" s="290">
        <f t="shared" si="302"/>
        <v>0</v>
      </c>
      <c r="AP429" s="290">
        <f t="shared" si="303"/>
        <v>0</v>
      </c>
      <c r="AQ429" s="290">
        <f t="shared" si="304"/>
        <v>0</v>
      </c>
      <c r="AR429" s="290">
        <f t="shared" si="305"/>
        <v>0</v>
      </c>
      <c r="AS429" s="290">
        <f t="shared" si="306"/>
        <v>0</v>
      </c>
      <c r="AT429" s="290">
        <f t="shared" si="307"/>
        <v>0</v>
      </c>
      <c r="AU429" s="291">
        <f t="shared" si="308"/>
        <v>0</v>
      </c>
      <c r="AV429" s="291">
        <f t="shared" si="323"/>
        <v>0</v>
      </c>
      <c r="AW429" s="292">
        <f t="shared" si="309"/>
        <v>0</v>
      </c>
      <c r="AX429" s="293">
        <f t="shared" si="310"/>
        <v>0</v>
      </c>
      <c r="BC429" s="276">
        <f>IF(BI429=1,IF(BC428=MiscData!$F$1,EOMONTH(BC428,-11),EOMONTH(BC428,1)),BC428)</f>
        <v>42004</v>
      </c>
      <c r="BD429" s="275" t="str">
        <f t="shared" si="319"/>
        <v>20140101LGCME557</v>
      </c>
      <c r="BE429" s="294" t="str">
        <f t="shared" si="320"/>
        <v>20140101GSS</v>
      </c>
      <c r="BF429">
        <f>MiscData!$X$5</f>
        <v>20140101</v>
      </c>
      <c r="BI429" s="265">
        <f>IF(BI428+1&gt;MiscData!$Z$42,1,BI428+1)</f>
        <v>8</v>
      </c>
      <c r="BJ429" s="265" t="str">
        <f>VLOOKUP(BI429,MiscData!$Z$5:$AB$46,2,FALSE)</f>
        <v>LGCME557</v>
      </c>
      <c r="BK429" s="265" t="str">
        <f>VLOOKUP(BI429,MiscData!$Z$5:$AB$46,3,FALSE)</f>
        <v>GSS</v>
      </c>
    </row>
    <row r="430" spans="1:63" hidden="1">
      <c r="A430" s="275">
        <v>407</v>
      </c>
      <c r="B430" s="276" t="str">
        <f t="shared" si="311"/>
        <v>Dec 2014</v>
      </c>
      <c r="C430" s="277" t="str">
        <f t="shared" si="321"/>
        <v>PSS</v>
      </c>
      <c r="D430" s="277" t="str">
        <f t="shared" si="312"/>
        <v>LGCME561</v>
      </c>
      <c r="E430" s="278">
        <f t="shared" si="281"/>
        <v>2573</v>
      </c>
      <c r="F430" s="279">
        <v>0</v>
      </c>
      <c r="G430" s="278">
        <f t="shared" si="282"/>
        <v>0</v>
      </c>
      <c r="H430" s="278">
        <f t="shared" si="283"/>
        <v>0</v>
      </c>
      <c r="I430" s="278">
        <f t="shared" si="284"/>
        <v>0</v>
      </c>
      <c r="J430" s="278">
        <f t="shared" si="285"/>
        <v>135710403</v>
      </c>
      <c r="K430" s="280">
        <v>0</v>
      </c>
      <c r="L430" s="281">
        <f t="shared" si="286"/>
        <v>0</v>
      </c>
      <c r="M430" s="281">
        <f t="shared" si="287"/>
        <v>337006.22</v>
      </c>
      <c r="N430" s="281">
        <f t="shared" si="288"/>
        <v>0</v>
      </c>
      <c r="O430" s="282">
        <v>0</v>
      </c>
      <c r="P430" s="282">
        <v>0</v>
      </c>
      <c r="Q430" s="282">
        <v>0</v>
      </c>
      <c r="R430" s="283">
        <f t="shared" si="289"/>
        <v>90</v>
      </c>
      <c r="S430" s="284">
        <f t="shared" si="325"/>
        <v>4.0599999999999997E-2</v>
      </c>
      <c r="T430" s="284">
        <f t="shared" si="290"/>
        <v>0</v>
      </c>
      <c r="U430" s="284">
        <f t="shared" si="291"/>
        <v>0</v>
      </c>
      <c r="V430" s="284">
        <f t="shared" si="292"/>
        <v>2.725E-2</v>
      </c>
      <c r="W430" s="283">
        <f t="shared" si="293"/>
        <v>0</v>
      </c>
      <c r="X430" s="283">
        <f t="shared" si="294"/>
        <v>14.010000000000002</v>
      </c>
      <c r="Y430" s="283">
        <f t="shared" si="295"/>
        <v>16.399999999999999</v>
      </c>
      <c r="Z430" s="285">
        <f t="shared" si="296"/>
        <v>231570</v>
      </c>
      <c r="AA430" s="285">
        <f t="shared" si="297"/>
        <v>5509842.3600000003</v>
      </c>
      <c r="AB430" s="285">
        <f t="shared" si="313"/>
        <v>0</v>
      </c>
      <c r="AC430" s="285">
        <f t="shared" si="314"/>
        <v>4721457.1399999997</v>
      </c>
      <c r="AD430" s="285">
        <f t="shared" si="315"/>
        <v>0</v>
      </c>
      <c r="AE430" s="286">
        <v>0</v>
      </c>
      <c r="AF430" s="287">
        <f t="shared" si="298"/>
        <v>0</v>
      </c>
      <c r="AG430" s="288">
        <f t="shared" si="299"/>
        <v>0</v>
      </c>
      <c r="AH430" s="285">
        <f t="shared" si="316"/>
        <v>4721457.1399999997</v>
      </c>
      <c r="AI430" s="286">
        <v>0</v>
      </c>
      <c r="AJ430" s="286">
        <v>0</v>
      </c>
      <c r="AK430" s="286">
        <v>0</v>
      </c>
      <c r="AL430" s="285">
        <f t="shared" si="300"/>
        <v>10462869.5</v>
      </c>
      <c r="AM430" s="285">
        <f t="shared" si="301"/>
        <v>10462870</v>
      </c>
      <c r="AN430" s="289">
        <f t="shared" si="317"/>
        <v>1</v>
      </c>
      <c r="AO430" s="290">
        <f t="shared" si="302"/>
        <v>-70686</v>
      </c>
      <c r="AP430" s="290">
        <f t="shared" si="303"/>
        <v>360158</v>
      </c>
      <c r="AQ430" s="290">
        <f t="shared" si="304"/>
        <v>636719</v>
      </c>
      <c r="AR430" s="290">
        <f t="shared" si="305"/>
        <v>0</v>
      </c>
      <c r="AS430" s="290">
        <f t="shared" si="306"/>
        <v>0</v>
      </c>
      <c r="AT430" s="290">
        <f t="shared" si="307"/>
        <v>11389061</v>
      </c>
      <c r="AU430" s="291">
        <f t="shared" si="308"/>
        <v>11389060.5</v>
      </c>
      <c r="AV430" s="291">
        <f t="shared" si="323"/>
        <v>0.5</v>
      </c>
      <c r="AW430" s="292">
        <f t="shared" si="309"/>
        <v>3698108.48</v>
      </c>
      <c r="AX430" s="293">
        <f t="shared" si="310"/>
        <v>1811733.8800000004</v>
      </c>
      <c r="BC430" s="276">
        <f>IF(BI430=1,IF(BC429=MiscData!$F$1,EOMONTH(BC429,-11),EOMONTH(BC429,1)),BC429)</f>
        <v>42004</v>
      </c>
      <c r="BD430" s="275" t="str">
        <f t="shared" si="319"/>
        <v>20140101LGCME561</v>
      </c>
      <c r="BE430" s="294" t="str">
        <f t="shared" si="320"/>
        <v>20140101PSS</v>
      </c>
      <c r="BF430">
        <f>MiscData!$X$5</f>
        <v>20140101</v>
      </c>
      <c r="BI430" s="265">
        <f>IF(BI429+1&gt;MiscData!$Z$42,1,BI429+1)</f>
        <v>9</v>
      </c>
      <c r="BJ430" s="265" t="str">
        <f>VLOOKUP(BI430,MiscData!$Z$5:$AB$46,2,FALSE)</f>
        <v>LGCME561</v>
      </c>
      <c r="BK430" s="265" t="str">
        <f>VLOOKUP(BI430,MiscData!$Z$5:$AB$46,3,FALSE)</f>
        <v>PSS</v>
      </c>
    </row>
    <row r="431" spans="1:63" hidden="1">
      <c r="A431" s="275">
        <v>408</v>
      </c>
      <c r="B431" s="276" t="str">
        <f t="shared" si="311"/>
        <v>Dec 2014</v>
      </c>
      <c r="C431" s="277" t="str">
        <f t="shared" si="321"/>
        <v>PSP</v>
      </c>
      <c r="D431" s="277" t="str">
        <f t="shared" si="312"/>
        <v>LGCME563</v>
      </c>
      <c r="E431" s="278">
        <f t="shared" si="281"/>
        <v>52</v>
      </c>
      <c r="F431" s="279">
        <v>0</v>
      </c>
      <c r="G431" s="278">
        <f t="shared" si="282"/>
        <v>0</v>
      </c>
      <c r="H431" s="278">
        <f t="shared" si="283"/>
        <v>0</v>
      </c>
      <c r="I431" s="278">
        <f t="shared" si="284"/>
        <v>0</v>
      </c>
      <c r="J431" s="278">
        <f t="shared" si="285"/>
        <v>11939933</v>
      </c>
      <c r="K431" s="280">
        <v>0</v>
      </c>
      <c r="L431" s="281">
        <f t="shared" si="286"/>
        <v>0</v>
      </c>
      <c r="M431" s="281">
        <f t="shared" si="287"/>
        <v>28951.52</v>
      </c>
      <c r="N431" s="281">
        <f t="shared" si="288"/>
        <v>0</v>
      </c>
      <c r="O431" s="282">
        <v>0</v>
      </c>
      <c r="P431" s="282">
        <v>0</v>
      </c>
      <c r="Q431" s="282">
        <v>0</v>
      </c>
      <c r="R431" s="283">
        <f t="shared" si="289"/>
        <v>170</v>
      </c>
      <c r="S431" s="284">
        <f t="shared" si="325"/>
        <v>3.9260000000000003E-2</v>
      </c>
      <c r="T431" s="284">
        <f t="shared" si="290"/>
        <v>0</v>
      </c>
      <c r="U431" s="284">
        <f t="shared" si="291"/>
        <v>0</v>
      </c>
      <c r="V431" s="284">
        <f t="shared" si="292"/>
        <v>2.725E-2</v>
      </c>
      <c r="W431" s="283">
        <f t="shared" si="293"/>
        <v>0</v>
      </c>
      <c r="X431" s="283">
        <f t="shared" si="294"/>
        <v>11.660000000000002</v>
      </c>
      <c r="Y431" s="283">
        <f t="shared" si="295"/>
        <v>13.950000000000001</v>
      </c>
      <c r="Z431" s="285">
        <f t="shared" si="296"/>
        <v>8840</v>
      </c>
      <c r="AA431" s="285">
        <f t="shared" si="297"/>
        <v>468761.77</v>
      </c>
      <c r="AB431" s="285">
        <f t="shared" si="313"/>
        <v>0</v>
      </c>
      <c r="AC431" s="285">
        <f t="shared" si="314"/>
        <v>337574.72</v>
      </c>
      <c r="AD431" s="285">
        <f t="shared" si="315"/>
        <v>0</v>
      </c>
      <c r="AE431" s="286">
        <v>0</v>
      </c>
      <c r="AF431" s="287">
        <f t="shared" si="298"/>
        <v>0</v>
      </c>
      <c r="AG431" s="288">
        <f t="shared" si="299"/>
        <v>0</v>
      </c>
      <c r="AH431" s="285">
        <f t="shared" si="316"/>
        <v>337574.72</v>
      </c>
      <c r="AI431" s="286">
        <v>0</v>
      </c>
      <c r="AJ431" s="286">
        <v>0</v>
      </c>
      <c r="AK431" s="286">
        <v>0</v>
      </c>
      <c r="AL431" s="285">
        <f t="shared" si="300"/>
        <v>815176.49</v>
      </c>
      <c r="AM431" s="285">
        <f t="shared" si="301"/>
        <v>815177</v>
      </c>
      <c r="AN431" s="289">
        <f t="shared" si="317"/>
        <v>1.0000009999999999</v>
      </c>
      <c r="AO431" s="290">
        <f t="shared" si="302"/>
        <v>-6219</v>
      </c>
      <c r="AP431" s="290">
        <f t="shared" si="303"/>
        <v>31687</v>
      </c>
      <c r="AQ431" s="290">
        <f t="shared" si="304"/>
        <v>56019</v>
      </c>
      <c r="AR431" s="290">
        <f t="shared" si="305"/>
        <v>0</v>
      </c>
      <c r="AS431" s="290">
        <f t="shared" si="306"/>
        <v>0</v>
      </c>
      <c r="AT431" s="290">
        <f t="shared" si="307"/>
        <v>896664</v>
      </c>
      <c r="AU431" s="291">
        <f t="shared" si="308"/>
        <v>896663.49</v>
      </c>
      <c r="AV431" s="291">
        <f t="shared" ref="AV431:AV459" si="326">AT431-AU431</f>
        <v>0.51000000000931323</v>
      </c>
      <c r="AW431" s="292">
        <f t="shared" si="309"/>
        <v>325363.17</v>
      </c>
      <c r="AX431" s="293">
        <f t="shared" si="310"/>
        <v>143398.60000000003</v>
      </c>
      <c r="BC431" s="276">
        <f>IF(BI431=1,IF(BC430=MiscData!$F$1,EOMONTH(BC430,-11),EOMONTH(BC430,1)),BC430)</f>
        <v>42004</v>
      </c>
      <c r="BD431" s="275" t="str">
        <f t="shared" si="319"/>
        <v>20140101LGCME563</v>
      </c>
      <c r="BE431" s="294" t="str">
        <f t="shared" si="320"/>
        <v>20140101PSP</v>
      </c>
      <c r="BF431">
        <f>MiscData!$X$5</f>
        <v>20140101</v>
      </c>
      <c r="BI431" s="265">
        <f>IF(BI430+1&gt;MiscData!$Z$42,1,BI430+1)</f>
        <v>10</v>
      </c>
      <c r="BJ431" s="265" t="str">
        <f>VLOOKUP(BI431,MiscData!$Z$5:$AB$46,2,FALSE)</f>
        <v>LGCME563</v>
      </c>
      <c r="BK431" s="265" t="str">
        <f>VLOOKUP(BI431,MiscData!$Z$5:$AB$46,3,FALSE)</f>
        <v>PSP</v>
      </c>
    </row>
    <row r="432" spans="1:63" hidden="1">
      <c r="A432" s="275">
        <v>409</v>
      </c>
      <c r="B432" s="276" t="str">
        <f t="shared" si="311"/>
        <v>Dec 2014</v>
      </c>
      <c r="C432" s="277" t="str">
        <f t="shared" si="321"/>
        <v>PSS</v>
      </c>
      <c r="D432" s="277" t="str">
        <f t="shared" si="312"/>
        <v>LGCME567</v>
      </c>
      <c r="E432" s="278">
        <f t="shared" si="281"/>
        <v>0</v>
      </c>
      <c r="F432" s="279">
        <v>0</v>
      </c>
      <c r="G432" s="278">
        <f t="shared" si="282"/>
        <v>0</v>
      </c>
      <c r="H432" s="278">
        <f t="shared" si="283"/>
        <v>0</v>
      </c>
      <c r="I432" s="278">
        <f t="shared" si="284"/>
        <v>0</v>
      </c>
      <c r="J432" s="278">
        <f t="shared" si="285"/>
        <v>0</v>
      </c>
      <c r="K432" s="280">
        <v>0</v>
      </c>
      <c r="L432" s="281">
        <f t="shared" si="286"/>
        <v>0</v>
      </c>
      <c r="M432" s="281">
        <f t="shared" si="287"/>
        <v>0</v>
      </c>
      <c r="N432" s="281">
        <f t="shared" si="288"/>
        <v>0</v>
      </c>
      <c r="O432" s="282">
        <v>0</v>
      </c>
      <c r="P432" s="282">
        <v>0</v>
      </c>
      <c r="Q432" s="282">
        <v>0</v>
      </c>
      <c r="R432" s="283">
        <f t="shared" si="289"/>
        <v>90</v>
      </c>
      <c r="S432" s="284">
        <f t="shared" si="325"/>
        <v>4.0599999999999997E-2</v>
      </c>
      <c r="T432" s="284">
        <f t="shared" si="290"/>
        <v>0</v>
      </c>
      <c r="U432" s="284">
        <f t="shared" si="291"/>
        <v>0</v>
      </c>
      <c r="V432" s="284">
        <f t="shared" si="292"/>
        <v>2.725E-2</v>
      </c>
      <c r="W432" s="283">
        <f t="shared" si="293"/>
        <v>0</v>
      </c>
      <c r="X432" s="283">
        <f t="shared" si="294"/>
        <v>14.010000000000002</v>
      </c>
      <c r="Y432" s="283">
        <f t="shared" si="295"/>
        <v>16.399999999999999</v>
      </c>
      <c r="Z432" s="285">
        <f t="shared" si="296"/>
        <v>0</v>
      </c>
      <c r="AA432" s="285">
        <f t="shared" si="297"/>
        <v>0</v>
      </c>
      <c r="AB432" s="285">
        <f t="shared" si="313"/>
        <v>0</v>
      </c>
      <c r="AC432" s="285">
        <f t="shared" si="314"/>
        <v>0</v>
      </c>
      <c r="AD432" s="285">
        <f t="shared" si="315"/>
        <v>0</v>
      </c>
      <c r="AE432" s="286">
        <v>0</v>
      </c>
      <c r="AF432" s="287">
        <f t="shared" si="298"/>
        <v>0</v>
      </c>
      <c r="AG432" s="288">
        <f t="shared" si="299"/>
        <v>0</v>
      </c>
      <c r="AH432" s="285">
        <f t="shared" si="316"/>
        <v>0</v>
      </c>
      <c r="AI432" s="286">
        <v>0</v>
      </c>
      <c r="AJ432" s="286">
        <v>0</v>
      </c>
      <c r="AK432" s="286">
        <v>0</v>
      </c>
      <c r="AL432" s="285">
        <f t="shared" si="300"/>
        <v>0</v>
      </c>
      <c r="AM432" s="285">
        <f t="shared" si="301"/>
        <v>0</v>
      </c>
      <c r="AN432" s="289">
        <f t="shared" si="317"/>
        <v>1</v>
      </c>
      <c r="AO432" s="290">
        <f t="shared" si="302"/>
        <v>0</v>
      </c>
      <c r="AP432" s="290">
        <f t="shared" si="303"/>
        <v>0</v>
      </c>
      <c r="AQ432" s="290">
        <f t="shared" si="304"/>
        <v>0</v>
      </c>
      <c r="AR432" s="290">
        <f t="shared" si="305"/>
        <v>0</v>
      </c>
      <c r="AS432" s="290">
        <f t="shared" si="306"/>
        <v>0</v>
      </c>
      <c r="AT432" s="290">
        <f t="shared" si="307"/>
        <v>0</v>
      </c>
      <c r="AU432" s="291">
        <f t="shared" si="308"/>
        <v>0</v>
      </c>
      <c r="AV432" s="291">
        <f t="shared" si="326"/>
        <v>0</v>
      </c>
      <c r="AW432" s="292">
        <f t="shared" si="309"/>
        <v>0</v>
      </c>
      <c r="AX432" s="293">
        <f t="shared" si="310"/>
        <v>0</v>
      </c>
      <c r="BC432" s="276">
        <f>IF(BI432=1,IF(BC431=MiscData!$F$1,EOMONTH(BC431,-11),EOMONTH(BC431,1)),BC431)</f>
        <v>42004</v>
      </c>
      <c r="BD432" s="275" t="str">
        <f t="shared" si="319"/>
        <v>20140101LGCME567</v>
      </c>
      <c r="BE432" s="294" t="str">
        <f t="shared" si="320"/>
        <v>20140101PSS</v>
      </c>
      <c r="BF432">
        <f>MiscData!$X$5</f>
        <v>20140101</v>
      </c>
      <c r="BI432" s="265">
        <f>IF(BI431+1&gt;MiscData!$Z$42,1,BI431+1)</f>
        <v>11</v>
      </c>
      <c r="BJ432" s="265" t="str">
        <f>VLOOKUP(BI432,MiscData!$Z$5:$AB$46,2,FALSE)</f>
        <v>LGCME567</v>
      </c>
      <c r="BK432" s="265" t="str">
        <f>VLOOKUP(BI432,MiscData!$Z$5:$AB$46,3,FALSE)</f>
        <v>PSS</v>
      </c>
    </row>
    <row r="433" spans="1:63" hidden="1">
      <c r="A433" s="275">
        <v>410</v>
      </c>
      <c r="B433" s="276" t="str">
        <f t="shared" si="311"/>
        <v>Dec 2014</v>
      </c>
      <c r="C433" s="277" t="str">
        <f t="shared" si="321"/>
        <v>TODS</v>
      </c>
      <c r="D433" s="277" t="str">
        <f t="shared" si="312"/>
        <v>LGCME591</v>
      </c>
      <c r="E433" s="278">
        <f t="shared" si="281"/>
        <v>209</v>
      </c>
      <c r="F433" s="279">
        <v>0</v>
      </c>
      <c r="G433" s="278">
        <f t="shared" si="282"/>
        <v>0</v>
      </c>
      <c r="H433" s="278">
        <f t="shared" si="283"/>
        <v>0</v>
      </c>
      <c r="I433" s="278">
        <f t="shared" si="284"/>
        <v>0</v>
      </c>
      <c r="J433" s="278">
        <f t="shared" si="285"/>
        <v>58285927</v>
      </c>
      <c r="K433" s="280">
        <v>0</v>
      </c>
      <c r="L433" s="281">
        <f t="shared" si="286"/>
        <v>128678.75</v>
      </c>
      <c r="M433" s="281">
        <f t="shared" si="287"/>
        <v>119925.91</v>
      </c>
      <c r="N433" s="281">
        <f t="shared" si="288"/>
        <v>117088.21</v>
      </c>
      <c r="O433" s="282">
        <v>0</v>
      </c>
      <c r="P433" s="282">
        <v>0</v>
      </c>
      <c r="Q433" s="282">
        <v>0</v>
      </c>
      <c r="R433" s="283">
        <f t="shared" si="289"/>
        <v>200</v>
      </c>
      <c r="S433" s="284">
        <f t="shared" si="325"/>
        <v>3.9899999999999998E-2</v>
      </c>
      <c r="T433" s="284">
        <f t="shared" si="290"/>
        <v>0</v>
      </c>
      <c r="U433" s="284">
        <f t="shared" si="291"/>
        <v>0</v>
      </c>
      <c r="V433" s="284">
        <f t="shared" si="292"/>
        <v>2.725E-2</v>
      </c>
      <c r="W433" s="283">
        <f t="shared" si="293"/>
        <v>4</v>
      </c>
      <c r="X433" s="283">
        <f t="shared" si="294"/>
        <v>4.5100000000000007</v>
      </c>
      <c r="Y433" s="283">
        <f t="shared" si="295"/>
        <v>6.11</v>
      </c>
      <c r="Z433" s="285">
        <f t="shared" si="296"/>
        <v>41800</v>
      </c>
      <c r="AA433" s="285">
        <f t="shared" si="297"/>
        <v>2325608.4900000002</v>
      </c>
      <c r="AB433" s="285">
        <f t="shared" si="313"/>
        <v>514715</v>
      </c>
      <c r="AC433" s="285">
        <f t="shared" si="314"/>
        <v>540865.85</v>
      </c>
      <c r="AD433" s="285">
        <f t="shared" si="315"/>
        <v>715408.96</v>
      </c>
      <c r="AE433" s="286">
        <v>0</v>
      </c>
      <c r="AF433" s="287">
        <f t="shared" si="298"/>
        <v>0</v>
      </c>
      <c r="AG433" s="288">
        <f t="shared" si="299"/>
        <v>0</v>
      </c>
      <c r="AH433" s="285">
        <f t="shared" si="316"/>
        <v>1770989.81</v>
      </c>
      <c r="AI433" s="286">
        <v>0</v>
      </c>
      <c r="AJ433" s="286">
        <v>0</v>
      </c>
      <c r="AK433" s="286">
        <v>0</v>
      </c>
      <c r="AL433" s="285">
        <f t="shared" si="300"/>
        <v>4138398.3000000003</v>
      </c>
      <c r="AM433" s="285">
        <f t="shared" si="301"/>
        <v>4138399</v>
      </c>
      <c r="AN433" s="289">
        <f t="shared" si="317"/>
        <v>1</v>
      </c>
      <c r="AO433" s="290">
        <f t="shared" si="302"/>
        <v>-30359</v>
      </c>
      <c r="AP433" s="290">
        <f t="shared" si="303"/>
        <v>154683</v>
      </c>
      <c r="AQ433" s="290">
        <f t="shared" si="304"/>
        <v>273463</v>
      </c>
      <c r="AR433" s="290">
        <f t="shared" si="305"/>
        <v>0</v>
      </c>
      <c r="AS433" s="290">
        <f t="shared" si="306"/>
        <v>0</v>
      </c>
      <c r="AT433" s="290">
        <f t="shared" si="307"/>
        <v>4536186</v>
      </c>
      <c r="AU433" s="291">
        <f t="shared" si="308"/>
        <v>4536185.3000000007</v>
      </c>
      <c r="AV433" s="291">
        <f t="shared" si="326"/>
        <v>0.69999999925494194</v>
      </c>
      <c r="AW433" s="292">
        <f t="shared" si="309"/>
        <v>1588291.51</v>
      </c>
      <c r="AX433" s="293">
        <f t="shared" si="310"/>
        <v>737316.98000000021</v>
      </c>
      <c r="BC433" s="276">
        <f>IF(BI433=1,IF(BC432=MiscData!$F$1,EOMONTH(BC432,-11),EOMONTH(BC432,1)),BC432)</f>
        <v>42004</v>
      </c>
      <c r="BD433" s="275" t="str">
        <f t="shared" si="319"/>
        <v>20140101LGCME591</v>
      </c>
      <c r="BE433" s="294" t="str">
        <f t="shared" si="320"/>
        <v>20140101TODS</v>
      </c>
      <c r="BF433">
        <f>MiscData!$X$5</f>
        <v>20140101</v>
      </c>
      <c r="BI433" s="265">
        <f>IF(BI432+1&gt;MiscData!$Z$42,1,BI432+1)</f>
        <v>12</v>
      </c>
      <c r="BJ433" s="265" t="str">
        <f>VLOOKUP(BI433,MiscData!$Z$5:$AB$46,2,FALSE)</f>
        <v>LGCME591</v>
      </c>
      <c r="BK433" s="265" t="str">
        <f>VLOOKUP(BI433,MiscData!$Z$5:$AB$46,3,FALSE)</f>
        <v>TODS</v>
      </c>
    </row>
    <row r="434" spans="1:63" hidden="1">
      <c r="A434" s="275">
        <v>411</v>
      </c>
      <c r="B434" s="276" t="str">
        <f t="shared" si="311"/>
        <v>Dec 2014</v>
      </c>
      <c r="C434" s="277" t="str">
        <f t="shared" si="321"/>
        <v>CTODP</v>
      </c>
      <c r="D434" s="277" t="str">
        <f t="shared" si="312"/>
        <v>LGCME593</v>
      </c>
      <c r="E434" s="278">
        <f t="shared" si="281"/>
        <v>35</v>
      </c>
      <c r="F434" s="279">
        <v>0</v>
      </c>
      <c r="G434" s="278">
        <f t="shared" si="282"/>
        <v>0</v>
      </c>
      <c r="H434" s="278">
        <f t="shared" si="283"/>
        <v>0</v>
      </c>
      <c r="I434" s="278">
        <f t="shared" si="284"/>
        <v>0</v>
      </c>
      <c r="J434" s="278">
        <f t="shared" si="285"/>
        <v>29789935</v>
      </c>
      <c r="K434" s="280">
        <v>0</v>
      </c>
      <c r="L434" s="281">
        <f t="shared" si="286"/>
        <v>72968</v>
      </c>
      <c r="M434" s="281">
        <f t="shared" si="287"/>
        <v>66562.37</v>
      </c>
      <c r="N434" s="281">
        <f t="shared" si="288"/>
        <v>63373.91</v>
      </c>
      <c r="O434" s="282">
        <v>0</v>
      </c>
      <c r="P434" s="282">
        <v>0</v>
      </c>
      <c r="Q434" s="282">
        <v>0</v>
      </c>
      <c r="R434" s="283">
        <f t="shared" si="289"/>
        <v>300</v>
      </c>
      <c r="S434" s="284">
        <f t="shared" si="325"/>
        <v>3.8100000000000002E-2</v>
      </c>
      <c r="T434" s="284">
        <f t="shared" si="290"/>
        <v>0</v>
      </c>
      <c r="U434" s="284">
        <f t="shared" si="291"/>
        <v>0</v>
      </c>
      <c r="V434" s="284">
        <f t="shared" si="292"/>
        <v>2.725E-2</v>
      </c>
      <c r="W434" s="283">
        <f t="shared" si="293"/>
        <v>3.9800000000000004</v>
      </c>
      <c r="X434" s="283">
        <f t="shared" si="294"/>
        <v>4.13</v>
      </c>
      <c r="Y434" s="283">
        <f t="shared" si="295"/>
        <v>5.83</v>
      </c>
      <c r="Z434" s="285">
        <f t="shared" si="296"/>
        <v>10500</v>
      </c>
      <c r="AA434" s="285">
        <f t="shared" si="297"/>
        <v>1134996.52</v>
      </c>
      <c r="AB434" s="285">
        <f t="shared" si="313"/>
        <v>290412.64</v>
      </c>
      <c r="AC434" s="285">
        <f t="shared" si="314"/>
        <v>274902.59000000003</v>
      </c>
      <c r="AD434" s="285">
        <f t="shared" si="315"/>
        <v>369469.9</v>
      </c>
      <c r="AE434" s="286">
        <v>0</v>
      </c>
      <c r="AF434" s="287">
        <f t="shared" si="298"/>
        <v>0</v>
      </c>
      <c r="AG434" s="288">
        <f t="shared" si="299"/>
        <v>0</v>
      </c>
      <c r="AH434" s="285">
        <f t="shared" si="316"/>
        <v>934785.13</v>
      </c>
      <c r="AI434" s="286">
        <v>0</v>
      </c>
      <c r="AJ434" s="286">
        <v>0</v>
      </c>
      <c r="AK434" s="286">
        <v>0</v>
      </c>
      <c r="AL434" s="285">
        <f t="shared" si="300"/>
        <v>2080281.6500000004</v>
      </c>
      <c r="AM434" s="285">
        <f t="shared" si="301"/>
        <v>2080279</v>
      </c>
      <c r="AN434" s="289">
        <f t="shared" si="317"/>
        <v>0.99999899999999997</v>
      </c>
      <c r="AO434" s="290">
        <f t="shared" si="302"/>
        <v>-15516</v>
      </c>
      <c r="AP434" s="290">
        <f t="shared" si="303"/>
        <v>79059</v>
      </c>
      <c r="AQ434" s="290">
        <f t="shared" si="304"/>
        <v>139767</v>
      </c>
      <c r="AR434" s="290">
        <f t="shared" si="305"/>
        <v>0</v>
      </c>
      <c r="AS434" s="290">
        <f t="shared" si="306"/>
        <v>0</v>
      </c>
      <c r="AT434" s="290">
        <f t="shared" si="307"/>
        <v>2283589</v>
      </c>
      <c r="AU434" s="291">
        <f t="shared" si="308"/>
        <v>2283591.6500000004</v>
      </c>
      <c r="AV434" s="291">
        <f>ROUND(AT434-AU434,2)</f>
        <v>-2.65</v>
      </c>
      <c r="AW434" s="292">
        <f t="shared" si="309"/>
        <v>811775.73</v>
      </c>
      <c r="AX434" s="293">
        <f t="shared" si="310"/>
        <v>323220.79000000004</v>
      </c>
      <c r="BC434" s="276">
        <f>IF(BI434=1,IF(BC433=MiscData!$F$1,EOMONTH(BC433,-11),EOMONTH(BC433,1)),BC433)</f>
        <v>42004</v>
      </c>
      <c r="BD434" s="275" t="str">
        <f t="shared" si="319"/>
        <v>20140101LGCME593</v>
      </c>
      <c r="BE434" s="294" t="str">
        <f t="shared" si="320"/>
        <v>20140101CTODP</v>
      </c>
      <c r="BF434">
        <f>MiscData!$X$5</f>
        <v>20140101</v>
      </c>
      <c r="BI434" s="265">
        <f>IF(BI433+1&gt;MiscData!$Z$42,1,BI433+1)</f>
        <v>13</v>
      </c>
      <c r="BJ434" s="265" t="str">
        <f>VLOOKUP(BI434,MiscData!$Z$5:$AB$46,2,FALSE)</f>
        <v>LGCME593</v>
      </c>
      <c r="BK434" s="265" t="str">
        <f>VLOOKUP(BI434,MiscData!$Z$5:$AB$46,3,FALSE)</f>
        <v>CTODP</v>
      </c>
    </row>
    <row r="435" spans="1:63" hidden="1">
      <c r="A435" s="275">
        <v>412</v>
      </c>
      <c r="B435" s="276" t="str">
        <f t="shared" si="311"/>
        <v>Dec 2014</v>
      </c>
      <c r="C435" s="277" t="str">
        <f t="shared" si="321"/>
        <v>GS3</v>
      </c>
      <c r="D435" s="277" t="str">
        <f t="shared" si="312"/>
        <v>LGCME650</v>
      </c>
      <c r="E435" s="278">
        <f t="shared" si="281"/>
        <v>0</v>
      </c>
      <c r="F435" s="279">
        <v>0</v>
      </c>
      <c r="G435" s="278">
        <f t="shared" si="282"/>
        <v>0</v>
      </c>
      <c r="H435" s="278">
        <f t="shared" si="283"/>
        <v>0</v>
      </c>
      <c r="I435" s="278">
        <f t="shared" si="284"/>
        <v>0</v>
      </c>
      <c r="J435" s="278">
        <f t="shared" si="285"/>
        <v>0</v>
      </c>
      <c r="K435" s="280">
        <v>0</v>
      </c>
      <c r="L435" s="281">
        <f t="shared" si="286"/>
        <v>0</v>
      </c>
      <c r="M435" s="281">
        <f t="shared" si="287"/>
        <v>0</v>
      </c>
      <c r="N435" s="281">
        <f t="shared" si="288"/>
        <v>0</v>
      </c>
      <c r="O435" s="282">
        <v>0</v>
      </c>
      <c r="P435" s="282">
        <v>0</v>
      </c>
      <c r="Q435" s="282">
        <v>0</v>
      </c>
      <c r="R435" s="283">
        <f t="shared" si="289"/>
        <v>35</v>
      </c>
      <c r="S435" s="284">
        <f t="shared" si="325"/>
        <v>9.1340000000000005E-2</v>
      </c>
      <c r="T435" s="284">
        <f t="shared" si="290"/>
        <v>0</v>
      </c>
      <c r="U435" s="284">
        <f t="shared" si="291"/>
        <v>0</v>
      </c>
      <c r="V435" s="284">
        <f t="shared" si="292"/>
        <v>2.725E-2</v>
      </c>
      <c r="W435" s="283">
        <f t="shared" si="293"/>
        <v>0</v>
      </c>
      <c r="X435" s="283">
        <f t="shared" si="294"/>
        <v>0</v>
      </c>
      <c r="Y435" s="283">
        <f t="shared" si="295"/>
        <v>0</v>
      </c>
      <c r="Z435" s="285">
        <f t="shared" si="296"/>
        <v>0</v>
      </c>
      <c r="AA435" s="285">
        <f t="shared" si="297"/>
        <v>0</v>
      </c>
      <c r="AB435" s="285">
        <f t="shared" si="313"/>
        <v>0</v>
      </c>
      <c r="AC435" s="285">
        <f t="shared" si="314"/>
        <v>0</v>
      </c>
      <c r="AD435" s="285">
        <f t="shared" si="315"/>
        <v>0</v>
      </c>
      <c r="AE435" s="286">
        <v>0</v>
      </c>
      <c r="AF435" s="287">
        <f t="shared" si="298"/>
        <v>0</v>
      </c>
      <c r="AG435" s="288">
        <f t="shared" si="299"/>
        <v>0</v>
      </c>
      <c r="AH435" s="285">
        <f t="shared" si="316"/>
        <v>0</v>
      </c>
      <c r="AI435" s="286">
        <v>0</v>
      </c>
      <c r="AJ435" s="286">
        <v>0</v>
      </c>
      <c r="AK435" s="286">
        <v>0</v>
      </c>
      <c r="AL435" s="285">
        <f t="shared" si="300"/>
        <v>0</v>
      </c>
      <c r="AM435" s="285">
        <f t="shared" si="301"/>
        <v>0</v>
      </c>
      <c r="AN435" s="289">
        <f t="shared" si="317"/>
        <v>1</v>
      </c>
      <c r="AO435" s="290">
        <f t="shared" si="302"/>
        <v>0</v>
      </c>
      <c r="AP435" s="290">
        <f t="shared" si="303"/>
        <v>0</v>
      </c>
      <c r="AQ435" s="290">
        <f t="shared" si="304"/>
        <v>0</v>
      </c>
      <c r="AR435" s="290">
        <f t="shared" si="305"/>
        <v>0</v>
      </c>
      <c r="AS435" s="290">
        <f t="shared" si="306"/>
        <v>0</v>
      </c>
      <c r="AT435" s="290">
        <f t="shared" si="307"/>
        <v>0</v>
      </c>
      <c r="AU435" s="291">
        <f t="shared" si="308"/>
        <v>0</v>
      </c>
      <c r="AV435" s="291">
        <f t="shared" si="326"/>
        <v>0</v>
      </c>
      <c r="AW435" s="292">
        <f t="shared" si="309"/>
        <v>0</v>
      </c>
      <c r="AX435" s="293">
        <f t="shared" si="310"/>
        <v>0</v>
      </c>
      <c r="BC435" s="276">
        <f>IF(BI435=1,IF(BC434=MiscData!$F$1,EOMONTH(BC434,-11),EOMONTH(BC434,1)),BC434)</f>
        <v>42004</v>
      </c>
      <c r="BD435" s="275" t="str">
        <f t="shared" si="319"/>
        <v>20140101LGCME650</v>
      </c>
      <c r="BE435" s="294" t="str">
        <f t="shared" si="320"/>
        <v>20140101GS3</v>
      </c>
      <c r="BF435">
        <f>MiscData!$X$5</f>
        <v>20140101</v>
      </c>
      <c r="BI435" s="265">
        <f>IF(BI434+1&gt;MiscData!$Z$42,1,BI434+1)</f>
        <v>14</v>
      </c>
      <c r="BJ435" s="265" t="str">
        <f>VLOOKUP(BI435,MiscData!$Z$5:$AB$46,2,FALSE)</f>
        <v>LGCME650</v>
      </c>
      <c r="BK435" s="265" t="str">
        <f>VLOOKUP(BI435,MiscData!$Z$5:$AB$46,3,FALSE)</f>
        <v>GS3</v>
      </c>
    </row>
    <row r="436" spans="1:63" hidden="1">
      <c r="A436" s="275">
        <v>413</v>
      </c>
      <c r="B436" s="276" t="str">
        <f t="shared" si="311"/>
        <v>Dec 2014</v>
      </c>
      <c r="C436" s="277" t="str">
        <f t="shared" si="321"/>
        <v>GS3</v>
      </c>
      <c r="D436" s="277" t="str">
        <f t="shared" si="312"/>
        <v>LGCME651</v>
      </c>
      <c r="E436" s="278">
        <f t="shared" si="281"/>
        <v>16305</v>
      </c>
      <c r="F436" s="279">
        <v>0</v>
      </c>
      <c r="G436" s="278">
        <f t="shared" si="282"/>
        <v>0</v>
      </c>
      <c r="H436" s="278">
        <f t="shared" si="283"/>
        <v>0</v>
      </c>
      <c r="I436" s="278">
        <f t="shared" si="284"/>
        <v>0</v>
      </c>
      <c r="J436" s="278">
        <f t="shared" si="285"/>
        <v>77992712</v>
      </c>
      <c r="K436" s="280">
        <v>0</v>
      </c>
      <c r="L436" s="281">
        <f t="shared" si="286"/>
        <v>192024.42</v>
      </c>
      <c r="M436" s="281">
        <f t="shared" si="287"/>
        <v>0</v>
      </c>
      <c r="N436" s="281">
        <f t="shared" si="288"/>
        <v>0</v>
      </c>
      <c r="O436" s="282">
        <v>0</v>
      </c>
      <c r="P436" s="282">
        <v>0</v>
      </c>
      <c r="Q436" s="282">
        <v>0</v>
      </c>
      <c r="R436" s="283">
        <f t="shared" si="289"/>
        <v>35</v>
      </c>
      <c r="S436" s="284">
        <f t="shared" si="325"/>
        <v>9.1340000000000005E-2</v>
      </c>
      <c r="T436" s="284">
        <f t="shared" si="290"/>
        <v>0</v>
      </c>
      <c r="U436" s="284">
        <f t="shared" si="291"/>
        <v>0</v>
      </c>
      <c r="V436" s="284">
        <f t="shared" si="292"/>
        <v>2.725E-2</v>
      </c>
      <c r="W436" s="283">
        <f t="shared" si="293"/>
        <v>0</v>
      </c>
      <c r="X436" s="283">
        <f t="shared" si="294"/>
        <v>0</v>
      </c>
      <c r="Y436" s="283">
        <f t="shared" si="295"/>
        <v>0</v>
      </c>
      <c r="Z436" s="285">
        <f t="shared" si="296"/>
        <v>570675</v>
      </c>
      <c r="AA436" s="285">
        <f t="shared" si="297"/>
        <v>7123854.3099999996</v>
      </c>
      <c r="AB436" s="285">
        <f t="shared" si="313"/>
        <v>0</v>
      </c>
      <c r="AC436" s="285">
        <f t="shared" si="314"/>
        <v>0</v>
      </c>
      <c r="AD436" s="285">
        <f t="shared" si="315"/>
        <v>0</v>
      </c>
      <c r="AE436" s="286">
        <v>0</v>
      </c>
      <c r="AF436" s="287">
        <f t="shared" si="298"/>
        <v>0</v>
      </c>
      <c r="AG436" s="288">
        <f t="shared" si="299"/>
        <v>0</v>
      </c>
      <c r="AH436" s="285">
        <f t="shared" si="316"/>
        <v>0</v>
      </c>
      <c r="AI436" s="286">
        <v>0</v>
      </c>
      <c r="AJ436" s="286">
        <v>0</v>
      </c>
      <c r="AK436" s="286">
        <v>0</v>
      </c>
      <c r="AL436" s="285">
        <f t="shared" si="300"/>
        <v>7694529.3099999996</v>
      </c>
      <c r="AM436" s="285">
        <f t="shared" si="301"/>
        <v>7694514</v>
      </c>
      <c r="AN436" s="289">
        <f t="shared" si="317"/>
        <v>0.99999800000000005</v>
      </c>
      <c r="AO436" s="290">
        <f t="shared" si="302"/>
        <v>-40623</v>
      </c>
      <c r="AP436" s="290">
        <f t="shared" si="303"/>
        <v>206983</v>
      </c>
      <c r="AQ436" s="290">
        <f t="shared" si="304"/>
        <v>365922</v>
      </c>
      <c r="AR436" s="290">
        <f t="shared" si="305"/>
        <v>0</v>
      </c>
      <c r="AS436" s="290">
        <f t="shared" si="306"/>
        <v>0</v>
      </c>
      <c r="AT436" s="290">
        <f t="shared" si="307"/>
        <v>8226796</v>
      </c>
      <c r="AU436" s="291">
        <f t="shared" si="308"/>
        <v>8226811.3099999996</v>
      </c>
      <c r="AV436" s="291">
        <f t="shared" si="326"/>
        <v>-15.309999999590218</v>
      </c>
      <c r="AW436" s="292">
        <f t="shared" si="309"/>
        <v>2125301.4</v>
      </c>
      <c r="AX436" s="293">
        <f t="shared" si="310"/>
        <v>4998552.91</v>
      </c>
      <c r="BC436" s="276">
        <f>IF(BI436=1,IF(BC435=MiscData!$F$1,EOMONTH(BC435,-11),EOMONTH(BC435,1)),BC435)</f>
        <v>42004</v>
      </c>
      <c r="BD436" s="275" t="str">
        <f t="shared" si="319"/>
        <v>20140101LGCME651</v>
      </c>
      <c r="BE436" s="294" t="str">
        <f t="shared" si="320"/>
        <v>20140101GS3</v>
      </c>
      <c r="BF436">
        <f>MiscData!$X$5</f>
        <v>20140101</v>
      </c>
      <c r="BI436" s="265">
        <f>IF(BI435+1&gt;MiscData!$Z$42,1,BI435+1)</f>
        <v>15</v>
      </c>
      <c r="BJ436" s="265" t="str">
        <f>VLOOKUP(BI436,MiscData!$Z$5:$AB$46,2,FALSE)</f>
        <v>LGCME651</v>
      </c>
      <c r="BK436" s="265" t="str">
        <f>VLOOKUP(BI436,MiscData!$Z$5:$AB$46,3,FALSE)</f>
        <v>GS3</v>
      </c>
    </row>
    <row r="437" spans="1:63" hidden="1">
      <c r="A437" s="275">
        <v>414</v>
      </c>
      <c r="B437" s="276" t="str">
        <f t="shared" si="311"/>
        <v>Dec 2014</v>
      </c>
      <c r="C437" s="277" t="str">
        <f t="shared" si="321"/>
        <v>GS3</v>
      </c>
      <c r="D437" s="277" t="str">
        <f t="shared" si="312"/>
        <v>LGCME652</v>
      </c>
      <c r="E437" s="278">
        <f t="shared" si="281"/>
        <v>0</v>
      </c>
      <c r="F437" s="279">
        <f>-E437</f>
        <v>0</v>
      </c>
      <c r="G437" s="278">
        <f t="shared" si="282"/>
        <v>0</v>
      </c>
      <c r="H437" s="278">
        <f t="shared" si="283"/>
        <v>0</v>
      </c>
      <c r="I437" s="278">
        <f t="shared" si="284"/>
        <v>0</v>
      </c>
      <c r="J437" s="278">
        <f t="shared" si="285"/>
        <v>0</v>
      </c>
      <c r="K437" s="280">
        <v>0</v>
      </c>
      <c r="L437" s="281">
        <f t="shared" si="286"/>
        <v>0</v>
      </c>
      <c r="M437" s="281">
        <f t="shared" si="287"/>
        <v>0</v>
      </c>
      <c r="N437" s="281">
        <f t="shared" si="288"/>
        <v>0</v>
      </c>
      <c r="O437" s="282">
        <v>0</v>
      </c>
      <c r="P437" s="282">
        <v>0</v>
      </c>
      <c r="Q437" s="282">
        <v>0</v>
      </c>
      <c r="R437" s="283">
        <f t="shared" si="289"/>
        <v>0</v>
      </c>
      <c r="S437" s="284">
        <f t="shared" si="325"/>
        <v>9.1340000000000005E-2</v>
      </c>
      <c r="T437" s="284">
        <f t="shared" si="290"/>
        <v>0</v>
      </c>
      <c r="U437" s="284">
        <f t="shared" si="291"/>
        <v>0</v>
      </c>
      <c r="V437" s="284">
        <f t="shared" si="292"/>
        <v>2.725E-2</v>
      </c>
      <c r="W437" s="283">
        <f t="shared" si="293"/>
        <v>0</v>
      </c>
      <c r="X437" s="283">
        <f t="shared" si="294"/>
        <v>0</v>
      </c>
      <c r="Y437" s="283">
        <f t="shared" si="295"/>
        <v>0</v>
      </c>
      <c r="Z437" s="285">
        <f t="shared" si="296"/>
        <v>0</v>
      </c>
      <c r="AA437" s="285">
        <f t="shared" si="297"/>
        <v>0</v>
      </c>
      <c r="AB437" s="285">
        <f t="shared" si="313"/>
        <v>0</v>
      </c>
      <c r="AC437" s="285">
        <f t="shared" si="314"/>
        <v>0</v>
      </c>
      <c r="AD437" s="285">
        <f t="shared" si="315"/>
        <v>0</v>
      </c>
      <c r="AE437" s="286">
        <v>0</v>
      </c>
      <c r="AF437" s="287">
        <f t="shared" si="298"/>
        <v>0</v>
      </c>
      <c r="AG437" s="288">
        <f t="shared" si="299"/>
        <v>0</v>
      </c>
      <c r="AH437" s="285">
        <f t="shared" si="316"/>
        <v>0</v>
      </c>
      <c r="AI437" s="286">
        <v>0</v>
      </c>
      <c r="AJ437" s="286">
        <v>0</v>
      </c>
      <c r="AK437" s="286">
        <v>0</v>
      </c>
      <c r="AL437" s="285">
        <f t="shared" si="300"/>
        <v>0</v>
      </c>
      <c r="AM437" s="285">
        <f t="shared" si="301"/>
        <v>0</v>
      </c>
      <c r="AN437" s="289">
        <f t="shared" si="317"/>
        <v>1</v>
      </c>
      <c r="AO437" s="290">
        <f t="shared" si="302"/>
        <v>0</v>
      </c>
      <c r="AP437" s="290">
        <f t="shared" si="303"/>
        <v>0</v>
      </c>
      <c r="AQ437" s="290">
        <f t="shared" si="304"/>
        <v>0</v>
      </c>
      <c r="AR437" s="290">
        <f t="shared" si="305"/>
        <v>0</v>
      </c>
      <c r="AS437" s="290">
        <f t="shared" si="306"/>
        <v>0</v>
      </c>
      <c r="AT437" s="290">
        <f t="shared" si="307"/>
        <v>0</v>
      </c>
      <c r="AU437" s="291">
        <f t="shared" si="308"/>
        <v>0</v>
      </c>
      <c r="AV437" s="291">
        <f t="shared" ref="AV437:AV443" si="327">ROUND(AT437-AU437,2)</f>
        <v>0</v>
      </c>
      <c r="AW437" s="292">
        <f t="shared" si="309"/>
        <v>0</v>
      </c>
      <c r="AX437" s="293">
        <f t="shared" si="310"/>
        <v>0</v>
      </c>
      <c r="BC437" s="276">
        <f>IF(BI437=1,IF(BC436=MiscData!$F$1,EOMONTH(BC436,-11),EOMONTH(BC436,1)),BC436)</f>
        <v>42004</v>
      </c>
      <c r="BD437" s="275" t="str">
        <f t="shared" si="319"/>
        <v>20140101LGCME652</v>
      </c>
      <c r="BE437" s="294" t="str">
        <f t="shared" si="320"/>
        <v>20140101GS3</v>
      </c>
      <c r="BF437">
        <f>MiscData!$X$5</f>
        <v>20140101</v>
      </c>
      <c r="BI437" s="265">
        <f>IF(BI436+1&gt;MiscData!$Z$42,1,BI436+1)</f>
        <v>16</v>
      </c>
      <c r="BJ437" s="265" t="str">
        <f>VLOOKUP(BI437,MiscData!$Z$5:$AB$46,2,FALSE)</f>
        <v>LGCME652</v>
      </c>
      <c r="BK437" s="265" t="str">
        <f>VLOOKUP(BI437,MiscData!$Z$5:$AB$46,3,FALSE)</f>
        <v>GS3</v>
      </c>
    </row>
    <row r="438" spans="1:63" hidden="1">
      <c r="A438" s="275">
        <v>415</v>
      </c>
      <c r="B438" s="276" t="str">
        <f t="shared" si="311"/>
        <v>Dec 2014</v>
      </c>
      <c r="C438" s="277" t="str">
        <f t="shared" si="321"/>
        <v>GS3</v>
      </c>
      <c r="D438" s="277" t="str">
        <f t="shared" si="312"/>
        <v>LGCME657</v>
      </c>
      <c r="E438" s="278">
        <f t="shared" si="281"/>
        <v>0</v>
      </c>
      <c r="F438" s="279">
        <v>0</v>
      </c>
      <c r="G438" s="278">
        <f t="shared" si="282"/>
        <v>0</v>
      </c>
      <c r="H438" s="278">
        <f t="shared" si="283"/>
        <v>0</v>
      </c>
      <c r="I438" s="278">
        <f t="shared" si="284"/>
        <v>0</v>
      </c>
      <c r="J438" s="278">
        <f t="shared" si="285"/>
        <v>0</v>
      </c>
      <c r="K438" s="280">
        <v>0</v>
      </c>
      <c r="L438" s="281">
        <f t="shared" si="286"/>
        <v>0</v>
      </c>
      <c r="M438" s="281">
        <f t="shared" si="287"/>
        <v>0</v>
      </c>
      <c r="N438" s="281">
        <f t="shared" si="288"/>
        <v>0</v>
      </c>
      <c r="O438" s="282">
        <v>0</v>
      </c>
      <c r="P438" s="282">
        <v>0</v>
      </c>
      <c r="Q438" s="282">
        <v>0</v>
      </c>
      <c r="R438" s="283">
        <f t="shared" si="289"/>
        <v>35</v>
      </c>
      <c r="S438" s="284">
        <f t="shared" si="325"/>
        <v>9.1340000000000005E-2</v>
      </c>
      <c r="T438" s="284">
        <f t="shared" si="290"/>
        <v>0</v>
      </c>
      <c r="U438" s="284">
        <f t="shared" si="291"/>
        <v>0</v>
      </c>
      <c r="V438" s="284">
        <f t="shared" si="292"/>
        <v>2.725E-2</v>
      </c>
      <c r="W438" s="283">
        <f t="shared" si="293"/>
        <v>0</v>
      </c>
      <c r="X438" s="283">
        <f t="shared" si="294"/>
        <v>0</v>
      </c>
      <c r="Y438" s="283">
        <f t="shared" si="295"/>
        <v>0</v>
      </c>
      <c r="Z438" s="285">
        <f t="shared" si="296"/>
        <v>0</v>
      </c>
      <c r="AA438" s="285">
        <f t="shared" si="297"/>
        <v>0</v>
      </c>
      <c r="AB438" s="285">
        <f t="shared" si="313"/>
        <v>0</v>
      </c>
      <c r="AC438" s="285">
        <f t="shared" si="314"/>
        <v>0</v>
      </c>
      <c r="AD438" s="285">
        <f t="shared" si="315"/>
        <v>0</v>
      </c>
      <c r="AE438" s="286">
        <v>0</v>
      </c>
      <c r="AF438" s="287">
        <f t="shared" si="298"/>
        <v>0</v>
      </c>
      <c r="AG438" s="288">
        <f t="shared" si="299"/>
        <v>0</v>
      </c>
      <c r="AH438" s="285">
        <f t="shared" si="316"/>
        <v>0</v>
      </c>
      <c r="AI438" s="286">
        <v>0</v>
      </c>
      <c r="AJ438" s="286">
        <v>0</v>
      </c>
      <c r="AK438" s="286">
        <v>0</v>
      </c>
      <c r="AL438" s="285">
        <f t="shared" si="300"/>
        <v>0</v>
      </c>
      <c r="AM438" s="285">
        <f t="shared" si="301"/>
        <v>0</v>
      </c>
      <c r="AN438" s="289">
        <f t="shared" si="317"/>
        <v>1</v>
      </c>
      <c r="AO438" s="290">
        <f t="shared" si="302"/>
        <v>0</v>
      </c>
      <c r="AP438" s="290">
        <f t="shared" si="303"/>
        <v>0</v>
      </c>
      <c r="AQ438" s="290">
        <f t="shared" si="304"/>
        <v>0</v>
      </c>
      <c r="AR438" s="290">
        <f t="shared" si="305"/>
        <v>0</v>
      </c>
      <c r="AS438" s="290">
        <f t="shared" si="306"/>
        <v>0</v>
      </c>
      <c r="AT438" s="290">
        <f t="shared" si="307"/>
        <v>0</v>
      </c>
      <c r="AU438" s="291">
        <f t="shared" si="308"/>
        <v>0</v>
      </c>
      <c r="AV438" s="291">
        <f t="shared" si="327"/>
        <v>0</v>
      </c>
      <c r="AW438" s="292">
        <f t="shared" si="309"/>
        <v>0</v>
      </c>
      <c r="AX438" s="293">
        <f t="shared" si="310"/>
        <v>0</v>
      </c>
      <c r="BC438" s="276">
        <f>IF(BI438=1,IF(BC437=MiscData!$F$1,EOMONTH(BC437,-11),EOMONTH(BC437,1)),BC437)</f>
        <v>42004</v>
      </c>
      <c r="BD438" s="275" t="str">
        <f t="shared" si="319"/>
        <v>20140101LGCME657</v>
      </c>
      <c r="BE438" s="294" t="str">
        <f t="shared" si="320"/>
        <v>20140101GS3</v>
      </c>
      <c r="BF438">
        <f>MiscData!$X$5</f>
        <v>20140101</v>
      </c>
      <c r="BI438" s="265">
        <f>IF(BI437+1&gt;MiscData!$Z$42,1,BI437+1)</f>
        <v>17</v>
      </c>
      <c r="BJ438" s="265" t="str">
        <f>VLOOKUP(BI438,MiscData!$Z$5:$AB$46,2,FALSE)</f>
        <v>LGCME657</v>
      </c>
      <c r="BK438" s="265" t="str">
        <f>VLOOKUP(BI438,MiscData!$Z$5:$AB$46,3,FALSE)</f>
        <v>GS3</v>
      </c>
    </row>
    <row r="439" spans="1:63" hidden="1">
      <c r="A439" s="275">
        <v>416</v>
      </c>
      <c r="B439" s="276" t="str">
        <f t="shared" si="311"/>
        <v>Dec 2014</v>
      </c>
      <c r="C439" s="277" t="str">
        <f t="shared" si="321"/>
        <v>LWC</v>
      </c>
      <c r="D439" s="277" t="str">
        <f t="shared" si="312"/>
        <v>LGCME671</v>
      </c>
      <c r="E439" s="278">
        <f t="shared" si="281"/>
        <v>2</v>
      </c>
      <c r="F439" s="279">
        <v>0</v>
      </c>
      <c r="G439" s="278">
        <f t="shared" si="282"/>
        <v>0</v>
      </c>
      <c r="H439" s="278">
        <f t="shared" si="283"/>
        <v>0</v>
      </c>
      <c r="I439" s="278">
        <f t="shared" si="284"/>
        <v>0</v>
      </c>
      <c r="J439" s="278">
        <f t="shared" si="285"/>
        <v>4790100</v>
      </c>
      <c r="K439" s="280">
        <v>0</v>
      </c>
      <c r="L439" s="281">
        <f t="shared" si="286"/>
        <v>0</v>
      </c>
      <c r="M439" s="281">
        <f t="shared" si="287"/>
        <v>9478.7999999999993</v>
      </c>
      <c r="N439" s="281">
        <f t="shared" si="288"/>
        <v>0</v>
      </c>
      <c r="O439" s="282">
        <v>0</v>
      </c>
      <c r="P439" s="282">
        <v>0</v>
      </c>
      <c r="Q439" s="282">
        <v>0</v>
      </c>
      <c r="R439" s="283">
        <f t="shared" si="289"/>
        <v>0</v>
      </c>
      <c r="S439" s="284">
        <f t="shared" si="325"/>
        <v>3.7019999999999997E-2</v>
      </c>
      <c r="T439" s="284">
        <f t="shared" si="290"/>
        <v>0</v>
      </c>
      <c r="U439" s="284">
        <f t="shared" si="291"/>
        <v>0</v>
      </c>
      <c r="V439" s="284">
        <f t="shared" si="292"/>
        <v>2.725E-2</v>
      </c>
      <c r="W439" s="283">
        <f t="shared" si="293"/>
        <v>0</v>
      </c>
      <c r="X439" s="283">
        <f t="shared" si="294"/>
        <v>10.35</v>
      </c>
      <c r="Y439" s="283">
        <f t="shared" si="295"/>
        <v>10.35</v>
      </c>
      <c r="Z439" s="285">
        <f t="shared" si="296"/>
        <v>0</v>
      </c>
      <c r="AA439" s="285">
        <f t="shared" si="297"/>
        <v>177329.5</v>
      </c>
      <c r="AB439" s="285">
        <f t="shared" si="313"/>
        <v>0</v>
      </c>
      <c r="AC439" s="285">
        <f t="shared" si="314"/>
        <v>98105.58</v>
      </c>
      <c r="AD439" s="285">
        <f t="shared" si="315"/>
        <v>0</v>
      </c>
      <c r="AE439" s="286">
        <v>0</v>
      </c>
      <c r="AF439" s="287">
        <f t="shared" si="298"/>
        <v>0</v>
      </c>
      <c r="AG439" s="288">
        <f t="shared" si="299"/>
        <v>0</v>
      </c>
      <c r="AH439" s="285">
        <f t="shared" si="316"/>
        <v>98105.58</v>
      </c>
      <c r="AI439" s="286">
        <v>0</v>
      </c>
      <c r="AJ439" s="286">
        <v>0</v>
      </c>
      <c r="AK439" s="286">
        <v>0</v>
      </c>
      <c r="AL439" s="285">
        <f t="shared" si="300"/>
        <v>275435.08</v>
      </c>
      <c r="AM439" s="285">
        <f t="shared" si="301"/>
        <v>275435</v>
      </c>
      <c r="AN439" s="289">
        <f t="shared" si="317"/>
        <v>1</v>
      </c>
      <c r="AO439" s="290">
        <f t="shared" si="302"/>
        <v>-2495</v>
      </c>
      <c r="AP439" s="290">
        <f t="shared" si="303"/>
        <v>0</v>
      </c>
      <c r="AQ439" s="290">
        <f t="shared" si="304"/>
        <v>22474</v>
      </c>
      <c r="AR439" s="290">
        <f t="shared" si="305"/>
        <v>0</v>
      </c>
      <c r="AS439" s="290">
        <f t="shared" si="306"/>
        <v>0</v>
      </c>
      <c r="AT439" s="290">
        <f t="shared" si="307"/>
        <v>295414</v>
      </c>
      <c r="AU439" s="291">
        <f t="shared" si="308"/>
        <v>295414.08</v>
      </c>
      <c r="AV439" s="291">
        <f t="shared" si="327"/>
        <v>-0.08</v>
      </c>
      <c r="AW439" s="292">
        <f t="shared" si="309"/>
        <v>130530.23</v>
      </c>
      <c r="AX439" s="293">
        <f t="shared" si="310"/>
        <v>46799.270000000004</v>
      </c>
      <c r="BC439" s="276">
        <f>IF(BI439=1,IF(BC438=MiscData!$F$1,EOMONTH(BC438,-11),EOMONTH(BC438,1)),BC438)</f>
        <v>42004</v>
      </c>
      <c r="BD439" s="275" t="str">
        <f t="shared" si="319"/>
        <v>20140101LGCME671</v>
      </c>
      <c r="BE439" s="294" t="str">
        <f t="shared" si="320"/>
        <v>20140101LWC</v>
      </c>
      <c r="BF439">
        <f>MiscData!$X$5</f>
        <v>20140101</v>
      </c>
      <c r="BI439" s="265">
        <f>IF(BI438+1&gt;MiscData!$Z$42,1,BI438+1)</f>
        <v>18</v>
      </c>
      <c r="BJ439" s="265" t="str">
        <f>VLOOKUP(BI439,MiscData!$Z$5:$AB$46,2,FALSE)</f>
        <v>LGCME671</v>
      </c>
      <c r="BK439" s="265" t="str">
        <f>VLOOKUP(BI439,MiscData!$Z$5:$AB$46,3,FALSE)</f>
        <v>LWC</v>
      </c>
    </row>
    <row r="440" spans="1:63" hidden="1">
      <c r="A440" s="275">
        <v>417</v>
      </c>
      <c r="B440" s="276" t="str">
        <f t="shared" si="311"/>
        <v>Dec 2014</v>
      </c>
      <c r="C440" s="277" t="str">
        <f t="shared" si="321"/>
        <v>CSR</v>
      </c>
      <c r="D440" s="277" t="str">
        <f t="shared" si="312"/>
        <v>LGCSR760</v>
      </c>
      <c r="E440" s="278">
        <f t="shared" si="281"/>
        <v>0</v>
      </c>
      <c r="F440" s="279">
        <v>0</v>
      </c>
      <c r="G440" s="278">
        <f t="shared" si="282"/>
        <v>0</v>
      </c>
      <c r="H440" s="278">
        <f t="shared" si="283"/>
        <v>0</v>
      </c>
      <c r="I440" s="278">
        <f t="shared" si="284"/>
        <v>0</v>
      </c>
      <c r="J440" s="278">
        <f t="shared" si="285"/>
        <v>0</v>
      </c>
      <c r="K440" s="280">
        <v>0</v>
      </c>
      <c r="L440" s="281">
        <f t="shared" si="286"/>
        <v>0</v>
      </c>
      <c r="M440" s="281">
        <f t="shared" si="287"/>
        <v>0</v>
      </c>
      <c r="N440" s="281">
        <f t="shared" si="288"/>
        <v>0</v>
      </c>
      <c r="O440" s="282">
        <v>0</v>
      </c>
      <c r="P440" s="282">
        <v>0</v>
      </c>
      <c r="Q440" s="282">
        <v>0</v>
      </c>
      <c r="R440" s="283">
        <f t="shared" si="289"/>
        <v>0</v>
      </c>
      <c r="S440" s="284">
        <f t="shared" si="325"/>
        <v>0</v>
      </c>
      <c r="T440" s="284">
        <f t="shared" si="290"/>
        <v>0</v>
      </c>
      <c r="U440" s="284">
        <f t="shared" si="291"/>
        <v>0</v>
      </c>
      <c r="V440" s="284">
        <f t="shared" si="292"/>
        <v>0</v>
      </c>
      <c r="W440" s="283">
        <f t="shared" si="293"/>
        <v>0</v>
      </c>
      <c r="X440" s="283">
        <f t="shared" si="294"/>
        <v>0</v>
      </c>
      <c r="Y440" s="283">
        <f t="shared" si="295"/>
        <v>0</v>
      </c>
      <c r="Z440" s="285">
        <f t="shared" si="296"/>
        <v>0</v>
      </c>
      <c r="AA440" s="285">
        <f t="shared" si="297"/>
        <v>0</v>
      </c>
      <c r="AB440" s="285">
        <f t="shared" si="313"/>
        <v>0</v>
      </c>
      <c r="AC440" s="285">
        <f t="shared" si="314"/>
        <v>0</v>
      </c>
      <c r="AD440" s="285">
        <f t="shared" si="315"/>
        <v>0</v>
      </c>
      <c r="AE440" s="286">
        <v>0</v>
      </c>
      <c r="AF440" s="287">
        <f t="shared" si="298"/>
        <v>0</v>
      </c>
      <c r="AG440" s="288">
        <f t="shared" si="299"/>
        <v>0</v>
      </c>
      <c r="AH440" s="285">
        <f t="shared" si="316"/>
        <v>0</v>
      </c>
      <c r="AI440" s="286">
        <v>0</v>
      </c>
      <c r="AJ440" s="286">
        <v>0</v>
      </c>
      <c r="AK440" s="286">
        <v>0</v>
      </c>
      <c r="AL440" s="285">
        <f t="shared" si="300"/>
        <v>0</v>
      </c>
      <c r="AM440" s="285">
        <f t="shared" si="301"/>
        <v>0</v>
      </c>
      <c r="AN440" s="289">
        <f t="shared" si="317"/>
        <v>1</v>
      </c>
      <c r="AO440" s="290">
        <f t="shared" si="302"/>
        <v>0</v>
      </c>
      <c r="AP440" s="290">
        <f t="shared" si="303"/>
        <v>0</v>
      </c>
      <c r="AQ440" s="290">
        <f t="shared" si="304"/>
        <v>0</v>
      </c>
      <c r="AR440" s="290">
        <f t="shared" si="305"/>
        <v>0</v>
      </c>
      <c r="AS440" s="290">
        <f t="shared" si="306"/>
        <v>-286526</v>
      </c>
      <c r="AT440" s="290">
        <f t="shared" si="307"/>
        <v>-286526</v>
      </c>
      <c r="AU440" s="291">
        <f t="shared" si="308"/>
        <v>-286526</v>
      </c>
      <c r="AV440" s="291">
        <f t="shared" si="327"/>
        <v>0</v>
      </c>
      <c r="AW440" s="292">
        <f t="shared" si="309"/>
        <v>0</v>
      </c>
      <c r="AX440" s="293">
        <f t="shared" si="310"/>
        <v>0</v>
      </c>
      <c r="BC440" s="276">
        <f>IF(BI440=1,IF(BC439=MiscData!$F$1,EOMONTH(BC439,-11),EOMONTH(BC439,1)),BC439)</f>
        <v>42004</v>
      </c>
      <c r="BD440" s="275" t="str">
        <f t="shared" si="319"/>
        <v>20140101LGCSR760</v>
      </c>
      <c r="BE440" s="294" t="str">
        <f t="shared" si="320"/>
        <v>20140101CSR</v>
      </c>
      <c r="BF440">
        <f>MiscData!$X$5</f>
        <v>20140101</v>
      </c>
      <c r="BI440" s="265">
        <f>IF(BI439+1&gt;MiscData!$Z$42,1,BI439+1)</f>
        <v>19</v>
      </c>
      <c r="BJ440" s="265" t="str">
        <f>VLOOKUP(BI440,MiscData!$Z$5:$AB$46,2,FALSE)</f>
        <v>LGCSR760</v>
      </c>
      <c r="BK440" s="265" t="str">
        <f>VLOOKUP(BI440,MiscData!$Z$5:$AB$46,3,FALSE)</f>
        <v>CSR</v>
      </c>
    </row>
    <row r="441" spans="1:63" hidden="1">
      <c r="A441" s="275">
        <v>418</v>
      </c>
      <c r="B441" s="276" t="str">
        <f t="shared" si="311"/>
        <v>Dec 2014</v>
      </c>
      <c r="C441" s="277" t="str">
        <f t="shared" si="321"/>
        <v>CSR</v>
      </c>
      <c r="D441" s="277" t="str">
        <f t="shared" si="312"/>
        <v>LGCSR780</v>
      </c>
      <c r="E441" s="278">
        <f t="shared" si="281"/>
        <v>0</v>
      </c>
      <c r="F441" s="279">
        <v>0</v>
      </c>
      <c r="G441" s="278">
        <f t="shared" si="282"/>
        <v>0</v>
      </c>
      <c r="H441" s="278">
        <f t="shared" si="283"/>
        <v>0</v>
      </c>
      <c r="I441" s="278">
        <f t="shared" si="284"/>
        <v>0</v>
      </c>
      <c r="J441" s="278">
        <f t="shared" si="285"/>
        <v>0</v>
      </c>
      <c r="K441" s="280">
        <v>0</v>
      </c>
      <c r="L441" s="281">
        <f t="shared" si="286"/>
        <v>0</v>
      </c>
      <c r="M441" s="281">
        <f t="shared" si="287"/>
        <v>0</v>
      </c>
      <c r="N441" s="281">
        <f t="shared" si="288"/>
        <v>0</v>
      </c>
      <c r="O441" s="282">
        <v>0</v>
      </c>
      <c r="P441" s="282">
        <v>0</v>
      </c>
      <c r="Q441" s="282">
        <v>0</v>
      </c>
      <c r="R441" s="283">
        <f t="shared" si="289"/>
        <v>0</v>
      </c>
      <c r="S441" s="284">
        <f t="shared" si="325"/>
        <v>0</v>
      </c>
      <c r="T441" s="284">
        <f t="shared" si="290"/>
        <v>0</v>
      </c>
      <c r="U441" s="284">
        <f t="shared" si="291"/>
        <v>0</v>
      </c>
      <c r="V441" s="284">
        <f t="shared" si="292"/>
        <v>0</v>
      </c>
      <c r="W441" s="283">
        <f t="shared" si="293"/>
        <v>0</v>
      </c>
      <c r="X441" s="283">
        <f t="shared" si="294"/>
        <v>0</v>
      </c>
      <c r="Y441" s="283">
        <f t="shared" si="295"/>
        <v>0</v>
      </c>
      <c r="Z441" s="285">
        <f t="shared" si="296"/>
        <v>0</v>
      </c>
      <c r="AA441" s="285">
        <f t="shared" si="297"/>
        <v>0</v>
      </c>
      <c r="AB441" s="285">
        <f t="shared" si="313"/>
        <v>0</v>
      </c>
      <c r="AC441" s="285">
        <f t="shared" si="314"/>
        <v>0</v>
      </c>
      <c r="AD441" s="285">
        <f t="shared" si="315"/>
        <v>0</v>
      </c>
      <c r="AE441" s="286">
        <v>0</v>
      </c>
      <c r="AF441" s="287">
        <f t="shared" si="298"/>
        <v>0</v>
      </c>
      <c r="AG441" s="288">
        <f t="shared" si="299"/>
        <v>0</v>
      </c>
      <c r="AH441" s="285">
        <f t="shared" si="316"/>
        <v>0</v>
      </c>
      <c r="AI441" s="286">
        <v>0</v>
      </c>
      <c r="AJ441" s="286">
        <v>0</v>
      </c>
      <c r="AK441" s="286">
        <v>0</v>
      </c>
      <c r="AL441" s="285">
        <f t="shared" si="300"/>
        <v>0</v>
      </c>
      <c r="AM441" s="285">
        <f t="shared" si="301"/>
        <v>0</v>
      </c>
      <c r="AN441" s="289">
        <f t="shared" si="317"/>
        <v>1</v>
      </c>
      <c r="AO441" s="290">
        <f t="shared" si="302"/>
        <v>0</v>
      </c>
      <c r="AP441" s="290">
        <f t="shared" si="303"/>
        <v>0</v>
      </c>
      <c r="AQ441" s="290">
        <f t="shared" si="304"/>
        <v>0</v>
      </c>
      <c r="AR441" s="290">
        <f t="shared" si="305"/>
        <v>0</v>
      </c>
      <c r="AS441" s="290">
        <f t="shared" si="306"/>
        <v>0</v>
      </c>
      <c r="AT441" s="290">
        <f t="shared" si="307"/>
        <v>0</v>
      </c>
      <c r="AU441" s="291">
        <f t="shared" si="308"/>
        <v>0</v>
      </c>
      <c r="AV441" s="291">
        <f t="shared" si="327"/>
        <v>0</v>
      </c>
      <c r="AW441" s="292">
        <f t="shared" si="309"/>
        <v>0</v>
      </c>
      <c r="AX441" s="293">
        <f t="shared" si="310"/>
        <v>0</v>
      </c>
      <c r="BC441" s="276">
        <f>IF(BI441=1,IF(BC440=MiscData!$F$1,EOMONTH(BC440,-11),EOMONTH(BC440,1)),BC440)</f>
        <v>42004</v>
      </c>
      <c r="BD441" s="275" t="str">
        <f t="shared" si="319"/>
        <v>20140101LGCSR780</v>
      </c>
      <c r="BE441" s="294" t="str">
        <f t="shared" si="320"/>
        <v>20140101CSR</v>
      </c>
      <c r="BF441">
        <f>MiscData!$X$5</f>
        <v>20140101</v>
      </c>
      <c r="BI441" s="265">
        <f>IF(BI440+1&gt;MiscData!$Z$42,1,BI440+1)</f>
        <v>20</v>
      </c>
      <c r="BJ441" s="265" t="str">
        <f>VLOOKUP(BI441,MiscData!$Z$5:$AB$46,2,FALSE)</f>
        <v>LGCSR780</v>
      </c>
      <c r="BK441" s="265" t="str">
        <f>VLOOKUP(BI441,MiscData!$Z$5:$AB$46,3,FALSE)</f>
        <v>CSR</v>
      </c>
    </row>
    <row r="442" spans="1:63">
      <c r="A442" s="275">
        <v>419</v>
      </c>
      <c r="B442" s="276" t="str">
        <f t="shared" si="311"/>
        <v>Dec 2014</v>
      </c>
      <c r="C442" s="277" t="str">
        <f t="shared" si="321"/>
        <v>FK</v>
      </c>
      <c r="D442" s="277" t="str">
        <f t="shared" si="312"/>
        <v>LGINE599</v>
      </c>
      <c r="E442" s="278">
        <f t="shared" si="281"/>
        <v>1</v>
      </c>
      <c r="F442" s="279">
        <v>0</v>
      </c>
      <c r="G442" s="278">
        <f t="shared" si="282"/>
        <v>0</v>
      </c>
      <c r="H442" s="278">
        <f t="shared" si="283"/>
        <v>0</v>
      </c>
      <c r="I442" s="278">
        <f t="shared" si="284"/>
        <v>0</v>
      </c>
      <c r="J442" s="278">
        <f t="shared" si="285"/>
        <v>9529000</v>
      </c>
      <c r="K442" s="280">
        <v>0</v>
      </c>
      <c r="L442" s="281">
        <f t="shared" si="286"/>
        <v>0</v>
      </c>
      <c r="M442" s="281">
        <f t="shared" si="287"/>
        <v>12334</v>
      </c>
      <c r="N442" s="281">
        <f t="shared" si="288"/>
        <v>0</v>
      </c>
      <c r="O442" s="282">
        <v>0</v>
      </c>
      <c r="P442" s="282">
        <v>0</v>
      </c>
      <c r="Q442" s="282">
        <v>0</v>
      </c>
      <c r="R442" s="283">
        <f t="shared" si="289"/>
        <v>0</v>
      </c>
      <c r="S442" s="284">
        <f t="shared" si="325"/>
        <v>3.7400000000000003E-2</v>
      </c>
      <c r="T442" s="284">
        <f t="shared" si="290"/>
        <v>0</v>
      </c>
      <c r="U442" s="284">
        <f t="shared" si="291"/>
        <v>0</v>
      </c>
      <c r="V442" s="284">
        <f t="shared" si="292"/>
        <v>2.725E-2</v>
      </c>
      <c r="W442" s="283">
        <f t="shared" si="293"/>
        <v>0</v>
      </c>
      <c r="X442" s="283">
        <f t="shared" si="294"/>
        <v>12.72</v>
      </c>
      <c r="Y442" s="283">
        <f t="shared" si="295"/>
        <v>15.040000000000001</v>
      </c>
      <c r="Z442" s="285">
        <f t="shared" si="296"/>
        <v>0</v>
      </c>
      <c r="AA442" s="285">
        <f t="shared" si="297"/>
        <v>356384.6</v>
      </c>
      <c r="AB442" s="285">
        <f t="shared" si="313"/>
        <v>0</v>
      </c>
      <c r="AC442" s="285">
        <f t="shared" si="314"/>
        <v>156888.48000000001</v>
      </c>
      <c r="AD442" s="285">
        <f t="shared" si="315"/>
        <v>0</v>
      </c>
      <c r="AE442" s="286">
        <v>0</v>
      </c>
      <c r="AF442" s="287">
        <f t="shared" si="298"/>
        <v>0</v>
      </c>
      <c r="AG442" s="288">
        <f t="shared" si="299"/>
        <v>0</v>
      </c>
      <c r="AH442" s="285">
        <f t="shared" si="316"/>
        <v>156888.48000000001</v>
      </c>
      <c r="AI442" s="286">
        <v>0</v>
      </c>
      <c r="AJ442" s="286">
        <v>0</v>
      </c>
      <c r="AK442" s="286">
        <v>0</v>
      </c>
      <c r="AL442" s="285">
        <f t="shared" si="300"/>
        <v>513273.07999999996</v>
      </c>
      <c r="AM442" s="285">
        <f t="shared" si="301"/>
        <v>513272</v>
      </c>
      <c r="AN442" s="289">
        <f t="shared" si="317"/>
        <v>0.99999800000000005</v>
      </c>
      <c r="AO442" s="290">
        <f t="shared" si="302"/>
        <v>-4963</v>
      </c>
      <c r="AP442" s="290">
        <f t="shared" si="303"/>
        <v>0</v>
      </c>
      <c r="AQ442" s="290">
        <f t="shared" si="304"/>
        <v>44708</v>
      </c>
      <c r="AR442" s="290">
        <f t="shared" si="305"/>
        <v>0</v>
      </c>
      <c r="AS442" s="290">
        <f t="shared" si="306"/>
        <v>0</v>
      </c>
      <c r="AT442" s="290">
        <f t="shared" si="307"/>
        <v>553017</v>
      </c>
      <c r="AU442" s="291">
        <f t="shared" si="308"/>
        <v>553018.07999999996</v>
      </c>
      <c r="AV442" s="291">
        <f t="shared" si="327"/>
        <v>-1.08</v>
      </c>
      <c r="AW442" s="292">
        <f t="shared" si="309"/>
        <v>259665.25</v>
      </c>
      <c r="AX442" s="293">
        <f t="shared" si="310"/>
        <v>96719.349999999977</v>
      </c>
      <c r="BC442" s="276">
        <f>IF(BI442=1,IF(BC441=MiscData!$F$1,EOMONTH(BC441,-11),EOMONTH(BC441,1)),BC441)</f>
        <v>42004</v>
      </c>
      <c r="BD442" s="275" t="str">
        <f t="shared" si="319"/>
        <v>20140101LGINE599</v>
      </c>
      <c r="BE442" s="294" t="str">
        <f t="shared" si="320"/>
        <v>20140101FK</v>
      </c>
      <c r="BF442">
        <f>MiscData!$X$5</f>
        <v>20140101</v>
      </c>
      <c r="BI442" s="265">
        <f>IF(BI441+1&gt;MiscData!$Z$42,1,BI441+1)</f>
        <v>21</v>
      </c>
      <c r="BJ442" s="265" t="str">
        <f>VLOOKUP(BI442,MiscData!$Z$5:$AB$46,2,FALSE)</f>
        <v>LGINE599</v>
      </c>
      <c r="BK442" s="265" t="str">
        <f>VLOOKUP(BI442,MiscData!$Z$5:$AB$46,3,FALSE)</f>
        <v>FK</v>
      </c>
    </row>
    <row r="443" spans="1:63" hidden="1">
      <c r="A443" s="275">
        <v>420</v>
      </c>
      <c r="B443" s="276" t="str">
        <f t="shared" si="311"/>
        <v>Dec 2014</v>
      </c>
      <c r="C443" s="277" t="str">
        <f t="shared" si="321"/>
        <v>RTS</v>
      </c>
      <c r="D443" s="277" t="str">
        <f t="shared" si="312"/>
        <v>LGINE643</v>
      </c>
      <c r="E443" s="278">
        <f t="shared" si="281"/>
        <v>12</v>
      </c>
      <c r="F443" s="279">
        <v>0</v>
      </c>
      <c r="G443" s="278">
        <f t="shared" si="282"/>
        <v>0</v>
      </c>
      <c r="H443" s="278">
        <f t="shared" si="283"/>
        <v>0</v>
      </c>
      <c r="I443" s="278">
        <f t="shared" si="284"/>
        <v>0</v>
      </c>
      <c r="J443" s="278">
        <f t="shared" si="285"/>
        <v>73594949</v>
      </c>
      <c r="K443" s="280">
        <v>0</v>
      </c>
      <c r="L443" s="281">
        <f t="shared" si="286"/>
        <v>151008.25</v>
      </c>
      <c r="M443" s="281">
        <f t="shared" si="287"/>
        <v>143512.98000000001</v>
      </c>
      <c r="N443" s="281">
        <f t="shared" si="288"/>
        <v>97153.77</v>
      </c>
      <c r="O443" s="282">
        <v>0</v>
      </c>
      <c r="P443" s="282">
        <v>0</v>
      </c>
      <c r="Q443" s="282">
        <v>0</v>
      </c>
      <c r="R443" s="283">
        <f t="shared" si="289"/>
        <v>750</v>
      </c>
      <c r="S443" s="284">
        <f t="shared" si="325"/>
        <v>3.61E-2</v>
      </c>
      <c r="T443" s="284">
        <f t="shared" si="290"/>
        <v>0</v>
      </c>
      <c r="U443" s="284">
        <f t="shared" si="291"/>
        <v>0</v>
      </c>
      <c r="V443" s="284">
        <f t="shared" si="292"/>
        <v>2.725E-2</v>
      </c>
      <c r="W443" s="283">
        <f t="shared" si="293"/>
        <v>2.75</v>
      </c>
      <c r="X443" s="283">
        <f t="shared" si="294"/>
        <v>3</v>
      </c>
      <c r="Y443" s="283">
        <f t="shared" si="295"/>
        <v>4.5500000000000007</v>
      </c>
      <c r="Z443" s="285">
        <f t="shared" si="296"/>
        <v>9000</v>
      </c>
      <c r="AA443" s="285">
        <f t="shared" si="297"/>
        <v>2656777.66</v>
      </c>
      <c r="AB443" s="285">
        <f t="shared" si="313"/>
        <v>415272.69</v>
      </c>
      <c r="AC443" s="285">
        <f t="shared" si="314"/>
        <v>430538.94</v>
      </c>
      <c r="AD443" s="285">
        <f t="shared" si="315"/>
        <v>442049.65</v>
      </c>
      <c r="AE443" s="286">
        <v>0</v>
      </c>
      <c r="AF443" s="287">
        <f t="shared" si="298"/>
        <v>0</v>
      </c>
      <c r="AG443" s="288">
        <f t="shared" si="299"/>
        <v>0</v>
      </c>
      <c r="AH443" s="285">
        <f t="shared" si="316"/>
        <v>1287861.28</v>
      </c>
      <c r="AI443" s="286">
        <v>0</v>
      </c>
      <c r="AJ443" s="286">
        <v>0</v>
      </c>
      <c r="AK443" s="286">
        <v>0</v>
      </c>
      <c r="AL443" s="285">
        <f t="shared" si="300"/>
        <v>3953638.94</v>
      </c>
      <c r="AM443" s="285">
        <f t="shared" si="301"/>
        <v>3953638</v>
      </c>
      <c r="AN443" s="289">
        <f t="shared" si="317"/>
        <v>1</v>
      </c>
      <c r="AO443" s="290">
        <f t="shared" si="302"/>
        <v>-38332</v>
      </c>
      <c r="AP443" s="290">
        <f t="shared" si="303"/>
        <v>0</v>
      </c>
      <c r="AQ443" s="290">
        <f t="shared" si="304"/>
        <v>345289</v>
      </c>
      <c r="AR443" s="290">
        <f t="shared" si="305"/>
        <v>0</v>
      </c>
      <c r="AS443" s="290">
        <f t="shared" si="306"/>
        <v>0</v>
      </c>
      <c r="AT443" s="290">
        <f t="shared" si="307"/>
        <v>4260595</v>
      </c>
      <c r="AU443" s="291">
        <f t="shared" si="308"/>
        <v>4260595.9399999995</v>
      </c>
      <c r="AV443" s="291">
        <f t="shared" si="327"/>
        <v>-0.94</v>
      </c>
      <c r="AW443" s="292">
        <f t="shared" si="309"/>
        <v>2005462.36</v>
      </c>
      <c r="AX443" s="293">
        <f t="shared" si="310"/>
        <v>651315.30000000005</v>
      </c>
      <c r="BC443" s="276">
        <f>IF(BI443=1,IF(BC442=MiscData!$F$1,EOMONTH(BC442,-11),EOMONTH(BC442,1)),BC442)</f>
        <v>42004</v>
      </c>
      <c r="BD443" s="275" t="str">
        <f t="shared" si="319"/>
        <v>20140101LGINE643</v>
      </c>
      <c r="BE443" s="294" t="str">
        <f t="shared" si="320"/>
        <v>20140101RTS</v>
      </c>
      <c r="BF443">
        <f>MiscData!$X$5</f>
        <v>20140101</v>
      </c>
      <c r="BI443" s="265">
        <f>IF(BI442+1&gt;MiscData!$Z$42,1,BI442+1)</f>
        <v>22</v>
      </c>
      <c r="BJ443" s="265" t="str">
        <f>VLOOKUP(BI443,MiscData!$Z$5:$AB$46,2,FALSE)</f>
        <v>LGINE643</v>
      </c>
      <c r="BK443" s="265" t="str">
        <f>VLOOKUP(BI443,MiscData!$Z$5:$AB$46,3,FALSE)</f>
        <v>RTS</v>
      </c>
    </row>
    <row r="444" spans="1:63" hidden="1">
      <c r="A444" s="275">
        <v>421</v>
      </c>
      <c r="B444" s="276" t="str">
        <f t="shared" si="311"/>
        <v>Dec 2014</v>
      </c>
      <c r="C444" s="277" t="str">
        <f t="shared" si="321"/>
        <v>PSS</v>
      </c>
      <c r="D444" s="277" t="str">
        <f t="shared" si="312"/>
        <v>LGINE661</v>
      </c>
      <c r="E444" s="278">
        <f t="shared" si="281"/>
        <v>226</v>
      </c>
      <c r="F444" s="279">
        <v>0</v>
      </c>
      <c r="G444" s="278">
        <f t="shared" si="282"/>
        <v>0</v>
      </c>
      <c r="H444" s="278">
        <f t="shared" si="283"/>
        <v>0</v>
      </c>
      <c r="I444" s="278">
        <f t="shared" si="284"/>
        <v>0</v>
      </c>
      <c r="J444" s="278">
        <f t="shared" si="285"/>
        <v>20088679</v>
      </c>
      <c r="K444" s="280">
        <v>0</v>
      </c>
      <c r="L444" s="281">
        <f t="shared" si="286"/>
        <v>0</v>
      </c>
      <c r="M444" s="281">
        <f t="shared" si="287"/>
        <v>63055.78</v>
      </c>
      <c r="N444" s="281">
        <f t="shared" si="288"/>
        <v>0</v>
      </c>
      <c r="O444" s="282">
        <v>0</v>
      </c>
      <c r="P444" s="282">
        <v>0</v>
      </c>
      <c r="Q444" s="282">
        <v>0</v>
      </c>
      <c r="R444" s="283">
        <f t="shared" si="289"/>
        <v>90</v>
      </c>
      <c r="S444" s="284">
        <f t="shared" si="325"/>
        <v>4.0599999999999997E-2</v>
      </c>
      <c r="T444" s="284">
        <f t="shared" si="290"/>
        <v>0</v>
      </c>
      <c r="U444" s="284">
        <f t="shared" si="291"/>
        <v>0</v>
      </c>
      <c r="V444" s="284">
        <f t="shared" si="292"/>
        <v>2.725E-2</v>
      </c>
      <c r="W444" s="283">
        <f t="shared" si="293"/>
        <v>0</v>
      </c>
      <c r="X444" s="283">
        <f t="shared" si="294"/>
        <v>14.010000000000002</v>
      </c>
      <c r="Y444" s="283">
        <f t="shared" si="295"/>
        <v>16.399999999999999</v>
      </c>
      <c r="Z444" s="285">
        <f t="shared" si="296"/>
        <v>20340</v>
      </c>
      <c r="AA444" s="285">
        <f t="shared" si="297"/>
        <v>815600.37</v>
      </c>
      <c r="AB444" s="285">
        <f t="shared" si="313"/>
        <v>0</v>
      </c>
      <c r="AC444" s="285">
        <f t="shared" si="314"/>
        <v>883411.48</v>
      </c>
      <c r="AD444" s="285">
        <f t="shared" si="315"/>
        <v>0</v>
      </c>
      <c r="AE444" s="286">
        <v>0</v>
      </c>
      <c r="AF444" s="287">
        <f t="shared" si="298"/>
        <v>0</v>
      </c>
      <c r="AG444" s="288">
        <f t="shared" si="299"/>
        <v>0</v>
      </c>
      <c r="AH444" s="285">
        <f t="shared" si="316"/>
        <v>883411.48</v>
      </c>
      <c r="AI444" s="286">
        <v>0</v>
      </c>
      <c r="AJ444" s="286">
        <v>0</v>
      </c>
      <c r="AK444" s="286">
        <v>0</v>
      </c>
      <c r="AL444" s="285">
        <f t="shared" si="300"/>
        <v>1719351.85</v>
      </c>
      <c r="AM444" s="285">
        <f t="shared" si="301"/>
        <v>1719351</v>
      </c>
      <c r="AN444" s="289">
        <f t="shared" si="317"/>
        <v>1</v>
      </c>
      <c r="AO444" s="290">
        <f t="shared" si="302"/>
        <v>-10463</v>
      </c>
      <c r="AP444" s="290">
        <f t="shared" si="303"/>
        <v>53313</v>
      </c>
      <c r="AQ444" s="290">
        <f t="shared" si="304"/>
        <v>94251</v>
      </c>
      <c r="AR444" s="290">
        <f t="shared" si="305"/>
        <v>0</v>
      </c>
      <c r="AS444" s="290">
        <f t="shared" si="306"/>
        <v>0</v>
      </c>
      <c r="AT444" s="290">
        <f t="shared" si="307"/>
        <v>1856452</v>
      </c>
      <c r="AU444" s="291">
        <f t="shared" si="308"/>
        <v>1856452.85</v>
      </c>
      <c r="AV444" s="291">
        <f t="shared" si="326"/>
        <v>-0.85000000009313226</v>
      </c>
      <c r="AW444" s="292">
        <f t="shared" si="309"/>
        <v>547416.5</v>
      </c>
      <c r="AX444" s="293">
        <f t="shared" si="310"/>
        <v>268183.87</v>
      </c>
      <c r="BC444" s="276">
        <f>IF(BI444=1,IF(BC443=MiscData!$F$1,EOMONTH(BC443,-11),EOMONTH(BC443,1)),BC443)</f>
        <v>42004</v>
      </c>
      <c r="BD444" s="275" t="str">
        <f t="shared" si="319"/>
        <v>20140101LGINE661</v>
      </c>
      <c r="BE444" s="294" t="str">
        <f t="shared" si="320"/>
        <v>20140101PSS</v>
      </c>
      <c r="BF444">
        <f>MiscData!$X$5</f>
        <v>20140101</v>
      </c>
      <c r="BI444" s="265">
        <f>IF(BI443+1&gt;MiscData!$Z$42,1,BI443+1)</f>
        <v>23</v>
      </c>
      <c r="BJ444" s="265" t="str">
        <f>VLOOKUP(BI444,MiscData!$Z$5:$AB$46,2,FALSE)</f>
        <v>LGINE661</v>
      </c>
      <c r="BK444" s="265" t="str">
        <f>VLOOKUP(BI444,MiscData!$Z$5:$AB$46,3,FALSE)</f>
        <v>PSS</v>
      </c>
    </row>
    <row r="445" spans="1:63" hidden="1">
      <c r="A445" s="275">
        <v>422</v>
      </c>
      <c r="B445" s="276" t="str">
        <f t="shared" si="311"/>
        <v>Dec 2014</v>
      </c>
      <c r="C445" s="277" t="str">
        <f t="shared" si="321"/>
        <v>PSP</v>
      </c>
      <c r="D445" s="277" t="str">
        <f t="shared" si="312"/>
        <v>LGINE663</v>
      </c>
      <c r="E445" s="278">
        <f t="shared" si="281"/>
        <v>21</v>
      </c>
      <c r="F445" s="279">
        <v>0</v>
      </c>
      <c r="G445" s="278">
        <f t="shared" si="282"/>
        <v>0</v>
      </c>
      <c r="H445" s="278">
        <f t="shared" si="283"/>
        <v>0</v>
      </c>
      <c r="I445" s="278">
        <f t="shared" si="284"/>
        <v>0</v>
      </c>
      <c r="J445" s="278">
        <f t="shared" si="285"/>
        <v>1040565</v>
      </c>
      <c r="K445" s="280">
        <v>0</v>
      </c>
      <c r="L445" s="281">
        <f t="shared" si="286"/>
        <v>0</v>
      </c>
      <c r="M445" s="281">
        <f t="shared" si="287"/>
        <v>3773.38</v>
      </c>
      <c r="N445" s="281">
        <f t="shared" si="288"/>
        <v>0</v>
      </c>
      <c r="O445" s="282">
        <v>0</v>
      </c>
      <c r="P445" s="282">
        <v>0</v>
      </c>
      <c r="Q445" s="282">
        <v>0</v>
      </c>
      <c r="R445" s="283">
        <f t="shared" si="289"/>
        <v>170</v>
      </c>
      <c r="S445" s="284">
        <f t="shared" si="325"/>
        <v>3.9260000000000003E-2</v>
      </c>
      <c r="T445" s="284">
        <f t="shared" si="290"/>
        <v>0</v>
      </c>
      <c r="U445" s="284">
        <f t="shared" si="291"/>
        <v>0</v>
      </c>
      <c r="V445" s="284">
        <f t="shared" si="292"/>
        <v>2.725E-2</v>
      </c>
      <c r="W445" s="283">
        <f t="shared" si="293"/>
        <v>0</v>
      </c>
      <c r="X445" s="283">
        <f t="shared" si="294"/>
        <v>11.660000000000002</v>
      </c>
      <c r="Y445" s="283">
        <f t="shared" si="295"/>
        <v>13.950000000000001</v>
      </c>
      <c r="Z445" s="285">
        <f t="shared" si="296"/>
        <v>3570</v>
      </c>
      <c r="AA445" s="285">
        <f t="shared" si="297"/>
        <v>40852.58</v>
      </c>
      <c r="AB445" s="285">
        <f t="shared" si="313"/>
        <v>0</v>
      </c>
      <c r="AC445" s="285">
        <f t="shared" si="314"/>
        <v>43997.61</v>
      </c>
      <c r="AD445" s="285">
        <f t="shared" si="315"/>
        <v>0</v>
      </c>
      <c r="AE445" s="286">
        <v>0</v>
      </c>
      <c r="AF445" s="287">
        <f t="shared" si="298"/>
        <v>0</v>
      </c>
      <c r="AG445" s="288">
        <f t="shared" si="299"/>
        <v>0</v>
      </c>
      <c r="AH445" s="285">
        <f t="shared" si="316"/>
        <v>43997.61</v>
      </c>
      <c r="AI445" s="286">
        <v>0</v>
      </c>
      <c r="AJ445" s="286">
        <v>0</v>
      </c>
      <c r="AK445" s="286">
        <v>0</v>
      </c>
      <c r="AL445" s="285">
        <f t="shared" si="300"/>
        <v>88420.19</v>
      </c>
      <c r="AM445" s="285">
        <f t="shared" si="301"/>
        <v>88420</v>
      </c>
      <c r="AN445" s="289">
        <f t="shared" si="317"/>
        <v>0.99999800000000005</v>
      </c>
      <c r="AO445" s="290">
        <f t="shared" si="302"/>
        <v>-542</v>
      </c>
      <c r="AP445" s="290">
        <f t="shared" si="303"/>
        <v>2762</v>
      </c>
      <c r="AQ445" s="290">
        <f t="shared" si="304"/>
        <v>4882</v>
      </c>
      <c r="AR445" s="290">
        <f t="shared" si="305"/>
        <v>0</v>
      </c>
      <c r="AS445" s="290">
        <f t="shared" si="306"/>
        <v>0</v>
      </c>
      <c r="AT445" s="290">
        <f t="shared" si="307"/>
        <v>95522</v>
      </c>
      <c r="AU445" s="291">
        <f t="shared" si="308"/>
        <v>95522.19</v>
      </c>
      <c r="AV445" s="291">
        <f t="shared" si="326"/>
        <v>-0.19000000000232831</v>
      </c>
      <c r="AW445" s="292">
        <f t="shared" si="309"/>
        <v>28355.4</v>
      </c>
      <c r="AX445" s="293">
        <f t="shared" si="310"/>
        <v>12497.18</v>
      </c>
      <c r="BC445" s="276">
        <f>IF(BI445=1,IF(BC444=MiscData!$F$1,EOMONTH(BC444,-11),EOMONTH(BC444,1)),BC444)</f>
        <v>42004</v>
      </c>
      <c r="BD445" s="275" t="str">
        <f t="shared" si="319"/>
        <v>20140101LGINE663</v>
      </c>
      <c r="BE445" s="294" t="str">
        <f t="shared" si="320"/>
        <v>20140101PSP</v>
      </c>
      <c r="BF445">
        <f>MiscData!$X$5</f>
        <v>20140101</v>
      </c>
      <c r="BI445" s="265">
        <f>IF(BI444+1&gt;MiscData!$Z$42,1,BI444+1)</f>
        <v>24</v>
      </c>
      <c r="BJ445" s="265" t="str">
        <f>VLOOKUP(BI445,MiscData!$Z$5:$AB$46,2,FALSE)</f>
        <v>LGINE663</v>
      </c>
      <c r="BK445" s="265" t="str">
        <f>VLOOKUP(BI445,MiscData!$Z$5:$AB$46,3,FALSE)</f>
        <v>PSP</v>
      </c>
    </row>
    <row r="446" spans="1:63" hidden="1">
      <c r="A446" s="275">
        <v>423</v>
      </c>
      <c r="B446" s="276" t="str">
        <f t="shared" si="311"/>
        <v>Dec 2014</v>
      </c>
      <c r="C446" s="277" t="str">
        <f t="shared" si="321"/>
        <v>TODS</v>
      </c>
      <c r="D446" s="277" t="str">
        <f t="shared" si="312"/>
        <v>LGINE691</v>
      </c>
      <c r="E446" s="278">
        <f t="shared" si="281"/>
        <v>86</v>
      </c>
      <c r="F446" s="279">
        <v>0</v>
      </c>
      <c r="G446" s="278">
        <f t="shared" si="282"/>
        <v>0</v>
      </c>
      <c r="H446" s="278">
        <f t="shared" si="283"/>
        <v>0</v>
      </c>
      <c r="I446" s="278">
        <f t="shared" si="284"/>
        <v>0</v>
      </c>
      <c r="J446" s="278">
        <f t="shared" si="285"/>
        <v>18711493</v>
      </c>
      <c r="K446" s="280">
        <v>0</v>
      </c>
      <c r="L446" s="281">
        <f t="shared" si="286"/>
        <v>47262.71</v>
      </c>
      <c r="M446" s="281">
        <f t="shared" si="287"/>
        <v>43849.279999999999</v>
      </c>
      <c r="N446" s="281">
        <f t="shared" si="288"/>
        <v>42600.959999999999</v>
      </c>
      <c r="O446" s="282">
        <v>0</v>
      </c>
      <c r="P446" s="282">
        <v>0</v>
      </c>
      <c r="Q446" s="282">
        <v>0</v>
      </c>
      <c r="R446" s="283">
        <f t="shared" si="289"/>
        <v>200</v>
      </c>
      <c r="S446" s="284">
        <f t="shared" si="325"/>
        <v>3.9899999999999998E-2</v>
      </c>
      <c r="T446" s="284">
        <f t="shared" si="290"/>
        <v>0</v>
      </c>
      <c r="U446" s="284">
        <f t="shared" si="291"/>
        <v>0</v>
      </c>
      <c r="V446" s="284">
        <f t="shared" si="292"/>
        <v>2.725E-2</v>
      </c>
      <c r="W446" s="283">
        <f t="shared" si="293"/>
        <v>4</v>
      </c>
      <c r="X446" s="283">
        <f t="shared" si="294"/>
        <v>4.5100000000000007</v>
      </c>
      <c r="Y446" s="283">
        <f t="shared" si="295"/>
        <v>6.11</v>
      </c>
      <c r="Z446" s="285">
        <f t="shared" si="296"/>
        <v>17200</v>
      </c>
      <c r="AA446" s="285">
        <f t="shared" si="297"/>
        <v>746588.57</v>
      </c>
      <c r="AB446" s="285">
        <f t="shared" si="313"/>
        <v>189050.84</v>
      </c>
      <c r="AC446" s="285">
        <f t="shared" si="314"/>
        <v>197760.25</v>
      </c>
      <c r="AD446" s="285">
        <f t="shared" si="315"/>
        <v>260291.87</v>
      </c>
      <c r="AE446" s="286">
        <v>0</v>
      </c>
      <c r="AF446" s="287">
        <f t="shared" si="298"/>
        <v>0</v>
      </c>
      <c r="AG446" s="288">
        <f t="shared" si="299"/>
        <v>0</v>
      </c>
      <c r="AH446" s="285">
        <f t="shared" si="316"/>
        <v>647102.96</v>
      </c>
      <c r="AI446" s="286">
        <v>0</v>
      </c>
      <c r="AJ446" s="286">
        <v>0</v>
      </c>
      <c r="AK446" s="286">
        <v>0</v>
      </c>
      <c r="AL446" s="285">
        <f t="shared" si="300"/>
        <v>1410891.5299999998</v>
      </c>
      <c r="AM446" s="285">
        <f t="shared" si="301"/>
        <v>1410891</v>
      </c>
      <c r="AN446" s="289">
        <f t="shared" si="317"/>
        <v>1</v>
      </c>
      <c r="AO446" s="290">
        <f t="shared" si="302"/>
        <v>-9746</v>
      </c>
      <c r="AP446" s="290">
        <f t="shared" si="303"/>
        <v>49658</v>
      </c>
      <c r="AQ446" s="290">
        <f t="shared" si="304"/>
        <v>87790</v>
      </c>
      <c r="AR446" s="290">
        <f t="shared" si="305"/>
        <v>0</v>
      </c>
      <c r="AS446" s="290">
        <f t="shared" si="306"/>
        <v>0</v>
      </c>
      <c r="AT446" s="290">
        <f t="shared" si="307"/>
        <v>1538593</v>
      </c>
      <c r="AU446" s="291">
        <f t="shared" si="308"/>
        <v>1538593.5299999998</v>
      </c>
      <c r="AV446" s="291">
        <f t="shared" si="326"/>
        <v>-0.52999999979510903</v>
      </c>
      <c r="AW446" s="292">
        <f t="shared" si="309"/>
        <v>509888.18</v>
      </c>
      <c r="AX446" s="293">
        <f t="shared" si="310"/>
        <v>236700.38999999996</v>
      </c>
      <c r="BC446" s="276">
        <f>IF(BI446=1,IF(BC445=MiscData!$F$1,EOMONTH(BC445,-11),EOMONTH(BC445,1)),BC445)</f>
        <v>42004</v>
      </c>
      <c r="BD446" s="275" t="str">
        <f t="shared" si="319"/>
        <v>20140101LGINE691</v>
      </c>
      <c r="BE446" s="294" t="str">
        <f t="shared" si="320"/>
        <v>20140101TODS</v>
      </c>
      <c r="BF446">
        <f>MiscData!$X$5</f>
        <v>20140101</v>
      </c>
      <c r="BI446" s="265">
        <f>IF(BI445+1&gt;MiscData!$Z$42,1,BI445+1)</f>
        <v>25</v>
      </c>
      <c r="BJ446" s="265" t="str">
        <f>VLOOKUP(BI446,MiscData!$Z$5:$AB$46,2,FALSE)</f>
        <v>LGINE691</v>
      </c>
      <c r="BK446" s="265" t="str">
        <f>VLOOKUP(BI446,MiscData!$Z$5:$AB$46,3,FALSE)</f>
        <v>TODS</v>
      </c>
    </row>
    <row r="447" spans="1:63" hidden="1">
      <c r="A447" s="275">
        <v>424</v>
      </c>
      <c r="B447" s="276" t="str">
        <f t="shared" si="311"/>
        <v>Dec 2014</v>
      </c>
      <c r="C447" s="277" t="str">
        <f t="shared" si="321"/>
        <v>ITODP</v>
      </c>
      <c r="D447" s="277" t="str">
        <f t="shared" si="312"/>
        <v>LGINE693</v>
      </c>
      <c r="E447" s="278">
        <f t="shared" si="281"/>
        <v>66</v>
      </c>
      <c r="F447" s="279">
        <v>0</v>
      </c>
      <c r="G447" s="278">
        <f t="shared" si="282"/>
        <v>0</v>
      </c>
      <c r="H447" s="278">
        <f t="shared" si="283"/>
        <v>0</v>
      </c>
      <c r="I447" s="278">
        <f t="shared" si="284"/>
        <v>0</v>
      </c>
      <c r="J447" s="278">
        <f t="shared" si="285"/>
        <v>131214326</v>
      </c>
      <c r="K447" s="280">
        <v>0</v>
      </c>
      <c r="L447" s="281">
        <f t="shared" si="286"/>
        <v>322242.82</v>
      </c>
      <c r="M447" s="281">
        <f t="shared" si="287"/>
        <v>292551.93</v>
      </c>
      <c r="N447" s="281">
        <f t="shared" si="288"/>
        <v>288665.71999999997</v>
      </c>
      <c r="O447" s="282">
        <v>0</v>
      </c>
      <c r="P447" s="282">
        <v>0</v>
      </c>
      <c r="Q447" s="282">
        <v>0</v>
      </c>
      <c r="R447" s="283">
        <f t="shared" si="289"/>
        <v>300</v>
      </c>
      <c r="S447" s="284">
        <f t="shared" si="325"/>
        <v>3.5380000000000002E-2</v>
      </c>
      <c r="T447" s="284">
        <f t="shared" si="290"/>
        <v>0</v>
      </c>
      <c r="U447" s="284">
        <f t="shared" si="291"/>
        <v>0</v>
      </c>
      <c r="V447" s="284">
        <f t="shared" si="292"/>
        <v>2.725E-2</v>
      </c>
      <c r="W447" s="283">
        <f t="shared" si="293"/>
        <v>3.6300000000000003</v>
      </c>
      <c r="X447" s="283">
        <f t="shared" si="294"/>
        <v>3.7900000000000005</v>
      </c>
      <c r="Y447" s="283">
        <f t="shared" si="295"/>
        <v>4.63</v>
      </c>
      <c r="Z447" s="285">
        <f t="shared" si="296"/>
        <v>19800</v>
      </c>
      <c r="AA447" s="285">
        <f t="shared" si="297"/>
        <v>4642362.8499999996</v>
      </c>
      <c r="AB447" s="285">
        <f t="shared" si="313"/>
        <v>1169741.44</v>
      </c>
      <c r="AC447" s="285">
        <f t="shared" si="314"/>
        <v>1108771.81</v>
      </c>
      <c r="AD447" s="285">
        <f t="shared" si="315"/>
        <v>1336522.28</v>
      </c>
      <c r="AE447" s="286">
        <v>0</v>
      </c>
      <c r="AF447" s="287">
        <f t="shared" si="298"/>
        <v>0</v>
      </c>
      <c r="AG447" s="288">
        <f t="shared" si="299"/>
        <v>0</v>
      </c>
      <c r="AH447" s="285">
        <f t="shared" si="316"/>
        <v>3615035.5300000003</v>
      </c>
      <c r="AI447" s="286">
        <v>0</v>
      </c>
      <c r="AJ447" s="286">
        <v>0</v>
      </c>
      <c r="AK447" s="286">
        <v>0</v>
      </c>
      <c r="AL447" s="285">
        <f t="shared" si="300"/>
        <v>8277198.3799999999</v>
      </c>
      <c r="AM447" s="285">
        <f t="shared" si="301"/>
        <v>8277198</v>
      </c>
      <c r="AN447" s="289">
        <f t="shared" si="317"/>
        <v>1</v>
      </c>
      <c r="AO447" s="290">
        <f t="shared" si="302"/>
        <v>-68344</v>
      </c>
      <c r="AP447" s="290">
        <f t="shared" si="303"/>
        <v>348226</v>
      </c>
      <c r="AQ447" s="290">
        <f t="shared" si="304"/>
        <v>615625</v>
      </c>
      <c r="AR447" s="290">
        <f t="shared" si="305"/>
        <v>0</v>
      </c>
      <c r="AS447" s="290">
        <f t="shared" si="306"/>
        <v>0</v>
      </c>
      <c r="AT447" s="290">
        <f t="shared" si="307"/>
        <v>9172705</v>
      </c>
      <c r="AU447" s="291">
        <f t="shared" si="308"/>
        <v>9172705.379999999</v>
      </c>
      <c r="AV447" s="291">
        <f t="shared" si="326"/>
        <v>-0.37999999895691872</v>
      </c>
      <c r="AW447" s="292">
        <f t="shared" si="309"/>
        <v>3575590.38</v>
      </c>
      <c r="AX447" s="293">
        <f t="shared" si="310"/>
        <v>1066772.4699999997</v>
      </c>
      <c r="BC447" s="276">
        <f>IF(BI447=1,IF(BC434=MiscData!$F$1,EOMONTH(BC434,-11),EOMONTH(BC434,1)),BC434)</f>
        <v>42004</v>
      </c>
      <c r="BD447" s="275" t="str">
        <f t="shared" si="319"/>
        <v>20140101LGINE693</v>
      </c>
      <c r="BE447" s="294" t="str">
        <f t="shared" si="320"/>
        <v>20140101ITODP</v>
      </c>
      <c r="BF447">
        <f>MiscData!$X$5</f>
        <v>20140101</v>
      </c>
      <c r="BI447" s="265">
        <f>IF(BI446+1&gt;MiscData!$Z$42,1,BI446+1)</f>
        <v>26</v>
      </c>
      <c r="BJ447" s="265" t="str">
        <f>VLOOKUP(BI447,MiscData!$Z$5:$AB$46,2,FALSE)</f>
        <v>LGINE693</v>
      </c>
      <c r="BK447" s="265" t="str">
        <f>VLOOKUP(BI447,MiscData!$Z$5:$AB$46,3,FALSE)</f>
        <v>ITODP</v>
      </c>
    </row>
    <row r="448" spans="1:63" hidden="1">
      <c r="A448" s="275">
        <v>425</v>
      </c>
      <c r="B448" s="276" t="str">
        <f t="shared" ref="B448" si="328">TEXT(BC448,"mmm yyyy")</f>
        <v>Dec 2014</v>
      </c>
      <c r="C448" s="277" t="str">
        <f t="shared" ref="C448" si="329">BK448</f>
        <v>ITODP</v>
      </c>
      <c r="D448" s="277" t="str">
        <f t="shared" ref="D448" si="330">BJ448</f>
        <v>LGINE694</v>
      </c>
      <c r="E448" s="278">
        <f t="shared" si="281"/>
        <v>0</v>
      </c>
      <c r="F448" s="279">
        <v>0</v>
      </c>
      <c r="G448" s="278">
        <f t="shared" si="282"/>
        <v>0</v>
      </c>
      <c r="H448" s="278">
        <f t="shared" si="283"/>
        <v>0</v>
      </c>
      <c r="I448" s="278">
        <f t="shared" si="284"/>
        <v>0</v>
      </c>
      <c r="J448" s="278">
        <f t="shared" si="285"/>
        <v>0</v>
      </c>
      <c r="K448" s="280">
        <v>0</v>
      </c>
      <c r="L448" s="281">
        <f t="shared" si="286"/>
        <v>0</v>
      </c>
      <c r="M448" s="281">
        <f t="shared" si="287"/>
        <v>0</v>
      </c>
      <c r="N448" s="281">
        <f t="shared" si="288"/>
        <v>0</v>
      </c>
      <c r="O448" s="282">
        <v>0</v>
      </c>
      <c r="P448" s="282">
        <v>0</v>
      </c>
      <c r="Q448" s="282">
        <v>0</v>
      </c>
      <c r="R448" s="283">
        <f t="shared" ref="R448" si="331">SUMIF(L_Rates_Tariff_Rate_Category,BD448,L_Rates_BSC)</f>
        <v>300</v>
      </c>
      <c r="S448" s="284">
        <f t="shared" si="325"/>
        <v>3.5380000000000002E-2</v>
      </c>
      <c r="T448" s="284">
        <f t="shared" si="290"/>
        <v>0</v>
      </c>
      <c r="U448" s="284">
        <f t="shared" si="291"/>
        <v>0</v>
      </c>
      <c r="V448" s="284">
        <f t="shared" si="292"/>
        <v>2.725E-2</v>
      </c>
      <c r="W448" s="283">
        <f t="shared" si="293"/>
        <v>3.6300000000000003</v>
      </c>
      <c r="X448" s="283">
        <f t="shared" si="294"/>
        <v>3.7900000000000005</v>
      </c>
      <c r="Y448" s="283">
        <f t="shared" si="295"/>
        <v>4.63</v>
      </c>
      <c r="Z448" s="285">
        <f t="shared" si="296"/>
        <v>0</v>
      </c>
      <c r="AA448" s="285">
        <f t="shared" si="297"/>
        <v>0</v>
      </c>
      <c r="AB448" s="285">
        <f t="shared" si="313"/>
        <v>0</v>
      </c>
      <c r="AC448" s="285">
        <f t="shared" si="314"/>
        <v>0</v>
      </c>
      <c r="AD448" s="285">
        <f t="shared" si="315"/>
        <v>0</v>
      </c>
      <c r="AE448" s="286">
        <v>0</v>
      </c>
      <c r="AF448" s="287">
        <f t="shared" si="298"/>
        <v>0</v>
      </c>
      <c r="AG448" s="288">
        <f t="shared" si="299"/>
        <v>0</v>
      </c>
      <c r="AH448" s="285">
        <f t="shared" ref="AH448" si="332">SUM(AB448:AG448)</f>
        <v>0</v>
      </c>
      <c r="AI448" s="286">
        <v>0</v>
      </c>
      <c r="AJ448" s="286">
        <v>0</v>
      </c>
      <c r="AK448" s="286">
        <v>0</v>
      </c>
      <c r="AL448" s="285">
        <f t="shared" si="300"/>
        <v>0</v>
      </c>
      <c r="AM448" s="285">
        <f t="shared" ref="AM448" si="333">AT448-SUM(AO448:AS448)</f>
        <v>0</v>
      </c>
      <c r="AN448" s="289">
        <f t="shared" ref="AN448" si="334">IF(AND(AL448=0,AM448=0),1,IF(AL448=0,0,ROUND(AM448/AL448,6)))</f>
        <v>1</v>
      </c>
      <c r="AO448" s="290">
        <f t="shared" si="302"/>
        <v>0</v>
      </c>
      <c r="AP448" s="290">
        <f t="shared" si="303"/>
        <v>0</v>
      </c>
      <c r="AQ448" s="290">
        <f t="shared" si="304"/>
        <v>0</v>
      </c>
      <c r="AR448" s="290">
        <f t="shared" si="305"/>
        <v>0</v>
      </c>
      <c r="AS448" s="290">
        <f t="shared" si="306"/>
        <v>0</v>
      </c>
      <c r="AT448" s="290">
        <f t="shared" si="307"/>
        <v>0</v>
      </c>
      <c r="AU448" s="291">
        <f t="shared" ref="AU448" si="335">SUM(AL448,AO448:AS448)</f>
        <v>0</v>
      </c>
      <c r="AV448" s="291">
        <f t="shared" ref="AV448" si="336">AT448-AU448</f>
        <v>0</v>
      </c>
      <c r="AW448" s="292">
        <f t="shared" si="309"/>
        <v>0</v>
      </c>
      <c r="AX448" s="293">
        <f t="shared" si="310"/>
        <v>0</v>
      </c>
      <c r="BC448" s="276">
        <f>IF(BI448=1,IF(BC435=MiscData!$F$1,EOMONTH(BC435,-11),EOMONTH(BC435,1)),BC435)</f>
        <v>42004</v>
      </c>
      <c r="BD448" s="275" t="str">
        <f t="shared" ref="BD448" si="337">CONCATENATE(BF448&amp;BJ448)</f>
        <v>20140101LGINE694</v>
      </c>
      <c r="BE448" s="294" t="str">
        <f t="shared" ref="BE448" si="338">CONCATENATE(BF448&amp;BK448)</f>
        <v>20140101ITODP</v>
      </c>
      <c r="BF448">
        <f>MiscData!$X$5</f>
        <v>20140101</v>
      </c>
      <c r="BI448" s="265">
        <f>IF(BI447+1&gt;MiscData!$Z$42,1,BI447+1)</f>
        <v>27</v>
      </c>
      <c r="BJ448" s="265" t="str">
        <f>VLOOKUP(BI448,MiscData!$Z$5:$AB$46,2,FALSE)</f>
        <v>LGINE694</v>
      </c>
      <c r="BK448" s="265" t="str">
        <f>VLOOKUP(BI448,MiscData!$Z$5:$AB$46,3,FALSE)</f>
        <v>ITODP</v>
      </c>
    </row>
    <row r="449" spans="1:63" hidden="1">
      <c r="A449" s="275">
        <v>426</v>
      </c>
      <c r="B449" s="276" t="str">
        <f t="shared" si="311"/>
        <v>Dec 2014</v>
      </c>
      <c r="C449" s="277" t="str">
        <f t="shared" si="321"/>
        <v>LE</v>
      </c>
      <c r="D449" s="277" t="str">
        <f t="shared" si="312"/>
        <v>LGMLE570</v>
      </c>
      <c r="E449" s="278">
        <f t="shared" si="281"/>
        <v>0</v>
      </c>
      <c r="F449" s="279">
        <v>0</v>
      </c>
      <c r="G449" s="278">
        <f t="shared" si="282"/>
        <v>0</v>
      </c>
      <c r="H449" s="278">
        <f t="shared" si="283"/>
        <v>0</v>
      </c>
      <c r="I449" s="278">
        <f t="shared" si="284"/>
        <v>0</v>
      </c>
      <c r="J449" s="278">
        <f t="shared" si="285"/>
        <v>0</v>
      </c>
      <c r="K449" s="280">
        <v>0</v>
      </c>
      <c r="L449" s="281">
        <f t="shared" si="286"/>
        <v>0</v>
      </c>
      <c r="M449" s="281">
        <f t="shared" si="287"/>
        <v>0</v>
      </c>
      <c r="N449" s="281">
        <f t="shared" si="288"/>
        <v>0</v>
      </c>
      <c r="O449" s="282">
        <v>0</v>
      </c>
      <c r="P449" s="282">
        <v>0</v>
      </c>
      <c r="Q449" s="282">
        <v>0</v>
      </c>
      <c r="R449" s="283">
        <f t="shared" si="289"/>
        <v>0</v>
      </c>
      <c r="S449" s="284">
        <f t="shared" si="325"/>
        <v>6.4610000000000001E-2</v>
      </c>
      <c r="T449" s="284">
        <f t="shared" si="290"/>
        <v>0</v>
      </c>
      <c r="U449" s="284">
        <f t="shared" si="291"/>
        <v>0</v>
      </c>
      <c r="V449" s="284">
        <f t="shared" si="292"/>
        <v>2.725E-2</v>
      </c>
      <c r="W449" s="283">
        <f t="shared" si="293"/>
        <v>0</v>
      </c>
      <c r="X449" s="283">
        <f t="shared" si="294"/>
        <v>0</v>
      </c>
      <c r="Y449" s="283">
        <f t="shared" si="295"/>
        <v>0</v>
      </c>
      <c r="Z449" s="285">
        <f t="shared" si="296"/>
        <v>0</v>
      </c>
      <c r="AA449" s="285">
        <f t="shared" si="297"/>
        <v>0</v>
      </c>
      <c r="AB449" s="285">
        <f t="shared" si="313"/>
        <v>0</v>
      </c>
      <c r="AC449" s="285">
        <f t="shared" si="314"/>
        <v>0</v>
      </c>
      <c r="AD449" s="285">
        <f t="shared" si="315"/>
        <v>0</v>
      </c>
      <c r="AE449" s="286">
        <v>0</v>
      </c>
      <c r="AF449" s="287">
        <f t="shared" si="298"/>
        <v>0</v>
      </c>
      <c r="AG449" s="288">
        <f t="shared" si="299"/>
        <v>0</v>
      </c>
      <c r="AH449" s="285">
        <f t="shared" si="316"/>
        <v>0</v>
      </c>
      <c r="AI449" s="286">
        <v>0</v>
      </c>
      <c r="AJ449" s="286">
        <v>0</v>
      </c>
      <c r="AK449" s="286">
        <v>0</v>
      </c>
      <c r="AL449" s="285">
        <f t="shared" si="300"/>
        <v>0</v>
      </c>
      <c r="AM449" s="285">
        <f t="shared" si="301"/>
        <v>0</v>
      </c>
      <c r="AN449" s="289">
        <f t="shared" si="317"/>
        <v>1</v>
      </c>
      <c r="AO449" s="290">
        <f t="shared" si="302"/>
        <v>0</v>
      </c>
      <c r="AP449" s="290">
        <f t="shared" si="303"/>
        <v>0</v>
      </c>
      <c r="AQ449" s="290">
        <f t="shared" si="304"/>
        <v>0</v>
      </c>
      <c r="AR449" s="290">
        <f t="shared" si="305"/>
        <v>0</v>
      </c>
      <c r="AS449" s="290">
        <f t="shared" si="306"/>
        <v>0</v>
      </c>
      <c r="AT449" s="290">
        <f t="shared" si="307"/>
        <v>0</v>
      </c>
      <c r="AU449" s="291">
        <f t="shared" si="308"/>
        <v>0</v>
      </c>
      <c r="AV449" s="291">
        <f t="shared" si="326"/>
        <v>0</v>
      </c>
      <c r="AW449" s="292">
        <f t="shared" si="309"/>
        <v>0</v>
      </c>
      <c r="AX449" s="293">
        <f t="shared" si="310"/>
        <v>0</v>
      </c>
      <c r="BC449" s="276">
        <f>IF(BI449=1,IF(BC436=MiscData!$F$1,EOMONTH(BC436,-11),EOMONTH(BC436,1)),BC436)</f>
        <v>42004</v>
      </c>
      <c r="BD449" s="275" t="str">
        <f t="shared" si="319"/>
        <v>20140101LGMLE570</v>
      </c>
      <c r="BE449" s="294" t="str">
        <f t="shared" si="320"/>
        <v>20140101LE</v>
      </c>
      <c r="BF449">
        <f>MiscData!$X$5</f>
        <v>20140101</v>
      </c>
      <c r="BI449" s="265">
        <f>IF(BI448+1&gt;MiscData!$Z$42,1,BI448+1)</f>
        <v>28</v>
      </c>
      <c r="BJ449" s="265" t="str">
        <f>VLOOKUP(BI449,MiscData!$Z$5:$AB$46,2,FALSE)</f>
        <v>LGMLE570</v>
      </c>
      <c r="BK449" s="265" t="str">
        <f>VLOOKUP(BI449,MiscData!$Z$5:$AB$46,3,FALSE)</f>
        <v>LE</v>
      </c>
    </row>
    <row r="450" spans="1:63" hidden="1">
      <c r="A450" s="275">
        <v>427</v>
      </c>
      <c r="B450" s="276" t="str">
        <f t="shared" ref="B450" si="339">TEXT(BC450,"mmm yyyy")</f>
        <v>Dec 2014</v>
      </c>
      <c r="C450" s="277" t="str">
        <f t="shared" ref="C450" si="340">BK450</f>
        <v>LE</v>
      </c>
      <c r="D450" s="277" t="str">
        <f t="shared" ref="D450" si="341">BJ450</f>
        <v>LGMLE571</v>
      </c>
      <c r="E450" s="278">
        <f t="shared" si="281"/>
        <v>156</v>
      </c>
      <c r="F450" s="279">
        <v>0</v>
      </c>
      <c r="G450" s="278">
        <f t="shared" si="282"/>
        <v>0</v>
      </c>
      <c r="H450" s="278">
        <f t="shared" si="283"/>
        <v>0</v>
      </c>
      <c r="I450" s="278">
        <f t="shared" si="284"/>
        <v>0</v>
      </c>
      <c r="J450" s="278">
        <f t="shared" si="285"/>
        <v>355638</v>
      </c>
      <c r="K450" s="280">
        <v>0</v>
      </c>
      <c r="L450" s="281">
        <f t="shared" si="286"/>
        <v>0</v>
      </c>
      <c r="M450" s="281">
        <f t="shared" si="287"/>
        <v>0</v>
      </c>
      <c r="N450" s="281">
        <f t="shared" si="288"/>
        <v>0</v>
      </c>
      <c r="O450" s="282">
        <v>0</v>
      </c>
      <c r="P450" s="282">
        <v>0</v>
      </c>
      <c r="Q450" s="282">
        <v>0</v>
      </c>
      <c r="R450" s="283">
        <f t="shared" ref="R450" si="342">SUMIF(L_Rates_Tariff_Rate_Category,BD450,L_Rates_BSC)</f>
        <v>0</v>
      </c>
      <c r="S450" s="284">
        <f t="shared" si="325"/>
        <v>6.4610000000000001E-2</v>
      </c>
      <c r="T450" s="284">
        <f t="shared" si="290"/>
        <v>0</v>
      </c>
      <c r="U450" s="284">
        <f t="shared" si="291"/>
        <v>0</v>
      </c>
      <c r="V450" s="284">
        <f t="shared" si="292"/>
        <v>2.725E-2</v>
      </c>
      <c r="W450" s="283">
        <f t="shared" si="293"/>
        <v>0</v>
      </c>
      <c r="X450" s="283">
        <f t="shared" si="294"/>
        <v>0</v>
      </c>
      <c r="Y450" s="283">
        <f t="shared" si="295"/>
        <v>0</v>
      </c>
      <c r="Z450" s="285">
        <f t="shared" si="296"/>
        <v>0</v>
      </c>
      <c r="AA450" s="285">
        <f t="shared" si="297"/>
        <v>22977.77</v>
      </c>
      <c r="AB450" s="285">
        <f t="shared" si="313"/>
        <v>0</v>
      </c>
      <c r="AC450" s="285">
        <f t="shared" si="314"/>
        <v>0</v>
      </c>
      <c r="AD450" s="285">
        <f t="shared" si="315"/>
        <v>0</v>
      </c>
      <c r="AE450" s="286">
        <v>0</v>
      </c>
      <c r="AF450" s="287">
        <f t="shared" si="298"/>
        <v>0</v>
      </c>
      <c r="AG450" s="288">
        <f t="shared" si="299"/>
        <v>0</v>
      </c>
      <c r="AH450" s="285">
        <f t="shared" ref="AH450" si="343">SUM(AB450:AG450)</f>
        <v>0</v>
      </c>
      <c r="AI450" s="286">
        <v>0</v>
      </c>
      <c r="AJ450" s="286">
        <v>0</v>
      </c>
      <c r="AK450" s="286">
        <v>0</v>
      </c>
      <c r="AL450" s="285">
        <f t="shared" si="300"/>
        <v>22977.77</v>
      </c>
      <c r="AM450" s="285">
        <f t="shared" ref="AM450" si="344">AT450-SUM(AO450:AS450)</f>
        <v>22978</v>
      </c>
      <c r="AN450" s="289">
        <f t="shared" ref="AN450" si="345">IF(AND(AL450=0,AM450=0),1,IF(AL450=0,0,ROUND(AM450/AL450,6)))</f>
        <v>1.0000100000000001</v>
      </c>
      <c r="AO450" s="290">
        <f t="shared" si="302"/>
        <v>-185</v>
      </c>
      <c r="AP450" s="290">
        <f t="shared" si="303"/>
        <v>0</v>
      </c>
      <c r="AQ450" s="290">
        <f t="shared" si="304"/>
        <v>1668</v>
      </c>
      <c r="AR450" s="290">
        <f t="shared" si="305"/>
        <v>0</v>
      </c>
      <c r="AS450" s="290">
        <f t="shared" si="306"/>
        <v>0</v>
      </c>
      <c r="AT450" s="290">
        <f t="shared" si="307"/>
        <v>24461</v>
      </c>
      <c r="AU450" s="291">
        <f t="shared" ref="AU450" si="346">SUM(AL450,AO450:AS450)</f>
        <v>24460.77</v>
      </c>
      <c r="AV450" s="291">
        <f t="shared" ref="AV450" si="347">AT450-AU450</f>
        <v>0.22999999999956344</v>
      </c>
      <c r="AW450" s="292">
        <f t="shared" si="309"/>
        <v>9691.14</v>
      </c>
      <c r="AX450" s="293">
        <f t="shared" si="310"/>
        <v>13286.630000000001</v>
      </c>
      <c r="BC450" s="276">
        <f>IF(BI450=1,IF(BC437=MiscData!$F$1,EOMONTH(BC437,-11),EOMONTH(BC437,1)),BC437)</f>
        <v>42004</v>
      </c>
      <c r="BD450" s="275" t="str">
        <f t="shared" ref="BD450" si="348">CONCATENATE(BF450&amp;BJ450)</f>
        <v>20140101LGMLE571</v>
      </c>
      <c r="BE450" s="294" t="str">
        <f t="shared" ref="BE450" si="349">CONCATENATE(BF450&amp;BK450)</f>
        <v>20140101LE</v>
      </c>
      <c r="BF450">
        <f>MiscData!$X$5</f>
        <v>20140101</v>
      </c>
      <c r="BI450" s="265">
        <f>IF(BI449+1&gt;MiscData!$Z$42,1,BI449+1)</f>
        <v>29</v>
      </c>
      <c r="BJ450" s="265" t="str">
        <f>VLOOKUP(BI450,MiscData!$Z$5:$AB$46,2,FALSE)</f>
        <v>LGMLE571</v>
      </c>
      <c r="BK450" s="265" t="str">
        <f>VLOOKUP(BI450,MiscData!$Z$5:$AB$46,3,FALSE)</f>
        <v>LE</v>
      </c>
    </row>
    <row r="451" spans="1:63" hidden="1">
      <c r="A451" s="275">
        <v>428</v>
      </c>
      <c r="B451" s="276" t="str">
        <f t="shared" si="311"/>
        <v>Dec 2014</v>
      </c>
      <c r="C451" s="277" t="str">
        <f t="shared" si="321"/>
        <v>LE</v>
      </c>
      <c r="D451" s="277" t="str">
        <f t="shared" si="312"/>
        <v>LGMLE572</v>
      </c>
      <c r="E451" s="278">
        <f t="shared" si="281"/>
        <v>0</v>
      </c>
      <c r="F451" s="279">
        <v>0</v>
      </c>
      <c r="G451" s="278">
        <f t="shared" si="282"/>
        <v>0</v>
      </c>
      <c r="H451" s="278">
        <f t="shared" si="283"/>
        <v>0</v>
      </c>
      <c r="I451" s="278">
        <f t="shared" si="284"/>
        <v>0</v>
      </c>
      <c r="J451" s="278">
        <f t="shared" si="285"/>
        <v>0</v>
      </c>
      <c r="K451" s="280">
        <v>0</v>
      </c>
      <c r="L451" s="281">
        <f t="shared" si="286"/>
        <v>0</v>
      </c>
      <c r="M451" s="281">
        <f t="shared" si="287"/>
        <v>0</v>
      </c>
      <c r="N451" s="281">
        <f t="shared" si="288"/>
        <v>0</v>
      </c>
      <c r="O451" s="282">
        <v>0</v>
      </c>
      <c r="P451" s="282">
        <v>0</v>
      </c>
      <c r="Q451" s="282">
        <v>0</v>
      </c>
      <c r="R451" s="283">
        <f t="shared" si="289"/>
        <v>0</v>
      </c>
      <c r="S451" s="284">
        <f t="shared" si="325"/>
        <v>6.4610000000000001E-2</v>
      </c>
      <c r="T451" s="284">
        <f t="shared" si="290"/>
        <v>0</v>
      </c>
      <c r="U451" s="284">
        <f t="shared" si="291"/>
        <v>0</v>
      </c>
      <c r="V451" s="284">
        <f t="shared" si="292"/>
        <v>2.725E-2</v>
      </c>
      <c r="W451" s="283">
        <f t="shared" si="293"/>
        <v>0</v>
      </c>
      <c r="X451" s="283">
        <f t="shared" si="294"/>
        <v>0</v>
      </c>
      <c r="Y451" s="283">
        <f t="shared" si="295"/>
        <v>0</v>
      </c>
      <c r="Z451" s="285">
        <f t="shared" si="296"/>
        <v>0</v>
      </c>
      <c r="AA451" s="285">
        <f t="shared" si="297"/>
        <v>0</v>
      </c>
      <c r="AB451" s="285">
        <f t="shared" si="313"/>
        <v>0</v>
      </c>
      <c r="AC451" s="285">
        <f t="shared" si="314"/>
        <v>0</v>
      </c>
      <c r="AD451" s="285">
        <f t="shared" si="315"/>
        <v>0</v>
      </c>
      <c r="AE451" s="286">
        <v>0</v>
      </c>
      <c r="AF451" s="287">
        <f t="shared" si="298"/>
        <v>0</v>
      </c>
      <c r="AG451" s="288">
        <f t="shared" si="299"/>
        <v>0</v>
      </c>
      <c r="AH451" s="285">
        <f t="shared" si="316"/>
        <v>0</v>
      </c>
      <c r="AI451" s="286">
        <v>0</v>
      </c>
      <c r="AJ451" s="286">
        <v>0</v>
      </c>
      <c r="AK451" s="286">
        <v>0</v>
      </c>
      <c r="AL451" s="285">
        <f t="shared" si="300"/>
        <v>0</v>
      </c>
      <c r="AM451" s="285">
        <f t="shared" si="301"/>
        <v>0</v>
      </c>
      <c r="AN451" s="289">
        <f t="shared" si="317"/>
        <v>1</v>
      </c>
      <c r="AO451" s="290">
        <f t="shared" si="302"/>
        <v>0</v>
      </c>
      <c r="AP451" s="290">
        <f t="shared" si="303"/>
        <v>0</v>
      </c>
      <c r="AQ451" s="290">
        <f t="shared" si="304"/>
        <v>0</v>
      </c>
      <c r="AR451" s="290">
        <f t="shared" si="305"/>
        <v>0</v>
      </c>
      <c r="AS451" s="290">
        <f t="shared" si="306"/>
        <v>0</v>
      </c>
      <c r="AT451" s="290">
        <f t="shared" si="307"/>
        <v>0</v>
      </c>
      <c r="AU451" s="291">
        <f t="shared" si="308"/>
        <v>0</v>
      </c>
      <c r="AV451" s="291">
        <f t="shared" si="326"/>
        <v>0</v>
      </c>
      <c r="AW451" s="292">
        <f t="shared" si="309"/>
        <v>0</v>
      </c>
      <c r="AX451" s="293">
        <f t="shared" si="310"/>
        <v>0</v>
      </c>
      <c r="BC451" s="276">
        <f>IF(BI451=1,IF(BC438=MiscData!$F$1,EOMONTH(BC438,-11),EOMONTH(BC438,1)),BC438)</f>
        <v>42004</v>
      </c>
      <c r="BD451" s="275" t="str">
        <f t="shared" si="319"/>
        <v>20140101LGMLE572</v>
      </c>
      <c r="BE451" s="294" t="str">
        <f t="shared" si="320"/>
        <v>20140101LE</v>
      </c>
      <c r="BF451">
        <f>MiscData!$X$5</f>
        <v>20140101</v>
      </c>
      <c r="BI451" s="265">
        <f>IF(BI450+1&gt;MiscData!$Z$42,1,BI450+1)</f>
        <v>30</v>
      </c>
      <c r="BJ451" s="265" t="str">
        <f>VLOOKUP(BI451,MiscData!$Z$5:$AB$46,2,FALSE)</f>
        <v>LGMLE572</v>
      </c>
      <c r="BK451" s="265" t="str">
        <f>VLOOKUP(BI451,MiscData!$Z$5:$AB$46,3,FALSE)</f>
        <v>LE</v>
      </c>
    </row>
    <row r="452" spans="1:63" hidden="1">
      <c r="A452" s="275">
        <v>429</v>
      </c>
      <c r="B452" s="276" t="str">
        <f t="shared" ref="B452" si="350">TEXT(BC452,"mmm yyyy")</f>
        <v>Dec 2014</v>
      </c>
      <c r="C452" s="277" t="str">
        <f t="shared" ref="C452" si="351">BK452</f>
        <v>TE</v>
      </c>
      <c r="D452" s="277" t="str">
        <f t="shared" ref="D452" si="352">BJ452</f>
        <v>LGMLE573</v>
      </c>
      <c r="E452" s="278">
        <f t="shared" si="281"/>
        <v>905</v>
      </c>
      <c r="F452" s="279">
        <v>0</v>
      </c>
      <c r="G452" s="278">
        <f t="shared" si="282"/>
        <v>0</v>
      </c>
      <c r="H452" s="278">
        <f t="shared" si="283"/>
        <v>0</v>
      </c>
      <c r="I452" s="278">
        <f t="shared" si="284"/>
        <v>0</v>
      </c>
      <c r="J452" s="278">
        <f t="shared" si="285"/>
        <v>293077</v>
      </c>
      <c r="K452" s="280">
        <v>0</v>
      </c>
      <c r="L452" s="281">
        <f t="shared" si="286"/>
        <v>0</v>
      </c>
      <c r="M452" s="281">
        <f t="shared" si="287"/>
        <v>0</v>
      </c>
      <c r="N452" s="281">
        <f t="shared" si="288"/>
        <v>0</v>
      </c>
      <c r="O452" s="282">
        <v>0</v>
      </c>
      <c r="P452" s="282">
        <v>0</v>
      </c>
      <c r="Q452" s="282">
        <v>0</v>
      </c>
      <c r="R452" s="283">
        <f t="shared" ref="R452" si="353">SUMIF(L_Rates_Tariff_Rate_Category,BD452,L_Rates_BSC)</f>
        <v>3.25</v>
      </c>
      <c r="S452" s="284">
        <f t="shared" si="325"/>
        <v>7.6579999999999995E-2</v>
      </c>
      <c r="T452" s="284">
        <f t="shared" si="290"/>
        <v>0</v>
      </c>
      <c r="U452" s="284">
        <f t="shared" si="291"/>
        <v>0</v>
      </c>
      <c r="V452" s="284">
        <f t="shared" si="292"/>
        <v>2.725E-2</v>
      </c>
      <c r="W452" s="283">
        <f t="shared" si="293"/>
        <v>0</v>
      </c>
      <c r="X452" s="283">
        <f t="shared" si="294"/>
        <v>0</v>
      </c>
      <c r="Y452" s="283">
        <f t="shared" si="295"/>
        <v>0</v>
      </c>
      <c r="Z452" s="285">
        <f t="shared" ref="Z452:Z459" si="354">ROUND(($E452+$F452)*$R452,2)</f>
        <v>2941.25</v>
      </c>
      <c r="AA452" s="285">
        <f t="shared" ref="AA452:AA459" si="355">ROUND(IF(G452=0,(J452+K452)*S452,SUMPRODUCT(G452:I452,S452:U452)),2)</f>
        <v>22443.84</v>
      </c>
      <c r="AB452" s="285">
        <f t="shared" si="313"/>
        <v>0</v>
      </c>
      <c r="AC452" s="285">
        <f t="shared" si="314"/>
        <v>0</v>
      </c>
      <c r="AD452" s="285">
        <f t="shared" si="315"/>
        <v>0</v>
      </c>
      <c r="AE452" s="286">
        <v>0</v>
      </c>
      <c r="AF452" s="287">
        <f t="shared" si="298"/>
        <v>0</v>
      </c>
      <c r="AG452" s="288">
        <f t="shared" ref="AG452:AG459" si="356">ROUND(Q452*Y452+P452*X452+O452*W452,2)</f>
        <v>0</v>
      </c>
      <c r="AH452" s="285">
        <f t="shared" ref="AH452" si="357">SUM(AB452:AG452)</f>
        <v>0</v>
      </c>
      <c r="AI452" s="286">
        <v>0</v>
      </c>
      <c r="AJ452" s="286">
        <v>0</v>
      </c>
      <c r="AK452" s="286">
        <v>0</v>
      </c>
      <c r="AL452" s="285">
        <f t="shared" ref="AL452:AL459" si="358">SUM(Z452:AG452,AI452:AK452)</f>
        <v>25385.09</v>
      </c>
      <c r="AM452" s="285">
        <f t="shared" ref="AM452" si="359">AT452-SUM(AO452:AS452)</f>
        <v>25385</v>
      </c>
      <c r="AN452" s="289">
        <f t="shared" ref="AN452" si="360">IF(AND(AL452=0,AM452=0),1,IF(AL452=0,0,ROUND(AM452/AL452,6)))</f>
        <v>0.999996</v>
      </c>
      <c r="AO452" s="290">
        <f t="shared" si="302"/>
        <v>-152</v>
      </c>
      <c r="AP452" s="290">
        <f t="shared" si="303"/>
        <v>0</v>
      </c>
      <c r="AQ452" s="290">
        <f t="shared" si="304"/>
        <v>1375</v>
      </c>
      <c r="AR452" s="290">
        <f t="shared" si="305"/>
        <v>0</v>
      </c>
      <c r="AS452" s="290">
        <f t="shared" si="306"/>
        <v>0</v>
      </c>
      <c r="AT452" s="290">
        <f t="shared" si="307"/>
        <v>26608</v>
      </c>
      <c r="AU452" s="291">
        <f t="shared" ref="AU452" si="361">SUM(AL452,AO452:AS452)</f>
        <v>26608.09</v>
      </c>
      <c r="AV452" s="291">
        <f t="shared" ref="AV452" si="362">AT452-AU452</f>
        <v>-9.0000000000145519E-2</v>
      </c>
      <c r="AW452" s="292">
        <f t="shared" ref="AW452:AW459" si="363">ROUND(J452*V452,2)</f>
        <v>7986.35</v>
      </c>
      <c r="AX452" s="293">
        <f t="shared" ref="AX452:AX459" si="364">AA452+AJ452-AW452</f>
        <v>14457.49</v>
      </c>
      <c r="BC452" s="276">
        <f>IF(BI452=1,IF(BC439=MiscData!$F$1,EOMONTH(BC439,-11),EOMONTH(BC439,1)),BC439)</f>
        <v>42004</v>
      </c>
      <c r="BD452" s="275" t="str">
        <f t="shared" ref="BD452" si="365">CONCATENATE(BF452&amp;BJ452)</f>
        <v>20140101LGMLE573</v>
      </c>
      <c r="BE452" s="294" t="str">
        <f t="shared" ref="BE452" si="366">CONCATENATE(BF452&amp;BK452)</f>
        <v>20140101TE</v>
      </c>
      <c r="BF452">
        <f>MiscData!$X$5</f>
        <v>20140101</v>
      </c>
      <c r="BI452" s="265">
        <f>IF(BI451+1&gt;MiscData!$Z$42,1,BI451+1)</f>
        <v>31</v>
      </c>
      <c r="BJ452" s="265" t="str">
        <f>VLOOKUP(BI452,MiscData!$Z$5:$AB$46,2,FALSE)</f>
        <v>LGMLE573</v>
      </c>
      <c r="BK452" s="265" t="str">
        <f>VLOOKUP(BI452,MiscData!$Z$5:$AB$46,3,FALSE)</f>
        <v>TE</v>
      </c>
    </row>
    <row r="453" spans="1:63" hidden="1">
      <c r="A453" s="275">
        <v>430</v>
      </c>
      <c r="B453" s="276" t="str">
        <f t="shared" si="311"/>
        <v>Dec 2014</v>
      </c>
      <c r="C453" s="277" t="str">
        <f t="shared" si="321"/>
        <v>TE</v>
      </c>
      <c r="D453" s="277" t="str">
        <f t="shared" si="312"/>
        <v>LGMLE574</v>
      </c>
      <c r="E453" s="278">
        <f t="shared" si="281"/>
        <v>0</v>
      </c>
      <c r="F453" s="279">
        <v>0</v>
      </c>
      <c r="G453" s="278">
        <f t="shared" si="282"/>
        <v>0</v>
      </c>
      <c r="H453" s="278">
        <f t="shared" si="283"/>
        <v>0</v>
      </c>
      <c r="I453" s="278">
        <f t="shared" si="284"/>
        <v>0</v>
      </c>
      <c r="J453" s="278">
        <f t="shared" si="285"/>
        <v>0</v>
      </c>
      <c r="K453" s="280">
        <v>0</v>
      </c>
      <c r="L453" s="281">
        <f t="shared" si="286"/>
        <v>0</v>
      </c>
      <c r="M453" s="281">
        <f t="shared" si="287"/>
        <v>0</v>
      </c>
      <c r="N453" s="281">
        <f t="shared" si="288"/>
        <v>0</v>
      </c>
      <c r="O453" s="282">
        <v>0</v>
      </c>
      <c r="P453" s="282">
        <v>0</v>
      </c>
      <c r="Q453" s="282">
        <v>0</v>
      </c>
      <c r="R453" s="283">
        <f t="shared" si="289"/>
        <v>3.25</v>
      </c>
      <c r="S453" s="284">
        <f t="shared" si="325"/>
        <v>7.6579999999999995E-2</v>
      </c>
      <c r="T453" s="284">
        <f t="shared" si="290"/>
        <v>0</v>
      </c>
      <c r="U453" s="284">
        <f t="shared" si="291"/>
        <v>0</v>
      </c>
      <c r="V453" s="284">
        <f t="shared" si="292"/>
        <v>2.725E-2</v>
      </c>
      <c r="W453" s="283">
        <f t="shared" si="293"/>
        <v>0</v>
      </c>
      <c r="X453" s="283">
        <f t="shared" si="294"/>
        <v>0</v>
      </c>
      <c r="Y453" s="283">
        <f t="shared" si="295"/>
        <v>0</v>
      </c>
      <c r="Z453" s="285">
        <f t="shared" si="354"/>
        <v>0</v>
      </c>
      <c r="AA453" s="285">
        <f t="shared" si="355"/>
        <v>0</v>
      </c>
      <c r="AB453" s="285">
        <f t="shared" ref="AB453:AB459" si="367">ROUND(L453*W453,2)</f>
        <v>0</v>
      </c>
      <c r="AC453" s="285">
        <f t="shared" ref="AC453:AC459" si="368">ROUND(M453*X453,2)</f>
        <v>0</v>
      </c>
      <c r="AD453" s="285">
        <f t="shared" ref="AD453:AD459" si="369">ROUND(N453*Y453,2)</f>
        <v>0</v>
      </c>
      <c r="AE453" s="286">
        <v>0</v>
      </c>
      <c r="AF453" s="287">
        <f t="shared" si="298"/>
        <v>0</v>
      </c>
      <c r="AG453" s="288">
        <f t="shared" si="356"/>
        <v>0</v>
      </c>
      <c r="AH453" s="285">
        <f t="shared" si="316"/>
        <v>0</v>
      </c>
      <c r="AI453" s="286">
        <v>0</v>
      </c>
      <c r="AJ453" s="286">
        <v>0</v>
      </c>
      <c r="AK453" s="286">
        <v>0</v>
      </c>
      <c r="AL453" s="285">
        <f t="shared" si="358"/>
        <v>0</v>
      </c>
      <c r="AM453" s="285">
        <f t="shared" si="301"/>
        <v>0</v>
      </c>
      <c r="AN453" s="289">
        <f t="shared" si="317"/>
        <v>1</v>
      </c>
      <c r="AO453" s="290">
        <f t="shared" si="302"/>
        <v>0</v>
      </c>
      <c r="AP453" s="290">
        <f t="shared" si="303"/>
        <v>0</v>
      </c>
      <c r="AQ453" s="290">
        <f t="shared" si="304"/>
        <v>0</v>
      </c>
      <c r="AR453" s="290">
        <f t="shared" si="305"/>
        <v>0</v>
      </c>
      <c r="AS453" s="290">
        <f t="shared" si="306"/>
        <v>0</v>
      </c>
      <c r="AT453" s="290">
        <f t="shared" si="307"/>
        <v>0</v>
      </c>
      <c r="AU453" s="291">
        <f t="shared" si="308"/>
        <v>0</v>
      </c>
      <c r="AV453" s="291">
        <f t="shared" si="326"/>
        <v>0</v>
      </c>
      <c r="AW453" s="292">
        <f t="shared" si="363"/>
        <v>0</v>
      </c>
      <c r="AX453" s="293">
        <f t="shared" si="364"/>
        <v>0</v>
      </c>
      <c r="BC453" s="276">
        <f>IF(BI453=1,IF(BC440=MiscData!$F$1,EOMONTH(BC440,-11),EOMONTH(BC440,1)),BC440)</f>
        <v>42004</v>
      </c>
      <c r="BD453" s="275" t="str">
        <f t="shared" si="319"/>
        <v>20140101LGMLE574</v>
      </c>
      <c r="BE453" s="294" t="str">
        <f t="shared" si="320"/>
        <v>20140101TE</v>
      </c>
      <c r="BF453">
        <f>MiscData!$X$5</f>
        <v>20140101</v>
      </c>
      <c r="BI453" s="265">
        <f>IF(BI452+1&gt;MiscData!$Z$42,1,BI452+1)</f>
        <v>32</v>
      </c>
      <c r="BJ453" s="265" t="str">
        <f>VLOOKUP(BI453,MiscData!$Z$5:$AB$46,2,FALSE)</f>
        <v>LGMLE574</v>
      </c>
      <c r="BK453" s="265" t="str">
        <f>VLOOKUP(BI453,MiscData!$Z$5:$AB$46,3,FALSE)</f>
        <v>TE</v>
      </c>
    </row>
    <row r="454" spans="1:63" hidden="1">
      <c r="A454" s="275">
        <v>431</v>
      </c>
      <c r="B454" s="276" t="str">
        <f t="shared" ref="B454" si="370">TEXT(BC454,"mmm yyyy")</f>
        <v>Dec 2014</v>
      </c>
      <c r="C454" s="277" t="str">
        <f t="shared" ref="C454" si="371">BK454</f>
        <v>RS</v>
      </c>
      <c r="D454" s="277" t="str">
        <f t="shared" ref="D454" si="372">BJ454</f>
        <v>LGRSE411</v>
      </c>
      <c r="E454" s="278">
        <f t="shared" si="281"/>
        <v>0</v>
      </c>
      <c r="F454" s="279">
        <v>0</v>
      </c>
      <c r="G454" s="278">
        <f t="shared" si="282"/>
        <v>0</v>
      </c>
      <c r="H454" s="278">
        <f t="shared" si="283"/>
        <v>0</v>
      </c>
      <c r="I454" s="278">
        <f t="shared" si="284"/>
        <v>0</v>
      </c>
      <c r="J454" s="278">
        <f t="shared" si="285"/>
        <v>0</v>
      </c>
      <c r="K454" s="280">
        <v>0</v>
      </c>
      <c r="L454" s="281">
        <f t="shared" si="286"/>
        <v>0</v>
      </c>
      <c r="M454" s="281">
        <f t="shared" si="287"/>
        <v>0</v>
      </c>
      <c r="N454" s="281">
        <f t="shared" si="288"/>
        <v>0</v>
      </c>
      <c r="O454" s="282">
        <v>0</v>
      </c>
      <c r="P454" s="282">
        <v>0</v>
      </c>
      <c r="Q454" s="282">
        <v>0</v>
      </c>
      <c r="R454" s="283">
        <f t="shared" ref="R454" si="373">SUMIF(L_Rates_Tariff_Rate_Category,BD454,L_Rates_BSC)</f>
        <v>0</v>
      </c>
      <c r="S454" s="284">
        <f t="shared" si="325"/>
        <v>8.0760000000000012E-2</v>
      </c>
      <c r="T454" s="284">
        <f t="shared" si="290"/>
        <v>0</v>
      </c>
      <c r="U454" s="284">
        <f t="shared" si="291"/>
        <v>0</v>
      </c>
      <c r="V454" s="284">
        <f t="shared" si="292"/>
        <v>2.725E-2</v>
      </c>
      <c r="W454" s="283">
        <f t="shared" si="293"/>
        <v>0</v>
      </c>
      <c r="X454" s="283">
        <f t="shared" si="294"/>
        <v>0</v>
      </c>
      <c r="Y454" s="283">
        <f t="shared" si="295"/>
        <v>0</v>
      </c>
      <c r="Z454" s="285">
        <f t="shared" si="354"/>
        <v>0</v>
      </c>
      <c r="AA454" s="285">
        <f t="shared" si="355"/>
        <v>0</v>
      </c>
      <c r="AB454" s="285">
        <f t="shared" si="367"/>
        <v>0</v>
      </c>
      <c r="AC454" s="285">
        <f t="shared" si="368"/>
        <v>0</v>
      </c>
      <c r="AD454" s="285">
        <f t="shared" si="369"/>
        <v>0</v>
      </c>
      <c r="AE454" s="286">
        <v>0</v>
      </c>
      <c r="AF454" s="287">
        <f t="shared" si="298"/>
        <v>0</v>
      </c>
      <c r="AG454" s="288">
        <f t="shared" si="356"/>
        <v>0</v>
      </c>
      <c r="AH454" s="285">
        <f t="shared" ref="AH454" si="374">SUM(AB454:AG454)</f>
        <v>0</v>
      </c>
      <c r="AI454" s="286">
        <v>0</v>
      </c>
      <c r="AJ454" s="286">
        <v>0</v>
      </c>
      <c r="AK454" s="286">
        <v>0</v>
      </c>
      <c r="AL454" s="285">
        <f t="shared" si="358"/>
        <v>0</v>
      </c>
      <c r="AM454" s="285">
        <f t="shared" ref="AM454" si="375">AT454-SUM(AO454:AS454)</f>
        <v>0</v>
      </c>
      <c r="AN454" s="289">
        <f t="shared" ref="AN454" si="376">IF(AND(AL454=0,AM454=0),1,IF(AL454=0,0,ROUND(AM454/AL454,6)))</f>
        <v>1</v>
      </c>
      <c r="AO454" s="290">
        <f t="shared" si="302"/>
        <v>0</v>
      </c>
      <c r="AP454" s="290">
        <f t="shared" si="303"/>
        <v>0</v>
      </c>
      <c r="AQ454" s="290">
        <f t="shared" si="304"/>
        <v>0</v>
      </c>
      <c r="AR454" s="290">
        <f t="shared" si="305"/>
        <v>0</v>
      </c>
      <c r="AS454" s="290">
        <f t="shared" si="306"/>
        <v>0</v>
      </c>
      <c r="AT454" s="290">
        <f t="shared" si="307"/>
        <v>0</v>
      </c>
      <c r="AU454" s="291">
        <f t="shared" ref="AU454" si="377">SUM(AL454,AO454:AS454)</f>
        <v>0</v>
      </c>
      <c r="AV454" s="291">
        <f t="shared" ref="AV454" si="378">AT454-AU454</f>
        <v>0</v>
      </c>
      <c r="AW454" s="292">
        <f t="shared" si="363"/>
        <v>0</v>
      </c>
      <c r="AX454" s="293">
        <f t="shared" si="364"/>
        <v>0</v>
      </c>
      <c r="BC454" s="276">
        <f>IF(BI454=1,IF(BC441=MiscData!$F$1,EOMONTH(BC441,-11),EOMONTH(BC441,1)),BC441)</f>
        <v>42004</v>
      </c>
      <c r="BD454" s="275" t="str">
        <f t="shared" ref="BD454" si="379">CONCATENATE(BF454&amp;BJ454)</f>
        <v>20140101LGRSE411</v>
      </c>
      <c r="BE454" s="294" t="str">
        <f t="shared" ref="BE454" si="380">CONCATENATE(BF454&amp;BK454)</f>
        <v>20140101RS</v>
      </c>
      <c r="BF454">
        <f>MiscData!$X$5</f>
        <v>20140101</v>
      </c>
      <c r="BI454" s="265">
        <f>IF(BI453+1&gt;MiscData!$Z$42,1,BI453+1)</f>
        <v>33</v>
      </c>
      <c r="BJ454" s="265" t="str">
        <f>VLOOKUP(BI454,MiscData!$Z$5:$AB$46,2,FALSE)</f>
        <v>LGRSE411</v>
      </c>
      <c r="BK454" s="265" t="str">
        <f>VLOOKUP(BI454,MiscData!$Z$5:$AB$46,3,FALSE)</f>
        <v>RS</v>
      </c>
    </row>
    <row r="455" spans="1:63" hidden="1">
      <c r="A455" s="275">
        <v>432</v>
      </c>
      <c r="B455" s="276" t="str">
        <f t="shared" si="311"/>
        <v>Dec 2014</v>
      </c>
      <c r="C455" s="277" t="str">
        <f t="shared" si="321"/>
        <v>RS</v>
      </c>
      <c r="D455" s="277" t="str">
        <f t="shared" si="312"/>
        <v>LGRSE511</v>
      </c>
      <c r="E455" s="278">
        <f t="shared" si="281"/>
        <v>358950</v>
      </c>
      <c r="F455" s="279">
        <v>0</v>
      </c>
      <c r="G455" s="278">
        <f t="shared" si="282"/>
        <v>0</v>
      </c>
      <c r="H455" s="278">
        <f t="shared" si="283"/>
        <v>0</v>
      </c>
      <c r="I455" s="278">
        <f t="shared" si="284"/>
        <v>0</v>
      </c>
      <c r="J455" s="278">
        <f t="shared" si="285"/>
        <v>332979468</v>
      </c>
      <c r="K455" s="280">
        <v>0</v>
      </c>
      <c r="L455" s="281">
        <f t="shared" si="286"/>
        <v>0</v>
      </c>
      <c r="M455" s="281">
        <f t="shared" si="287"/>
        <v>0</v>
      </c>
      <c r="N455" s="281">
        <f t="shared" si="288"/>
        <v>0</v>
      </c>
      <c r="O455" s="282">
        <v>0</v>
      </c>
      <c r="P455" s="282">
        <v>0</v>
      </c>
      <c r="Q455" s="282">
        <v>0</v>
      </c>
      <c r="R455" s="283">
        <f t="shared" si="289"/>
        <v>10.75</v>
      </c>
      <c r="S455" s="284">
        <f t="shared" si="325"/>
        <v>8.0760000000000012E-2</v>
      </c>
      <c r="T455" s="284">
        <f t="shared" si="290"/>
        <v>0</v>
      </c>
      <c r="U455" s="284">
        <f t="shared" si="291"/>
        <v>0</v>
      </c>
      <c r="V455" s="284">
        <f t="shared" si="292"/>
        <v>2.725E-2</v>
      </c>
      <c r="W455" s="283">
        <f t="shared" si="293"/>
        <v>0</v>
      </c>
      <c r="X455" s="283">
        <f t="shared" si="294"/>
        <v>0</v>
      </c>
      <c r="Y455" s="283">
        <f t="shared" si="295"/>
        <v>0</v>
      </c>
      <c r="Z455" s="285">
        <f t="shared" si="354"/>
        <v>3858712.5</v>
      </c>
      <c r="AA455" s="285">
        <f t="shared" si="355"/>
        <v>26891421.84</v>
      </c>
      <c r="AB455" s="285">
        <f t="shared" si="367"/>
        <v>0</v>
      </c>
      <c r="AC455" s="285">
        <f t="shared" si="368"/>
        <v>0</v>
      </c>
      <c r="AD455" s="285">
        <f t="shared" si="369"/>
        <v>0</v>
      </c>
      <c r="AE455" s="286">
        <v>0</v>
      </c>
      <c r="AF455" s="287">
        <f t="shared" si="298"/>
        <v>0</v>
      </c>
      <c r="AG455" s="288">
        <f t="shared" si="356"/>
        <v>0</v>
      </c>
      <c r="AH455" s="285">
        <f t="shared" si="316"/>
        <v>0</v>
      </c>
      <c r="AI455" s="286">
        <v>0</v>
      </c>
      <c r="AJ455" s="286">
        <v>0</v>
      </c>
      <c r="AK455" s="286">
        <v>0</v>
      </c>
      <c r="AL455" s="285">
        <f t="shared" si="358"/>
        <v>30750134.34</v>
      </c>
      <c r="AM455" s="285">
        <f t="shared" si="301"/>
        <v>30750134</v>
      </c>
      <c r="AN455" s="289">
        <f t="shared" si="317"/>
        <v>1</v>
      </c>
      <c r="AO455" s="290">
        <f t="shared" si="302"/>
        <v>-173435</v>
      </c>
      <c r="AP455" s="290">
        <f t="shared" si="303"/>
        <v>883685</v>
      </c>
      <c r="AQ455" s="290">
        <f t="shared" si="304"/>
        <v>1562256</v>
      </c>
      <c r="AR455" s="290">
        <f t="shared" si="305"/>
        <v>0</v>
      </c>
      <c r="AS455" s="290">
        <f t="shared" si="306"/>
        <v>0</v>
      </c>
      <c r="AT455" s="290">
        <f t="shared" si="307"/>
        <v>33022640</v>
      </c>
      <c r="AU455" s="291">
        <f t="shared" si="308"/>
        <v>33022640.34</v>
      </c>
      <c r="AV455" s="291">
        <f t="shared" si="326"/>
        <v>-0.33999999985098839</v>
      </c>
      <c r="AW455" s="292">
        <f t="shared" si="363"/>
        <v>9073690.5</v>
      </c>
      <c r="AX455" s="293">
        <f t="shared" si="364"/>
        <v>17817731.34</v>
      </c>
      <c r="BC455" s="276">
        <f>IF(BI455=1,IF(BC442=MiscData!$F$1,EOMONTH(BC442,-11),EOMONTH(BC442,1)),BC442)</f>
        <v>42004</v>
      </c>
      <c r="BD455" s="275" t="str">
        <f t="shared" si="319"/>
        <v>20140101LGRSE511</v>
      </c>
      <c r="BE455" s="294" t="str">
        <f t="shared" si="320"/>
        <v>20140101RS</v>
      </c>
      <c r="BF455">
        <f>MiscData!$X$5</f>
        <v>20140101</v>
      </c>
      <c r="BI455" s="265">
        <f>IF(BI454+1&gt;MiscData!$Z$42,1,BI454+1)</f>
        <v>34</v>
      </c>
      <c r="BJ455" s="265" t="str">
        <f>VLOOKUP(BI455,MiscData!$Z$5:$AB$46,2,FALSE)</f>
        <v>LGRSE511</v>
      </c>
      <c r="BK455" s="265" t="str">
        <f>VLOOKUP(BI455,MiscData!$Z$5:$AB$46,3,FALSE)</f>
        <v>RS</v>
      </c>
    </row>
    <row r="456" spans="1:63" hidden="1">
      <c r="A456" s="275">
        <v>433</v>
      </c>
      <c r="B456" s="276" t="str">
        <f t="shared" ref="B456" si="381">TEXT(BC456,"mmm yyyy")</f>
        <v>Dec 2014</v>
      </c>
      <c r="C456" s="277" t="str">
        <f t="shared" ref="C456" si="382">BK456</f>
        <v>RS</v>
      </c>
      <c r="D456" s="277" t="str">
        <f t="shared" ref="D456" si="383">BJ456</f>
        <v>LGRSE519</v>
      </c>
      <c r="E456" s="278">
        <f t="shared" si="281"/>
        <v>0</v>
      </c>
      <c r="F456" s="279">
        <v>0</v>
      </c>
      <c r="G456" s="278">
        <f t="shared" si="282"/>
        <v>0</v>
      </c>
      <c r="H456" s="278">
        <f t="shared" si="283"/>
        <v>0</v>
      </c>
      <c r="I456" s="278">
        <f t="shared" si="284"/>
        <v>0</v>
      </c>
      <c r="J456" s="278">
        <f t="shared" si="285"/>
        <v>0</v>
      </c>
      <c r="K456" s="280">
        <v>0</v>
      </c>
      <c r="L456" s="281">
        <f t="shared" si="286"/>
        <v>0</v>
      </c>
      <c r="M456" s="281">
        <f t="shared" si="287"/>
        <v>0</v>
      </c>
      <c r="N456" s="281">
        <f t="shared" si="288"/>
        <v>0</v>
      </c>
      <c r="O456" s="282">
        <v>0</v>
      </c>
      <c r="P456" s="282">
        <v>0</v>
      </c>
      <c r="Q456" s="282">
        <v>0</v>
      </c>
      <c r="R456" s="283">
        <f t="shared" ref="R456" si="384">SUMIF(L_Rates_Tariff_Rate_Category,BD456,L_Rates_BSC)</f>
        <v>10.75</v>
      </c>
      <c r="S456" s="284">
        <f t="shared" si="325"/>
        <v>8.0760000000000012E-2</v>
      </c>
      <c r="T456" s="284">
        <f t="shared" si="290"/>
        <v>0</v>
      </c>
      <c r="U456" s="284">
        <f t="shared" si="291"/>
        <v>0</v>
      </c>
      <c r="V456" s="284">
        <f t="shared" si="292"/>
        <v>2.725E-2</v>
      </c>
      <c r="W456" s="283">
        <f t="shared" si="293"/>
        <v>0</v>
      </c>
      <c r="X456" s="283">
        <f t="shared" si="294"/>
        <v>0</v>
      </c>
      <c r="Y456" s="283">
        <f t="shared" si="295"/>
        <v>0</v>
      </c>
      <c r="Z456" s="285">
        <f t="shared" si="354"/>
        <v>0</v>
      </c>
      <c r="AA456" s="285">
        <f t="shared" si="355"/>
        <v>0</v>
      </c>
      <c r="AB456" s="285">
        <f t="shared" si="367"/>
        <v>0</v>
      </c>
      <c r="AC456" s="285">
        <f t="shared" si="368"/>
        <v>0</v>
      </c>
      <c r="AD456" s="285">
        <f t="shared" si="369"/>
        <v>0</v>
      </c>
      <c r="AE456" s="286">
        <v>0</v>
      </c>
      <c r="AF456" s="287">
        <f t="shared" si="298"/>
        <v>0</v>
      </c>
      <c r="AG456" s="288">
        <f t="shared" si="356"/>
        <v>0</v>
      </c>
      <c r="AH456" s="285">
        <f t="shared" ref="AH456" si="385">SUM(AB456:AG456)</f>
        <v>0</v>
      </c>
      <c r="AI456" s="286">
        <v>0</v>
      </c>
      <c r="AJ456" s="286">
        <v>0</v>
      </c>
      <c r="AK456" s="286">
        <v>0</v>
      </c>
      <c r="AL456" s="285">
        <f t="shared" si="358"/>
        <v>0</v>
      </c>
      <c r="AM456" s="285">
        <f t="shared" ref="AM456" si="386">AT456-SUM(AO456:AS456)</f>
        <v>0</v>
      </c>
      <c r="AN456" s="289">
        <f t="shared" ref="AN456" si="387">IF(AND(AL456=0,AM456=0),1,IF(AL456=0,0,ROUND(AM456/AL456,6)))</f>
        <v>1</v>
      </c>
      <c r="AO456" s="290">
        <f t="shared" si="302"/>
        <v>0</v>
      </c>
      <c r="AP456" s="290">
        <f t="shared" si="303"/>
        <v>0</v>
      </c>
      <c r="AQ456" s="290">
        <f t="shared" si="304"/>
        <v>0</v>
      </c>
      <c r="AR456" s="290">
        <f t="shared" si="305"/>
        <v>0</v>
      </c>
      <c r="AS456" s="290">
        <f t="shared" si="306"/>
        <v>0</v>
      </c>
      <c r="AT456" s="290">
        <f t="shared" si="307"/>
        <v>0</v>
      </c>
      <c r="AU456" s="291">
        <f t="shared" ref="AU456" si="388">SUM(AL456,AO456:AS456)</f>
        <v>0</v>
      </c>
      <c r="AV456" s="291">
        <f t="shared" ref="AV456" si="389">AT456-AU456</f>
        <v>0</v>
      </c>
      <c r="AW456" s="292">
        <f t="shared" si="363"/>
        <v>0</v>
      </c>
      <c r="AX456" s="293">
        <f t="shared" si="364"/>
        <v>0</v>
      </c>
      <c r="BC456" s="276">
        <f>IF(BI456=1,IF(BC443=MiscData!$F$1,EOMONTH(BC443,-11),EOMONTH(BC443,1)),BC443)</f>
        <v>42004</v>
      </c>
      <c r="BD456" s="275" t="str">
        <f t="shared" ref="BD456" si="390">CONCATENATE(BF456&amp;BJ456)</f>
        <v>20140101LGRSE519</v>
      </c>
      <c r="BE456" s="294" t="str">
        <f t="shared" ref="BE456" si="391">CONCATENATE(BF456&amp;BK456)</f>
        <v>20140101RS</v>
      </c>
      <c r="BF456">
        <f>MiscData!$X$5</f>
        <v>20140101</v>
      </c>
      <c r="BI456" s="265">
        <f>IF(BI455+1&gt;MiscData!$Z$42,1,BI455+1)</f>
        <v>35</v>
      </c>
      <c r="BJ456" s="265" t="str">
        <f>VLOOKUP(BI456,MiscData!$Z$5:$AB$46,2,FALSE)</f>
        <v>LGRSE519</v>
      </c>
      <c r="BK456" s="265" t="str">
        <f>VLOOKUP(BI456,MiscData!$Z$5:$AB$46,3,FALSE)</f>
        <v>RS</v>
      </c>
    </row>
    <row r="457" spans="1:63" hidden="1">
      <c r="A457" s="275">
        <v>434</v>
      </c>
      <c r="B457" s="276" t="str">
        <f t="shared" si="311"/>
        <v>Dec 2014</v>
      </c>
      <c r="C457" s="277" t="s">
        <v>13</v>
      </c>
      <c r="D457" s="277" t="str">
        <f t="shared" si="312"/>
        <v>LGRSE540</v>
      </c>
      <c r="E457" s="278">
        <f t="shared" si="281"/>
        <v>0</v>
      </c>
      <c r="F457" s="279">
        <v>0</v>
      </c>
      <c r="G457" s="278">
        <f t="shared" si="282"/>
        <v>0</v>
      </c>
      <c r="H457" s="278">
        <f t="shared" si="283"/>
        <v>0</v>
      </c>
      <c r="I457" s="278">
        <f t="shared" si="284"/>
        <v>0</v>
      </c>
      <c r="J457" s="278">
        <f t="shared" si="285"/>
        <v>0</v>
      </c>
      <c r="K457" s="280">
        <v>0</v>
      </c>
      <c r="L457" s="281">
        <f t="shared" si="286"/>
        <v>0</v>
      </c>
      <c r="M457" s="281">
        <f t="shared" si="287"/>
        <v>0</v>
      </c>
      <c r="N457" s="281">
        <f t="shared" si="288"/>
        <v>0</v>
      </c>
      <c r="O457" s="282">
        <v>0</v>
      </c>
      <c r="P457" s="282">
        <v>0</v>
      </c>
      <c r="Q457" s="282">
        <v>0</v>
      </c>
      <c r="R457" s="283">
        <f t="shared" si="289"/>
        <v>10.75</v>
      </c>
      <c r="S457" s="284">
        <f t="shared" si="325"/>
        <v>8.0760000000000012E-2</v>
      </c>
      <c r="T457" s="284">
        <f t="shared" si="290"/>
        <v>0</v>
      </c>
      <c r="U457" s="284">
        <f t="shared" si="291"/>
        <v>0</v>
      </c>
      <c r="V457" s="284">
        <f t="shared" si="292"/>
        <v>2.725E-2</v>
      </c>
      <c r="W457" s="283">
        <f t="shared" si="293"/>
        <v>0</v>
      </c>
      <c r="X457" s="283">
        <f t="shared" si="294"/>
        <v>0</v>
      </c>
      <c r="Y457" s="283">
        <f t="shared" si="295"/>
        <v>0</v>
      </c>
      <c r="Z457" s="285">
        <f t="shared" si="354"/>
        <v>0</v>
      </c>
      <c r="AA457" s="285">
        <f t="shared" si="355"/>
        <v>0</v>
      </c>
      <c r="AB457" s="285">
        <f t="shared" si="367"/>
        <v>0</v>
      </c>
      <c r="AC457" s="285">
        <f t="shared" si="368"/>
        <v>0</v>
      </c>
      <c r="AD457" s="285">
        <f t="shared" si="369"/>
        <v>0</v>
      </c>
      <c r="AE457" s="286">
        <v>0</v>
      </c>
      <c r="AF457" s="287">
        <f t="shared" si="298"/>
        <v>0</v>
      </c>
      <c r="AG457" s="288">
        <f t="shared" si="356"/>
        <v>0</v>
      </c>
      <c r="AH457" s="285">
        <f t="shared" si="316"/>
        <v>0</v>
      </c>
      <c r="AI457" s="286">
        <v>0</v>
      </c>
      <c r="AJ457" s="286">
        <v>0</v>
      </c>
      <c r="AK457" s="286">
        <v>0</v>
      </c>
      <c r="AL457" s="285">
        <f t="shared" si="358"/>
        <v>0</v>
      </c>
      <c r="AM457" s="285">
        <f t="shared" si="301"/>
        <v>0</v>
      </c>
      <c r="AN457" s="289">
        <f t="shared" si="317"/>
        <v>1</v>
      </c>
      <c r="AO457" s="290">
        <f t="shared" si="302"/>
        <v>0</v>
      </c>
      <c r="AP457" s="290">
        <f t="shared" si="303"/>
        <v>0</v>
      </c>
      <c r="AQ457" s="290">
        <f t="shared" si="304"/>
        <v>0</v>
      </c>
      <c r="AR457" s="290">
        <f t="shared" si="305"/>
        <v>0</v>
      </c>
      <c r="AS457" s="290">
        <f t="shared" si="306"/>
        <v>0</v>
      </c>
      <c r="AT457" s="290">
        <f t="shared" si="307"/>
        <v>0</v>
      </c>
      <c r="AU457" s="291">
        <f t="shared" si="308"/>
        <v>0</v>
      </c>
      <c r="AV457" s="291">
        <f t="shared" si="326"/>
        <v>0</v>
      </c>
      <c r="AW457" s="292">
        <f t="shared" si="363"/>
        <v>0</v>
      </c>
      <c r="AX457" s="293">
        <f t="shared" si="364"/>
        <v>0</v>
      </c>
      <c r="BC457" s="276">
        <f>IF(BI457=1,IF(BC444=MiscData!$F$1,EOMONTH(BC444,-11),EOMONTH(BC444,1)),BC444)</f>
        <v>42004</v>
      </c>
      <c r="BD457" s="275" t="str">
        <f t="shared" si="319"/>
        <v>20140101LGRSE540</v>
      </c>
      <c r="BE457" s="294" t="str">
        <f t="shared" si="320"/>
        <v>20140101VFD</v>
      </c>
      <c r="BF457">
        <f>MiscData!$X$5</f>
        <v>20140101</v>
      </c>
      <c r="BI457" s="265">
        <f>IF(BI456+1&gt;MiscData!$Z$42,1,BI456+1)</f>
        <v>36</v>
      </c>
      <c r="BJ457" s="265" t="str">
        <f>VLOOKUP(BI457,MiscData!$Z$5:$AB$46,2,FALSE)</f>
        <v>LGRSE540</v>
      </c>
      <c r="BK457" s="265" t="str">
        <f>VLOOKUP(BI457,MiscData!$Z$5:$AB$46,3,FALSE)</f>
        <v>VFD</v>
      </c>
    </row>
    <row r="458" spans="1:63" hidden="1">
      <c r="A458" s="275">
        <v>435</v>
      </c>
      <c r="B458" s="276" t="str">
        <f t="shared" ref="B458" si="392">TEXT(BC458,"mmm yyyy")</f>
        <v>Dec 2014</v>
      </c>
      <c r="C458" s="277" t="str">
        <f t="shared" ref="C458" si="393">BK458</f>
        <v>LEV</v>
      </c>
      <c r="D458" s="277" t="str">
        <f t="shared" ref="D458" si="394">BJ458</f>
        <v>LGRSE543</v>
      </c>
      <c r="E458" s="278">
        <f t="shared" si="281"/>
        <v>0</v>
      </c>
      <c r="F458" s="279">
        <v>0</v>
      </c>
      <c r="G458" s="278">
        <f t="shared" si="282"/>
        <v>0</v>
      </c>
      <c r="H458" s="278">
        <f t="shared" si="283"/>
        <v>0</v>
      </c>
      <c r="I458" s="278">
        <f t="shared" si="284"/>
        <v>0</v>
      </c>
      <c r="J458" s="278">
        <f t="shared" si="285"/>
        <v>0</v>
      </c>
      <c r="K458" s="280">
        <v>0</v>
      </c>
      <c r="L458" s="281">
        <f t="shared" si="286"/>
        <v>0</v>
      </c>
      <c r="M458" s="281">
        <f t="shared" si="287"/>
        <v>0</v>
      </c>
      <c r="N458" s="281">
        <f t="shared" si="288"/>
        <v>0</v>
      </c>
      <c r="O458" s="282">
        <v>0</v>
      </c>
      <c r="P458" s="282">
        <v>0</v>
      </c>
      <c r="Q458" s="282">
        <v>0</v>
      </c>
      <c r="R458" s="283">
        <f t="shared" ref="R458" si="395">SUMIF(L_Rates_Tariff_Rate_Category,BD458,L_Rates_BSC)</f>
        <v>10.75</v>
      </c>
      <c r="S458" s="284">
        <f t="shared" si="325"/>
        <v>5.8200000000000002E-2</v>
      </c>
      <c r="T458" s="284">
        <f t="shared" si="290"/>
        <v>7.8990000000000005E-2</v>
      </c>
      <c r="U458" s="284">
        <f t="shared" si="291"/>
        <v>0.14451000000000003</v>
      </c>
      <c r="V458" s="284">
        <f t="shared" si="292"/>
        <v>2.725E-2</v>
      </c>
      <c r="W458" s="283">
        <f t="shared" si="293"/>
        <v>0</v>
      </c>
      <c r="X458" s="283">
        <f t="shared" si="294"/>
        <v>0</v>
      </c>
      <c r="Y458" s="283">
        <f t="shared" si="295"/>
        <v>0</v>
      </c>
      <c r="Z458" s="285">
        <f t="shared" si="354"/>
        <v>0</v>
      </c>
      <c r="AA458" s="285">
        <f t="shared" si="355"/>
        <v>0</v>
      </c>
      <c r="AB458" s="285">
        <f t="shared" si="367"/>
        <v>0</v>
      </c>
      <c r="AC458" s="285">
        <f t="shared" si="368"/>
        <v>0</v>
      </c>
      <c r="AD458" s="285">
        <f t="shared" si="369"/>
        <v>0</v>
      </c>
      <c r="AE458" s="286">
        <v>0</v>
      </c>
      <c r="AF458" s="287">
        <f t="shared" si="298"/>
        <v>0</v>
      </c>
      <c r="AG458" s="288">
        <f t="shared" si="356"/>
        <v>0</v>
      </c>
      <c r="AH458" s="285">
        <f t="shared" ref="AH458" si="396">SUM(AB458:AG458)</f>
        <v>0</v>
      </c>
      <c r="AI458" s="286">
        <v>0</v>
      </c>
      <c r="AJ458" s="286">
        <v>0</v>
      </c>
      <c r="AK458" s="286">
        <v>0</v>
      </c>
      <c r="AL458" s="285">
        <f t="shared" si="358"/>
        <v>0</v>
      </c>
      <c r="AM458" s="285">
        <f t="shared" ref="AM458" si="397">AT458-SUM(AO458:AS458)</f>
        <v>0</v>
      </c>
      <c r="AN458" s="289">
        <f t="shared" ref="AN458" si="398">IF(AND(AL458=0,AM458=0),1,IF(AL458=0,0,ROUND(AM458/AL458,6)))</f>
        <v>1</v>
      </c>
      <c r="AO458" s="290">
        <f t="shared" si="302"/>
        <v>0</v>
      </c>
      <c r="AP458" s="290">
        <f t="shared" si="303"/>
        <v>0</v>
      </c>
      <c r="AQ458" s="290">
        <f t="shared" si="304"/>
        <v>0</v>
      </c>
      <c r="AR458" s="290">
        <f t="shared" si="305"/>
        <v>0</v>
      </c>
      <c r="AS458" s="290">
        <f t="shared" si="306"/>
        <v>0</v>
      </c>
      <c r="AT458" s="290">
        <f t="shared" si="307"/>
        <v>0</v>
      </c>
      <c r="AU458" s="291">
        <f t="shared" ref="AU458" si="399">SUM(AL458,AO458:AS458)</f>
        <v>0</v>
      </c>
      <c r="AV458" s="291">
        <f t="shared" ref="AV458" si="400">AT458-AU458</f>
        <v>0</v>
      </c>
      <c r="AW458" s="292">
        <f t="shared" si="363"/>
        <v>0</v>
      </c>
      <c r="AX458" s="293">
        <f t="shared" si="364"/>
        <v>0</v>
      </c>
      <c r="BC458" s="276">
        <f>IF(BI458=1,IF(BC445=MiscData!$F$1,EOMONTH(BC445,-11),EOMONTH(BC445,1)),BC445)</f>
        <v>42004</v>
      </c>
      <c r="BD458" s="275" t="str">
        <f t="shared" ref="BD458" si="401">CONCATENATE(BF458&amp;BJ458)</f>
        <v>20140101LGRSE543</v>
      </c>
      <c r="BE458" s="294" t="str">
        <f t="shared" ref="BE458" si="402">CONCATENATE(BF458&amp;BK458)</f>
        <v>20140101LEV</v>
      </c>
      <c r="BF458">
        <f>MiscData!$X$5</f>
        <v>20140101</v>
      </c>
      <c r="BI458" s="265">
        <f>IF(BI457+1&gt;MiscData!$Z$42,1,BI457+1)</f>
        <v>37</v>
      </c>
      <c r="BJ458" s="265" t="str">
        <f>VLOOKUP(BI458,MiscData!$Z$5:$AB$46,2,FALSE)</f>
        <v>LGRSE543</v>
      </c>
      <c r="BK458" s="265" t="str">
        <f>VLOOKUP(BI458,MiscData!$Z$5:$AB$46,3,FALSE)</f>
        <v>LEV</v>
      </c>
    </row>
    <row r="459" spans="1:63" hidden="1">
      <c r="A459" s="275">
        <v>436</v>
      </c>
      <c r="B459" s="276" t="str">
        <f t="shared" si="311"/>
        <v>Dec 2014</v>
      </c>
      <c r="C459" s="277" t="str">
        <f t="shared" si="321"/>
        <v>LEV</v>
      </c>
      <c r="D459" s="277" t="str">
        <f t="shared" si="312"/>
        <v>LGRSE547</v>
      </c>
      <c r="E459" s="278">
        <f t="shared" si="281"/>
        <v>0</v>
      </c>
      <c r="F459" s="279">
        <v>0</v>
      </c>
      <c r="G459" s="278">
        <f t="shared" si="282"/>
        <v>0</v>
      </c>
      <c r="H459" s="278">
        <f t="shared" si="283"/>
        <v>0</v>
      </c>
      <c r="I459" s="278">
        <f t="shared" si="284"/>
        <v>0</v>
      </c>
      <c r="J459" s="278">
        <f t="shared" si="285"/>
        <v>0</v>
      </c>
      <c r="K459" s="280">
        <v>0</v>
      </c>
      <c r="L459" s="281">
        <f t="shared" si="286"/>
        <v>0</v>
      </c>
      <c r="M459" s="281">
        <f t="shared" si="287"/>
        <v>0</v>
      </c>
      <c r="N459" s="281">
        <f t="shared" si="288"/>
        <v>0</v>
      </c>
      <c r="O459" s="282">
        <v>0</v>
      </c>
      <c r="P459" s="282">
        <v>0</v>
      </c>
      <c r="Q459" s="282">
        <v>0</v>
      </c>
      <c r="R459" s="283">
        <f t="shared" si="289"/>
        <v>10.75</v>
      </c>
      <c r="S459" s="284">
        <f t="shared" si="325"/>
        <v>5.8200000000000002E-2</v>
      </c>
      <c r="T459" s="284">
        <f t="shared" si="290"/>
        <v>7.8990000000000005E-2</v>
      </c>
      <c r="U459" s="284">
        <f t="shared" si="291"/>
        <v>0.14451000000000003</v>
      </c>
      <c r="V459" s="284">
        <f t="shared" si="292"/>
        <v>2.725E-2</v>
      </c>
      <c r="W459" s="283">
        <f t="shared" si="293"/>
        <v>0</v>
      </c>
      <c r="X459" s="283">
        <f t="shared" si="294"/>
        <v>0</v>
      </c>
      <c r="Y459" s="283">
        <f t="shared" si="295"/>
        <v>0</v>
      </c>
      <c r="Z459" s="285">
        <f t="shared" si="354"/>
        <v>0</v>
      </c>
      <c r="AA459" s="285">
        <f t="shared" si="355"/>
        <v>0</v>
      </c>
      <c r="AB459" s="285">
        <f t="shared" si="367"/>
        <v>0</v>
      </c>
      <c r="AC459" s="285">
        <f t="shared" si="368"/>
        <v>0</v>
      </c>
      <c r="AD459" s="285">
        <f t="shared" si="369"/>
        <v>0</v>
      </c>
      <c r="AE459" s="286">
        <v>0</v>
      </c>
      <c r="AF459" s="287">
        <f t="shared" si="298"/>
        <v>0</v>
      </c>
      <c r="AG459" s="288">
        <f t="shared" si="356"/>
        <v>0</v>
      </c>
      <c r="AH459" s="285">
        <f t="shared" si="316"/>
        <v>0</v>
      </c>
      <c r="AI459" s="286">
        <v>0</v>
      </c>
      <c r="AJ459" s="286">
        <v>0</v>
      </c>
      <c r="AK459" s="286">
        <v>0</v>
      </c>
      <c r="AL459" s="285">
        <f t="shared" si="358"/>
        <v>0</v>
      </c>
      <c r="AM459" s="285">
        <f t="shared" si="301"/>
        <v>0</v>
      </c>
      <c r="AN459" s="289">
        <f t="shared" si="317"/>
        <v>1</v>
      </c>
      <c r="AO459" s="290">
        <f t="shared" si="302"/>
        <v>0</v>
      </c>
      <c r="AP459" s="290">
        <f t="shared" si="303"/>
        <v>0</v>
      </c>
      <c r="AQ459" s="290">
        <f t="shared" si="304"/>
        <v>0</v>
      </c>
      <c r="AR459" s="290">
        <f t="shared" si="305"/>
        <v>0</v>
      </c>
      <c r="AS459" s="290">
        <f t="shared" si="306"/>
        <v>0</v>
      </c>
      <c r="AT459" s="290">
        <f t="shared" si="307"/>
        <v>0</v>
      </c>
      <c r="AU459" s="291">
        <f t="shared" si="308"/>
        <v>0</v>
      </c>
      <c r="AV459" s="291">
        <f t="shared" si="326"/>
        <v>0</v>
      </c>
      <c r="AW459" s="292">
        <f t="shared" si="363"/>
        <v>0</v>
      </c>
      <c r="AX459" s="293">
        <f t="shared" si="364"/>
        <v>0</v>
      </c>
      <c r="BC459" s="276">
        <f>IF(BI459=1,IF(BC446=MiscData!$F$1,EOMONTH(BC446,-11),EOMONTH(BC446,1)),BC446)</f>
        <v>42004</v>
      </c>
      <c r="BD459" s="275" t="str">
        <f t="shared" si="319"/>
        <v>20140101LGRSE547</v>
      </c>
      <c r="BE459" s="294" t="str">
        <f t="shared" si="320"/>
        <v>20140101LEV</v>
      </c>
      <c r="BF459">
        <f>MiscData!$X$5</f>
        <v>20140101</v>
      </c>
      <c r="BI459" s="265">
        <f>IF(BI458+1&gt;MiscData!$Z$42,1,BI458+1)</f>
        <v>38</v>
      </c>
      <c r="BJ459" s="265" t="str">
        <f>VLOOKUP(BI459,MiscData!$Z$5:$AB$46,2,FALSE)</f>
        <v>LGRSE547</v>
      </c>
      <c r="BK459" s="265" t="str">
        <f>VLOOKUP(BI459,MiscData!$Z$5:$AB$46,3,FALSE)</f>
        <v>LEV</v>
      </c>
    </row>
    <row r="460" spans="1:63">
      <c r="F460" s="295"/>
      <c r="BC460" s="276"/>
      <c r="BD460" s="275"/>
      <c r="BE460" s="294"/>
    </row>
    <row r="461" spans="1:63">
      <c r="F461" s="295"/>
      <c r="BC461" s="276"/>
      <c r="BD461" s="275"/>
      <c r="BE461" s="294"/>
    </row>
    <row r="462" spans="1:63">
      <c r="E462" s="296">
        <f t="shared" ref="E462:J462" si="403">SUM(E4:E461)</f>
        <v>4880048</v>
      </c>
      <c r="F462" s="296">
        <f t="shared" si="403"/>
        <v>-20334</v>
      </c>
      <c r="G462" s="296">
        <f t="shared" si="403"/>
        <v>96476</v>
      </c>
      <c r="H462" s="296">
        <f t="shared" si="403"/>
        <v>40168</v>
      </c>
      <c r="I462" s="296">
        <f t="shared" si="403"/>
        <v>32884</v>
      </c>
      <c r="J462" s="296">
        <f t="shared" si="403"/>
        <v>11537562448</v>
      </c>
      <c r="K462" s="296"/>
      <c r="L462" s="297">
        <f t="shared" ref="L462:Q462" si="404">SUM(L4:L461)</f>
        <v>11071858.240000004</v>
      </c>
      <c r="M462" s="297">
        <f t="shared" si="404"/>
        <v>11307679.120000005</v>
      </c>
      <c r="N462" s="297">
        <f t="shared" si="404"/>
        <v>10049296.160000006</v>
      </c>
      <c r="O462" s="297">
        <f t="shared" si="404"/>
        <v>103882.94000000002</v>
      </c>
      <c r="P462" s="297">
        <f t="shared" si="404"/>
        <v>39704.199999999983</v>
      </c>
      <c r="Q462" s="297">
        <f t="shared" si="404"/>
        <v>69171.300000000076</v>
      </c>
      <c r="R462" s="296"/>
      <c r="S462" s="296"/>
      <c r="T462" s="296"/>
      <c r="U462" s="296"/>
      <c r="V462" s="296"/>
      <c r="W462" s="296"/>
      <c r="X462" s="296"/>
      <c r="Y462" s="296"/>
      <c r="Z462" s="296">
        <f t="shared" ref="Z462:AK462" si="405">SUM(Z4:Z461)</f>
        <v>63798617.75</v>
      </c>
      <c r="AA462" s="296">
        <f t="shared" si="405"/>
        <v>688637891.62</v>
      </c>
      <c r="AB462" s="296">
        <f t="shared" si="405"/>
        <v>30253731.330000006</v>
      </c>
      <c r="AC462" s="296">
        <f t="shared" si="405"/>
        <v>75718184.109999999</v>
      </c>
      <c r="AD462" s="296">
        <f t="shared" si="405"/>
        <v>80578695.750000015</v>
      </c>
      <c r="AE462" s="296">
        <f t="shared" si="405"/>
        <v>10530</v>
      </c>
      <c r="AF462" s="296">
        <f t="shared" si="405"/>
        <v>873793.29999999981</v>
      </c>
      <c r="AG462" s="296">
        <f t="shared" si="405"/>
        <v>1790441.4100000001</v>
      </c>
      <c r="AH462" s="296">
        <f t="shared" si="405"/>
        <v>189225375.89999998</v>
      </c>
      <c r="AI462" s="296">
        <f t="shared" si="405"/>
        <v>-187575.34</v>
      </c>
      <c r="AJ462" s="296">
        <f t="shared" si="405"/>
        <v>-4451.8500000000004</v>
      </c>
      <c r="AK462" s="296">
        <f t="shared" si="405"/>
        <v>-150416.82</v>
      </c>
      <c r="AL462" s="296">
        <f>SUM(AL4:AL461)</f>
        <v>941319441.26000047</v>
      </c>
      <c r="AM462" s="296">
        <f>SUM(AM4:AM461)</f>
        <v>941319429.57223618</v>
      </c>
      <c r="AN462" s="296"/>
      <c r="AO462" s="296">
        <f t="shared" ref="AO462:AV462" si="406">SUM(AO4:AO461)</f>
        <v>-1175159.679215828</v>
      </c>
      <c r="AP462" s="296">
        <f t="shared" si="406"/>
        <v>26250329.07</v>
      </c>
      <c r="AQ462" s="296">
        <f t="shared" si="406"/>
        <v>39948389.920000009</v>
      </c>
      <c r="AR462" s="296">
        <f t="shared" si="406"/>
        <v>-9.9999999999999978E-2</v>
      </c>
      <c r="AS462" s="296">
        <f t="shared" si="406"/>
        <v>-3371684.2899999996</v>
      </c>
      <c r="AT462" s="296">
        <f t="shared" si="406"/>
        <v>1002971304.4930202</v>
      </c>
      <c r="AU462" s="296">
        <f t="shared" si="406"/>
        <v>1002971316.1807843</v>
      </c>
      <c r="AV462" s="296">
        <f t="shared" si="406"/>
        <v>-11.687764006436918</v>
      </c>
      <c r="BC462" s="276"/>
      <c r="BD462" s="275"/>
      <c r="BE462" s="294"/>
    </row>
    <row r="463" spans="1:63">
      <c r="D463" s="261" t="s">
        <v>884</v>
      </c>
      <c r="AM463" s="296">
        <f>'12MonLights'!O890</f>
        <v>18190514.849999994</v>
      </c>
      <c r="BC463" s="276"/>
      <c r="BD463" s="275"/>
      <c r="BE463" s="294"/>
    </row>
    <row r="464" spans="1:63">
      <c r="AM464" s="298">
        <f>AM462+AM463</f>
        <v>959509944.4222362</v>
      </c>
      <c r="BC464" s="276"/>
      <c r="BD464" s="275"/>
      <c r="BE464" s="294"/>
    </row>
    <row r="465" spans="3:57">
      <c r="AO465" s="158"/>
      <c r="AP465" s="158"/>
      <c r="AQ465" s="158"/>
      <c r="AR465" s="158"/>
      <c r="AS465" s="158"/>
      <c r="AT465" s="158"/>
      <c r="AU465" s="497"/>
      <c r="BC465" s="276"/>
      <c r="BD465" s="275"/>
      <c r="BE465" s="294"/>
    </row>
    <row r="466" spans="3:57">
      <c r="AA466" s="291"/>
      <c r="AO466" s="158"/>
      <c r="AP466" s="158"/>
      <c r="AQ466" s="158"/>
      <c r="AR466" s="158"/>
      <c r="AS466" s="158"/>
      <c r="AT466" s="158"/>
      <c r="AU466" s="158"/>
      <c r="BC466" s="276"/>
      <c r="BD466" s="275"/>
      <c r="BE466" s="294"/>
    </row>
    <row r="467" spans="3:57">
      <c r="AA467" s="291"/>
      <c r="AH467" s="291"/>
      <c r="BC467" s="276"/>
      <c r="BD467" s="275"/>
      <c r="BE467" s="294"/>
    </row>
    <row r="468" spans="3:57">
      <c r="C468" s="265"/>
      <c r="E468" s="299"/>
      <c r="F468" s="299"/>
      <c r="G468" s="299"/>
      <c r="H468" s="299"/>
      <c r="I468" s="300"/>
      <c r="J468" s="299"/>
      <c r="K468" s="299"/>
      <c r="AM468" s="299"/>
      <c r="AO468" s="299"/>
      <c r="AQ468" s="299"/>
      <c r="AR468" s="299"/>
      <c r="BC468" s="276"/>
      <c r="BD468" s="275"/>
      <c r="BE468" s="294"/>
    </row>
    <row r="469" spans="3:57">
      <c r="C469" s="301"/>
      <c r="E469" s="299"/>
      <c r="F469" s="299"/>
      <c r="G469" s="299"/>
      <c r="H469" s="299"/>
      <c r="I469" s="300"/>
      <c r="J469" s="299"/>
      <c r="K469" s="299"/>
      <c r="AM469" s="299"/>
      <c r="AO469" s="299"/>
      <c r="AQ469" s="299"/>
      <c r="AR469" s="299"/>
      <c r="BC469" s="276"/>
      <c r="BD469" s="275"/>
      <c r="BE469" s="294"/>
    </row>
    <row r="470" spans="3:57">
      <c r="C470" s="302"/>
      <c r="E470" s="299"/>
      <c r="F470" s="299"/>
      <c r="G470" s="299"/>
      <c r="H470" s="299"/>
      <c r="I470" s="300"/>
      <c r="J470" s="299"/>
      <c r="K470" s="299"/>
      <c r="AM470" s="299"/>
      <c r="AO470" s="299"/>
      <c r="AQ470" s="299"/>
      <c r="AR470" s="299"/>
      <c r="BC470" s="276"/>
      <c r="BD470" s="275"/>
      <c r="BE470" s="294"/>
    </row>
    <row r="471" spans="3:57">
      <c r="C471" s="302"/>
      <c r="E471" s="299"/>
      <c r="F471" s="299"/>
      <c r="G471" s="299"/>
      <c r="H471" s="299"/>
      <c r="I471" s="300"/>
      <c r="J471" s="299"/>
      <c r="K471" s="299"/>
      <c r="AM471" s="299"/>
      <c r="AO471" s="299"/>
      <c r="AQ471" s="299"/>
      <c r="AR471" s="299"/>
      <c r="BC471" s="276"/>
      <c r="BD471" s="275"/>
      <c r="BE471" s="294"/>
    </row>
    <row r="472" spans="3:57">
      <c r="C472" s="265"/>
      <c r="E472" s="299"/>
      <c r="F472" s="299"/>
      <c r="G472" s="299"/>
      <c r="H472" s="299"/>
      <c r="I472" s="300"/>
      <c r="J472" s="299"/>
      <c r="K472" s="299"/>
      <c r="AM472" s="299"/>
      <c r="AO472" s="299"/>
      <c r="AQ472" s="299"/>
      <c r="AR472" s="299"/>
      <c r="BC472" s="276"/>
      <c r="BD472" s="275"/>
      <c r="BE472" s="294"/>
    </row>
    <row r="473" spans="3:57">
      <c r="C473" s="302"/>
      <c r="E473" s="299"/>
      <c r="F473" s="299"/>
      <c r="G473" s="299"/>
      <c r="H473" s="299"/>
      <c r="I473" s="300"/>
      <c r="J473" s="299"/>
      <c r="K473" s="299"/>
      <c r="AM473" s="299"/>
      <c r="AO473" s="299"/>
      <c r="AQ473" s="299"/>
      <c r="AR473" s="299"/>
      <c r="BC473" s="276"/>
      <c r="BD473" s="275"/>
      <c r="BE473" s="294"/>
    </row>
    <row r="474" spans="3:57">
      <c r="C474" s="302"/>
      <c r="E474" s="299"/>
      <c r="F474" s="299"/>
      <c r="G474" s="299"/>
      <c r="H474" s="299"/>
      <c r="I474" s="300"/>
      <c r="J474" s="299"/>
      <c r="K474" s="299"/>
      <c r="AM474" s="299"/>
      <c r="AO474" s="299"/>
      <c r="AQ474" s="299"/>
      <c r="AR474" s="299"/>
      <c r="BC474" s="276"/>
      <c r="BD474" s="275"/>
      <c r="BE474" s="294"/>
    </row>
    <row r="475" spans="3:57">
      <c r="C475" s="265"/>
      <c r="E475" s="299"/>
      <c r="F475" s="299"/>
      <c r="G475" s="299"/>
      <c r="H475" s="299"/>
      <c r="I475" s="300"/>
      <c r="J475" s="299"/>
      <c r="K475" s="299"/>
      <c r="AM475" s="299"/>
      <c r="AO475" s="299"/>
      <c r="AQ475" s="299"/>
      <c r="AR475" s="299"/>
      <c r="BC475" s="276"/>
      <c r="BD475" s="275"/>
      <c r="BE475" s="294"/>
    </row>
    <row r="476" spans="3:57">
      <c r="C476" s="265"/>
      <c r="E476" s="299"/>
      <c r="F476" s="299"/>
      <c r="G476" s="299"/>
      <c r="H476" s="299"/>
      <c r="I476" s="300"/>
      <c r="J476" s="299"/>
      <c r="K476" s="299"/>
      <c r="AM476" s="299"/>
      <c r="AO476" s="299"/>
      <c r="AQ476" s="299"/>
      <c r="AR476" s="299"/>
      <c r="BD476" s="275"/>
      <c r="BE476" s="294"/>
    </row>
    <row r="477" spans="3:57">
      <c r="C477" s="265"/>
      <c r="E477" s="299"/>
      <c r="F477" s="299"/>
      <c r="G477" s="299"/>
      <c r="H477" s="299"/>
      <c r="I477" s="300"/>
      <c r="J477" s="299"/>
      <c r="K477" s="299"/>
      <c r="AM477" s="299"/>
      <c r="AO477" s="299"/>
      <c r="AQ477" s="299"/>
      <c r="AR477" s="299"/>
      <c r="BD477" s="275"/>
      <c r="BE477" s="294"/>
    </row>
    <row r="478" spans="3:57">
      <c r="C478" s="301"/>
      <c r="E478" s="299"/>
      <c r="F478" s="299"/>
      <c r="G478" s="299"/>
      <c r="H478" s="299"/>
      <c r="I478" s="300"/>
      <c r="J478" s="299"/>
      <c r="K478" s="299"/>
      <c r="AM478" s="299"/>
      <c r="AO478" s="299"/>
      <c r="AQ478" s="299"/>
      <c r="AR478" s="299"/>
      <c r="BD478" s="275"/>
      <c r="BE478" s="294"/>
    </row>
    <row r="479" spans="3:57">
      <c r="C479" s="302"/>
      <c r="E479" s="299"/>
      <c r="F479" s="299"/>
      <c r="G479" s="299"/>
      <c r="H479" s="299"/>
      <c r="I479" s="300"/>
      <c r="J479" s="299"/>
      <c r="K479" s="299"/>
      <c r="AM479" s="299"/>
      <c r="AO479" s="299"/>
      <c r="AQ479" s="299"/>
      <c r="AR479" s="299"/>
      <c r="BD479" s="275"/>
      <c r="BE479" s="294"/>
    </row>
    <row r="480" spans="3:57">
      <c r="C480" s="301"/>
      <c r="E480" s="299"/>
      <c r="F480" s="299"/>
      <c r="G480" s="299"/>
      <c r="H480" s="299"/>
      <c r="I480" s="300"/>
      <c r="J480" s="299"/>
      <c r="K480" s="299"/>
      <c r="AM480" s="299"/>
      <c r="AO480" s="299"/>
      <c r="AQ480" s="299"/>
      <c r="AR480" s="299"/>
      <c r="BD480" s="275"/>
      <c r="BE480" s="294"/>
    </row>
    <row r="481" spans="3:57">
      <c r="C481" s="301"/>
      <c r="E481" s="299"/>
      <c r="F481" s="299"/>
      <c r="G481" s="299"/>
      <c r="H481" s="299"/>
      <c r="I481" s="300"/>
      <c r="J481" s="299"/>
      <c r="K481" s="299"/>
      <c r="AM481" s="299"/>
      <c r="AO481" s="299"/>
      <c r="AQ481" s="299"/>
      <c r="AR481" s="299"/>
      <c r="BD481" s="275"/>
      <c r="BE481" s="294"/>
    </row>
    <row r="482" spans="3:57">
      <c r="C482" s="265"/>
      <c r="E482" s="299"/>
      <c r="F482" s="299"/>
      <c r="G482" s="299"/>
      <c r="H482" s="299"/>
      <c r="I482" s="300"/>
      <c r="J482" s="299"/>
      <c r="K482" s="299"/>
      <c r="AM482" s="299"/>
      <c r="AO482" s="299"/>
      <c r="AQ482" s="299"/>
      <c r="AR482" s="299"/>
      <c r="BD482" s="275"/>
      <c r="BE482" s="294"/>
    </row>
    <row r="483" spans="3:57">
      <c r="C483" s="265"/>
      <c r="E483" s="299"/>
      <c r="F483" s="299"/>
      <c r="G483" s="299"/>
      <c r="H483" s="299"/>
      <c r="I483" s="300"/>
      <c r="J483" s="299"/>
      <c r="K483" s="299"/>
      <c r="AM483" s="299"/>
      <c r="AO483" s="299"/>
      <c r="AQ483" s="299"/>
      <c r="AR483" s="299"/>
      <c r="BD483" s="275"/>
      <c r="BE483" s="294"/>
    </row>
    <row r="484" spans="3:57">
      <c r="C484" s="265"/>
      <c r="E484" s="299"/>
      <c r="F484" s="299"/>
      <c r="G484" s="299"/>
      <c r="H484" s="299"/>
      <c r="I484" s="300"/>
      <c r="J484" s="299"/>
      <c r="K484" s="299"/>
      <c r="AM484" s="299"/>
      <c r="AO484" s="299"/>
      <c r="AQ484" s="299"/>
      <c r="AR484" s="299"/>
      <c r="BD484" s="275"/>
      <c r="BE484" s="294"/>
    </row>
    <row r="485" spans="3:57">
      <c r="C485" s="265"/>
      <c r="E485" s="299"/>
      <c r="F485" s="299"/>
      <c r="G485" s="299"/>
      <c r="H485" s="299"/>
      <c r="I485" s="300"/>
      <c r="J485" s="299"/>
      <c r="K485" s="299"/>
      <c r="AM485" s="299"/>
      <c r="AO485" s="299"/>
      <c r="AQ485" s="299"/>
      <c r="AR485" s="299"/>
      <c r="BD485" s="275"/>
      <c r="BE485" s="294"/>
    </row>
    <row r="486" spans="3:57">
      <c r="C486" s="265"/>
      <c r="E486" s="299"/>
      <c r="F486" s="299"/>
      <c r="G486" s="299"/>
      <c r="H486" s="299"/>
      <c r="I486" s="300"/>
      <c r="J486" s="299"/>
      <c r="K486" s="299"/>
      <c r="AM486" s="299"/>
      <c r="AO486" s="299"/>
      <c r="AQ486" s="299"/>
      <c r="AR486" s="299"/>
      <c r="BD486" s="275"/>
      <c r="BE486" s="294"/>
    </row>
    <row r="487" spans="3:57">
      <c r="C487" s="265"/>
      <c r="E487" s="299"/>
      <c r="F487" s="299"/>
      <c r="G487" s="299"/>
      <c r="H487" s="299"/>
      <c r="I487" s="300"/>
      <c r="J487" s="299"/>
      <c r="K487" s="299"/>
      <c r="AM487" s="299"/>
      <c r="AO487" s="299"/>
      <c r="AQ487" s="299"/>
      <c r="AR487" s="299"/>
      <c r="BD487" s="275"/>
      <c r="BE487" s="294"/>
    </row>
    <row r="488" spans="3:57">
      <c r="C488" s="265"/>
      <c r="E488" s="299"/>
      <c r="F488" s="299"/>
      <c r="G488" s="299"/>
      <c r="H488" s="299"/>
      <c r="I488" s="300"/>
      <c r="J488" s="299"/>
      <c r="K488" s="299"/>
      <c r="AM488" s="299"/>
      <c r="AO488" s="299"/>
      <c r="AQ488" s="299"/>
      <c r="AR488" s="299"/>
      <c r="BD488" s="275"/>
      <c r="BE488" s="294"/>
    </row>
    <row r="489" spans="3:57">
      <c r="C489" s="265"/>
      <c r="E489" s="299"/>
      <c r="F489" s="299"/>
      <c r="G489" s="299"/>
      <c r="H489" s="299"/>
      <c r="I489" s="300"/>
      <c r="J489" s="299"/>
      <c r="K489" s="299"/>
      <c r="AM489" s="299"/>
      <c r="AO489" s="299"/>
      <c r="AQ489" s="299"/>
      <c r="AR489" s="299"/>
      <c r="BD489" s="275"/>
      <c r="BE489" s="294"/>
    </row>
    <row r="490" spans="3:57">
      <c r="G490" s="300"/>
      <c r="H490" s="300"/>
      <c r="I490" s="300"/>
      <c r="AM490" s="261"/>
      <c r="AO490" s="261"/>
      <c r="AQ490" s="262"/>
      <c r="BD490" s="275"/>
      <c r="BE490" s="294"/>
    </row>
    <row r="491" spans="3:57">
      <c r="E491" s="299"/>
      <c r="F491" s="299"/>
      <c r="G491" s="299"/>
      <c r="H491" s="299"/>
      <c r="I491" s="300"/>
      <c r="J491" s="299"/>
      <c r="K491" s="299"/>
      <c r="AM491" s="299">
        <f>SUM(AM468:AM489)</f>
        <v>0</v>
      </c>
      <c r="AO491" s="299">
        <f>SUM(AO468:AO489)</f>
        <v>0</v>
      </c>
      <c r="AQ491" s="299">
        <f>SUM(AQ468:AQ489)</f>
        <v>0</v>
      </c>
      <c r="AR491" s="299">
        <f>SUM(AR468:AR489)</f>
        <v>0</v>
      </c>
      <c r="BD491" s="275"/>
      <c r="BE491" s="294"/>
    </row>
    <row r="492" spans="3:57">
      <c r="C492" s="261" t="s">
        <v>79</v>
      </c>
      <c r="G492" s="300"/>
      <c r="H492" s="299"/>
      <c r="I492" s="300"/>
      <c r="BD492" s="275"/>
      <c r="BE492" s="294"/>
    </row>
    <row r="493" spans="3:57">
      <c r="G493" s="300"/>
      <c r="H493" s="300"/>
      <c r="I493" s="300"/>
      <c r="BD493" s="275"/>
      <c r="BE493" s="294"/>
    </row>
    <row r="494" spans="3:57">
      <c r="G494" s="300"/>
      <c r="H494" s="300"/>
      <c r="I494" s="300"/>
      <c r="BD494" s="275"/>
      <c r="BE494" s="294"/>
    </row>
    <row r="495" spans="3:57">
      <c r="G495" s="300"/>
      <c r="H495" s="300"/>
      <c r="I495" s="300"/>
      <c r="BD495" s="275"/>
      <c r="BE495" s="294"/>
    </row>
    <row r="496" spans="3:57" ht="12.6" customHeight="1">
      <c r="G496" s="300"/>
      <c r="H496" s="300"/>
      <c r="I496" s="300"/>
      <c r="K496" s="639" t="s">
        <v>18</v>
      </c>
      <c r="L496" s="639"/>
      <c r="M496" s="261" t="s">
        <v>18</v>
      </c>
      <c r="N496" s="261" t="s">
        <v>17</v>
      </c>
      <c r="O496" s="261"/>
      <c r="P496" s="261" t="s">
        <v>17</v>
      </c>
      <c r="AL496" s="639" t="s">
        <v>18</v>
      </c>
      <c r="AM496" s="261" t="s">
        <v>17</v>
      </c>
      <c r="BD496" s="275"/>
      <c r="BE496" s="294"/>
    </row>
    <row r="497" spans="2:57" ht="12.6" customHeight="1">
      <c r="B497" s="638" t="s">
        <v>1301</v>
      </c>
      <c r="C497" s="275" t="s">
        <v>18</v>
      </c>
      <c r="E497" s="261"/>
      <c r="F497" s="295"/>
      <c r="K497" s="299">
        <f>SUMIFS(J$4:J$459,$B$4:$B$459,$B497,$C$4:$C$459,$C$497)</f>
        <v>296686</v>
      </c>
      <c r="L497" s="299">
        <f>SUMIFS($K$4:$K$459,$B$4:$B$459,$B497,$C$4:$C$459,$C$497)</f>
        <v>0</v>
      </c>
      <c r="M497" s="639">
        <f>K497+L497</f>
        <v>296686</v>
      </c>
      <c r="N497" s="299">
        <f>SUMIFS(J$4:J$459,$B$4:$B$459,$B497,$C$4:$C$459,$C$498)</f>
        <v>367257</v>
      </c>
      <c r="O497" s="299">
        <f>SUMIFS($K$4:$K$459,$B$4:$B$459,$B497,$C$4:$C$459,$C$498)</f>
        <v>0</v>
      </c>
      <c r="P497" s="639">
        <f>N497+O497</f>
        <v>367257</v>
      </c>
      <c r="AL497" s="299">
        <f>SUMIFS(AM$4:AM$459,$B$4:$B$459,$B497,$C$4:$C$459,$C$497)</f>
        <v>25661</v>
      </c>
      <c r="AM497" s="299">
        <f>SUMIFS(AM$4:AM$459,$B$4:$B$459,$B497,$C$4:$C$459,$C$498)</f>
        <v>23728</v>
      </c>
      <c r="BD497" s="275"/>
      <c r="BE497" s="294"/>
    </row>
    <row r="498" spans="2:57" ht="12.6" customHeight="1">
      <c r="B498" s="640" t="s">
        <v>1302</v>
      </c>
      <c r="C498" s="275" t="s">
        <v>17</v>
      </c>
      <c r="E498" s="261"/>
      <c r="F498" s="295"/>
      <c r="K498" s="299">
        <f t="shared" ref="K498:K508" si="407">SUMIFS(J$4:J$459,$B$4:$B$459,$B498,$C$4:$C$459,$C$497)</f>
        <v>246865</v>
      </c>
      <c r="L498" s="299">
        <f t="shared" ref="L498:L508" si="408">SUMIFS($K$4:$K$459,$B$4:$B$459,$B498,$C$4:$C$459,$C$497)</f>
        <v>0</v>
      </c>
      <c r="M498" s="639">
        <f t="shared" ref="M498:M508" si="409">K498+L498</f>
        <v>246865</v>
      </c>
      <c r="N498" s="299">
        <f t="shared" ref="N498:N508" si="410">SUMIFS(J$4:J$459,$B$4:$B$459,$B498,$C$4:$C$459,$C$498)</f>
        <v>285906</v>
      </c>
      <c r="O498" s="299">
        <f t="shared" ref="O498:O508" si="411">SUMIFS($K$4:$K$459,$B$4:$B$459,$B498,$C$4:$C$459,$C$498)</f>
        <v>0</v>
      </c>
      <c r="P498" s="639">
        <f>N498+O498</f>
        <v>285906</v>
      </c>
      <c r="AL498" s="299">
        <f t="shared" ref="AL498:AL508" si="412">SUMIFS(AM$4:AM$459,$B$4:$B$459,$B498,$C$4:$C$459,$C$497)</f>
        <v>21846</v>
      </c>
      <c r="AM498" s="299">
        <f t="shared" ref="AM498:AM508" si="413">SUMIFS(AM$4:AM$459,$B$4:$B$459,$B498,$C$4:$C$459,$C$498)</f>
        <v>18472</v>
      </c>
      <c r="BD498" s="275"/>
      <c r="BE498" s="294"/>
    </row>
    <row r="499" spans="2:57">
      <c r="B499" s="638" t="s">
        <v>1276</v>
      </c>
      <c r="C499" s="275"/>
      <c r="E499" s="261"/>
      <c r="F499" s="295"/>
      <c r="K499" s="299">
        <f t="shared" si="407"/>
        <v>255622</v>
      </c>
      <c r="L499" s="299">
        <f t="shared" si="408"/>
        <v>0</v>
      </c>
      <c r="M499" s="639">
        <f t="shared" si="409"/>
        <v>255622</v>
      </c>
      <c r="N499" s="299">
        <f t="shared" si="410"/>
        <v>264917</v>
      </c>
      <c r="O499" s="299">
        <f t="shared" si="411"/>
        <v>0</v>
      </c>
      <c r="P499" s="639">
        <f t="shared" ref="P499:P508" si="414">N499+O499</f>
        <v>264917</v>
      </c>
      <c r="AL499" s="299">
        <f t="shared" si="412"/>
        <v>22932.86</v>
      </c>
      <c r="AM499" s="299">
        <f t="shared" si="413"/>
        <v>17116.29</v>
      </c>
      <c r="BD499" s="275"/>
      <c r="BE499" s="294"/>
    </row>
    <row r="500" spans="2:57">
      <c r="B500" s="638" t="s">
        <v>1277</v>
      </c>
      <c r="C500" s="275"/>
      <c r="E500" s="261"/>
      <c r="F500" s="295"/>
      <c r="K500" s="299">
        <f t="shared" si="407"/>
        <v>250368</v>
      </c>
      <c r="L500" s="299">
        <f t="shared" si="408"/>
        <v>0</v>
      </c>
      <c r="M500" s="639">
        <f t="shared" si="409"/>
        <v>250368</v>
      </c>
      <c r="N500" s="299">
        <f t="shared" si="410"/>
        <v>257558</v>
      </c>
      <c r="O500" s="299">
        <f t="shared" si="411"/>
        <v>0</v>
      </c>
      <c r="P500" s="639">
        <f t="shared" si="414"/>
        <v>257558</v>
      </c>
      <c r="AL500" s="299">
        <f t="shared" si="412"/>
        <v>22508.260000000002</v>
      </c>
      <c r="AM500" s="299">
        <f t="shared" si="413"/>
        <v>16640.829999999998</v>
      </c>
      <c r="BD500" s="275"/>
      <c r="BE500" s="294"/>
    </row>
    <row r="501" spans="2:57">
      <c r="B501" s="640" t="s">
        <v>1278</v>
      </c>
      <c r="C501" s="275"/>
      <c r="E501" s="261"/>
      <c r="F501" s="295"/>
      <c r="K501" s="299">
        <f t="shared" si="407"/>
        <v>246178</v>
      </c>
      <c r="L501" s="299">
        <f t="shared" si="408"/>
        <v>0</v>
      </c>
      <c r="M501" s="639">
        <f t="shared" si="409"/>
        <v>246178</v>
      </c>
      <c r="N501" s="299">
        <f t="shared" si="410"/>
        <v>160805</v>
      </c>
      <c r="O501" s="299">
        <f t="shared" si="411"/>
        <v>0</v>
      </c>
      <c r="P501" s="639">
        <f t="shared" si="414"/>
        <v>160805</v>
      </c>
      <c r="AL501" s="299">
        <f t="shared" si="412"/>
        <v>22199.75</v>
      </c>
      <c r="AM501" s="299">
        <f t="shared" si="413"/>
        <v>10389.66</v>
      </c>
      <c r="BD501" s="275"/>
      <c r="BE501" s="294"/>
    </row>
    <row r="502" spans="2:57">
      <c r="B502" s="640" t="s">
        <v>1279</v>
      </c>
      <c r="C502" s="275"/>
      <c r="E502" s="261"/>
      <c r="F502" s="295"/>
      <c r="K502" s="299">
        <f t="shared" si="407"/>
        <v>247504</v>
      </c>
      <c r="L502" s="299">
        <f t="shared" si="408"/>
        <v>0</v>
      </c>
      <c r="M502" s="639">
        <f t="shared" si="409"/>
        <v>247504</v>
      </c>
      <c r="N502" s="299">
        <f t="shared" si="410"/>
        <v>279910</v>
      </c>
      <c r="O502" s="299">
        <f t="shared" si="411"/>
        <v>0</v>
      </c>
      <c r="P502" s="639">
        <f t="shared" si="414"/>
        <v>279910</v>
      </c>
      <c r="AL502" s="299">
        <f t="shared" si="412"/>
        <v>22301.22</v>
      </c>
      <c r="AM502" s="299">
        <f t="shared" si="413"/>
        <v>18084.91</v>
      </c>
      <c r="BD502" s="275"/>
      <c r="BE502" s="294"/>
    </row>
    <row r="503" spans="2:57">
      <c r="B503" s="638" t="s">
        <v>1280</v>
      </c>
      <c r="C503" s="275"/>
      <c r="E503" s="261"/>
      <c r="F503" s="295"/>
      <c r="K503" s="299">
        <f t="shared" si="407"/>
        <v>247175</v>
      </c>
      <c r="L503" s="299">
        <f t="shared" si="408"/>
        <v>0</v>
      </c>
      <c r="M503" s="639">
        <f t="shared" si="409"/>
        <v>247175</v>
      </c>
      <c r="N503" s="299">
        <f t="shared" si="410"/>
        <v>217447</v>
      </c>
      <c r="O503" s="299">
        <f t="shared" si="411"/>
        <v>0</v>
      </c>
      <c r="P503" s="639">
        <f t="shared" si="414"/>
        <v>217447</v>
      </c>
      <c r="AL503" s="299">
        <f t="shared" si="412"/>
        <v>22286.240000000002</v>
      </c>
      <c r="AM503" s="299">
        <f t="shared" si="413"/>
        <v>14049.11</v>
      </c>
      <c r="BD503" s="275"/>
      <c r="BE503" s="294"/>
    </row>
    <row r="504" spans="2:57">
      <c r="B504" s="640" t="s">
        <v>1281</v>
      </c>
      <c r="C504" s="275"/>
      <c r="E504" s="261"/>
      <c r="F504" s="295"/>
      <c r="K504" s="299">
        <f t="shared" si="407"/>
        <v>243616</v>
      </c>
      <c r="L504" s="299">
        <f t="shared" si="408"/>
        <v>0</v>
      </c>
      <c r="M504" s="639">
        <f t="shared" si="409"/>
        <v>243616</v>
      </c>
      <c r="N504" s="299">
        <f t="shared" si="410"/>
        <v>222975</v>
      </c>
      <c r="O504" s="299">
        <f t="shared" si="411"/>
        <v>0</v>
      </c>
      <c r="P504" s="639">
        <f t="shared" si="414"/>
        <v>222975</v>
      </c>
      <c r="AL504" s="299">
        <f t="shared" si="412"/>
        <v>22006.91</v>
      </c>
      <c r="AM504" s="299">
        <f t="shared" si="413"/>
        <v>14406.44</v>
      </c>
      <c r="BD504" s="275"/>
      <c r="BE504" s="294"/>
    </row>
    <row r="505" spans="2:57">
      <c r="B505" s="640" t="s">
        <v>1303</v>
      </c>
      <c r="C505" s="275"/>
      <c r="E505" s="261"/>
      <c r="F505" s="295"/>
      <c r="K505" s="299">
        <f t="shared" si="407"/>
        <v>255370</v>
      </c>
      <c r="L505" s="299">
        <f t="shared" si="408"/>
        <v>0</v>
      </c>
      <c r="M505" s="639">
        <f t="shared" si="409"/>
        <v>255370</v>
      </c>
      <c r="N505" s="299">
        <f t="shared" si="410"/>
        <v>272078</v>
      </c>
      <c r="O505" s="299">
        <f t="shared" si="411"/>
        <v>0</v>
      </c>
      <c r="P505" s="639">
        <f t="shared" si="414"/>
        <v>272078</v>
      </c>
      <c r="AL505" s="299">
        <f t="shared" si="412"/>
        <v>22497</v>
      </c>
      <c r="AM505" s="299">
        <f t="shared" si="413"/>
        <v>17579</v>
      </c>
      <c r="BD505" s="275"/>
      <c r="BE505" s="294"/>
    </row>
    <row r="506" spans="2:57">
      <c r="B506" s="640" t="s">
        <v>1304</v>
      </c>
      <c r="C506" s="275"/>
      <c r="E506" s="261"/>
      <c r="F506" s="295"/>
      <c r="K506" s="299">
        <f t="shared" si="407"/>
        <v>257054</v>
      </c>
      <c r="L506" s="299">
        <f t="shared" si="408"/>
        <v>0</v>
      </c>
      <c r="M506" s="639">
        <f t="shared" si="409"/>
        <v>257054</v>
      </c>
      <c r="N506" s="299">
        <f t="shared" si="410"/>
        <v>280619</v>
      </c>
      <c r="O506" s="299">
        <f t="shared" si="411"/>
        <v>0</v>
      </c>
      <c r="P506" s="639">
        <f t="shared" si="414"/>
        <v>280619</v>
      </c>
      <c r="AL506" s="299">
        <f t="shared" si="412"/>
        <v>22626</v>
      </c>
      <c r="AM506" s="299">
        <f t="shared" si="413"/>
        <v>18131</v>
      </c>
      <c r="BD506" s="275"/>
      <c r="BE506" s="294"/>
    </row>
    <row r="507" spans="2:57">
      <c r="B507" s="640" t="s">
        <v>1305</v>
      </c>
      <c r="C507" s="275"/>
      <c r="E507" s="261"/>
      <c r="F507" s="295"/>
      <c r="K507" s="299">
        <f t="shared" si="407"/>
        <v>265656</v>
      </c>
      <c r="L507" s="299">
        <f t="shared" si="408"/>
        <v>0</v>
      </c>
      <c r="M507" s="639">
        <f t="shared" si="409"/>
        <v>265656</v>
      </c>
      <c r="N507" s="299">
        <f t="shared" si="410"/>
        <v>309305</v>
      </c>
      <c r="O507" s="299">
        <f t="shared" si="411"/>
        <v>0</v>
      </c>
      <c r="P507" s="639">
        <f t="shared" si="414"/>
        <v>309305</v>
      </c>
      <c r="AL507" s="299">
        <f t="shared" si="412"/>
        <v>23285</v>
      </c>
      <c r="AM507" s="299">
        <f t="shared" si="413"/>
        <v>19984</v>
      </c>
      <c r="BD507" s="275"/>
      <c r="BE507" s="294"/>
    </row>
    <row r="508" spans="2:57">
      <c r="B508" s="640" t="s">
        <v>1306</v>
      </c>
      <c r="C508" s="275"/>
      <c r="E508" s="261"/>
      <c r="F508" s="295"/>
      <c r="K508" s="299">
        <f t="shared" si="407"/>
        <v>293077</v>
      </c>
      <c r="L508" s="299">
        <f t="shared" si="408"/>
        <v>0</v>
      </c>
      <c r="M508" s="639">
        <f t="shared" si="409"/>
        <v>293077</v>
      </c>
      <c r="N508" s="299">
        <f t="shared" si="410"/>
        <v>355638</v>
      </c>
      <c r="O508" s="299">
        <f t="shared" si="411"/>
        <v>0</v>
      </c>
      <c r="P508" s="639">
        <f t="shared" si="414"/>
        <v>355638</v>
      </c>
      <c r="AL508" s="299">
        <f t="shared" si="412"/>
        <v>25385</v>
      </c>
      <c r="AM508" s="299">
        <f t="shared" si="413"/>
        <v>22978</v>
      </c>
      <c r="BD508" s="275"/>
      <c r="BE508" s="294"/>
    </row>
    <row r="509" spans="2:57">
      <c r="BD509" s="275"/>
      <c r="BE509" s="294"/>
    </row>
    <row r="510" spans="2:57">
      <c r="BD510" s="275"/>
      <c r="BE510" s="294"/>
    </row>
    <row r="511" spans="2:57">
      <c r="BD511" s="275"/>
      <c r="BE511" s="294"/>
    </row>
    <row r="512" spans="2:57">
      <c r="BD512" s="275"/>
      <c r="BE512" s="294"/>
    </row>
    <row r="513" spans="56:57">
      <c r="BD513" s="275"/>
      <c r="BE513" s="294"/>
    </row>
    <row r="514" spans="56:57">
      <c r="BD514" s="275"/>
      <c r="BE514" s="294"/>
    </row>
    <row r="515" spans="56:57">
      <c r="BD515" s="275"/>
      <c r="BE515" s="294"/>
    </row>
    <row r="516" spans="56:57">
      <c r="BD516" s="275"/>
      <c r="BE516" s="294"/>
    </row>
    <row r="517" spans="56:57">
      <c r="BD517" s="275"/>
      <c r="BE517" s="294"/>
    </row>
    <row r="518" spans="56:57">
      <c r="BD518" s="275"/>
      <c r="BE518" s="294"/>
    </row>
    <row r="519" spans="56:57">
      <c r="BD519" s="275"/>
      <c r="BE519" s="294"/>
    </row>
    <row r="520" spans="56:57">
      <c r="BD520" s="275"/>
      <c r="BE520" s="294"/>
    </row>
    <row r="521" spans="56:57">
      <c r="BD521" s="275"/>
      <c r="BE521" s="294"/>
    </row>
    <row r="522" spans="56:57">
      <c r="BD522" s="275"/>
      <c r="BE522" s="294"/>
    </row>
    <row r="523" spans="56:57">
      <c r="BD523" s="275"/>
      <c r="BE523" s="294"/>
    </row>
    <row r="524" spans="56:57">
      <c r="BD524" s="275"/>
      <c r="BE524" s="294"/>
    </row>
    <row r="525" spans="56:57">
      <c r="BD525" s="275"/>
      <c r="BE525" s="294"/>
    </row>
    <row r="526" spans="56:57">
      <c r="BD526" s="275"/>
      <c r="BE526" s="294"/>
    </row>
    <row r="527" spans="56:57">
      <c r="BD527" s="275"/>
      <c r="BE527" s="294"/>
    </row>
    <row r="528" spans="56:57">
      <c r="BD528" s="275"/>
      <c r="BE528" s="294"/>
    </row>
    <row r="529" spans="56:57">
      <c r="BD529" s="275"/>
      <c r="BE529" s="294"/>
    </row>
    <row r="530" spans="56:57">
      <c r="BD530" s="275"/>
      <c r="BE530" s="294"/>
    </row>
    <row r="531" spans="56:57">
      <c r="BD531" s="275"/>
      <c r="BE531" s="294"/>
    </row>
    <row r="532" spans="56:57">
      <c r="BD532" s="275"/>
      <c r="BE532" s="294"/>
    </row>
    <row r="533" spans="56:57">
      <c r="BD533" s="275"/>
      <c r="BE533" s="294"/>
    </row>
    <row r="534" spans="56:57">
      <c r="BD534" s="275"/>
      <c r="BE534" s="294"/>
    </row>
    <row r="535" spans="56:57">
      <c r="BD535" s="275"/>
      <c r="BE535" s="294"/>
    </row>
    <row r="536" spans="56:57">
      <c r="BD536" s="275"/>
      <c r="BE536" s="294"/>
    </row>
    <row r="537" spans="56:57">
      <c r="BD537" s="275"/>
      <c r="BE537" s="294"/>
    </row>
    <row r="538" spans="56:57">
      <c r="BD538" s="275"/>
      <c r="BE538" s="294"/>
    </row>
    <row r="539" spans="56:57">
      <c r="BD539" s="275"/>
      <c r="BE539" s="294"/>
    </row>
    <row r="540" spans="56:57">
      <c r="BD540" s="275"/>
      <c r="BE540" s="294"/>
    </row>
    <row r="541" spans="56:57">
      <c r="BD541" s="275"/>
      <c r="BE541" s="294"/>
    </row>
    <row r="542" spans="56:57">
      <c r="BD542" s="275"/>
      <c r="BE542" s="294"/>
    </row>
    <row r="543" spans="56:57">
      <c r="BD543" s="275"/>
      <c r="BE543" s="294"/>
    </row>
    <row r="544" spans="56:57">
      <c r="BD544" s="275"/>
      <c r="BE544" s="294"/>
    </row>
    <row r="545" spans="56:57">
      <c r="BD545" s="275"/>
      <c r="BE545" s="294"/>
    </row>
    <row r="546" spans="56:57">
      <c r="BD546" s="275"/>
      <c r="BE546" s="294"/>
    </row>
    <row r="547" spans="56:57">
      <c r="BD547" s="275"/>
      <c r="BE547" s="294"/>
    </row>
    <row r="548" spans="56:57">
      <c r="BD548" s="275"/>
      <c r="BE548" s="294"/>
    </row>
    <row r="549" spans="56:57">
      <c r="BD549" s="275"/>
      <c r="BE549" s="294"/>
    </row>
    <row r="550" spans="56:57">
      <c r="BD550" s="275"/>
      <c r="BE550" s="294"/>
    </row>
    <row r="551" spans="56:57">
      <c r="BD551" s="275"/>
      <c r="BE551" s="294"/>
    </row>
    <row r="552" spans="56:57">
      <c r="BD552" s="275"/>
      <c r="BE552" s="294"/>
    </row>
    <row r="553" spans="56:57">
      <c r="BD553" s="275"/>
      <c r="BE553" s="294"/>
    </row>
    <row r="554" spans="56:57">
      <c r="BD554" s="275"/>
      <c r="BE554" s="294"/>
    </row>
    <row r="555" spans="56:57">
      <c r="BD555" s="275"/>
      <c r="BE555" s="294"/>
    </row>
    <row r="556" spans="56:57">
      <c r="BD556" s="275"/>
      <c r="BE556" s="294"/>
    </row>
    <row r="557" spans="56:57">
      <c r="BD557" s="275"/>
      <c r="BE557" s="294"/>
    </row>
    <row r="558" spans="56:57">
      <c r="BD558" s="275"/>
      <c r="BE558" s="294"/>
    </row>
    <row r="559" spans="56:57">
      <c r="BD559" s="275"/>
      <c r="BE559" s="294"/>
    </row>
    <row r="560" spans="56:57">
      <c r="BD560" s="275"/>
      <c r="BE560" s="294"/>
    </row>
    <row r="561" spans="56:57">
      <c r="BD561" s="275"/>
      <c r="BE561" s="294"/>
    </row>
    <row r="562" spans="56:57">
      <c r="BD562" s="275"/>
      <c r="BE562" s="294"/>
    </row>
    <row r="563" spans="56:57">
      <c r="BD563" s="275"/>
      <c r="BE563" s="294"/>
    </row>
    <row r="564" spans="56:57">
      <c r="BD564" s="275"/>
      <c r="BE564" s="294"/>
    </row>
    <row r="565" spans="56:57">
      <c r="BD565" s="275"/>
      <c r="BE565" s="294"/>
    </row>
    <row r="566" spans="56:57">
      <c r="BD566" s="275"/>
      <c r="BE566" s="294"/>
    </row>
    <row r="567" spans="56:57">
      <c r="BD567" s="275"/>
      <c r="BE567" s="294"/>
    </row>
    <row r="568" spans="56:57">
      <c r="BD568" s="275"/>
      <c r="BE568" s="294"/>
    </row>
    <row r="569" spans="56:57">
      <c r="BD569" s="275"/>
      <c r="BE569" s="294"/>
    </row>
    <row r="570" spans="56:57">
      <c r="BD570" s="275"/>
      <c r="BE570" s="294"/>
    </row>
    <row r="571" spans="56:57">
      <c r="BD571" s="275"/>
      <c r="BE571" s="294"/>
    </row>
    <row r="572" spans="56:57">
      <c r="BD572" s="275"/>
      <c r="BE572" s="294"/>
    </row>
    <row r="573" spans="56:57">
      <c r="BD573" s="275"/>
      <c r="BE573" s="294"/>
    </row>
    <row r="574" spans="56:57">
      <c r="BD574" s="275"/>
      <c r="BE574" s="294"/>
    </row>
    <row r="575" spans="56:57">
      <c r="BD575" s="275"/>
      <c r="BE575" s="294"/>
    </row>
    <row r="576" spans="56:57">
      <c r="BD576" s="275"/>
      <c r="BE576" s="294"/>
    </row>
    <row r="577" spans="56:57">
      <c r="BD577" s="275"/>
      <c r="BE577" s="294"/>
    </row>
    <row r="578" spans="56:57">
      <c r="BD578" s="275"/>
      <c r="BE578" s="294"/>
    </row>
    <row r="579" spans="56:57">
      <c r="BD579" s="275"/>
      <c r="BE579" s="294"/>
    </row>
    <row r="580" spans="56:57">
      <c r="BD580" s="275"/>
      <c r="BE580" s="294"/>
    </row>
    <row r="581" spans="56:57">
      <c r="BD581" s="275"/>
      <c r="BE581" s="294"/>
    </row>
    <row r="582" spans="56:57">
      <c r="BD582" s="275"/>
      <c r="BE582" s="294"/>
    </row>
    <row r="583" spans="56:57">
      <c r="BD583" s="275"/>
      <c r="BE583" s="294"/>
    </row>
    <row r="584" spans="56:57">
      <c r="BD584" s="275"/>
      <c r="BE584" s="294"/>
    </row>
  </sheetData>
  <autoFilter ref="A3:BF459">
    <filterColumn colId="2">
      <filters>
        <filter val="FK"/>
      </filters>
    </filterColumn>
  </autoFilter>
  <sortState ref="C168:AN208">
    <sortCondition ref="D168:D208"/>
  </sortState>
  <mergeCells count="1">
    <mergeCell ref="BC1:BE2"/>
  </mergeCells>
  <conditionalFormatting sqref="AN4:AN446 AN459">
    <cfRule type="cellIs" dxfId="38" priority="17" operator="notEqual">
      <formula>1</formula>
    </cfRule>
  </conditionalFormatting>
  <conditionalFormatting sqref="AN458">
    <cfRule type="cellIs" dxfId="37" priority="12" operator="notEqual">
      <formula>1</formula>
    </cfRule>
  </conditionalFormatting>
  <conditionalFormatting sqref="AN457">
    <cfRule type="cellIs" dxfId="36" priority="11" operator="notEqual">
      <formula>1</formula>
    </cfRule>
  </conditionalFormatting>
  <conditionalFormatting sqref="AN456">
    <cfRule type="cellIs" dxfId="35" priority="10" operator="notEqual">
      <formula>1</formula>
    </cfRule>
  </conditionalFormatting>
  <conditionalFormatting sqref="AN455">
    <cfRule type="cellIs" dxfId="34" priority="9" operator="notEqual">
      <formula>1</formula>
    </cfRule>
  </conditionalFormatting>
  <conditionalFormatting sqref="AN454">
    <cfRule type="cellIs" dxfId="33" priority="8" operator="notEqual">
      <formula>1</formula>
    </cfRule>
  </conditionalFormatting>
  <conditionalFormatting sqref="AN453">
    <cfRule type="cellIs" dxfId="32" priority="7" operator="notEqual">
      <formula>1</formula>
    </cfRule>
  </conditionalFormatting>
  <conditionalFormatting sqref="AN452">
    <cfRule type="cellIs" dxfId="31" priority="6" operator="notEqual">
      <formula>1</formula>
    </cfRule>
  </conditionalFormatting>
  <conditionalFormatting sqref="AN451">
    <cfRule type="cellIs" dxfId="30" priority="5" operator="notEqual">
      <formula>1</formula>
    </cfRule>
  </conditionalFormatting>
  <conditionalFormatting sqref="AN450">
    <cfRule type="cellIs" dxfId="29" priority="4" operator="notEqual">
      <formula>1</formula>
    </cfRule>
  </conditionalFormatting>
  <conditionalFormatting sqref="AN449">
    <cfRule type="cellIs" dxfId="28" priority="3" operator="notEqual">
      <formula>1</formula>
    </cfRule>
  </conditionalFormatting>
  <conditionalFormatting sqref="AN448">
    <cfRule type="cellIs" dxfId="27" priority="2" operator="notEqual">
      <formula>1</formula>
    </cfRule>
  </conditionalFormatting>
  <conditionalFormatting sqref="AN447">
    <cfRule type="cellIs" dxfId="26" priority="1" operator="notEqual">
      <formula>1</formula>
    </cfRule>
  </conditionalFormatting>
  <pageMargins left="0.7" right="0.7" top="0.75" bottom="0.75" header="0.3" footer="0.3"/>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V1016"/>
  <sheetViews>
    <sheetView workbookViewId="0">
      <pane xSplit="4" ySplit="3" topLeftCell="L885" activePane="bottomRight" state="frozen"/>
      <selection pane="topRight" activeCell="E1" sqref="E1"/>
      <selection pane="bottomLeft" activeCell="A4" sqref="A4"/>
      <selection pane="bottomRight" activeCell="R902" sqref="R902"/>
    </sheetView>
  </sheetViews>
  <sheetFormatPr defaultRowHeight="12"/>
  <cols>
    <col min="1" max="1" width="6.83203125" style="265" customWidth="1"/>
    <col min="2" max="2" width="12.33203125" style="261" bestFit="1" customWidth="1"/>
    <col min="3" max="3" width="9.5" style="261" bestFit="1" customWidth="1"/>
    <col min="4" max="4" width="15" style="261" bestFit="1" customWidth="1"/>
    <col min="5" max="5" width="12.1640625" style="295" customWidth="1"/>
    <col min="6" max="6" width="12.1640625" style="261" customWidth="1"/>
    <col min="7" max="8" width="16.5" style="261" customWidth="1"/>
    <col min="9" max="10" width="11.33203125" style="261" customWidth="1"/>
    <col min="11" max="11" width="16" style="261" customWidth="1"/>
    <col min="12" max="13" width="18.6640625" style="265" customWidth="1"/>
    <col min="14" max="15" width="15.33203125" style="265" bestFit="1" customWidth="1"/>
    <col min="16" max="17" width="14.33203125" style="265" bestFit="1" customWidth="1"/>
    <col min="18" max="18" width="13.33203125" style="265" customWidth="1"/>
    <col min="19" max="19" width="17.6640625" style="265" customWidth="1"/>
    <col min="20" max="20" width="17" style="265" customWidth="1"/>
    <col min="21" max="21" width="16" style="265" bestFit="1" customWidth="1"/>
    <col min="22" max="22" width="15.33203125" style="265" bestFit="1" customWidth="1"/>
    <col min="23" max="23" width="10.6640625" style="265" bestFit="1" customWidth="1"/>
    <col min="24" max="24" width="14.1640625" style="265" bestFit="1" customWidth="1"/>
    <col min="25" max="25" width="11.6640625" style="265" bestFit="1" customWidth="1"/>
    <col min="26" max="26" width="17.1640625" style="265" bestFit="1" customWidth="1"/>
    <col min="27" max="28" width="9.33203125" style="265"/>
    <col min="29" max="29" width="10.83203125" style="261" bestFit="1" customWidth="1"/>
    <col min="30" max="30" width="21.6640625" style="261" bestFit="1" customWidth="1"/>
    <col min="31" max="31" width="18.6640625" style="265" bestFit="1" customWidth="1"/>
    <col min="32" max="32" width="9.33203125" style="609"/>
    <col min="33" max="33" width="9.33203125" style="265"/>
    <col min="34" max="35" width="9.5" style="265" bestFit="1" customWidth="1"/>
    <col min="36" max="36" width="11.33203125" style="265" bestFit="1" customWidth="1"/>
    <col min="37" max="37" width="9.33203125" style="265"/>
    <col min="38" max="38" width="9.5" style="265" bestFit="1" customWidth="1"/>
    <col min="39" max="47" width="9.33203125" style="265"/>
    <col min="48" max="48" width="9.5" style="265" bestFit="1" customWidth="1"/>
    <col min="49" max="16384" width="9.33203125" style="265"/>
  </cols>
  <sheetData>
    <row r="1" spans="1:48">
      <c r="A1" s="301"/>
      <c r="B1" s="606"/>
      <c r="C1" s="265"/>
      <c r="D1" s="607"/>
      <c r="E1" s="607"/>
      <c r="F1" s="608"/>
      <c r="G1" s="607"/>
      <c r="H1" s="607"/>
      <c r="I1" s="265"/>
      <c r="J1" s="265"/>
      <c r="L1" s="261"/>
      <c r="M1" s="261"/>
      <c r="N1" s="261"/>
      <c r="O1" s="607"/>
      <c r="P1" s="264"/>
      <c r="T1" s="607"/>
      <c r="U1" s="607"/>
      <c r="AC1" s="721"/>
      <c r="AD1" s="721"/>
      <c r="AE1" s="721"/>
    </row>
    <row r="2" spans="1:48">
      <c r="A2" s="301"/>
      <c r="B2" s="610"/>
      <c r="C2" s="265"/>
      <c r="D2" s="611"/>
      <c r="E2" s="265"/>
      <c r="F2" s="265"/>
      <c r="G2" s="265"/>
      <c r="H2" s="265"/>
      <c r="I2" s="265"/>
      <c r="J2" s="265"/>
      <c r="L2" s="261"/>
      <c r="M2" s="261"/>
      <c r="N2" s="261"/>
      <c r="O2" s="611"/>
      <c r="P2" s="264"/>
      <c r="Q2" s="612"/>
      <c r="R2" s="612"/>
      <c r="S2" s="610"/>
      <c r="T2" s="611"/>
      <c r="U2" s="261"/>
      <c r="AC2" s="721"/>
      <c r="AD2" s="721"/>
      <c r="AE2" s="721"/>
    </row>
    <row r="3" spans="1:48" s="274" customFormat="1" ht="50.25" customHeight="1">
      <c r="A3" s="267" t="s">
        <v>32</v>
      </c>
      <c r="B3" s="267" t="s">
        <v>62</v>
      </c>
      <c r="C3" s="267" t="s">
        <v>33</v>
      </c>
      <c r="D3" s="267" t="s">
        <v>52</v>
      </c>
      <c r="E3" s="268" t="s">
        <v>53</v>
      </c>
      <c r="F3" s="270" t="s">
        <v>1042</v>
      </c>
      <c r="G3" s="269" t="s">
        <v>34</v>
      </c>
      <c r="H3" s="269" t="s">
        <v>1043</v>
      </c>
      <c r="I3" s="269" t="s">
        <v>746</v>
      </c>
      <c r="J3" s="269" t="s">
        <v>850</v>
      </c>
      <c r="K3" s="269" t="s">
        <v>747</v>
      </c>
      <c r="L3" s="270" t="s">
        <v>748</v>
      </c>
      <c r="M3" s="270" t="s">
        <v>1028</v>
      </c>
      <c r="N3" s="269" t="s">
        <v>44</v>
      </c>
      <c r="O3" s="269" t="s">
        <v>45</v>
      </c>
      <c r="P3" s="272" t="s">
        <v>46</v>
      </c>
      <c r="Q3" s="267" t="s">
        <v>47</v>
      </c>
      <c r="R3" s="267" t="s">
        <v>49</v>
      </c>
      <c r="S3" s="267" t="s">
        <v>50</v>
      </c>
      <c r="T3" s="273" t="s">
        <v>844</v>
      </c>
      <c r="U3" s="267" t="s">
        <v>714</v>
      </c>
      <c r="V3" s="267" t="s">
        <v>715</v>
      </c>
      <c r="W3" s="274" t="s">
        <v>847</v>
      </c>
      <c r="X3" s="274" t="s">
        <v>846</v>
      </c>
      <c r="Y3" s="274" t="s">
        <v>850</v>
      </c>
      <c r="Z3" s="274" t="s">
        <v>1006</v>
      </c>
      <c r="AC3" s="265" t="s">
        <v>722</v>
      </c>
      <c r="AD3" s="265" t="s">
        <v>723</v>
      </c>
      <c r="AE3" s="265" t="s">
        <v>724</v>
      </c>
      <c r="AF3" s="613"/>
      <c r="AH3" s="274" t="s">
        <v>743</v>
      </c>
      <c r="AJ3" s="274" t="s">
        <v>4</v>
      </c>
      <c r="AK3" s="274" t="s">
        <v>9</v>
      </c>
    </row>
    <row r="4" spans="1:48">
      <c r="A4" s="275">
        <v>1</v>
      </c>
      <c r="B4" s="276" t="str">
        <f t="shared" ref="B4:B29" si="0">TEXT(AC4,"mmm yyyy")</f>
        <v>Jan 2015</v>
      </c>
      <c r="C4" s="277" t="str">
        <f t="shared" ref="C4:C29" si="1">AK4</f>
        <v>RLS</v>
      </c>
      <c r="D4" s="277" t="str">
        <f t="shared" ref="D4:D29" si="2">AJ4</f>
        <v>LGUM_201</v>
      </c>
      <c r="E4" s="614">
        <f t="shared" ref="E4:E67" si="3">SUMIFS(L_1055_Count_Total,L_1055_Revenue_Month,$B4,L_1055_RateCategory,$D4)</f>
        <v>76</v>
      </c>
      <c r="F4" s="615">
        <v>0</v>
      </c>
      <c r="G4" s="614">
        <f t="shared" ref="G4:G67" si="4">SUMIFS(L_SBR_KWH,L_SBR_Revenue_Month,$B4,L_SBR_Rate_Category,$D4)</f>
        <v>0</v>
      </c>
      <c r="H4" s="615">
        <v>0</v>
      </c>
      <c r="I4" s="283">
        <f t="shared" ref="I4:I67" si="5">SUMIF(L_LightingRates_Tariff_Rate_Category,$AD4,L_LightingRates_UnitCharge)</f>
        <v>8.14</v>
      </c>
      <c r="J4" s="283">
        <f t="shared" ref="J4:J67" si="6">SUMIF(L_LightingRates_Tariff_Rate_Category,$AD4,L_LightingRates_FAC_Rate)</f>
        <v>1.0899999999999999</v>
      </c>
      <c r="K4" s="285">
        <f>ROUND(($E4+$F4)*$I4,2)</f>
        <v>618.64</v>
      </c>
      <c r="L4" s="286">
        <v>0</v>
      </c>
      <c r="M4" s="286">
        <v>0</v>
      </c>
      <c r="N4" s="285">
        <f t="shared" ref="N4:N67" si="7">SUM(K4:M4)</f>
        <v>618.64</v>
      </c>
      <c r="O4" s="616">
        <f>T4-SUM(Q4:S4)-SUMIFS(L_1055_Revenue_Poles_Test_Period,L_1055_RateCategory,$D4,L_1055_Revenue_Month,$B4)</f>
        <v>0</v>
      </c>
      <c r="P4" s="289">
        <f t="shared" ref="P4:P67" si="8">IF(AND(N4=0,O4=0),1,IF(N4=0,0,O4/N4))</f>
        <v>0</v>
      </c>
      <c r="Q4" s="290">
        <f t="shared" ref="Q4:Q67" si="9">SUMIFS(L_SBR_FAC,L_SBR_Revenue_Month,$B4,L_SBR_Rate_Category,$D4)</f>
        <v>0</v>
      </c>
      <c r="R4" s="290">
        <f t="shared" ref="R4:R67" si="10">SUMIFS(L_SBR_ECR,L_SBR_Revenue_Month,$B4,L_SBR_Rate_Category,$D4)</f>
        <v>0</v>
      </c>
      <c r="S4" s="290">
        <f t="shared" ref="S4:S67" si="11">SUMIFS(L_SBR_MSR,L_SBR_Revenue_Month,$B4,L_SBR_Rate_Category,$D4)</f>
        <v>0</v>
      </c>
      <c r="T4" s="290">
        <f t="shared" ref="T4:T67" si="12">SUMIFS(L_SBR_Revenue_Total,L_SBR_Revenue_Month,$B4,L_SBR_Rate_Category,$D4)</f>
        <v>0</v>
      </c>
      <c r="U4" s="291">
        <f t="shared" ref="U4:U67" si="13">SUM(N4,Q4:S4)</f>
        <v>618.64</v>
      </c>
      <c r="V4" s="291">
        <f>ROUND(T4-U4,2)</f>
        <v>-618.64</v>
      </c>
      <c r="W4" s="617">
        <f t="shared" ref="W4:W67" si="14">ROUND(SUMIFS(L_1055_Revenue_Pole_Total,L_1055_Revenue_Month,$B4,L_1055_RateCategory,$D4),2)</f>
        <v>0</v>
      </c>
      <c r="X4" s="291">
        <f>V4-W4</f>
        <v>-618.64</v>
      </c>
      <c r="Y4" s="170">
        <f t="shared" ref="Y4:Y67" si="15">ROUND(E4*J4,2)</f>
        <v>82.84</v>
      </c>
      <c r="Z4" s="291">
        <f t="shared" ref="Z4:Z67" si="16">O4-Y4</f>
        <v>-82.84</v>
      </c>
      <c r="AC4" s="310">
        <f>MiscData!$A$5</f>
        <v>42035</v>
      </c>
      <c r="AD4" s="275" t="str">
        <f t="shared" ref="AD4:AD29" si="17">CONCATENATE(AH4&amp;AJ4)</f>
        <v>20140101LGUM_201</v>
      </c>
      <c r="AE4" s="294" t="str">
        <f t="shared" ref="AE4:AE29" si="18">CONCATENATE(AH4&amp;AK4)</f>
        <v>20140101RLS</v>
      </c>
      <c r="AF4" s="618" t="str">
        <f>RIGHT(AJ4,3)</f>
        <v>201</v>
      </c>
      <c r="AH4" s="265">
        <f>MiscData!$X$5</f>
        <v>20140101</v>
      </c>
      <c r="AI4" s="265">
        <v>1</v>
      </c>
      <c r="AJ4" s="265" t="str">
        <f>VLOOKUP(AI4,MiscData!$AC$5:$AD$77,2,FALSE)</f>
        <v>LGUM_201</v>
      </c>
      <c r="AK4" s="265" t="str">
        <f>VLOOKUP(AJ4,MiscData!$AD$5:$AE$77,2,FALSE)</f>
        <v>RLS</v>
      </c>
      <c r="AT4" s="265" t="s">
        <v>164</v>
      </c>
      <c r="AV4" s="265">
        <v>-2.97</v>
      </c>
    </row>
    <row r="5" spans="1:48">
      <c r="A5" s="275">
        <f>A4+1</f>
        <v>2</v>
      </c>
      <c r="B5" s="276" t="str">
        <f t="shared" si="0"/>
        <v>Jan 2015</v>
      </c>
      <c r="C5" s="277" t="str">
        <f t="shared" si="1"/>
        <v>RLS</v>
      </c>
      <c r="D5" s="277" t="str">
        <f t="shared" si="2"/>
        <v>LGUM_203</v>
      </c>
      <c r="E5" s="614">
        <f t="shared" si="3"/>
        <v>3755</v>
      </c>
      <c r="F5" s="615">
        <v>0</v>
      </c>
      <c r="G5" s="614">
        <f t="shared" si="4"/>
        <v>0</v>
      </c>
      <c r="H5" s="615">
        <v>0</v>
      </c>
      <c r="I5" s="283">
        <f t="shared" si="5"/>
        <v>10.959999999999999</v>
      </c>
      <c r="J5" s="283">
        <f t="shared" si="6"/>
        <v>2.7099999999999991</v>
      </c>
      <c r="K5" s="285">
        <f t="shared" ref="K5:K67" si="19">ROUND(($E5+$F5)*$I5,2)</f>
        <v>41154.800000000003</v>
      </c>
      <c r="L5" s="286">
        <v>0</v>
      </c>
      <c r="M5" s="286">
        <v>0</v>
      </c>
      <c r="N5" s="285">
        <f t="shared" si="7"/>
        <v>41154.800000000003</v>
      </c>
      <c r="O5" s="616">
        <f t="shared" ref="O5:O67" si="20">T5-SUM(Q5:S5)-SUMIFS(L_1055_Revenue_Poles_Test_Period,L_1055_RateCategory,$D5,L_1055_Revenue_Month,$B5)</f>
        <v>0</v>
      </c>
      <c r="P5" s="289">
        <f t="shared" si="8"/>
        <v>0</v>
      </c>
      <c r="Q5" s="290">
        <f t="shared" si="9"/>
        <v>0</v>
      </c>
      <c r="R5" s="290">
        <f t="shared" si="10"/>
        <v>0</v>
      </c>
      <c r="S5" s="290">
        <f t="shared" si="11"/>
        <v>0</v>
      </c>
      <c r="T5" s="290">
        <f t="shared" si="12"/>
        <v>0</v>
      </c>
      <c r="U5" s="291">
        <f t="shared" si="13"/>
        <v>41154.800000000003</v>
      </c>
      <c r="V5" s="291">
        <f t="shared" ref="V5:V68" si="21">ROUND(T5-U5,2)</f>
        <v>-41154.800000000003</v>
      </c>
      <c r="W5" s="617">
        <f t="shared" si="14"/>
        <v>0</v>
      </c>
      <c r="X5" s="291">
        <f t="shared" ref="X5:X68" si="22">V5-W5</f>
        <v>-41154.800000000003</v>
      </c>
      <c r="Y5" s="170">
        <f t="shared" si="15"/>
        <v>10176.049999999999</v>
      </c>
      <c r="Z5" s="291">
        <f t="shared" si="16"/>
        <v>-10176.049999999999</v>
      </c>
      <c r="AC5" s="276">
        <f>IF(AI5=1,IF(AC4=MiscData!$F$1,EOMONTH(AC4,-11),EOMONTH(AC4,1)),AC4)</f>
        <v>42035</v>
      </c>
      <c r="AD5" s="275" t="str">
        <f t="shared" si="17"/>
        <v>20140101LGUM_203</v>
      </c>
      <c r="AE5" s="294" t="str">
        <f t="shared" si="18"/>
        <v>20140101RLS</v>
      </c>
      <c r="AF5" s="618" t="str">
        <f t="shared" ref="AF5:AF68" si="23">RIGHT(AJ5,3)</f>
        <v>203</v>
      </c>
      <c r="AH5" s="265">
        <f>MiscData!$X$5</f>
        <v>20140101</v>
      </c>
      <c r="AI5" s="265">
        <f>IF(AI4+1&gt;MiscData!$AC$77,1,AI4+1)</f>
        <v>2</v>
      </c>
      <c r="AJ5" s="265" t="str">
        <f>VLOOKUP(AI5,MiscData!$AC$5:$AD$77,2,FALSE)</f>
        <v>LGUM_203</v>
      </c>
      <c r="AK5" s="265" t="str">
        <f>VLOOKUP(AJ5,MiscData!$AD$5:$AE$77,2,FALSE)</f>
        <v>RLS</v>
      </c>
      <c r="AT5" s="265" t="s">
        <v>165</v>
      </c>
      <c r="AV5" s="265">
        <v>-51.31</v>
      </c>
    </row>
    <row r="6" spans="1:48">
      <c r="A6" s="275">
        <f t="shared" ref="A6:A69" si="24">A5+1</f>
        <v>3</v>
      </c>
      <c r="B6" s="276" t="str">
        <f t="shared" si="0"/>
        <v>Jan 2015</v>
      </c>
      <c r="C6" s="277" t="str">
        <f t="shared" si="1"/>
        <v>RLS</v>
      </c>
      <c r="D6" s="277" t="str">
        <f t="shared" si="2"/>
        <v>LGUM_204</v>
      </c>
      <c r="E6" s="614">
        <f t="shared" si="3"/>
        <v>3722</v>
      </c>
      <c r="F6" s="615">
        <v>0</v>
      </c>
      <c r="G6" s="614">
        <f t="shared" si="4"/>
        <v>0</v>
      </c>
      <c r="H6" s="615">
        <v>0</v>
      </c>
      <c r="I6" s="283">
        <f t="shared" si="5"/>
        <v>13.510000000000002</v>
      </c>
      <c r="J6" s="283">
        <f t="shared" si="6"/>
        <v>4.2000000000000011</v>
      </c>
      <c r="K6" s="285">
        <f t="shared" si="19"/>
        <v>50284.22</v>
      </c>
      <c r="L6" s="286">
        <v>0</v>
      </c>
      <c r="M6" s="286">
        <v>0</v>
      </c>
      <c r="N6" s="285">
        <f t="shared" si="7"/>
        <v>50284.22</v>
      </c>
      <c r="O6" s="616">
        <f t="shared" si="20"/>
        <v>0</v>
      </c>
      <c r="P6" s="289">
        <f t="shared" si="8"/>
        <v>0</v>
      </c>
      <c r="Q6" s="290">
        <f t="shared" si="9"/>
        <v>0</v>
      </c>
      <c r="R6" s="290">
        <f t="shared" si="10"/>
        <v>0</v>
      </c>
      <c r="S6" s="290">
        <f t="shared" si="11"/>
        <v>0</v>
      </c>
      <c r="T6" s="290">
        <f t="shared" si="12"/>
        <v>0</v>
      </c>
      <c r="U6" s="291">
        <f t="shared" si="13"/>
        <v>50284.22</v>
      </c>
      <c r="V6" s="291">
        <f t="shared" si="21"/>
        <v>-50284.22</v>
      </c>
      <c r="W6" s="617">
        <f t="shared" si="14"/>
        <v>0</v>
      </c>
      <c r="X6" s="291">
        <f t="shared" si="22"/>
        <v>-50284.22</v>
      </c>
      <c r="Y6" s="170">
        <f t="shared" si="15"/>
        <v>15632.4</v>
      </c>
      <c r="Z6" s="291">
        <f t="shared" si="16"/>
        <v>-15632.4</v>
      </c>
      <c r="AC6" s="276">
        <f>IF(AI6=1,IF(AC5=MiscData!$F$1,EOMONTH(AC5,-11),EOMONTH(AC5,1)),AC5)</f>
        <v>42035</v>
      </c>
      <c r="AD6" s="275" t="str">
        <f t="shared" si="17"/>
        <v>20140101LGUM_204</v>
      </c>
      <c r="AE6" s="294" t="str">
        <f t="shared" si="18"/>
        <v>20140101RLS</v>
      </c>
      <c r="AF6" s="618" t="str">
        <f t="shared" si="23"/>
        <v>204</v>
      </c>
      <c r="AH6" s="265">
        <f>MiscData!$X$5</f>
        <v>20140101</v>
      </c>
      <c r="AI6" s="265">
        <f>IF(AI5+1&gt;MiscData!$AC$77,1,AI5+1)</f>
        <v>3</v>
      </c>
      <c r="AJ6" s="265" t="str">
        <f>VLOOKUP(AI6,MiscData!$AC$5:$AD$77,2,FALSE)</f>
        <v>LGUM_204</v>
      </c>
      <c r="AK6" s="265" t="str">
        <f>VLOOKUP(AJ6,MiscData!$AD$5:$AE$77,2,FALSE)</f>
        <v>RLS</v>
      </c>
      <c r="AT6" s="265" t="s">
        <v>166</v>
      </c>
      <c r="AV6" s="265">
        <v>-44.16</v>
      </c>
    </row>
    <row r="7" spans="1:48">
      <c r="A7" s="275">
        <f t="shared" si="24"/>
        <v>4</v>
      </c>
      <c r="B7" s="276" t="str">
        <f t="shared" si="0"/>
        <v>Jan 2015</v>
      </c>
      <c r="C7" s="277" t="str">
        <f t="shared" si="1"/>
        <v>RLS</v>
      </c>
      <c r="D7" s="277" t="str">
        <f t="shared" si="2"/>
        <v>LGUM_206</v>
      </c>
      <c r="E7" s="614">
        <f t="shared" si="3"/>
        <v>94</v>
      </c>
      <c r="F7" s="615">
        <v>0</v>
      </c>
      <c r="G7" s="614">
        <f t="shared" si="4"/>
        <v>0</v>
      </c>
      <c r="H7" s="615">
        <v>0</v>
      </c>
      <c r="I7" s="283">
        <f t="shared" si="5"/>
        <v>12.450000000000001</v>
      </c>
      <c r="J7" s="283">
        <f t="shared" si="6"/>
        <v>1.0899999999999999</v>
      </c>
      <c r="K7" s="285">
        <f t="shared" si="19"/>
        <v>1170.3</v>
      </c>
      <c r="L7" s="286">
        <v>0</v>
      </c>
      <c r="M7" s="286">
        <v>0</v>
      </c>
      <c r="N7" s="285">
        <f t="shared" si="7"/>
        <v>1170.3</v>
      </c>
      <c r="O7" s="616">
        <f t="shared" si="20"/>
        <v>0</v>
      </c>
      <c r="P7" s="289">
        <f t="shared" si="8"/>
        <v>0</v>
      </c>
      <c r="Q7" s="290">
        <f t="shared" si="9"/>
        <v>0</v>
      </c>
      <c r="R7" s="290">
        <f t="shared" si="10"/>
        <v>0</v>
      </c>
      <c r="S7" s="290">
        <f t="shared" si="11"/>
        <v>0</v>
      </c>
      <c r="T7" s="290">
        <f t="shared" si="12"/>
        <v>0</v>
      </c>
      <c r="U7" s="291">
        <f t="shared" si="13"/>
        <v>1170.3</v>
      </c>
      <c r="V7" s="291">
        <f t="shared" si="21"/>
        <v>-1170.3</v>
      </c>
      <c r="W7" s="617">
        <f t="shared" si="14"/>
        <v>0</v>
      </c>
      <c r="X7" s="291">
        <f t="shared" si="22"/>
        <v>-1170.3</v>
      </c>
      <c r="Y7" s="170">
        <f t="shared" si="15"/>
        <v>102.46</v>
      </c>
      <c r="Z7" s="291">
        <f t="shared" si="16"/>
        <v>-102.46</v>
      </c>
      <c r="AC7" s="276">
        <f>IF(AI7=1,IF(AC6=MiscData!$F$1,EOMONTH(AC6,-11),EOMONTH(AC6,1)),AC6)</f>
        <v>42035</v>
      </c>
      <c r="AD7" s="275" t="str">
        <f t="shared" si="17"/>
        <v>20140101LGUM_206</v>
      </c>
      <c r="AE7" s="294" t="str">
        <f t="shared" si="18"/>
        <v>20140101RLS</v>
      </c>
      <c r="AF7" s="618" t="str">
        <f t="shared" si="23"/>
        <v>206</v>
      </c>
      <c r="AH7" s="265">
        <f>MiscData!$X$5</f>
        <v>20140101</v>
      </c>
      <c r="AI7" s="265">
        <f>IF(AI6+1&gt;MiscData!$AC$77,1,AI6+1)</f>
        <v>4</v>
      </c>
      <c r="AJ7" s="265" t="str">
        <f>VLOOKUP(AI7,MiscData!$AC$5:$AD$77,2,FALSE)</f>
        <v>LGUM_206</v>
      </c>
      <c r="AK7" s="265" t="str">
        <f>VLOOKUP(AJ7,MiscData!$AD$5:$AE$77,2,FALSE)</f>
        <v>RLS</v>
      </c>
      <c r="AT7" s="265" t="s">
        <v>167</v>
      </c>
      <c r="AV7" s="265">
        <v>-13.39</v>
      </c>
    </row>
    <row r="8" spans="1:48">
      <c r="A8" s="275">
        <f t="shared" si="24"/>
        <v>5</v>
      </c>
      <c r="B8" s="276" t="str">
        <f t="shared" si="0"/>
        <v>Jan 2015</v>
      </c>
      <c r="C8" s="277" t="str">
        <f t="shared" si="1"/>
        <v>RLS</v>
      </c>
      <c r="D8" s="277" t="str">
        <f t="shared" si="2"/>
        <v>LGUM_207</v>
      </c>
      <c r="E8" s="614">
        <f t="shared" si="3"/>
        <v>739</v>
      </c>
      <c r="F8" s="615">
        <v>0</v>
      </c>
      <c r="G8" s="614">
        <f t="shared" si="4"/>
        <v>0</v>
      </c>
      <c r="H8" s="615">
        <v>0</v>
      </c>
      <c r="I8" s="283">
        <f t="shared" si="5"/>
        <v>15.54</v>
      </c>
      <c r="J8" s="283">
        <f t="shared" si="6"/>
        <v>4.2000000000000011</v>
      </c>
      <c r="K8" s="285">
        <f t="shared" si="19"/>
        <v>11484.06</v>
      </c>
      <c r="L8" s="286">
        <v>0</v>
      </c>
      <c r="M8" s="286">
        <v>0</v>
      </c>
      <c r="N8" s="285">
        <f t="shared" si="7"/>
        <v>11484.06</v>
      </c>
      <c r="O8" s="616">
        <f t="shared" si="20"/>
        <v>0</v>
      </c>
      <c r="P8" s="289">
        <f t="shared" si="8"/>
        <v>0</v>
      </c>
      <c r="Q8" s="290">
        <f t="shared" si="9"/>
        <v>0</v>
      </c>
      <c r="R8" s="290">
        <f t="shared" si="10"/>
        <v>0</v>
      </c>
      <c r="S8" s="290">
        <f t="shared" si="11"/>
        <v>0</v>
      </c>
      <c r="T8" s="290">
        <f t="shared" si="12"/>
        <v>0</v>
      </c>
      <c r="U8" s="291">
        <f t="shared" si="13"/>
        <v>11484.06</v>
      </c>
      <c r="V8" s="291">
        <f t="shared" si="21"/>
        <v>-11484.06</v>
      </c>
      <c r="W8" s="617">
        <f t="shared" si="14"/>
        <v>0</v>
      </c>
      <c r="X8" s="291">
        <f t="shared" si="22"/>
        <v>-11484.06</v>
      </c>
      <c r="Y8" s="170">
        <f t="shared" si="15"/>
        <v>3103.8</v>
      </c>
      <c r="Z8" s="291">
        <f t="shared" si="16"/>
        <v>-3103.8</v>
      </c>
      <c r="AC8" s="276">
        <f>IF(AI8=1,IF(AC7=MiscData!$F$1,EOMONTH(AC7,-11),EOMONTH(AC7,1)),AC7)</f>
        <v>42035</v>
      </c>
      <c r="AD8" s="275" t="str">
        <f t="shared" si="17"/>
        <v>20140101LGUM_207</v>
      </c>
      <c r="AE8" s="294" t="str">
        <f t="shared" si="18"/>
        <v>20140101RLS</v>
      </c>
      <c r="AF8" s="618" t="str">
        <f t="shared" si="23"/>
        <v>207</v>
      </c>
      <c r="AH8" s="265">
        <f>MiscData!$X$5</f>
        <v>20140101</v>
      </c>
      <c r="AI8" s="265">
        <f>IF(AI7+1&gt;MiscData!$AC$77,1,AI7+1)</f>
        <v>5</v>
      </c>
      <c r="AJ8" s="265" t="str">
        <f>VLOOKUP(AI8,MiscData!$AC$5:$AD$77,2,FALSE)</f>
        <v>LGUM_207</v>
      </c>
      <c r="AK8" s="265" t="str">
        <f>VLOOKUP(AJ8,MiscData!$AD$5:$AE$77,2,FALSE)</f>
        <v>RLS</v>
      </c>
      <c r="AT8" s="265" t="s">
        <v>168</v>
      </c>
      <c r="AV8" s="265">
        <v>-5.58</v>
      </c>
    </row>
    <row r="9" spans="1:48">
      <c r="A9" s="275">
        <f t="shared" si="24"/>
        <v>6</v>
      </c>
      <c r="B9" s="276" t="str">
        <f t="shared" si="0"/>
        <v>Jan 2015</v>
      </c>
      <c r="C9" s="277" t="str">
        <f t="shared" si="1"/>
        <v>RLS</v>
      </c>
      <c r="D9" s="277" t="str">
        <f t="shared" si="2"/>
        <v>LGUM_208</v>
      </c>
      <c r="E9" s="614">
        <f t="shared" si="3"/>
        <v>1366</v>
      </c>
      <c r="F9" s="615">
        <v>0</v>
      </c>
      <c r="G9" s="614">
        <f t="shared" si="4"/>
        <v>0</v>
      </c>
      <c r="H9" s="615">
        <v>0</v>
      </c>
      <c r="I9" s="283">
        <f t="shared" si="5"/>
        <v>14.24</v>
      </c>
      <c r="J9" s="283">
        <f t="shared" si="6"/>
        <v>1.9100000000000001</v>
      </c>
      <c r="K9" s="285">
        <f t="shared" si="19"/>
        <v>19451.84</v>
      </c>
      <c r="L9" s="286">
        <v>0</v>
      </c>
      <c r="M9" s="286">
        <v>0</v>
      </c>
      <c r="N9" s="285">
        <f t="shared" si="7"/>
        <v>19451.84</v>
      </c>
      <c r="O9" s="616">
        <f t="shared" si="20"/>
        <v>0</v>
      </c>
      <c r="P9" s="289">
        <f t="shared" si="8"/>
        <v>0</v>
      </c>
      <c r="Q9" s="290">
        <f t="shared" si="9"/>
        <v>0</v>
      </c>
      <c r="R9" s="290">
        <f t="shared" si="10"/>
        <v>0</v>
      </c>
      <c r="S9" s="290">
        <f t="shared" si="11"/>
        <v>0</v>
      </c>
      <c r="T9" s="290">
        <f t="shared" si="12"/>
        <v>0</v>
      </c>
      <c r="U9" s="291">
        <f t="shared" si="13"/>
        <v>19451.84</v>
      </c>
      <c r="V9" s="291">
        <f t="shared" si="21"/>
        <v>-19451.84</v>
      </c>
      <c r="W9" s="617">
        <f t="shared" si="14"/>
        <v>0</v>
      </c>
      <c r="X9" s="291">
        <f t="shared" si="22"/>
        <v>-19451.84</v>
      </c>
      <c r="Y9" s="170">
        <f t="shared" si="15"/>
        <v>2609.06</v>
      </c>
      <c r="Z9" s="291">
        <f t="shared" si="16"/>
        <v>-2609.06</v>
      </c>
      <c r="AC9" s="276">
        <f>IF(AI9=1,IF(AC8=MiscData!$F$1,EOMONTH(AC8,-11),EOMONTH(AC8,1)),AC8)</f>
        <v>42035</v>
      </c>
      <c r="AD9" s="275" t="str">
        <f t="shared" si="17"/>
        <v>20140101LGUM_208</v>
      </c>
      <c r="AE9" s="294" t="str">
        <f t="shared" si="18"/>
        <v>20140101RLS</v>
      </c>
      <c r="AF9" s="618" t="str">
        <f t="shared" si="23"/>
        <v>208</v>
      </c>
      <c r="AH9" s="265">
        <f>MiscData!$X$5</f>
        <v>20140101</v>
      </c>
      <c r="AI9" s="265">
        <f>IF(AI8+1&gt;MiscData!$AC$77,1,AI8+1)</f>
        <v>6</v>
      </c>
      <c r="AJ9" s="265" t="str">
        <f>VLOOKUP(AI9,MiscData!$AC$5:$AD$77,2,FALSE)</f>
        <v>LGUM_208</v>
      </c>
      <c r="AK9" s="265" t="str">
        <f>VLOOKUP(AJ9,MiscData!$AD$5:$AE$77,2,FALSE)</f>
        <v>RLS</v>
      </c>
      <c r="AT9" s="265" t="s">
        <v>504</v>
      </c>
      <c r="AV9" s="265">
        <v>0</v>
      </c>
    </row>
    <row r="10" spans="1:48">
      <c r="A10" s="275">
        <f t="shared" si="24"/>
        <v>7</v>
      </c>
      <c r="B10" s="276" t="str">
        <f t="shared" si="0"/>
        <v>Jan 2015</v>
      </c>
      <c r="C10" s="277" t="str">
        <f t="shared" si="1"/>
        <v>RLS</v>
      </c>
      <c r="D10" s="277" t="str">
        <f t="shared" si="2"/>
        <v>LGUM_209</v>
      </c>
      <c r="E10" s="614">
        <f t="shared" si="3"/>
        <v>44</v>
      </c>
      <c r="F10" s="615">
        <v>0</v>
      </c>
      <c r="G10" s="614">
        <f t="shared" si="4"/>
        <v>0</v>
      </c>
      <c r="H10" s="615">
        <v>0</v>
      </c>
      <c r="I10" s="283">
        <f t="shared" si="5"/>
        <v>27.69</v>
      </c>
      <c r="J10" s="283">
        <f t="shared" si="6"/>
        <v>10.170000000000002</v>
      </c>
      <c r="K10" s="285">
        <f t="shared" si="19"/>
        <v>1218.3599999999999</v>
      </c>
      <c r="L10" s="286">
        <v>0</v>
      </c>
      <c r="M10" s="286">
        <v>0</v>
      </c>
      <c r="N10" s="285">
        <f t="shared" si="7"/>
        <v>1218.3599999999999</v>
      </c>
      <c r="O10" s="616">
        <f t="shared" si="20"/>
        <v>0</v>
      </c>
      <c r="P10" s="289">
        <f t="shared" si="8"/>
        <v>0</v>
      </c>
      <c r="Q10" s="290">
        <f t="shared" si="9"/>
        <v>0</v>
      </c>
      <c r="R10" s="290">
        <f t="shared" si="10"/>
        <v>0</v>
      </c>
      <c r="S10" s="290">
        <f t="shared" si="11"/>
        <v>0</v>
      </c>
      <c r="T10" s="290">
        <f t="shared" si="12"/>
        <v>0</v>
      </c>
      <c r="U10" s="291">
        <f t="shared" si="13"/>
        <v>1218.3599999999999</v>
      </c>
      <c r="V10" s="291">
        <f t="shared" si="21"/>
        <v>-1218.3599999999999</v>
      </c>
      <c r="W10" s="617">
        <f t="shared" si="14"/>
        <v>0</v>
      </c>
      <c r="X10" s="291">
        <f t="shared" si="22"/>
        <v>-1218.3599999999999</v>
      </c>
      <c r="Y10" s="170">
        <f t="shared" si="15"/>
        <v>447.48</v>
      </c>
      <c r="Z10" s="291">
        <f t="shared" si="16"/>
        <v>-447.48</v>
      </c>
      <c r="AC10" s="276">
        <f>IF(AI10=1,IF(AC9=MiscData!$F$1,EOMONTH(AC9,-11),EOMONTH(AC9,1)),AC9)</f>
        <v>42035</v>
      </c>
      <c r="AD10" s="275" t="str">
        <f t="shared" si="17"/>
        <v>20140101LGUM_209</v>
      </c>
      <c r="AE10" s="294" t="str">
        <f t="shared" si="18"/>
        <v>20140101RLS</v>
      </c>
      <c r="AF10" s="618" t="str">
        <f t="shared" si="23"/>
        <v>209</v>
      </c>
      <c r="AH10" s="265">
        <f>MiscData!$X$5</f>
        <v>20140101</v>
      </c>
      <c r="AI10" s="265">
        <f>IF(AI9+1&gt;MiscData!$AC$77,1,AI9+1)</f>
        <v>7</v>
      </c>
      <c r="AJ10" s="265" t="str">
        <f>VLOOKUP(AI10,MiscData!$AC$5:$AD$77,2,FALSE)</f>
        <v>LGUM_209</v>
      </c>
      <c r="AK10" s="265" t="str">
        <f>VLOOKUP(AJ10,MiscData!$AD$5:$AE$77,2,FALSE)</f>
        <v>RLS</v>
      </c>
      <c r="AT10" s="265" t="s">
        <v>169</v>
      </c>
      <c r="AV10" s="265">
        <v>0</v>
      </c>
    </row>
    <row r="11" spans="1:48">
      <c r="A11" s="275">
        <f t="shared" si="24"/>
        <v>8</v>
      </c>
      <c r="B11" s="276" t="str">
        <f t="shared" si="0"/>
        <v>Jan 2015</v>
      </c>
      <c r="C11" s="277" t="str">
        <f t="shared" si="1"/>
        <v>RLS</v>
      </c>
      <c r="D11" s="277" t="str">
        <f t="shared" si="2"/>
        <v>LGUM_210</v>
      </c>
      <c r="E11" s="614">
        <f t="shared" si="3"/>
        <v>353</v>
      </c>
      <c r="F11" s="615">
        <v>0</v>
      </c>
      <c r="G11" s="614">
        <f t="shared" si="4"/>
        <v>0</v>
      </c>
      <c r="H11" s="615">
        <v>0</v>
      </c>
      <c r="I11" s="283">
        <f t="shared" si="5"/>
        <v>28.89</v>
      </c>
      <c r="J11" s="283">
        <f t="shared" si="6"/>
        <v>10.170000000000002</v>
      </c>
      <c r="K11" s="285">
        <f t="shared" si="19"/>
        <v>10198.17</v>
      </c>
      <c r="L11" s="286">
        <v>0</v>
      </c>
      <c r="M11" s="286">
        <v>0</v>
      </c>
      <c r="N11" s="285">
        <f t="shared" si="7"/>
        <v>10198.17</v>
      </c>
      <c r="O11" s="616">
        <f t="shared" si="20"/>
        <v>0</v>
      </c>
      <c r="P11" s="289">
        <f t="shared" si="8"/>
        <v>0</v>
      </c>
      <c r="Q11" s="290">
        <f t="shared" si="9"/>
        <v>0</v>
      </c>
      <c r="R11" s="290">
        <f t="shared" si="10"/>
        <v>0</v>
      </c>
      <c r="S11" s="290">
        <f t="shared" si="11"/>
        <v>0</v>
      </c>
      <c r="T11" s="290">
        <f t="shared" si="12"/>
        <v>0</v>
      </c>
      <c r="U11" s="291">
        <f t="shared" si="13"/>
        <v>10198.17</v>
      </c>
      <c r="V11" s="291">
        <f t="shared" si="21"/>
        <v>-10198.17</v>
      </c>
      <c r="W11" s="617">
        <f t="shared" si="14"/>
        <v>0</v>
      </c>
      <c r="X11" s="291">
        <f t="shared" si="22"/>
        <v>-10198.17</v>
      </c>
      <c r="Y11" s="170">
        <f t="shared" si="15"/>
        <v>3590.01</v>
      </c>
      <c r="Z11" s="291">
        <f t="shared" si="16"/>
        <v>-3590.01</v>
      </c>
      <c r="AC11" s="276">
        <f>IF(AI11=1,IF(AC10=MiscData!$F$1,EOMONTH(AC10,-11),EOMONTH(AC10,1)),AC10)</f>
        <v>42035</v>
      </c>
      <c r="AD11" s="275" t="str">
        <f t="shared" si="17"/>
        <v>20140101LGUM_210</v>
      </c>
      <c r="AE11" s="294" t="str">
        <f t="shared" si="18"/>
        <v>20140101RLS</v>
      </c>
      <c r="AF11" s="618" t="str">
        <f t="shared" si="23"/>
        <v>210</v>
      </c>
      <c r="AH11" s="265">
        <f>MiscData!$X$5</f>
        <v>20140101</v>
      </c>
      <c r="AI11" s="265">
        <f>IF(AI10+1&gt;MiscData!$AC$77,1,AI10+1)</f>
        <v>8</v>
      </c>
      <c r="AJ11" s="265" t="str">
        <f>VLOOKUP(AI11,MiscData!$AC$5:$AD$77,2,FALSE)</f>
        <v>LGUM_210</v>
      </c>
      <c r="AK11" s="265" t="str">
        <f>VLOOKUP(AJ11,MiscData!$AD$5:$AE$77,2,FALSE)</f>
        <v>RLS</v>
      </c>
      <c r="AT11" s="265" t="s">
        <v>170</v>
      </c>
      <c r="AV11" s="265">
        <v>0</v>
      </c>
    </row>
    <row r="12" spans="1:48">
      <c r="A12" s="275">
        <f t="shared" si="24"/>
        <v>9</v>
      </c>
      <c r="B12" s="276" t="str">
        <f t="shared" si="0"/>
        <v>Jan 2015</v>
      </c>
      <c r="C12" s="277" t="str">
        <f t="shared" si="1"/>
        <v>RLS</v>
      </c>
      <c r="D12" s="277" t="str">
        <f t="shared" si="2"/>
        <v>LGUM_252</v>
      </c>
      <c r="E12" s="614">
        <f t="shared" si="3"/>
        <v>3884</v>
      </c>
      <c r="F12" s="615">
        <v>0</v>
      </c>
      <c r="G12" s="614">
        <f t="shared" si="4"/>
        <v>0</v>
      </c>
      <c r="H12" s="615">
        <v>0</v>
      </c>
      <c r="I12" s="283">
        <f t="shared" si="5"/>
        <v>9.57</v>
      </c>
      <c r="J12" s="283">
        <f t="shared" si="6"/>
        <v>1.9099999999999993</v>
      </c>
      <c r="K12" s="285">
        <f t="shared" si="19"/>
        <v>37169.879999999997</v>
      </c>
      <c r="L12" s="286">
        <v>0</v>
      </c>
      <c r="M12" s="286">
        <v>0</v>
      </c>
      <c r="N12" s="285">
        <f t="shared" si="7"/>
        <v>37169.879999999997</v>
      </c>
      <c r="O12" s="616">
        <f t="shared" si="20"/>
        <v>0</v>
      </c>
      <c r="P12" s="289">
        <f t="shared" si="8"/>
        <v>0</v>
      </c>
      <c r="Q12" s="290">
        <f t="shared" si="9"/>
        <v>0</v>
      </c>
      <c r="R12" s="290">
        <f t="shared" si="10"/>
        <v>0</v>
      </c>
      <c r="S12" s="290">
        <f t="shared" si="11"/>
        <v>0</v>
      </c>
      <c r="T12" s="290">
        <f t="shared" si="12"/>
        <v>0</v>
      </c>
      <c r="U12" s="291">
        <f t="shared" si="13"/>
        <v>37169.879999999997</v>
      </c>
      <c r="V12" s="291">
        <f t="shared" si="21"/>
        <v>-37169.879999999997</v>
      </c>
      <c r="W12" s="617">
        <f t="shared" si="14"/>
        <v>0</v>
      </c>
      <c r="X12" s="291">
        <f t="shared" si="22"/>
        <v>-37169.879999999997</v>
      </c>
      <c r="Y12" s="170">
        <f t="shared" si="15"/>
        <v>7418.44</v>
      </c>
      <c r="Z12" s="291">
        <f t="shared" si="16"/>
        <v>-7418.44</v>
      </c>
      <c r="AC12" s="276">
        <f>IF(AI12=1,IF(AC11=MiscData!$F$1,EOMONTH(AC11,-11),EOMONTH(AC11,1)),AC11)</f>
        <v>42035</v>
      </c>
      <c r="AD12" s="275" t="str">
        <f t="shared" si="17"/>
        <v>20140101LGUM_252</v>
      </c>
      <c r="AE12" s="294" t="str">
        <f t="shared" si="18"/>
        <v>20140101RLS</v>
      </c>
      <c r="AF12" s="618" t="str">
        <f t="shared" si="23"/>
        <v>252</v>
      </c>
      <c r="AH12" s="265">
        <f>MiscData!$X$5</f>
        <v>20140101</v>
      </c>
      <c r="AI12" s="265">
        <f>IF(AI11+1&gt;MiscData!$AC$77,1,AI11+1)</f>
        <v>9</v>
      </c>
      <c r="AJ12" s="265" t="str">
        <f>VLOOKUP(AI12,MiscData!$AC$5:$AD$77,2,FALSE)</f>
        <v>LGUM_252</v>
      </c>
      <c r="AK12" s="265" t="str">
        <f>VLOOKUP(AJ12,MiscData!$AD$5:$AE$77,2,FALSE)</f>
        <v>RLS</v>
      </c>
      <c r="AT12" s="265" t="s">
        <v>508</v>
      </c>
      <c r="AV12" s="265">
        <v>0</v>
      </c>
    </row>
    <row r="13" spans="1:48">
      <c r="A13" s="275">
        <f t="shared" si="24"/>
        <v>10</v>
      </c>
      <c r="B13" s="276" t="str">
        <f t="shared" si="0"/>
        <v>Jan 2015</v>
      </c>
      <c r="C13" s="277" t="str">
        <f t="shared" si="1"/>
        <v>RLS</v>
      </c>
      <c r="D13" s="277" t="str">
        <f t="shared" si="2"/>
        <v>LGUM_266</v>
      </c>
      <c r="E13" s="614">
        <f t="shared" si="3"/>
        <v>1965</v>
      </c>
      <c r="F13" s="615">
        <v>0</v>
      </c>
      <c r="G13" s="614">
        <f t="shared" si="4"/>
        <v>0</v>
      </c>
      <c r="H13" s="615">
        <v>0</v>
      </c>
      <c r="I13" s="283">
        <f t="shared" si="5"/>
        <v>27.34</v>
      </c>
      <c r="J13" s="283">
        <f t="shared" si="6"/>
        <v>2.8000000000000007</v>
      </c>
      <c r="K13" s="285">
        <f t="shared" si="19"/>
        <v>53723.1</v>
      </c>
      <c r="L13" s="286">
        <v>0</v>
      </c>
      <c r="M13" s="286">
        <v>0</v>
      </c>
      <c r="N13" s="285">
        <f t="shared" si="7"/>
        <v>53723.1</v>
      </c>
      <c r="O13" s="616">
        <f t="shared" si="20"/>
        <v>0</v>
      </c>
      <c r="P13" s="289">
        <f t="shared" si="8"/>
        <v>0</v>
      </c>
      <c r="Q13" s="290">
        <f t="shared" si="9"/>
        <v>0</v>
      </c>
      <c r="R13" s="290">
        <f t="shared" si="10"/>
        <v>0</v>
      </c>
      <c r="S13" s="290">
        <f t="shared" si="11"/>
        <v>0</v>
      </c>
      <c r="T13" s="290">
        <f t="shared" si="12"/>
        <v>0</v>
      </c>
      <c r="U13" s="291">
        <f t="shared" si="13"/>
        <v>53723.1</v>
      </c>
      <c r="V13" s="291">
        <f t="shared" si="21"/>
        <v>-53723.1</v>
      </c>
      <c r="W13" s="617">
        <f t="shared" si="14"/>
        <v>0</v>
      </c>
      <c r="X13" s="291">
        <f t="shared" si="22"/>
        <v>-53723.1</v>
      </c>
      <c r="Y13" s="170">
        <f t="shared" si="15"/>
        <v>5502</v>
      </c>
      <c r="Z13" s="291">
        <f t="shared" si="16"/>
        <v>-5502</v>
      </c>
      <c r="AC13" s="276">
        <f>IF(AI13=1,IF(AC12=MiscData!$F$1,EOMONTH(AC12,-11),EOMONTH(AC12,1)),AC12)</f>
        <v>42035</v>
      </c>
      <c r="AD13" s="275" t="str">
        <f t="shared" si="17"/>
        <v>20140101LGUM_266</v>
      </c>
      <c r="AE13" s="294" t="str">
        <f t="shared" si="18"/>
        <v>20140101RLS</v>
      </c>
      <c r="AF13" s="618" t="str">
        <f t="shared" si="23"/>
        <v>266</v>
      </c>
      <c r="AH13" s="265">
        <f>MiscData!$X$5</f>
        <v>20140101</v>
      </c>
      <c r="AI13" s="265">
        <f>IF(AI12+1&gt;MiscData!$AC$77,1,AI12+1)</f>
        <v>10</v>
      </c>
      <c r="AJ13" s="265" t="str">
        <f>VLOOKUP(AI13,MiscData!$AC$5:$AD$77,2,FALSE)</f>
        <v>LGUM_266</v>
      </c>
      <c r="AK13" s="265" t="str">
        <f>VLOOKUP(AJ13,MiscData!$AD$5:$AE$77,2,FALSE)</f>
        <v>RLS</v>
      </c>
      <c r="AT13" s="265" t="s">
        <v>171</v>
      </c>
      <c r="AV13" s="265">
        <v>0</v>
      </c>
    </row>
    <row r="14" spans="1:48">
      <c r="A14" s="275">
        <f t="shared" si="24"/>
        <v>11</v>
      </c>
      <c r="B14" s="276" t="str">
        <f t="shared" si="0"/>
        <v>Jan 2015</v>
      </c>
      <c r="C14" s="277" t="str">
        <f t="shared" si="1"/>
        <v>RLS</v>
      </c>
      <c r="D14" s="277" t="str">
        <f t="shared" si="2"/>
        <v>LGUM_267</v>
      </c>
      <c r="E14" s="614">
        <f t="shared" si="3"/>
        <v>2189</v>
      </c>
      <c r="F14" s="615">
        <v>0</v>
      </c>
      <c r="G14" s="614">
        <f t="shared" si="4"/>
        <v>0</v>
      </c>
      <c r="H14" s="615">
        <v>0</v>
      </c>
      <c r="I14" s="283">
        <f t="shared" si="5"/>
        <v>31.4</v>
      </c>
      <c r="J14" s="283">
        <f t="shared" si="6"/>
        <v>4.4499999999999993</v>
      </c>
      <c r="K14" s="285">
        <f t="shared" si="19"/>
        <v>68734.600000000006</v>
      </c>
      <c r="L14" s="286">
        <v>0</v>
      </c>
      <c r="M14" s="286">
        <v>0</v>
      </c>
      <c r="N14" s="285">
        <f t="shared" si="7"/>
        <v>68734.600000000006</v>
      </c>
      <c r="O14" s="616">
        <f t="shared" si="20"/>
        <v>0</v>
      </c>
      <c r="P14" s="289">
        <f t="shared" si="8"/>
        <v>0</v>
      </c>
      <c r="Q14" s="290">
        <f t="shared" si="9"/>
        <v>0</v>
      </c>
      <c r="R14" s="290">
        <f t="shared" si="10"/>
        <v>0</v>
      </c>
      <c r="S14" s="290">
        <f t="shared" si="11"/>
        <v>0</v>
      </c>
      <c r="T14" s="290">
        <f t="shared" si="12"/>
        <v>0</v>
      </c>
      <c r="U14" s="291">
        <f t="shared" si="13"/>
        <v>68734.600000000006</v>
      </c>
      <c r="V14" s="291">
        <f t="shared" si="21"/>
        <v>-68734.600000000006</v>
      </c>
      <c r="W14" s="617">
        <f t="shared" si="14"/>
        <v>0</v>
      </c>
      <c r="X14" s="291">
        <f t="shared" si="22"/>
        <v>-68734.600000000006</v>
      </c>
      <c r="Y14" s="170">
        <f t="shared" si="15"/>
        <v>9741.0499999999993</v>
      </c>
      <c r="Z14" s="291">
        <f t="shared" si="16"/>
        <v>-9741.0499999999993</v>
      </c>
      <c r="AC14" s="276">
        <f>IF(AI14=1,IF(AC13=MiscData!$F$1,EOMONTH(AC13,-11),EOMONTH(AC13,1)),AC13)</f>
        <v>42035</v>
      </c>
      <c r="AD14" s="275" t="str">
        <f t="shared" si="17"/>
        <v>20140101LGUM_267</v>
      </c>
      <c r="AE14" s="294" t="str">
        <f t="shared" si="18"/>
        <v>20140101RLS</v>
      </c>
      <c r="AF14" s="618" t="str">
        <f t="shared" si="23"/>
        <v>267</v>
      </c>
      <c r="AH14" s="265">
        <f>MiscData!$X$5</f>
        <v>20140101</v>
      </c>
      <c r="AI14" s="265">
        <f>IF(AI13+1&gt;MiscData!$AC$77,1,AI13+1)</f>
        <v>11</v>
      </c>
      <c r="AJ14" s="265" t="str">
        <f>VLOOKUP(AI14,MiscData!$AC$5:$AD$77,2,FALSE)</f>
        <v>LGUM_267</v>
      </c>
      <c r="AK14" s="265" t="str">
        <f>VLOOKUP(AJ14,MiscData!$AD$5:$AE$77,2,FALSE)</f>
        <v>RLS</v>
      </c>
      <c r="AT14" s="265" t="s">
        <v>172</v>
      </c>
      <c r="AV14" s="265">
        <v>0</v>
      </c>
    </row>
    <row r="15" spans="1:48">
      <c r="A15" s="275">
        <f t="shared" si="24"/>
        <v>12</v>
      </c>
      <c r="B15" s="276" t="str">
        <f t="shared" si="0"/>
        <v>Jan 2015</v>
      </c>
      <c r="C15" s="277" t="str">
        <f t="shared" si="1"/>
        <v>RLS</v>
      </c>
      <c r="D15" s="277" t="str">
        <f t="shared" si="2"/>
        <v>LGUM_274</v>
      </c>
      <c r="E15" s="614">
        <f t="shared" si="3"/>
        <v>16307</v>
      </c>
      <c r="F15" s="615">
        <v>0</v>
      </c>
      <c r="G15" s="614">
        <f t="shared" si="4"/>
        <v>0</v>
      </c>
      <c r="H15" s="615">
        <v>0</v>
      </c>
      <c r="I15" s="283">
        <f t="shared" si="5"/>
        <v>17.189999999999998</v>
      </c>
      <c r="J15" s="283">
        <f t="shared" si="6"/>
        <v>1.2699999999999996</v>
      </c>
      <c r="K15" s="285">
        <f t="shared" si="19"/>
        <v>280317.33</v>
      </c>
      <c r="L15" s="286">
        <v>0</v>
      </c>
      <c r="M15" s="286">
        <v>0</v>
      </c>
      <c r="N15" s="285">
        <f t="shared" si="7"/>
        <v>280317.33</v>
      </c>
      <c r="O15" s="616">
        <f t="shared" si="20"/>
        <v>0</v>
      </c>
      <c r="P15" s="289">
        <f t="shared" si="8"/>
        <v>0</v>
      </c>
      <c r="Q15" s="290">
        <f t="shared" si="9"/>
        <v>0</v>
      </c>
      <c r="R15" s="290">
        <f t="shared" si="10"/>
        <v>0</v>
      </c>
      <c r="S15" s="290">
        <f t="shared" si="11"/>
        <v>0</v>
      </c>
      <c r="T15" s="290">
        <f t="shared" si="12"/>
        <v>0</v>
      </c>
      <c r="U15" s="291">
        <f t="shared" si="13"/>
        <v>280317.33</v>
      </c>
      <c r="V15" s="291">
        <f t="shared" si="21"/>
        <v>-280317.33</v>
      </c>
      <c r="W15" s="617">
        <f t="shared" si="14"/>
        <v>0</v>
      </c>
      <c r="X15" s="291">
        <f t="shared" si="22"/>
        <v>-280317.33</v>
      </c>
      <c r="Y15" s="170">
        <f t="shared" si="15"/>
        <v>20709.89</v>
      </c>
      <c r="Z15" s="291">
        <f t="shared" si="16"/>
        <v>-20709.89</v>
      </c>
      <c r="AC15" s="276">
        <f>IF(AI15=1,IF(AC14=MiscData!$F$1,EOMONTH(AC14,-11),EOMONTH(AC14,1)),AC14)</f>
        <v>42035</v>
      </c>
      <c r="AD15" s="275" t="str">
        <f t="shared" si="17"/>
        <v>20140101LGUM_274</v>
      </c>
      <c r="AE15" s="294" t="str">
        <f t="shared" si="18"/>
        <v>20140101RLS</v>
      </c>
      <c r="AF15" s="618" t="str">
        <f t="shared" si="23"/>
        <v>274</v>
      </c>
      <c r="AH15" s="265">
        <f>MiscData!$X$5</f>
        <v>20140101</v>
      </c>
      <c r="AI15" s="265">
        <f>IF(AI14+1&gt;MiscData!$AC$77,1,AI14+1)</f>
        <v>12</v>
      </c>
      <c r="AJ15" s="265" t="str">
        <f>VLOOKUP(AI15,MiscData!$AC$5:$AD$77,2,FALSE)</f>
        <v>LGUM_274</v>
      </c>
      <c r="AK15" s="265" t="str">
        <f>VLOOKUP(AJ15,MiscData!$AD$5:$AE$77,2,FALSE)</f>
        <v>RLS</v>
      </c>
      <c r="AT15" s="265" t="s">
        <v>173</v>
      </c>
      <c r="AV15" s="265">
        <v>0</v>
      </c>
    </row>
    <row r="16" spans="1:48">
      <c r="A16" s="275">
        <f t="shared" si="24"/>
        <v>13</v>
      </c>
      <c r="B16" s="276" t="str">
        <f t="shared" si="0"/>
        <v>Jan 2015</v>
      </c>
      <c r="C16" s="277" t="str">
        <f t="shared" si="1"/>
        <v>RLS</v>
      </c>
      <c r="D16" s="277" t="str">
        <f t="shared" si="2"/>
        <v>LGUM_275</v>
      </c>
      <c r="E16" s="614">
        <f t="shared" si="3"/>
        <v>503</v>
      </c>
      <c r="F16" s="615">
        <v>0</v>
      </c>
      <c r="G16" s="614">
        <f t="shared" si="4"/>
        <v>0</v>
      </c>
      <c r="H16" s="615">
        <v>0</v>
      </c>
      <c r="I16" s="283">
        <f t="shared" si="5"/>
        <v>24.89</v>
      </c>
      <c r="J16" s="283">
        <f t="shared" si="6"/>
        <v>1.7899999999999991</v>
      </c>
      <c r="K16" s="285">
        <f t="shared" si="19"/>
        <v>12519.67</v>
      </c>
      <c r="L16" s="286">
        <v>0</v>
      </c>
      <c r="M16" s="286">
        <v>0</v>
      </c>
      <c r="N16" s="285">
        <f t="shared" si="7"/>
        <v>12519.67</v>
      </c>
      <c r="O16" s="616">
        <f t="shared" si="20"/>
        <v>0</v>
      </c>
      <c r="P16" s="289">
        <f t="shared" si="8"/>
        <v>0</v>
      </c>
      <c r="Q16" s="290">
        <f t="shared" si="9"/>
        <v>0</v>
      </c>
      <c r="R16" s="290">
        <f t="shared" si="10"/>
        <v>0</v>
      </c>
      <c r="S16" s="290">
        <f t="shared" si="11"/>
        <v>0</v>
      </c>
      <c r="T16" s="290">
        <f t="shared" si="12"/>
        <v>0</v>
      </c>
      <c r="U16" s="291">
        <f t="shared" si="13"/>
        <v>12519.67</v>
      </c>
      <c r="V16" s="291">
        <f t="shared" si="21"/>
        <v>-12519.67</v>
      </c>
      <c r="W16" s="617">
        <f t="shared" si="14"/>
        <v>0</v>
      </c>
      <c r="X16" s="291">
        <f t="shared" si="22"/>
        <v>-12519.67</v>
      </c>
      <c r="Y16" s="170">
        <f t="shared" si="15"/>
        <v>900.37</v>
      </c>
      <c r="Z16" s="291">
        <f t="shared" si="16"/>
        <v>-900.37</v>
      </c>
      <c r="AC16" s="276">
        <f>IF(AI16=1,IF(AC15=MiscData!$F$1,EOMONTH(AC15,-11),EOMONTH(AC15,1)),AC15)</f>
        <v>42035</v>
      </c>
      <c r="AD16" s="275" t="str">
        <f t="shared" si="17"/>
        <v>20140101LGUM_275</v>
      </c>
      <c r="AE16" s="294" t="str">
        <f t="shared" si="18"/>
        <v>20140101RLS</v>
      </c>
      <c r="AF16" s="618" t="str">
        <f t="shared" si="23"/>
        <v>275</v>
      </c>
      <c r="AH16" s="265">
        <f>MiscData!$X$5</f>
        <v>20140101</v>
      </c>
      <c r="AI16" s="265">
        <f>IF(AI15+1&gt;MiscData!$AC$77,1,AI15+1)</f>
        <v>13</v>
      </c>
      <c r="AJ16" s="265" t="str">
        <f>VLOOKUP(AI16,MiscData!$AC$5:$AD$77,2,FALSE)</f>
        <v>LGUM_275</v>
      </c>
      <c r="AK16" s="265" t="str">
        <f>VLOOKUP(AJ16,MiscData!$AD$5:$AE$77,2,FALSE)</f>
        <v>RLS</v>
      </c>
      <c r="AT16" s="265" t="s">
        <v>174</v>
      </c>
      <c r="AV16" s="265">
        <v>17.64</v>
      </c>
    </row>
    <row r="17" spans="1:48">
      <c r="A17" s="275">
        <f t="shared" si="24"/>
        <v>14</v>
      </c>
      <c r="B17" s="276" t="str">
        <f t="shared" si="0"/>
        <v>Jan 2015</v>
      </c>
      <c r="C17" s="277" t="str">
        <f t="shared" si="1"/>
        <v>RLS</v>
      </c>
      <c r="D17" s="277" t="str">
        <f t="shared" si="2"/>
        <v>LGUM_276</v>
      </c>
      <c r="E17" s="614">
        <f t="shared" si="3"/>
        <v>1281</v>
      </c>
      <c r="F17" s="615">
        <v>0</v>
      </c>
      <c r="G17" s="614">
        <f t="shared" si="4"/>
        <v>0</v>
      </c>
      <c r="H17" s="615">
        <v>0</v>
      </c>
      <c r="I17" s="283">
        <f t="shared" si="5"/>
        <v>14.17</v>
      </c>
      <c r="J17" s="283">
        <f t="shared" si="6"/>
        <v>0.88000000000000078</v>
      </c>
      <c r="K17" s="285">
        <f t="shared" si="19"/>
        <v>18151.77</v>
      </c>
      <c r="L17" s="286">
        <v>0</v>
      </c>
      <c r="M17" s="286">
        <v>0</v>
      </c>
      <c r="N17" s="285">
        <f t="shared" si="7"/>
        <v>18151.77</v>
      </c>
      <c r="O17" s="616">
        <f t="shared" si="20"/>
        <v>0</v>
      </c>
      <c r="P17" s="289">
        <f t="shared" si="8"/>
        <v>0</v>
      </c>
      <c r="Q17" s="290">
        <f t="shared" si="9"/>
        <v>0</v>
      </c>
      <c r="R17" s="290">
        <f t="shared" si="10"/>
        <v>0</v>
      </c>
      <c r="S17" s="290">
        <f t="shared" si="11"/>
        <v>0</v>
      </c>
      <c r="T17" s="290">
        <f t="shared" si="12"/>
        <v>0</v>
      </c>
      <c r="U17" s="291">
        <f t="shared" si="13"/>
        <v>18151.77</v>
      </c>
      <c r="V17" s="291">
        <f t="shared" si="21"/>
        <v>-18151.77</v>
      </c>
      <c r="W17" s="617">
        <f t="shared" si="14"/>
        <v>0</v>
      </c>
      <c r="X17" s="291">
        <f t="shared" si="22"/>
        <v>-18151.77</v>
      </c>
      <c r="Y17" s="170">
        <f t="shared" si="15"/>
        <v>1127.28</v>
      </c>
      <c r="Z17" s="291">
        <f t="shared" si="16"/>
        <v>-1127.28</v>
      </c>
      <c r="AC17" s="276">
        <f>IF(AI17=1,IF(AC16=MiscData!$F$1,EOMONTH(AC16,-11),EOMONTH(AC16,1)),AC16)</f>
        <v>42035</v>
      </c>
      <c r="AD17" s="275" t="str">
        <f t="shared" si="17"/>
        <v>20140101LGUM_276</v>
      </c>
      <c r="AE17" s="294" t="str">
        <f t="shared" si="18"/>
        <v>20140101RLS</v>
      </c>
      <c r="AF17" s="618" t="str">
        <f t="shared" si="23"/>
        <v>276</v>
      </c>
      <c r="AH17" s="265">
        <f>MiscData!$X$5</f>
        <v>20140101</v>
      </c>
      <c r="AI17" s="265">
        <f>IF(AI16+1&gt;MiscData!$AC$77,1,AI16+1)</f>
        <v>14</v>
      </c>
      <c r="AJ17" s="265" t="str">
        <f>VLOOKUP(AI17,MiscData!$AC$5:$AD$77,2,FALSE)</f>
        <v>LGUM_276</v>
      </c>
      <c r="AK17" s="265" t="str">
        <f>VLOOKUP(AJ17,MiscData!$AD$5:$AE$77,2,FALSE)</f>
        <v>RLS</v>
      </c>
      <c r="AT17" s="265" t="s">
        <v>514</v>
      </c>
      <c r="AV17" s="265">
        <v>0</v>
      </c>
    </row>
    <row r="18" spans="1:48">
      <c r="A18" s="275">
        <f t="shared" si="24"/>
        <v>15</v>
      </c>
      <c r="B18" s="276" t="str">
        <f t="shared" si="0"/>
        <v>Jan 2015</v>
      </c>
      <c r="C18" s="277" t="str">
        <f t="shared" si="1"/>
        <v>RLS</v>
      </c>
      <c r="D18" s="277" t="str">
        <f t="shared" si="2"/>
        <v>LGUM_277</v>
      </c>
      <c r="E18" s="614">
        <f t="shared" si="3"/>
        <v>2198</v>
      </c>
      <c r="F18" s="615">
        <v>0</v>
      </c>
      <c r="G18" s="614">
        <f t="shared" si="4"/>
        <v>0</v>
      </c>
      <c r="H18" s="615">
        <v>0</v>
      </c>
      <c r="I18" s="283">
        <f t="shared" si="5"/>
        <v>22.15</v>
      </c>
      <c r="J18" s="283">
        <f t="shared" si="6"/>
        <v>1.7900000000000027</v>
      </c>
      <c r="K18" s="285">
        <f t="shared" si="19"/>
        <v>48685.7</v>
      </c>
      <c r="L18" s="286">
        <v>0</v>
      </c>
      <c r="M18" s="286">
        <v>0</v>
      </c>
      <c r="N18" s="285">
        <f t="shared" si="7"/>
        <v>48685.7</v>
      </c>
      <c r="O18" s="616">
        <f t="shared" si="20"/>
        <v>0</v>
      </c>
      <c r="P18" s="289">
        <f t="shared" si="8"/>
        <v>0</v>
      </c>
      <c r="Q18" s="290">
        <f t="shared" si="9"/>
        <v>0</v>
      </c>
      <c r="R18" s="290">
        <f t="shared" si="10"/>
        <v>0</v>
      </c>
      <c r="S18" s="290">
        <f t="shared" si="11"/>
        <v>0</v>
      </c>
      <c r="T18" s="290">
        <f t="shared" si="12"/>
        <v>0</v>
      </c>
      <c r="U18" s="291">
        <f t="shared" si="13"/>
        <v>48685.7</v>
      </c>
      <c r="V18" s="291">
        <f t="shared" si="21"/>
        <v>-48685.7</v>
      </c>
      <c r="W18" s="617">
        <f t="shared" si="14"/>
        <v>0</v>
      </c>
      <c r="X18" s="291">
        <f t="shared" si="22"/>
        <v>-48685.7</v>
      </c>
      <c r="Y18" s="170">
        <f t="shared" si="15"/>
        <v>3934.42</v>
      </c>
      <c r="Z18" s="291">
        <f t="shared" si="16"/>
        <v>-3934.42</v>
      </c>
      <c r="AC18" s="276">
        <f>IF(AI18=1,IF(AC17=MiscData!$F$1,EOMONTH(AC17,-11),EOMONTH(AC17,1)),AC17)</f>
        <v>42035</v>
      </c>
      <c r="AD18" s="275" t="str">
        <f t="shared" si="17"/>
        <v>20140101LGUM_277</v>
      </c>
      <c r="AE18" s="294" t="str">
        <f t="shared" si="18"/>
        <v>20140101RLS</v>
      </c>
      <c r="AF18" s="618" t="str">
        <f t="shared" si="23"/>
        <v>277</v>
      </c>
      <c r="AH18" s="265">
        <f>MiscData!$X$5</f>
        <v>20140101</v>
      </c>
      <c r="AI18" s="265">
        <f>IF(AI17+1&gt;MiscData!$AC$77,1,AI17+1)</f>
        <v>15</v>
      </c>
      <c r="AJ18" s="265" t="str">
        <f>VLOOKUP(AI18,MiscData!$AC$5:$AD$77,2,FALSE)</f>
        <v>LGUM_277</v>
      </c>
      <c r="AK18" s="265" t="str">
        <f>VLOOKUP(AJ18,MiscData!$AD$5:$AE$77,2,FALSE)</f>
        <v>RLS</v>
      </c>
      <c r="AT18" s="265" t="s">
        <v>516</v>
      </c>
      <c r="AV18" s="265">
        <v>0</v>
      </c>
    </row>
    <row r="19" spans="1:48">
      <c r="A19" s="275">
        <f t="shared" si="24"/>
        <v>16</v>
      </c>
      <c r="B19" s="276" t="str">
        <f t="shared" si="0"/>
        <v>Jan 2015</v>
      </c>
      <c r="C19" s="277" t="str">
        <f t="shared" si="1"/>
        <v>RLS</v>
      </c>
      <c r="D19" s="277" t="str">
        <f t="shared" si="2"/>
        <v>LGUM_278</v>
      </c>
      <c r="E19" s="614">
        <f t="shared" si="3"/>
        <v>16</v>
      </c>
      <c r="F19" s="615">
        <v>0</v>
      </c>
      <c r="G19" s="614">
        <f t="shared" si="4"/>
        <v>0</v>
      </c>
      <c r="H19" s="615">
        <v>0</v>
      </c>
      <c r="I19" s="283">
        <f t="shared" si="5"/>
        <v>72.550000000000011</v>
      </c>
      <c r="J19" s="283">
        <f t="shared" si="6"/>
        <v>9.8400000000000034</v>
      </c>
      <c r="K19" s="285">
        <f t="shared" si="19"/>
        <v>1160.8</v>
      </c>
      <c r="L19" s="286">
        <v>0</v>
      </c>
      <c r="M19" s="286">
        <v>0</v>
      </c>
      <c r="N19" s="285">
        <f t="shared" si="7"/>
        <v>1160.8</v>
      </c>
      <c r="O19" s="616">
        <f t="shared" si="20"/>
        <v>0</v>
      </c>
      <c r="P19" s="289">
        <f t="shared" si="8"/>
        <v>0</v>
      </c>
      <c r="Q19" s="290">
        <f t="shared" si="9"/>
        <v>0</v>
      </c>
      <c r="R19" s="290">
        <f t="shared" si="10"/>
        <v>0</v>
      </c>
      <c r="S19" s="290">
        <f t="shared" si="11"/>
        <v>0</v>
      </c>
      <c r="T19" s="290">
        <f t="shared" si="12"/>
        <v>0</v>
      </c>
      <c r="U19" s="291">
        <f t="shared" si="13"/>
        <v>1160.8</v>
      </c>
      <c r="V19" s="291">
        <f t="shared" si="21"/>
        <v>-1160.8</v>
      </c>
      <c r="W19" s="617">
        <f t="shared" si="14"/>
        <v>0</v>
      </c>
      <c r="X19" s="291">
        <f t="shared" si="22"/>
        <v>-1160.8</v>
      </c>
      <c r="Y19" s="170">
        <f t="shared" si="15"/>
        <v>157.44</v>
      </c>
      <c r="Z19" s="291">
        <f t="shared" si="16"/>
        <v>-157.44</v>
      </c>
      <c r="AC19" s="276">
        <f>IF(AI19=1,IF(AC18=MiscData!$F$1,EOMONTH(AC18,-11),EOMONTH(AC18,1)),AC18)</f>
        <v>42035</v>
      </c>
      <c r="AD19" s="275" t="str">
        <f t="shared" si="17"/>
        <v>20140101LGUM_278</v>
      </c>
      <c r="AE19" s="294" t="str">
        <f t="shared" si="18"/>
        <v>20140101RLS</v>
      </c>
      <c r="AF19" s="618" t="str">
        <f t="shared" si="23"/>
        <v>278</v>
      </c>
      <c r="AH19" s="265">
        <f>MiscData!$X$5</f>
        <v>20140101</v>
      </c>
      <c r="AI19" s="265">
        <f>IF(AI18+1&gt;MiscData!$AC$77,1,AI18+1)</f>
        <v>16</v>
      </c>
      <c r="AJ19" s="265" t="str">
        <f>VLOOKUP(AI19,MiscData!$AC$5:$AD$77,2,FALSE)</f>
        <v>LGUM_278</v>
      </c>
      <c r="AK19" s="265" t="str">
        <f>VLOOKUP(AJ19,MiscData!$AD$5:$AE$77,2,FALSE)</f>
        <v>RLS</v>
      </c>
      <c r="AT19" s="265" t="s">
        <v>175</v>
      </c>
      <c r="AV19" s="265">
        <v>0</v>
      </c>
    </row>
    <row r="20" spans="1:48">
      <c r="A20" s="275">
        <f t="shared" si="24"/>
        <v>17</v>
      </c>
      <c r="B20" s="276" t="str">
        <f t="shared" si="0"/>
        <v>Jan 2015</v>
      </c>
      <c r="C20" s="277" t="str">
        <f t="shared" si="1"/>
        <v>RLS</v>
      </c>
      <c r="D20" s="277" t="str">
        <f t="shared" si="2"/>
        <v>LGUM_279</v>
      </c>
      <c r="E20" s="614">
        <f t="shared" si="3"/>
        <v>11</v>
      </c>
      <c r="F20" s="615">
        <v>0</v>
      </c>
      <c r="G20" s="614">
        <f t="shared" si="4"/>
        <v>0</v>
      </c>
      <c r="H20" s="615">
        <v>0</v>
      </c>
      <c r="I20" s="283">
        <f t="shared" si="5"/>
        <v>41.43</v>
      </c>
      <c r="J20" s="283">
        <f t="shared" si="6"/>
        <v>9.8399999999999963</v>
      </c>
      <c r="K20" s="285">
        <f t="shared" si="19"/>
        <v>455.73</v>
      </c>
      <c r="L20" s="286">
        <v>0</v>
      </c>
      <c r="M20" s="286">
        <v>0</v>
      </c>
      <c r="N20" s="285">
        <f t="shared" si="7"/>
        <v>455.73</v>
      </c>
      <c r="O20" s="616">
        <f t="shared" si="20"/>
        <v>0</v>
      </c>
      <c r="P20" s="289">
        <f t="shared" si="8"/>
        <v>0</v>
      </c>
      <c r="Q20" s="290">
        <f t="shared" si="9"/>
        <v>0</v>
      </c>
      <c r="R20" s="290">
        <f t="shared" si="10"/>
        <v>0</v>
      </c>
      <c r="S20" s="290">
        <f t="shared" si="11"/>
        <v>0</v>
      </c>
      <c r="T20" s="290">
        <f t="shared" si="12"/>
        <v>0</v>
      </c>
      <c r="U20" s="291">
        <f t="shared" si="13"/>
        <v>455.73</v>
      </c>
      <c r="V20" s="291">
        <f t="shared" si="21"/>
        <v>-455.73</v>
      </c>
      <c r="W20" s="617">
        <f t="shared" si="14"/>
        <v>0</v>
      </c>
      <c r="X20" s="291">
        <f t="shared" si="22"/>
        <v>-455.73</v>
      </c>
      <c r="Y20" s="170">
        <f t="shared" si="15"/>
        <v>108.24</v>
      </c>
      <c r="Z20" s="291">
        <f t="shared" si="16"/>
        <v>-108.24</v>
      </c>
      <c r="AC20" s="276">
        <f>IF(AI20=1,IF(AC19=MiscData!$F$1,EOMONTH(AC19,-11),EOMONTH(AC19,1)),AC19)</f>
        <v>42035</v>
      </c>
      <c r="AD20" s="275" t="str">
        <f t="shared" si="17"/>
        <v>20140101LGUM_279</v>
      </c>
      <c r="AE20" s="294" t="str">
        <f t="shared" si="18"/>
        <v>20140101RLS</v>
      </c>
      <c r="AF20" s="618" t="str">
        <f t="shared" si="23"/>
        <v>279</v>
      </c>
      <c r="AH20" s="265">
        <f>MiscData!$X$5</f>
        <v>20140101</v>
      </c>
      <c r="AI20" s="265">
        <f>IF(AI19+1&gt;MiscData!$AC$77,1,AI19+1)</f>
        <v>17</v>
      </c>
      <c r="AJ20" s="265" t="str">
        <f>VLOOKUP(AI20,MiscData!$AC$5:$AD$77,2,FALSE)</f>
        <v>LGUM_279</v>
      </c>
      <c r="AK20" s="265" t="str">
        <f>VLOOKUP(AJ20,MiscData!$AD$5:$AE$77,2,FALSE)</f>
        <v>RLS</v>
      </c>
      <c r="AT20" s="265" t="s">
        <v>176</v>
      </c>
      <c r="AV20" s="265">
        <v>0</v>
      </c>
    </row>
    <row r="21" spans="1:48">
      <c r="A21" s="275">
        <f t="shared" si="24"/>
        <v>18</v>
      </c>
      <c r="B21" s="276" t="str">
        <f t="shared" si="0"/>
        <v>Jan 2015</v>
      </c>
      <c r="C21" s="277" t="str">
        <f t="shared" si="1"/>
        <v>RLS</v>
      </c>
      <c r="D21" s="277" t="str">
        <f t="shared" si="2"/>
        <v>LGUM_280</v>
      </c>
      <c r="E21" s="614">
        <f t="shared" si="3"/>
        <v>44</v>
      </c>
      <c r="F21" s="615">
        <v>0</v>
      </c>
      <c r="G21" s="614">
        <f t="shared" si="4"/>
        <v>0</v>
      </c>
      <c r="H21" s="615">
        <v>0</v>
      </c>
      <c r="I21" s="283">
        <f t="shared" si="5"/>
        <v>19.38</v>
      </c>
      <c r="J21" s="283">
        <f t="shared" si="6"/>
        <v>0.87999999999999901</v>
      </c>
      <c r="K21" s="285">
        <f t="shared" si="19"/>
        <v>852.72</v>
      </c>
      <c r="L21" s="286">
        <v>0</v>
      </c>
      <c r="M21" s="286">
        <v>0</v>
      </c>
      <c r="N21" s="285">
        <f t="shared" si="7"/>
        <v>852.72</v>
      </c>
      <c r="O21" s="616">
        <f t="shared" si="20"/>
        <v>0</v>
      </c>
      <c r="P21" s="289">
        <f t="shared" si="8"/>
        <v>0</v>
      </c>
      <c r="Q21" s="290">
        <f t="shared" si="9"/>
        <v>0</v>
      </c>
      <c r="R21" s="290">
        <f t="shared" si="10"/>
        <v>0</v>
      </c>
      <c r="S21" s="290">
        <f t="shared" si="11"/>
        <v>0</v>
      </c>
      <c r="T21" s="290">
        <f t="shared" si="12"/>
        <v>0</v>
      </c>
      <c r="U21" s="291">
        <f t="shared" si="13"/>
        <v>852.72</v>
      </c>
      <c r="V21" s="291">
        <f t="shared" si="21"/>
        <v>-852.72</v>
      </c>
      <c r="W21" s="617">
        <f t="shared" si="14"/>
        <v>0</v>
      </c>
      <c r="X21" s="291">
        <f t="shared" si="22"/>
        <v>-852.72</v>
      </c>
      <c r="Y21" s="170">
        <f t="shared" si="15"/>
        <v>38.72</v>
      </c>
      <c r="Z21" s="291">
        <f t="shared" si="16"/>
        <v>-38.72</v>
      </c>
      <c r="AC21" s="276">
        <f>IF(AI21=1,IF(AC20=MiscData!$F$1,EOMONTH(AC20,-11),EOMONTH(AC20,1)),AC20)</f>
        <v>42035</v>
      </c>
      <c r="AD21" s="275" t="str">
        <f t="shared" si="17"/>
        <v>20140101LGUM_280</v>
      </c>
      <c r="AE21" s="294" t="str">
        <f t="shared" si="18"/>
        <v>20140101RLS</v>
      </c>
      <c r="AF21" s="618" t="str">
        <f t="shared" si="23"/>
        <v>280</v>
      </c>
      <c r="AH21" s="265">
        <f>MiscData!$X$5</f>
        <v>20140101</v>
      </c>
      <c r="AI21" s="265">
        <f>IF(AI20+1&gt;MiscData!$AC$77,1,AI20+1)</f>
        <v>18</v>
      </c>
      <c r="AJ21" s="265" t="str">
        <f>VLOOKUP(AI21,MiscData!$AC$5:$AD$77,2,FALSE)</f>
        <v>LGUM_280</v>
      </c>
      <c r="AK21" s="265" t="str">
        <f>VLOOKUP(AJ21,MiscData!$AD$5:$AE$77,2,FALSE)</f>
        <v>RLS</v>
      </c>
      <c r="AT21" s="265" t="s">
        <v>177</v>
      </c>
      <c r="AV21" s="265">
        <v>0</v>
      </c>
    </row>
    <row r="22" spans="1:48">
      <c r="A22" s="275">
        <f t="shared" si="24"/>
        <v>19</v>
      </c>
      <c r="B22" s="276" t="str">
        <f t="shared" si="0"/>
        <v>Jan 2015</v>
      </c>
      <c r="C22" s="277" t="str">
        <f t="shared" si="1"/>
        <v>RLS</v>
      </c>
      <c r="D22" s="277" t="str">
        <f t="shared" si="2"/>
        <v>LGUM_281</v>
      </c>
      <c r="E22" s="614">
        <f t="shared" si="3"/>
        <v>235</v>
      </c>
      <c r="F22" s="615">
        <v>0</v>
      </c>
      <c r="G22" s="614">
        <f t="shared" si="4"/>
        <v>0</v>
      </c>
      <c r="H22" s="615">
        <v>0</v>
      </c>
      <c r="I22" s="283">
        <f t="shared" si="5"/>
        <v>20.349999999999998</v>
      </c>
      <c r="J22" s="283">
        <f t="shared" si="6"/>
        <v>1.2699999999999996</v>
      </c>
      <c r="K22" s="285">
        <f t="shared" si="19"/>
        <v>4782.25</v>
      </c>
      <c r="L22" s="286">
        <v>0</v>
      </c>
      <c r="M22" s="286">
        <v>0</v>
      </c>
      <c r="N22" s="285">
        <f t="shared" si="7"/>
        <v>4782.25</v>
      </c>
      <c r="O22" s="616">
        <f t="shared" si="20"/>
        <v>0</v>
      </c>
      <c r="P22" s="289">
        <f t="shared" si="8"/>
        <v>0</v>
      </c>
      <c r="Q22" s="290">
        <f t="shared" si="9"/>
        <v>0</v>
      </c>
      <c r="R22" s="290">
        <f t="shared" si="10"/>
        <v>0</v>
      </c>
      <c r="S22" s="290">
        <f t="shared" si="11"/>
        <v>0</v>
      </c>
      <c r="T22" s="290">
        <f t="shared" si="12"/>
        <v>0</v>
      </c>
      <c r="U22" s="291">
        <f t="shared" si="13"/>
        <v>4782.25</v>
      </c>
      <c r="V22" s="291">
        <f t="shared" si="21"/>
        <v>-4782.25</v>
      </c>
      <c r="W22" s="617">
        <f t="shared" si="14"/>
        <v>0</v>
      </c>
      <c r="X22" s="291">
        <f t="shared" si="22"/>
        <v>-4782.25</v>
      </c>
      <c r="Y22" s="170">
        <f t="shared" si="15"/>
        <v>298.45</v>
      </c>
      <c r="Z22" s="291">
        <f t="shared" si="16"/>
        <v>-298.45</v>
      </c>
      <c r="AC22" s="276">
        <f>IF(AI22=1,IF(AC21=MiscData!$F$1,EOMONTH(AC21,-11),EOMONTH(AC21,1)),AC21)</f>
        <v>42035</v>
      </c>
      <c r="AD22" s="275" t="str">
        <f t="shared" si="17"/>
        <v>20140101LGUM_281</v>
      </c>
      <c r="AE22" s="294" t="str">
        <f t="shared" si="18"/>
        <v>20140101RLS</v>
      </c>
      <c r="AF22" s="618" t="str">
        <f t="shared" si="23"/>
        <v>281</v>
      </c>
      <c r="AH22" s="265">
        <f>MiscData!$X$5</f>
        <v>20140101</v>
      </c>
      <c r="AI22" s="265">
        <f>IF(AI21+1&gt;MiscData!$AC$77,1,AI21+1)</f>
        <v>19</v>
      </c>
      <c r="AJ22" s="265" t="str">
        <f>VLOOKUP(AI22,MiscData!$AC$5:$AD$77,2,FALSE)</f>
        <v>LGUM_281</v>
      </c>
      <c r="AK22" s="265" t="str">
        <f>VLOOKUP(AJ22,MiscData!$AD$5:$AE$77,2,FALSE)</f>
        <v>RLS</v>
      </c>
      <c r="AT22" s="265" t="s">
        <v>521</v>
      </c>
      <c r="AV22" s="265">
        <v>0</v>
      </c>
    </row>
    <row r="23" spans="1:48">
      <c r="A23" s="275">
        <f t="shared" si="24"/>
        <v>20</v>
      </c>
      <c r="B23" s="276" t="str">
        <f t="shared" si="0"/>
        <v>Jan 2015</v>
      </c>
      <c r="C23" s="277" t="str">
        <f t="shared" si="1"/>
        <v>RLS</v>
      </c>
      <c r="D23" s="277" t="str">
        <f t="shared" si="2"/>
        <v>LGUM_282</v>
      </c>
      <c r="E23" s="614">
        <f t="shared" si="3"/>
        <v>101</v>
      </c>
      <c r="F23" s="615">
        <v>0</v>
      </c>
      <c r="G23" s="614">
        <f t="shared" si="4"/>
        <v>0</v>
      </c>
      <c r="H23" s="615">
        <v>0</v>
      </c>
      <c r="I23" s="283">
        <f t="shared" si="5"/>
        <v>19.53</v>
      </c>
      <c r="J23" s="283">
        <f t="shared" si="6"/>
        <v>0.87999999999999901</v>
      </c>
      <c r="K23" s="285">
        <f t="shared" si="19"/>
        <v>1972.53</v>
      </c>
      <c r="L23" s="286">
        <v>0</v>
      </c>
      <c r="M23" s="286">
        <v>0</v>
      </c>
      <c r="N23" s="285">
        <f t="shared" si="7"/>
        <v>1972.53</v>
      </c>
      <c r="O23" s="616">
        <f t="shared" si="20"/>
        <v>0</v>
      </c>
      <c r="P23" s="289">
        <f t="shared" si="8"/>
        <v>0</v>
      </c>
      <c r="Q23" s="290">
        <f t="shared" si="9"/>
        <v>0</v>
      </c>
      <c r="R23" s="290">
        <f t="shared" si="10"/>
        <v>0</v>
      </c>
      <c r="S23" s="290">
        <f t="shared" si="11"/>
        <v>0</v>
      </c>
      <c r="T23" s="290">
        <f t="shared" si="12"/>
        <v>0</v>
      </c>
      <c r="U23" s="291">
        <f t="shared" si="13"/>
        <v>1972.53</v>
      </c>
      <c r="V23" s="291">
        <f t="shared" si="21"/>
        <v>-1972.53</v>
      </c>
      <c r="W23" s="617">
        <f t="shared" si="14"/>
        <v>0</v>
      </c>
      <c r="X23" s="291">
        <f t="shared" si="22"/>
        <v>-1972.53</v>
      </c>
      <c r="Y23" s="170">
        <f t="shared" si="15"/>
        <v>88.88</v>
      </c>
      <c r="Z23" s="291">
        <f t="shared" si="16"/>
        <v>-88.88</v>
      </c>
      <c r="AC23" s="276">
        <f>IF(AI23=1,IF(AC22=MiscData!$F$1,EOMONTH(AC22,-11),EOMONTH(AC22,1)),AC22)</f>
        <v>42035</v>
      </c>
      <c r="AD23" s="275" t="str">
        <f t="shared" si="17"/>
        <v>20140101LGUM_282</v>
      </c>
      <c r="AE23" s="294" t="str">
        <f t="shared" si="18"/>
        <v>20140101RLS</v>
      </c>
      <c r="AF23" s="618" t="str">
        <f t="shared" si="23"/>
        <v>282</v>
      </c>
      <c r="AH23" s="265">
        <f>MiscData!$X$5</f>
        <v>20140101</v>
      </c>
      <c r="AI23" s="265">
        <f>IF(AI22+1&gt;MiscData!$AC$77,1,AI22+1)</f>
        <v>20</v>
      </c>
      <c r="AJ23" s="265" t="str">
        <f>VLOOKUP(AI23,MiscData!$AC$5:$AD$77,2,FALSE)</f>
        <v>LGUM_282</v>
      </c>
      <c r="AK23" s="265" t="str">
        <f>VLOOKUP(AJ23,MiscData!$AD$5:$AE$77,2,FALSE)</f>
        <v>RLS</v>
      </c>
      <c r="AT23" s="265" t="s">
        <v>524</v>
      </c>
      <c r="AV23" s="265">
        <v>0</v>
      </c>
    </row>
    <row r="24" spans="1:48">
      <c r="A24" s="275">
        <f t="shared" si="24"/>
        <v>21</v>
      </c>
      <c r="B24" s="276" t="str">
        <f t="shared" si="0"/>
        <v>Jan 2015</v>
      </c>
      <c r="C24" s="277" t="str">
        <f t="shared" si="1"/>
        <v>RLS</v>
      </c>
      <c r="D24" s="277" t="str">
        <f t="shared" si="2"/>
        <v>LGUM_283</v>
      </c>
      <c r="E24" s="614">
        <f t="shared" si="3"/>
        <v>78</v>
      </c>
      <c r="F24" s="615">
        <v>0</v>
      </c>
      <c r="G24" s="614">
        <f t="shared" si="4"/>
        <v>0</v>
      </c>
      <c r="H24" s="615">
        <v>0</v>
      </c>
      <c r="I24" s="283">
        <f t="shared" si="5"/>
        <v>20.819999999999997</v>
      </c>
      <c r="J24" s="283">
        <f t="shared" si="6"/>
        <v>1.2699999999999996</v>
      </c>
      <c r="K24" s="285">
        <f t="shared" si="19"/>
        <v>1623.96</v>
      </c>
      <c r="L24" s="286">
        <v>0</v>
      </c>
      <c r="M24" s="286">
        <v>0</v>
      </c>
      <c r="N24" s="285">
        <f t="shared" si="7"/>
        <v>1623.96</v>
      </c>
      <c r="O24" s="616">
        <f t="shared" si="20"/>
        <v>0</v>
      </c>
      <c r="P24" s="289">
        <f t="shared" si="8"/>
        <v>0</v>
      </c>
      <c r="Q24" s="290">
        <f t="shared" si="9"/>
        <v>0</v>
      </c>
      <c r="R24" s="290">
        <f t="shared" si="10"/>
        <v>0</v>
      </c>
      <c r="S24" s="290">
        <f t="shared" si="11"/>
        <v>0</v>
      </c>
      <c r="T24" s="290">
        <f t="shared" si="12"/>
        <v>0</v>
      </c>
      <c r="U24" s="291">
        <f t="shared" si="13"/>
        <v>1623.96</v>
      </c>
      <c r="V24" s="291">
        <f t="shared" si="21"/>
        <v>-1623.96</v>
      </c>
      <c r="W24" s="617">
        <f t="shared" si="14"/>
        <v>0</v>
      </c>
      <c r="X24" s="291">
        <f t="shared" si="22"/>
        <v>-1623.96</v>
      </c>
      <c r="Y24" s="170">
        <f t="shared" si="15"/>
        <v>99.06</v>
      </c>
      <c r="Z24" s="291">
        <f t="shared" si="16"/>
        <v>-99.06</v>
      </c>
      <c r="AC24" s="276">
        <f>IF(AI24=1,IF(AC23=MiscData!$F$1,EOMONTH(AC23,-11),EOMONTH(AC23,1)),AC23)</f>
        <v>42035</v>
      </c>
      <c r="AD24" s="275" t="str">
        <f t="shared" si="17"/>
        <v>20140101LGUM_283</v>
      </c>
      <c r="AE24" s="294" t="str">
        <f t="shared" si="18"/>
        <v>20140101RLS</v>
      </c>
      <c r="AF24" s="618" t="str">
        <f t="shared" si="23"/>
        <v>283</v>
      </c>
      <c r="AH24" s="265">
        <f>MiscData!$X$5</f>
        <v>20140101</v>
      </c>
      <c r="AI24" s="265">
        <f>IF(AI23+1&gt;MiscData!$AC$77,1,AI23+1)</f>
        <v>21</v>
      </c>
      <c r="AJ24" s="265" t="str">
        <f>VLOOKUP(AI24,MiscData!$AC$5:$AD$77,2,FALSE)</f>
        <v>LGUM_283</v>
      </c>
      <c r="AK24" s="265" t="str">
        <f>VLOOKUP(AJ24,MiscData!$AD$5:$AE$77,2,FALSE)</f>
        <v>RLS</v>
      </c>
      <c r="AT24" s="265" t="s">
        <v>178</v>
      </c>
      <c r="AV24" s="265">
        <v>0</v>
      </c>
    </row>
    <row r="25" spans="1:48">
      <c r="A25" s="275">
        <f t="shared" si="24"/>
        <v>22</v>
      </c>
      <c r="B25" s="276" t="str">
        <f t="shared" si="0"/>
        <v>Jan 2015</v>
      </c>
      <c r="C25" s="277" t="str">
        <f t="shared" si="1"/>
        <v>RLS</v>
      </c>
      <c r="D25" s="277" t="str">
        <f t="shared" si="2"/>
        <v>LGUM_314</v>
      </c>
      <c r="E25" s="614">
        <f t="shared" si="3"/>
        <v>532</v>
      </c>
      <c r="F25" s="615">
        <v>0</v>
      </c>
      <c r="G25" s="614">
        <f t="shared" si="4"/>
        <v>0</v>
      </c>
      <c r="H25" s="615">
        <v>0</v>
      </c>
      <c r="I25" s="283">
        <f t="shared" si="5"/>
        <v>19.2</v>
      </c>
      <c r="J25" s="283">
        <f t="shared" si="6"/>
        <v>2.7100000000000009</v>
      </c>
      <c r="K25" s="285">
        <f t="shared" si="19"/>
        <v>10214.4</v>
      </c>
      <c r="L25" s="286">
        <v>0</v>
      </c>
      <c r="M25" s="286">
        <v>0</v>
      </c>
      <c r="N25" s="285">
        <f t="shared" si="7"/>
        <v>10214.4</v>
      </c>
      <c r="O25" s="616">
        <f t="shared" si="20"/>
        <v>0</v>
      </c>
      <c r="P25" s="289">
        <f t="shared" si="8"/>
        <v>0</v>
      </c>
      <c r="Q25" s="290">
        <f t="shared" si="9"/>
        <v>0</v>
      </c>
      <c r="R25" s="290">
        <f t="shared" si="10"/>
        <v>0</v>
      </c>
      <c r="S25" s="290">
        <f t="shared" si="11"/>
        <v>0</v>
      </c>
      <c r="T25" s="290">
        <f t="shared" si="12"/>
        <v>0</v>
      </c>
      <c r="U25" s="291">
        <f t="shared" si="13"/>
        <v>10214.4</v>
      </c>
      <c r="V25" s="291">
        <f t="shared" si="21"/>
        <v>-10214.4</v>
      </c>
      <c r="W25" s="617">
        <f t="shared" si="14"/>
        <v>0</v>
      </c>
      <c r="X25" s="291">
        <f t="shared" si="22"/>
        <v>-10214.4</v>
      </c>
      <c r="Y25" s="170">
        <f t="shared" si="15"/>
        <v>1441.72</v>
      </c>
      <c r="Z25" s="291">
        <f t="shared" si="16"/>
        <v>-1441.72</v>
      </c>
      <c r="AC25" s="276">
        <f>IF(AI25=1,IF(AC24=MiscData!$F$1,EOMONTH(AC24,-11),EOMONTH(AC24,1)),AC24)</f>
        <v>42035</v>
      </c>
      <c r="AD25" s="275" t="str">
        <f t="shared" si="17"/>
        <v>20140101LGUM_314</v>
      </c>
      <c r="AE25" s="294" t="str">
        <f t="shared" si="18"/>
        <v>20140101RLS</v>
      </c>
      <c r="AF25" s="618" t="str">
        <f t="shared" si="23"/>
        <v>314</v>
      </c>
      <c r="AH25" s="265">
        <f>MiscData!$X$5</f>
        <v>20140101</v>
      </c>
      <c r="AI25" s="265">
        <f>IF(AI24+1&gt;MiscData!$AC$77,1,AI24+1)</f>
        <v>22</v>
      </c>
      <c r="AJ25" s="265" t="str">
        <f>VLOOKUP(AI25,MiscData!$AC$5:$AD$77,2,FALSE)</f>
        <v>LGUM_314</v>
      </c>
      <c r="AK25" s="265" t="str">
        <f>VLOOKUP(AJ25,MiscData!$AD$5:$AE$77,2,FALSE)</f>
        <v>RLS</v>
      </c>
      <c r="AT25" s="265" t="s">
        <v>179</v>
      </c>
      <c r="AV25" s="265">
        <v>0</v>
      </c>
    </row>
    <row r="26" spans="1:48">
      <c r="A26" s="275">
        <f t="shared" si="24"/>
        <v>23</v>
      </c>
      <c r="B26" s="276" t="str">
        <f t="shared" si="0"/>
        <v>Jan 2015</v>
      </c>
      <c r="C26" s="277" t="str">
        <f t="shared" si="1"/>
        <v>RLS</v>
      </c>
      <c r="D26" s="277" t="str">
        <f t="shared" si="2"/>
        <v>LGUM_315</v>
      </c>
      <c r="E26" s="614">
        <f t="shared" si="3"/>
        <v>509</v>
      </c>
      <c r="F26" s="615">
        <v>0</v>
      </c>
      <c r="G26" s="614">
        <f t="shared" si="4"/>
        <v>0</v>
      </c>
      <c r="H26" s="615">
        <v>0</v>
      </c>
      <c r="I26" s="283">
        <f t="shared" si="5"/>
        <v>22.949999999999996</v>
      </c>
      <c r="J26" s="283">
        <f t="shared" si="6"/>
        <v>4.1999999999999993</v>
      </c>
      <c r="K26" s="285">
        <f t="shared" si="19"/>
        <v>11681.55</v>
      </c>
      <c r="L26" s="286">
        <v>0</v>
      </c>
      <c r="M26" s="286">
        <v>0</v>
      </c>
      <c r="N26" s="285">
        <f t="shared" si="7"/>
        <v>11681.55</v>
      </c>
      <c r="O26" s="616">
        <f t="shared" si="20"/>
        <v>0</v>
      </c>
      <c r="P26" s="289">
        <f t="shared" si="8"/>
        <v>0</v>
      </c>
      <c r="Q26" s="290">
        <f t="shared" si="9"/>
        <v>0</v>
      </c>
      <c r="R26" s="290">
        <f t="shared" si="10"/>
        <v>0</v>
      </c>
      <c r="S26" s="290">
        <f t="shared" si="11"/>
        <v>0</v>
      </c>
      <c r="T26" s="290">
        <f t="shared" si="12"/>
        <v>0</v>
      </c>
      <c r="U26" s="291">
        <f t="shared" si="13"/>
        <v>11681.55</v>
      </c>
      <c r="V26" s="291">
        <f t="shared" si="21"/>
        <v>-11681.55</v>
      </c>
      <c r="W26" s="617">
        <f t="shared" si="14"/>
        <v>0</v>
      </c>
      <c r="X26" s="291">
        <f t="shared" si="22"/>
        <v>-11681.55</v>
      </c>
      <c r="Y26" s="170">
        <f t="shared" si="15"/>
        <v>2137.8000000000002</v>
      </c>
      <c r="Z26" s="291">
        <f t="shared" si="16"/>
        <v>-2137.8000000000002</v>
      </c>
      <c r="AC26" s="276">
        <f>IF(AI26=1,IF(AC25=MiscData!$F$1,EOMONTH(AC25,-11),EOMONTH(AC25,1)),AC25)</f>
        <v>42035</v>
      </c>
      <c r="AD26" s="275" t="str">
        <f t="shared" si="17"/>
        <v>20140101LGUM_315</v>
      </c>
      <c r="AE26" s="294" t="str">
        <f t="shared" si="18"/>
        <v>20140101RLS</v>
      </c>
      <c r="AF26" s="618" t="str">
        <f t="shared" si="23"/>
        <v>315</v>
      </c>
      <c r="AH26" s="265">
        <f>MiscData!$X$5</f>
        <v>20140101</v>
      </c>
      <c r="AI26" s="265">
        <f>IF(AI25+1&gt;MiscData!$AC$77,1,AI25+1)</f>
        <v>23</v>
      </c>
      <c r="AJ26" s="265" t="str">
        <f>VLOOKUP(AI26,MiscData!$AC$5:$AD$77,2,FALSE)</f>
        <v>LGUM_315</v>
      </c>
      <c r="AK26" s="265" t="str">
        <f>VLOOKUP(AJ26,MiscData!$AD$5:$AE$77,2,FALSE)</f>
        <v>RLS</v>
      </c>
      <c r="AT26" s="265" t="s">
        <v>180</v>
      </c>
      <c r="AV26" s="265">
        <v>-2.83</v>
      </c>
    </row>
    <row r="27" spans="1:48">
      <c r="A27" s="275">
        <f t="shared" si="24"/>
        <v>24</v>
      </c>
      <c r="B27" s="276" t="str">
        <f t="shared" si="0"/>
        <v>Jan 2015</v>
      </c>
      <c r="C27" s="277" t="str">
        <f t="shared" si="1"/>
        <v>RLS</v>
      </c>
      <c r="D27" s="277" t="str">
        <f t="shared" si="2"/>
        <v>LGUM_318</v>
      </c>
      <c r="E27" s="614">
        <f t="shared" si="3"/>
        <v>51</v>
      </c>
      <c r="F27" s="615">
        <v>0</v>
      </c>
      <c r="G27" s="614">
        <f t="shared" si="4"/>
        <v>0</v>
      </c>
      <c r="H27" s="615">
        <v>0</v>
      </c>
      <c r="I27" s="283">
        <f t="shared" si="5"/>
        <v>17.419999999999998</v>
      </c>
      <c r="J27" s="283">
        <f t="shared" si="6"/>
        <v>1.9100000000000001</v>
      </c>
      <c r="K27" s="285">
        <f t="shared" si="19"/>
        <v>888.42</v>
      </c>
      <c r="L27" s="286">
        <v>0</v>
      </c>
      <c r="M27" s="286">
        <v>0</v>
      </c>
      <c r="N27" s="285">
        <f t="shared" si="7"/>
        <v>888.42</v>
      </c>
      <c r="O27" s="616">
        <f t="shared" si="20"/>
        <v>0</v>
      </c>
      <c r="P27" s="289">
        <f t="shared" si="8"/>
        <v>0</v>
      </c>
      <c r="Q27" s="290">
        <f t="shared" si="9"/>
        <v>0</v>
      </c>
      <c r="R27" s="290">
        <f t="shared" si="10"/>
        <v>0</v>
      </c>
      <c r="S27" s="290">
        <f t="shared" si="11"/>
        <v>0</v>
      </c>
      <c r="T27" s="290">
        <f t="shared" si="12"/>
        <v>0</v>
      </c>
      <c r="U27" s="291">
        <f t="shared" si="13"/>
        <v>888.42</v>
      </c>
      <c r="V27" s="291">
        <f t="shared" si="21"/>
        <v>-888.42</v>
      </c>
      <c r="W27" s="617">
        <f t="shared" si="14"/>
        <v>0</v>
      </c>
      <c r="X27" s="291">
        <f t="shared" si="22"/>
        <v>-888.42</v>
      </c>
      <c r="Y27" s="170">
        <f t="shared" si="15"/>
        <v>97.41</v>
      </c>
      <c r="Z27" s="291">
        <f t="shared" si="16"/>
        <v>-97.41</v>
      </c>
      <c r="AC27" s="276">
        <f>IF(AI27=1,IF(AC26=MiscData!$F$1,EOMONTH(AC26,-11),EOMONTH(AC26,1)),AC26)</f>
        <v>42035</v>
      </c>
      <c r="AD27" s="275" t="str">
        <f t="shared" si="17"/>
        <v>20140101LGUM_318</v>
      </c>
      <c r="AE27" s="294" t="str">
        <f t="shared" si="18"/>
        <v>20140101RLS</v>
      </c>
      <c r="AF27" s="618" t="str">
        <f t="shared" si="23"/>
        <v>318</v>
      </c>
      <c r="AH27" s="265">
        <f>MiscData!$X$5</f>
        <v>20140101</v>
      </c>
      <c r="AI27" s="265">
        <f>IF(AI26+1&gt;MiscData!$AC$77,1,AI26+1)</f>
        <v>24</v>
      </c>
      <c r="AJ27" s="265" t="str">
        <f>VLOOKUP(AI27,MiscData!$AC$5:$AD$77,2,FALSE)</f>
        <v>LGUM_318</v>
      </c>
      <c r="AK27" s="265" t="str">
        <f>VLOOKUP(AJ27,MiscData!$AD$5:$AE$77,2,FALSE)</f>
        <v>RLS</v>
      </c>
      <c r="AT27" s="265" t="s">
        <v>181</v>
      </c>
      <c r="AV27" s="265">
        <v>-45.72</v>
      </c>
    </row>
    <row r="28" spans="1:48">
      <c r="A28" s="275">
        <f t="shared" si="24"/>
        <v>25</v>
      </c>
      <c r="B28" s="276" t="str">
        <f t="shared" si="0"/>
        <v>Jan 2015</v>
      </c>
      <c r="C28" s="277" t="str">
        <f t="shared" si="1"/>
        <v>RLS</v>
      </c>
      <c r="D28" s="277" t="str">
        <f t="shared" si="2"/>
        <v>LGUM_347</v>
      </c>
      <c r="E28" s="614">
        <f t="shared" si="3"/>
        <v>0</v>
      </c>
      <c r="F28" s="615">
        <v>0</v>
      </c>
      <c r="G28" s="614">
        <f t="shared" si="4"/>
        <v>0</v>
      </c>
      <c r="H28" s="615">
        <v>0</v>
      </c>
      <c r="I28" s="283">
        <f t="shared" si="5"/>
        <v>22.939999999999998</v>
      </c>
      <c r="J28" s="283">
        <f t="shared" si="6"/>
        <v>26.14</v>
      </c>
      <c r="K28" s="285">
        <f t="shared" si="19"/>
        <v>0</v>
      </c>
      <c r="L28" s="286">
        <v>0</v>
      </c>
      <c r="M28" s="286">
        <v>0</v>
      </c>
      <c r="N28" s="285">
        <f t="shared" si="7"/>
        <v>0</v>
      </c>
      <c r="O28" s="616">
        <f t="shared" si="20"/>
        <v>0</v>
      </c>
      <c r="P28" s="289">
        <f t="shared" si="8"/>
        <v>1</v>
      </c>
      <c r="Q28" s="290">
        <f t="shared" si="9"/>
        <v>0</v>
      </c>
      <c r="R28" s="290">
        <f t="shared" si="10"/>
        <v>0</v>
      </c>
      <c r="S28" s="290">
        <f t="shared" si="11"/>
        <v>0</v>
      </c>
      <c r="T28" s="290">
        <f t="shared" si="12"/>
        <v>0</v>
      </c>
      <c r="U28" s="291">
        <f t="shared" si="13"/>
        <v>0</v>
      </c>
      <c r="V28" s="291">
        <f t="shared" si="21"/>
        <v>0</v>
      </c>
      <c r="W28" s="617">
        <f t="shared" si="14"/>
        <v>0</v>
      </c>
      <c r="X28" s="291">
        <f t="shared" si="22"/>
        <v>0</v>
      </c>
      <c r="Y28" s="170">
        <f t="shared" si="15"/>
        <v>0</v>
      </c>
      <c r="Z28" s="291">
        <f t="shared" si="16"/>
        <v>0</v>
      </c>
      <c r="AC28" s="276">
        <f>IF(AI28=1,IF(AC27=MiscData!$F$1,EOMONTH(AC27,-11),EOMONTH(AC27,1)),AC27)</f>
        <v>42035</v>
      </c>
      <c r="AD28" s="275" t="str">
        <f t="shared" si="17"/>
        <v>20140101LGUM_347</v>
      </c>
      <c r="AE28" s="294" t="str">
        <f t="shared" si="18"/>
        <v>20140101RLS</v>
      </c>
      <c r="AF28" s="618" t="str">
        <f t="shared" si="23"/>
        <v>347</v>
      </c>
      <c r="AH28" s="265">
        <f>MiscData!$X$5</f>
        <v>20140101</v>
      </c>
      <c r="AI28" s="265">
        <f>IF(AI27+1&gt;MiscData!$AC$77,1,AI27+1)</f>
        <v>25</v>
      </c>
      <c r="AJ28" s="265" t="str">
        <f>VLOOKUP(AI28,MiscData!$AC$5:$AD$77,2,FALSE)</f>
        <v>LGUM_347</v>
      </c>
      <c r="AK28" s="265" t="str">
        <f>VLOOKUP(AJ28,MiscData!$AD$5:$AE$77,2,FALSE)</f>
        <v>RLS</v>
      </c>
      <c r="AT28" s="265" t="s">
        <v>534</v>
      </c>
      <c r="AV28" s="265">
        <v>0</v>
      </c>
    </row>
    <row r="29" spans="1:48">
      <c r="A29" s="275">
        <f t="shared" si="24"/>
        <v>26</v>
      </c>
      <c r="B29" s="276" t="str">
        <f t="shared" si="0"/>
        <v>Jan 2015</v>
      </c>
      <c r="C29" s="277" t="str">
        <f t="shared" si="1"/>
        <v>RLS</v>
      </c>
      <c r="D29" s="277" t="str">
        <f t="shared" si="2"/>
        <v>LGUM_348</v>
      </c>
      <c r="E29" s="614">
        <f t="shared" si="3"/>
        <v>38</v>
      </c>
      <c r="F29" s="615">
        <v>0</v>
      </c>
      <c r="G29" s="614">
        <f t="shared" si="4"/>
        <v>0</v>
      </c>
      <c r="H29" s="615">
        <v>0</v>
      </c>
      <c r="I29" s="283">
        <f t="shared" si="5"/>
        <v>13.12</v>
      </c>
      <c r="J29" s="283">
        <f t="shared" si="6"/>
        <v>2.9800000000000004</v>
      </c>
      <c r="K29" s="285">
        <f t="shared" si="19"/>
        <v>498.56</v>
      </c>
      <c r="L29" s="286">
        <v>0</v>
      </c>
      <c r="M29" s="286">
        <v>0</v>
      </c>
      <c r="N29" s="285">
        <f t="shared" si="7"/>
        <v>498.56</v>
      </c>
      <c r="O29" s="616">
        <f t="shared" si="20"/>
        <v>0</v>
      </c>
      <c r="P29" s="289">
        <f t="shared" si="8"/>
        <v>0</v>
      </c>
      <c r="Q29" s="290">
        <f t="shared" si="9"/>
        <v>0</v>
      </c>
      <c r="R29" s="290">
        <f t="shared" si="10"/>
        <v>0</v>
      </c>
      <c r="S29" s="290">
        <f t="shared" si="11"/>
        <v>0</v>
      </c>
      <c r="T29" s="290">
        <f t="shared" si="12"/>
        <v>0</v>
      </c>
      <c r="U29" s="291">
        <f t="shared" si="13"/>
        <v>498.56</v>
      </c>
      <c r="V29" s="291">
        <f t="shared" si="21"/>
        <v>-498.56</v>
      </c>
      <c r="W29" s="617">
        <f t="shared" si="14"/>
        <v>0</v>
      </c>
      <c r="X29" s="291">
        <f t="shared" si="22"/>
        <v>-498.56</v>
      </c>
      <c r="Y29" s="170">
        <f t="shared" si="15"/>
        <v>113.24</v>
      </c>
      <c r="Z29" s="291">
        <f t="shared" si="16"/>
        <v>-113.24</v>
      </c>
      <c r="AC29" s="276">
        <f>IF(AI29=1,IF(AC28=MiscData!$F$1,EOMONTH(AC28,-11),EOMONTH(AC28,1)),AC28)</f>
        <v>42035</v>
      </c>
      <c r="AD29" s="275" t="str">
        <f t="shared" si="17"/>
        <v>20140101LGUM_348</v>
      </c>
      <c r="AE29" s="294" t="str">
        <f t="shared" si="18"/>
        <v>20140101RLS</v>
      </c>
      <c r="AF29" s="618" t="str">
        <f t="shared" si="23"/>
        <v>348</v>
      </c>
      <c r="AH29" s="265">
        <f>MiscData!$X$5</f>
        <v>20140101</v>
      </c>
      <c r="AI29" s="265">
        <f>IF(AI28+1&gt;MiscData!$AC$77,1,AI28+1)</f>
        <v>26</v>
      </c>
      <c r="AJ29" s="265" t="str">
        <f>VLOOKUP(AI29,MiscData!$AC$5:$AD$77,2,FALSE)</f>
        <v>LGUM_348</v>
      </c>
      <c r="AK29" s="265" t="str">
        <f>VLOOKUP(AJ29,MiscData!$AD$5:$AE$77,2,FALSE)</f>
        <v>RLS</v>
      </c>
      <c r="AT29" s="265" t="s">
        <v>182</v>
      </c>
      <c r="AV29" s="265">
        <v>-7.55</v>
      </c>
    </row>
    <row r="30" spans="1:48">
      <c r="A30" s="275">
        <f t="shared" si="24"/>
        <v>27</v>
      </c>
      <c r="B30" s="276" t="str">
        <f t="shared" ref="B30:B93" si="25">TEXT(AC30,"mmm yyyy")</f>
        <v>Jan 2015</v>
      </c>
      <c r="C30" s="277" t="str">
        <f t="shared" ref="C30:C93" si="26">AK30</f>
        <v>RLS</v>
      </c>
      <c r="D30" s="277" t="str">
        <f t="shared" ref="D30:D93" si="27">AJ30</f>
        <v>LGUM_349</v>
      </c>
      <c r="E30" s="614">
        <f t="shared" si="3"/>
        <v>16</v>
      </c>
      <c r="F30" s="615">
        <v>0</v>
      </c>
      <c r="G30" s="614">
        <f t="shared" si="4"/>
        <v>0</v>
      </c>
      <c r="H30" s="615">
        <v>0</v>
      </c>
      <c r="I30" s="283">
        <f t="shared" si="5"/>
        <v>9.0200000000000014</v>
      </c>
      <c r="J30" s="283">
        <f t="shared" si="6"/>
        <v>0.91000000000000014</v>
      </c>
      <c r="K30" s="285">
        <f t="shared" si="19"/>
        <v>144.32</v>
      </c>
      <c r="L30" s="286">
        <v>0</v>
      </c>
      <c r="M30" s="286">
        <v>0</v>
      </c>
      <c r="N30" s="285">
        <f t="shared" si="7"/>
        <v>144.32</v>
      </c>
      <c r="O30" s="616">
        <f t="shared" si="20"/>
        <v>0</v>
      </c>
      <c r="P30" s="289">
        <f t="shared" si="8"/>
        <v>0</v>
      </c>
      <c r="Q30" s="290">
        <f t="shared" si="9"/>
        <v>0</v>
      </c>
      <c r="R30" s="290">
        <f t="shared" si="10"/>
        <v>0</v>
      </c>
      <c r="S30" s="290">
        <f t="shared" si="11"/>
        <v>0</v>
      </c>
      <c r="T30" s="290">
        <f t="shared" si="12"/>
        <v>0</v>
      </c>
      <c r="U30" s="291">
        <f t="shared" si="13"/>
        <v>144.32</v>
      </c>
      <c r="V30" s="291">
        <f t="shared" si="21"/>
        <v>-144.32</v>
      </c>
      <c r="W30" s="617">
        <f t="shared" si="14"/>
        <v>0</v>
      </c>
      <c r="X30" s="291">
        <f t="shared" si="22"/>
        <v>-144.32</v>
      </c>
      <c r="Y30" s="170">
        <f t="shared" si="15"/>
        <v>14.56</v>
      </c>
      <c r="Z30" s="291">
        <f t="shared" si="16"/>
        <v>-14.56</v>
      </c>
      <c r="AC30" s="276">
        <f>IF(AI30=1,IF(AC29=MiscData!$F$1,EOMONTH(AC29,-11),EOMONTH(AC29,1)),AC29)</f>
        <v>42035</v>
      </c>
      <c r="AD30" s="275" t="str">
        <f t="shared" ref="AD30:AD93" si="28">CONCATENATE(AH30&amp;AJ30)</f>
        <v>20140101LGUM_349</v>
      </c>
      <c r="AE30" s="294" t="str">
        <f t="shared" ref="AE30:AE93" si="29">CONCATENATE(AH30&amp;AK30)</f>
        <v>20140101RLS</v>
      </c>
      <c r="AF30" s="618" t="str">
        <f t="shared" si="23"/>
        <v>349</v>
      </c>
      <c r="AH30" s="265">
        <f>MiscData!$X$5</f>
        <v>20140101</v>
      </c>
      <c r="AI30" s="265">
        <f>IF(AI29+1&gt;MiscData!$AC$77,1,AI29+1)</f>
        <v>27</v>
      </c>
      <c r="AJ30" s="265" t="str">
        <f>VLOOKUP(AI30,MiscData!$AC$5:$AD$77,2,FALSE)</f>
        <v>LGUM_349</v>
      </c>
      <c r="AK30" s="265" t="str">
        <f>VLOOKUP(AJ30,MiscData!$AD$5:$AE$77,2,FALSE)</f>
        <v>RLS</v>
      </c>
      <c r="AT30" s="265" t="s">
        <v>183</v>
      </c>
      <c r="AV30" s="265">
        <v>0</v>
      </c>
    </row>
    <row r="31" spans="1:48">
      <c r="A31" s="275">
        <f t="shared" si="24"/>
        <v>28</v>
      </c>
      <c r="B31" s="276" t="str">
        <f t="shared" si="25"/>
        <v>Jan 2015</v>
      </c>
      <c r="C31" s="277" t="str">
        <f t="shared" si="26"/>
        <v xml:space="preserve">LS </v>
      </c>
      <c r="D31" s="277" t="str">
        <f t="shared" si="27"/>
        <v>LGUM_400</v>
      </c>
      <c r="E31" s="614">
        <f t="shared" si="3"/>
        <v>31</v>
      </c>
      <c r="F31" s="615">
        <v>0</v>
      </c>
      <c r="G31" s="614">
        <f t="shared" si="4"/>
        <v>0</v>
      </c>
      <c r="H31" s="615">
        <v>0</v>
      </c>
      <c r="I31" s="283">
        <f t="shared" si="5"/>
        <v>23.89</v>
      </c>
      <c r="J31" s="283">
        <f t="shared" si="6"/>
        <v>1.0199999999999996</v>
      </c>
      <c r="K31" s="285">
        <f t="shared" si="19"/>
        <v>740.59</v>
      </c>
      <c r="L31" s="286">
        <v>0</v>
      </c>
      <c r="M31" s="286">
        <v>0</v>
      </c>
      <c r="N31" s="285">
        <f t="shared" si="7"/>
        <v>740.59</v>
      </c>
      <c r="O31" s="616">
        <f t="shared" si="20"/>
        <v>0</v>
      </c>
      <c r="P31" s="289">
        <f t="shared" si="8"/>
        <v>0</v>
      </c>
      <c r="Q31" s="290">
        <f t="shared" si="9"/>
        <v>0</v>
      </c>
      <c r="R31" s="290">
        <f t="shared" si="10"/>
        <v>0</v>
      </c>
      <c r="S31" s="290">
        <f t="shared" si="11"/>
        <v>0</v>
      </c>
      <c r="T31" s="290">
        <f t="shared" si="12"/>
        <v>0</v>
      </c>
      <c r="U31" s="291">
        <f t="shared" si="13"/>
        <v>740.59</v>
      </c>
      <c r="V31" s="291">
        <f t="shared" si="21"/>
        <v>-740.59</v>
      </c>
      <c r="W31" s="617">
        <f t="shared" si="14"/>
        <v>0</v>
      </c>
      <c r="X31" s="291">
        <f t="shared" si="22"/>
        <v>-740.59</v>
      </c>
      <c r="Y31" s="170">
        <f t="shared" si="15"/>
        <v>31.62</v>
      </c>
      <c r="Z31" s="291">
        <f t="shared" si="16"/>
        <v>-31.62</v>
      </c>
      <c r="AC31" s="276">
        <f>IF(AI31=1,IF(AC30=MiscData!$F$1,EOMONTH(AC30,-11),EOMONTH(AC30,1)),AC30)</f>
        <v>42035</v>
      </c>
      <c r="AD31" s="275" t="str">
        <f t="shared" si="28"/>
        <v>20140101LGUM_400</v>
      </c>
      <c r="AE31" s="294" t="str">
        <f t="shared" si="29"/>
        <v xml:space="preserve">20140101LS </v>
      </c>
      <c r="AF31" s="618" t="str">
        <f t="shared" si="23"/>
        <v>400</v>
      </c>
      <c r="AH31" s="265">
        <f>MiscData!$X$5</f>
        <v>20140101</v>
      </c>
      <c r="AI31" s="265">
        <f>IF(AI30+1&gt;MiscData!$AC$77,1,AI30+1)</f>
        <v>28</v>
      </c>
      <c r="AJ31" s="265" t="str">
        <f>VLOOKUP(AI31,MiscData!$AC$5:$AD$77,2,FALSE)</f>
        <v>LGUM_400</v>
      </c>
      <c r="AK31" s="265" t="str">
        <f>VLOOKUP(AJ31,MiscData!$AD$5:$AE$77,2,FALSE)</f>
        <v xml:space="preserve">LS </v>
      </c>
      <c r="AT31" s="265" t="s">
        <v>400</v>
      </c>
      <c r="AV31" s="265">
        <v>0</v>
      </c>
    </row>
    <row r="32" spans="1:48">
      <c r="A32" s="275">
        <f t="shared" si="24"/>
        <v>29</v>
      </c>
      <c r="B32" s="276" t="str">
        <f t="shared" si="25"/>
        <v>Jan 2015</v>
      </c>
      <c r="C32" s="277" t="str">
        <f t="shared" si="26"/>
        <v xml:space="preserve">LS </v>
      </c>
      <c r="D32" s="277" t="str">
        <f t="shared" si="27"/>
        <v>LGUM_401</v>
      </c>
      <c r="E32" s="614">
        <f t="shared" si="3"/>
        <v>4</v>
      </c>
      <c r="F32" s="615">
        <v>0</v>
      </c>
      <c r="G32" s="614">
        <f t="shared" si="4"/>
        <v>0</v>
      </c>
      <c r="H32" s="615">
        <v>0</v>
      </c>
      <c r="I32" s="283">
        <f t="shared" si="5"/>
        <v>24.9</v>
      </c>
      <c r="J32" s="283">
        <f t="shared" si="6"/>
        <v>1.0599999999999987</v>
      </c>
      <c r="K32" s="285">
        <f t="shared" si="19"/>
        <v>99.6</v>
      </c>
      <c r="L32" s="286">
        <v>0</v>
      </c>
      <c r="M32" s="286">
        <v>0</v>
      </c>
      <c r="N32" s="285">
        <f t="shared" si="7"/>
        <v>99.6</v>
      </c>
      <c r="O32" s="616">
        <f t="shared" si="20"/>
        <v>0</v>
      </c>
      <c r="P32" s="289">
        <f t="shared" si="8"/>
        <v>0</v>
      </c>
      <c r="Q32" s="290">
        <f t="shared" si="9"/>
        <v>0</v>
      </c>
      <c r="R32" s="290">
        <f t="shared" si="10"/>
        <v>0</v>
      </c>
      <c r="S32" s="290">
        <f t="shared" si="11"/>
        <v>0</v>
      </c>
      <c r="T32" s="290">
        <f t="shared" si="12"/>
        <v>0</v>
      </c>
      <c r="U32" s="291">
        <f t="shared" si="13"/>
        <v>99.6</v>
      </c>
      <c r="V32" s="291">
        <f t="shared" si="21"/>
        <v>-99.6</v>
      </c>
      <c r="W32" s="617">
        <f t="shared" si="14"/>
        <v>0</v>
      </c>
      <c r="X32" s="291">
        <f t="shared" si="22"/>
        <v>-99.6</v>
      </c>
      <c r="Y32" s="170">
        <f t="shared" si="15"/>
        <v>4.24</v>
      </c>
      <c r="Z32" s="291">
        <f t="shared" si="16"/>
        <v>-4.24</v>
      </c>
      <c r="AC32" s="276">
        <f>IF(AI32=1,IF(AC31=MiscData!$F$1,EOMONTH(AC31,-11),EOMONTH(AC31,1)),AC31)</f>
        <v>42035</v>
      </c>
      <c r="AD32" s="275" t="str">
        <f t="shared" si="28"/>
        <v>20140101LGUM_401</v>
      </c>
      <c r="AE32" s="294" t="str">
        <f t="shared" si="29"/>
        <v xml:space="preserve">20140101LS </v>
      </c>
      <c r="AF32" s="618" t="str">
        <f t="shared" si="23"/>
        <v>401</v>
      </c>
      <c r="AH32" s="265">
        <f>MiscData!$X$5</f>
        <v>20140101</v>
      </c>
      <c r="AI32" s="265">
        <f>IF(AI31+1&gt;MiscData!$AC$77,1,AI31+1)</f>
        <v>29</v>
      </c>
      <c r="AJ32" s="265" t="str">
        <f>VLOOKUP(AI32,MiscData!$AC$5:$AD$77,2,FALSE)</f>
        <v>LGUM_401</v>
      </c>
      <c r="AK32" s="265" t="str">
        <f>VLOOKUP(AJ32,MiscData!$AD$5:$AE$77,2,FALSE)</f>
        <v xml:space="preserve">LS </v>
      </c>
      <c r="AT32" s="265" t="s">
        <v>541</v>
      </c>
      <c r="AV32" s="265">
        <v>0</v>
      </c>
    </row>
    <row r="33" spans="1:48">
      <c r="A33" s="275">
        <f t="shared" si="24"/>
        <v>30</v>
      </c>
      <c r="B33" s="276" t="str">
        <f t="shared" si="25"/>
        <v>Jan 2015</v>
      </c>
      <c r="C33" s="277" t="str">
        <f t="shared" si="26"/>
        <v xml:space="preserve">LS </v>
      </c>
      <c r="D33" s="277" t="str">
        <f t="shared" si="27"/>
        <v>LGUM_412</v>
      </c>
      <c r="E33" s="614">
        <f t="shared" si="3"/>
        <v>214</v>
      </c>
      <c r="F33" s="615">
        <v>0</v>
      </c>
      <c r="G33" s="614">
        <f t="shared" si="4"/>
        <v>0</v>
      </c>
      <c r="H33" s="615">
        <v>0</v>
      </c>
      <c r="I33" s="283">
        <f t="shared" si="5"/>
        <v>19.79</v>
      </c>
      <c r="J33" s="283">
        <f t="shared" si="6"/>
        <v>0.74999999999999645</v>
      </c>
      <c r="K33" s="285">
        <f t="shared" si="19"/>
        <v>4235.0600000000004</v>
      </c>
      <c r="L33" s="286">
        <v>0</v>
      </c>
      <c r="M33" s="286">
        <v>0</v>
      </c>
      <c r="N33" s="285">
        <f t="shared" si="7"/>
        <v>4235.0600000000004</v>
      </c>
      <c r="O33" s="616">
        <f t="shared" si="20"/>
        <v>0</v>
      </c>
      <c r="P33" s="289">
        <f t="shared" si="8"/>
        <v>0</v>
      </c>
      <c r="Q33" s="290">
        <f t="shared" si="9"/>
        <v>0</v>
      </c>
      <c r="R33" s="290">
        <f t="shared" si="10"/>
        <v>0</v>
      </c>
      <c r="S33" s="290">
        <f t="shared" si="11"/>
        <v>0</v>
      </c>
      <c r="T33" s="290">
        <f t="shared" si="12"/>
        <v>0</v>
      </c>
      <c r="U33" s="291">
        <f t="shared" si="13"/>
        <v>4235.0600000000004</v>
      </c>
      <c r="V33" s="291">
        <f t="shared" si="21"/>
        <v>-4235.0600000000004</v>
      </c>
      <c r="W33" s="617">
        <f t="shared" si="14"/>
        <v>0</v>
      </c>
      <c r="X33" s="291">
        <f t="shared" si="22"/>
        <v>-4235.0600000000004</v>
      </c>
      <c r="Y33" s="170">
        <f t="shared" si="15"/>
        <v>160.5</v>
      </c>
      <c r="Z33" s="291">
        <f t="shared" si="16"/>
        <v>-160.5</v>
      </c>
      <c r="AC33" s="276">
        <f>IF(AI33=1,IF(AC32=MiscData!$F$1,EOMONTH(AC32,-11),EOMONTH(AC32,1)),AC32)</f>
        <v>42035</v>
      </c>
      <c r="AD33" s="275" t="str">
        <f t="shared" si="28"/>
        <v>20140101LGUM_412</v>
      </c>
      <c r="AE33" s="294" t="str">
        <f t="shared" si="29"/>
        <v xml:space="preserve">20140101LS </v>
      </c>
      <c r="AF33" s="618" t="str">
        <f t="shared" si="23"/>
        <v>412</v>
      </c>
      <c r="AH33" s="265">
        <f>MiscData!$X$5</f>
        <v>20140101</v>
      </c>
      <c r="AI33" s="265">
        <f>IF(AI32+1&gt;MiscData!$AC$77,1,AI32+1)</f>
        <v>30</v>
      </c>
      <c r="AJ33" s="265" t="str">
        <f>VLOOKUP(AI33,MiscData!$AC$5:$AD$77,2,FALSE)</f>
        <v>LGUM_412</v>
      </c>
      <c r="AK33" s="265" t="str">
        <f>VLOOKUP(AJ33,MiscData!$AD$5:$AE$77,2,FALSE)</f>
        <v xml:space="preserve">LS </v>
      </c>
      <c r="AT33" s="265" t="s">
        <v>184</v>
      </c>
      <c r="AV33" s="265">
        <v>-9.34</v>
      </c>
    </row>
    <row r="34" spans="1:48">
      <c r="A34" s="275">
        <f t="shared" si="24"/>
        <v>31</v>
      </c>
      <c r="B34" s="276" t="str">
        <f t="shared" si="25"/>
        <v>Jan 2015</v>
      </c>
      <c r="C34" s="277" t="str">
        <f t="shared" si="26"/>
        <v xml:space="preserve">LS </v>
      </c>
      <c r="D34" s="277" t="str">
        <f t="shared" si="27"/>
        <v>LGUM_413</v>
      </c>
      <c r="E34" s="614">
        <f t="shared" si="3"/>
        <v>1968</v>
      </c>
      <c r="F34" s="615">
        <v>0</v>
      </c>
      <c r="G34" s="614">
        <f t="shared" si="4"/>
        <v>0</v>
      </c>
      <c r="H34" s="615">
        <v>0</v>
      </c>
      <c r="I34" s="283">
        <f t="shared" si="5"/>
        <v>20.49</v>
      </c>
      <c r="J34" s="283">
        <f t="shared" si="6"/>
        <v>1.0599999999999987</v>
      </c>
      <c r="K34" s="285">
        <f t="shared" si="19"/>
        <v>40324.32</v>
      </c>
      <c r="L34" s="286">
        <v>0</v>
      </c>
      <c r="M34" s="286">
        <v>0</v>
      </c>
      <c r="N34" s="285">
        <f t="shared" si="7"/>
        <v>40324.32</v>
      </c>
      <c r="O34" s="616">
        <f t="shared" si="20"/>
        <v>0</v>
      </c>
      <c r="P34" s="289">
        <f t="shared" si="8"/>
        <v>0</v>
      </c>
      <c r="Q34" s="290">
        <f t="shared" si="9"/>
        <v>0</v>
      </c>
      <c r="R34" s="290">
        <f t="shared" si="10"/>
        <v>0</v>
      </c>
      <c r="S34" s="290">
        <f t="shared" si="11"/>
        <v>0</v>
      </c>
      <c r="T34" s="290">
        <f t="shared" si="12"/>
        <v>0</v>
      </c>
      <c r="U34" s="291">
        <f t="shared" si="13"/>
        <v>40324.32</v>
      </c>
      <c r="V34" s="291">
        <f t="shared" si="21"/>
        <v>-40324.32</v>
      </c>
      <c r="W34" s="617">
        <f t="shared" si="14"/>
        <v>0</v>
      </c>
      <c r="X34" s="291">
        <f t="shared" si="22"/>
        <v>-40324.32</v>
      </c>
      <c r="Y34" s="170">
        <f t="shared" si="15"/>
        <v>2086.08</v>
      </c>
      <c r="Z34" s="291">
        <f t="shared" si="16"/>
        <v>-2086.08</v>
      </c>
      <c r="AC34" s="276">
        <f>IF(AI34=1,IF(AC33=MiscData!$F$1,EOMONTH(AC33,-11),EOMONTH(AC33,1)),AC33)</f>
        <v>42035</v>
      </c>
      <c r="AD34" s="275" t="str">
        <f t="shared" si="28"/>
        <v>20140101LGUM_413</v>
      </c>
      <c r="AE34" s="294" t="str">
        <f t="shared" si="29"/>
        <v xml:space="preserve">20140101LS </v>
      </c>
      <c r="AF34" s="618" t="str">
        <f t="shared" si="23"/>
        <v>413</v>
      </c>
      <c r="AH34" s="265">
        <f>MiscData!$X$5</f>
        <v>20140101</v>
      </c>
      <c r="AI34" s="265">
        <f>IF(AI33+1&gt;MiscData!$AC$77,1,AI33+1)</f>
        <v>31</v>
      </c>
      <c r="AJ34" s="265" t="str">
        <f>VLOOKUP(AI34,MiscData!$AC$5:$AD$77,2,FALSE)</f>
        <v>LGUM_413</v>
      </c>
      <c r="AK34" s="265" t="str">
        <f>VLOOKUP(AJ34,MiscData!$AD$5:$AE$77,2,FALSE)</f>
        <v xml:space="preserve">LS </v>
      </c>
      <c r="AT34" s="265" t="s">
        <v>185</v>
      </c>
      <c r="AV34" s="265">
        <v>-9</v>
      </c>
    </row>
    <row r="35" spans="1:48">
      <c r="A35" s="275">
        <f t="shared" si="24"/>
        <v>32</v>
      </c>
      <c r="B35" s="276" t="str">
        <f t="shared" si="25"/>
        <v>Jan 2015</v>
      </c>
      <c r="C35" s="277" t="str">
        <f t="shared" si="26"/>
        <v xml:space="preserve">LS </v>
      </c>
      <c r="D35" s="277" t="str">
        <f t="shared" si="27"/>
        <v>LGUM_415</v>
      </c>
      <c r="E35" s="614">
        <f t="shared" si="3"/>
        <v>30</v>
      </c>
      <c r="F35" s="615">
        <v>0</v>
      </c>
      <c r="G35" s="614">
        <f t="shared" si="4"/>
        <v>0</v>
      </c>
      <c r="H35" s="615">
        <v>0</v>
      </c>
      <c r="I35" s="283">
        <f t="shared" si="5"/>
        <v>20.18</v>
      </c>
      <c r="J35" s="283">
        <f t="shared" si="6"/>
        <v>0.75</v>
      </c>
      <c r="K35" s="285">
        <f t="shared" si="19"/>
        <v>605.4</v>
      </c>
      <c r="L35" s="286">
        <v>0</v>
      </c>
      <c r="M35" s="286">
        <v>0</v>
      </c>
      <c r="N35" s="285">
        <f t="shared" si="7"/>
        <v>605.4</v>
      </c>
      <c r="O35" s="616">
        <f t="shared" si="20"/>
        <v>0</v>
      </c>
      <c r="P35" s="289">
        <f t="shared" si="8"/>
        <v>0</v>
      </c>
      <c r="Q35" s="290">
        <f t="shared" si="9"/>
        <v>0</v>
      </c>
      <c r="R35" s="290">
        <f t="shared" si="10"/>
        <v>0</v>
      </c>
      <c r="S35" s="290">
        <f t="shared" si="11"/>
        <v>0</v>
      </c>
      <c r="T35" s="290">
        <f t="shared" si="12"/>
        <v>0</v>
      </c>
      <c r="U35" s="291">
        <f t="shared" si="13"/>
        <v>605.4</v>
      </c>
      <c r="V35" s="291">
        <f t="shared" si="21"/>
        <v>-605.4</v>
      </c>
      <c r="W35" s="617">
        <f t="shared" si="14"/>
        <v>0</v>
      </c>
      <c r="X35" s="291">
        <f t="shared" si="22"/>
        <v>-605.4</v>
      </c>
      <c r="Y35" s="170">
        <f t="shared" si="15"/>
        <v>22.5</v>
      </c>
      <c r="Z35" s="291">
        <f t="shared" si="16"/>
        <v>-22.5</v>
      </c>
      <c r="AC35" s="276">
        <f>IF(AI35=1,IF(AC34=MiscData!$F$1,EOMONTH(AC34,-11),EOMONTH(AC34,1)),AC34)</f>
        <v>42035</v>
      </c>
      <c r="AD35" s="275" t="str">
        <f t="shared" si="28"/>
        <v>20140101LGUM_415</v>
      </c>
      <c r="AE35" s="294" t="str">
        <f t="shared" si="29"/>
        <v xml:space="preserve">20140101LS </v>
      </c>
      <c r="AF35" s="618" t="str">
        <f t="shared" si="23"/>
        <v>415</v>
      </c>
      <c r="AH35" s="265">
        <f>MiscData!$X$5</f>
        <v>20140101</v>
      </c>
      <c r="AI35" s="265">
        <f>IF(AI34+1&gt;MiscData!$AC$77,1,AI34+1)</f>
        <v>32</v>
      </c>
      <c r="AJ35" s="265" t="str">
        <f>VLOOKUP(AI35,MiscData!$AC$5:$AD$77,2,FALSE)</f>
        <v>LGUM_415</v>
      </c>
      <c r="AK35" s="265" t="str">
        <f>VLOOKUP(AJ35,MiscData!$AD$5:$AE$77,2,FALSE)</f>
        <v xml:space="preserve">LS </v>
      </c>
      <c r="AT35" s="265" t="s">
        <v>186</v>
      </c>
      <c r="AV35" s="265">
        <v>-10.15</v>
      </c>
    </row>
    <row r="36" spans="1:48">
      <c r="A36" s="275">
        <f t="shared" si="24"/>
        <v>33</v>
      </c>
      <c r="B36" s="276" t="str">
        <f t="shared" si="25"/>
        <v>Jan 2015</v>
      </c>
      <c r="C36" s="277" t="str">
        <f t="shared" si="26"/>
        <v xml:space="preserve">LS </v>
      </c>
      <c r="D36" s="277" t="str">
        <f t="shared" si="27"/>
        <v>LGUM_416</v>
      </c>
      <c r="E36" s="614">
        <f t="shared" si="3"/>
        <v>1748</v>
      </c>
      <c r="F36" s="615">
        <v>0</v>
      </c>
      <c r="G36" s="614">
        <f t="shared" si="4"/>
        <v>0</v>
      </c>
      <c r="H36" s="615">
        <v>0</v>
      </c>
      <c r="I36" s="283">
        <f t="shared" si="5"/>
        <v>22.56</v>
      </c>
      <c r="J36" s="283">
        <f t="shared" si="6"/>
        <v>1.0599999999999987</v>
      </c>
      <c r="K36" s="285">
        <f t="shared" si="19"/>
        <v>39434.879999999997</v>
      </c>
      <c r="L36" s="286">
        <v>0</v>
      </c>
      <c r="M36" s="286">
        <v>0</v>
      </c>
      <c r="N36" s="285">
        <f t="shared" si="7"/>
        <v>39434.879999999997</v>
      </c>
      <c r="O36" s="616">
        <f t="shared" si="20"/>
        <v>0</v>
      </c>
      <c r="P36" s="289">
        <f t="shared" si="8"/>
        <v>0</v>
      </c>
      <c r="Q36" s="290">
        <f t="shared" si="9"/>
        <v>0</v>
      </c>
      <c r="R36" s="290">
        <f t="shared" si="10"/>
        <v>0</v>
      </c>
      <c r="S36" s="290">
        <f t="shared" si="11"/>
        <v>0</v>
      </c>
      <c r="T36" s="290">
        <f t="shared" si="12"/>
        <v>0</v>
      </c>
      <c r="U36" s="291">
        <f t="shared" si="13"/>
        <v>39434.879999999997</v>
      </c>
      <c r="V36" s="291">
        <f t="shared" si="21"/>
        <v>-39434.879999999997</v>
      </c>
      <c r="W36" s="617">
        <f t="shared" si="14"/>
        <v>0</v>
      </c>
      <c r="X36" s="291">
        <f t="shared" si="22"/>
        <v>-39434.879999999997</v>
      </c>
      <c r="Y36" s="170">
        <f t="shared" si="15"/>
        <v>1852.88</v>
      </c>
      <c r="Z36" s="291">
        <f t="shared" si="16"/>
        <v>-1852.88</v>
      </c>
      <c r="AC36" s="276">
        <f>IF(AI36=1,IF(AC35=MiscData!$F$1,EOMONTH(AC35,-11),EOMONTH(AC35,1)),AC35)</f>
        <v>42035</v>
      </c>
      <c r="AD36" s="275" t="str">
        <f t="shared" si="28"/>
        <v>20140101LGUM_416</v>
      </c>
      <c r="AE36" s="294" t="str">
        <f t="shared" si="29"/>
        <v xml:space="preserve">20140101LS </v>
      </c>
      <c r="AF36" s="618" t="str">
        <f t="shared" si="23"/>
        <v>416</v>
      </c>
      <c r="AH36" s="265">
        <f>MiscData!$X$5</f>
        <v>20140101</v>
      </c>
      <c r="AI36" s="265">
        <f>IF(AI35+1&gt;MiscData!$AC$77,1,AI35+1)</f>
        <v>33</v>
      </c>
      <c r="AJ36" s="265" t="str">
        <f>VLOOKUP(AI36,MiscData!$AC$5:$AD$77,2,FALSE)</f>
        <v>LGUM_416</v>
      </c>
      <c r="AK36" s="265" t="str">
        <f>VLOOKUP(AJ36,MiscData!$AD$5:$AE$77,2,FALSE)</f>
        <v xml:space="preserve">LS </v>
      </c>
      <c r="AT36" s="265" t="s">
        <v>187</v>
      </c>
      <c r="AV36" s="265">
        <v>0</v>
      </c>
    </row>
    <row r="37" spans="1:48">
      <c r="A37" s="275">
        <f t="shared" si="24"/>
        <v>34</v>
      </c>
      <c r="B37" s="276" t="str">
        <f t="shared" si="25"/>
        <v>Jan 2015</v>
      </c>
      <c r="C37" s="277" t="str">
        <f t="shared" si="26"/>
        <v>RLS</v>
      </c>
      <c r="D37" s="277" t="str">
        <f t="shared" si="27"/>
        <v>LGUM_417</v>
      </c>
      <c r="E37" s="614">
        <f t="shared" si="3"/>
        <v>34</v>
      </c>
      <c r="F37" s="615">
        <v>0</v>
      </c>
      <c r="G37" s="614">
        <f t="shared" si="4"/>
        <v>0</v>
      </c>
      <c r="H37" s="615">
        <v>0</v>
      </c>
      <c r="I37" s="283">
        <f t="shared" si="5"/>
        <v>23.68</v>
      </c>
      <c r="J37" s="283">
        <f t="shared" si="6"/>
        <v>1.0300000000000011</v>
      </c>
      <c r="K37" s="285">
        <f t="shared" si="19"/>
        <v>805.12</v>
      </c>
      <c r="L37" s="286">
        <v>0</v>
      </c>
      <c r="M37" s="286">
        <v>0</v>
      </c>
      <c r="N37" s="285">
        <f t="shared" si="7"/>
        <v>805.12</v>
      </c>
      <c r="O37" s="616">
        <f t="shared" si="20"/>
        <v>0</v>
      </c>
      <c r="P37" s="289">
        <f t="shared" si="8"/>
        <v>0</v>
      </c>
      <c r="Q37" s="290">
        <f t="shared" si="9"/>
        <v>0</v>
      </c>
      <c r="R37" s="290">
        <f t="shared" si="10"/>
        <v>0</v>
      </c>
      <c r="S37" s="290">
        <f t="shared" si="11"/>
        <v>0</v>
      </c>
      <c r="T37" s="290">
        <f t="shared" si="12"/>
        <v>0</v>
      </c>
      <c r="U37" s="291">
        <f t="shared" si="13"/>
        <v>805.12</v>
      </c>
      <c r="V37" s="291">
        <f t="shared" si="21"/>
        <v>-805.12</v>
      </c>
      <c r="W37" s="617">
        <f t="shared" si="14"/>
        <v>0</v>
      </c>
      <c r="X37" s="291">
        <f t="shared" si="22"/>
        <v>-805.12</v>
      </c>
      <c r="Y37" s="170">
        <f t="shared" si="15"/>
        <v>35.020000000000003</v>
      </c>
      <c r="Z37" s="291">
        <f t="shared" si="16"/>
        <v>-35.020000000000003</v>
      </c>
      <c r="AC37" s="276">
        <f>IF(AI37=1,IF(AC36=MiscData!$F$1,EOMONTH(AC36,-11),EOMONTH(AC36,1)),AC36)</f>
        <v>42035</v>
      </c>
      <c r="AD37" s="275" t="str">
        <f t="shared" si="28"/>
        <v>20140101LGUM_417</v>
      </c>
      <c r="AE37" s="294" t="str">
        <f t="shared" si="29"/>
        <v>20140101RLS</v>
      </c>
      <c r="AF37" s="618" t="str">
        <f t="shared" si="23"/>
        <v>417</v>
      </c>
      <c r="AH37" s="265">
        <f>MiscData!$X$5</f>
        <v>20140101</v>
      </c>
      <c r="AI37" s="265">
        <f>IF(AI36+1&gt;MiscData!$AC$77,1,AI36+1)</f>
        <v>34</v>
      </c>
      <c r="AJ37" s="265" t="str">
        <f>VLOOKUP(AI37,MiscData!$AC$5:$AD$77,2,FALSE)</f>
        <v>LGUM_417</v>
      </c>
      <c r="AK37" s="265" t="str">
        <f>VLOOKUP(AJ37,MiscData!$AD$5:$AE$77,2,FALSE)</f>
        <v>RLS</v>
      </c>
      <c r="AT37" s="265" t="s">
        <v>188</v>
      </c>
      <c r="AV37" s="265">
        <v>0</v>
      </c>
    </row>
    <row r="38" spans="1:48">
      <c r="A38" s="275">
        <f t="shared" si="24"/>
        <v>35</v>
      </c>
      <c r="B38" s="276" t="str">
        <f t="shared" si="25"/>
        <v>Jan 2015</v>
      </c>
      <c r="C38" s="277" t="str">
        <f t="shared" si="26"/>
        <v>RLS</v>
      </c>
      <c r="D38" s="277" t="str">
        <f t="shared" si="27"/>
        <v>LGUM_419</v>
      </c>
      <c r="E38" s="614">
        <f t="shared" si="3"/>
        <v>107</v>
      </c>
      <c r="F38" s="615">
        <v>0</v>
      </c>
      <c r="G38" s="614">
        <f t="shared" si="4"/>
        <v>0</v>
      </c>
      <c r="H38" s="615">
        <v>0</v>
      </c>
      <c r="I38" s="283">
        <f t="shared" si="5"/>
        <v>24.77</v>
      </c>
      <c r="J38" s="283">
        <f t="shared" si="6"/>
        <v>1.6499999999999986</v>
      </c>
      <c r="K38" s="285">
        <f t="shared" si="19"/>
        <v>2650.39</v>
      </c>
      <c r="L38" s="286">
        <v>0</v>
      </c>
      <c r="M38" s="286">
        <v>0</v>
      </c>
      <c r="N38" s="285">
        <f t="shared" si="7"/>
        <v>2650.39</v>
      </c>
      <c r="O38" s="616">
        <f t="shared" si="20"/>
        <v>0</v>
      </c>
      <c r="P38" s="289">
        <f t="shared" si="8"/>
        <v>0</v>
      </c>
      <c r="Q38" s="290">
        <f t="shared" si="9"/>
        <v>0</v>
      </c>
      <c r="R38" s="290">
        <f t="shared" si="10"/>
        <v>0</v>
      </c>
      <c r="S38" s="290">
        <f t="shared" si="11"/>
        <v>0</v>
      </c>
      <c r="T38" s="290">
        <f t="shared" si="12"/>
        <v>0</v>
      </c>
      <c r="U38" s="291">
        <f t="shared" si="13"/>
        <v>2650.39</v>
      </c>
      <c r="V38" s="291">
        <f t="shared" si="21"/>
        <v>-2650.39</v>
      </c>
      <c r="W38" s="617">
        <f t="shared" si="14"/>
        <v>0</v>
      </c>
      <c r="X38" s="291">
        <f t="shared" si="22"/>
        <v>-2650.39</v>
      </c>
      <c r="Y38" s="170">
        <f t="shared" si="15"/>
        <v>176.55</v>
      </c>
      <c r="Z38" s="291">
        <f t="shared" si="16"/>
        <v>-176.55</v>
      </c>
      <c r="AC38" s="276">
        <f>IF(AI38=1,IF(AC37=MiscData!$F$1,EOMONTH(AC37,-11),EOMONTH(AC37,1)),AC37)</f>
        <v>42035</v>
      </c>
      <c r="AD38" s="275" t="str">
        <f t="shared" si="28"/>
        <v>20140101LGUM_419</v>
      </c>
      <c r="AE38" s="294" t="str">
        <f t="shared" si="29"/>
        <v>20140101RLS</v>
      </c>
      <c r="AF38" s="618" t="str">
        <f t="shared" si="23"/>
        <v>419</v>
      </c>
      <c r="AH38" s="265">
        <f>MiscData!$X$5</f>
        <v>20140101</v>
      </c>
      <c r="AI38" s="265">
        <f>IF(AI37+1&gt;MiscData!$AC$77,1,AI37+1)</f>
        <v>35</v>
      </c>
      <c r="AJ38" s="265" t="str">
        <f>VLOOKUP(AI38,MiscData!$AC$5:$AD$77,2,FALSE)</f>
        <v>LGUM_419</v>
      </c>
      <c r="AK38" s="265" t="str">
        <f>VLOOKUP(AJ38,MiscData!$AD$5:$AE$77,2,FALSE)</f>
        <v>RLS</v>
      </c>
      <c r="AT38" s="265" t="s">
        <v>189</v>
      </c>
      <c r="AV38" s="265">
        <v>-2.08</v>
      </c>
    </row>
    <row r="39" spans="1:48">
      <c r="A39" s="275">
        <f t="shared" si="24"/>
        <v>36</v>
      </c>
      <c r="B39" s="276" t="str">
        <f t="shared" si="25"/>
        <v>Jan 2015</v>
      </c>
      <c r="C39" s="277" t="str">
        <f t="shared" si="26"/>
        <v xml:space="preserve">LS </v>
      </c>
      <c r="D39" s="277" t="str">
        <f t="shared" si="27"/>
        <v>LGUM_420</v>
      </c>
      <c r="E39" s="614">
        <f t="shared" si="3"/>
        <v>45</v>
      </c>
      <c r="F39" s="615">
        <v>0</v>
      </c>
      <c r="G39" s="614">
        <f t="shared" si="4"/>
        <v>0</v>
      </c>
      <c r="H39" s="615">
        <v>0</v>
      </c>
      <c r="I39" s="283">
        <f t="shared" si="5"/>
        <v>29.889999999999997</v>
      </c>
      <c r="J39" s="283">
        <f t="shared" si="6"/>
        <v>1.6499999999999986</v>
      </c>
      <c r="K39" s="285">
        <f t="shared" si="19"/>
        <v>1345.05</v>
      </c>
      <c r="L39" s="286">
        <v>0</v>
      </c>
      <c r="M39" s="286">
        <v>0</v>
      </c>
      <c r="N39" s="285">
        <f t="shared" si="7"/>
        <v>1345.05</v>
      </c>
      <c r="O39" s="616">
        <f t="shared" si="20"/>
        <v>0</v>
      </c>
      <c r="P39" s="289">
        <f t="shared" si="8"/>
        <v>0</v>
      </c>
      <c r="Q39" s="290">
        <f t="shared" si="9"/>
        <v>0</v>
      </c>
      <c r="R39" s="290">
        <f t="shared" si="10"/>
        <v>0</v>
      </c>
      <c r="S39" s="290">
        <f t="shared" si="11"/>
        <v>0</v>
      </c>
      <c r="T39" s="290">
        <f t="shared" si="12"/>
        <v>0</v>
      </c>
      <c r="U39" s="291">
        <f t="shared" si="13"/>
        <v>1345.05</v>
      </c>
      <c r="V39" s="291">
        <f t="shared" si="21"/>
        <v>-1345.05</v>
      </c>
      <c r="W39" s="617">
        <f t="shared" si="14"/>
        <v>0</v>
      </c>
      <c r="X39" s="291">
        <f t="shared" si="22"/>
        <v>-1345.05</v>
      </c>
      <c r="Y39" s="170">
        <f t="shared" si="15"/>
        <v>74.25</v>
      </c>
      <c r="Z39" s="291">
        <f t="shared" si="16"/>
        <v>-74.25</v>
      </c>
      <c r="AC39" s="276">
        <f>IF(AI39=1,IF(AC38=MiscData!$F$1,EOMONTH(AC38,-11),EOMONTH(AC38,1)),AC38)</f>
        <v>42035</v>
      </c>
      <c r="AD39" s="275" t="str">
        <f t="shared" si="28"/>
        <v>20140101LGUM_420</v>
      </c>
      <c r="AE39" s="294" t="str">
        <f t="shared" si="29"/>
        <v xml:space="preserve">20140101LS </v>
      </c>
      <c r="AF39" s="618" t="str">
        <f t="shared" si="23"/>
        <v>420</v>
      </c>
      <c r="AH39" s="265">
        <f>MiscData!$X$5</f>
        <v>20140101</v>
      </c>
      <c r="AI39" s="265">
        <f>IF(AI38+1&gt;MiscData!$AC$77,1,AI38+1)</f>
        <v>36</v>
      </c>
      <c r="AJ39" s="265" t="str">
        <f>VLOOKUP(AI39,MiscData!$AC$5:$AD$77,2,FALSE)</f>
        <v>LGUM_420</v>
      </c>
      <c r="AK39" s="265" t="str">
        <f>VLOOKUP(AJ39,MiscData!$AD$5:$AE$77,2,FALSE)</f>
        <v xml:space="preserve">LS </v>
      </c>
      <c r="AT39" s="265" t="s">
        <v>190</v>
      </c>
      <c r="AV39" s="265">
        <v>0</v>
      </c>
    </row>
    <row r="40" spans="1:48">
      <c r="A40" s="275">
        <f t="shared" si="24"/>
        <v>37</v>
      </c>
      <c r="B40" s="276" t="str">
        <f t="shared" si="25"/>
        <v>Jan 2015</v>
      </c>
      <c r="C40" s="277" t="str">
        <f t="shared" si="26"/>
        <v xml:space="preserve">LS </v>
      </c>
      <c r="D40" s="277" t="str">
        <f t="shared" si="27"/>
        <v>LGUM_421</v>
      </c>
      <c r="E40" s="614">
        <f t="shared" si="3"/>
        <v>170</v>
      </c>
      <c r="F40" s="615">
        <v>0</v>
      </c>
      <c r="G40" s="614">
        <f t="shared" si="4"/>
        <v>0</v>
      </c>
      <c r="H40" s="615">
        <v>0</v>
      </c>
      <c r="I40" s="283">
        <f t="shared" si="5"/>
        <v>32.860000000000007</v>
      </c>
      <c r="J40" s="283">
        <f t="shared" si="6"/>
        <v>2.6700000000000017</v>
      </c>
      <c r="K40" s="285">
        <f t="shared" si="19"/>
        <v>5586.2</v>
      </c>
      <c r="L40" s="286">
        <v>0</v>
      </c>
      <c r="M40" s="286">
        <v>0</v>
      </c>
      <c r="N40" s="285">
        <f t="shared" si="7"/>
        <v>5586.2</v>
      </c>
      <c r="O40" s="616">
        <f t="shared" si="20"/>
        <v>0</v>
      </c>
      <c r="P40" s="289">
        <f t="shared" si="8"/>
        <v>0</v>
      </c>
      <c r="Q40" s="290">
        <f t="shared" si="9"/>
        <v>0</v>
      </c>
      <c r="R40" s="290">
        <f t="shared" si="10"/>
        <v>0</v>
      </c>
      <c r="S40" s="290">
        <f t="shared" si="11"/>
        <v>0</v>
      </c>
      <c r="T40" s="290">
        <f t="shared" si="12"/>
        <v>0</v>
      </c>
      <c r="U40" s="291">
        <f t="shared" si="13"/>
        <v>5586.2</v>
      </c>
      <c r="V40" s="291">
        <f t="shared" si="21"/>
        <v>-5586.2</v>
      </c>
      <c r="W40" s="617">
        <f t="shared" si="14"/>
        <v>0</v>
      </c>
      <c r="X40" s="291">
        <f t="shared" si="22"/>
        <v>-5586.2</v>
      </c>
      <c r="Y40" s="170">
        <f t="shared" si="15"/>
        <v>453.9</v>
      </c>
      <c r="Z40" s="291">
        <f t="shared" si="16"/>
        <v>-453.9</v>
      </c>
      <c r="AC40" s="276">
        <f>IF(AI40=1,IF(AC39=MiscData!$F$1,EOMONTH(AC39,-11),EOMONTH(AC39,1)),AC39)</f>
        <v>42035</v>
      </c>
      <c r="AD40" s="275" t="str">
        <f t="shared" si="28"/>
        <v>20140101LGUM_421</v>
      </c>
      <c r="AE40" s="294" t="str">
        <f t="shared" si="29"/>
        <v xml:space="preserve">20140101LS </v>
      </c>
      <c r="AF40" s="618" t="str">
        <f t="shared" si="23"/>
        <v>421</v>
      </c>
      <c r="AH40" s="265">
        <f>MiscData!$X$5</f>
        <v>20140101</v>
      </c>
      <c r="AI40" s="265">
        <f>IF(AI39+1&gt;MiscData!$AC$77,1,AI39+1)</f>
        <v>37</v>
      </c>
      <c r="AJ40" s="265" t="str">
        <f>VLOOKUP(AI40,MiscData!$AC$5:$AD$77,2,FALSE)</f>
        <v>LGUM_421</v>
      </c>
      <c r="AK40" s="265" t="str">
        <f>VLOOKUP(AJ40,MiscData!$AD$5:$AE$77,2,FALSE)</f>
        <v xml:space="preserve">LS </v>
      </c>
      <c r="AT40" s="265" t="s">
        <v>191</v>
      </c>
      <c r="AV40" s="265">
        <v>0</v>
      </c>
    </row>
    <row r="41" spans="1:48">
      <c r="A41" s="275">
        <f t="shared" si="24"/>
        <v>38</v>
      </c>
      <c r="B41" s="276" t="str">
        <f t="shared" si="25"/>
        <v>Jan 2015</v>
      </c>
      <c r="C41" s="277" t="str">
        <f t="shared" si="26"/>
        <v xml:space="preserve">LS </v>
      </c>
      <c r="D41" s="277" t="str">
        <f t="shared" si="27"/>
        <v>LGUM_422</v>
      </c>
      <c r="E41" s="614">
        <f t="shared" si="3"/>
        <v>343</v>
      </c>
      <c r="F41" s="615">
        <v>0</v>
      </c>
      <c r="G41" s="614">
        <f t="shared" si="4"/>
        <v>0</v>
      </c>
      <c r="H41" s="615">
        <v>0</v>
      </c>
      <c r="I41" s="283">
        <f t="shared" si="5"/>
        <v>38.389999999999993</v>
      </c>
      <c r="J41" s="283">
        <f t="shared" si="6"/>
        <v>4.279999999999994</v>
      </c>
      <c r="K41" s="285">
        <f t="shared" si="19"/>
        <v>13167.77</v>
      </c>
      <c r="L41" s="286">
        <v>0</v>
      </c>
      <c r="M41" s="286">
        <v>0</v>
      </c>
      <c r="N41" s="285">
        <f t="shared" si="7"/>
        <v>13167.77</v>
      </c>
      <c r="O41" s="616">
        <f t="shared" si="20"/>
        <v>0</v>
      </c>
      <c r="P41" s="289">
        <f t="shared" si="8"/>
        <v>0</v>
      </c>
      <c r="Q41" s="290">
        <f t="shared" si="9"/>
        <v>0</v>
      </c>
      <c r="R41" s="290">
        <f t="shared" si="10"/>
        <v>0</v>
      </c>
      <c r="S41" s="290">
        <f t="shared" si="11"/>
        <v>0</v>
      </c>
      <c r="T41" s="290">
        <f t="shared" si="12"/>
        <v>0</v>
      </c>
      <c r="U41" s="291">
        <f t="shared" si="13"/>
        <v>13167.77</v>
      </c>
      <c r="V41" s="291">
        <f t="shared" si="21"/>
        <v>-13167.77</v>
      </c>
      <c r="W41" s="617">
        <f t="shared" si="14"/>
        <v>0</v>
      </c>
      <c r="X41" s="291">
        <f t="shared" si="22"/>
        <v>-13167.77</v>
      </c>
      <c r="Y41" s="170">
        <f t="shared" si="15"/>
        <v>1468.04</v>
      </c>
      <c r="Z41" s="291">
        <f t="shared" si="16"/>
        <v>-1468.04</v>
      </c>
      <c r="AC41" s="276">
        <f>IF(AI41=1,IF(AC40=MiscData!$F$1,EOMONTH(AC40,-11),EOMONTH(AC40,1)),AC40)</f>
        <v>42035</v>
      </c>
      <c r="AD41" s="275" t="str">
        <f t="shared" si="28"/>
        <v>20140101LGUM_422</v>
      </c>
      <c r="AE41" s="294" t="str">
        <f t="shared" si="29"/>
        <v xml:space="preserve">20140101LS </v>
      </c>
      <c r="AF41" s="618" t="str">
        <f t="shared" si="23"/>
        <v>422</v>
      </c>
      <c r="AH41" s="265">
        <f>MiscData!$X$5</f>
        <v>20140101</v>
      </c>
      <c r="AI41" s="265">
        <f>IF(AI40+1&gt;MiscData!$AC$77,1,AI40+1)</f>
        <v>38</v>
      </c>
      <c r="AJ41" s="265" t="str">
        <f>VLOOKUP(AI41,MiscData!$AC$5:$AD$77,2,FALSE)</f>
        <v>LGUM_422</v>
      </c>
      <c r="AK41" s="265" t="str">
        <f>VLOOKUP(AJ41,MiscData!$AD$5:$AE$77,2,FALSE)</f>
        <v xml:space="preserve">LS </v>
      </c>
      <c r="AT41" s="265" t="s">
        <v>192</v>
      </c>
      <c r="AV41" s="265">
        <v>0</v>
      </c>
    </row>
    <row r="42" spans="1:48">
      <c r="A42" s="275">
        <f t="shared" si="24"/>
        <v>39</v>
      </c>
      <c r="B42" s="276" t="str">
        <f t="shared" si="25"/>
        <v>Jan 2015</v>
      </c>
      <c r="C42" s="277" t="str">
        <f t="shared" si="26"/>
        <v xml:space="preserve">LS </v>
      </c>
      <c r="D42" s="277" t="str">
        <f t="shared" si="27"/>
        <v>LGUM_423</v>
      </c>
      <c r="E42" s="614">
        <f t="shared" si="3"/>
        <v>16</v>
      </c>
      <c r="F42" s="615">
        <v>0</v>
      </c>
      <c r="G42" s="614">
        <f t="shared" si="4"/>
        <v>0</v>
      </c>
      <c r="H42" s="615">
        <v>0</v>
      </c>
      <c r="I42" s="283">
        <f t="shared" si="5"/>
        <v>26.349999999999998</v>
      </c>
      <c r="J42" s="283">
        <f t="shared" si="6"/>
        <v>1.6500000000000021</v>
      </c>
      <c r="K42" s="285">
        <f t="shared" si="19"/>
        <v>421.6</v>
      </c>
      <c r="L42" s="286">
        <v>0</v>
      </c>
      <c r="M42" s="286">
        <v>0</v>
      </c>
      <c r="N42" s="285">
        <f t="shared" si="7"/>
        <v>421.6</v>
      </c>
      <c r="O42" s="616">
        <f t="shared" si="20"/>
        <v>0</v>
      </c>
      <c r="P42" s="289">
        <f t="shared" si="8"/>
        <v>0</v>
      </c>
      <c r="Q42" s="290">
        <f t="shared" si="9"/>
        <v>0</v>
      </c>
      <c r="R42" s="290">
        <f t="shared" si="10"/>
        <v>0</v>
      </c>
      <c r="S42" s="290">
        <f t="shared" si="11"/>
        <v>0</v>
      </c>
      <c r="T42" s="290">
        <f t="shared" si="12"/>
        <v>0</v>
      </c>
      <c r="U42" s="291">
        <f t="shared" si="13"/>
        <v>421.6</v>
      </c>
      <c r="V42" s="291">
        <f t="shared" si="21"/>
        <v>-421.6</v>
      </c>
      <c r="W42" s="617">
        <f t="shared" si="14"/>
        <v>0</v>
      </c>
      <c r="X42" s="291">
        <f t="shared" si="22"/>
        <v>-421.6</v>
      </c>
      <c r="Y42" s="170">
        <f t="shared" si="15"/>
        <v>26.4</v>
      </c>
      <c r="Z42" s="291">
        <f t="shared" si="16"/>
        <v>-26.4</v>
      </c>
      <c r="AC42" s="276">
        <f>IF(AI42=1,IF(AC41=MiscData!$F$1,EOMONTH(AC41,-11),EOMONTH(AC41,1)),AC41)</f>
        <v>42035</v>
      </c>
      <c r="AD42" s="275" t="str">
        <f t="shared" si="28"/>
        <v>20140101LGUM_423</v>
      </c>
      <c r="AE42" s="294" t="str">
        <f t="shared" si="29"/>
        <v xml:space="preserve">20140101LS </v>
      </c>
      <c r="AF42" s="618" t="str">
        <f t="shared" si="23"/>
        <v>423</v>
      </c>
      <c r="AH42" s="265">
        <f>MiscData!$X$5</f>
        <v>20140101</v>
      </c>
      <c r="AI42" s="265">
        <f>IF(AI41+1&gt;MiscData!$AC$77,1,AI41+1)</f>
        <v>39</v>
      </c>
      <c r="AJ42" s="265" t="str">
        <f>VLOOKUP(AI42,MiscData!$AC$5:$AD$77,2,FALSE)</f>
        <v>LGUM_423</v>
      </c>
      <c r="AK42" s="265" t="str">
        <f>VLOOKUP(AJ42,MiscData!$AD$5:$AE$77,2,FALSE)</f>
        <v xml:space="preserve">LS </v>
      </c>
      <c r="AT42" s="265" t="s">
        <v>193</v>
      </c>
      <c r="AV42" s="265">
        <v>-11.46</v>
      </c>
    </row>
    <row r="43" spans="1:48">
      <c r="A43" s="275">
        <f t="shared" si="24"/>
        <v>40</v>
      </c>
      <c r="B43" s="276" t="str">
        <f t="shared" si="25"/>
        <v>Jan 2015</v>
      </c>
      <c r="C43" s="277" t="str">
        <f t="shared" si="26"/>
        <v xml:space="preserve">LS </v>
      </c>
      <c r="D43" s="277" t="str">
        <f t="shared" si="27"/>
        <v>LGUM_424</v>
      </c>
      <c r="E43" s="614">
        <f t="shared" si="3"/>
        <v>371</v>
      </c>
      <c r="F43" s="615">
        <v>0</v>
      </c>
      <c r="G43" s="614">
        <f t="shared" si="4"/>
        <v>0</v>
      </c>
      <c r="H43" s="615">
        <v>0</v>
      </c>
      <c r="I43" s="283">
        <f t="shared" si="5"/>
        <v>28.45</v>
      </c>
      <c r="J43" s="283">
        <f t="shared" si="6"/>
        <v>3.9800000000000004</v>
      </c>
      <c r="K43" s="285">
        <f t="shared" si="19"/>
        <v>10554.95</v>
      </c>
      <c r="L43" s="286">
        <v>0</v>
      </c>
      <c r="M43" s="286">
        <v>0</v>
      </c>
      <c r="N43" s="285">
        <f t="shared" si="7"/>
        <v>10554.95</v>
      </c>
      <c r="O43" s="616">
        <f t="shared" si="20"/>
        <v>0</v>
      </c>
      <c r="P43" s="289">
        <f t="shared" si="8"/>
        <v>0</v>
      </c>
      <c r="Q43" s="290">
        <f t="shared" si="9"/>
        <v>0</v>
      </c>
      <c r="R43" s="290">
        <f t="shared" si="10"/>
        <v>0</v>
      </c>
      <c r="S43" s="290">
        <f t="shared" si="11"/>
        <v>0</v>
      </c>
      <c r="T43" s="290">
        <f t="shared" si="12"/>
        <v>0</v>
      </c>
      <c r="U43" s="291">
        <f t="shared" si="13"/>
        <v>10554.95</v>
      </c>
      <c r="V43" s="291">
        <f t="shared" si="21"/>
        <v>-10554.95</v>
      </c>
      <c r="W43" s="617">
        <f t="shared" si="14"/>
        <v>0</v>
      </c>
      <c r="X43" s="291">
        <f t="shared" si="22"/>
        <v>-10554.95</v>
      </c>
      <c r="Y43" s="170">
        <f t="shared" si="15"/>
        <v>1476.58</v>
      </c>
      <c r="Z43" s="291">
        <f t="shared" si="16"/>
        <v>-1476.58</v>
      </c>
      <c r="AC43" s="276">
        <f>IF(AI43=1,IF(AC42=MiscData!$F$1,EOMONTH(AC42,-11),EOMONTH(AC42,1)),AC42)</f>
        <v>42035</v>
      </c>
      <c r="AD43" s="275" t="str">
        <f t="shared" si="28"/>
        <v>20140101LGUM_424</v>
      </c>
      <c r="AE43" s="294" t="str">
        <f t="shared" si="29"/>
        <v xml:space="preserve">20140101LS </v>
      </c>
      <c r="AF43" s="618" t="str">
        <f t="shared" si="23"/>
        <v>424</v>
      </c>
      <c r="AH43" s="265">
        <f>MiscData!$X$5</f>
        <v>20140101</v>
      </c>
      <c r="AI43" s="265">
        <f>IF(AI42+1&gt;MiscData!$AC$77,1,AI42+1)</f>
        <v>40</v>
      </c>
      <c r="AJ43" s="265" t="str">
        <f>VLOOKUP(AI43,MiscData!$AC$5:$AD$77,2,FALSE)</f>
        <v>LGUM_424</v>
      </c>
      <c r="AK43" s="265" t="str">
        <f>VLOOKUP(AJ43,MiscData!$AD$5:$AE$77,2,FALSE)</f>
        <v xml:space="preserve">LS </v>
      </c>
      <c r="AT43" s="265" t="s">
        <v>194</v>
      </c>
      <c r="AV43" s="265">
        <v>0</v>
      </c>
    </row>
    <row r="44" spans="1:48">
      <c r="A44" s="275">
        <f t="shared" si="24"/>
        <v>41</v>
      </c>
      <c r="B44" s="276" t="str">
        <f t="shared" si="25"/>
        <v>Jan 2015</v>
      </c>
      <c r="C44" s="277" t="str">
        <f t="shared" si="26"/>
        <v xml:space="preserve">LS </v>
      </c>
      <c r="D44" s="277" t="str">
        <f t="shared" si="27"/>
        <v>LGUM_425</v>
      </c>
      <c r="E44" s="614">
        <f t="shared" si="3"/>
        <v>33</v>
      </c>
      <c r="F44" s="615">
        <v>0</v>
      </c>
      <c r="G44" s="614">
        <f t="shared" si="4"/>
        <v>0</v>
      </c>
      <c r="H44" s="615">
        <v>0</v>
      </c>
      <c r="I44" s="283">
        <f t="shared" si="5"/>
        <v>34.029999999999994</v>
      </c>
      <c r="J44" s="283">
        <f t="shared" si="6"/>
        <v>4.2799999999999976</v>
      </c>
      <c r="K44" s="285">
        <f t="shared" si="19"/>
        <v>1122.99</v>
      </c>
      <c r="L44" s="286">
        <v>0</v>
      </c>
      <c r="M44" s="286">
        <v>0</v>
      </c>
      <c r="N44" s="285">
        <f t="shared" si="7"/>
        <v>1122.99</v>
      </c>
      <c r="O44" s="616">
        <f t="shared" si="20"/>
        <v>0</v>
      </c>
      <c r="P44" s="289">
        <f t="shared" si="8"/>
        <v>0</v>
      </c>
      <c r="Q44" s="290">
        <f t="shared" si="9"/>
        <v>0</v>
      </c>
      <c r="R44" s="290">
        <f t="shared" si="10"/>
        <v>0</v>
      </c>
      <c r="S44" s="290">
        <f t="shared" si="11"/>
        <v>0</v>
      </c>
      <c r="T44" s="290">
        <f t="shared" si="12"/>
        <v>0</v>
      </c>
      <c r="U44" s="291">
        <f t="shared" si="13"/>
        <v>1122.99</v>
      </c>
      <c r="V44" s="291">
        <f t="shared" si="21"/>
        <v>-1122.99</v>
      </c>
      <c r="W44" s="617">
        <f t="shared" si="14"/>
        <v>0</v>
      </c>
      <c r="X44" s="291">
        <f t="shared" si="22"/>
        <v>-1122.99</v>
      </c>
      <c r="Y44" s="170">
        <f t="shared" si="15"/>
        <v>141.24</v>
      </c>
      <c r="Z44" s="291">
        <f t="shared" si="16"/>
        <v>-141.24</v>
      </c>
      <c r="AC44" s="276">
        <f>IF(AI44=1,IF(AC43=MiscData!$F$1,EOMONTH(AC43,-11),EOMONTH(AC43,1)),AC43)</f>
        <v>42035</v>
      </c>
      <c r="AD44" s="275" t="str">
        <f t="shared" si="28"/>
        <v>20140101LGUM_425</v>
      </c>
      <c r="AE44" s="294" t="str">
        <f t="shared" si="29"/>
        <v xml:space="preserve">20140101LS </v>
      </c>
      <c r="AF44" s="618" t="str">
        <f t="shared" si="23"/>
        <v>425</v>
      </c>
      <c r="AH44" s="265">
        <f>MiscData!$X$5</f>
        <v>20140101</v>
      </c>
      <c r="AI44" s="265">
        <f>IF(AI43+1&gt;MiscData!$AC$77,1,AI43+1)</f>
        <v>41</v>
      </c>
      <c r="AJ44" s="265" t="str">
        <f>VLOOKUP(AI44,MiscData!$AC$5:$AD$77,2,FALSE)</f>
        <v>LGUM_425</v>
      </c>
      <c r="AK44" s="265" t="str">
        <f>VLOOKUP(AJ44,MiscData!$AD$5:$AE$77,2,FALSE)</f>
        <v xml:space="preserve">LS </v>
      </c>
      <c r="AT44" s="265" t="s">
        <v>553</v>
      </c>
      <c r="AV44" s="265">
        <v>0</v>
      </c>
    </row>
    <row r="45" spans="1:48">
      <c r="A45" s="275">
        <f t="shared" si="24"/>
        <v>42</v>
      </c>
      <c r="B45" s="276" t="str">
        <f t="shared" si="25"/>
        <v>Jan 2015</v>
      </c>
      <c r="C45" s="277" t="str">
        <f t="shared" si="26"/>
        <v>RLS</v>
      </c>
      <c r="D45" s="277" t="str">
        <f t="shared" si="27"/>
        <v>LGUM_426</v>
      </c>
      <c r="E45" s="614">
        <f t="shared" si="3"/>
        <v>39</v>
      </c>
      <c r="F45" s="615">
        <v>0</v>
      </c>
      <c r="G45" s="614">
        <f t="shared" si="4"/>
        <v>0</v>
      </c>
      <c r="H45" s="615">
        <v>0</v>
      </c>
      <c r="I45" s="283">
        <f t="shared" si="5"/>
        <v>33.22</v>
      </c>
      <c r="J45" s="283">
        <f t="shared" si="6"/>
        <v>0.75</v>
      </c>
      <c r="K45" s="285">
        <f t="shared" si="19"/>
        <v>1295.58</v>
      </c>
      <c r="L45" s="286">
        <v>0</v>
      </c>
      <c r="M45" s="286">
        <v>0</v>
      </c>
      <c r="N45" s="285">
        <f t="shared" si="7"/>
        <v>1295.58</v>
      </c>
      <c r="O45" s="616">
        <f t="shared" si="20"/>
        <v>0</v>
      </c>
      <c r="P45" s="289">
        <f t="shared" si="8"/>
        <v>0</v>
      </c>
      <c r="Q45" s="290">
        <f t="shared" si="9"/>
        <v>0</v>
      </c>
      <c r="R45" s="290">
        <f t="shared" si="10"/>
        <v>0</v>
      </c>
      <c r="S45" s="290">
        <f t="shared" si="11"/>
        <v>0</v>
      </c>
      <c r="T45" s="290">
        <f t="shared" si="12"/>
        <v>0</v>
      </c>
      <c r="U45" s="291">
        <f t="shared" si="13"/>
        <v>1295.58</v>
      </c>
      <c r="V45" s="291">
        <f t="shared" si="21"/>
        <v>-1295.58</v>
      </c>
      <c r="W45" s="617">
        <f t="shared" si="14"/>
        <v>0</v>
      </c>
      <c r="X45" s="291">
        <f t="shared" si="22"/>
        <v>-1295.58</v>
      </c>
      <c r="Y45" s="170">
        <f t="shared" si="15"/>
        <v>29.25</v>
      </c>
      <c r="Z45" s="291">
        <f t="shared" si="16"/>
        <v>-29.25</v>
      </c>
      <c r="AC45" s="276">
        <f>IF(AI45=1,IF(AC44=MiscData!$F$1,EOMONTH(AC44,-11),EOMONTH(AC44,1)),AC44)</f>
        <v>42035</v>
      </c>
      <c r="AD45" s="275" t="str">
        <f t="shared" si="28"/>
        <v>20140101LGUM_426</v>
      </c>
      <c r="AE45" s="294" t="str">
        <f t="shared" si="29"/>
        <v>20140101RLS</v>
      </c>
      <c r="AF45" s="618" t="str">
        <f t="shared" si="23"/>
        <v>426</v>
      </c>
      <c r="AH45" s="265">
        <f>MiscData!$X$5</f>
        <v>20140101</v>
      </c>
      <c r="AI45" s="265">
        <f>IF(AI44+1&gt;MiscData!$AC$77,1,AI44+1)</f>
        <v>42</v>
      </c>
      <c r="AJ45" s="265" t="str">
        <f>VLOOKUP(AI45,MiscData!$AC$5:$AD$77,2,FALSE)</f>
        <v>LGUM_426</v>
      </c>
      <c r="AK45" s="265" t="str">
        <f>VLOOKUP(AJ45,MiscData!$AD$5:$AE$77,2,FALSE)</f>
        <v>RLS</v>
      </c>
      <c r="AT45" s="265" t="s">
        <v>555</v>
      </c>
      <c r="AV45" s="265">
        <v>0</v>
      </c>
    </row>
    <row r="46" spans="1:48">
      <c r="A46" s="275">
        <f t="shared" si="24"/>
        <v>43</v>
      </c>
      <c r="B46" s="276" t="str">
        <f t="shared" si="25"/>
        <v>Jan 2015</v>
      </c>
      <c r="C46" s="277" t="str">
        <f t="shared" si="26"/>
        <v xml:space="preserve">LS </v>
      </c>
      <c r="D46" s="277" t="str">
        <f t="shared" si="27"/>
        <v>LGUM_427</v>
      </c>
      <c r="E46" s="614">
        <f t="shared" si="3"/>
        <v>50</v>
      </c>
      <c r="F46" s="615">
        <v>0</v>
      </c>
      <c r="G46" s="614">
        <f t="shared" si="4"/>
        <v>0</v>
      </c>
      <c r="H46" s="615">
        <v>0</v>
      </c>
      <c r="I46" s="283">
        <f t="shared" si="5"/>
        <v>35.199999999999996</v>
      </c>
      <c r="J46" s="283">
        <f t="shared" si="6"/>
        <v>0.75</v>
      </c>
      <c r="K46" s="285">
        <f t="shared" si="19"/>
        <v>1760</v>
      </c>
      <c r="L46" s="286">
        <v>0</v>
      </c>
      <c r="M46" s="286">
        <v>0</v>
      </c>
      <c r="N46" s="285">
        <f t="shared" si="7"/>
        <v>1760</v>
      </c>
      <c r="O46" s="616">
        <f t="shared" si="20"/>
        <v>0</v>
      </c>
      <c r="P46" s="289">
        <f t="shared" si="8"/>
        <v>0</v>
      </c>
      <c r="Q46" s="290">
        <f t="shared" si="9"/>
        <v>0</v>
      </c>
      <c r="R46" s="290">
        <f t="shared" si="10"/>
        <v>0</v>
      </c>
      <c r="S46" s="290">
        <f t="shared" si="11"/>
        <v>0</v>
      </c>
      <c r="T46" s="290">
        <f t="shared" si="12"/>
        <v>0</v>
      </c>
      <c r="U46" s="291">
        <f t="shared" si="13"/>
        <v>1760</v>
      </c>
      <c r="V46" s="291">
        <f t="shared" si="21"/>
        <v>-1760</v>
      </c>
      <c r="W46" s="617">
        <f t="shared" si="14"/>
        <v>0</v>
      </c>
      <c r="X46" s="291">
        <f t="shared" si="22"/>
        <v>-1760</v>
      </c>
      <c r="Y46" s="170">
        <f t="shared" si="15"/>
        <v>37.5</v>
      </c>
      <c r="Z46" s="291">
        <f t="shared" si="16"/>
        <v>-37.5</v>
      </c>
      <c r="AC46" s="276">
        <f>IF(AI46=1,IF(AC45=MiscData!$F$1,EOMONTH(AC45,-11),EOMONTH(AC45,1)),AC45)</f>
        <v>42035</v>
      </c>
      <c r="AD46" s="275" t="str">
        <f t="shared" si="28"/>
        <v>20140101LGUM_427</v>
      </c>
      <c r="AE46" s="294" t="str">
        <f t="shared" si="29"/>
        <v xml:space="preserve">20140101LS </v>
      </c>
      <c r="AF46" s="618" t="str">
        <f t="shared" si="23"/>
        <v>427</v>
      </c>
      <c r="AH46" s="265">
        <f>MiscData!$X$5</f>
        <v>20140101</v>
      </c>
      <c r="AI46" s="265">
        <f>IF(AI45+1&gt;MiscData!$AC$77,1,AI45+1)</f>
        <v>43</v>
      </c>
      <c r="AJ46" s="265" t="str">
        <f>VLOOKUP(AI46,MiscData!$AC$5:$AD$77,2,FALSE)</f>
        <v>LGUM_427</v>
      </c>
      <c r="AK46" s="265" t="str">
        <f>VLOOKUP(AJ46,MiscData!$AD$5:$AE$77,2,FALSE)</f>
        <v xml:space="preserve">LS </v>
      </c>
      <c r="AT46" s="265" t="s">
        <v>557</v>
      </c>
      <c r="AV46" s="265">
        <v>0</v>
      </c>
    </row>
    <row r="47" spans="1:48">
      <c r="A47" s="275">
        <f t="shared" si="24"/>
        <v>44</v>
      </c>
      <c r="B47" s="276" t="str">
        <f t="shared" si="25"/>
        <v>Jan 2015</v>
      </c>
      <c r="C47" s="277" t="str">
        <f t="shared" si="26"/>
        <v>RLS</v>
      </c>
      <c r="D47" s="277" t="str">
        <f t="shared" si="27"/>
        <v>LGUM_428</v>
      </c>
      <c r="E47" s="614">
        <f t="shared" si="3"/>
        <v>198</v>
      </c>
      <c r="F47" s="615">
        <v>0</v>
      </c>
      <c r="G47" s="614">
        <f t="shared" si="4"/>
        <v>0</v>
      </c>
      <c r="H47" s="615">
        <v>0</v>
      </c>
      <c r="I47" s="283">
        <f t="shared" si="5"/>
        <v>34.090000000000003</v>
      </c>
      <c r="J47" s="283">
        <f t="shared" si="6"/>
        <v>1.0600000000000023</v>
      </c>
      <c r="K47" s="285">
        <f t="shared" si="19"/>
        <v>6749.82</v>
      </c>
      <c r="L47" s="286">
        <v>0</v>
      </c>
      <c r="M47" s="286">
        <v>0</v>
      </c>
      <c r="N47" s="285">
        <f t="shared" si="7"/>
        <v>6749.82</v>
      </c>
      <c r="O47" s="616">
        <f t="shared" si="20"/>
        <v>0</v>
      </c>
      <c r="P47" s="289">
        <f t="shared" si="8"/>
        <v>0</v>
      </c>
      <c r="Q47" s="290">
        <f t="shared" si="9"/>
        <v>0</v>
      </c>
      <c r="R47" s="290">
        <f t="shared" si="10"/>
        <v>0</v>
      </c>
      <c r="S47" s="290">
        <f t="shared" si="11"/>
        <v>0</v>
      </c>
      <c r="T47" s="290">
        <f t="shared" si="12"/>
        <v>0</v>
      </c>
      <c r="U47" s="291">
        <f t="shared" si="13"/>
        <v>6749.82</v>
      </c>
      <c r="V47" s="291">
        <f t="shared" si="21"/>
        <v>-6749.82</v>
      </c>
      <c r="W47" s="617">
        <f t="shared" si="14"/>
        <v>0</v>
      </c>
      <c r="X47" s="291">
        <f t="shared" si="22"/>
        <v>-6749.82</v>
      </c>
      <c r="Y47" s="170">
        <f t="shared" si="15"/>
        <v>209.88</v>
      </c>
      <c r="Z47" s="291">
        <f t="shared" si="16"/>
        <v>-209.88</v>
      </c>
      <c r="AC47" s="276">
        <f>IF(AI47=1,IF(AC46=MiscData!$F$1,EOMONTH(AC46,-11),EOMONTH(AC46,1)),AC46)</f>
        <v>42035</v>
      </c>
      <c r="AD47" s="275" t="str">
        <f t="shared" si="28"/>
        <v>20140101LGUM_428</v>
      </c>
      <c r="AE47" s="294" t="str">
        <f t="shared" si="29"/>
        <v>20140101RLS</v>
      </c>
      <c r="AF47" s="618" t="str">
        <f t="shared" si="23"/>
        <v>428</v>
      </c>
      <c r="AH47" s="265">
        <f>MiscData!$X$5</f>
        <v>20140101</v>
      </c>
      <c r="AI47" s="265">
        <f>IF(AI46+1&gt;MiscData!$AC$77,1,AI46+1)</f>
        <v>44</v>
      </c>
      <c r="AJ47" s="265" t="str">
        <f>VLOOKUP(AI47,MiscData!$AC$5:$AD$77,2,FALSE)</f>
        <v>LGUM_428</v>
      </c>
      <c r="AK47" s="265" t="str">
        <f>VLOOKUP(AJ47,MiscData!$AD$5:$AE$77,2,FALSE)</f>
        <v>RLS</v>
      </c>
      <c r="AT47" s="265" t="s">
        <v>375</v>
      </c>
      <c r="AV47" s="265">
        <v>0</v>
      </c>
    </row>
    <row r="48" spans="1:48">
      <c r="A48" s="275">
        <f t="shared" si="24"/>
        <v>45</v>
      </c>
      <c r="B48" s="276" t="str">
        <f t="shared" si="25"/>
        <v>Jan 2015</v>
      </c>
      <c r="C48" s="277" t="str">
        <f t="shared" si="26"/>
        <v xml:space="preserve">LS </v>
      </c>
      <c r="D48" s="277" t="str">
        <f t="shared" si="27"/>
        <v>LGUM_429</v>
      </c>
      <c r="E48" s="614">
        <f t="shared" si="3"/>
        <v>183</v>
      </c>
      <c r="F48" s="615">
        <v>0</v>
      </c>
      <c r="G48" s="614">
        <f t="shared" si="4"/>
        <v>0</v>
      </c>
      <c r="H48" s="615">
        <v>0</v>
      </c>
      <c r="I48" s="283">
        <f t="shared" si="5"/>
        <v>36.07</v>
      </c>
      <c r="J48" s="283">
        <f t="shared" si="6"/>
        <v>1.0599999999999952</v>
      </c>
      <c r="K48" s="285">
        <f t="shared" si="19"/>
        <v>6600.81</v>
      </c>
      <c r="L48" s="286">
        <v>0</v>
      </c>
      <c r="M48" s="286">
        <v>0</v>
      </c>
      <c r="N48" s="285">
        <f t="shared" si="7"/>
        <v>6600.81</v>
      </c>
      <c r="O48" s="616">
        <f t="shared" si="20"/>
        <v>0</v>
      </c>
      <c r="P48" s="289">
        <f t="shared" si="8"/>
        <v>0</v>
      </c>
      <c r="Q48" s="290">
        <f t="shared" si="9"/>
        <v>0</v>
      </c>
      <c r="R48" s="290">
        <f t="shared" si="10"/>
        <v>0</v>
      </c>
      <c r="S48" s="290">
        <f t="shared" si="11"/>
        <v>0</v>
      </c>
      <c r="T48" s="290">
        <f t="shared" si="12"/>
        <v>0</v>
      </c>
      <c r="U48" s="291">
        <f t="shared" si="13"/>
        <v>6600.81</v>
      </c>
      <c r="V48" s="291">
        <f t="shared" si="21"/>
        <v>-6600.81</v>
      </c>
      <c r="W48" s="617">
        <f t="shared" si="14"/>
        <v>0</v>
      </c>
      <c r="X48" s="291">
        <f t="shared" si="22"/>
        <v>-6600.81</v>
      </c>
      <c r="Y48" s="170">
        <f t="shared" si="15"/>
        <v>193.98</v>
      </c>
      <c r="Z48" s="291">
        <f t="shared" si="16"/>
        <v>-193.98</v>
      </c>
      <c r="AC48" s="276">
        <f>IF(AI48=1,IF(AC47=MiscData!$F$1,EOMONTH(AC47,-11),EOMONTH(AC47,1)),AC47)</f>
        <v>42035</v>
      </c>
      <c r="AD48" s="275" t="str">
        <f t="shared" si="28"/>
        <v>20140101LGUM_429</v>
      </c>
      <c r="AE48" s="294" t="str">
        <f t="shared" si="29"/>
        <v xml:space="preserve">20140101LS </v>
      </c>
      <c r="AF48" s="618" t="str">
        <f t="shared" si="23"/>
        <v>429</v>
      </c>
      <c r="AH48" s="265">
        <f>MiscData!$X$5</f>
        <v>20140101</v>
      </c>
      <c r="AI48" s="265">
        <f>IF(AI47+1&gt;MiscData!$AC$77,1,AI47+1)</f>
        <v>45</v>
      </c>
      <c r="AJ48" s="265" t="str">
        <f>VLOOKUP(AI48,MiscData!$AC$5:$AD$77,2,FALSE)</f>
        <v>LGUM_429</v>
      </c>
      <c r="AK48" s="265" t="str">
        <f>VLOOKUP(AJ48,MiscData!$AD$5:$AE$77,2,FALSE)</f>
        <v xml:space="preserve">LS </v>
      </c>
      <c r="AT48" s="265" t="s">
        <v>195</v>
      </c>
      <c r="AV48" s="265">
        <v>0</v>
      </c>
    </row>
    <row r="49" spans="1:48">
      <c r="A49" s="275">
        <f t="shared" si="24"/>
        <v>46</v>
      </c>
      <c r="B49" s="276" t="str">
        <f t="shared" si="25"/>
        <v>Jan 2015</v>
      </c>
      <c r="C49" s="277" t="str">
        <f t="shared" si="26"/>
        <v>RLS</v>
      </c>
      <c r="D49" s="277" t="str">
        <f t="shared" si="27"/>
        <v>LGUM_430</v>
      </c>
      <c r="E49" s="614">
        <f t="shared" si="3"/>
        <v>12</v>
      </c>
      <c r="F49" s="615">
        <v>0</v>
      </c>
      <c r="G49" s="614">
        <f t="shared" si="4"/>
        <v>0</v>
      </c>
      <c r="H49" s="615">
        <v>0</v>
      </c>
      <c r="I49" s="283">
        <f t="shared" si="5"/>
        <v>32.26</v>
      </c>
      <c r="J49" s="283">
        <f t="shared" si="6"/>
        <v>0.75</v>
      </c>
      <c r="K49" s="285">
        <f t="shared" si="19"/>
        <v>387.12</v>
      </c>
      <c r="L49" s="286">
        <v>0</v>
      </c>
      <c r="M49" s="286">
        <v>0</v>
      </c>
      <c r="N49" s="285">
        <f t="shared" si="7"/>
        <v>387.12</v>
      </c>
      <c r="O49" s="616">
        <f t="shared" si="20"/>
        <v>0</v>
      </c>
      <c r="P49" s="289">
        <f t="shared" si="8"/>
        <v>0</v>
      </c>
      <c r="Q49" s="290">
        <f t="shared" si="9"/>
        <v>0</v>
      </c>
      <c r="R49" s="290">
        <f t="shared" si="10"/>
        <v>0</v>
      </c>
      <c r="S49" s="290">
        <f t="shared" si="11"/>
        <v>0</v>
      </c>
      <c r="T49" s="290">
        <f t="shared" si="12"/>
        <v>0</v>
      </c>
      <c r="U49" s="291">
        <f t="shared" si="13"/>
        <v>387.12</v>
      </c>
      <c r="V49" s="291">
        <f t="shared" si="21"/>
        <v>-387.12</v>
      </c>
      <c r="W49" s="617">
        <f t="shared" si="14"/>
        <v>0</v>
      </c>
      <c r="X49" s="291">
        <f t="shared" si="22"/>
        <v>-387.12</v>
      </c>
      <c r="Y49" s="170">
        <f t="shared" si="15"/>
        <v>9</v>
      </c>
      <c r="Z49" s="291">
        <f t="shared" si="16"/>
        <v>-9</v>
      </c>
      <c r="AC49" s="276">
        <f>IF(AI49=1,IF(AC48=MiscData!$F$1,EOMONTH(AC48,-11),EOMONTH(AC48,1)),AC48)</f>
        <v>42035</v>
      </c>
      <c r="AD49" s="275" t="str">
        <f t="shared" si="28"/>
        <v>20140101LGUM_430</v>
      </c>
      <c r="AE49" s="294" t="str">
        <f t="shared" si="29"/>
        <v>20140101RLS</v>
      </c>
      <c r="AF49" s="618" t="str">
        <f t="shared" si="23"/>
        <v>430</v>
      </c>
      <c r="AH49" s="265">
        <f>MiscData!$X$5</f>
        <v>20140101</v>
      </c>
      <c r="AI49" s="265">
        <f>IF(AI48+1&gt;MiscData!$AC$77,1,AI48+1)</f>
        <v>46</v>
      </c>
      <c r="AJ49" s="265" t="str">
        <f>VLOOKUP(AI49,MiscData!$AC$5:$AD$77,2,FALSE)</f>
        <v>LGUM_430</v>
      </c>
      <c r="AK49" s="265" t="str">
        <f>VLOOKUP(AJ49,MiscData!$AD$5:$AE$77,2,FALSE)</f>
        <v>RLS</v>
      </c>
      <c r="AT49" s="265" t="s">
        <v>561</v>
      </c>
      <c r="AV49" s="265">
        <v>0</v>
      </c>
    </row>
    <row r="50" spans="1:48">
      <c r="A50" s="275">
        <f t="shared" si="24"/>
        <v>47</v>
      </c>
      <c r="B50" s="276" t="str">
        <f t="shared" si="25"/>
        <v>Jan 2015</v>
      </c>
      <c r="C50" s="277" t="str">
        <f t="shared" si="26"/>
        <v xml:space="preserve">LS </v>
      </c>
      <c r="D50" s="277" t="str">
        <f t="shared" si="27"/>
        <v>LGUM_431</v>
      </c>
      <c r="E50" s="614">
        <f t="shared" si="3"/>
        <v>43</v>
      </c>
      <c r="F50" s="615">
        <v>0</v>
      </c>
      <c r="G50" s="614">
        <f t="shared" si="4"/>
        <v>0</v>
      </c>
      <c r="H50" s="615">
        <v>0</v>
      </c>
      <c r="I50" s="283">
        <f t="shared" si="5"/>
        <v>32.93</v>
      </c>
      <c r="J50" s="283">
        <f t="shared" si="6"/>
        <v>0.75</v>
      </c>
      <c r="K50" s="285">
        <f t="shared" si="19"/>
        <v>1415.99</v>
      </c>
      <c r="L50" s="286">
        <v>0</v>
      </c>
      <c r="M50" s="286">
        <v>0</v>
      </c>
      <c r="N50" s="285">
        <f t="shared" si="7"/>
        <v>1415.99</v>
      </c>
      <c r="O50" s="616">
        <f t="shared" si="20"/>
        <v>0</v>
      </c>
      <c r="P50" s="289">
        <f t="shared" si="8"/>
        <v>0</v>
      </c>
      <c r="Q50" s="290">
        <f t="shared" si="9"/>
        <v>0</v>
      </c>
      <c r="R50" s="290">
        <f t="shared" si="10"/>
        <v>0</v>
      </c>
      <c r="S50" s="290">
        <f t="shared" si="11"/>
        <v>0</v>
      </c>
      <c r="T50" s="290">
        <f t="shared" si="12"/>
        <v>0</v>
      </c>
      <c r="U50" s="291">
        <f t="shared" si="13"/>
        <v>1415.99</v>
      </c>
      <c r="V50" s="291">
        <f t="shared" si="21"/>
        <v>-1415.99</v>
      </c>
      <c r="W50" s="617">
        <f t="shared" si="14"/>
        <v>0</v>
      </c>
      <c r="X50" s="291">
        <f t="shared" si="22"/>
        <v>-1415.99</v>
      </c>
      <c r="Y50" s="170">
        <f t="shared" si="15"/>
        <v>32.25</v>
      </c>
      <c r="Z50" s="291">
        <f t="shared" si="16"/>
        <v>-32.25</v>
      </c>
      <c r="AC50" s="276">
        <f>IF(AI50=1,IF(AC49=MiscData!$F$1,EOMONTH(AC49,-11),EOMONTH(AC49,1)),AC49)</f>
        <v>42035</v>
      </c>
      <c r="AD50" s="275" t="str">
        <f t="shared" si="28"/>
        <v>20140101LGUM_431</v>
      </c>
      <c r="AE50" s="294" t="str">
        <f t="shared" si="29"/>
        <v xml:space="preserve">20140101LS </v>
      </c>
      <c r="AF50" s="618" t="str">
        <f t="shared" si="23"/>
        <v>431</v>
      </c>
      <c r="AH50" s="265">
        <f>MiscData!$X$5</f>
        <v>20140101</v>
      </c>
      <c r="AI50" s="265">
        <f>IF(AI49+1&gt;MiscData!$AC$77,1,AI49+1)</f>
        <v>47</v>
      </c>
      <c r="AJ50" s="265" t="str">
        <f>VLOOKUP(AI50,MiscData!$AC$5:$AD$77,2,FALSE)</f>
        <v>LGUM_431</v>
      </c>
      <c r="AK50" s="265" t="str">
        <f>VLOOKUP(AJ50,MiscData!$AD$5:$AE$77,2,FALSE)</f>
        <v xml:space="preserve">LS </v>
      </c>
      <c r="AT50" s="265" t="s">
        <v>196</v>
      </c>
      <c r="AV50" s="265">
        <v>-3.68</v>
      </c>
    </row>
    <row r="51" spans="1:48">
      <c r="A51" s="275">
        <f t="shared" si="24"/>
        <v>48</v>
      </c>
      <c r="B51" s="276" t="str">
        <f t="shared" si="25"/>
        <v>Jan 2015</v>
      </c>
      <c r="C51" s="277" t="str">
        <f t="shared" si="26"/>
        <v>RLS</v>
      </c>
      <c r="D51" s="277" t="str">
        <f t="shared" si="27"/>
        <v>LGUM_432</v>
      </c>
      <c r="E51" s="614">
        <f t="shared" si="3"/>
        <v>10</v>
      </c>
      <c r="F51" s="615">
        <v>0</v>
      </c>
      <c r="G51" s="614">
        <f t="shared" si="4"/>
        <v>0</v>
      </c>
      <c r="H51" s="615">
        <v>0</v>
      </c>
      <c r="I51" s="283">
        <f t="shared" si="5"/>
        <v>34.330000000000005</v>
      </c>
      <c r="J51" s="283">
        <f t="shared" si="6"/>
        <v>1.0600000000000023</v>
      </c>
      <c r="K51" s="285">
        <f t="shared" si="19"/>
        <v>343.3</v>
      </c>
      <c r="L51" s="286">
        <v>0</v>
      </c>
      <c r="M51" s="286">
        <v>0</v>
      </c>
      <c r="N51" s="285">
        <f t="shared" si="7"/>
        <v>343.3</v>
      </c>
      <c r="O51" s="616">
        <f t="shared" si="20"/>
        <v>0</v>
      </c>
      <c r="P51" s="289">
        <f t="shared" si="8"/>
        <v>0</v>
      </c>
      <c r="Q51" s="290">
        <f t="shared" si="9"/>
        <v>0</v>
      </c>
      <c r="R51" s="290">
        <f t="shared" si="10"/>
        <v>0</v>
      </c>
      <c r="S51" s="290">
        <f t="shared" si="11"/>
        <v>0</v>
      </c>
      <c r="T51" s="290">
        <f t="shared" si="12"/>
        <v>0</v>
      </c>
      <c r="U51" s="291">
        <f t="shared" si="13"/>
        <v>343.3</v>
      </c>
      <c r="V51" s="291">
        <f t="shared" si="21"/>
        <v>-343.3</v>
      </c>
      <c r="W51" s="617">
        <f t="shared" si="14"/>
        <v>0</v>
      </c>
      <c r="X51" s="291">
        <f t="shared" si="22"/>
        <v>-343.3</v>
      </c>
      <c r="Y51" s="170">
        <f t="shared" si="15"/>
        <v>10.6</v>
      </c>
      <c r="Z51" s="291">
        <f t="shared" si="16"/>
        <v>-10.6</v>
      </c>
      <c r="AC51" s="276">
        <f>IF(AI51=1,IF(AC50=MiscData!$F$1,EOMONTH(AC50,-11),EOMONTH(AC50,1)),AC50)</f>
        <v>42035</v>
      </c>
      <c r="AD51" s="275" t="str">
        <f t="shared" si="28"/>
        <v>20140101LGUM_432</v>
      </c>
      <c r="AE51" s="294" t="str">
        <f t="shared" si="29"/>
        <v>20140101RLS</v>
      </c>
      <c r="AF51" s="618" t="str">
        <f t="shared" si="23"/>
        <v>432</v>
      </c>
      <c r="AH51" s="265">
        <f>MiscData!$X$5</f>
        <v>20140101</v>
      </c>
      <c r="AI51" s="265">
        <f>IF(AI50+1&gt;MiscData!$AC$77,1,AI50+1)</f>
        <v>48</v>
      </c>
      <c r="AJ51" s="265" t="str">
        <f>VLOOKUP(AI51,MiscData!$AC$5:$AD$77,2,FALSE)</f>
        <v>LGUM_432</v>
      </c>
      <c r="AK51" s="265" t="str">
        <f>VLOOKUP(AJ51,MiscData!$AD$5:$AE$77,2,FALSE)</f>
        <v>RLS</v>
      </c>
      <c r="AT51" s="265" t="s">
        <v>197</v>
      </c>
      <c r="AV51" s="265">
        <v>48.35</v>
      </c>
    </row>
    <row r="52" spans="1:48">
      <c r="A52" s="275">
        <f t="shared" si="24"/>
        <v>49</v>
      </c>
      <c r="B52" s="276" t="str">
        <f t="shared" si="25"/>
        <v>Jan 2015</v>
      </c>
      <c r="C52" s="277" t="str">
        <f t="shared" si="26"/>
        <v xml:space="preserve">LS </v>
      </c>
      <c r="D52" s="277" t="str">
        <f t="shared" si="27"/>
        <v>LGUM_433</v>
      </c>
      <c r="E52" s="614">
        <f t="shared" si="3"/>
        <v>182</v>
      </c>
      <c r="F52" s="615">
        <v>0</v>
      </c>
      <c r="G52" s="614">
        <f t="shared" si="4"/>
        <v>0</v>
      </c>
      <c r="H52" s="615">
        <v>0</v>
      </c>
      <c r="I52" s="283">
        <f t="shared" si="5"/>
        <v>34.99</v>
      </c>
      <c r="J52" s="283">
        <f t="shared" si="6"/>
        <v>1.0600000000000023</v>
      </c>
      <c r="K52" s="285">
        <f t="shared" si="19"/>
        <v>6368.18</v>
      </c>
      <c r="L52" s="286">
        <v>0</v>
      </c>
      <c r="M52" s="286">
        <v>0</v>
      </c>
      <c r="N52" s="285">
        <f t="shared" si="7"/>
        <v>6368.18</v>
      </c>
      <c r="O52" s="616">
        <f t="shared" si="20"/>
        <v>0</v>
      </c>
      <c r="P52" s="289">
        <f t="shared" si="8"/>
        <v>0</v>
      </c>
      <c r="Q52" s="290">
        <f t="shared" si="9"/>
        <v>0</v>
      </c>
      <c r="R52" s="290">
        <f t="shared" si="10"/>
        <v>0</v>
      </c>
      <c r="S52" s="290">
        <f t="shared" si="11"/>
        <v>0</v>
      </c>
      <c r="T52" s="290">
        <f t="shared" si="12"/>
        <v>0</v>
      </c>
      <c r="U52" s="291">
        <f t="shared" si="13"/>
        <v>6368.18</v>
      </c>
      <c r="V52" s="291">
        <f t="shared" si="21"/>
        <v>-6368.18</v>
      </c>
      <c r="W52" s="617">
        <f t="shared" si="14"/>
        <v>0</v>
      </c>
      <c r="X52" s="291">
        <f t="shared" si="22"/>
        <v>-6368.18</v>
      </c>
      <c r="Y52" s="170">
        <f t="shared" si="15"/>
        <v>192.92</v>
      </c>
      <c r="Z52" s="291">
        <f t="shared" si="16"/>
        <v>-192.92</v>
      </c>
      <c r="AC52" s="276">
        <f>IF(AI52=1,IF(AC51=MiscData!$F$1,EOMONTH(AC51,-11),EOMONTH(AC51,1)),AC51)</f>
        <v>42035</v>
      </c>
      <c r="AD52" s="275" t="str">
        <f t="shared" si="28"/>
        <v>20140101LGUM_433</v>
      </c>
      <c r="AE52" s="294" t="str">
        <f t="shared" si="29"/>
        <v xml:space="preserve">20140101LS </v>
      </c>
      <c r="AF52" s="618" t="str">
        <f t="shared" si="23"/>
        <v>433</v>
      </c>
      <c r="AH52" s="265">
        <f>MiscData!$X$5</f>
        <v>20140101</v>
      </c>
      <c r="AI52" s="265">
        <f>IF(AI51+1&gt;MiscData!$AC$77,1,AI51+1)</f>
        <v>49</v>
      </c>
      <c r="AJ52" s="265" t="str">
        <f>VLOOKUP(AI52,MiscData!$AC$5:$AD$77,2,FALSE)</f>
        <v>LGUM_433</v>
      </c>
      <c r="AK52" s="265" t="str">
        <f>VLOOKUP(AJ52,MiscData!$AD$5:$AE$77,2,FALSE)</f>
        <v xml:space="preserve">LS </v>
      </c>
      <c r="AT52" s="265" t="s">
        <v>198</v>
      </c>
      <c r="AV52" s="265">
        <v>-163.51</v>
      </c>
    </row>
    <row r="53" spans="1:48">
      <c r="A53" s="275">
        <f t="shared" si="24"/>
        <v>50</v>
      </c>
      <c r="B53" s="276" t="str">
        <f t="shared" si="25"/>
        <v>Jan 2015</v>
      </c>
      <c r="C53" s="277" t="str">
        <f t="shared" si="26"/>
        <v xml:space="preserve">LS </v>
      </c>
      <c r="D53" s="277" t="str">
        <f t="shared" si="27"/>
        <v>LGUM_439</v>
      </c>
      <c r="E53" s="614">
        <f t="shared" si="3"/>
        <v>0</v>
      </c>
      <c r="F53" s="615">
        <v>0</v>
      </c>
      <c r="G53" s="614">
        <f t="shared" si="4"/>
        <v>0</v>
      </c>
      <c r="H53" s="615">
        <v>0</v>
      </c>
      <c r="I53" s="283">
        <f t="shared" si="5"/>
        <v>16.459999999999997</v>
      </c>
      <c r="J53" s="283">
        <f t="shared" si="6"/>
        <v>1.6499999999999986</v>
      </c>
      <c r="K53" s="285">
        <f t="shared" si="19"/>
        <v>0</v>
      </c>
      <c r="L53" s="286">
        <v>0</v>
      </c>
      <c r="M53" s="286">
        <v>0</v>
      </c>
      <c r="N53" s="285">
        <f t="shared" si="7"/>
        <v>0</v>
      </c>
      <c r="O53" s="616">
        <f t="shared" si="20"/>
        <v>0</v>
      </c>
      <c r="P53" s="289">
        <f t="shared" si="8"/>
        <v>1</v>
      </c>
      <c r="Q53" s="290">
        <f t="shared" si="9"/>
        <v>0</v>
      </c>
      <c r="R53" s="290">
        <f t="shared" si="10"/>
        <v>0</v>
      </c>
      <c r="S53" s="290">
        <f t="shared" si="11"/>
        <v>0</v>
      </c>
      <c r="T53" s="290">
        <f t="shared" si="12"/>
        <v>0</v>
      </c>
      <c r="U53" s="291">
        <f t="shared" si="13"/>
        <v>0</v>
      </c>
      <c r="V53" s="291">
        <f t="shared" si="21"/>
        <v>0</v>
      </c>
      <c r="W53" s="617">
        <f t="shared" si="14"/>
        <v>0</v>
      </c>
      <c r="X53" s="291">
        <f t="shared" si="22"/>
        <v>0</v>
      </c>
      <c r="Y53" s="170">
        <f t="shared" si="15"/>
        <v>0</v>
      </c>
      <c r="Z53" s="291">
        <f t="shared" si="16"/>
        <v>0</v>
      </c>
      <c r="AC53" s="276">
        <f>IF(AI53=1,IF(AC52=MiscData!$F$1,EOMONTH(AC52,-11),EOMONTH(AC52,1)),AC52)</f>
        <v>42035</v>
      </c>
      <c r="AD53" s="275" t="str">
        <f t="shared" si="28"/>
        <v>20140101LGUM_439</v>
      </c>
      <c r="AE53" s="294" t="str">
        <f t="shared" si="29"/>
        <v xml:space="preserve">20140101LS </v>
      </c>
      <c r="AF53" s="618" t="str">
        <f t="shared" si="23"/>
        <v>439</v>
      </c>
      <c r="AH53" s="265">
        <f>MiscData!$X$5</f>
        <v>20140101</v>
      </c>
      <c r="AI53" s="265">
        <f>IF(AI52+1&gt;MiscData!$AC$77,1,AI52+1)</f>
        <v>50</v>
      </c>
      <c r="AJ53" s="265" t="str">
        <f>VLOOKUP(AI53,MiscData!$AC$5:$AD$77,2,FALSE)</f>
        <v>LGUM_439</v>
      </c>
      <c r="AK53" s="265" t="str">
        <f>VLOOKUP(AJ53,MiscData!$AD$5:$AE$77,2,FALSE)</f>
        <v xml:space="preserve">LS </v>
      </c>
      <c r="AT53" s="265" t="s">
        <v>199</v>
      </c>
      <c r="AV53" s="265">
        <v>-72.03</v>
      </c>
    </row>
    <row r="54" spans="1:48">
      <c r="A54" s="275">
        <f t="shared" si="24"/>
        <v>51</v>
      </c>
      <c r="B54" s="276" t="str">
        <f t="shared" si="25"/>
        <v>Jan 2015</v>
      </c>
      <c r="C54" s="277" t="str">
        <f t="shared" si="26"/>
        <v xml:space="preserve">LS </v>
      </c>
      <c r="D54" s="277" t="str">
        <f t="shared" si="27"/>
        <v>LGUM_440</v>
      </c>
      <c r="E54" s="614">
        <f t="shared" si="3"/>
        <v>2</v>
      </c>
      <c r="F54" s="615">
        <v>0</v>
      </c>
      <c r="G54" s="614">
        <f t="shared" si="4"/>
        <v>0</v>
      </c>
      <c r="H54" s="615">
        <v>0</v>
      </c>
      <c r="I54" s="283">
        <f t="shared" si="5"/>
        <v>18.279999999999998</v>
      </c>
      <c r="J54" s="283">
        <f t="shared" si="6"/>
        <v>2.67</v>
      </c>
      <c r="K54" s="285">
        <f t="shared" si="19"/>
        <v>36.56</v>
      </c>
      <c r="L54" s="286">
        <v>0</v>
      </c>
      <c r="M54" s="286">
        <v>0</v>
      </c>
      <c r="N54" s="285">
        <f t="shared" si="7"/>
        <v>36.56</v>
      </c>
      <c r="O54" s="616">
        <f t="shared" si="20"/>
        <v>0</v>
      </c>
      <c r="P54" s="289">
        <f t="shared" si="8"/>
        <v>0</v>
      </c>
      <c r="Q54" s="290">
        <f t="shared" si="9"/>
        <v>0</v>
      </c>
      <c r="R54" s="290">
        <f t="shared" si="10"/>
        <v>0</v>
      </c>
      <c r="S54" s="290">
        <f t="shared" si="11"/>
        <v>0</v>
      </c>
      <c r="T54" s="290">
        <f t="shared" si="12"/>
        <v>0</v>
      </c>
      <c r="U54" s="291">
        <f t="shared" si="13"/>
        <v>36.56</v>
      </c>
      <c r="V54" s="291">
        <f t="shared" si="21"/>
        <v>-36.56</v>
      </c>
      <c r="W54" s="617">
        <f t="shared" si="14"/>
        <v>0</v>
      </c>
      <c r="X54" s="291">
        <f t="shared" si="22"/>
        <v>-36.56</v>
      </c>
      <c r="Y54" s="170">
        <f t="shared" si="15"/>
        <v>5.34</v>
      </c>
      <c r="Z54" s="291">
        <f t="shared" si="16"/>
        <v>-5.34</v>
      </c>
      <c r="AC54" s="276">
        <f>IF(AI54=1,IF(AC53=MiscData!$F$1,EOMONTH(AC53,-11),EOMONTH(AC53,1)),AC53)</f>
        <v>42035</v>
      </c>
      <c r="AD54" s="275" t="str">
        <f t="shared" si="28"/>
        <v>20140101LGUM_440</v>
      </c>
      <c r="AE54" s="294" t="str">
        <f t="shared" si="29"/>
        <v xml:space="preserve">20140101LS </v>
      </c>
      <c r="AF54" s="618" t="str">
        <f t="shared" si="23"/>
        <v>440</v>
      </c>
      <c r="AH54" s="265">
        <f>MiscData!$X$5</f>
        <v>20140101</v>
      </c>
      <c r="AI54" s="265">
        <f>IF(AI53+1&gt;MiscData!$AC$77,1,AI53+1)</f>
        <v>51</v>
      </c>
      <c r="AJ54" s="265" t="str">
        <f>VLOOKUP(AI54,MiscData!$AC$5:$AD$77,2,FALSE)</f>
        <v>LGUM_440</v>
      </c>
      <c r="AK54" s="265" t="str">
        <f>VLOOKUP(AJ54,MiscData!$AD$5:$AE$77,2,FALSE)</f>
        <v xml:space="preserve">LS </v>
      </c>
      <c r="AT54" s="265" t="s">
        <v>200</v>
      </c>
      <c r="AV54" s="265">
        <v>0</v>
      </c>
    </row>
    <row r="55" spans="1:48">
      <c r="A55" s="275">
        <f t="shared" si="24"/>
        <v>52</v>
      </c>
      <c r="B55" s="276" t="str">
        <f t="shared" si="25"/>
        <v>Jan 2015</v>
      </c>
      <c r="C55" s="277" t="str">
        <f t="shared" si="26"/>
        <v xml:space="preserve">LS </v>
      </c>
      <c r="D55" s="277" t="str">
        <f t="shared" si="27"/>
        <v>LGUM_441</v>
      </c>
      <c r="E55" s="614">
        <f t="shared" si="3"/>
        <v>14</v>
      </c>
      <c r="F55" s="615">
        <v>0</v>
      </c>
      <c r="G55" s="614">
        <f t="shared" si="4"/>
        <v>0</v>
      </c>
      <c r="H55" s="615">
        <v>0</v>
      </c>
      <c r="I55" s="283">
        <f t="shared" si="5"/>
        <v>22.32</v>
      </c>
      <c r="J55" s="283">
        <f t="shared" si="6"/>
        <v>4.2800000000000011</v>
      </c>
      <c r="K55" s="285">
        <f t="shared" si="19"/>
        <v>312.48</v>
      </c>
      <c r="L55" s="286">
        <v>0</v>
      </c>
      <c r="M55" s="286">
        <v>0</v>
      </c>
      <c r="N55" s="285">
        <f t="shared" si="7"/>
        <v>312.48</v>
      </c>
      <c r="O55" s="616">
        <f t="shared" si="20"/>
        <v>0</v>
      </c>
      <c r="P55" s="289">
        <f t="shared" si="8"/>
        <v>0</v>
      </c>
      <c r="Q55" s="290">
        <f t="shared" si="9"/>
        <v>0</v>
      </c>
      <c r="R55" s="290">
        <f t="shared" si="10"/>
        <v>0</v>
      </c>
      <c r="S55" s="290">
        <f t="shared" si="11"/>
        <v>0</v>
      </c>
      <c r="T55" s="290">
        <f t="shared" si="12"/>
        <v>0</v>
      </c>
      <c r="U55" s="291">
        <f t="shared" si="13"/>
        <v>312.48</v>
      </c>
      <c r="V55" s="291">
        <f t="shared" si="21"/>
        <v>-312.48</v>
      </c>
      <c r="W55" s="617">
        <f t="shared" si="14"/>
        <v>0</v>
      </c>
      <c r="X55" s="291">
        <f t="shared" si="22"/>
        <v>-312.48</v>
      </c>
      <c r="Y55" s="170">
        <f t="shared" si="15"/>
        <v>59.92</v>
      </c>
      <c r="Z55" s="291">
        <f t="shared" si="16"/>
        <v>-59.92</v>
      </c>
      <c r="AC55" s="276">
        <f>IF(AI55=1,IF(AC54=MiscData!$F$1,EOMONTH(AC54,-11),EOMONTH(AC54,1)),AC54)</f>
        <v>42035</v>
      </c>
      <c r="AD55" s="275" t="str">
        <f t="shared" si="28"/>
        <v>20140101LGUM_441</v>
      </c>
      <c r="AE55" s="294" t="str">
        <f t="shared" si="29"/>
        <v xml:space="preserve">20140101LS </v>
      </c>
      <c r="AF55" s="618" t="str">
        <f t="shared" si="23"/>
        <v>441</v>
      </c>
      <c r="AH55" s="265">
        <f>MiscData!$X$5</f>
        <v>20140101</v>
      </c>
      <c r="AI55" s="265">
        <f>IF(AI54+1&gt;MiscData!$AC$77,1,AI54+1)</f>
        <v>52</v>
      </c>
      <c r="AJ55" s="265" t="str">
        <f>VLOOKUP(AI55,MiscData!$AC$5:$AD$77,2,FALSE)</f>
        <v>LGUM_441</v>
      </c>
      <c r="AK55" s="265" t="str">
        <f>VLOOKUP(AJ55,MiscData!$AD$5:$AE$77,2,FALSE)</f>
        <v xml:space="preserve">LS </v>
      </c>
      <c r="AT55" s="265" t="s">
        <v>201</v>
      </c>
      <c r="AV55" s="265">
        <v>0</v>
      </c>
    </row>
    <row r="56" spans="1:48">
      <c r="A56" s="275">
        <f t="shared" si="24"/>
        <v>53</v>
      </c>
      <c r="B56" s="276" t="str">
        <f t="shared" si="25"/>
        <v>Jan 2015</v>
      </c>
      <c r="C56" s="277" t="str">
        <f t="shared" si="26"/>
        <v xml:space="preserve">LS </v>
      </c>
      <c r="D56" s="277" t="str">
        <f t="shared" si="27"/>
        <v>LGUM_452</v>
      </c>
      <c r="E56" s="614">
        <f t="shared" si="3"/>
        <v>6156</v>
      </c>
      <c r="F56" s="615">
        <v>0</v>
      </c>
      <c r="G56" s="614">
        <f t="shared" si="4"/>
        <v>0</v>
      </c>
      <c r="H56" s="615">
        <v>0</v>
      </c>
      <c r="I56" s="283">
        <f t="shared" si="5"/>
        <v>12.82</v>
      </c>
      <c r="J56" s="283">
        <f t="shared" si="6"/>
        <v>1.6500000000000004</v>
      </c>
      <c r="K56" s="285">
        <f t="shared" si="19"/>
        <v>78919.92</v>
      </c>
      <c r="L56" s="286">
        <v>0</v>
      </c>
      <c r="M56" s="286">
        <v>0</v>
      </c>
      <c r="N56" s="285">
        <f t="shared" si="7"/>
        <v>78919.92</v>
      </c>
      <c r="O56" s="616">
        <f t="shared" si="20"/>
        <v>0</v>
      </c>
      <c r="P56" s="289">
        <f t="shared" si="8"/>
        <v>0</v>
      </c>
      <c r="Q56" s="290">
        <f t="shared" si="9"/>
        <v>0</v>
      </c>
      <c r="R56" s="290">
        <f t="shared" si="10"/>
        <v>0</v>
      </c>
      <c r="S56" s="290">
        <f t="shared" si="11"/>
        <v>0</v>
      </c>
      <c r="T56" s="290">
        <f t="shared" si="12"/>
        <v>0</v>
      </c>
      <c r="U56" s="291">
        <f t="shared" si="13"/>
        <v>78919.92</v>
      </c>
      <c r="V56" s="291">
        <f t="shared" si="21"/>
        <v>-78919.92</v>
      </c>
      <c r="W56" s="617">
        <f t="shared" si="14"/>
        <v>0</v>
      </c>
      <c r="X56" s="291">
        <f t="shared" si="22"/>
        <v>-78919.92</v>
      </c>
      <c r="Y56" s="170">
        <f t="shared" si="15"/>
        <v>10157.4</v>
      </c>
      <c r="Z56" s="291">
        <f t="shared" si="16"/>
        <v>-10157.4</v>
      </c>
      <c r="AC56" s="276">
        <f>IF(AI56=1,IF(AC55=MiscData!$F$1,EOMONTH(AC55,-11),EOMONTH(AC55,1)),AC55)</f>
        <v>42035</v>
      </c>
      <c r="AD56" s="275" t="str">
        <f t="shared" si="28"/>
        <v>20140101LGUM_452</v>
      </c>
      <c r="AE56" s="294" t="str">
        <f t="shared" si="29"/>
        <v xml:space="preserve">20140101LS </v>
      </c>
      <c r="AF56" s="618" t="str">
        <f t="shared" si="23"/>
        <v>452</v>
      </c>
      <c r="AH56" s="265">
        <f>MiscData!$X$5</f>
        <v>20140101</v>
      </c>
      <c r="AI56" s="265">
        <f>IF(AI55+1&gt;MiscData!$AC$77,1,AI55+1)</f>
        <v>53</v>
      </c>
      <c r="AJ56" s="265" t="str">
        <f>VLOOKUP(AI56,MiscData!$AC$5:$AD$77,2,FALSE)</f>
        <v>LGUM_452</v>
      </c>
      <c r="AK56" s="265" t="str">
        <f>VLOOKUP(AJ56,MiscData!$AD$5:$AE$77,2,FALSE)</f>
        <v xml:space="preserve">LS </v>
      </c>
      <c r="AT56" s="265" t="s">
        <v>202</v>
      </c>
      <c r="AV56" s="265">
        <v>-35.76</v>
      </c>
    </row>
    <row r="57" spans="1:48">
      <c r="A57" s="275">
        <f t="shared" si="24"/>
        <v>54</v>
      </c>
      <c r="B57" s="276" t="str">
        <f t="shared" si="25"/>
        <v>Jan 2015</v>
      </c>
      <c r="C57" s="277" t="str">
        <f t="shared" si="26"/>
        <v xml:space="preserve">LS </v>
      </c>
      <c r="D57" s="277" t="str">
        <f t="shared" si="27"/>
        <v>LGUM_453</v>
      </c>
      <c r="E57" s="614">
        <f t="shared" si="3"/>
        <v>8648</v>
      </c>
      <c r="F57" s="615">
        <v>0</v>
      </c>
      <c r="G57" s="614">
        <f t="shared" si="4"/>
        <v>0</v>
      </c>
      <c r="H57" s="615">
        <v>0</v>
      </c>
      <c r="I57" s="283">
        <f t="shared" si="5"/>
        <v>15.08</v>
      </c>
      <c r="J57" s="283">
        <f t="shared" si="6"/>
        <v>3.9800000000000004</v>
      </c>
      <c r="K57" s="285">
        <f t="shared" si="19"/>
        <v>130411.84</v>
      </c>
      <c r="L57" s="286">
        <v>0</v>
      </c>
      <c r="M57" s="286">
        <v>0</v>
      </c>
      <c r="N57" s="285">
        <f t="shared" si="7"/>
        <v>130411.84</v>
      </c>
      <c r="O57" s="616">
        <f t="shared" si="20"/>
        <v>0</v>
      </c>
      <c r="P57" s="289">
        <f t="shared" si="8"/>
        <v>0</v>
      </c>
      <c r="Q57" s="290">
        <f t="shared" si="9"/>
        <v>0</v>
      </c>
      <c r="R57" s="290">
        <f t="shared" si="10"/>
        <v>0</v>
      </c>
      <c r="S57" s="290">
        <f t="shared" si="11"/>
        <v>0</v>
      </c>
      <c r="T57" s="290">
        <f t="shared" si="12"/>
        <v>0</v>
      </c>
      <c r="U57" s="291">
        <f t="shared" si="13"/>
        <v>130411.84</v>
      </c>
      <c r="V57" s="291">
        <f t="shared" si="21"/>
        <v>-130411.84</v>
      </c>
      <c r="W57" s="617">
        <f t="shared" si="14"/>
        <v>0</v>
      </c>
      <c r="X57" s="291">
        <f t="shared" si="22"/>
        <v>-130411.84</v>
      </c>
      <c r="Y57" s="170">
        <f t="shared" si="15"/>
        <v>34419.040000000001</v>
      </c>
      <c r="Z57" s="291">
        <f t="shared" si="16"/>
        <v>-34419.040000000001</v>
      </c>
      <c r="AC57" s="276">
        <f>IF(AI57=1,IF(AC56=MiscData!$F$1,EOMONTH(AC56,-11),EOMONTH(AC56,1)),AC56)</f>
        <v>42035</v>
      </c>
      <c r="AD57" s="275" t="str">
        <f t="shared" si="28"/>
        <v>20140101LGUM_453</v>
      </c>
      <c r="AE57" s="294" t="str">
        <f t="shared" si="29"/>
        <v xml:space="preserve">20140101LS </v>
      </c>
      <c r="AF57" s="618" t="str">
        <f t="shared" si="23"/>
        <v>453</v>
      </c>
      <c r="AH57" s="265">
        <f>MiscData!$X$5</f>
        <v>20140101</v>
      </c>
      <c r="AI57" s="265">
        <f>IF(AI56+1&gt;MiscData!$AC$77,1,AI56+1)</f>
        <v>54</v>
      </c>
      <c r="AJ57" s="265" t="str">
        <f>VLOOKUP(AI57,MiscData!$AC$5:$AD$77,2,FALSE)</f>
        <v>LGUM_453</v>
      </c>
      <c r="AK57" s="265" t="str">
        <f>VLOOKUP(AJ57,MiscData!$AD$5:$AE$77,2,FALSE)</f>
        <v xml:space="preserve">LS </v>
      </c>
      <c r="AT57" s="265" t="s">
        <v>203</v>
      </c>
      <c r="AV57" s="265">
        <v>-4.6399999999999997</v>
      </c>
    </row>
    <row r="58" spans="1:48">
      <c r="A58" s="275">
        <f t="shared" si="24"/>
        <v>55</v>
      </c>
      <c r="B58" s="276" t="str">
        <f t="shared" si="25"/>
        <v>Jan 2015</v>
      </c>
      <c r="C58" s="277" t="str">
        <f t="shared" si="26"/>
        <v xml:space="preserve">LS </v>
      </c>
      <c r="D58" s="277" t="str">
        <f t="shared" si="27"/>
        <v>LGUM_454</v>
      </c>
      <c r="E58" s="614">
        <f t="shared" si="3"/>
        <v>5467</v>
      </c>
      <c r="F58" s="615">
        <v>0</v>
      </c>
      <c r="G58" s="614">
        <f t="shared" si="4"/>
        <v>0</v>
      </c>
      <c r="H58" s="615">
        <v>0</v>
      </c>
      <c r="I58" s="283">
        <f t="shared" si="5"/>
        <v>17.38</v>
      </c>
      <c r="J58" s="283">
        <f t="shared" si="6"/>
        <v>4.2800000000000011</v>
      </c>
      <c r="K58" s="285">
        <f t="shared" si="19"/>
        <v>95016.46</v>
      </c>
      <c r="L58" s="286">
        <v>0</v>
      </c>
      <c r="M58" s="286">
        <v>0</v>
      </c>
      <c r="N58" s="285">
        <f t="shared" si="7"/>
        <v>95016.46</v>
      </c>
      <c r="O58" s="616">
        <f t="shared" si="20"/>
        <v>0</v>
      </c>
      <c r="P58" s="289">
        <f t="shared" si="8"/>
        <v>0</v>
      </c>
      <c r="Q58" s="290">
        <f t="shared" si="9"/>
        <v>0</v>
      </c>
      <c r="R58" s="290">
        <f t="shared" si="10"/>
        <v>0</v>
      </c>
      <c r="S58" s="290">
        <f t="shared" si="11"/>
        <v>0</v>
      </c>
      <c r="T58" s="290">
        <f t="shared" si="12"/>
        <v>0</v>
      </c>
      <c r="U58" s="291">
        <f t="shared" si="13"/>
        <v>95016.46</v>
      </c>
      <c r="V58" s="291">
        <f t="shared" si="21"/>
        <v>-95016.46</v>
      </c>
      <c r="W58" s="617">
        <f t="shared" si="14"/>
        <v>0</v>
      </c>
      <c r="X58" s="291">
        <f t="shared" si="22"/>
        <v>-95016.46</v>
      </c>
      <c r="Y58" s="170">
        <f t="shared" si="15"/>
        <v>23398.76</v>
      </c>
      <c r="Z58" s="291">
        <f t="shared" si="16"/>
        <v>-23398.76</v>
      </c>
      <c r="AC58" s="276">
        <f>IF(AI58=1,IF(AC57=MiscData!$F$1,EOMONTH(AC57,-11),EOMONTH(AC57,1)),AC57)</f>
        <v>42035</v>
      </c>
      <c r="AD58" s="275" t="str">
        <f t="shared" si="28"/>
        <v>20140101LGUM_454</v>
      </c>
      <c r="AE58" s="294" t="str">
        <f t="shared" si="29"/>
        <v xml:space="preserve">20140101LS </v>
      </c>
      <c r="AF58" s="618" t="str">
        <f t="shared" si="23"/>
        <v>454</v>
      </c>
      <c r="AH58" s="265">
        <f>MiscData!$X$5</f>
        <v>20140101</v>
      </c>
      <c r="AI58" s="265">
        <f>IF(AI57+1&gt;MiscData!$AC$77,1,AI57+1)</f>
        <v>55</v>
      </c>
      <c r="AJ58" s="265" t="str">
        <f>VLOOKUP(AI58,MiscData!$AC$5:$AD$77,2,FALSE)</f>
        <v>LGUM_454</v>
      </c>
      <c r="AK58" s="265" t="str">
        <f>VLOOKUP(AJ58,MiscData!$AD$5:$AE$77,2,FALSE)</f>
        <v xml:space="preserve">LS </v>
      </c>
      <c r="AT58" s="265" t="s">
        <v>204</v>
      </c>
      <c r="AV58" s="265">
        <v>1.99</v>
      </c>
    </row>
    <row r="59" spans="1:48">
      <c r="A59" s="275">
        <f t="shared" si="24"/>
        <v>56</v>
      </c>
      <c r="B59" s="276" t="str">
        <f t="shared" si="25"/>
        <v>Jan 2015</v>
      </c>
      <c r="C59" s="277" t="str">
        <f t="shared" si="26"/>
        <v xml:space="preserve">LS </v>
      </c>
      <c r="D59" s="277" t="str">
        <f t="shared" si="27"/>
        <v>LGUM_455</v>
      </c>
      <c r="E59" s="614">
        <f t="shared" si="3"/>
        <v>398</v>
      </c>
      <c r="F59" s="615">
        <v>0</v>
      </c>
      <c r="G59" s="614">
        <f t="shared" si="4"/>
        <v>0</v>
      </c>
      <c r="H59" s="615">
        <v>0</v>
      </c>
      <c r="I59" s="283">
        <f t="shared" si="5"/>
        <v>13.77</v>
      </c>
      <c r="J59" s="283">
        <f t="shared" si="6"/>
        <v>1.6499999999999986</v>
      </c>
      <c r="K59" s="285">
        <f t="shared" si="19"/>
        <v>5480.46</v>
      </c>
      <c r="L59" s="286">
        <v>0</v>
      </c>
      <c r="M59" s="286">
        <v>0</v>
      </c>
      <c r="N59" s="285">
        <f t="shared" si="7"/>
        <v>5480.46</v>
      </c>
      <c r="O59" s="616">
        <f t="shared" si="20"/>
        <v>0</v>
      </c>
      <c r="P59" s="289">
        <f t="shared" si="8"/>
        <v>0</v>
      </c>
      <c r="Q59" s="290">
        <f t="shared" si="9"/>
        <v>0</v>
      </c>
      <c r="R59" s="290">
        <f t="shared" si="10"/>
        <v>0</v>
      </c>
      <c r="S59" s="290">
        <f t="shared" si="11"/>
        <v>0</v>
      </c>
      <c r="T59" s="290">
        <f t="shared" si="12"/>
        <v>0</v>
      </c>
      <c r="U59" s="291">
        <f t="shared" si="13"/>
        <v>5480.46</v>
      </c>
      <c r="V59" s="291">
        <f t="shared" si="21"/>
        <v>-5480.46</v>
      </c>
      <c r="W59" s="617">
        <f t="shared" si="14"/>
        <v>0</v>
      </c>
      <c r="X59" s="291">
        <f t="shared" si="22"/>
        <v>-5480.46</v>
      </c>
      <c r="Y59" s="170">
        <f t="shared" si="15"/>
        <v>656.7</v>
      </c>
      <c r="Z59" s="291">
        <f t="shared" si="16"/>
        <v>-656.7</v>
      </c>
      <c r="AC59" s="276">
        <f>IF(AI59=1,IF(AC58=MiscData!$F$1,EOMONTH(AC58,-11),EOMONTH(AC58,1)),AC58)</f>
        <v>42035</v>
      </c>
      <c r="AD59" s="275" t="str">
        <f t="shared" si="28"/>
        <v>20140101LGUM_455</v>
      </c>
      <c r="AE59" s="294" t="str">
        <f t="shared" si="29"/>
        <v xml:space="preserve">20140101LS </v>
      </c>
      <c r="AF59" s="618" t="str">
        <f t="shared" si="23"/>
        <v>455</v>
      </c>
      <c r="AH59" s="265">
        <f>MiscData!$X$5</f>
        <v>20140101</v>
      </c>
      <c r="AI59" s="265">
        <f>IF(AI58+1&gt;MiscData!$AC$77,1,AI58+1)</f>
        <v>56</v>
      </c>
      <c r="AJ59" s="265" t="str">
        <f>VLOOKUP(AI59,MiscData!$AC$5:$AD$77,2,FALSE)</f>
        <v>LGUM_455</v>
      </c>
      <c r="AK59" s="265" t="str">
        <f>VLOOKUP(AJ59,MiscData!$AD$5:$AE$77,2,FALSE)</f>
        <v xml:space="preserve">LS </v>
      </c>
      <c r="AT59" s="265" t="s">
        <v>205</v>
      </c>
      <c r="AV59" s="265">
        <v>-17.97</v>
      </c>
    </row>
    <row r="60" spans="1:48">
      <c r="A60" s="275">
        <f t="shared" si="24"/>
        <v>57</v>
      </c>
      <c r="B60" s="276" t="str">
        <f t="shared" si="25"/>
        <v>Jan 2015</v>
      </c>
      <c r="C60" s="277" t="str">
        <f t="shared" si="26"/>
        <v xml:space="preserve">LS </v>
      </c>
      <c r="D60" s="277" t="str">
        <f t="shared" si="27"/>
        <v>LGUM_456</v>
      </c>
      <c r="E60" s="614">
        <f t="shared" si="3"/>
        <v>12528</v>
      </c>
      <c r="F60" s="615">
        <v>0</v>
      </c>
      <c r="G60" s="614">
        <f t="shared" si="4"/>
        <v>0</v>
      </c>
      <c r="H60" s="615">
        <v>0</v>
      </c>
      <c r="I60" s="283">
        <f t="shared" si="5"/>
        <v>18.21</v>
      </c>
      <c r="J60" s="283">
        <f t="shared" si="6"/>
        <v>4.2800000000000011</v>
      </c>
      <c r="K60" s="285">
        <f t="shared" si="19"/>
        <v>228134.88</v>
      </c>
      <c r="L60" s="286">
        <v>0</v>
      </c>
      <c r="M60" s="286">
        <v>0</v>
      </c>
      <c r="N60" s="285">
        <f t="shared" si="7"/>
        <v>228134.88</v>
      </c>
      <c r="O60" s="616">
        <f t="shared" si="20"/>
        <v>0</v>
      </c>
      <c r="P60" s="289">
        <f t="shared" si="8"/>
        <v>0</v>
      </c>
      <c r="Q60" s="290">
        <f t="shared" si="9"/>
        <v>0</v>
      </c>
      <c r="R60" s="290">
        <f t="shared" si="10"/>
        <v>0</v>
      </c>
      <c r="S60" s="290">
        <f t="shared" si="11"/>
        <v>0</v>
      </c>
      <c r="T60" s="290">
        <f t="shared" si="12"/>
        <v>0</v>
      </c>
      <c r="U60" s="291">
        <f t="shared" si="13"/>
        <v>228134.88</v>
      </c>
      <c r="V60" s="291">
        <f t="shared" si="21"/>
        <v>-228134.88</v>
      </c>
      <c r="W60" s="617">
        <f t="shared" si="14"/>
        <v>0</v>
      </c>
      <c r="X60" s="291">
        <f t="shared" si="22"/>
        <v>-228134.88</v>
      </c>
      <c r="Y60" s="170">
        <f t="shared" si="15"/>
        <v>53619.839999999997</v>
      </c>
      <c r="Z60" s="291">
        <f t="shared" si="16"/>
        <v>-53619.839999999997</v>
      </c>
      <c r="AC60" s="276">
        <f>IF(AI60=1,IF(AC59=MiscData!$F$1,EOMONTH(AC59,-11),EOMONTH(AC59,1)),AC59)</f>
        <v>42035</v>
      </c>
      <c r="AD60" s="275" t="str">
        <f t="shared" si="28"/>
        <v>20140101LGUM_456</v>
      </c>
      <c r="AE60" s="294" t="str">
        <f t="shared" si="29"/>
        <v xml:space="preserve">20140101LS </v>
      </c>
      <c r="AF60" s="618" t="str">
        <f t="shared" si="23"/>
        <v>456</v>
      </c>
      <c r="AH60" s="265">
        <f>MiscData!$X$5</f>
        <v>20140101</v>
      </c>
      <c r="AI60" s="265">
        <f>IF(AI59+1&gt;MiscData!$AC$77,1,AI59+1)</f>
        <v>57</v>
      </c>
      <c r="AJ60" s="265" t="str">
        <f>VLOOKUP(AI60,MiscData!$AC$5:$AD$77,2,FALSE)</f>
        <v>LGUM_456</v>
      </c>
      <c r="AK60" s="265" t="str">
        <f>VLOOKUP(AJ60,MiscData!$AD$5:$AE$77,2,FALSE)</f>
        <v xml:space="preserve">LS </v>
      </c>
      <c r="AT60" s="265" t="s">
        <v>206</v>
      </c>
      <c r="AV60" s="265">
        <v>34.5</v>
      </c>
    </row>
    <row r="61" spans="1:48">
      <c r="A61" s="275">
        <f t="shared" si="24"/>
        <v>58</v>
      </c>
      <c r="B61" s="276" t="str">
        <f t="shared" si="25"/>
        <v>Jan 2015</v>
      </c>
      <c r="C61" s="277" t="str">
        <f t="shared" si="26"/>
        <v xml:space="preserve">LS </v>
      </c>
      <c r="D61" s="277" t="str">
        <f t="shared" si="27"/>
        <v>LGUM_457</v>
      </c>
      <c r="E61" s="614">
        <f t="shared" si="3"/>
        <v>3170</v>
      </c>
      <c r="F61" s="615">
        <v>0</v>
      </c>
      <c r="G61" s="614">
        <f t="shared" si="4"/>
        <v>0</v>
      </c>
      <c r="H61" s="615">
        <v>0</v>
      </c>
      <c r="I61" s="283">
        <f t="shared" si="5"/>
        <v>10.86</v>
      </c>
      <c r="J61" s="283">
        <f t="shared" si="6"/>
        <v>1.0599999999999987</v>
      </c>
      <c r="K61" s="285">
        <f t="shared" si="19"/>
        <v>34426.199999999997</v>
      </c>
      <c r="L61" s="286">
        <v>0</v>
      </c>
      <c r="M61" s="286">
        <v>0</v>
      </c>
      <c r="N61" s="285">
        <f t="shared" si="7"/>
        <v>34426.199999999997</v>
      </c>
      <c r="O61" s="616">
        <f t="shared" si="20"/>
        <v>0</v>
      </c>
      <c r="P61" s="289">
        <f t="shared" si="8"/>
        <v>0</v>
      </c>
      <c r="Q61" s="290">
        <f t="shared" si="9"/>
        <v>0</v>
      </c>
      <c r="R61" s="290">
        <f t="shared" si="10"/>
        <v>0</v>
      </c>
      <c r="S61" s="290">
        <f t="shared" si="11"/>
        <v>0</v>
      </c>
      <c r="T61" s="290">
        <f t="shared" si="12"/>
        <v>0</v>
      </c>
      <c r="U61" s="291">
        <f t="shared" si="13"/>
        <v>34426.199999999997</v>
      </c>
      <c r="V61" s="291">
        <f t="shared" si="21"/>
        <v>-34426.199999999997</v>
      </c>
      <c r="W61" s="617">
        <f t="shared" si="14"/>
        <v>0</v>
      </c>
      <c r="X61" s="291">
        <f t="shared" si="22"/>
        <v>-34426.199999999997</v>
      </c>
      <c r="Y61" s="170">
        <f t="shared" si="15"/>
        <v>3360.2</v>
      </c>
      <c r="Z61" s="291">
        <f t="shared" si="16"/>
        <v>-3360.2</v>
      </c>
      <c r="AC61" s="276">
        <f>IF(AI61=1,IF(AC60=MiscData!$F$1,EOMONTH(AC60,-11),EOMONTH(AC60,1)),AC60)</f>
        <v>42035</v>
      </c>
      <c r="AD61" s="275" t="str">
        <f t="shared" si="28"/>
        <v>20140101LGUM_457</v>
      </c>
      <c r="AE61" s="294" t="str">
        <f t="shared" si="29"/>
        <v xml:space="preserve">20140101LS </v>
      </c>
      <c r="AF61" s="618" t="str">
        <f t="shared" si="23"/>
        <v>457</v>
      </c>
      <c r="AH61" s="265">
        <f>MiscData!$X$5</f>
        <v>20140101</v>
      </c>
      <c r="AI61" s="265">
        <f>IF(AI60+1&gt;MiscData!$AC$77,1,AI60+1)</f>
        <v>58</v>
      </c>
      <c r="AJ61" s="265" t="str">
        <f>VLOOKUP(AI61,MiscData!$AC$5:$AD$77,2,FALSE)</f>
        <v>LGUM_457</v>
      </c>
      <c r="AK61" s="265" t="str">
        <f>VLOOKUP(AJ61,MiscData!$AD$5:$AE$77,2,FALSE)</f>
        <v xml:space="preserve">LS </v>
      </c>
      <c r="AT61" s="265" t="s">
        <v>207</v>
      </c>
      <c r="AV61" s="265">
        <v>33.200000000000003</v>
      </c>
    </row>
    <row r="62" spans="1:48">
      <c r="A62" s="275">
        <f t="shared" si="24"/>
        <v>59</v>
      </c>
      <c r="B62" s="276" t="str">
        <f t="shared" si="25"/>
        <v>Jan 2015</v>
      </c>
      <c r="C62" s="277" t="str">
        <f t="shared" si="26"/>
        <v>RLS</v>
      </c>
      <c r="D62" s="277" t="str">
        <f t="shared" si="27"/>
        <v>LGUM_458</v>
      </c>
      <c r="E62" s="614">
        <f t="shared" si="3"/>
        <v>5</v>
      </c>
      <c r="F62" s="615">
        <v>0</v>
      </c>
      <c r="G62" s="614">
        <f t="shared" si="4"/>
        <v>0</v>
      </c>
      <c r="H62" s="615">
        <v>0</v>
      </c>
      <c r="I62" s="283">
        <f t="shared" si="5"/>
        <v>11.13</v>
      </c>
      <c r="J62" s="283">
        <f t="shared" si="6"/>
        <v>3.7700000000000014</v>
      </c>
      <c r="K62" s="285">
        <f t="shared" si="19"/>
        <v>55.65</v>
      </c>
      <c r="L62" s="286">
        <v>0</v>
      </c>
      <c r="M62" s="286">
        <v>0</v>
      </c>
      <c r="N62" s="285">
        <f t="shared" si="7"/>
        <v>55.65</v>
      </c>
      <c r="O62" s="616">
        <f t="shared" si="20"/>
        <v>0</v>
      </c>
      <c r="P62" s="289">
        <f t="shared" si="8"/>
        <v>0</v>
      </c>
      <c r="Q62" s="290">
        <f t="shared" si="9"/>
        <v>0</v>
      </c>
      <c r="R62" s="290">
        <f t="shared" si="10"/>
        <v>0</v>
      </c>
      <c r="S62" s="290">
        <f t="shared" si="11"/>
        <v>0</v>
      </c>
      <c r="T62" s="290">
        <f t="shared" si="12"/>
        <v>0</v>
      </c>
      <c r="U62" s="291">
        <f t="shared" si="13"/>
        <v>55.65</v>
      </c>
      <c r="V62" s="291">
        <f t="shared" si="21"/>
        <v>-55.65</v>
      </c>
      <c r="W62" s="617">
        <f t="shared" si="14"/>
        <v>0</v>
      </c>
      <c r="X62" s="291">
        <f t="shared" si="22"/>
        <v>-55.65</v>
      </c>
      <c r="Y62" s="170">
        <f t="shared" si="15"/>
        <v>18.850000000000001</v>
      </c>
      <c r="Z62" s="291">
        <f t="shared" si="16"/>
        <v>-18.850000000000001</v>
      </c>
      <c r="AC62" s="276">
        <f>IF(AI62=1,IF(AC61=MiscData!$F$1,EOMONTH(AC61,-11),EOMONTH(AC61,1)),AC61)</f>
        <v>42035</v>
      </c>
      <c r="AD62" s="275" t="str">
        <f t="shared" si="28"/>
        <v>20140101LGUM_458</v>
      </c>
      <c r="AE62" s="294" t="str">
        <f t="shared" si="29"/>
        <v>20140101RLS</v>
      </c>
      <c r="AF62" s="618" t="str">
        <f t="shared" si="23"/>
        <v>458</v>
      </c>
      <c r="AH62" s="265">
        <f>MiscData!$X$5</f>
        <v>20140101</v>
      </c>
      <c r="AI62" s="265">
        <f>IF(AI61+1&gt;MiscData!$AC$77,1,AI61+1)</f>
        <v>59</v>
      </c>
      <c r="AJ62" s="265" t="str">
        <f>VLOOKUP(AI62,MiscData!$AC$5:$AD$77,2,FALSE)</f>
        <v>LGUM_458</v>
      </c>
      <c r="AK62" s="265" t="str">
        <f>VLOOKUP(AJ62,MiscData!$AD$5:$AE$77,2,FALSE)</f>
        <v>RLS</v>
      </c>
      <c r="AT62" s="265" t="s">
        <v>208</v>
      </c>
      <c r="AV62" s="265">
        <v>-81.06</v>
      </c>
    </row>
    <row r="63" spans="1:48">
      <c r="A63" s="275">
        <f t="shared" si="24"/>
        <v>60</v>
      </c>
      <c r="B63" s="276" t="str">
        <f t="shared" si="25"/>
        <v>Jan 2015</v>
      </c>
      <c r="C63" s="277" t="str">
        <f t="shared" si="26"/>
        <v xml:space="preserve">LS </v>
      </c>
      <c r="D63" s="277" t="str">
        <f t="shared" si="27"/>
        <v>LGUM_470</v>
      </c>
      <c r="E63" s="614">
        <f t="shared" si="3"/>
        <v>21</v>
      </c>
      <c r="F63" s="615">
        <v>0</v>
      </c>
      <c r="G63" s="614">
        <f t="shared" si="4"/>
        <v>0</v>
      </c>
      <c r="H63" s="615">
        <v>0</v>
      </c>
      <c r="I63" s="283">
        <f t="shared" si="5"/>
        <v>12.79</v>
      </c>
      <c r="J63" s="283">
        <f t="shared" si="6"/>
        <v>1.3699999999999992</v>
      </c>
      <c r="K63" s="285">
        <f t="shared" si="19"/>
        <v>268.58999999999997</v>
      </c>
      <c r="L63" s="286">
        <v>0</v>
      </c>
      <c r="M63" s="286">
        <v>0</v>
      </c>
      <c r="N63" s="285">
        <f t="shared" si="7"/>
        <v>268.58999999999997</v>
      </c>
      <c r="O63" s="616">
        <f t="shared" si="20"/>
        <v>0</v>
      </c>
      <c r="P63" s="289">
        <f t="shared" si="8"/>
        <v>0</v>
      </c>
      <c r="Q63" s="290">
        <f t="shared" si="9"/>
        <v>0</v>
      </c>
      <c r="R63" s="290">
        <f t="shared" si="10"/>
        <v>0</v>
      </c>
      <c r="S63" s="290">
        <f t="shared" si="11"/>
        <v>0</v>
      </c>
      <c r="T63" s="290">
        <f t="shared" si="12"/>
        <v>0</v>
      </c>
      <c r="U63" s="291">
        <f t="shared" si="13"/>
        <v>268.58999999999997</v>
      </c>
      <c r="V63" s="291">
        <f t="shared" si="21"/>
        <v>-268.58999999999997</v>
      </c>
      <c r="W63" s="617">
        <f t="shared" si="14"/>
        <v>0</v>
      </c>
      <c r="X63" s="291">
        <f t="shared" si="22"/>
        <v>-268.58999999999997</v>
      </c>
      <c r="Y63" s="170">
        <f t="shared" si="15"/>
        <v>28.77</v>
      </c>
      <c r="Z63" s="291">
        <f t="shared" si="16"/>
        <v>-28.77</v>
      </c>
      <c r="AC63" s="276">
        <f>IF(AI63=1,IF(AC62=MiscData!$F$1,EOMONTH(AC62,-11),EOMONTH(AC62,1)),AC62)</f>
        <v>42035</v>
      </c>
      <c r="AD63" s="275" t="str">
        <f t="shared" si="28"/>
        <v>20140101LGUM_470</v>
      </c>
      <c r="AE63" s="294" t="str">
        <f t="shared" si="29"/>
        <v xml:space="preserve">20140101LS </v>
      </c>
      <c r="AF63" s="618" t="str">
        <f t="shared" si="23"/>
        <v>470</v>
      </c>
      <c r="AH63" s="265">
        <f>MiscData!$X$5</f>
        <v>20140101</v>
      </c>
      <c r="AI63" s="265">
        <f>IF(AI62+1&gt;MiscData!$AC$77,1,AI62+1)</f>
        <v>60</v>
      </c>
      <c r="AJ63" s="265" t="str">
        <f>VLOOKUP(AI63,MiscData!$AC$5:$AD$77,2,FALSE)</f>
        <v>LGUM_470</v>
      </c>
      <c r="AK63" s="265" t="str">
        <f>VLOOKUP(AJ63,MiscData!$AD$5:$AE$77,2,FALSE)</f>
        <v xml:space="preserve">LS </v>
      </c>
      <c r="AT63" s="265" t="s">
        <v>209</v>
      </c>
      <c r="AV63" s="265">
        <v>0</v>
      </c>
    </row>
    <row r="64" spans="1:48">
      <c r="A64" s="275">
        <f t="shared" si="24"/>
        <v>61</v>
      </c>
      <c r="B64" s="276" t="str">
        <f t="shared" si="25"/>
        <v>Jan 2015</v>
      </c>
      <c r="C64" s="277" t="str">
        <f t="shared" si="26"/>
        <v>RLS</v>
      </c>
      <c r="D64" s="277" t="str">
        <f t="shared" si="27"/>
        <v>LGUM_471</v>
      </c>
      <c r="E64" s="614">
        <f t="shared" si="3"/>
        <v>2</v>
      </c>
      <c r="F64" s="615">
        <v>0</v>
      </c>
      <c r="G64" s="614">
        <f t="shared" si="4"/>
        <v>0</v>
      </c>
      <c r="H64" s="615">
        <v>0</v>
      </c>
      <c r="I64" s="283">
        <f t="shared" si="5"/>
        <v>15.07</v>
      </c>
      <c r="J64" s="283">
        <f t="shared" si="6"/>
        <v>1.3699999999999992</v>
      </c>
      <c r="K64" s="285">
        <f t="shared" si="19"/>
        <v>30.14</v>
      </c>
      <c r="L64" s="286">
        <v>0</v>
      </c>
      <c r="M64" s="286">
        <v>0</v>
      </c>
      <c r="N64" s="285">
        <f t="shared" si="7"/>
        <v>30.14</v>
      </c>
      <c r="O64" s="616">
        <f t="shared" si="20"/>
        <v>0</v>
      </c>
      <c r="P64" s="289">
        <f t="shared" si="8"/>
        <v>0</v>
      </c>
      <c r="Q64" s="290">
        <f t="shared" si="9"/>
        <v>0</v>
      </c>
      <c r="R64" s="290">
        <f t="shared" si="10"/>
        <v>0</v>
      </c>
      <c r="S64" s="290">
        <f t="shared" si="11"/>
        <v>0</v>
      </c>
      <c r="T64" s="290">
        <f t="shared" si="12"/>
        <v>0</v>
      </c>
      <c r="U64" s="291">
        <f t="shared" si="13"/>
        <v>30.14</v>
      </c>
      <c r="V64" s="291">
        <f t="shared" si="21"/>
        <v>-30.14</v>
      </c>
      <c r="W64" s="617">
        <f t="shared" si="14"/>
        <v>0</v>
      </c>
      <c r="X64" s="291">
        <f t="shared" si="22"/>
        <v>-30.14</v>
      </c>
      <c r="Y64" s="170">
        <f t="shared" si="15"/>
        <v>2.74</v>
      </c>
      <c r="Z64" s="291">
        <f t="shared" si="16"/>
        <v>-2.74</v>
      </c>
      <c r="AC64" s="276">
        <f>IF(AI64=1,IF(AC63=MiscData!$F$1,EOMONTH(AC63,-11),EOMONTH(AC63,1)),AC63)</f>
        <v>42035</v>
      </c>
      <c r="AD64" s="275" t="str">
        <f t="shared" si="28"/>
        <v>20140101LGUM_471</v>
      </c>
      <c r="AE64" s="294" t="str">
        <f t="shared" si="29"/>
        <v>20140101RLS</v>
      </c>
      <c r="AF64" s="618" t="str">
        <f t="shared" si="23"/>
        <v>471</v>
      </c>
      <c r="AH64" s="265">
        <f>MiscData!$X$5</f>
        <v>20140101</v>
      </c>
      <c r="AI64" s="265">
        <f>IF(AI63+1&gt;MiscData!$AC$77,1,AI63+1)</f>
        <v>61</v>
      </c>
      <c r="AJ64" s="265" t="str">
        <f>VLOOKUP(AI64,MiscData!$AC$5:$AD$77,2,FALSE)</f>
        <v>LGUM_471</v>
      </c>
      <c r="AK64" s="265" t="str">
        <f>VLOOKUP(AJ64,MiscData!$AD$5:$AE$77,2,FALSE)</f>
        <v>RLS</v>
      </c>
      <c r="AT64" s="265" t="s">
        <v>210</v>
      </c>
      <c r="AV64" s="265">
        <v>-157.97999999999999</v>
      </c>
    </row>
    <row r="65" spans="1:48">
      <c r="A65" s="275">
        <f t="shared" si="24"/>
        <v>62</v>
      </c>
      <c r="B65" s="276" t="str">
        <f t="shared" si="25"/>
        <v>Jan 2015</v>
      </c>
      <c r="C65" s="277" t="str">
        <f t="shared" si="26"/>
        <v xml:space="preserve">LS </v>
      </c>
      <c r="D65" s="277" t="str">
        <f t="shared" si="27"/>
        <v>LGUM_473</v>
      </c>
      <c r="E65" s="614">
        <f t="shared" si="3"/>
        <v>284</v>
      </c>
      <c r="F65" s="615">
        <v>0</v>
      </c>
      <c r="G65" s="614">
        <f t="shared" si="4"/>
        <v>0</v>
      </c>
      <c r="H65" s="615">
        <v>0</v>
      </c>
      <c r="I65" s="283">
        <f t="shared" si="5"/>
        <v>18.68</v>
      </c>
      <c r="J65" s="283">
        <f t="shared" si="6"/>
        <v>3.1799999999999979</v>
      </c>
      <c r="K65" s="285">
        <f t="shared" si="19"/>
        <v>5305.12</v>
      </c>
      <c r="L65" s="286">
        <v>0</v>
      </c>
      <c r="M65" s="286">
        <v>0</v>
      </c>
      <c r="N65" s="285">
        <f t="shared" si="7"/>
        <v>5305.12</v>
      </c>
      <c r="O65" s="616">
        <f t="shared" si="20"/>
        <v>0</v>
      </c>
      <c r="P65" s="289">
        <f t="shared" si="8"/>
        <v>0</v>
      </c>
      <c r="Q65" s="290">
        <f t="shared" si="9"/>
        <v>0</v>
      </c>
      <c r="R65" s="290">
        <f t="shared" si="10"/>
        <v>0</v>
      </c>
      <c r="S65" s="290">
        <f t="shared" si="11"/>
        <v>0</v>
      </c>
      <c r="T65" s="290">
        <f t="shared" si="12"/>
        <v>0</v>
      </c>
      <c r="U65" s="291">
        <f t="shared" si="13"/>
        <v>5305.12</v>
      </c>
      <c r="V65" s="291">
        <f t="shared" si="21"/>
        <v>-5305.12</v>
      </c>
      <c r="W65" s="617">
        <f t="shared" si="14"/>
        <v>0</v>
      </c>
      <c r="X65" s="291">
        <f t="shared" si="22"/>
        <v>-5305.12</v>
      </c>
      <c r="Y65" s="170">
        <f t="shared" si="15"/>
        <v>903.12</v>
      </c>
      <c r="Z65" s="291">
        <f t="shared" si="16"/>
        <v>-903.12</v>
      </c>
      <c r="AC65" s="276">
        <f>IF(AI65=1,IF(AC64=MiscData!$F$1,EOMONTH(AC64,-11),EOMONTH(AC64,1)),AC64)</f>
        <v>42035</v>
      </c>
      <c r="AD65" s="275" t="str">
        <f t="shared" si="28"/>
        <v>20140101LGUM_473</v>
      </c>
      <c r="AE65" s="294" t="str">
        <f t="shared" si="29"/>
        <v xml:space="preserve">20140101LS </v>
      </c>
      <c r="AF65" s="618" t="str">
        <f t="shared" si="23"/>
        <v>473</v>
      </c>
      <c r="AH65" s="265">
        <f>MiscData!$X$5</f>
        <v>20140101</v>
      </c>
      <c r="AI65" s="265">
        <f>IF(AI64+1&gt;MiscData!$AC$77,1,AI64+1)</f>
        <v>62</v>
      </c>
      <c r="AJ65" s="265" t="str">
        <f>VLOOKUP(AI65,MiscData!$AC$5:$AD$77,2,FALSE)</f>
        <v>LGUM_473</v>
      </c>
      <c r="AK65" s="265" t="str">
        <f>VLOOKUP(AJ65,MiscData!$AD$5:$AE$77,2,FALSE)</f>
        <v xml:space="preserve">LS </v>
      </c>
      <c r="AT65" s="265" t="s">
        <v>211</v>
      </c>
      <c r="AV65" s="265">
        <v>-5.25</v>
      </c>
    </row>
    <row r="66" spans="1:48">
      <c r="A66" s="275">
        <f t="shared" si="24"/>
        <v>63</v>
      </c>
      <c r="B66" s="276" t="str">
        <f t="shared" si="25"/>
        <v>Jan 2015</v>
      </c>
      <c r="C66" s="277" t="str">
        <f t="shared" si="26"/>
        <v>RLS</v>
      </c>
      <c r="D66" s="277" t="str">
        <f t="shared" si="27"/>
        <v>LGUM_474</v>
      </c>
      <c r="E66" s="614">
        <f t="shared" si="3"/>
        <v>51</v>
      </c>
      <c r="F66" s="615">
        <v>0</v>
      </c>
      <c r="G66" s="614">
        <f t="shared" si="4"/>
        <v>0</v>
      </c>
      <c r="H66" s="615">
        <v>0</v>
      </c>
      <c r="I66" s="283">
        <f t="shared" si="5"/>
        <v>20.970000000000002</v>
      </c>
      <c r="J66" s="283">
        <f t="shared" si="6"/>
        <v>3.1799999999999997</v>
      </c>
      <c r="K66" s="285">
        <f t="shared" si="19"/>
        <v>1069.47</v>
      </c>
      <c r="L66" s="286">
        <v>0</v>
      </c>
      <c r="M66" s="286">
        <v>0</v>
      </c>
      <c r="N66" s="285">
        <f t="shared" si="7"/>
        <v>1069.47</v>
      </c>
      <c r="O66" s="616">
        <f t="shared" si="20"/>
        <v>0</v>
      </c>
      <c r="P66" s="289">
        <f t="shared" si="8"/>
        <v>0</v>
      </c>
      <c r="Q66" s="290">
        <f t="shared" si="9"/>
        <v>0</v>
      </c>
      <c r="R66" s="290">
        <f t="shared" si="10"/>
        <v>0</v>
      </c>
      <c r="S66" s="290">
        <f t="shared" si="11"/>
        <v>0</v>
      </c>
      <c r="T66" s="290">
        <f t="shared" si="12"/>
        <v>0</v>
      </c>
      <c r="U66" s="291">
        <f t="shared" si="13"/>
        <v>1069.47</v>
      </c>
      <c r="V66" s="291">
        <f t="shared" si="21"/>
        <v>-1069.47</v>
      </c>
      <c r="W66" s="617">
        <f t="shared" si="14"/>
        <v>0</v>
      </c>
      <c r="X66" s="291">
        <f t="shared" si="22"/>
        <v>-1069.47</v>
      </c>
      <c r="Y66" s="170">
        <f t="shared" si="15"/>
        <v>162.18</v>
      </c>
      <c r="Z66" s="291">
        <f t="shared" si="16"/>
        <v>-162.18</v>
      </c>
      <c r="AC66" s="276">
        <f>IF(AI66=1,IF(AC65=MiscData!$F$1,EOMONTH(AC65,-11),EOMONTH(AC65,1)),AC65)</f>
        <v>42035</v>
      </c>
      <c r="AD66" s="275" t="str">
        <f t="shared" si="28"/>
        <v>20140101LGUM_474</v>
      </c>
      <c r="AE66" s="294" t="str">
        <f t="shared" si="29"/>
        <v>20140101RLS</v>
      </c>
      <c r="AF66" s="618" t="str">
        <f t="shared" si="23"/>
        <v>474</v>
      </c>
      <c r="AH66" s="265">
        <f>MiscData!$X$5</f>
        <v>20140101</v>
      </c>
      <c r="AI66" s="265">
        <f>IF(AI65+1&gt;MiscData!$AC$77,1,AI65+1)</f>
        <v>63</v>
      </c>
      <c r="AJ66" s="265" t="str">
        <f>VLOOKUP(AI66,MiscData!$AC$5:$AD$77,2,FALSE)</f>
        <v>LGUM_474</v>
      </c>
      <c r="AK66" s="265" t="str">
        <f>VLOOKUP(AJ66,MiscData!$AD$5:$AE$77,2,FALSE)</f>
        <v>RLS</v>
      </c>
      <c r="AT66" s="265" t="s">
        <v>212</v>
      </c>
      <c r="AV66" s="265">
        <v>0</v>
      </c>
    </row>
    <row r="67" spans="1:48">
      <c r="A67" s="275">
        <f t="shared" si="24"/>
        <v>64</v>
      </c>
      <c r="B67" s="276" t="str">
        <f t="shared" si="25"/>
        <v>Jan 2015</v>
      </c>
      <c r="C67" s="277" t="str">
        <f t="shared" si="26"/>
        <v>RLS</v>
      </c>
      <c r="D67" s="277" t="str">
        <f t="shared" si="27"/>
        <v>LGUM_475</v>
      </c>
      <c r="E67" s="614">
        <f t="shared" si="3"/>
        <v>2</v>
      </c>
      <c r="F67" s="615">
        <v>0</v>
      </c>
      <c r="G67" s="614">
        <f t="shared" si="4"/>
        <v>0</v>
      </c>
      <c r="H67" s="615">
        <v>0</v>
      </c>
      <c r="I67" s="283">
        <f t="shared" si="5"/>
        <v>28.42</v>
      </c>
      <c r="J67" s="283">
        <f t="shared" si="6"/>
        <v>3.1800000000000033</v>
      </c>
      <c r="K67" s="285">
        <f t="shared" si="19"/>
        <v>56.84</v>
      </c>
      <c r="L67" s="286">
        <v>0</v>
      </c>
      <c r="M67" s="286">
        <v>0</v>
      </c>
      <c r="N67" s="285">
        <f t="shared" si="7"/>
        <v>56.84</v>
      </c>
      <c r="O67" s="616">
        <f t="shared" si="20"/>
        <v>0</v>
      </c>
      <c r="P67" s="289">
        <f t="shared" si="8"/>
        <v>0</v>
      </c>
      <c r="Q67" s="290">
        <f t="shared" si="9"/>
        <v>0</v>
      </c>
      <c r="R67" s="290">
        <f t="shared" si="10"/>
        <v>0</v>
      </c>
      <c r="S67" s="290">
        <f t="shared" si="11"/>
        <v>0</v>
      </c>
      <c r="T67" s="290">
        <f t="shared" si="12"/>
        <v>0</v>
      </c>
      <c r="U67" s="291">
        <f t="shared" si="13"/>
        <v>56.84</v>
      </c>
      <c r="V67" s="291">
        <f t="shared" si="21"/>
        <v>-56.84</v>
      </c>
      <c r="W67" s="617">
        <f t="shared" si="14"/>
        <v>0</v>
      </c>
      <c r="X67" s="291">
        <f t="shared" si="22"/>
        <v>-56.84</v>
      </c>
      <c r="Y67" s="170">
        <f t="shared" si="15"/>
        <v>6.36</v>
      </c>
      <c r="Z67" s="291">
        <f t="shared" si="16"/>
        <v>-6.36</v>
      </c>
      <c r="AC67" s="276">
        <f>IF(AI67=1,IF(AC66=MiscData!$F$1,EOMONTH(AC66,-11),EOMONTH(AC66,1)),AC66)</f>
        <v>42035</v>
      </c>
      <c r="AD67" s="275" t="str">
        <f t="shared" si="28"/>
        <v>20140101LGUM_475</v>
      </c>
      <c r="AE67" s="294" t="str">
        <f t="shared" si="29"/>
        <v>20140101RLS</v>
      </c>
      <c r="AF67" s="618" t="str">
        <f t="shared" si="23"/>
        <v>475</v>
      </c>
      <c r="AH67" s="265">
        <f>MiscData!$X$5</f>
        <v>20140101</v>
      </c>
      <c r="AI67" s="265">
        <f>IF(AI66+1&gt;MiscData!$AC$77,1,AI66+1)</f>
        <v>64</v>
      </c>
      <c r="AJ67" s="265" t="str">
        <f>VLOOKUP(AI67,MiscData!$AC$5:$AD$77,2,FALSE)</f>
        <v>LGUM_475</v>
      </c>
      <c r="AK67" s="265" t="str">
        <f>VLOOKUP(AJ67,MiscData!$AD$5:$AE$77,2,FALSE)</f>
        <v>RLS</v>
      </c>
      <c r="AT67" s="265" t="s">
        <v>213</v>
      </c>
      <c r="AV67" s="265">
        <v>0</v>
      </c>
    </row>
    <row r="68" spans="1:48">
      <c r="A68" s="275">
        <f t="shared" si="24"/>
        <v>65</v>
      </c>
      <c r="B68" s="276" t="str">
        <f t="shared" si="25"/>
        <v>Jan 2015</v>
      </c>
      <c r="C68" s="277" t="str">
        <f t="shared" si="26"/>
        <v xml:space="preserve">LS </v>
      </c>
      <c r="D68" s="277" t="str">
        <f t="shared" si="27"/>
        <v>LGUM_476</v>
      </c>
      <c r="E68" s="614">
        <f t="shared" ref="E68:E131" si="30">SUMIFS(L_1055_Count_Total,L_1055_Revenue_Month,$B68,L_1055_RateCategory,$D68)</f>
        <v>350</v>
      </c>
      <c r="F68" s="615">
        <v>0</v>
      </c>
      <c r="G68" s="614">
        <f t="shared" ref="G68:G131" si="31">SUMIFS(L_SBR_KWH,L_SBR_Revenue_Month,$B68,L_SBR_Rate_Category,$D68)</f>
        <v>0</v>
      </c>
      <c r="H68" s="615">
        <v>0</v>
      </c>
      <c r="I68" s="283">
        <f t="shared" ref="I68:I131" si="32">SUMIF(L_LightingRates_Tariff_Rate_Category,$AD68,L_LightingRates_UnitCharge)</f>
        <v>39.6</v>
      </c>
      <c r="J68" s="283">
        <f t="shared" ref="J68:J131" si="33">SUMIF(L_LightingRates_Tariff_Rate_Category,$AD68,L_LightingRates_FAC_Rate)</f>
        <v>9.8100000000000023</v>
      </c>
      <c r="K68" s="285">
        <f t="shared" ref="K68:K131" si="34">ROUND(($E68+$F68)*$I68,2)</f>
        <v>13860</v>
      </c>
      <c r="L68" s="286">
        <v>0</v>
      </c>
      <c r="M68" s="286">
        <v>0</v>
      </c>
      <c r="N68" s="285">
        <f t="shared" ref="N68:N131" si="35">SUM(K68:M68)</f>
        <v>13860</v>
      </c>
      <c r="O68" s="616">
        <f t="shared" ref="O68:O131" si="36">T68-SUM(Q68:S68)-SUMIFS(L_1055_Revenue_Poles_Test_Period,L_1055_RateCategory,$D68,L_1055_Revenue_Month,$B68)</f>
        <v>0</v>
      </c>
      <c r="P68" s="289">
        <f t="shared" ref="P68:P131" si="37">IF(AND(N68=0,O68=0),1,IF(N68=0,0,O68/N68))</f>
        <v>0</v>
      </c>
      <c r="Q68" s="290">
        <f t="shared" ref="Q68:Q131" si="38">SUMIFS(L_SBR_FAC,L_SBR_Revenue_Month,$B68,L_SBR_Rate_Category,$D68)</f>
        <v>0</v>
      </c>
      <c r="R68" s="290">
        <f t="shared" ref="R68:R131" si="39">SUMIFS(L_SBR_ECR,L_SBR_Revenue_Month,$B68,L_SBR_Rate_Category,$D68)</f>
        <v>0</v>
      </c>
      <c r="S68" s="290">
        <f t="shared" ref="S68:S131" si="40">SUMIFS(L_SBR_MSR,L_SBR_Revenue_Month,$B68,L_SBR_Rate_Category,$D68)</f>
        <v>0</v>
      </c>
      <c r="T68" s="290">
        <f t="shared" ref="T68:T131" si="41">SUMIFS(L_SBR_Revenue_Total,L_SBR_Revenue_Month,$B68,L_SBR_Rate_Category,$D68)</f>
        <v>0</v>
      </c>
      <c r="U68" s="291">
        <f t="shared" ref="U68:U131" si="42">SUM(N68,Q68:S68)</f>
        <v>13860</v>
      </c>
      <c r="V68" s="291">
        <f t="shared" si="21"/>
        <v>-13860</v>
      </c>
      <c r="W68" s="617">
        <f t="shared" ref="W68:W75" si="43">ROUND(SUMIFS(L_1055_Revenue_Pole_Total,L_1055_Revenue_Month,$B68,L_1055_RateCategory,$D68),2)</f>
        <v>0</v>
      </c>
      <c r="X68" s="291">
        <f t="shared" si="22"/>
        <v>-13860</v>
      </c>
      <c r="Y68" s="170">
        <f t="shared" ref="Y68:Y131" si="44">ROUND(E68*J68,2)</f>
        <v>3433.5</v>
      </c>
      <c r="Z68" s="291">
        <f t="shared" ref="Z68:Z131" si="45">O68-Y68</f>
        <v>-3433.5</v>
      </c>
      <c r="AC68" s="276">
        <f>IF(AI68=1,IF(AC67=MiscData!$F$1,EOMONTH(AC67,-11),EOMONTH(AC67,1)),AC67)</f>
        <v>42035</v>
      </c>
      <c r="AD68" s="275" t="str">
        <f t="shared" si="28"/>
        <v>20140101LGUM_476</v>
      </c>
      <c r="AE68" s="294" t="str">
        <f t="shared" si="29"/>
        <v xml:space="preserve">20140101LS </v>
      </c>
      <c r="AF68" s="618" t="str">
        <f t="shared" si="23"/>
        <v>476</v>
      </c>
      <c r="AH68" s="265">
        <f>MiscData!$X$5</f>
        <v>20140101</v>
      </c>
      <c r="AI68" s="265">
        <f>IF(AI67+1&gt;MiscData!$AC$77,1,AI67+1)</f>
        <v>65</v>
      </c>
      <c r="AJ68" s="265" t="str">
        <f>VLOOKUP(AI68,MiscData!$AC$5:$AD$77,2,FALSE)</f>
        <v>LGUM_476</v>
      </c>
      <c r="AK68" s="265" t="str">
        <f>VLOOKUP(AJ68,MiscData!$AD$5:$AE$77,2,FALSE)</f>
        <v xml:space="preserve">LS </v>
      </c>
      <c r="AT68" s="265" t="s">
        <v>522</v>
      </c>
      <c r="AV68" s="265">
        <v>0</v>
      </c>
    </row>
    <row r="69" spans="1:48">
      <c r="A69" s="275">
        <f t="shared" si="24"/>
        <v>66</v>
      </c>
      <c r="B69" s="276" t="str">
        <f t="shared" si="25"/>
        <v>Jan 2015</v>
      </c>
      <c r="C69" s="277" t="str">
        <f t="shared" si="26"/>
        <v>RLS</v>
      </c>
      <c r="D69" s="277" t="str">
        <f t="shared" si="27"/>
        <v>LGUM_477</v>
      </c>
      <c r="E69" s="614">
        <f t="shared" si="30"/>
        <v>58</v>
      </c>
      <c r="F69" s="615">
        <v>0</v>
      </c>
      <c r="G69" s="614">
        <f t="shared" si="31"/>
        <v>0</v>
      </c>
      <c r="H69" s="615">
        <v>0</v>
      </c>
      <c r="I69" s="283">
        <f t="shared" si="32"/>
        <v>42.78</v>
      </c>
      <c r="J69" s="283">
        <f t="shared" si="33"/>
        <v>9.8100000000000023</v>
      </c>
      <c r="K69" s="285">
        <f t="shared" si="34"/>
        <v>2481.2399999999998</v>
      </c>
      <c r="L69" s="286">
        <v>0</v>
      </c>
      <c r="M69" s="286">
        <v>0</v>
      </c>
      <c r="N69" s="285">
        <f t="shared" si="35"/>
        <v>2481.2399999999998</v>
      </c>
      <c r="O69" s="616">
        <f t="shared" si="36"/>
        <v>0</v>
      </c>
      <c r="P69" s="289">
        <f t="shared" si="37"/>
        <v>0</v>
      </c>
      <c r="Q69" s="290">
        <f t="shared" si="38"/>
        <v>0</v>
      </c>
      <c r="R69" s="290">
        <f t="shared" si="39"/>
        <v>0</v>
      </c>
      <c r="S69" s="290">
        <f t="shared" si="40"/>
        <v>0</v>
      </c>
      <c r="T69" s="290">
        <f t="shared" si="41"/>
        <v>0</v>
      </c>
      <c r="U69" s="291">
        <f t="shared" si="42"/>
        <v>2481.2399999999998</v>
      </c>
      <c r="V69" s="291">
        <f t="shared" ref="V69:V132" si="46">ROUND(T69-U69,2)</f>
        <v>-2481.2399999999998</v>
      </c>
      <c r="W69" s="617">
        <f t="shared" si="43"/>
        <v>0</v>
      </c>
      <c r="X69" s="291">
        <f t="shared" ref="X69:X132" si="47">V69-W69</f>
        <v>-2481.2399999999998</v>
      </c>
      <c r="Y69" s="170">
        <f t="shared" si="44"/>
        <v>568.98</v>
      </c>
      <c r="Z69" s="291">
        <f t="shared" si="45"/>
        <v>-568.98</v>
      </c>
      <c r="AC69" s="276">
        <f>IF(AI69=1,IF(AC68=MiscData!$F$1,EOMONTH(AC68,-11),EOMONTH(AC68,1)),AC68)</f>
        <v>42035</v>
      </c>
      <c r="AD69" s="275" t="str">
        <f t="shared" si="28"/>
        <v>20140101LGUM_477</v>
      </c>
      <c r="AE69" s="294" t="str">
        <f t="shared" si="29"/>
        <v>20140101RLS</v>
      </c>
      <c r="AF69" s="618" t="str">
        <f t="shared" ref="AF69:AF132" si="48">RIGHT(AJ69,3)</f>
        <v>477</v>
      </c>
      <c r="AH69" s="265">
        <f>MiscData!$X$5</f>
        <v>20140101</v>
      </c>
      <c r="AI69" s="265">
        <f>IF(AI68+1&gt;MiscData!$AC$77,1,AI68+1)</f>
        <v>66</v>
      </c>
      <c r="AJ69" s="265" t="str">
        <f>VLOOKUP(AI69,MiscData!$AC$5:$AD$77,2,FALSE)</f>
        <v>LGUM_477</v>
      </c>
      <c r="AK69" s="265" t="str">
        <f>VLOOKUP(AJ69,MiscData!$AD$5:$AE$77,2,FALSE)</f>
        <v>RLS</v>
      </c>
      <c r="AT69" s="265" t="s">
        <v>526</v>
      </c>
      <c r="AV69" s="265">
        <v>0</v>
      </c>
    </row>
    <row r="70" spans="1:48">
      <c r="A70" s="275">
        <f t="shared" ref="A70:A133" si="49">A69+1</f>
        <v>67</v>
      </c>
      <c r="B70" s="276" t="str">
        <f t="shared" si="25"/>
        <v>Jan 2015</v>
      </c>
      <c r="C70" s="277" t="str">
        <f t="shared" si="26"/>
        <v xml:space="preserve">LS </v>
      </c>
      <c r="D70" s="277" t="str">
        <f t="shared" si="27"/>
        <v>LGUM_479</v>
      </c>
      <c r="E70" s="614">
        <f t="shared" si="30"/>
        <v>0</v>
      </c>
      <c r="F70" s="615">
        <v>0</v>
      </c>
      <c r="G70" s="614">
        <f t="shared" si="31"/>
        <v>0</v>
      </c>
      <c r="H70" s="615">
        <v>0</v>
      </c>
      <c r="I70" s="283">
        <f t="shared" si="32"/>
        <v>14.06</v>
      </c>
      <c r="J70" s="283">
        <f t="shared" si="33"/>
        <v>1.370000000000001</v>
      </c>
      <c r="K70" s="285">
        <f t="shared" si="34"/>
        <v>0</v>
      </c>
      <c r="L70" s="286">
        <v>0</v>
      </c>
      <c r="M70" s="286">
        <v>0</v>
      </c>
      <c r="N70" s="285">
        <f t="shared" si="35"/>
        <v>0</v>
      </c>
      <c r="O70" s="616">
        <f t="shared" si="36"/>
        <v>0</v>
      </c>
      <c r="P70" s="289">
        <f t="shared" si="37"/>
        <v>1</v>
      </c>
      <c r="Q70" s="290">
        <f t="shared" si="38"/>
        <v>0</v>
      </c>
      <c r="R70" s="290">
        <f t="shared" si="39"/>
        <v>0</v>
      </c>
      <c r="S70" s="290">
        <f t="shared" si="40"/>
        <v>0</v>
      </c>
      <c r="T70" s="290">
        <f t="shared" si="41"/>
        <v>0</v>
      </c>
      <c r="U70" s="291">
        <f t="shared" si="42"/>
        <v>0</v>
      </c>
      <c r="V70" s="291">
        <f t="shared" si="46"/>
        <v>0</v>
      </c>
      <c r="W70" s="617">
        <f t="shared" si="43"/>
        <v>0</v>
      </c>
      <c r="X70" s="291">
        <f t="shared" si="47"/>
        <v>0</v>
      </c>
      <c r="Y70" s="170">
        <f t="shared" si="44"/>
        <v>0</v>
      </c>
      <c r="Z70" s="291">
        <f t="shared" si="45"/>
        <v>0</v>
      </c>
      <c r="AC70" s="276">
        <f>IF(AI70=1,IF(AC69=MiscData!$F$1,EOMONTH(AC69,-11),EOMONTH(AC69,1)),AC69)</f>
        <v>42035</v>
      </c>
      <c r="AD70" s="275" t="str">
        <f t="shared" si="28"/>
        <v>20140101LGUM_479</v>
      </c>
      <c r="AE70" s="294" t="str">
        <f t="shared" si="29"/>
        <v xml:space="preserve">20140101LS </v>
      </c>
      <c r="AF70" s="618" t="str">
        <f t="shared" si="48"/>
        <v>479</v>
      </c>
      <c r="AH70" s="265">
        <f>MiscData!$X$5</f>
        <v>20140101</v>
      </c>
      <c r="AI70" s="265">
        <f>IF(AI69+1&gt;MiscData!$AC$77,1,AI69+1)</f>
        <v>67</v>
      </c>
      <c r="AJ70" s="265" t="str">
        <f>VLOOKUP(AI70,MiscData!$AC$5:$AD$77,2,FALSE)</f>
        <v>LGUM_479</v>
      </c>
      <c r="AK70" s="265" t="str">
        <f>VLOOKUP(AJ70,MiscData!$AD$5:$AE$77,2,FALSE)</f>
        <v xml:space="preserve">LS </v>
      </c>
      <c r="AT70" s="265" t="s">
        <v>214</v>
      </c>
      <c r="AV70" s="265">
        <v>0</v>
      </c>
    </row>
    <row r="71" spans="1:48">
      <c r="A71" s="275">
        <f t="shared" si="49"/>
        <v>68</v>
      </c>
      <c r="B71" s="276" t="str">
        <f t="shared" si="25"/>
        <v>Jan 2015</v>
      </c>
      <c r="C71" s="277" t="str">
        <f t="shared" si="26"/>
        <v xml:space="preserve">LS </v>
      </c>
      <c r="D71" s="277" t="str">
        <f t="shared" si="27"/>
        <v>LGUM_480</v>
      </c>
      <c r="E71" s="614">
        <f t="shared" si="30"/>
        <v>17</v>
      </c>
      <c r="F71" s="615">
        <v>0</v>
      </c>
      <c r="G71" s="614">
        <f t="shared" si="31"/>
        <v>0</v>
      </c>
      <c r="H71" s="615">
        <v>0</v>
      </c>
      <c r="I71" s="283">
        <f t="shared" si="32"/>
        <v>23.83</v>
      </c>
      <c r="J71" s="283">
        <f t="shared" si="33"/>
        <v>1.370000000000001</v>
      </c>
      <c r="K71" s="285">
        <f t="shared" si="34"/>
        <v>405.11</v>
      </c>
      <c r="L71" s="286">
        <v>0</v>
      </c>
      <c r="M71" s="286">
        <v>0</v>
      </c>
      <c r="N71" s="285">
        <f t="shared" si="35"/>
        <v>405.11</v>
      </c>
      <c r="O71" s="616">
        <f t="shared" si="36"/>
        <v>0</v>
      </c>
      <c r="P71" s="289">
        <f t="shared" si="37"/>
        <v>0</v>
      </c>
      <c r="Q71" s="290">
        <f t="shared" si="38"/>
        <v>0</v>
      </c>
      <c r="R71" s="290">
        <f t="shared" si="39"/>
        <v>0</v>
      </c>
      <c r="S71" s="290">
        <f t="shared" si="40"/>
        <v>0</v>
      </c>
      <c r="T71" s="290">
        <f t="shared" si="41"/>
        <v>0</v>
      </c>
      <c r="U71" s="291">
        <f t="shared" si="42"/>
        <v>405.11</v>
      </c>
      <c r="V71" s="291">
        <f t="shared" si="46"/>
        <v>-405.11</v>
      </c>
      <c r="W71" s="617">
        <f t="shared" si="43"/>
        <v>0</v>
      </c>
      <c r="X71" s="291">
        <f t="shared" si="47"/>
        <v>-405.11</v>
      </c>
      <c r="Y71" s="170">
        <f t="shared" si="44"/>
        <v>23.29</v>
      </c>
      <c r="Z71" s="291">
        <f t="shared" si="45"/>
        <v>-23.29</v>
      </c>
      <c r="AC71" s="276">
        <f>IF(AI71=1,IF(AC70=MiscData!$F$1,EOMONTH(AC70,-11),EOMONTH(AC70,1)),AC70)</f>
        <v>42035</v>
      </c>
      <c r="AD71" s="275" t="str">
        <f t="shared" si="28"/>
        <v>20140101LGUM_480</v>
      </c>
      <c r="AE71" s="294" t="str">
        <f t="shared" si="29"/>
        <v xml:space="preserve">20140101LS </v>
      </c>
      <c r="AF71" s="618" t="str">
        <f t="shared" si="48"/>
        <v>480</v>
      </c>
      <c r="AH71" s="265">
        <f>MiscData!$X$5</f>
        <v>20140101</v>
      </c>
      <c r="AI71" s="265">
        <f>IF(AI70+1&gt;MiscData!$AC$77,1,AI70+1)</f>
        <v>68</v>
      </c>
      <c r="AJ71" s="265" t="str">
        <f>VLOOKUP(AI71,MiscData!$AC$5:$AD$77,2,FALSE)</f>
        <v>LGUM_480</v>
      </c>
      <c r="AK71" s="265" t="str">
        <f>VLOOKUP(AJ71,MiscData!$AD$5:$AE$77,2,FALSE)</f>
        <v xml:space="preserve">LS </v>
      </c>
      <c r="AT71" s="265" t="s">
        <v>215</v>
      </c>
      <c r="AV71" s="265">
        <v>7.57</v>
      </c>
    </row>
    <row r="72" spans="1:48">
      <c r="A72" s="275">
        <f t="shared" si="49"/>
        <v>69</v>
      </c>
      <c r="B72" s="276" t="str">
        <f t="shared" si="25"/>
        <v>Jan 2015</v>
      </c>
      <c r="C72" s="277" t="str">
        <f t="shared" si="26"/>
        <v xml:space="preserve">LS </v>
      </c>
      <c r="D72" s="277" t="str">
        <f t="shared" si="27"/>
        <v>LGUM_481</v>
      </c>
      <c r="E72" s="614">
        <f t="shared" si="30"/>
        <v>4</v>
      </c>
      <c r="F72" s="615">
        <v>0</v>
      </c>
      <c r="G72" s="614">
        <f t="shared" si="31"/>
        <v>0</v>
      </c>
      <c r="H72" s="615">
        <v>0</v>
      </c>
      <c r="I72" s="283">
        <f t="shared" si="32"/>
        <v>20.46</v>
      </c>
      <c r="J72" s="283">
        <f t="shared" si="33"/>
        <v>3.1800000000000033</v>
      </c>
      <c r="K72" s="285">
        <f t="shared" si="34"/>
        <v>81.84</v>
      </c>
      <c r="L72" s="286">
        <v>0</v>
      </c>
      <c r="M72" s="286">
        <v>0</v>
      </c>
      <c r="N72" s="285">
        <f t="shared" si="35"/>
        <v>81.84</v>
      </c>
      <c r="O72" s="616">
        <f t="shared" si="36"/>
        <v>0</v>
      </c>
      <c r="P72" s="289">
        <f t="shared" si="37"/>
        <v>0</v>
      </c>
      <c r="Q72" s="290">
        <f t="shared" si="38"/>
        <v>0</v>
      </c>
      <c r="R72" s="290">
        <f t="shared" si="39"/>
        <v>0</v>
      </c>
      <c r="S72" s="290">
        <f t="shared" si="40"/>
        <v>0</v>
      </c>
      <c r="T72" s="290">
        <f t="shared" si="41"/>
        <v>0</v>
      </c>
      <c r="U72" s="291">
        <f t="shared" si="42"/>
        <v>81.84</v>
      </c>
      <c r="V72" s="291">
        <f t="shared" si="46"/>
        <v>-81.84</v>
      </c>
      <c r="W72" s="617">
        <f t="shared" si="43"/>
        <v>0</v>
      </c>
      <c r="X72" s="291">
        <f t="shared" si="47"/>
        <v>-81.84</v>
      </c>
      <c r="Y72" s="170">
        <f t="shared" si="44"/>
        <v>12.72</v>
      </c>
      <c r="Z72" s="291">
        <f t="shared" si="45"/>
        <v>-12.72</v>
      </c>
      <c r="AC72" s="276">
        <f>IF(AI72=1,IF(AC71=MiscData!$F$1,EOMONTH(AC71,-11),EOMONTH(AC71,1)),AC71)</f>
        <v>42035</v>
      </c>
      <c r="AD72" s="275" t="str">
        <f t="shared" si="28"/>
        <v>20140101LGUM_481</v>
      </c>
      <c r="AE72" s="294" t="str">
        <f t="shared" si="29"/>
        <v xml:space="preserve">20140101LS </v>
      </c>
      <c r="AF72" s="618" t="str">
        <f t="shared" si="48"/>
        <v>481</v>
      </c>
      <c r="AH72" s="265">
        <f>MiscData!$X$5</f>
        <v>20140101</v>
      </c>
      <c r="AI72" s="265">
        <f>IF(AI71+1&gt;MiscData!$AC$77,1,AI71+1)</f>
        <v>69</v>
      </c>
      <c r="AJ72" s="265" t="str">
        <f>VLOOKUP(AI72,MiscData!$AC$5:$AD$77,2,FALSE)</f>
        <v>LGUM_481</v>
      </c>
      <c r="AK72" s="265" t="str">
        <f>VLOOKUP(AJ72,MiscData!$AD$5:$AE$77,2,FALSE)</f>
        <v xml:space="preserve">LS </v>
      </c>
      <c r="AT72" s="265" t="s">
        <v>216</v>
      </c>
      <c r="AV72" s="265">
        <v>0</v>
      </c>
    </row>
    <row r="73" spans="1:48">
      <c r="A73" s="275">
        <f t="shared" si="49"/>
        <v>70</v>
      </c>
      <c r="B73" s="276" t="str">
        <f t="shared" si="25"/>
        <v>Jan 2015</v>
      </c>
      <c r="C73" s="277" t="str">
        <f t="shared" si="26"/>
        <v xml:space="preserve">LS </v>
      </c>
      <c r="D73" s="277" t="str">
        <f t="shared" si="27"/>
        <v>LGUM_482</v>
      </c>
      <c r="E73" s="614">
        <f t="shared" si="30"/>
        <v>38</v>
      </c>
      <c r="F73" s="615">
        <v>0</v>
      </c>
      <c r="G73" s="614">
        <f t="shared" si="31"/>
        <v>0</v>
      </c>
      <c r="H73" s="615">
        <v>0</v>
      </c>
      <c r="I73" s="283">
        <f t="shared" si="32"/>
        <v>30.21</v>
      </c>
      <c r="J73" s="283">
        <f t="shared" si="33"/>
        <v>3.1800000000000033</v>
      </c>
      <c r="K73" s="285">
        <f t="shared" si="34"/>
        <v>1147.98</v>
      </c>
      <c r="L73" s="286">
        <v>0</v>
      </c>
      <c r="M73" s="286">
        <v>0</v>
      </c>
      <c r="N73" s="285">
        <f t="shared" si="35"/>
        <v>1147.98</v>
      </c>
      <c r="O73" s="616">
        <f t="shared" si="36"/>
        <v>0</v>
      </c>
      <c r="P73" s="289">
        <f t="shared" si="37"/>
        <v>0</v>
      </c>
      <c r="Q73" s="290">
        <f t="shared" si="38"/>
        <v>0</v>
      </c>
      <c r="R73" s="290">
        <f t="shared" si="39"/>
        <v>0</v>
      </c>
      <c r="S73" s="290">
        <f t="shared" si="40"/>
        <v>0</v>
      </c>
      <c r="T73" s="290">
        <f t="shared" si="41"/>
        <v>0</v>
      </c>
      <c r="U73" s="291">
        <f t="shared" si="42"/>
        <v>1147.98</v>
      </c>
      <c r="V73" s="291">
        <f t="shared" si="46"/>
        <v>-1147.98</v>
      </c>
      <c r="W73" s="617">
        <f t="shared" si="43"/>
        <v>0</v>
      </c>
      <c r="X73" s="291">
        <f t="shared" si="47"/>
        <v>-1147.98</v>
      </c>
      <c r="Y73" s="170">
        <f t="shared" si="44"/>
        <v>120.84</v>
      </c>
      <c r="Z73" s="291">
        <f t="shared" si="45"/>
        <v>-120.84</v>
      </c>
      <c r="AC73" s="276">
        <f>IF(AI73=1,IF(AC72=MiscData!$F$1,EOMONTH(AC72,-11),EOMONTH(AC72,1)),AC72)</f>
        <v>42035</v>
      </c>
      <c r="AD73" s="275" t="str">
        <f t="shared" si="28"/>
        <v>20140101LGUM_482</v>
      </c>
      <c r="AE73" s="294" t="str">
        <f t="shared" si="29"/>
        <v xml:space="preserve">20140101LS </v>
      </c>
      <c r="AF73" s="618" t="str">
        <f t="shared" si="48"/>
        <v>482</v>
      </c>
      <c r="AH73" s="265">
        <f>MiscData!$X$5</f>
        <v>20140101</v>
      </c>
      <c r="AI73" s="265">
        <f>IF(AI72+1&gt;MiscData!$AC$77,1,AI72+1)</f>
        <v>70</v>
      </c>
      <c r="AJ73" s="265" t="str">
        <f>VLOOKUP(AI73,MiscData!$AC$5:$AD$77,2,FALSE)</f>
        <v>LGUM_482</v>
      </c>
      <c r="AK73" s="265" t="str">
        <f>VLOOKUP(AJ73,MiscData!$AD$5:$AE$77,2,FALSE)</f>
        <v xml:space="preserve">LS </v>
      </c>
      <c r="AT73" s="265" t="s">
        <v>217</v>
      </c>
      <c r="AV73" s="265">
        <v>113.01</v>
      </c>
    </row>
    <row r="74" spans="1:48">
      <c r="A74" s="275">
        <f t="shared" si="49"/>
        <v>71</v>
      </c>
      <c r="B74" s="276" t="str">
        <f t="shared" si="25"/>
        <v>Jan 2015</v>
      </c>
      <c r="C74" s="277" t="str">
        <f t="shared" si="26"/>
        <v xml:space="preserve">LS </v>
      </c>
      <c r="D74" s="277" t="str">
        <f t="shared" si="27"/>
        <v>LGUM_483</v>
      </c>
      <c r="E74" s="614">
        <f t="shared" si="30"/>
        <v>2</v>
      </c>
      <c r="F74" s="615">
        <v>0</v>
      </c>
      <c r="G74" s="614">
        <f t="shared" si="31"/>
        <v>0</v>
      </c>
      <c r="H74" s="615">
        <v>0</v>
      </c>
      <c r="I74" s="283">
        <f t="shared" si="32"/>
        <v>42.56</v>
      </c>
      <c r="J74" s="283">
        <f t="shared" si="33"/>
        <v>9.8100000000000023</v>
      </c>
      <c r="K74" s="285">
        <f t="shared" si="34"/>
        <v>85.12</v>
      </c>
      <c r="L74" s="286">
        <v>0</v>
      </c>
      <c r="M74" s="286">
        <v>0</v>
      </c>
      <c r="N74" s="285">
        <f t="shared" si="35"/>
        <v>85.12</v>
      </c>
      <c r="O74" s="616">
        <f t="shared" si="36"/>
        <v>0</v>
      </c>
      <c r="P74" s="289">
        <f t="shared" si="37"/>
        <v>0</v>
      </c>
      <c r="Q74" s="290">
        <f t="shared" si="38"/>
        <v>0</v>
      </c>
      <c r="R74" s="290">
        <f t="shared" si="39"/>
        <v>0</v>
      </c>
      <c r="S74" s="290">
        <f t="shared" si="40"/>
        <v>0</v>
      </c>
      <c r="T74" s="290">
        <f t="shared" si="41"/>
        <v>0</v>
      </c>
      <c r="U74" s="291">
        <f t="shared" si="42"/>
        <v>85.12</v>
      </c>
      <c r="V74" s="291">
        <f t="shared" si="46"/>
        <v>-85.12</v>
      </c>
      <c r="W74" s="617">
        <f t="shared" si="43"/>
        <v>0</v>
      </c>
      <c r="X74" s="291">
        <f t="shared" si="47"/>
        <v>-85.12</v>
      </c>
      <c r="Y74" s="170">
        <f t="shared" si="44"/>
        <v>19.62</v>
      </c>
      <c r="Z74" s="291">
        <f t="shared" si="45"/>
        <v>-19.62</v>
      </c>
      <c r="AC74" s="276">
        <f>IF(AI74=1,IF(AC73=MiscData!$F$1,EOMONTH(AC73,-11),EOMONTH(AC73,1)),AC73)</f>
        <v>42035</v>
      </c>
      <c r="AD74" s="275" t="str">
        <f t="shared" si="28"/>
        <v>20140101LGUM_483</v>
      </c>
      <c r="AE74" s="294" t="str">
        <f t="shared" si="29"/>
        <v xml:space="preserve">20140101LS </v>
      </c>
      <c r="AF74" s="618" t="str">
        <f t="shared" si="48"/>
        <v>483</v>
      </c>
      <c r="AH74" s="265">
        <f>MiscData!$X$5</f>
        <v>20140101</v>
      </c>
      <c r="AI74" s="265">
        <f>IF(AI73+1&gt;MiscData!$AC$77,1,AI73+1)</f>
        <v>71</v>
      </c>
      <c r="AJ74" s="265" t="str">
        <f>VLOOKUP(AI74,MiscData!$AC$5:$AD$77,2,FALSE)</f>
        <v>LGUM_483</v>
      </c>
      <c r="AK74" s="265" t="str">
        <f>VLOOKUP(AJ74,MiscData!$AD$5:$AE$77,2,FALSE)</f>
        <v xml:space="preserve">LS </v>
      </c>
      <c r="AT74" s="265" t="s">
        <v>536</v>
      </c>
      <c r="AV74" s="265">
        <v>0</v>
      </c>
    </row>
    <row r="75" spans="1:48">
      <c r="A75" s="275">
        <f t="shared" si="49"/>
        <v>72</v>
      </c>
      <c r="B75" s="276" t="str">
        <f t="shared" si="25"/>
        <v>Jan 2015</v>
      </c>
      <c r="C75" s="277" t="str">
        <f t="shared" si="26"/>
        <v xml:space="preserve">LS </v>
      </c>
      <c r="D75" s="277" t="str">
        <f t="shared" si="27"/>
        <v>LGUM_484</v>
      </c>
      <c r="E75" s="614">
        <f t="shared" si="30"/>
        <v>13</v>
      </c>
      <c r="F75" s="615">
        <v>0</v>
      </c>
      <c r="G75" s="614">
        <f t="shared" si="31"/>
        <v>0</v>
      </c>
      <c r="H75" s="615">
        <v>0</v>
      </c>
      <c r="I75" s="283">
        <f t="shared" si="32"/>
        <v>52.31</v>
      </c>
      <c r="J75" s="283">
        <f t="shared" si="33"/>
        <v>9.8100000000000023</v>
      </c>
      <c r="K75" s="285">
        <f t="shared" si="34"/>
        <v>680.03</v>
      </c>
      <c r="L75" s="286">
        <v>0</v>
      </c>
      <c r="M75" s="286">
        <v>0</v>
      </c>
      <c r="N75" s="285">
        <f t="shared" si="35"/>
        <v>680.03</v>
      </c>
      <c r="O75" s="616">
        <f t="shared" si="36"/>
        <v>0</v>
      </c>
      <c r="P75" s="289">
        <f t="shared" si="37"/>
        <v>0</v>
      </c>
      <c r="Q75" s="290">
        <f t="shared" si="38"/>
        <v>0</v>
      </c>
      <c r="R75" s="290">
        <f t="shared" si="39"/>
        <v>0</v>
      </c>
      <c r="S75" s="290">
        <f t="shared" si="40"/>
        <v>0</v>
      </c>
      <c r="T75" s="290">
        <f t="shared" si="41"/>
        <v>0</v>
      </c>
      <c r="U75" s="291">
        <f t="shared" si="42"/>
        <v>680.03</v>
      </c>
      <c r="V75" s="291">
        <f t="shared" si="46"/>
        <v>-680.03</v>
      </c>
      <c r="W75" s="617">
        <f t="shared" si="43"/>
        <v>0</v>
      </c>
      <c r="X75" s="291">
        <f t="shared" si="47"/>
        <v>-680.03</v>
      </c>
      <c r="Y75" s="170">
        <f t="shared" si="44"/>
        <v>127.53</v>
      </c>
      <c r="Z75" s="291">
        <f t="shared" si="45"/>
        <v>-127.53</v>
      </c>
      <c r="AC75" s="276">
        <f>IF(AI75=1,IF(AC74=MiscData!$F$1,EOMONTH(AC74,-11),EOMONTH(AC74,1)),AC74)</f>
        <v>42035</v>
      </c>
      <c r="AD75" s="275" t="str">
        <f t="shared" si="28"/>
        <v>20140101LGUM_484</v>
      </c>
      <c r="AE75" s="294" t="str">
        <f t="shared" si="29"/>
        <v xml:space="preserve">20140101LS </v>
      </c>
      <c r="AF75" s="618" t="str">
        <f t="shared" si="48"/>
        <v>484</v>
      </c>
      <c r="AH75" s="265">
        <f>MiscData!$X$5</f>
        <v>20140101</v>
      </c>
      <c r="AI75" s="265">
        <f>IF(AI74+1&gt;MiscData!$AC$77,1,AI74+1)</f>
        <v>72</v>
      </c>
      <c r="AJ75" s="265" t="str">
        <f>VLOOKUP(AI75,MiscData!$AC$5:$AD$77,2,FALSE)</f>
        <v>LGUM_484</v>
      </c>
      <c r="AK75" s="265" t="str">
        <f>VLOOKUP(AJ75,MiscData!$AD$5:$AE$77,2,FALSE)</f>
        <v xml:space="preserve">LS </v>
      </c>
      <c r="AT75" s="265" t="s">
        <v>218</v>
      </c>
      <c r="AV75" s="265">
        <v>0</v>
      </c>
    </row>
    <row r="76" spans="1:48">
      <c r="A76" s="275">
        <f t="shared" si="49"/>
        <v>73</v>
      </c>
      <c r="B76" s="276" t="str">
        <f t="shared" si="25"/>
        <v>Jan 2015</v>
      </c>
      <c r="C76" s="277" t="str">
        <f t="shared" si="26"/>
        <v>ODL</v>
      </c>
      <c r="D76" s="277" t="str">
        <f t="shared" si="27"/>
        <v>ODL</v>
      </c>
      <c r="E76" s="614">
        <f t="shared" si="30"/>
        <v>0</v>
      </c>
      <c r="F76" s="615">
        <v>0</v>
      </c>
      <c r="G76" s="614">
        <f t="shared" si="31"/>
        <v>15936460</v>
      </c>
      <c r="H76" s="615">
        <v>0</v>
      </c>
      <c r="I76" s="283">
        <f t="shared" si="32"/>
        <v>0</v>
      </c>
      <c r="J76" s="283">
        <f t="shared" si="33"/>
        <v>0</v>
      </c>
      <c r="K76" s="285">
        <f t="shared" si="34"/>
        <v>0</v>
      </c>
      <c r="L76" s="286">
        <v>0</v>
      </c>
      <c r="M76" s="286">
        <v>0</v>
      </c>
      <c r="N76" s="285">
        <f t="shared" si="35"/>
        <v>0</v>
      </c>
      <c r="O76" s="616">
        <f t="shared" si="36"/>
        <v>1510904</v>
      </c>
      <c r="P76" s="289">
        <f t="shared" si="37"/>
        <v>0</v>
      </c>
      <c r="Q76" s="290">
        <f t="shared" si="38"/>
        <v>-20808</v>
      </c>
      <c r="R76" s="290">
        <f t="shared" si="39"/>
        <v>73386</v>
      </c>
      <c r="S76" s="290">
        <f t="shared" si="40"/>
        <v>0</v>
      </c>
      <c r="T76" s="290">
        <f t="shared" si="41"/>
        <v>1563482</v>
      </c>
      <c r="U76" s="291">
        <f t="shared" si="42"/>
        <v>52578</v>
      </c>
      <c r="V76" s="291">
        <f t="shared" si="46"/>
        <v>1510904</v>
      </c>
      <c r="W76" s="265">
        <f t="shared" ref="W76:W131" si="50">ROUND(SUMIFS(L_1055_Revenue_Poles_Test_Period,L_1055_Revenue_Month,$B76,L_1055_RateCategory,$D76),2)</f>
        <v>0</v>
      </c>
      <c r="X76" s="291">
        <f t="shared" si="47"/>
        <v>1510904</v>
      </c>
      <c r="Y76" s="170">
        <f t="shared" si="44"/>
        <v>0</v>
      </c>
      <c r="Z76" s="291">
        <f t="shared" si="45"/>
        <v>1510904</v>
      </c>
      <c r="AC76" s="276">
        <f>IF(AI76=1,IF(AC75=MiscData!$F$1,EOMONTH(AC75,-11),EOMONTH(AC75,1)),AC75)</f>
        <v>42035</v>
      </c>
      <c r="AD76" s="275" t="str">
        <f t="shared" si="28"/>
        <v>20140101ODL</v>
      </c>
      <c r="AE76" s="294" t="str">
        <f t="shared" si="29"/>
        <v>20140101ODL</v>
      </c>
      <c r="AF76" s="618" t="str">
        <f t="shared" si="48"/>
        <v>ODL</v>
      </c>
      <c r="AH76" s="265">
        <f>MiscData!$X$5</f>
        <v>20140101</v>
      </c>
      <c r="AI76" s="265">
        <f>IF(AI75+1&gt;MiscData!$AC$77,1,AI75+1)</f>
        <v>73</v>
      </c>
      <c r="AJ76" s="265" t="str">
        <f>VLOOKUP(AI76,MiscData!$AC$5:$AD$77,2,FALSE)</f>
        <v>ODL</v>
      </c>
      <c r="AK76" s="265" t="str">
        <f>VLOOKUP(AJ76,MiscData!$AD$5:$AE$77,2,FALSE)</f>
        <v>ODL</v>
      </c>
      <c r="AT76" s="265" t="s">
        <v>219</v>
      </c>
      <c r="AV76" s="265">
        <v>0</v>
      </c>
    </row>
    <row r="77" spans="1:48">
      <c r="A77" s="275">
        <f t="shared" si="49"/>
        <v>74</v>
      </c>
      <c r="B77" s="276" t="str">
        <f t="shared" si="25"/>
        <v>Feb 2015</v>
      </c>
      <c r="C77" s="277" t="str">
        <f t="shared" si="26"/>
        <v>RLS</v>
      </c>
      <c r="D77" s="277" t="str">
        <f t="shared" si="27"/>
        <v>LGUM_201</v>
      </c>
      <c r="E77" s="614">
        <f t="shared" si="30"/>
        <v>77</v>
      </c>
      <c r="F77" s="615">
        <v>0</v>
      </c>
      <c r="G77" s="614">
        <f t="shared" si="31"/>
        <v>0</v>
      </c>
      <c r="H77" s="615">
        <v>0</v>
      </c>
      <c r="I77" s="283">
        <f t="shared" si="32"/>
        <v>8.14</v>
      </c>
      <c r="J77" s="283">
        <f t="shared" si="33"/>
        <v>1.0899999999999999</v>
      </c>
      <c r="K77" s="285">
        <f t="shared" si="34"/>
        <v>626.78</v>
      </c>
      <c r="L77" s="286">
        <v>0</v>
      </c>
      <c r="M77" s="286">
        <v>0</v>
      </c>
      <c r="N77" s="285">
        <f t="shared" si="35"/>
        <v>626.78</v>
      </c>
      <c r="O77" s="616">
        <f t="shared" si="36"/>
        <v>0</v>
      </c>
      <c r="P77" s="289">
        <f t="shared" si="37"/>
        <v>0</v>
      </c>
      <c r="Q77" s="290">
        <f t="shared" si="38"/>
        <v>0</v>
      </c>
      <c r="R77" s="290">
        <f t="shared" si="39"/>
        <v>0</v>
      </c>
      <c r="S77" s="290">
        <f t="shared" si="40"/>
        <v>0</v>
      </c>
      <c r="T77" s="290">
        <f t="shared" si="41"/>
        <v>0</v>
      </c>
      <c r="U77" s="291">
        <f t="shared" si="42"/>
        <v>626.78</v>
      </c>
      <c r="V77" s="291">
        <f t="shared" si="46"/>
        <v>-626.78</v>
      </c>
      <c r="W77" s="265">
        <f t="shared" si="50"/>
        <v>0</v>
      </c>
      <c r="X77" s="291">
        <f t="shared" si="47"/>
        <v>-626.78</v>
      </c>
      <c r="Y77" s="170">
        <f t="shared" si="44"/>
        <v>83.93</v>
      </c>
      <c r="Z77" s="291">
        <f t="shared" si="45"/>
        <v>-83.93</v>
      </c>
      <c r="AC77" s="276">
        <f>IF(AI77=1,IF(AC76=MiscData!$F$1,EOMONTH(AC76,-11),EOMONTH(AC76,1)),AC76)</f>
        <v>42063</v>
      </c>
      <c r="AD77" s="275" t="str">
        <f t="shared" si="28"/>
        <v>20140101LGUM_201</v>
      </c>
      <c r="AE77" s="294" t="str">
        <f t="shared" si="29"/>
        <v>20140101RLS</v>
      </c>
      <c r="AF77" s="618" t="str">
        <f t="shared" si="48"/>
        <v>201</v>
      </c>
      <c r="AH77" s="265">
        <f>MiscData!$X$5</f>
        <v>20140101</v>
      </c>
      <c r="AI77" s="265">
        <f>IF(AI76+1&gt;MiscData!$AC$77,1,AI76+1)</f>
        <v>1</v>
      </c>
      <c r="AJ77" s="265" t="str">
        <f>VLOOKUP(AI77,MiscData!$AC$5:$AD$77,2,FALSE)</f>
        <v>LGUM_201</v>
      </c>
      <c r="AK77" s="265" t="str">
        <f>VLOOKUP(AJ77,MiscData!$AD$5:$AE$77,2,FALSE)</f>
        <v>RLS</v>
      </c>
      <c r="AT77" s="265" t="s">
        <v>220</v>
      </c>
      <c r="AV77" s="265">
        <v>0</v>
      </c>
    </row>
    <row r="78" spans="1:48">
      <c r="A78" s="275">
        <f t="shared" si="49"/>
        <v>75</v>
      </c>
      <c r="B78" s="276" t="str">
        <f t="shared" si="25"/>
        <v>Feb 2015</v>
      </c>
      <c r="C78" s="277" t="str">
        <f t="shared" si="26"/>
        <v>RLS</v>
      </c>
      <c r="D78" s="277" t="str">
        <f t="shared" si="27"/>
        <v>LGUM_203</v>
      </c>
      <c r="E78" s="614">
        <f t="shared" si="30"/>
        <v>3751</v>
      </c>
      <c r="F78" s="615">
        <v>0</v>
      </c>
      <c r="G78" s="614">
        <f t="shared" si="31"/>
        <v>0</v>
      </c>
      <c r="H78" s="615">
        <v>0</v>
      </c>
      <c r="I78" s="283">
        <f t="shared" si="32"/>
        <v>10.959999999999999</v>
      </c>
      <c r="J78" s="283">
        <f t="shared" si="33"/>
        <v>2.7099999999999991</v>
      </c>
      <c r="K78" s="285">
        <f t="shared" si="34"/>
        <v>41110.959999999999</v>
      </c>
      <c r="L78" s="286">
        <v>0</v>
      </c>
      <c r="M78" s="286">
        <v>0</v>
      </c>
      <c r="N78" s="285">
        <f t="shared" si="35"/>
        <v>41110.959999999999</v>
      </c>
      <c r="O78" s="616">
        <f t="shared" si="36"/>
        <v>0</v>
      </c>
      <c r="P78" s="289">
        <f t="shared" si="37"/>
        <v>0</v>
      </c>
      <c r="Q78" s="290">
        <f t="shared" si="38"/>
        <v>0</v>
      </c>
      <c r="R78" s="290">
        <f t="shared" si="39"/>
        <v>0</v>
      </c>
      <c r="S78" s="290">
        <f t="shared" si="40"/>
        <v>0</v>
      </c>
      <c r="T78" s="290">
        <f t="shared" si="41"/>
        <v>0</v>
      </c>
      <c r="U78" s="291">
        <f t="shared" si="42"/>
        <v>41110.959999999999</v>
      </c>
      <c r="V78" s="291">
        <f t="shared" si="46"/>
        <v>-41110.959999999999</v>
      </c>
      <c r="W78" s="265">
        <f t="shared" si="50"/>
        <v>0</v>
      </c>
      <c r="X78" s="291">
        <f t="shared" si="47"/>
        <v>-41110.959999999999</v>
      </c>
      <c r="Y78" s="170">
        <f t="shared" si="44"/>
        <v>10165.209999999999</v>
      </c>
      <c r="Z78" s="291">
        <f t="shared" si="45"/>
        <v>-10165.209999999999</v>
      </c>
      <c r="AC78" s="276">
        <f>IF(AI78=1,IF(AC77=MiscData!$F$1,EOMONTH(AC77,-11),EOMONTH(AC77,1)),AC77)</f>
        <v>42063</v>
      </c>
      <c r="AD78" s="275" t="str">
        <f t="shared" si="28"/>
        <v>20140101LGUM_203</v>
      </c>
      <c r="AE78" s="294" t="str">
        <f t="shared" si="29"/>
        <v>20140101RLS</v>
      </c>
      <c r="AF78" s="618" t="str">
        <f t="shared" si="48"/>
        <v>203</v>
      </c>
      <c r="AH78" s="265">
        <f>MiscData!$X$5</f>
        <v>20140101</v>
      </c>
      <c r="AI78" s="265">
        <f>IF(AI77+1&gt;MiscData!$AC$77,1,AI77+1)</f>
        <v>2</v>
      </c>
      <c r="AJ78" s="265" t="str">
        <f>VLOOKUP(AI78,MiscData!$AC$5:$AD$77,2,FALSE)</f>
        <v>LGUM_203</v>
      </c>
      <c r="AK78" s="265" t="str">
        <f>VLOOKUP(AJ78,MiscData!$AD$5:$AE$77,2,FALSE)</f>
        <v>RLS</v>
      </c>
      <c r="AT78" s="265" t="s">
        <v>221</v>
      </c>
      <c r="AV78" s="265">
        <v>-38.409999999999997</v>
      </c>
    </row>
    <row r="79" spans="1:48">
      <c r="A79" s="275">
        <f t="shared" si="49"/>
        <v>76</v>
      </c>
      <c r="B79" s="276" t="str">
        <f t="shared" si="25"/>
        <v>Feb 2015</v>
      </c>
      <c r="C79" s="277" t="str">
        <f t="shared" si="26"/>
        <v>RLS</v>
      </c>
      <c r="D79" s="277" t="str">
        <f t="shared" si="27"/>
        <v>LGUM_204</v>
      </c>
      <c r="E79" s="614">
        <f t="shared" si="30"/>
        <v>3727</v>
      </c>
      <c r="F79" s="615">
        <v>0</v>
      </c>
      <c r="G79" s="614">
        <f t="shared" si="31"/>
        <v>0</v>
      </c>
      <c r="H79" s="615">
        <v>0</v>
      </c>
      <c r="I79" s="283">
        <f t="shared" si="32"/>
        <v>13.510000000000002</v>
      </c>
      <c r="J79" s="283">
        <f t="shared" si="33"/>
        <v>4.2000000000000011</v>
      </c>
      <c r="K79" s="285">
        <f t="shared" si="34"/>
        <v>50351.77</v>
      </c>
      <c r="L79" s="286">
        <v>0</v>
      </c>
      <c r="M79" s="286">
        <v>0</v>
      </c>
      <c r="N79" s="285">
        <f t="shared" si="35"/>
        <v>50351.77</v>
      </c>
      <c r="O79" s="616">
        <f t="shared" si="36"/>
        <v>0</v>
      </c>
      <c r="P79" s="289">
        <f t="shared" si="37"/>
        <v>0</v>
      </c>
      <c r="Q79" s="290">
        <f t="shared" si="38"/>
        <v>0</v>
      </c>
      <c r="R79" s="290">
        <f t="shared" si="39"/>
        <v>0</v>
      </c>
      <c r="S79" s="290">
        <f t="shared" si="40"/>
        <v>0</v>
      </c>
      <c r="T79" s="290">
        <f t="shared" si="41"/>
        <v>0</v>
      </c>
      <c r="U79" s="291">
        <f t="shared" si="42"/>
        <v>50351.77</v>
      </c>
      <c r="V79" s="291">
        <f t="shared" si="46"/>
        <v>-50351.77</v>
      </c>
      <c r="W79" s="265">
        <f t="shared" si="50"/>
        <v>0</v>
      </c>
      <c r="X79" s="291">
        <f t="shared" si="47"/>
        <v>-50351.77</v>
      </c>
      <c r="Y79" s="170">
        <f t="shared" si="44"/>
        <v>15653.4</v>
      </c>
      <c r="Z79" s="291">
        <f t="shared" si="45"/>
        <v>-15653.4</v>
      </c>
      <c r="AC79" s="276">
        <f>IF(AI79=1,IF(AC78=MiscData!$F$1,EOMONTH(AC78,-11),EOMONTH(AC78,1)),AC78)</f>
        <v>42063</v>
      </c>
      <c r="AD79" s="275" t="str">
        <f t="shared" si="28"/>
        <v>20140101LGUM_204</v>
      </c>
      <c r="AE79" s="294" t="str">
        <f t="shared" si="29"/>
        <v>20140101RLS</v>
      </c>
      <c r="AF79" s="618" t="str">
        <f t="shared" si="48"/>
        <v>204</v>
      </c>
      <c r="AH79" s="265">
        <f>MiscData!$X$5</f>
        <v>20140101</v>
      </c>
      <c r="AI79" s="265">
        <f>IF(AI78+1&gt;MiscData!$AC$77,1,AI78+1)</f>
        <v>3</v>
      </c>
      <c r="AJ79" s="265" t="str">
        <f>VLOOKUP(AI79,MiscData!$AC$5:$AD$77,2,FALSE)</f>
        <v>LGUM_204</v>
      </c>
      <c r="AK79" s="265" t="str">
        <f>VLOOKUP(AJ79,MiscData!$AD$5:$AE$77,2,FALSE)</f>
        <v>RLS</v>
      </c>
      <c r="AT79" s="265" t="s">
        <v>222</v>
      </c>
      <c r="AV79" s="265">
        <v>-25.57</v>
      </c>
    </row>
    <row r="80" spans="1:48">
      <c r="A80" s="275">
        <f t="shared" si="49"/>
        <v>77</v>
      </c>
      <c r="B80" s="276" t="str">
        <f t="shared" si="25"/>
        <v>Feb 2015</v>
      </c>
      <c r="C80" s="277" t="str">
        <f t="shared" si="26"/>
        <v>RLS</v>
      </c>
      <c r="D80" s="277" t="str">
        <f t="shared" si="27"/>
        <v>LGUM_206</v>
      </c>
      <c r="E80" s="614">
        <f t="shared" si="30"/>
        <v>94</v>
      </c>
      <c r="F80" s="615">
        <v>0</v>
      </c>
      <c r="G80" s="614">
        <f t="shared" si="31"/>
        <v>0</v>
      </c>
      <c r="H80" s="615">
        <v>0</v>
      </c>
      <c r="I80" s="283">
        <f t="shared" si="32"/>
        <v>12.450000000000001</v>
      </c>
      <c r="J80" s="283">
        <f t="shared" si="33"/>
        <v>1.0899999999999999</v>
      </c>
      <c r="K80" s="285">
        <f t="shared" si="34"/>
        <v>1170.3</v>
      </c>
      <c r="L80" s="286">
        <v>0</v>
      </c>
      <c r="M80" s="286">
        <v>0</v>
      </c>
      <c r="N80" s="285">
        <f t="shared" si="35"/>
        <v>1170.3</v>
      </c>
      <c r="O80" s="616">
        <f t="shared" si="36"/>
        <v>0</v>
      </c>
      <c r="P80" s="289">
        <f t="shared" si="37"/>
        <v>0</v>
      </c>
      <c r="Q80" s="290">
        <f t="shared" si="38"/>
        <v>0</v>
      </c>
      <c r="R80" s="290">
        <f t="shared" si="39"/>
        <v>0</v>
      </c>
      <c r="S80" s="290">
        <f t="shared" si="40"/>
        <v>0</v>
      </c>
      <c r="T80" s="290">
        <f t="shared" si="41"/>
        <v>0</v>
      </c>
      <c r="U80" s="291">
        <f t="shared" si="42"/>
        <v>1170.3</v>
      </c>
      <c r="V80" s="291">
        <f t="shared" si="46"/>
        <v>-1170.3</v>
      </c>
      <c r="W80" s="265">
        <f t="shared" si="50"/>
        <v>0</v>
      </c>
      <c r="X80" s="291">
        <f t="shared" si="47"/>
        <v>-1170.3</v>
      </c>
      <c r="Y80" s="170">
        <f t="shared" si="44"/>
        <v>102.46</v>
      </c>
      <c r="Z80" s="291">
        <f t="shared" si="45"/>
        <v>-102.46</v>
      </c>
      <c r="AC80" s="276">
        <f>IF(AI80=1,IF(AC79=MiscData!$F$1,EOMONTH(AC79,-11),EOMONTH(AC79,1)),AC79)</f>
        <v>42063</v>
      </c>
      <c r="AD80" s="275" t="str">
        <f t="shared" si="28"/>
        <v>20140101LGUM_206</v>
      </c>
      <c r="AE80" s="294" t="str">
        <f t="shared" si="29"/>
        <v>20140101RLS</v>
      </c>
      <c r="AF80" s="618" t="str">
        <f t="shared" si="48"/>
        <v>206</v>
      </c>
      <c r="AH80" s="265">
        <f>MiscData!$X$5</f>
        <v>20140101</v>
      </c>
      <c r="AI80" s="265">
        <f>IF(AI79+1&gt;MiscData!$AC$77,1,AI79+1)</f>
        <v>4</v>
      </c>
      <c r="AJ80" s="265" t="str">
        <f>VLOOKUP(AI80,MiscData!$AC$5:$AD$77,2,FALSE)</f>
        <v>LGUM_206</v>
      </c>
      <c r="AK80" s="265" t="str">
        <f>VLOOKUP(AJ80,MiscData!$AD$5:$AE$77,2,FALSE)</f>
        <v>RLS</v>
      </c>
      <c r="AT80" s="265" t="s">
        <v>223</v>
      </c>
      <c r="AV80" s="265">
        <v>-7.52</v>
      </c>
    </row>
    <row r="81" spans="1:48">
      <c r="A81" s="275">
        <f t="shared" si="49"/>
        <v>78</v>
      </c>
      <c r="B81" s="276" t="str">
        <f t="shared" si="25"/>
        <v>Feb 2015</v>
      </c>
      <c r="C81" s="277" t="str">
        <f t="shared" si="26"/>
        <v>RLS</v>
      </c>
      <c r="D81" s="277" t="str">
        <f t="shared" si="27"/>
        <v>LGUM_207</v>
      </c>
      <c r="E81" s="614">
        <f t="shared" si="30"/>
        <v>731</v>
      </c>
      <c r="F81" s="615">
        <v>0</v>
      </c>
      <c r="G81" s="614">
        <f t="shared" si="31"/>
        <v>0</v>
      </c>
      <c r="H81" s="615">
        <v>0</v>
      </c>
      <c r="I81" s="283">
        <f t="shared" si="32"/>
        <v>15.54</v>
      </c>
      <c r="J81" s="283">
        <f t="shared" si="33"/>
        <v>4.2000000000000011</v>
      </c>
      <c r="K81" s="285">
        <f t="shared" si="34"/>
        <v>11359.74</v>
      </c>
      <c r="L81" s="286">
        <v>0</v>
      </c>
      <c r="M81" s="286">
        <v>0</v>
      </c>
      <c r="N81" s="285">
        <f t="shared" si="35"/>
        <v>11359.74</v>
      </c>
      <c r="O81" s="616">
        <f t="shared" si="36"/>
        <v>0</v>
      </c>
      <c r="P81" s="289">
        <f t="shared" si="37"/>
        <v>0</v>
      </c>
      <c r="Q81" s="290">
        <f t="shared" si="38"/>
        <v>0</v>
      </c>
      <c r="R81" s="290">
        <f t="shared" si="39"/>
        <v>0</v>
      </c>
      <c r="S81" s="290">
        <f t="shared" si="40"/>
        <v>0</v>
      </c>
      <c r="T81" s="290">
        <f t="shared" si="41"/>
        <v>0</v>
      </c>
      <c r="U81" s="291">
        <f t="shared" si="42"/>
        <v>11359.74</v>
      </c>
      <c r="V81" s="291">
        <f t="shared" si="46"/>
        <v>-11359.74</v>
      </c>
      <c r="W81" s="265">
        <f t="shared" si="50"/>
        <v>0</v>
      </c>
      <c r="X81" s="291">
        <f t="shared" si="47"/>
        <v>-11359.74</v>
      </c>
      <c r="Y81" s="170">
        <f t="shared" si="44"/>
        <v>3070.2</v>
      </c>
      <c r="Z81" s="291">
        <f t="shared" si="45"/>
        <v>-3070.2</v>
      </c>
      <c r="AC81" s="276">
        <f>IF(AI81=1,IF(AC80=MiscData!$F$1,EOMONTH(AC80,-11),EOMONTH(AC80,1)),AC80)</f>
        <v>42063</v>
      </c>
      <c r="AD81" s="275" t="str">
        <f t="shared" si="28"/>
        <v>20140101LGUM_207</v>
      </c>
      <c r="AE81" s="294" t="str">
        <f t="shared" si="29"/>
        <v>20140101RLS</v>
      </c>
      <c r="AF81" s="618" t="str">
        <f t="shared" si="48"/>
        <v>207</v>
      </c>
      <c r="AH81" s="265">
        <f>MiscData!$X$5</f>
        <v>20140101</v>
      </c>
      <c r="AI81" s="265">
        <f>IF(AI80+1&gt;MiscData!$AC$77,1,AI80+1)</f>
        <v>5</v>
      </c>
      <c r="AJ81" s="265" t="str">
        <f>VLOOKUP(AI81,MiscData!$AC$5:$AD$77,2,FALSE)</f>
        <v>LGUM_207</v>
      </c>
      <c r="AK81" s="265" t="str">
        <f>VLOOKUP(AJ81,MiscData!$AD$5:$AE$77,2,FALSE)</f>
        <v>RLS</v>
      </c>
      <c r="AT81" s="265" t="s">
        <v>224</v>
      </c>
      <c r="AV81" s="265">
        <v>-421.74</v>
      </c>
    </row>
    <row r="82" spans="1:48">
      <c r="A82" s="275">
        <f t="shared" si="49"/>
        <v>79</v>
      </c>
      <c r="B82" s="276" t="str">
        <f t="shared" si="25"/>
        <v>Feb 2015</v>
      </c>
      <c r="C82" s="277" t="str">
        <f t="shared" si="26"/>
        <v>RLS</v>
      </c>
      <c r="D82" s="277" t="str">
        <f t="shared" si="27"/>
        <v>LGUM_208</v>
      </c>
      <c r="E82" s="614">
        <f t="shared" si="30"/>
        <v>1372</v>
      </c>
      <c r="F82" s="615">
        <v>0</v>
      </c>
      <c r="G82" s="614">
        <f t="shared" si="31"/>
        <v>0</v>
      </c>
      <c r="H82" s="615">
        <v>0</v>
      </c>
      <c r="I82" s="283">
        <f t="shared" si="32"/>
        <v>14.24</v>
      </c>
      <c r="J82" s="283">
        <f t="shared" si="33"/>
        <v>1.9100000000000001</v>
      </c>
      <c r="K82" s="285">
        <f t="shared" si="34"/>
        <v>19537.28</v>
      </c>
      <c r="L82" s="286">
        <v>0</v>
      </c>
      <c r="M82" s="286">
        <v>0</v>
      </c>
      <c r="N82" s="285">
        <f t="shared" si="35"/>
        <v>19537.28</v>
      </c>
      <c r="O82" s="616">
        <f t="shared" si="36"/>
        <v>0</v>
      </c>
      <c r="P82" s="289">
        <f t="shared" si="37"/>
        <v>0</v>
      </c>
      <c r="Q82" s="290">
        <f t="shared" si="38"/>
        <v>0</v>
      </c>
      <c r="R82" s="290">
        <f t="shared" si="39"/>
        <v>0</v>
      </c>
      <c r="S82" s="290">
        <f t="shared" si="40"/>
        <v>0</v>
      </c>
      <c r="T82" s="290">
        <f t="shared" si="41"/>
        <v>0</v>
      </c>
      <c r="U82" s="291">
        <f t="shared" si="42"/>
        <v>19537.28</v>
      </c>
      <c r="V82" s="291">
        <f t="shared" si="46"/>
        <v>-19537.28</v>
      </c>
      <c r="W82" s="265">
        <f t="shared" si="50"/>
        <v>0</v>
      </c>
      <c r="X82" s="291">
        <f t="shared" si="47"/>
        <v>-19537.28</v>
      </c>
      <c r="Y82" s="170">
        <f t="shared" si="44"/>
        <v>2620.52</v>
      </c>
      <c r="Z82" s="291">
        <f t="shared" si="45"/>
        <v>-2620.52</v>
      </c>
      <c r="AC82" s="276">
        <f>IF(AI82=1,IF(AC81=MiscData!$F$1,EOMONTH(AC81,-11),EOMONTH(AC81,1)),AC81)</f>
        <v>42063</v>
      </c>
      <c r="AD82" s="275" t="str">
        <f t="shared" si="28"/>
        <v>20140101LGUM_208</v>
      </c>
      <c r="AE82" s="294" t="str">
        <f t="shared" si="29"/>
        <v>20140101RLS</v>
      </c>
      <c r="AF82" s="618" t="str">
        <f t="shared" si="48"/>
        <v>208</v>
      </c>
      <c r="AH82" s="265">
        <f>MiscData!$X$5</f>
        <v>20140101</v>
      </c>
      <c r="AI82" s="265">
        <f>IF(AI81+1&gt;MiscData!$AC$77,1,AI81+1)</f>
        <v>6</v>
      </c>
      <c r="AJ82" s="265" t="str">
        <f>VLOOKUP(AI82,MiscData!$AC$5:$AD$77,2,FALSE)</f>
        <v>LGUM_208</v>
      </c>
      <c r="AK82" s="265" t="str">
        <f>VLOOKUP(AJ82,MiscData!$AD$5:$AE$77,2,FALSE)</f>
        <v>RLS</v>
      </c>
      <c r="AT82" s="265" t="s">
        <v>225</v>
      </c>
      <c r="AV82" s="265">
        <v>0</v>
      </c>
    </row>
    <row r="83" spans="1:48">
      <c r="A83" s="275">
        <f t="shared" si="49"/>
        <v>80</v>
      </c>
      <c r="B83" s="276" t="str">
        <f t="shared" si="25"/>
        <v>Feb 2015</v>
      </c>
      <c r="C83" s="277" t="str">
        <f t="shared" si="26"/>
        <v>RLS</v>
      </c>
      <c r="D83" s="277" t="str">
        <f t="shared" si="27"/>
        <v>LGUM_209</v>
      </c>
      <c r="E83" s="614">
        <f t="shared" si="30"/>
        <v>44</v>
      </c>
      <c r="F83" s="615">
        <v>0</v>
      </c>
      <c r="G83" s="614">
        <f t="shared" si="31"/>
        <v>0</v>
      </c>
      <c r="H83" s="615">
        <v>0</v>
      </c>
      <c r="I83" s="283">
        <f t="shared" si="32"/>
        <v>27.69</v>
      </c>
      <c r="J83" s="283">
        <f t="shared" si="33"/>
        <v>10.170000000000002</v>
      </c>
      <c r="K83" s="285">
        <f t="shared" si="34"/>
        <v>1218.3599999999999</v>
      </c>
      <c r="L83" s="286">
        <v>0</v>
      </c>
      <c r="M83" s="286">
        <v>0</v>
      </c>
      <c r="N83" s="285">
        <f t="shared" si="35"/>
        <v>1218.3599999999999</v>
      </c>
      <c r="O83" s="616">
        <f t="shared" si="36"/>
        <v>0</v>
      </c>
      <c r="P83" s="289">
        <f t="shared" si="37"/>
        <v>0</v>
      </c>
      <c r="Q83" s="290">
        <f t="shared" si="38"/>
        <v>0</v>
      </c>
      <c r="R83" s="290">
        <f t="shared" si="39"/>
        <v>0</v>
      </c>
      <c r="S83" s="290">
        <f t="shared" si="40"/>
        <v>0</v>
      </c>
      <c r="T83" s="290">
        <f t="shared" si="41"/>
        <v>0</v>
      </c>
      <c r="U83" s="291">
        <f t="shared" si="42"/>
        <v>1218.3599999999999</v>
      </c>
      <c r="V83" s="291">
        <f t="shared" si="46"/>
        <v>-1218.3599999999999</v>
      </c>
      <c r="W83" s="265">
        <f t="shared" si="50"/>
        <v>0</v>
      </c>
      <c r="X83" s="291">
        <f t="shared" si="47"/>
        <v>-1218.3599999999999</v>
      </c>
      <c r="Y83" s="170">
        <f t="shared" si="44"/>
        <v>447.48</v>
      </c>
      <c r="Z83" s="291">
        <f t="shared" si="45"/>
        <v>-447.48</v>
      </c>
      <c r="AC83" s="276">
        <f>IF(AI83=1,IF(AC82=MiscData!$F$1,EOMONTH(AC82,-11),EOMONTH(AC82,1)),AC82)</f>
        <v>42063</v>
      </c>
      <c r="AD83" s="275" t="str">
        <f t="shared" si="28"/>
        <v>20140101LGUM_209</v>
      </c>
      <c r="AE83" s="294" t="str">
        <f t="shared" si="29"/>
        <v>20140101RLS</v>
      </c>
      <c r="AF83" s="618" t="str">
        <f t="shared" si="48"/>
        <v>209</v>
      </c>
      <c r="AH83" s="265">
        <f>MiscData!$X$5</f>
        <v>20140101</v>
      </c>
      <c r="AI83" s="265">
        <f>IF(AI82+1&gt;MiscData!$AC$77,1,AI82+1)</f>
        <v>7</v>
      </c>
      <c r="AJ83" s="265" t="str">
        <f>VLOOKUP(AI83,MiscData!$AC$5:$AD$77,2,FALSE)</f>
        <v>LGUM_209</v>
      </c>
      <c r="AK83" s="265" t="str">
        <f>VLOOKUP(AJ83,MiscData!$AD$5:$AE$77,2,FALSE)</f>
        <v>RLS</v>
      </c>
      <c r="AT83" s="265" t="s">
        <v>226</v>
      </c>
      <c r="AV83" s="265">
        <v>-382</v>
      </c>
    </row>
    <row r="84" spans="1:48">
      <c r="A84" s="275">
        <f t="shared" si="49"/>
        <v>81</v>
      </c>
      <c r="B84" s="276" t="str">
        <f t="shared" si="25"/>
        <v>Feb 2015</v>
      </c>
      <c r="C84" s="277" t="str">
        <f t="shared" si="26"/>
        <v>RLS</v>
      </c>
      <c r="D84" s="277" t="str">
        <f t="shared" si="27"/>
        <v>LGUM_210</v>
      </c>
      <c r="E84" s="614">
        <f t="shared" si="30"/>
        <v>345</v>
      </c>
      <c r="F84" s="615">
        <v>0</v>
      </c>
      <c r="G84" s="614">
        <f t="shared" si="31"/>
        <v>0</v>
      </c>
      <c r="H84" s="615">
        <v>0</v>
      </c>
      <c r="I84" s="283">
        <f t="shared" si="32"/>
        <v>28.89</v>
      </c>
      <c r="J84" s="283">
        <f t="shared" si="33"/>
        <v>10.170000000000002</v>
      </c>
      <c r="K84" s="285">
        <f t="shared" si="34"/>
        <v>9967.0499999999993</v>
      </c>
      <c r="L84" s="286">
        <v>0</v>
      </c>
      <c r="M84" s="286">
        <v>0</v>
      </c>
      <c r="N84" s="285">
        <f t="shared" si="35"/>
        <v>9967.0499999999993</v>
      </c>
      <c r="O84" s="616">
        <f t="shared" si="36"/>
        <v>0</v>
      </c>
      <c r="P84" s="289">
        <f t="shared" si="37"/>
        <v>0</v>
      </c>
      <c r="Q84" s="290">
        <f t="shared" si="38"/>
        <v>0</v>
      </c>
      <c r="R84" s="290">
        <f t="shared" si="39"/>
        <v>0</v>
      </c>
      <c r="S84" s="290">
        <f t="shared" si="40"/>
        <v>0</v>
      </c>
      <c r="T84" s="290">
        <f t="shared" si="41"/>
        <v>0</v>
      </c>
      <c r="U84" s="291">
        <f t="shared" si="42"/>
        <v>9967.0499999999993</v>
      </c>
      <c r="V84" s="291">
        <f t="shared" si="46"/>
        <v>-9967.0499999999993</v>
      </c>
      <c r="W84" s="265">
        <f t="shared" si="50"/>
        <v>0</v>
      </c>
      <c r="X84" s="291">
        <f t="shared" si="47"/>
        <v>-9967.0499999999993</v>
      </c>
      <c r="Y84" s="170">
        <f t="shared" si="44"/>
        <v>3508.65</v>
      </c>
      <c r="Z84" s="291">
        <f t="shared" si="45"/>
        <v>-3508.65</v>
      </c>
      <c r="AC84" s="276">
        <f>IF(AI84=1,IF(AC83=MiscData!$F$1,EOMONTH(AC83,-11),EOMONTH(AC83,1)),AC83)</f>
        <v>42063</v>
      </c>
      <c r="AD84" s="275" t="str">
        <f t="shared" si="28"/>
        <v>20140101LGUM_210</v>
      </c>
      <c r="AE84" s="294" t="str">
        <f t="shared" si="29"/>
        <v>20140101RLS</v>
      </c>
      <c r="AF84" s="618" t="str">
        <f t="shared" si="48"/>
        <v>210</v>
      </c>
      <c r="AH84" s="265">
        <f>MiscData!$X$5</f>
        <v>20140101</v>
      </c>
      <c r="AI84" s="265">
        <f>IF(AI83+1&gt;MiscData!$AC$77,1,AI83+1)</f>
        <v>8</v>
      </c>
      <c r="AJ84" s="265" t="str">
        <f>VLOOKUP(AI84,MiscData!$AC$5:$AD$77,2,FALSE)</f>
        <v>LGUM_210</v>
      </c>
      <c r="AK84" s="265" t="str">
        <f>VLOOKUP(AJ84,MiscData!$AD$5:$AE$77,2,FALSE)</f>
        <v>RLS</v>
      </c>
      <c r="AT84" s="265" t="s">
        <v>227</v>
      </c>
      <c r="AV84" s="265">
        <v>96.81</v>
      </c>
    </row>
    <row r="85" spans="1:48">
      <c r="A85" s="275">
        <f t="shared" si="49"/>
        <v>82</v>
      </c>
      <c r="B85" s="276" t="str">
        <f t="shared" si="25"/>
        <v>Feb 2015</v>
      </c>
      <c r="C85" s="277" t="str">
        <f t="shared" si="26"/>
        <v>RLS</v>
      </c>
      <c r="D85" s="277" t="str">
        <f t="shared" si="27"/>
        <v>LGUM_252</v>
      </c>
      <c r="E85" s="614">
        <f t="shared" si="30"/>
        <v>3904</v>
      </c>
      <c r="F85" s="615">
        <v>0</v>
      </c>
      <c r="G85" s="614">
        <f t="shared" si="31"/>
        <v>0</v>
      </c>
      <c r="H85" s="615">
        <v>0</v>
      </c>
      <c r="I85" s="283">
        <f t="shared" si="32"/>
        <v>9.57</v>
      </c>
      <c r="J85" s="283">
        <f t="shared" si="33"/>
        <v>1.9099999999999993</v>
      </c>
      <c r="K85" s="285">
        <f t="shared" si="34"/>
        <v>37361.279999999999</v>
      </c>
      <c r="L85" s="286">
        <v>0</v>
      </c>
      <c r="M85" s="286">
        <v>0</v>
      </c>
      <c r="N85" s="285">
        <f t="shared" si="35"/>
        <v>37361.279999999999</v>
      </c>
      <c r="O85" s="616">
        <f t="shared" si="36"/>
        <v>0</v>
      </c>
      <c r="P85" s="289">
        <f t="shared" si="37"/>
        <v>0</v>
      </c>
      <c r="Q85" s="290">
        <f t="shared" si="38"/>
        <v>0</v>
      </c>
      <c r="R85" s="290">
        <f t="shared" si="39"/>
        <v>0</v>
      </c>
      <c r="S85" s="290">
        <f t="shared" si="40"/>
        <v>0</v>
      </c>
      <c r="T85" s="290">
        <f t="shared" si="41"/>
        <v>0</v>
      </c>
      <c r="U85" s="291">
        <f t="shared" si="42"/>
        <v>37361.279999999999</v>
      </c>
      <c r="V85" s="291">
        <f t="shared" si="46"/>
        <v>-37361.279999999999</v>
      </c>
      <c r="W85" s="265">
        <f t="shared" si="50"/>
        <v>0</v>
      </c>
      <c r="X85" s="291">
        <f t="shared" si="47"/>
        <v>-37361.279999999999</v>
      </c>
      <c r="Y85" s="170">
        <f t="shared" si="44"/>
        <v>7456.64</v>
      </c>
      <c r="Z85" s="291">
        <f t="shared" si="45"/>
        <v>-7456.64</v>
      </c>
      <c r="AC85" s="276">
        <f>IF(AI85=1,IF(AC84=MiscData!$F$1,EOMONTH(AC84,-11),EOMONTH(AC84,1)),AC84)</f>
        <v>42063</v>
      </c>
      <c r="AD85" s="275" t="str">
        <f t="shared" si="28"/>
        <v>20140101LGUM_252</v>
      </c>
      <c r="AE85" s="294" t="str">
        <f t="shared" si="29"/>
        <v>20140101RLS</v>
      </c>
      <c r="AF85" s="618" t="str">
        <f t="shared" si="48"/>
        <v>252</v>
      </c>
      <c r="AH85" s="265">
        <f>MiscData!$X$5</f>
        <v>20140101</v>
      </c>
      <c r="AI85" s="265">
        <f>IF(AI84+1&gt;MiscData!$AC$77,1,AI84+1)</f>
        <v>9</v>
      </c>
      <c r="AJ85" s="265" t="str">
        <f>VLOOKUP(AI85,MiscData!$AC$5:$AD$77,2,FALSE)</f>
        <v>LGUM_252</v>
      </c>
      <c r="AK85" s="265" t="str">
        <f>VLOOKUP(AJ85,MiscData!$AD$5:$AE$77,2,FALSE)</f>
        <v>RLS</v>
      </c>
      <c r="AT85" s="265" t="s">
        <v>228</v>
      </c>
      <c r="AV85" s="265">
        <v>-12.16</v>
      </c>
    </row>
    <row r="86" spans="1:48">
      <c r="A86" s="275">
        <f t="shared" si="49"/>
        <v>83</v>
      </c>
      <c r="B86" s="276" t="str">
        <f t="shared" si="25"/>
        <v>Feb 2015</v>
      </c>
      <c r="C86" s="277" t="str">
        <f t="shared" si="26"/>
        <v>RLS</v>
      </c>
      <c r="D86" s="277" t="str">
        <f t="shared" si="27"/>
        <v>LGUM_266</v>
      </c>
      <c r="E86" s="614">
        <f t="shared" si="30"/>
        <v>1874</v>
      </c>
      <c r="F86" s="615">
        <v>0</v>
      </c>
      <c r="G86" s="614">
        <f t="shared" si="31"/>
        <v>0</v>
      </c>
      <c r="H86" s="615">
        <v>0</v>
      </c>
      <c r="I86" s="283">
        <f t="shared" si="32"/>
        <v>27.34</v>
      </c>
      <c r="J86" s="283">
        <f t="shared" si="33"/>
        <v>2.8000000000000007</v>
      </c>
      <c r="K86" s="285">
        <f t="shared" si="34"/>
        <v>51235.16</v>
      </c>
      <c r="L86" s="286">
        <v>0</v>
      </c>
      <c r="M86" s="286">
        <v>0</v>
      </c>
      <c r="N86" s="285">
        <f t="shared" si="35"/>
        <v>51235.16</v>
      </c>
      <c r="O86" s="616">
        <f t="shared" si="36"/>
        <v>0</v>
      </c>
      <c r="P86" s="289">
        <f t="shared" si="37"/>
        <v>0</v>
      </c>
      <c r="Q86" s="290">
        <f t="shared" si="38"/>
        <v>0</v>
      </c>
      <c r="R86" s="290">
        <f t="shared" si="39"/>
        <v>0</v>
      </c>
      <c r="S86" s="290">
        <f t="shared" si="40"/>
        <v>0</v>
      </c>
      <c r="T86" s="290">
        <f t="shared" si="41"/>
        <v>0</v>
      </c>
      <c r="U86" s="291">
        <f t="shared" si="42"/>
        <v>51235.16</v>
      </c>
      <c r="V86" s="291">
        <f t="shared" si="46"/>
        <v>-51235.16</v>
      </c>
      <c r="W86" s="265">
        <f t="shared" si="50"/>
        <v>0</v>
      </c>
      <c r="X86" s="291">
        <f t="shared" si="47"/>
        <v>-51235.16</v>
      </c>
      <c r="Y86" s="170">
        <f t="shared" si="44"/>
        <v>5247.2</v>
      </c>
      <c r="Z86" s="291">
        <f t="shared" si="45"/>
        <v>-5247.2</v>
      </c>
      <c r="AC86" s="276">
        <f>IF(AI86=1,IF(AC85=MiscData!$F$1,EOMONTH(AC85,-11),EOMONTH(AC85,1)),AC85)</f>
        <v>42063</v>
      </c>
      <c r="AD86" s="275" t="str">
        <f t="shared" si="28"/>
        <v>20140101LGUM_266</v>
      </c>
      <c r="AE86" s="294" t="str">
        <f t="shared" si="29"/>
        <v>20140101RLS</v>
      </c>
      <c r="AF86" s="618" t="str">
        <f t="shared" si="48"/>
        <v>266</v>
      </c>
      <c r="AH86" s="265">
        <f>MiscData!$X$5</f>
        <v>20140101</v>
      </c>
      <c r="AI86" s="265">
        <f>IF(AI85+1&gt;MiscData!$AC$77,1,AI85+1)</f>
        <v>10</v>
      </c>
      <c r="AJ86" s="265" t="str">
        <f>VLOOKUP(AI86,MiscData!$AC$5:$AD$77,2,FALSE)</f>
        <v>LGUM_266</v>
      </c>
      <c r="AK86" s="265" t="str">
        <f>VLOOKUP(AJ86,MiscData!$AD$5:$AE$77,2,FALSE)</f>
        <v>RLS</v>
      </c>
      <c r="AT86" s="265" t="s">
        <v>229</v>
      </c>
      <c r="AV86" s="265">
        <v>-796.05</v>
      </c>
    </row>
    <row r="87" spans="1:48">
      <c r="A87" s="275">
        <f t="shared" si="49"/>
        <v>84</v>
      </c>
      <c r="B87" s="276" t="str">
        <f t="shared" si="25"/>
        <v>Feb 2015</v>
      </c>
      <c r="C87" s="277" t="str">
        <f t="shared" si="26"/>
        <v>RLS</v>
      </c>
      <c r="D87" s="277" t="str">
        <f t="shared" si="27"/>
        <v>LGUM_267</v>
      </c>
      <c r="E87" s="614">
        <f t="shared" si="30"/>
        <v>2165</v>
      </c>
      <c r="F87" s="615">
        <v>0</v>
      </c>
      <c r="G87" s="614">
        <f t="shared" si="31"/>
        <v>0</v>
      </c>
      <c r="H87" s="615">
        <v>0</v>
      </c>
      <c r="I87" s="283">
        <f t="shared" si="32"/>
        <v>31.4</v>
      </c>
      <c r="J87" s="283">
        <f t="shared" si="33"/>
        <v>4.4499999999999993</v>
      </c>
      <c r="K87" s="285">
        <f t="shared" si="34"/>
        <v>67981</v>
      </c>
      <c r="L87" s="286">
        <v>0</v>
      </c>
      <c r="M87" s="286">
        <v>0</v>
      </c>
      <c r="N87" s="285">
        <f t="shared" si="35"/>
        <v>67981</v>
      </c>
      <c r="O87" s="616">
        <f t="shared" si="36"/>
        <v>0</v>
      </c>
      <c r="P87" s="289">
        <f t="shared" si="37"/>
        <v>0</v>
      </c>
      <c r="Q87" s="290">
        <f t="shared" si="38"/>
        <v>0</v>
      </c>
      <c r="R87" s="290">
        <f t="shared" si="39"/>
        <v>0</v>
      </c>
      <c r="S87" s="290">
        <f t="shared" si="40"/>
        <v>0</v>
      </c>
      <c r="T87" s="290">
        <f t="shared" si="41"/>
        <v>0</v>
      </c>
      <c r="U87" s="291">
        <f t="shared" si="42"/>
        <v>67981</v>
      </c>
      <c r="V87" s="291">
        <f t="shared" si="46"/>
        <v>-67981</v>
      </c>
      <c r="W87" s="265">
        <f t="shared" si="50"/>
        <v>0</v>
      </c>
      <c r="X87" s="291">
        <f t="shared" si="47"/>
        <v>-67981</v>
      </c>
      <c r="Y87" s="170">
        <f t="shared" si="44"/>
        <v>9634.25</v>
      </c>
      <c r="Z87" s="291">
        <f t="shared" si="45"/>
        <v>-9634.25</v>
      </c>
      <c r="AC87" s="276">
        <f>IF(AI87=1,IF(AC86=MiscData!$F$1,EOMONTH(AC86,-11),EOMONTH(AC86,1)),AC86)</f>
        <v>42063</v>
      </c>
      <c r="AD87" s="275" t="str">
        <f t="shared" si="28"/>
        <v>20140101LGUM_267</v>
      </c>
      <c r="AE87" s="294" t="str">
        <f t="shared" si="29"/>
        <v>20140101RLS</v>
      </c>
      <c r="AF87" s="618" t="str">
        <f t="shared" si="48"/>
        <v>267</v>
      </c>
      <c r="AH87" s="265">
        <f>MiscData!$X$5</f>
        <v>20140101</v>
      </c>
      <c r="AI87" s="265">
        <f>IF(AI86+1&gt;MiscData!$AC$77,1,AI86+1)</f>
        <v>11</v>
      </c>
      <c r="AJ87" s="265" t="str">
        <f>VLOOKUP(AI87,MiscData!$AC$5:$AD$77,2,FALSE)</f>
        <v>LGUM_267</v>
      </c>
      <c r="AK87" s="265" t="str">
        <f>VLOOKUP(AJ87,MiscData!$AD$5:$AE$77,2,FALSE)</f>
        <v>RLS</v>
      </c>
      <c r="AT87" s="265" t="s">
        <v>230</v>
      </c>
      <c r="AV87" s="265">
        <v>0</v>
      </c>
    </row>
    <row r="88" spans="1:48">
      <c r="A88" s="275">
        <f t="shared" si="49"/>
        <v>85</v>
      </c>
      <c r="B88" s="276" t="str">
        <f t="shared" si="25"/>
        <v>Feb 2015</v>
      </c>
      <c r="C88" s="277" t="str">
        <f t="shared" si="26"/>
        <v>RLS</v>
      </c>
      <c r="D88" s="277" t="str">
        <f t="shared" si="27"/>
        <v>LGUM_274</v>
      </c>
      <c r="E88" s="614">
        <f t="shared" si="30"/>
        <v>16413</v>
      </c>
      <c r="F88" s="615">
        <v>0</v>
      </c>
      <c r="G88" s="614">
        <f t="shared" si="31"/>
        <v>0</v>
      </c>
      <c r="H88" s="615">
        <v>0</v>
      </c>
      <c r="I88" s="283">
        <f t="shared" si="32"/>
        <v>17.189999999999998</v>
      </c>
      <c r="J88" s="283">
        <f t="shared" si="33"/>
        <v>1.2699999999999996</v>
      </c>
      <c r="K88" s="285">
        <f t="shared" si="34"/>
        <v>282139.46999999997</v>
      </c>
      <c r="L88" s="286">
        <v>0</v>
      </c>
      <c r="M88" s="286">
        <v>0</v>
      </c>
      <c r="N88" s="285">
        <f t="shared" si="35"/>
        <v>282139.46999999997</v>
      </c>
      <c r="O88" s="616">
        <f t="shared" si="36"/>
        <v>0</v>
      </c>
      <c r="P88" s="289">
        <f t="shared" si="37"/>
        <v>0</v>
      </c>
      <c r="Q88" s="290">
        <f t="shared" si="38"/>
        <v>0</v>
      </c>
      <c r="R88" s="290">
        <f t="shared" si="39"/>
        <v>0</v>
      </c>
      <c r="S88" s="290">
        <f t="shared" si="40"/>
        <v>0</v>
      </c>
      <c r="T88" s="290">
        <f t="shared" si="41"/>
        <v>0</v>
      </c>
      <c r="U88" s="291">
        <f t="shared" si="42"/>
        <v>282139.46999999997</v>
      </c>
      <c r="V88" s="291">
        <f t="shared" si="46"/>
        <v>-282139.46999999997</v>
      </c>
      <c r="W88" s="265">
        <f t="shared" si="50"/>
        <v>0</v>
      </c>
      <c r="X88" s="291">
        <f t="shared" si="47"/>
        <v>-282139.46999999997</v>
      </c>
      <c r="Y88" s="170">
        <f t="shared" si="44"/>
        <v>20844.509999999998</v>
      </c>
      <c r="Z88" s="291">
        <f t="shared" si="45"/>
        <v>-20844.509999999998</v>
      </c>
      <c r="AC88" s="276">
        <f>IF(AI88=1,IF(AC87=MiscData!$F$1,EOMONTH(AC87,-11),EOMONTH(AC87,1)),AC87)</f>
        <v>42063</v>
      </c>
      <c r="AD88" s="275" t="str">
        <f t="shared" si="28"/>
        <v>20140101LGUM_274</v>
      </c>
      <c r="AE88" s="294" t="str">
        <f t="shared" si="29"/>
        <v>20140101RLS</v>
      </c>
      <c r="AF88" s="618" t="str">
        <f t="shared" si="48"/>
        <v>274</v>
      </c>
      <c r="AH88" s="265">
        <f>MiscData!$X$5</f>
        <v>20140101</v>
      </c>
      <c r="AI88" s="265">
        <f>IF(AI87+1&gt;MiscData!$AC$77,1,AI87+1)</f>
        <v>12</v>
      </c>
      <c r="AJ88" s="265" t="str">
        <f>VLOOKUP(AI88,MiscData!$AC$5:$AD$77,2,FALSE)</f>
        <v>LGUM_274</v>
      </c>
      <c r="AK88" s="265" t="str">
        <f>VLOOKUP(AJ88,MiscData!$AD$5:$AE$77,2,FALSE)</f>
        <v>RLS</v>
      </c>
      <c r="AT88" s="265" t="s">
        <v>231</v>
      </c>
      <c r="AV88" s="265">
        <v>30.48</v>
      </c>
    </row>
    <row r="89" spans="1:48">
      <c r="A89" s="275">
        <f t="shared" si="49"/>
        <v>86</v>
      </c>
      <c r="B89" s="276" t="str">
        <f t="shared" si="25"/>
        <v>Feb 2015</v>
      </c>
      <c r="C89" s="277" t="str">
        <f t="shared" si="26"/>
        <v>RLS</v>
      </c>
      <c r="D89" s="277" t="str">
        <f t="shared" si="27"/>
        <v>LGUM_275</v>
      </c>
      <c r="E89" s="614">
        <f t="shared" si="30"/>
        <v>507</v>
      </c>
      <c r="F89" s="615">
        <v>0</v>
      </c>
      <c r="G89" s="614">
        <f t="shared" si="31"/>
        <v>0</v>
      </c>
      <c r="H89" s="615">
        <v>0</v>
      </c>
      <c r="I89" s="283">
        <f t="shared" si="32"/>
        <v>24.89</v>
      </c>
      <c r="J89" s="283">
        <f t="shared" si="33"/>
        <v>1.7899999999999991</v>
      </c>
      <c r="K89" s="285">
        <f t="shared" si="34"/>
        <v>12619.23</v>
      </c>
      <c r="L89" s="286">
        <v>0</v>
      </c>
      <c r="M89" s="286">
        <v>0</v>
      </c>
      <c r="N89" s="285">
        <f t="shared" si="35"/>
        <v>12619.23</v>
      </c>
      <c r="O89" s="616">
        <f t="shared" si="36"/>
        <v>0</v>
      </c>
      <c r="P89" s="289">
        <f t="shared" si="37"/>
        <v>0</v>
      </c>
      <c r="Q89" s="290">
        <f t="shared" si="38"/>
        <v>0</v>
      </c>
      <c r="R89" s="290">
        <f t="shared" si="39"/>
        <v>0</v>
      </c>
      <c r="S89" s="290">
        <f t="shared" si="40"/>
        <v>0</v>
      </c>
      <c r="T89" s="290">
        <f t="shared" si="41"/>
        <v>0</v>
      </c>
      <c r="U89" s="291">
        <f t="shared" si="42"/>
        <v>12619.23</v>
      </c>
      <c r="V89" s="291">
        <f t="shared" si="46"/>
        <v>-12619.23</v>
      </c>
      <c r="W89" s="265">
        <f t="shared" si="50"/>
        <v>0</v>
      </c>
      <c r="X89" s="291">
        <f t="shared" si="47"/>
        <v>-12619.23</v>
      </c>
      <c r="Y89" s="170">
        <f t="shared" si="44"/>
        <v>907.53</v>
      </c>
      <c r="Z89" s="291">
        <f t="shared" si="45"/>
        <v>-907.53</v>
      </c>
      <c r="AC89" s="276">
        <f>IF(AI89=1,IF(AC88=MiscData!$F$1,EOMONTH(AC88,-11),EOMONTH(AC88,1)),AC88)</f>
        <v>42063</v>
      </c>
      <c r="AD89" s="275" t="str">
        <f t="shared" si="28"/>
        <v>20140101LGUM_275</v>
      </c>
      <c r="AE89" s="294" t="str">
        <f t="shared" si="29"/>
        <v>20140101RLS</v>
      </c>
      <c r="AF89" s="618" t="str">
        <f t="shared" si="48"/>
        <v>275</v>
      </c>
      <c r="AH89" s="265">
        <f>MiscData!$X$5</f>
        <v>20140101</v>
      </c>
      <c r="AI89" s="265">
        <f>IF(AI88+1&gt;MiscData!$AC$77,1,AI88+1)</f>
        <v>13</v>
      </c>
      <c r="AJ89" s="265" t="str">
        <f>VLOOKUP(AI89,MiscData!$AC$5:$AD$77,2,FALSE)</f>
        <v>LGUM_275</v>
      </c>
      <c r="AK89" s="265" t="str">
        <f>VLOOKUP(AJ89,MiscData!$AD$5:$AE$77,2,FALSE)</f>
        <v>RLS</v>
      </c>
      <c r="AT89" s="265" t="s">
        <v>232</v>
      </c>
      <c r="AV89" s="265">
        <v>-118.13</v>
      </c>
    </row>
    <row r="90" spans="1:48">
      <c r="A90" s="275">
        <f t="shared" si="49"/>
        <v>87</v>
      </c>
      <c r="B90" s="276" t="str">
        <f t="shared" si="25"/>
        <v>Feb 2015</v>
      </c>
      <c r="C90" s="277" t="str">
        <f t="shared" si="26"/>
        <v>RLS</v>
      </c>
      <c r="D90" s="277" t="str">
        <f t="shared" si="27"/>
        <v>LGUM_276</v>
      </c>
      <c r="E90" s="614">
        <f t="shared" si="30"/>
        <v>1296</v>
      </c>
      <c r="F90" s="615">
        <v>0</v>
      </c>
      <c r="G90" s="614">
        <f t="shared" si="31"/>
        <v>0</v>
      </c>
      <c r="H90" s="615">
        <v>0</v>
      </c>
      <c r="I90" s="283">
        <f t="shared" si="32"/>
        <v>14.17</v>
      </c>
      <c r="J90" s="283">
        <f t="shared" si="33"/>
        <v>0.88000000000000078</v>
      </c>
      <c r="K90" s="285">
        <f t="shared" si="34"/>
        <v>18364.32</v>
      </c>
      <c r="L90" s="286">
        <v>0</v>
      </c>
      <c r="M90" s="286">
        <v>0</v>
      </c>
      <c r="N90" s="285">
        <f t="shared" si="35"/>
        <v>18364.32</v>
      </c>
      <c r="O90" s="616">
        <f t="shared" si="36"/>
        <v>0</v>
      </c>
      <c r="P90" s="289">
        <f t="shared" si="37"/>
        <v>0</v>
      </c>
      <c r="Q90" s="290">
        <f t="shared" si="38"/>
        <v>0</v>
      </c>
      <c r="R90" s="290">
        <f t="shared" si="39"/>
        <v>0</v>
      </c>
      <c r="S90" s="290">
        <f t="shared" si="40"/>
        <v>0</v>
      </c>
      <c r="T90" s="290">
        <f t="shared" si="41"/>
        <v>0</v>
      </c>
      <c r="U90" s="291">
        <f t="shared" si="42"/>
        <v>18364.32</v>
      </c>
      <c r="V90" s="291">
        <f t="shared" si="46"/>
        <v>-18364.32</v>
      </c>
      <c r="W90" s="265">
        <f t="shared" si="50"/>
        <v>0</v>
      </c>
      <c r="X90" s="291">
        <f t="shared" si="47"/>
        <v>-18364.32</v>
      </c>
      <c r="Y90" s="170">
        <f t="shared" si="44"/>
        <v>1140.48</v>
      </c>
      <c r="Z90" s="291">
        <f t="shared" si="45"/>
        <v>-1140.48</v>
      </c>
      <c r="AC90" s="276">
        <f>IF(AI90=1,IF(AC89=MiscData!$F$1,EOMONTH(AC89,-11),EOMONTH(AC89,1)),AC89)</f>
        <v>42063</v>
      </c>
      <c r="AD90" s="275" t="str">
        <f t="shared" si="28"/>
        <v>20140101LGUM_276</v>
      </c>
      <c r="AE90" s="294" t="str">
        <f t="shared" si="29"/>
        <v>20140101RLS</v>
      </c>
      <c r="AF90" s="618" t="str">
        <f t="shared" si="48"/>
        <v>276</v>
      </c>
      <c r="AH90" s="265">
        <f>MiscData!$X$5</f>
        <v>20140101</v>
      </c>
      <c r="AI90" s="265">
        <f>IF(AI89+1&gt;MiscData!$AC$77,1,AI89+1)</f>
        <v>14</v>
      </c>
      <c r="AJ90" s="265" t="str">
        <f>VLOOKUP(AI90,MiscData!$AC$5:$AD$77,2,FALSE)</f>
        <v>LGUM_276</v>
      </c>
      <c r="AK90" s="265" t="str">
        <f>VLOOKUP(AJ90,MiscData!$AD$5:$AE$77,2,FALSE)</f>
        <v>RLS</v>
      </c>
      <c r="AT90" s="265" t="s">
        <v>233</v>
      </c>
      <c r="AV90" s="265">
        <v>0</v>
      </c>
    </row>
    <row r="91" spans="1:48">
      <c r="A91" s="275">
        <f t="shared" si="49"/>
        <v>88</v>
      </c>
      <c r="B91" s="276" t="str">
        <f t="shared" si="25"/>
        <v>Feb 2015</v>
      </c>
      <c r="C91" s="277" t="str">
        <f t="shared" si="26"/>
        <v>RLS</v>
      </c>
      <c r="D91" s="277" t="str">
        <f t="shared" si="27"/>
        <v>LGUM_277</v>
      </c>
      <c r="E91" s="614">
        <f t="shared" si="30"/>
        <v>2208</v>
      </c>
      <c r="F91" s="615">
        <v>0</v>
      </c>
      <c r="G91" s="614">
        <f t="shared" si="31"/>
        <v>0</v>
      </c>
      <c r="H91" s="615">
        <v>0</v>
      </c>
      <c r="I91" s="283">
        <f t="shared" si="32"/>
        <v>22.15</v>
      </c>
      <c r="J91" s="283">
        <f t="shared" si="33"/>
        <v>1.7900000000000027</v>
      </c>
      <c r="K91" s="285">
        <f t="shared" si="34"/>
        <v>48907.199999999997</v>
      </c>
      <c r="L91" s="286">
        <v>0</v>
      </c>
      <c r="M91" s="286">
        <v>0</v>
      </c>
      <c r="N91" s="285">
        <f t="shared" si="35"/>
        <v>48907.199999999997</v>
      </c>
      <c r="O91" s="616">
        <f t="shared" si="36"/>
        <v>0</v>
      </c>
      <c r="P91" s="289">
        <f t="shared" si="37"/>
        <v>0</v>
      </c>
      <c r="Q91" s="290">
        <f t="shared" si="38"/>
        <v>0</v>
      </c>
      <c r="R91" s="290">
        <f t="shared" si="39"/>
        <v>0</v>
      </c>
      <c r="S91" s="290">
        <f t="shared" si="40"/>
        <v>0</v>
      </c>
      <c r="T91" s="290">
        <f t="shared" si="41"/>
        <v>0</v>
      </c>
      <c r="U91" s="291">
        <f t="shared" si="42"/>
        <v>48907.199999999997</v>
      </c>
      <c r="V91" s="291">
        <f t="shared" si="46"/>
        <v>-48907.199999999997</v>
      </c>
      <c r="W91" s="265">
        <f t="shared" si="50"/>
        <v>0</v>
      </c>
      <c r="X91" s="291">
        <f t="shared" si="47"/>
        <v>-48907.199999999997</v>
      </c>
      <c r="Y91" s="170">
        <f t="shared" si="44"/>
        <v>3952.32</v>
      </c>
      <c r="Z91" s="291">
        <f t="shared" si="45"/>
        <v>-3952.32</v>
      </c>
      <c r="AC91" s="276">
        <f>IF(AI91=1,IF(AC90=MiscData!$F$1,EOMONTH(AC90,-11),EOMONTH(AC90,1)),AC90)</f>
        <v>42063</v>
      </c>
      <c r="AD91" s="275" t="str">
        <f t="shared" si="28"/>
        <v>20140101LGUM_277</v>
      </c>
      <c r="AE91" s="294" t="str">
        <f t="shared" si="29"/>
        <v>20140101RLS</v>
      </c>
      <c r="AF91" s="618" t="str">
        <f t="shared" si="48"/>
        <v>277</v>
      </c>
      <c r="AH91" s="265">
        <f>MiscData!$X$5</f>
        <v>20140101</v>
      </c>
      <c r="AI91" s="265">
        <f>IF(AI90+1&gt;MiscData!$AC$77,1,AI90+1)</f>
        <v>15</v>
      </c>
      <c r="AJ91" s="265" t="str">
        <f>VLOOKUP(AI91,MiscData!$AC$5:$AD$77,2,FALSE)</f>
        <v>LGUM_277</v>
      </c>
      <c r="AK91" s="265" t="str">
        <f>VLOOKUP(AJ91,MiscData!$AD$5:$AE$77,2,FALSE)</f>
        <v>RLS</v>
      </c>
      <c r="AT91" s="265" t="s">
        <v>234</v>
      </c>
      <c r="AV91" s="265">
        <v>0</v>
      </c>
    </row>
    <row r="92" spans="1:48">
      <c r="A92" s="275">
        <f t="shared" si="49"/>
        <v>89</v>
      </c>
      <c r="B92" s="276" t="str">
        <f t="shared" si="25"/>
        <v>Feb 2015</v>
      </c>
      <c r="C92" s="277" t="str">
        <f t="shared" si="26"/>
        <v>RLS</v>
      </c>
      <c r="D92" s="277" t="str">
        <f t="shared" si="27"/>
        <v>LGUM_278</v>
      </c>
      <c r="E92" s="614">
        <f t="shared" si="30"/>
        <v>17</v>
      </c>
      <c r="F92" s="615">
        <v>0</v>
      </c>
      <c r="G92" s="614">
        <f t="shared" si="31"/>
        <v>0</v>
      </c>
      <c r="H92" s="615">
        <v>0</v>
      </c>
      <c r="I92" s="283">
        <f t="shared" si="32"/>
        <v>72.550000000000011</v>
      </c>
      <c r="J92" s="283">
        <f t="shared" si="33"/>
        <v>9.8400000000000034</v>
      </c>
      <c r="K92" s="285">
        <f t="shared" si="34"/>
        <v>1233.3499999999999</v>
      </c>
      <c r="L92" s="286">
        <v>0</v>
      </c>
      <c r="M92" s="286">
        <v>0</v>
      </c>
      <c r="N92" s="285">
        <f t="shared" si="35"/>
        <v>1233.3499999999999</v>
      </c>
      <c r="O92" s="616">
        <f t="shared" si="36"/>
        <v>0</v>
      </c>
      <c r="P92" s="289">
        <f t="shared" si="37"/>
        <v>0</v>
      </c>
      <c r="Q92" s="290">
        <f t="shared" si="38"/>
        <v>0</v>
      </c>
      <c r="R92" s="290">
        <f t="shared" si="39"/>
        <v>0</v>
      </c>
      <c r="S92" s="290">
        <f t="shared" si="40"/>
        <v>0</v>
      </c>
      <c r="T92" s="290">
        <f t="shared" si="41"/>
        <v>0</v>
      </c>
      <c r="U92" s="291">
        <f t="shared" si="42"/>
        <v>1233.3499999999999</v>
      </c>
      <c r="V92" s="291">
        <f t="shared" si="46"/>
        <v>-1233.3499999999999</v>
      </c>
      <c r="W92" s="265">
        <f t="shared" si="50"/>
        <v>0</v>
      </c>
      <c r="X92" s="291">
        <f t="shared" si="47"/>
        <v>-1233.3499999999999</v>
      </c>
      <c r="Y92" s="170">
        <f t="shared" si="44"/>
        <v>167.28</v>
      </c>
      <c r="Z92" s="291">
        <f t="shared" si="45"/>
        <v>-167.28</v>
      </c>
      <c r="AC92" s="276">
        <f>IF(AI92=1,IF(AC91=MiscData!$F$1,EOMONTH(AC91,-11),EOMONTH(AC91,1)),AC91)</f>
        <v>42063</v>
      </c>
      <c r="AD92" s="275" t="str">
        <f t="shared" si="28"/>
        <v>20140101LGUM_278</v>
      </c>
      <c r="AE92" s="294" t="str">
        <f t="shared" si="29"/>
        <v>20140101RLS</v>
      </c>
      <c r="AF92" s="618" t="str">
        <f t="shared" si="48"/>
        <v>278</v>
      </c>
      <c r="AH92" s="265">
        <f>MiscData!$X$5</f>
        <v>20140101</v>
      </c>
      <c r="AI92" s="265">
        <f>IF(AI91+1&gt;MiscData!$AC$77,1,AI91+1)</f>
        <v>16</v>
      </c>
      <c r="AJ92" s="265" t="str">
        <f>VLOOKUP(AI92,MiscData!$AC$5:$AD$77,2,FALSE)</f>
        <v>LGUM_278</v>
      </c>
      <c r="AK92" s="265" t="str">
        <f>VLOOKUP(AJ92,MiscData!$AD$5:$AE$77,2,FALSE)</f>
        <v>RLS</v>
      </c>
      <c r="AT92" s="265" t="s">
        <v>235</v>
      </c>
      <c r="AV92" s="265">
        <v>0</v>
      </c>
    </row>
    <row r="93" spans="1:48">
      <c r="A93" s="275">
        <f t="shared" si="49"/>
        <v>90</v>
      </c>
      <c r="B93" s="276" t="str">
        <f t="shared" si="25"/>
        <v>Feb 2015</v>
      </c>
      <c r="C93" s="277" t="str">
        <f t="shared" si="26"/>
        <v>RLS</v>
      </c>
      <c r="D93" s="277" t="str">
        <f t="shared" si="27"/>
        <v>LGUM_279</v>
      </c>
      <c r="E93" s="614">
        <f t="shared" si="30"/>
        <v>11</v>
      </c>
      <c r="F93" s="615">
        <v>0</v>
      </c>
      <c r="G93" s="614">
        <f t="shared" si="31"/>
        <v>0</v>
      </c>
      <c r="H93" s="615">
        <v>0</v>
      </c>
      <c r="I93" s="283">
        <f t="shared" si="32"/>
        <v>41.43</v>
      </c>
      <c r="J93" s="283">
        <f t="shared" si="33"/>
        <v>9.8399999999999963</v>
      </c>
      <c r="K93" s="285">
        <f t="shared" si="34"/>
        <v>455.73</v>
      </c>
      <c r="L93" s="286">
        <v>0</v>
      </c>
      <c r="M93" s="286">
        <v>0</v>
      </c>
      <c r="N93" s="285">
        <f t="shared" si="35"/>
        <v>455.73</v>
      </c>
      <c r="O93" s="616">
        <f t="shared" si="36"/>
        <v>0</v>
      </c>
      <c r="P93" s="289">
        <f t="shared" si="37"/>
        <v>0</v>
      </c>
      <c r="Q93" s="290">
        <f t="shared" si="38"/>
        <v>0</v>
      </c>
      <c r="R93" s="290">
        <f t="shared" si="39"/>
        <v>0</v>
      </c>
      <c r="S93" s="290">
        <f t="shared" si="40"/>
        <v>0</v>
      </c>
      <c r="T93" s="290">
        <f t="shared" si="41"/>
        <v>0</v>
      </c>
      <c r="U93" s="291">
        <f t="shared" si="42"/>
        <v>455.73</v>
      </c>
      <c r="V93" s="291">
        <f t="shared" si="46"/>
        <v>-455.73</v>
      </c>
      <c r="W93" s="265">
        <f t="shared" si="50"/>
        <v>0</v>
      </c>
      <c r="X93" s="291">
        <f t="shared" si="47"/>
        <v>-455.73</v>
      </c>
      <c r="Y93" s="170">
        <f t="shared" si="44"/>
        <v>108.24</v>
      </c>
      <c r="Z93" s="291">
        <f t="shared" si="45"/>
        <v>-108.24</v>
      </c>
      <c r="AC93" s="276">
        <f>IF(AI93=1,IF(AC92=MiscData!$F$1,EOMONTH(AC92,-11),EOMONTH(AC92,1)),AC92)</f>
        <v>42063</v>
      </c>
      <c r="AD93" s="275" t="str">
        <f t="shared" si="28"/>
        <v>20140101LGUM_279</v>
      </c>
      <c r="AE93" s="294" t="str">
        <f t="shared" si="29"/>
        <v>20140101RLS</v>
      </c>
      <c r="AF93" s="618" t="str">
        <f t="shared" si="48"/>
        <v>279</v>
      </c>
      <c r="AH93" s="265">
        <f>MiscData!$X$5</f>
        <v>20140101</v>
      </c>
      <c r="AI93" s="265">
        <f>IF(AI92+1&gt;MiscData!$AC$77,1,AI92+1)</f>
        <v>17</v>
      </c>
      <c r="AJ93" s="265" t="str">
        <f>VLOOKUP(AI93,MiscData!$AC$5:$AD$77,2,FALSE)</f>
        <v>LGUM_279</v>
      </c>
      <c r="AK93" s="265" t="str">
        <f>VLOOKUP(AJ93,MiscData!$AD$5:$AE$77,2,FALSE)</f>
        <v>RLS</v>
      </c>
      <c r="AT93" s="265" t="s">
        <v>236</v>
      </c>
      <c r="AV93" s="265">
        <v>0</v>
      </c>
    </row>
    <row r="94" spans="1:48">
      <c r="A94" s="275">
        <f t="shared" si="49"/>
        <v>91</v>
      </c>
      <c r="B94" s="276" t="str">
        <f t="shared" ref="B94:B157" si="51">TEXT(AC94,"mmm yyyy")</f>
        <v>Feb 2015</v>
      </c>
      <c r="C94" s="277" t="str">
        <f t="shared" ref="C94:C157" si="52">AK94</f>
        <v>RLS</v>
      </c>
      <c r="D94" s="277" t="str">
        <f t="shared" ref="D94:D157" si="53">AJ94</f>
        <v>LGUM_280</v>
      </c>
      <c r="E94" s="614">
        <f t="shared" si="30"/>
        <v>44</v>
      </c>
      <c r="F94" s="615">
        <v>0</v>
      </c>
      <c r="G94" s="614">
        <f t="shared" si="31"/>
        <v>0</v>
      </c>
      <c r="H94" s="615">
        <v>0</v>
      </c>
      <c r="I94" s="283">
        <f t="shared" si="32"/>
        <v>19.38</v>
      </c>
      <c r="J94" s="283">
        <f t="shared" si="33"/>
        <v>0.87999999999999901</v>
      </c>
      <c r="K94" s="285">
        <f t="shared" si="34"/>
        <v>852.72</v>
      </c>
      <c r="L94" s="286">
        <v>0</v>
      </c>
      <c r="M94" s="286">
        <v>0</v>
      </c>
      <c r="N94" s="285">
        <f t="shared" si="35"/>
        <v>852.72</v>
      </c>
      <c r="O94" s="616">
        <f t="shared" si="36"/>
        <v>0</v>
      </c>
      <c r="P94" s="289">
        <f t="shared" si="37"/>
        <v>0</v>
      </c>
      <c r="Q94" s="290">
        <f t="shared" si="38"/>
        <v>0</v>
      </c>
      <c r="R94" s="290">
        <f t="shared" si="39"/>
        <v>0</v>
      </c>
      <c r="S94" s="290">
        <f t="shared" si="40"/>
        <v>0</v>
      </c>
      <c r="T94" s="290">
        <f t="shared" si="41"/>
        <v>0</v>
      </c>
      <c r="U94" s="291">
        <f t="shared" si="42"/>
        <v>852.72</v>
      </c>
      <c r="V94" s="291">
        <f t="shared" si="46"/>
        <v>-852.72</v>
      </c>
      <c r="W94" s="265">
        <f t="shared" si="50"/>
        <v>0</v>
      </c>
      <c r="X94" s="291">
        <f t="shared" si="47"/>
        <v>-852.72</v>
      </c>
      <c r="Y94" s="170">
        <f t="shared" si="44"/>
        <v>38.72</v>
      </c>
      <c r="Z94" s="291">
        <f t="shared" si="45"/>
        <v>-38.72</v>
      </c>
      <c r="AC94" s="276">
        <f>IF(AI94=1,IF(AC93=MiscData!$F$1,EOMONTH(AC93,-11),EOMONTH(AC93,1)),AC93)</f>
        <v>42063</v>
      </c>
      <c r="AD94" s="275" t="str">
        <f t="shared" ref="AD94:AD157" si="54">CONCATENATE(AH94&amp;AJ94)</f>
        <v>20140101LGUM_280</v>
      </c>
      <c r="AE94" s="294" t="str">
        <f t="shared" ref="AE94:AE157" si="55">CONCATENATE(AH94&amp;AK94)</f>
        <v>20140101RLS</v>
      </c>
      <c r="AF94" s="618" t="str">
        <f t="shared" si="48"/>
        <v>280</v>
      </c>
      <c r="AH94" s="265">
        <f>MiscData!$X$5</f>
        <v>20140101</v>
      </c>
      <c r="AI94" s="265">
        <f>IF(AI93+1&gt;MiscData!$AC$77,1,AI93+1)</f>
        <v>18</v>
      </c>
      <c r="AJ94" s="265" t="str">
        <f>VLOOKUP(AI94,MiscData!$AC$5:$AD$77,2,FALSE)</f>
        <v>LGUM_280</v>
      </c>
      <c r="AK94" s="265" t="str">
        <f>VLOOKUP(AJ94,MiscData!$AD$5:$AE$77,2,FALSE)</f>
        <v>RLS</v>
      </c>
      <c r="AT94" s="265" t="s">
        <v>237</v>
      </c>
      <c r="AV94" s="265">
        <v>0</v>
      </c>
    </row>
    <row r="95" spans="1:48">
      <c r="A95" s="275">
        <f t="shared" si="49"/>
        <v>92</v>
      </c>
      <c r="B95" s="276" t="str">
        <f t="shared" si="51"/>
        <v>Feb 2015</v>
      </c>
      <c r="C95" s="277" t="str">
        <f t="shared" si="52"/>
        <v>RLS</v>
      </c>
      <c r="D95" s="277" t="str">
        <f t="shared" si="53"/>
        <v>LGUM_281</v>
      </c>
      <c r="E95" s="614">
        <f t="shared" si="30"/>
        <v>236</v>
      </c>
      <c r="F95" s="615">
        <v>0</v>
      </c>
      <c r="G95" s="614">
        <f t="shared" si="31"/>
        <v>0</v>
      </c>
      <c r="H95" s="615">
        <v>0</v>
      </c>
      <c r="I95" s="283">
        <f t="shared" si="32"/>
        <v>20.349999999999998</v>
      </c>
      <c r="J95" s="283">
        <f t="shared" si="33"/>
        <v>1.2699999999999996</v>
      </c>
      <c r="K95" s="285">
        <f t="shared" si="34"/>
        <v>4802.6000000000004</v>
      </c>
      <c r="L95" s="286">
        <v>0</v>
      </c>
      <c r="M95" s="286">
        <v>0</v>
      </c>
      <c r="N95" s="285">
        <f t="shared" si="35"/>
        <v>4802.6000000000004</v>
      </c>
      <c r="O95" s="616">
        <f t="shared" si="36"/>
        <v>0</v>
      </c>
      <c r="P95" s="289">
        <f t="shared" si="37"/>
        <v>0</v>
      </c>
      <c r="Q95" s="290">
        <f t="shared" si="38"/>
        <v>0</v>
      </c>
      <c r="R95" s="290">
        <f t="shared" si="39"/>
        <v>0</v>
      </c>
      <c r="S95" s="290">
        <f t="shared" si="40"/>
        <v>0</v>
      </c>
      <c r="T95" s="290">
        <f t="shared" si="41"/>
        <v>0</v>
      </c>
      <c r="U95" s="291">
        <f t="shared" si="42"/>
        <v>4802.6000000000004</v>
      </c>
      <c r="V95" s="291">
        <f t="shared" si="46"/>
        <v>-4802.6000000000004</v>
      </c>
      <c r="W95" s="265">
        <f t="shared" si="50"/>
        <v>0</v>
      </c>
      <c r="X95" s="291">
        <f t="shared" si="47"/>
        <v>-4802.6000000000004</v>
      </c>
      <c r="Y95" s="170">
        <f t="shared" si="44"/>
        <v>299.72000000000003</v>
      </c>
      <c r="Z95" s="291">
        <f t="shared" si="45"/>
        <v>-299.72000000000003</v>
      </c>
      <c r="AC95" s="276">
        <f>IF(AI95=1,IF(AC94=MiscData!$F$1,EOMONTH(AC94,-11),EOMONTH(AC94,1)),AC94)</f>
        <v>42063</v>
      </c>
      <c r="AD95" s="275" t="str">
        <f t="shared" si="54"/>
        <v>20140101LGUM_281</v>
      </c>
      <c r="AE95" s="294" t="str">
        <f t="shared" si="55"/>
        <v>20140101RLS</v>
      </c>
      <c r="AF95" s="618" t="str">
        <f t="shared" si="48"/>
        <v>281</v>
      </c>
      <c r="AH95" s="265">
        <f>MiscData!$X$5</f>
        <v>20140101</v>
      </c>
      <c r="AI95" s="265">
        <f>IF(AI94+1&gt;MiscData!$AC$77,1,AI94+1)</f>
        <v>19</v>
      </c>
      <c r="AJ95" s="265" t="str">
        <f>VLOOKUP(AI95,MiscData!$AC$5:$AD$77,2,FALSE)</f>
        <v>LGUM_281</v>
      </c>
      <c r="AK95" s="265" t="str">
        <f>VLOOKUP(AJ95,MiscData!$AD$5:$AE$77,2,FALSE)</f>
        <v>RLS</v>
      </c>
      <c r="AT95" s="265" t="s">
        <v>238</v>
      </c>
      <c r="AV95" s="265">
        <v>0</v>
      </c>
    </row>
    <row r="96" spans="1:48">
      <c r="A96" s="275">
        <f t="shared" si="49"/>
        <v>93</v>
      </c>
      <c r="B96" s="276" t="str">
        <f t="shared" si="51"/>
        <v>Feb 2015</v>
      </c>
      <c r="C96" s="277" t="str">
        <f t="shared" si="52"/>
        <v>RLS</v>
      </c>
      <c r="D96" s="277" t="str">
        <f t="shared" si="53"/>
        <v>LGUM_282</v>
      </c>
      <c r="E96" s="614">
        <f t="shared" si="30"/>
        <v>101</v>
      </c>
      <c r="F96" s="615">
        <v>0</v>
      </c>
      <c r="G96" s="614">
        <f t="shared" si="31"/>
        <v>0</v>
      </c>
      <c r="H96" s="615">
        <v>0</v>
      </c>
      <c r="I96" s="283">
        <f t="shared" si="32"/>
        <v>19.53</v>
      </c>
      <c r="J96" s="283">
        <f t="shared" si="33"/>
        <v>0.87999999999999901</v>
      </c>
      <c r="K96" s="285">
        <f t="shared" si="34"/>
        <v>1972.53</v>
      </c>
      <c r="L96" s="286">
        <v>0</v>
      </c>
      <c r="M96" s="286">
        <v>0</v>
      </c>
      <c r="N96" s="285">
        <f t="shared" si="35"/>
        <v>1972.53</v>
      </c>
      <c r="O96" s="616">
        <f t="shared" si="36"/>
        <v>0</v>
      </c>
      <c r="P96" s="289">
        <f t="shared" si="37"/>
        <v>0</v>
      </c>
      <c r="Q96" s="290">
        <f t="shared" si="38"/>
        <v>0</v>
      </c>
      <c r="R96" s="290">
        <f t="shared" si="39"/>
        <v>0</v>
      </c>
      <c r="S96" s="290">
        <f t="shared" si="40"/>
        <v>0</v>
      </c>
      <c r="T96" s="290">
        <f t="shared" si="41"/>
        <v>0</v>
      </c>
      <c r="U96" s="291">
        <f t="shared" si="42"/>
        <v>1972.53</v>
      </c>
      <c r="V96" s="291">
        <f t="shared" si="46"/>
        <v>-1972.53</v>
      </c>
      <c r="W96" s="265">
        <f t="shared" si="50"/>
        <v>0</v>
      </c>
      <c r="X96" s="291">
        <f t="shared" si="47"/>
        <v>-1972.53</v>
      </c>
      <c r="Y96" s="170">
        <f t="shared" si="44"/>
        <v>88.88</v>
      </c>
      <c r="Z96" s="291">
        <f t="shared" si="45"/>
        <v>-88.88</v>
      </c>
      <c r="AC96" s="276">
        <f>IF(AI96=1,IF(AC95=MiscData!$F$1,EOMONTH(AC95,-11),EOMONTH(AC95,1)),AC95)</f>
        <v>42063</v>
      </c>
      <c r="AD96" s="275" t="str">
        <f t="shared" si="54"/>
        <v>20140101LGUM_282</v>
      </c>
      <c r="AE96" s="294" t="str">
        <f t="shared" si="55"/>
        <v>20140101RLS</v>
      </c>
      <c r="AF96" s="618" t="str">
        <f t="shared" si="48"/>
        <v>282</v>
      </c>
      <c r="AH96" s="265">
        <f>MiscData!$X$5</f>
        <v>20140101</v>
      </c>
      <c r="AI96" s="265">
        <f>IF(AI95+1&gt;MiscData!$AC$77,1,AI95+1)</f>
        <v>20</v>
      </c>
      <c r="AJ96" s="265" t="str">
        <f>VLOOKUP(AI96,MiscData!$AC$5:$AD$77,2,FALSE)</f>
        <v>LGUM_282</v>
      </c>
      <c r="AK96" s="265" t="str">
        <f>VLOOKUP(AJ96,MiscData!$AD$5:$AE$77,2,FALSE)</f>
        <v>RLS</v>
      </c>
      <c r="AT96" s="265" t="s">
        <v>379</v>
      </c>
      <c r="AV96" s="265">
        <v>0</v>
      </c>
    </row>
    <row r="97" spans="1:48">
      <c r="A97" s="275">
        <f t="shared" si="49"/>
        <v>94</v>
      </c>
      <c r="B97" s="276" t="str">
        <f t="shared" si="51"/>
        <v>Feb 2015</v>
      </c>
      <c r="C97" s="277" t="str">
        <f t="shared" si="52"/>
        <v>RLS</v>
      </c>
      <c r="D97" s="277" t="str">
        <f t="shared" si="53"/>
        <v>LGUM_283</v>
      </c>
      <c r="E97" s="614">
        <f t="shared" si="30"/>
        <v>90</v>
      </c>
      <c r="F97" s="615">
        <v>0</v>
      </c>
      <c r="G97" s="614">
        <f t="shared" si="31"/>
        <v>0</v>
      </c>
      <c r="H97" s="615">
        <v>0</v>
      </c>
      <c r="I97" s="283">
        <f t="shared" si="32"/>
        <v>20.819999999999997</v>
      </c>
      <c r="J97" s="283">
        <f t="shared" si="33"/>
        <v>1.2699999999999996</v>
      </c>
      <c r="K97" s="285">
        <f t="shared" si="34"/>
        <v>1873.8</v>
      </c>
      <c r="L97" s="286">
        <v>0</v>
      </c>
      <c r="M97" s="286">
        <v>0</v>
      </c>
      <c r="N97" s="285">
        <f t="shared" si="35"/>
        <v>1873.8</v>
      </c>
      <c r="O97" s="616">
        <f t="shared" si="36"/>
        <v>0</v>
      </c>
      <c r="P97" s="289">
        <f t="shared" si="37"/>
        <v>0</v>
      </c>
      <c r="Q97" s="290">
        <f t="shared" si="38"/>
        <v>0</v>
      </c>
      <c r="R97" s="290">
        <f t="shared" si="39"/>
        <v>0</v>
      </c>
      <c r="S97" s="290">
        <f t="shared" si="40"/>
        <v>0</v>
      </c>
      <c r="T97" s="290">
        <f t="shared" si="41"/>
        <v>0</v>
      </c>
      <c r="U97" s="291">
        <f t="shared" si="42"/>
        <v>1873.8</v>
      </c>
      <c r="V97" s="291">
        <f t="shared" si="46"/>
        <v>-1873.8</v>
      </c>
      <c r="W97" s="265">
        <f t="shared" si="50"/>
        <v>0</v>
      </c>
      <c r="X97" s="291">
        <f t="shared" si="47"/>
        <v>-1873.8</v>
      </c>
      <c r="Y97" s="170">
        <f t="shared" si="44"/>
        <v>114.3</v>
      </c>
      <c r="Z97" s="291">
        <f t="shared" si="45"/>
        <v>-114.3</v>
      </c>
      <c r="AC97" s="276">
        <f>IF(AI97=1,IF(AC96=MiscData!$F$1,EOMONTH(AC96,-11),EOMONTH(AC96,1)),AC96)</f>
        <v>42063</v>
      </c>
      <c r="AD97" s="275" t="str">
        <f t="shared" si="54"/>
        <v>20140101LGUM_283</v>
      </c>
      <c r="AE97" s="294" t="str">
        <f t="shared" si="55"/>
        <v>20140101RLS</v>
      </c>
      <c r="AF97" s="618" t="str">
        <f t="shared" si="48"/>
        <v>283</v>
      </c>
      <c r="AH97" s="265">
        <f>MiscData!$X$5</f>
        <v>20140101</v>
      </c>
      <c r="AI97" s="265">
        <f>IF(AI96+1&gt;MiscData!$AC$77,1,AI96+1)</f>
        <v>21</v>
      </c>
      <c r="AJ97" s="265" t="str">
        <f>VLOOKUP(AI97,MiscData!$AC$5:$AD$77,2,FALSE)</f>
        <v>LGUM_283</v>
      </c>
      <c r="AK97" s="265" t="str">
        <f>VLOOKUP(AJ97,MiscData!$AD$5:$AE$77,2,FALSE)</f>
        <v>RLS</v>
      </c>
      <c r="AT97" s="265" t="s">
        <v>239</v>
      </c>
      <c r="AV97" s="265">
        <v>-14.17</v>
      </c>
    </row>
    <row r="98" spans="1:48">
      <c r="A98" s="275">
        <f t="shared" si="49"/>
        <v>95</v>
      </c>
      <c r="B98" s="276" t="str">
        <f t="shared" si="51"/>
        <v>Feb 2015</v>
      </c>
      <c r="C98" s="277" t="str">
        <f t="shared" si="52"/>
        <v>RLS</v>
      </c>
      <c r="D98" s="277" t="str">
        <f t="shared" si="53"/>
        <v>LGUM_314</v>
      </c>
      <c r="E98" s="614">
        <f t="shared" si="30"/>
        <v>530</v>
      </c>
      <c r="F98" s="615">
        <v>0</v>
      </c>
      <c r="G98" s="614">
        <f t="shared" si="31"/>
        <v>0</v>
      </c>
      <c r="H98" s="615">
        <v>0</v>
      </c>
      <c r="I98" s="283">
        <f t="shared" si="32"/>
        <v>19.2</v>
      </c>
      <c r="J98" s="283">
        <f t="shared" si="33"/>
        <v>2.7100000000000009</v>
      </c>
      <c r="K98" s="285">
        <f t="shared" si="34"/>
        <v>10176</v>
      </c>
      <c r="L98" s="286">
        <v>0</v>
      </c>
      <c r="M98" s="286">
        <v>0</v>
      </c>
      <c r="N98" s="285">
        <f t="shared" si="35"/>
        <v>10176</v>
      </c>
      <c r="O98" s="616">
        <f t="shared" si="36"/>
        <v>0</v>
      </c>
      <c r="P98" s="289">
        <f t="shared" si="37"/>
        <v>0</v>
      </c>
      <c r="Q98" s="290">
        <f t="shared" si="38"/>
        <v>0</v>
      </c>
      <c r="R98" s="290">
        <f t="shared" si="39"/>
        <v>0</v>
      </c>
      <c r="S98" s="290">
        <f t="shared" si="40"/>
        <v>0</v>
      </c>
      <c r="T98" s="290">
        <f t="shared" si="41"/>
        <v>0</v>
      </c>
      <c r="U98" s="291">
        <f t="shared" si="42"/>
        <v>10176</v>
      </c>
      <c r="V98" s="291">
        <f t="shared" si="46"/>
        <v>-10176</v>
      </c>
      <c r="W98" s="265">
        <f t="shared" si="50"/>
        <v>0</v>
      </c>
      <c r="X98" s="291">
        <f t="shared" si="47"/>
        <v>-10176</v>
      </c>
      <c r="Y98" s="170">
        <f t="shared" si="44"/>
        <v>1436.3</v>
      </c>
      <c r="Z98" s="291">
        <f t="shared" si="45"/>
        <v>-1436.3</v>
      </c>
      <c r="AC98" s="276">
        <f>IF(AI98=1,IF(AC97=MiscData!$F$1,EOMONTH(AC97,-11),EOMONTH(AC97,1)),AC97)</f>
        <v>42063</v>
      </c>
      <c r="AD98" s="275" t="str">
        <f t="shared" si="54"/>
        <v>20140101LGUM_314</v>
      </c>
      <c r="AE98" s="294" t="str">
        <f t="shared" si="55"/>
        <v>20140101RLS</v>
      </c>
      <c r="AF98" s="618" t="str">
        <f t="shared" si="48"/>
        <v>314</v>
      </c>
      <c r="AH98" s="265">
        <f>MiscData!$X$5</f>
        <v>20140101</v>
      </c>
      <c r="AI98" s="265">
        <f>IF(AI97+1&gt;MiscData!$AC$77,1,AI97+1)</f>
        <v>22</v>
      </c>
      <c r="AJ98" s="265" t="str">
        <f>VLOOKUP(AI98,MiscData!$AC$5:$AD$77,2,FALSE)</f>
        <v>LGUM_314</v>
      </c>
      <c r="AK98" s="265" t="str">
        <f>VLOOKUP(AJ98,MiscData!$AD$5:$AE$77,2,FALSE)</f>
        <v>RLS</v>
      </c>
      <c r="AT98" s="265" t="s">
        <v>241</v>
      </c>
      <c r="AV98" s="265">
        <v>-40.6</v>
      </c>
    </row>
    <row r="99" spans="1:48">
      <c r="A99" s="275">
        <f t="shared" si="49"/>
        <v>96</v>
      </c>
      <c r="B99" s="276" t="str">
        <f t="shared" si="51"/>
        <v>Feb 2015</v>
      </c>
      <c r="C99" s="277" t="str">
        <f t="shared" si="52"/>
        <v>RLS</v>
      </c>
      <c r="D99" s="277" t="str">
        <f t="shared" si="53"/>
        <v>LGUM_315</v>
      </c>
      <c r="E99" s="614">
        <f t="shared" si="30"/>
        <v>501</v>
      </c>
      <c r="F99" s="615">
        <v>0</v>
      </c>
      <c r="G99" s="614">
        <f t="shared" si="31"/>
        <v>0</v>
      </c>
      <c r="H99" s="615">
        <v>0</v>
      </c>
      <c r="I99" s="283">
        <f t="shared" si="32"/>
        <v>22.949999999999996</v>
      </c>
      <c r="J99" s="283">
        <f t="shared" si="33"/>
        <v>4.1999999999999993</v>
      </c>
      <c r="K99" s="285">
        <f t="shared" si="34"/>
        <v>11497.95</v>
      </c>
      <c r="L99" s="286">
        <v>0</v>
      </c>
      <c r="M99" s="286">
        <v>0</v>
      </c>
      <c r="N99" s="285">
        <f t="shared" si="35"/>
        <v>11497.95</v>
      </c>
      <c r="O99" s="616">
        <f t="shared" si="36"/>
        <v>0</v>
      </c>
      <c r="P99" s="289">
        <f t="shared" si="37"/>
        <v>0</v>
      </c>
      <c r="Q99" s="290">
        <f t="shared" si="38"/>
        <v>0</v>
      </c>
      <c r="R99" s="290">
        <f t="shared" si="39"/>
        <v>0</v>
      </c>
      <c r="S99" s="290">
        <f t="shared" si="40"/>
        <v>0</v>
      </c>
      <c r="T99" s="290">
        <f t="shared" si="41"/>
        <v>0</v>
      </c>
      <c r="U99" s="291">
        <f t="shared" si="42"/>
        <v>11497.95</v>
      </c>
      <c r="V99" s="291">
        <f t="shared" si="46"/>
        <v>-11497.95</v>
      </c>
      <c r="W99" s="265">
        <f t="shared" si="50"/>
        <v>0</v>
      </c>
      <c r="X99" s="291">
        <f t="shared" si="47"/>
        <v>-11497.95</v>
      </c>
      <c r="Y99" s="170">
        <f t="shared" si="44"/>
        <v>2104.1999999999998</v>
      </c>
      <c r="Z99" s="291">
        <f t="shared" si="45"/>
        <v>-2104.1999999999998</v>
      </c>
      <c r="AC99" s="276">
        <f>IF(AI99=1,IF(AC98=MiscData!$F$1,EOMONTH(AC98,-11),EOMONTH(AC98,1)),AC98)</f>
        <v>42063</v>
      </c>
      <c r="AD99" s="275" t="str">
        <f t="shared" si="54"/>
        <v>20140101LGUM_315</v>
      </c>
      <c r="AE99" s="294" t="str">
        <f t="shared" si="55"/>
        <v>20140101RLS</v>
      </c>
      <c r="AF99" s="618" t="str">
        <f t="shared" si="48"/>
        <v>315</v>
      </c>
      <c r="AH99" s="265">
        <f>MiscData!$X$5</f>
        <v>20140101</v>
      </c>
      <c r="AI99" s="265">
        <f>IF(AI98+1&gt;MiscData!$AC$77,1,AI98+1)</f>
        <v>23</v>
      </c>
      <c r="AJ99" s="265" t="str">
        <f>VLOOKUP(AI99,MiscData!$AC$5:$AD$77,2,FALSE)</f>
        <v>LGUM_315</v>
      </c>
      <c r="AK99" s="265" t="str">
        <f>VLOOKUP(AJ99,MiscData!$AD$5:$AE$77,2,FALSE)</f>
        <v>RLS</v>
      </c>
      <c r="AT99" s="265" t="s">
        <v>242</v>
      </c>
      <c r="AV99" s="265">
        <v>0</v>
      </c>
    </row>
    <row r="100" spans="1:48">
      <c r="A100" s="275">
        <f t="shared" si="49"/>
        <v>97</v>
      </c>
      <c r="B100" s="276" t="str">
        <f t="shared" si="51"/>
        <v>Feb 2015</v>
      </c>
      <c r="C100" s="277" t="str">
        <f t="shared" si="52"/>
        <v>RLS</v>
      </c>
      <c r="D100" s="277" t="str">
        <f t="shared" si="53"/>
        <v>LGUM_318</v>
      </c>
      <c r="E100" s="614">
        <f t="shared" si="30"/>
        <v>52</v>
      </c>
      <c r="F100" s="615">
        <v>0</v>
      </c>
      <c r="G100" s="614">
        <f t="shared" si="31"/>
        <v>0</v>
      </c>
      <c r="H100" s="615">
        <v>0</v>
      </c>
      <c r="I100" s="283">
        <f t="shared" si="32"/>
        <v>17.419999999999998</v>
      </c>
      <c r="J100" s="283">
        <f t="shared" si="33"/>
        <v>1.9100000000000001</v>
      </c>
      <c r="K100" s="285">
        <f t="shared" si="34"/>
        <v>905.84</v>
      </c>
      <c r="L100" s="286">
        <v>0</v>
      </c>
      <c r="M100" s="286">
        <v>0</v>
      </c>
      <c r="N100" s="285">
        <f t="shared" si="35"/>
        <v>905.84</v>
      </c>
      <c r="O100" s="616">
        <f t="shared" si="36"/>
        <v>0</v>
      </c>
      <c r="P100" s="289">
        <f t="shared" si="37"/>
        <v>0</v>
      </c>
      <c r="Q100" s="290">
        <f t="shared" si="38"/>
        <v>0</v>
      </c>
      <c r="R100" s="290">
        <f t="shared" si="39"/>
        <v>0</v>
      </c>
      <c r="S100" s="290">
        <f t="shared" si="40"/>
        <v>0</v>
      </c>
      <c r="T100" s="290">
        <f t="shared" si="41"/>
        <v>0</v>
      </c>
      <c r="U100" s="291">
        <f t="shared" si="42"/>
        <v>905.84</v>
      </c>
      <c r="V100" s="291">
        <f t="shared" si="46"/>
        <v>-905.84</v>
      </c>
      <c r="W100" s="265">
        <f t="shared" si="50"/>
        <v>0</v>
      </c>
      <c r="X100" s="291">
        <f t="shared" si="47"/>
        <v>-905.84</v>
      </c>
      <c r="Y100" s="170">
        <f t="shared" si="44"/>
        <v>99.32</v>
      </c>
      <c r="Z100" s="291">
        <f t="shared" si="45"/>
        <v>-99.32</v>
      </c>
      <c r="AC100" s="276">
        <f>IF(AI100=1,IF(AC99=MiscData!$F$1,EOMONTH(AC99,-11),EOMONTH(AC99,1)),AC99)</f>
        <v>42063</v>
      </c>
      <c r="AD100" s="275" t="str">
        <f t="shared" si="54"/>
        <v>20140101LGUM_318</v>
      </c>
      <c r="AE100" s="294" t="str">
        <f t="shared" si="55"/>
        <v>20140101RLS</v>
      </c>
      <c r="AF100" s="618" t="str">
        <f t="shared" si="48"/>
        <v>318</v>
      </c>
      <c r="AH100" s="265">
        <f>MiscData!$X$5</f>
        <v>20140101</v>
      </c>
      <c r="AI100" s="265">
        <f>IF(AI99+1&gt;MiscData!$AC$77,1,AI99+1)</f>
        <v>24</v>
      </c>
      <c r="AJ100" s="265" t="str">
        <f>VLOOKUP(AI100,MiscData!$AC$5:$AD$77,2,FALSE)</f>
        <v>LGUM_318</v>
      </c>
      <c r="AK100" s="265" t="str">
        <f>VLOOKUP(AJ100,MiscData!$AD$5:$AE$77,2,FALSE)</f>
        <v>RLS</v>
      </c>
      <c r="AT100" s="265" t="s">
        <v>380</v>
      </c>
      <c r="AV100" s="265">
        <v>0</v>
      </c>
    </row>
    <row r="101" spans="1:48">
      <c r="A101" s="275">
        <f t="shared" si="49"/>
        <v>98</v>
      </c>
      <c r="B101" s="276" t="str">
        <f t="shared" si="51"/>
        <v>Feb 2015</v>
      </c>
      <c r="C101" s="277" t="str">
        <f t="shared" si="52"/>
        <v>RLS</v>
      </c>
      <c r="D101" s="277" t="str">
        <f t="shared" si="53"/>
        <v>LGUM_347</v>
      </c>
      <c r="E101" s="614">
        <f t="shared" si="30"/>
        <v>0</v>
      </c>
      <c r="F101" s="615">
        <v>0</v>
      </c>
      <c r="G101" s="614">
        <f t="shared" si="31"/>
        <v>0</v>
      </c>
      <c r="H101" s="615">
        <v>0</v>
      </c>
      <c r="I101" s="283">
        <f t="shared" si="32"/>
        <v>22.939999999999998</v>
      </c>
      <c r="J101" s="283">
        <f t="shared" si="33"/>
        <v>26.14</v>
      </c>
      <c r="K101" s="285">
        <f t="shared" si="34"/>
        <v>0</v>
      </c>
      <c r="L101" s="286">
        <v>0</v>
      </c>
      <c r="M101" s="286">
        <v>0</v>
      </c>
      <c r="N101" s="285">
        <f t="shared" si="35"/>
        <v>0</v>
      </c>
      <c r="O101" s="616">
        <f t="shared" si="36"/>
        <v>0</v>
      </c>
      <c r="P101" s="289">
        <f t="shared" si="37"/>
        <v>1</v>
      </c>
      <c r="Q101" s="290">
        <f t="shared" si="38"/>
        <v>0</v>
      </c>
      <c r="R101" s="290">
        <f t="shared" si="39"/>
        <v>0</v>
      </c>
      <c r="S101" s="290">
        <f t="shared" si="40"/>
        <v>0</v>
      </c>
      <c r="T101" s="290">
        <f t="shared" si="41"/>
        <v>0</v>
      </c>
      <c r="U101" s="291">
        <f t="shared" si="42"/>
        <v>0</v>
      </c>
      <c r="V101" s="291">
        <f t="shared" si="46"/>
        <v>0</v>
      </c>
      <c r="W101" s="265">
        <f t="shared" si="50"/>
        <v>0</v>
      </c>
      <c r="X101" s="291">
        <f t="shared" si="47"/>
        <v>0</v>
      </c>
      <c r="Y101" s="170">
        <f t="shared" si="44"/>
        <v>0</v>
      </c>
      <c r="Z101" s="291">
        <f t="shared" si="45"/>
        <v>0</v>
      </c>
      <c r="AC101" s="276">
        <f>IF(AI101=1,IF(AC100=MiscData!$F$1,EOMONTH(AC100,-11),EOMONTH(AC100,1)),AC100)</f>
        <v>42063</v>
      </c>
      <c r="AD101" s="275" t="str">
        <f t="shared" si="54"/>
        <v>20140101LGUM_347</v>
      </c>
      <c r="AE101" s="294" t="str">
        <f t="shared" si="55"/>
        <v>20140101RLS</v>
      </c>
      <c r="AF101" s="618" t="str">
        <f t="shared" si="48"/>
        <v>347</v>
      </c>
      <c r="AH101" s="265">
        <f>MiscData!$X$5</f>
        <v>20140101</v>
      </c>
      <c r="AI101" s="265">
        <f>IF(AI100+1&gt;MiscData!$AC$77,1,AI100+1)</f>
        <v>25</v>
      </c>
      <c r="AJ101" s="265" t="str">
        <f>VLOOKUP(AI101,MiscData!$AC$5:$AD$77,2,FALSE)</f>
        <v>LGUM_347</v>
      </c>
      <c r="AK101" s="265" t="str">
        <f>VLOOKUP(AJ101,MiscData!$AD$5:$AE$77,2,FALSE)</f>
        <v>RLS</v>
      </c>
      <c r="AT101" s="265" t="s">
        <v>243</v>
      </c>
      <c r="AV101" s="265">
        <v>0</v>
      </c>
    </row>
    <row r="102" spans="1:48">
      <c r="A102" s="275">
        <f t="shared" si="49"/>
        <v>99</v>
      </c>
      <c r="B102" s="276" t="str">
        <f t="shared" si="51"/>
        <v>Feb 2015</v>
      </c>
      <c r="C102" s="277" t="str">
        <f t="shared" si="52"/>
        <v>RLS</v>
      </c>
      <c r="D102" s="277" t="str">
        <f t="shared" si="53"/>
        <v>LGUM_348</v>
      </c>
      <c r="E102" s="614">
        <f t="shared" si="30"/>
        <v>38</v>
      </c>
      <c r="F102" s="615">
        <v>0</v>
      </c>
      <c r="G102" s="614">
        <f t="shared" si="31"/>
        <v>0</v>
      </c>
      <c r="H102" s="615">
        <v>0</v>
      </c>
      <c r="I102" s="283">
        <f t="shared" si="32"/>
        <v>13.12</v>
      </c>
      <c r="J102" s="283">
        <f t="shared" si="33"/>
        <v>2.9800000000000004</v>
      </c>
      <c r="K102" s="285">
        <f t="shared" si="34"/>
        <v>498.56</v>
      </c>
      <c r="L102" s="286">
        <v>0</v>
      </c>
      <c r="M102" s="286">
        <v>0</v>
      </c>
      <c r="N102" s="285">
        <f t="shared" si="35"/>
        <v>498.56</v>
      </c>
      <c r="O102" s="616">
        <f t="shared" si="36"/>
        <v>0</v>
      </c>
      <c r="P102" s="289">
        <f t="shared" si="37"/>
        <v>0</v>
      </c>
      <c r="Q102" s="290">
        <f t="shared" si="38"/>
        <v>0</v>
      </c>
      <c r="R102" s="290">
        <f t="shared" si="39"/>
        <v>0</v>
      </c>
      <c r="S102" s="290">
        <f t="shared" si="40"/>
        <v>0</v>
      </c>
      <c r="T102" s="290">
        <f t="shared" si="41"/>
        <v>0</v>
      </c>
      <c r="U102" s="291">
        <f t="shared" si="42"/>
        <v>498.56</v>
      </c>
      <c r="V102" s="291">
        <f t="shared" si="46"/>
        <v>-498.56</v>
      </c>
      <c r="W102" s="265">
        <f t="shared" si="50"/>
        <v>0</v>
      </c>
      <c r="X102" s="291">
        <f t="shared" si="47"/>
        <v>-498.56</v>
      </c>
      <c r="Y102" s="170">
        <f t="shared" si="44"/>
        <v>113.24</v>
      </c>
      <c r="Z102" s="291">
        <f t="shared" si="45"/>
        <v>-113.24</v>
      </c>
      <c r="AC102" s="276">
        <f>IF(AI102=1,IF(AC101=MiscData!$F$1,EOMONTH(AC101,-11),EOMONTH(AC101,1)),AC101)</f>
        <v>42063</v>
      </c>
      <c r="AD102" s="275" t="str">
        <f t="shared" si="54"/>
        <v>20140101LGUM_348</v>
      </c>
      <c r="AE102" s="294" t="str">
        <f t="shared" si="55"/>
        <v>20140101RLS</v>
      </c>
      <c r="AF102" s="618" t="str">
        <f t="shared" si="48"/>
        <v>348</v>
      </c>
      <c r="AH102" s="265">
        <f>MiscData!$X$5</f>
        <v>20140101</v>
      </c>
      <c r="AI102" s="265">
        <f>IF(AI101+1&gt;MiscData!$AC$77,1,AI101+1)</f>
        <v>26</v>
      </c>
      <c r="AJ102" s="265" t="str">
        <f>VLOOKUP(AI102,MiscData!$AC$5:$AD$77,2,FALSE)</f>
        <v>LGUM_348</v>
      </c>
      <c r="AK102" s="265" t="str">
        <f>VLOOKUP(AJ102,MiscData!$AD$5:$AE$77,2,FALSE)</f>
        <v>RLS</v>
      </c>
      <c r="AT102" s="265" t="s">
        <v>244</v>
      </c>
      <c r="AV102" s="265">
        <v>-10.45</v>
      </c>
    </row>
    <row r="103" spans="1:48">
      <c r="A103" s="275">
        <f t="shared" si="49"/>
        <v>100</v>
      </c>
      <c r="B103" s="276" t="str">
        <f t="shared" si="51"/>
        <v>Feb 2015</v>
      </c>
      <c r="C103" s="277" t="str">
        <f t="shared" si="52"/>
        <v>RLS</v>
      </c>
      <c r="D103" s="277" t="str">
        <f t="shared" si="53"/>
        <v>LGUM_349</v>
      </c>
      <c r="E103" s="614">
        <f t="shared" si="30"/>
        <v>17</v>
      </c>
      <c r="F103" s="615">
        <v>0</v>
      </c>
      <c r="G103" s="614">
        <f t="shared" si="31"/>
        <v>0</v>
      </c>
      <c r="H103" s="615">
        <v>0</v>
      </c>
      <c r="I103" s="283">
        <f t="shared" si="32"/>
        <v>9.0200000000000014</v>
      </c>
      <c r="J103" s="283">
        <f t="shared" si="33"/>
        <v>0.91000000000000014</v>
      </c>
      <c r="K103" s="285">
        <f t="shared" si="34"/>
        <v>153.34</v>
      </c>
      <c r="L103" s="286">
        <v>0</v>
      </c>
      <c r="M103" s="286">
        <v>0</v>
      </c>
      <c r="N103" s="285">
        <f t="shared" si="35"/>
        <v>153.34</v>
      </c>
      <c r="O103" s="616">
        <f t="shared" si="36"/>
        <v>0</v>
      </c>
      <c r="P103" s="289">
        <f t="shared" si="37"/>
        <v>0</v>
      </c>
      <c r="Q103" s="290">
        <f t="shared" si="38"/>
        <v>0</v>
      </c>
      <c r="R103" s="290">
        <f t="shared" si="39"/>
        <v>0</v>
      </c>
      <c r="S103" s="290">
        <f t="shared" si="40"/>
        <v>0</v>
      </c>
      <c r="T103" s="290">
        <f t="shared" si="41"/>
        <v>0</v>
      </c>
      <c r="U103" s="291">
        <f t="shared" si="42"/>
        <v>153.34</v>
      </c>
      <c r="V103" s="291">
        <f t="shared" si="46"/>
        <v>-153.34</v>
      </c>
      <c r="W103" s="265">
        <f t="shared" si="50"/>
        <v>0</v>
      </c>
      <c r="X103" s="291">
        <f t="shared" si="47"/>
        <v>-153.34</v>
      </c>
      <c r="Y103" s="170">
        <f t="shared" si="44"/>
        <v>15.47</v>
      </c>
      <c r="Z103" s="291">
        <f t="shared" si="45"/>
        <v>-15.47</v>
      </c>
      <c r="AC103" s="276">
        <f>IF(AI103=1,IF(AC102=MiscData!$F$1,EOMONTH(AC102,-11),EOMONTH(AC102,1)),AC102)</f>
        <v>42063</v>
      </c>
      <c r="AD103" s="275" t="str">
        <f t="shared" si="54"/>
        <v>20140101LGUM_349</v>
      </c>
      <c r="AE103" s="294" t="str">
        <f t="shared" si="55"/>
        <v>20140101RLS</v>
      </c>
      <c r="AF103" s="618" t="str">
        <f t="shared" si="48"/>
        <v>349</v>
      </c>
      <c r="AH103" s="265">
        <f>MiscData!$X$5</f>
        <v>20140101</v>
      </c>
      <c r="AI103" s="265">
        <f>IF(AI102+1&gt;MiscData!$AC$77,1,AI102+1)</f>
        <v>27</v>
      </c>
      <c r="AJ103" s="265" t="str">
        <f>VLOOKUP(AI103,MiscData!$AC$5:$AD$77,2,FALSE)</f>
        <v>LGUM_349</v>
      </c>
      <c r="AK103" s="265" t="str">
        <f>VLOOKUP(AJ103,MiscData!$AD$5:$AE$77,2,FALSE)</f>
        <v>RLS</v>
      </c>
      <c r="AT103" s="265" t="s">
        <v>245</v>
      </c>
      <c r="AV103" s="265">
        <v>0</v>
      </c>
    </row>
    <row r="104" spans="1:48">
      <c r="A104" s="275">
        <f t="shared" si="49"/>
        <v>101</v>
      </c>
      <c r="B104" s="276" t="str">
        <f t="shared" si="51"/>
        <v>Feb 2015</v>
      </c>
      <c r="C104" s="277" t="str">
        <f t="shared" si="52"/>
        <v xml:space="preserve">LS </v>
      </c>
      <c r="D104" s="277" t="str">
        <f t="shared" si="53"/>
        <v>LGUM_400</v>
      </c>
      <c r="E104" s="614">
        <f t="shared" si="30"/>
        <v>31</v>
      </c>
      <c r="F104" s="615">
        <v>0</v>
      </c>
      <c r="G104" s="614">
        <f t="shared" si="31"/>
        <v>0</v>
      </c>
      <c r="H104" s="615">
        <v>0</v>
      </c>
      <c r="I104" s="283">
        <f t="shared" si="32"/>
        <v>23.89</v>
      </c>
      <c r="J104" s="283">
        <f t="shared" si="33"/>
        <v>1.0199999999999996</v>
      </c>
      <c r="K104" s="285">
        <f t="shared" si="34"/>
        <v>740.59</v>
      </c>
      <c r="L104" s="286">
        <v>0</v>
      </c>
      <c r="M104" s="286">
        <v>0</v>
      </c>
      <c r="N104" s="285">
        <f t="shared" si="35"/>
        <v>740.59</v>
      </c>
      <c r="O104" s="616">
        <f t="shared" si="36"/>
        <v>0</v>
      </c>
      <c r="P104" s="289">
        <f t="shared" si="37"/>
        <v>0</v>
      </c>
      <c r="Q104" s="290">
        <f t="shared" si="38"/>
        <v>0</v>
      </c>
      <c r="R104" s="290">
        <f t="shared" si="39"/>
        <v>0</v>
      </c>
      <c r="S104" s="290">
        <f t="shared" si="40"/>
        <v>0</v>
      </c>
      <c r="T104" s="290">
        <f t="shared" si="41"/>
        <v>0</v>
      </c>
      <c r="U104" s="291">
        <f t="shared" si="42"/>
        <v>740.59</v>
      </c>
      <c r="V104" s="291">
        <f t="shared" si="46"/>
        <v>-740.59</v>
      </c>
      <c r="W104" s="265">
        <f t="shared" si="50"/>
        <v>0</v>
      </c>
      <c r="X104" s="291">
        <f t="shared" si="47"/>
        <v>-740.59</v>
      </c>
      <c r="Y104" s="170">
        <f t="shared" si="44"/>
        <v>31.62</v>
      </c>
      <c r="Z104" s="291">
        <f t="shared" si="45"/>
        <v>-31.62</v>
      </c>
      <c r="AC104" s="276">
        <f>IF(AI104=1,IF(AC103=MiscData!$F$1,EOMONTH(AC103,-11),EOMONTH(AC103,1)),AC103)</f>
        <v>42063</v>
      </c>
      <c r="AD104" s="275" t="str">
        <f t="shared" si="54"/>
        <v>20140101LGUM_400</v>
      </c>
      <c r="AE104" s="294" t="str">
        <f t="shared" si="55"/>
        <v xml:space="preserve">20140101LS </v>
      </c>
      <c r="AF104" s="618" t="str">
        <f t="shared" si="48"/>
        <v>400</v>
      </c>
      <c r="AH104" s="265">
        <f>MiscData!$X$5</f>
        <v>20140101</v>
      </c>
      <c r="AI104" s="265">
        <f>IF(AI103+1&gt;MiscData!$AC$77,1,AI103+1)</f>
        <v>28</v>
      </c>
      <c r="AJ104" s="265" t="str">
        <f>VLOOKUP(AI104,MiscData!$AC$5:$AD$77,2,FALSE)</f>
        <v>LGUM_400</v>
      </c>
      <c r="AK104" s="265" t="str">
        <f>VLOOKUP(AJ104,MiscData!$AD$5:$AE$77,2,FALSE)</f>
        <v xml:space="preserve">LS </v>
      </c>
      <c r="AT104" s="265" t="s">
        <v>381</v>
      </c>
      <c r="AV104" s="265">
        <v>0</v>
      </c>
    </row>
    <row r="105" spans="1:48">
      <c r="A105" s="275">
        <f t="shared" si="49"/>
        <v>102</v>
      </c>
      <c r="B105" s="276" t="str">
        <f t="shared" si="51"/>
        <v>Feb 2015</v>
      </c>
      <c r="C105" s="277" t="str">
        <f t="shared" si="52"/>
        <v xml:space="preserve">LS </v>
      </c>
      <c r="D105" s="277" t="str">
        <f t="shared" si="53"/>
        <v>LGUM_401</v>
      </c>
      <c r="E105" s="614">
        <f t="shared" si="30"/>
        <v>4</v>
      </c>
      <c r="F105" s="615">
        <v>0</v>
      </c>
      <c r="G105" s="614">
        <f t="shared" si="31"/>
        <v>0</v>
      </c>
      <c r="H105" s="615">
        <v>0</v>
      </c>
      <c r="I105" s="283">
        <f t="shared" si="32"/>
        <v>24.9</v>
      </c>
      <c r="J105" s="283">
        <f t="shared" si="33"/>
        <v>1.0599999999999987</v>
      </c>
      <c r="K105" s="285">
        <f t="shared" si="34"/>
        <v>99.6</v>
      </c>
      <c r="L105" s="286">
        <v>0</v>
      </c>
      <c r="M105" s="286">
        <v>0</v>
      </c>
      <c r="N105" s="285">
        <f t="shared" si="35"/>
        <v>99.6</v>
      </c>
      <c r="O105" s="616">
        <f t="shared" si="36"/>
        <v>0</v>
      </c>
      <c r="P105" s="289">
        <f t="shared" si="37"/>
        <v>0</v>
      </c>
      <c r="Q105" s="290">
        <f t="shared" si="38"/>
        <v>0</v>
      </c>
      <c r="R105" s="290">
        <f t="shared" si="39"/>
        <v>0</v>
      </c>
      <c r="S105" s="290">
        <f t="shared" si="40"/>
        <v>0</v>
      </c>
      <c r="T105" s="290">
        <f t="shared" si="41"/>
        <v>0</v>
      </c>
      <c r="U105" s="291">
        <f t="shared" si="42"/>
        <v>99.6</v>
      </c>
      <c r="V105" s="291">
        <f t="shared" si="46"/>
        <v>-99.6</v>
      </c>
      <c r="W105" s="265">
        <f t="shared" si="50"/>
        <v>0</v>
      </c>
      <c r="X105" s="291">
        <f t="shared" si="47"/>
        <v>-99.6</v>
      </c>
      <c r="Y105" s="170">
        <f t="shared" si="44"/>
        <v>4.24</v>
      </c>
      <c r="Z105" s="291">
        <f t="shared" si="45"/>
        <v>-4.24</v>
      </c>
      <c r="AC105" s="276">
        <f>IF(AI105=1,IF(AC104=MiscData!$F$1,EOMONTH(AC104,-11),EOMONTH(AC104,1)),AC104)</f>
        <v>42063</v>
      </c>
      <c r="AD105" s="275" t="str">
        <f t="shared" si="54"/>
        <v>20140101LGUM_401</v>
      </c>
      <c r="AE105" s="294" t="str">
        <f t="shared" si="55"/>
        <v xml:space="preserve">20140101LS </v>
      </c>
      <c r="AF105" s="618" t="str">
        <f t="shared" si="48"/>
        <v>401</v>
      </c>
      <c r="AH105" s="265">
        <f>MiscData!$X$5</f>
        <v>20140101</v>
      </c>
      <c r="AI105" s="265">
        <f>IF(AI104+1&gt;MiscData!$AC$77,1,AI104+1)</f>
        <v>29</v>
      </c>
      <c r="AJ105" s="265" t="str">
        <f>VLOOKUP(AI105,MiscData!$AC$5:$AD$77,2,FALSE)</f>
        <v>LGUM_401</v>
      </c>
      <c r="AK105" s="265" t="str">
        <f>VLOOKUP(AJ105,MiscData!$AD$5:$AE$77,2,FALSE)</f>
        <v xml:space="preserve">LS </v>
      </c>
      <c r="AT105" s="265" t="s">
        <v>246</v>
      </c>
      <c r="AV105" s="265">
        <v>0</v>
      </c>
    </row>
    <row r="106" spans="1:48">
      <c r="A106" s="275">
        <f t="shared" si="49"/>
        <v>103</v>
      </c>
      <c r="B106" s="276" t="str">
        <f t="shared" si="51"/>
        <v>Feb 2015</v>
      </c>
      <c r="C106" s="277" t="str">
        <f t="shared" si="52"/>
        <v xml:space="preserve">LS </v>
      </c>
      <c r="D106" s="277" t="str">
        <f t="shared" si="53"/>
        <v>LGUM_412</v>
      </c>
      <c r="E106" s="614">
        <f t="shared" si="30"/>
        <v>216</v>
      </c>
      <c r="F106" s="615">
        <v>0</v>
      </c>
      <c r="G106" s="614">
        <f t="shared" si="31"/>
        <v>0</v>
      </c>
      <c r="H106" s="615">
        <v>0</v>
      </c>
      <c r="I106" s="283">
        <f t="shared" si="32"/>
        <v>19.79</v>
      </c>
      <c r="J106" s="283">
        <f t="shared" si="33"/>
        <v>0.74999999999999645</v>
      </c>
      <c r="K106" s="285">
        <f t="shared" si="34"/>
        <v>4274.6400000000003</v>
      </c>
      <c r="L106" s="286">
        <v>0</v>
      </c>
      <c r="M106" s="286">
        <v>0</v>
      </c>
      <c r="N106" s="285">
        <f t="shared" si="35"/>
        <v>4274.6400000000003</v>
      </c>
      <c r="O106" s="616">
        <f t="shared" si="36"/>
        <v>0</v>
      </c>
      <c r="P106" s="289">
        <f t="shared" si="37"/>
        <v>0</v>
      </c>
      <c r="Q106" s="290">
        <f t="shared" si="38"/>
        <v>0</v>
      </c>
      <c r="R106" s="290">
        <f t="shared" si="39"/>
        <v>0</v>
      </c>
      <c r="S106" s="290">
        <f t="shared" si="40"/>
        <v>0</v>
      </c>
      <c r="T106" s="290">
        <f t="shared" si="41"/>
        <v>0</v>
      </c>
      <c r="U106" s="291">
        <f t="shared" si="42"/>
        <v>4274.6400000000003</v>
      </c>
      <c r="V106" s="291">
        <f t="shared" si="46"/>
        <v>-4274.6400000000003</v>
      </c>
      <c r="W106" s="265">
        <f t="shared" si="50"/>
        <v>0</v>
      </c>
      <c r="X106" s="291">
        <f t="shared" si="47"/>
        <v>-4274.6400000000003</v>
      </c>
      <c r="Y106" s="170">
        <f t="shared" si="44"/>
        <v>162</v>
      </c>
      <c r="Z106" s="291">
        <f t="shared" si="45"/>
        <v>-162</v>
      </c>
      <c r="AC106" s="276">
        <f>IF(AI106=1,IF(AC105=MiscData!$F$1,EOMONTH(AC105,-11),EOMONTH(AC105,1)),AC105)</f>
        <v>42063</v>
      </c>
      <c r="AD106" s="275" t="str">
        <f t="shared" si="54"/>
        <v>20140101LGUM_412</v>
      </c>
      <c r="AE106" s="294" t="str">
        <f t="shared" si="55"/>
        <v xml:space="preserve">20140101LS </v>
      </c>
      <c r="AF106" s="618" t="str">
        <f t="shared" si="48"/>
        <v>412</v>
      </c>
      <c r="AH106" s="265">
        <f>MiscData!$X$5</f>
        <v>20140101</v>
      </c>
      <c r="AI106" s="265">
        <f>IF(AI105+1&gt;MiscData!$AC$77,1,AI105+1)</f>
        <v>30</v>
      </c>
      <c r="AJ106" s="265" t="str">
        <f>VLOOKUP(AI106,MiscData!$AC$5:$AD$77,2,FALSE)</f>
        <v>LGUM_412</v>
      </c>
      <c r="AK106" s="265" t="str">
        <f>VLOOKUP(AJ106,MiscData!$AD$5:$AE$77,2,FALSE)</f>
        <v xml:space="preserve">LS </v>
      </c>
      <c r="AT106" s="265" t="s">
        <v>247</v>
      </c>
      <c r="AV106" s="265">
        <v>0</v>
      </c>
    </row>
    <row r="107" spans="1:48">
      <c r="A107" s="275">
        <f t="shared" si="49"/>
        <v>104</v>
      </c>
      <c r="B107" s="276" t="str">
        <f t="shared" si="51"/>
        <v>Feb 2015</v>
      </c>
      <c r="C107" s="277" t="str">
        <f t="shared" si="52"/>
        <v xml:space="preserve">LS </v>
      </c>
      <c r="D107" s="277" t="str">
        <f t="shared" si="53"/>
        <v>LGUM_413</v>
      </c>
      <c r="E107" s="614">
        <f t="shared" si="30"/>
        <v>1979</v>
      </c>
      <c r="F107" s="615">
        <v>0</v>
      </c>
      <c r="G107" s="614">
        <f t="shared" si="31"/>
        <v>0</v>
      </c>
      <c r="H107" s="615">
        <v>0</v>
      </c>
      <c r="I107" s="283">
        <f t="shared" si="32"/>
        <v>20.49</v>
      </c>
      <c r="J107" s="283">
        <f t="shared" si="33"/>
        <v>1.0599999999999987</v>
      </c>
      <c r="K107" s="285">
        <f t="shared" si="34"/>
        <v>40549.71</v>
      </c>
      <c r="L107" s="286">
        <v>0</v>
      </c>
      <c r="M107" s="286">
        <v>0</v>
      </c>
      <c r="N107" s="285">
        <f t="shared" si="35"/>
        <v>40549.71</v>
      </c>
      <c r="O107" s="616">
        <f t="shared" si="36"/>
        <v>0</v>
      </c>
      <c r="P107" s="289">
        <f t="shared" si="37"/>
        <v>0</v>
      </c>
      <c r="Q107" s="290">
        <f t="shared" si="38"/>
        <v>0</v>
      </c>
      <c r="R107" s="290">
        <f t="shared" si="39"/>
        <v>0</v>
      </c>
      <c r="S107" s="290">
        <f t="shared" si="40"/>
        <v>0</v>
      </c>
      <c r="T107" s="290">
        <f t="shared" si="41"/>
        <v>0</v>
      </c>
      <c r="U107" s="291">
        <f t="shared" si="42"/>
        <v>40549.71</v>
      </c>
      <c r="V107" s="291">
        <f t="shared" si="46"/>
        <v>-40549.71</v>
      </c>
      <c r="W107" s="265">
        <f t="shared" si="50"/>
        <v>0</v>
      </c>
      <c r="X107" s="291">
        <f t="shared" si="47"/>
        <v>-40549.71</v>
      </c>
      <c r="Y107" s="170">
        <f t="shared" si="44"/>
        <v>2097.7399999999998</v>
      </c>
      <c r="Z107" s="291">
        <f t="shared" si="45"/>
        <v>-2097.7399999999998</v>
      </c>
      <c r="AC107" s="276">
        <f>IF(AI107=1,IF(AC106=MiscData!$F$1,EOMONTH(AC106,-11),EOMONTH(AC106,1)),AC106)</f>
        <v>42063</v>
      </c>
      <c r="AD107" s="275" t="str">
        <f t="shared" si="54"/>
        <v>20140101LGUM_413</v>
      </c>
      <c r="AE107" s="294" t="str">
        <f t="shared" si="55"/>
        <v xml:space="preserve">20140101LS </v>
      </c>
      <c r="AF107" s="618" t="str">
        <f t="shared" si="48"/>
        <v>413</v>
      </c>
      <c r="AH107" s="265">
        <f>MiscData!$X$5</f>
        <v>20140101</v>
      </c>
      <c r="AI107" s="265">
        <f>IF(AI106+1&gt;MiscData!$AC$77,1,AI106+1)</f>
        <v>31</v>
      </c>
      <c r="AJ107" s="265" t="str">
        <f>VLOOKUP(AI107,MiscData!$AC$5:$AD$77,2,FALSE)</f>
        <v>LGUM_413</v>
      </c>
      <c r="AK107" s="265" t="str">
        <f>VLOOKUP(AJ107,MiscData!$AD$5:$AE$77,2,FALSE)</f>
        <v xml:space="preserve">LS </v>
      </c>
      <c r="AT107" s="265" t="s">
        <v>248</v>
      </c>
      <c r="AV107" s="265">
        <v>0</v>
      </c>
    </row>
    <row r="108" spans="1:48">
      <c r="A108" s="275">
        <f t="shared" si="49"/>
        <v>105</v>
      </c>
      <c r="B108" s="276" t="str">
        <f t="shared" si="51"/>
        <v>Feb 2015</v>
      </c>
      <c r="C108" s="277" t="str">
        <f t="shared" si="52"/>
        <v xml:space="preserve">LS </v>
      </c>
      <c r="D108" s="277" t="str">
        <f t="shared" si="53"/>
        <v>LGUM_415</v>
      </c>
      <c r="E108" s="614">
        <f t="shared" si="30"/>
        <v>30</v>
      </c>
      <c r="F108" s="615">
        <v>0</v>
      </c>
      <c r="G108" s="614">
        <f t="shared" si="31"/>
        <v>0</v>
      </c>
      <c r="H108" s="615">
        <v>0</v>
      </c>
      <c r="I108" s="283">
        <f t="shared" si="32"/>
        <v>20.18</v>
      </c>
      <c r="J108" s="283">
        <f t="shared" si="33"/>
        <v>0.75</v>
      </c>
      <c r="K108" s="285">
        <f t="shared" si="34"/>
        <v>605.4</v>
      </c>
      <c r="L108" s="286">
        <v>0</v>
      </c>
      <c r="M108" s="286">
        <v>0</v>
      </c>
      <c r="N108" s="285">
        <f t="shared" si="35"/>
        <v>605.4</v>
      </c>
      <c r="O108" s="616">
        <f t="shared" si="36"/>
        <v>0</v>
      </c>
      <c r="P108" s="289">
        <f t="shared" si="37"/>
        <v>0</v>
      </c>
      <c r="Q108" s="290">
        <f t="shared" si="38"/>
        <v>0</v>
      </c>
      <c r="R108" s="290">
        <f t="shared" si="39"/>
        <v>0</v>
      </c>
      <c r="S108" s="290">
        <f t="shared" si="40"/>
        <v>0</v>
      </c>
      <c r="T108" s="290">
        <f t="shared" si="41"/>
        <v>0</v>
      </c>
      <c r="U108" s="291">
        <f t="shared" si="42"/>
        <v>605.4</v>
      </c>
      <c r="V108" s="291">
        <f t="shared" si="46"/>
        <v>-605.4</v>
      </c>
      <c r="W108" s="265">
        <f t="shared" si="50"/>
        <v>0</v>
      </c>
      <c r="X108" s="291">
        <f t="shared" si="47"/>
        <v>-605.4</v>
      </c>
      <c r="Y108" s="170">
        <f t="shared" si="44"/>
        <v>22.5</v>
      </c>
      <c r="Z108" s="291">
        <f t="shared" si="45"/>
        <v>-22.5</v>
      </c>
      <c r="AC108" s="276">
        <f>IF(AI108=1,IF(AC107=MiscData!$F$1,EOMONTH(AC107,-11),EOMONTH(AC107,1)),AC107)</f>
        <v>42063</v>
      </c>
      <c r="AD108" s="275" t="str">
        <f t="shared" si="54"/>
        <v>20140101LGUM_415</v>
      </c>
      <c r="AE108" s="294" t="str">
        <f t="shared" si="55"/>
        <v xml:space="preserve">20140101LS </v>
      </c>
      <c r="AF108" s="618" t="str">
        <f t="shared" si="48"/>
        <v>415</v>
      </c>
      <c r="AH108" s="265">
        <f>MiscData!$X$5</f>
        <v>20140101</v>
      </c>
      <c r="AI108" s="265">
        <f>IF(AI107+1&gt;MiscData!$AC$77,1,AI107+1)</f>
        <v>32</v>
      </c>
      <c r="AJ108" s="265" t="str">
        <f>VLOOKUP(AI108,MiscData!$AC$5:$AD$77,2,FALSE)</f>
        <v>LGUM_415</v>
      </c>
      <c r="AK108" s="265" t="str">
        <f>VLOOKUP(AJ108,MiscData!$AD$5:$AE$77,2,FALSE)</f>
        <v xml:space="preserve">LS </v>
      </c>
      <c r="AT108" s="265" t="s">
        <v>382</v>
      </c>
      <c r="AV108" s="265">
        <v>0</v>
      </c>
    </row>
    <row r="109" spans="1:48">
      <c r="A109" s="275">
        <f t="shared" si="49"/>
        <v>106</v>
      </c>
      <c r="B109" s="276" t="str">
        <f t="shared" si="51"/>
        <v>Feb 2015</v>
      </c>
      <c r="C109" s="277" t="str">
        <f t="shared" si="52"/>
        <v xml:space="preserve">LS </v>
      </c>
      <c r="D109" s="277" t="str">
        <f t="shared" si="53"/>
        <v>LGUM_416</v>
      </c>
      <c r="E109" s="614">
        <f t="shared" si="30"/>
        <v>1759</v>
      </c>
      <c r="F109" s="615">
        <v>0</v>
      </c>
      <c r="G109" s="614">
        <f t="shared" si="31"/>
        <v>0</v>
      </c>
      <c r="H109" s="615">
        <v>0</v>
      </c>
      <c r="I109" s="283">
        <f t="shared" si="32"/>
        <v>22.56</v>
      </c>
      <c r="J109" s="283">
        <f t="shared" si="33"/>
        <v>1.0599999999999987</v>
      </c>
      <c r="K109" s="285">
        <f t="shared" si="34"/>
        <v>39683.040000000001</v>
      </c>
      <c r="L109" s="286">
        <v>0</v>
      </c>
      <c r="M109" s="286">
        <v>0</v>
      </c>
      <c r="N109" s="285">
        <f t="shared" si="35"/>
        <v>39683.040000000001</v>
      </c>
      <c r="O109" s="616">
        <f t="shared" si="36"/>
        <v>0</v>
      </c>
      <c r="P109" s="289">
        <f t="shared" si="37"/>
        <v>0</v>
      </c>
      <c r="Q109" s="290">
        <f t="shared" si="38"/>
        <v>0</v>
      </c>
      <c r="R109" s="290">
        <f t="shared" si="39"/>
        <v>0</v>
      </c>
      <c r="S109" s="290">
        <f t="shared" si="40"/>
        <v>0</v>
      </c>
      <c r="T109" s="290">
        <f t="shared" si="41"/>
        <v>0</v>
      </c>
      <c r="U109" s="291">
        <f t="shared" si="42"/>
        <v>39683.040000000001</v>
      </c>
      <c r="V109" s="291">
        <f t="shared" si="46"/>
        <v>-39683.040000000001</v>
      </c>
      <c r="W109" s="265">
        <f t="shared" si="50"/>
        <v>0</v>
      </c>
      <c r="X109" s="291">
        <f t="shared" si="47"/>
        <v>-39683.040000000001</v>
      </c>
      <c r="Y109" s="170">
        <f t="shared" si="44"/>
        <v>1864.54</v>
      </c>
      <c r="Z109" s="291">
        <f t="shared" si="45"/>
        <v>-1864.54</v>
      </c>
      <c r="AC109" s="276">
        <f>IF(AI109=1,IF(AC108=MiscData!$F$1,EOMONTH(AC108,-11),EOMONTH(AC108,1)),AC108)</f>
        <v>42063</v>
      </c>
      <c r="AD109" s="275" t="str">
        <f t="shared" si="54"/>
        <v>20140101LGUM_416</v>
      </c>
      <c r="AE109" s="294" t="str">
        <f t="shared" si="55"/>
        <v xml:space="preserve">20140101LS </v>
      </c>
      <c r="AF109" s="618" t="str">
        <f t="shared" si="48"/>
        <v>416</v>
      </c>
      <c r="AH109" s="265">
        <f>MiscData!$X$5</f>
        <v>20140101</v>
      </c>
      <c r="AI109" s="265">
        <f>IF(AI108+1&gt;MiscData!$AC$77,1,AI108+1)</f>
        <v>33</v>
      </c>
      <c r="AJ109" s="265" t="str">
        <f>VLOOKUP(AI109,MiscData!$AC$5:$AD$77,2,FALSE)</f>
        <v>LGUM_416</v>
      </c>
      <c r="AK109" s="265" t="str">
        <f>VLOOKUP(AJ109,MiscData!$AD$5:$AE$77,2,FALSE)</f>
        <v xml:space="preserve">LS </v>
      </c>
      <c r="AT109" s="265" t="s">
        <v>384</v>
      </c>
      <c r="AV109" s="265">
        <v>0</v>
      </c>
    </row>
    <row r="110" spans="1:48">
      <c r="A110" s="275">
        <f t="shared" si="49"/>
        <v>107</v>
      </c>
      <c r="B110" s="276" t="str">
        <f t="shared" si="51"/>
        <v>Feb 2015</v>
      </c>
      <c r="C110" s="277" t="str">
        <f t="shared" si="52"/>
        <v>RLS</v>
      </c>
      <c r="D110" s="277" t="str">
        <f t="shared" si="53"/>
        <v>LGUM_417</v>
      </c>
      <c r="E110" s="614">
        <f t="shared" si="30"/>
        <v>34</v>
      </c>
      <c r="F110" s="615">
        <v>0</v>
      </c>
      <c r="G110" s="614">
        <f t="shared" si="31"/>
        <v>0</v>
      </c>
      <c r="H110" s="615">
        <v>0</v>
      </c>
      <c r="I110" s="283">
        <f t="shared" si="32"/>
        <v>23.68</v>
      </c>
      <c r="J110" s="283">
        <f t="shared" si="33"/>
        <v>1.0300000000000011</v>
      </c>
      <c r="K110" s="285">
        <f t="shared" si="34"/>
        <v>805.12</v>
      </c>
      <c r="L110" s="286">
        <v>0</v>
      </c>
      <c r="M110" s="286">
        <v>0</v>
      </c>
      <c r="N110" s="285">
        <f t="shared" si="35"/>
        <v>805.12</v>
      </c>
      <c r="O110" s="616">
        <f t="shared" si="36"/>
        <v>0</v>
      </c>
      <c r="P110" s="289">
        <f t="shared" si="37"/>
        <v>0</v>
      </c>
      <c r="Q110" s="290">
        <f t="shared" si="38"/>
        <v>0</v>
      </c>
      <c r="R110" s="290">
        <f t="shared" si="39"/>
        <v>0</v>
      </c>
      <c r="S110" s="290">
        <f t="shared" si="40"/>
        <v>0</v>
      </c>
      <c r="T110" s="290">
        <f t="shared" si="41"/>
        <v>0</v>
      </c>
      <c r="U110" s="291">
        <f t="shared" si="42"/>
        <v>805.12</v>
      </c>
      <c r="V110" s="291">
        <f t="shared" si="46"/>
        <v>-805.12</v>
      </c>
      <c r="W110" s="265">
        <f t="shared" si="50"/>
        <v>0</v>
      </c>
      <c r="X110" s="291">
        <f t="shared" si="47"/>
        <v>-805.12</v>
      </c>
      <c r="Y110" s="170">
        <f t="shared" si="44"/>
        <v>35.020000000000003</v>
      </c>
      <c r="Z110" s="291">
        <f t="shared" si="45"/>
        <v>-35.020000000000003</v>
      </c>
      <c r="AC110" s="276">
        <f>IF(AI110=1,IF(AC109=MiscData!$F$1,EOMONTH(AC109,-11),EOMONTH(AC109,1)),AC109)</f>
        <v>42063</v>
      </c>
      <c r="AD110" s="275" t="str">
        <f t="shared" si="54"/>
        <v>20140101LGUM_417</v>
      </c>
      <c r="AE110" s="294" t="str">
        <f t="shared" si="55"/>
        <v>20140101RLS</v>
      </c>
      <c r="AF110" s="618" t="str">
        <f t="shared" si="48"/>
        <v>417</v>
      </c>
      <c r="AH110" s="265">
        <f>MiscData!$X$5</f>
        <v>20140101</v>
      </c>
      <c r="AI110" s="265">
        <f>IF(AI109+1&gt;MiscData!$AC$77,1,AI109+1)</f>
        <v>34</v>
      </c>
      <c r="AJ110" s="265" t="str">
        <f>VLOOKUP(AI110,MiscData!$AC$5:$AD$77,2,FALSE)</f>
        <v>LGUM_417</v>
      </c>
      <c r="AK110" s="265" t="str">
        <f>VLOOKUP(AJ110,MiscData!$AD$5:$AE$77,2,FALSE)</f>
        <v>RLS</v>
      </c>
      <c r="AT110" s="265" t="s">
        <v>385</v>
      </c>
      <c r="AV110" s="265">
        <v>0</v>
      </c>
    </row>
    <row r="111" spans="1:48">
      <c r="A111" s="275">
        <f t="shared" si="49"/>
        <v>108</v>
      </c>
      <c r="B111" s="276" t="str">
        <f t="shared" si="51"/>
        <v>Feb 2015</v>
      </c>
      <c r="C111" s="277" t="str">
        <f t="shared" si="52"/>
        <v>RLS</v>
      </c>
      <c r="D111" s="277" t="str">
        <f t="shared" si="53"/>
        <v>LGUM_419</v>
      </c>
      <c r="E111" s="614">
        <f t="shared" si="30"/>
        <v>108</v>
      </c>
      <c r="F111" s="615">
        <v>0</v>
      </c>
      <c r="G111" s="614">
        <f t="shared" si="31"/>
        <v>0</v>
      </c>
      <c r="H111" s="615">
        <v>0</v>
      </c>
      <c r="I111" s="283">
        <f t="shared" si="32"/>
        <v>24.77</v>
      </c>
      <c r="J111" s="283">
        <f t="shared" si="33"/>
        <v>1.6499999999999986</v>
      </c>
      <c r="K111" s="285">
        <f t="shared" si="34"/>
        <v>2675.16</v>
      </c>
      <c r="L111" s="286">
        <v>0</v>
      </c>
      <c r="M111" s="286">
        <v>0</v>
      </c>
      <c r="N111" s="285">
        <f t="shared" si="35"/>
        <v>2675.16</v>
      </c>
      <c r="O111" s="616">
        <f t="shared" si="36"/>
        <v>0</v>
      </c>
      <c r="P111" s="289">
        <f t="shared" si="37"/>
        <v>0</v>
      </c>
      <c r="Q111" s="290">
        <f t="shared" si="38"/>
        <v>0</v>
      </c>
      <c r="R111" s="290">
        <f t="shared" si="39"/>
        <v>0</v>
      </c>
      <c r="S111" s="290">
        <f t="shared" si="40"/>
        <v>0</v>
      </c>
      <c r="T111" s="290">
        <f t="shared" si="41"/>
        <v>0</v>
      </c>
      <c r="U111" s="291">
        <f t="shared" si="42"/>
        <v>2675.16</v>
      </c>
      <c r="V111" s="291">
        <f t="shared" si="46"/>
        <v>-2675.16</v>
      </c>
      <c r="W111" s="265">
        <f t="shared" si="50"/>
        <v>0</v>
      </c>
      <c r="X111" s="291">
        <f t="shared" si="47"/>
        <v>-2675.16</v>
      </c>
      <c r="Y111" s="170">
        <f t="shared" si="44"/>
        <v>178.2</v>
      </c>
      <c r="Z111" s="291">
        <f t="shared" si="45"/>
        <v>-178.2</v>
      </c>
      <c r="AC111" s="276">
        <f>IF(AI111=1,IF(AC110=MiscData!$F$1,EOMONTH(AC110,-11),EOMONTH(AC110,1)),AC110)</f>
        <v>42063</v>
      </c>
      <c r="AD111" s="275" t="str">
        <f t="shared" si="54"/>
        <v>20140101LGUM_419</v>
      </c>
      <c r="AE111" s="294" t="str">
        <f t="shared" si="55"/>
        <v>20140101RLS</v>
      </c>
      <c r="AF111" s="618" t="str">
        <f t="shared" si="48"/>
        <v>419</v>
      </c>
      <c r="AH111" s="265">
        <f>MiscData!$X$5</f>
        <v>20140101</v>
      </c>
      <c r="AI111" s="265">
        <f>IF(AI110+1&gt;MiscData!$AC$77,1,AI110+1)</f>
        <v>35</v>
      </c>
      <c r="AJ111" s="265" t="str">
        <f>VLOOKUP(AI111,MiscData!$AC$5:$AD$77,2,FALSE)</f>
        <v>LGUM_419</v>
      </c>
      <c r="AK111" s="265" t="str">
        <f>VLOOKUP(AJ111,MiscData!$AD$5:$AE$77,2,FALSE)</f>
        <v>RLS</v>
      </c>
      <c r="AT111" s="265" t="s">
        <v>250</v>
      </c>
      <c r="AV111" s="265">
        <v>0</v>
      </c>
    </row>
    <row r="112" spans="1:48">
      <c r="A112" s="275">
        <f t="shared" si="49"/>
        <v>109</v>
      </c>
      <c r="B112" s="276" t="str">
        <f t="shared" si="51"/>
        <v>Feb 2015</v>
      </c>
      <c r="C112" s="277" t="str">
        <f t="shared" si="52"/>
        <v xml:space="preserve">LS </v>
      </c>
      <c r="D112" s="277" t="str">
        <f t="shared" si="53"/>
        <v>LGUM_420</v>
      </c>
      <c r="E112" s="614">
        <f t="shared" si="30"/>
        <v>52</v>
      </c>
      <c r="F112" s="615">
        <v>0</v>
      </c>
      <c r="G112" s="614">
        <f t="shared" si="31"/>
        <v>0</v>
      </c>
      <c r="H112" s="615">
        <v>0</v>
      </c>
      <c r="I112" s="283">
        <f t="shared" si="32"/>
        <v>29.889999999999997</v>
      </c>
      <c r="J112" s="283">
        <f t="shared" si="33"/>
        <v>1.6499999999999986</v>
      </c>
      <c r="K112" s="285">
        <f t="shared" si="34"/>
        <v>1554.28</v>
      </c>
      <c r="L112" s="286">
        <v>0</v>
      </c>
      <c r="M112" s="286">
        <v>0</v>
      </c>
      <c r="N112" s="285">
        <f t="shared" si="35"/>
        <v>1554.28</v>
      </c>
      <c r="O112" s="616">
        <f t="shared" si="36"/>
        <v>0</v>
      </c>
      <c r="P112" s="289">
        <f t="shared" si="37"/>
        <v>0</v>
      </c>
      <c r="Q112" s="290">
        <f t="shared" si="38"/>
        <v>0</v>
      </c>
      <c r="R112" s="290">
        <f t="shared" si="39"/>
        <v>0</v>
      </c>
      <c r="S112" s="290">
        <f t="shared" si="40"/>
        <v>0</v>
      </c>
      <c r="T112" s="290">
        <f t="shared" si="41"/>
        <v>0</v>
      </c>
      <c r="U112" s="291">
        <f t="shared" si="42"/>
        <v>1554.28</v>
      </c>
      <c r="V112" s="291">
        <f t="shared" si="46"/>
        <v>-1554.28</v>
      </c>
      <c r="W112" s="265">
        <f t="shared" si="50"/>
        <v>0</v>
      </c>
      <c r="X112" s="291">
        <f t="shared" si="47"/>
        <v>-1554.28</v>
      </c>
      <c r="Y112" s="170">
        <f t="shared" si="44"/>
        <v>85.8</v>
      </c>
      <c r="Z112" s="291">
        <f t="shared" si="45"/>
        <v>-85.8</v>
      </c>
      <c r="AC112" s="276">
        <f>IF(AI112=1,IF(AC111=MiscData!$F$1,EOMONTH(AC111,-11),EOMONTH(AC111,1)),AC111)</f>
        <v>42063</v>
      </c>
      <c r="AD112" s="275" t="str">
        <f t="shared" si="54"/>
        <v>20140101LGUM_420</v>
      </c>
      <c r="AE112" s="294" t="str">
        <f t="shared" si="55"/>
        <v xml:space="preserve">20140101LS </v>
      </c>
      <c r="AF112" s="618" t="str">
        <f t="shared" si="48"/>
        <v>420</v>
      </c>
      <c r="AH112" s="265">
        <f>MiscData!$X$5</f>
        <v>20140101</v>
      </c>
      <c r="AI112" s="265">
        <f>IF(AI111+1&gt;MiscData!$AC$77,1,AI111+1)</f>
        <v>36</v>
      </c>
      <c r="AJ112" s="265" t="str">
        <f>VLOOKUP(AI112,MiscData!$AC$5:$AD$77,2,FALSE)</f>
        <v>LGUM_420</v>
      </c>
      <c r="AK112" s="265" t="str">
        <f>VLOOKUP(AJ112,MiscData!$AD$5:$AE$77,2,FALSE)</f>
        <v xml:space="preserve">LS </v>
      </c>
      <c r="AT112" s="265" t="s">
        <v>386</v>
      </c>
      <c r="AV112" s="265">
        <v>0</v>
      </c>
    </row>
    <row r="113" spans="1:48">
      <c r="A113" s="275">
        <f t="shared" si="49"/>
        <v>110</v>
      </c>
      <c r="B113" s="276" t="str">
        <f t="shared" si="51"/>
        <v>Feb 2015</v>
      </c>
      <c r="C113" s="277" t="str">
        <f t="shared" si="52"/>
        <v xml:space="preserve">LS </v>
      </c>
      <c r="D113" s="277" t="str">
        <f t="shared" si="53"/>
        <v>LGUM_421</v>
      </c>
      <c r="E113" s="614">
        <f t="shared" si="30"/>
        <v>171</v>
      </c>
      <c r="F113" s="615">
        <v>0</v>
      </c>
      <c r="G113" s="614">
        <f t="shared" si="31"/>
        <v>0</v>
      </c>
      <c r="H113" s="615">
        <v>0</v>
      </c>
      <c r="I113" s="283">
        <f t="shared" si="32"/>
        <v>32.860000000000007</v>
      </c>
      <c r="J113" s="283">
        <f t="shared" si="33"/>
        <v>2.6700000000000017</v>
      </c>
      <c r="K113" s="285">
        <f t="shared" si="34"/>
        <v>5619.06</v>
      </c>
      <c r="L113" s="286">
        <v>0</v>
      </c>
      <c r="M113" s="286">
        <v>0</v>
      </c>
      <c r="N113" s="285">
        <f t="shared" si="35"/>
        <v>5619.06</v>
      </c>
      <c r="O113" s="616">
        <f t="shared" si="36"/>
        <v>0</v>
      </c>
      <c r="P113" s="289">
        <f t="shared" si="37"/>
        <v>0</v>
      </c>
      <c r="Q113" s="290">
        <f t="shared" si="38"/>
        <v>0</v>
      </c>
      <c r="R113" s="290">
        <f t="shared" si="39"/>
        <v>0</v>
      </c>
      <c r="S113" s="290">
        <f t="shared" si="40"/>
        <v>0</v>
      </c>
      <c r="T113" s="290">
        <f t="shared" si="41"/>
        <v>0</v>
      </c>
      <c r="U113" s="291">
        <f t="shared" si="42"/>
        <v>5619.06</v>
      </c>
      <c r="V113" s="291">
        <f t="shared" si="46"/>
        <v>-5619.06</v>
      </c>
      <c r="W113" s="265">
        <f t="shared" si="50"/>
        <v>0</v>
      </c>
      <c r="X113" s="291">
        <f t="shared" si="47"/>
        <v>-5619.06</v>
      </c>
      <c r="Y113" s="170">
        <f t="shared" si="44"/>
        <v>456.57</v>
      </c>
      <c r="Z113" s="291">
        <f t="shared" si="45"/>
        <v>-456.57</v>
      </c>
      <c r="AC113" s="276">
        <f>IF(AI113=1,IF(AC112=MiscData!$F$1,EOMONTH(AC112,-11),EOMONTH(AC112,1)),AC112)</f>
        <v>42063</v>
      </c>
      <c r="AD113" s="275" t="str">
        <f t="shared" si="54"/>
        <v>20140101LGUM_421</v>
      </c>
      <c r="AE113" s="294" t="str">
        <f t="shared" si="55"/>
        <v xml:space="preserve">20140101LS </v>
      </c>
      <c r="AF113" s="618" t="str">
        <f t="shared" si="48"/>
        <v>421</v>
      </c>
      <c r="AH113" s="265">
        <f>MiscData!$X$5</f>
        <v>20140101</v>
      </c>
      <c r="AI113" s="265">
        <f>IF(AI112+1&gt;MiscData!$AC$77,1,AI112+1)</f>
        <v>37</v>
      </c>
      <c r="AJ113" s="265" t="str">
        <f>VLOOKUP(AI113,MiscData!$AC$5:$AD$77,2,FALSE)</f>
        <v>LGUM_421</v>
      </c>
      <c r="AK113" s="265" t="str">
        <f>VLOOKUP(AJ113,MiscData!$AD$5:$AE$77,2,FALSE)</f>
        <v xml:space="preserve">LS </v>
      </c>
      <c r="AT113" s="265" t="s">
        <v>251</v>
      </c>
      <c r="AV113" s="265">
        <v>0</v>
      </c>
    </row>
    <row r="114" spans="1:48">
      <c r="A114" s="275">
        <f t="shared" si="49"/>
        <v>111</v>
      </c>
      <c r="B114" s="276" t="str">
        <f t="shared" si="51"/>
        <v>Feb 2015</v>
      </c>
      <c r="C114" s="277" t="str">
        <f t="shared" si="52"/>
        <v xml:space="preserve">LS </v>
      </c>
      <c r="D114" s="277" t="str">
        <f t="shared" si="53"/>
        <v>LGUM_422</v>
      </c>
      <c r="E114" s="614">
        <f t="shared" si="30"/>
        <v>353</v>
      </c>
      <c r="F114" s="615">
        <v>0</v>
      </c>
      <c r="G114" s="614">
        <f t="shared" si="31"/>
        <v>0</v>
      </c>
      <c r="H114" s="615">
        <v>0</v>
      </c>
      <c r="I114" s="283">
        <f t="shared" si="32"/>
        <v>38.389999999999993</v>
      </c>
      <c r="J114" s="283">
        <f t="shared" si="33"/>
        <v>4.279999999999994</v>
      </c>
      <c r="K114" s="285">
        <f t="shared" si="34"/>
        <v>13551.67</v>
      </c>
      <c r="L114" s="286">
        <v>0</v>
      </c>
      <c r="M114" s="286">
        <v>0</v>
      </c>
      <c r="N114" s="285">
        <f t="shared" si="35"/>
        <v>13551.67</v>
      </c>
      <c r="O114" s="616">
        <f t="shared" si="36"/>
        <v>0</v>
      </c>
      <c r="P114" s="289">
        <f t="shared" si="37"/>
        <v>0</v>
      </c>
      <c r="Q114" s="290">
        <f t="shared" si="38"/>
        <v>0</v>
      </c>
      <c r="R114" s="290">
        <f t="shared" si="39"/>
        <v>0</v>
      </c>
      <c r="S114" s="290">
        <f t="shared" si="40"/>
        <v>0</v>
      </c>
      <c r="T114" s="290">
        <f t="shared" si="41"/>
        <v>0</v>
      </c>
      <c r="U114" s="291">
        <f t="shared" si="42"/>
        <v>13551.67</v>
      </c>
      <c r="V114" s="291">
        <f t="shared" si="46"/>
        <v>-13551.67</v>
      </c>
      <c r="W114" s="265">
        <f t="shared" si="50"/>
        <v>0</v>
      </c>
      <c r="X114" s="291">
        <f t="shared" si="47"/>
        <v>-13551.67</v>
      </c>
      <c r="Y114" s="170">
        <f t="shared" si="44"/>
        <v>1510.84</v>
      </c>
      <c r="Z114" s="291">
        <f t="shared" si="45"/>
        <v>-1510.84</v>
      </c>
      <c r="AC114" s="276">
        <f>IF(AI114=1,IF(AC113=MiscData!$F$1,EOMONTH(AC113,-11),EOMONTH(AC113,1)),AC113)</f>
        <v>42063</v>
      </c>
      <c r="AD114" s="275" t="str">
        <f t="shared" si="54"/>
        <v>20140101LGUM_422</v>
      </c>
      <c r="AE114" s="294" t="str">
        <f t="shared" si="55"/>
        <v xml:space="preserve">20140101LS </v>
      </c>
      <c r="AF114" s="618" t="str">
        <f t="shared" si="48"/>
        <v>422</v>
      </c>
      <c r="AH114" s="265">
        <f>MiscData!$X$5</f>
        <v>20140101</v>
      </c>
      <c r="AI114" s="265">
        <f>IF(AI113+1&gt;MiscData!$AC$77,1,AI113+1)</f>
        <v>38</v>
      </c>
      <c r="AJ114" s="265" t="str">
        <f>VLOOKUP(AI114,MiscData!$AC$5:$AD$77,2,FALSE)</f>
        <v>LGUM_422</v>
      </c>
      <c r="AK114" s="265" t="str">
        <f>VLOOKUP(AJ114,MiscData!$AD$5:$AE$77,2,FALSE)</f>
        <v xml:space="preserve">LS </v>
      </c>
      <c r="AT114" s="265" t="s">
        <v>523</v>
      </c>
      <c r="AV114" s="265">
        <v>0</v>
      </c>
    </row>
    <row r="115" spans="1:48">
      <c r="A115" s="275">
        <f t="shared" si="49"/>
        <v>112</v>
      </c>
      <c r="B115" s="276" t="str">
        <f t="shared" si="51"/>
        <v>Feb 2015</v>
      </c>
      <c r="C115" s="277" t="str">
        <f t="shared" si="52"/>
        <v xml:space="preserve">LS </v>
      </c>
      <c r="D115" s="277" t="str">
        <f t="shared" si="53"/>
        <v>LGUM_423</v>
      </c>
      <c r="E115" s="614">
        <f t="shared" si="30"/>
        <v>17</v>
      </c>
      <c r="F115" s="615">
        <v>0</v>
      </c>
      <c r="G115" s="614">
        <f t="shared" si="31"/>
        <v>0</v>
      </c>
      <c r="H115" s="615">
        <v>0</v>
      </c>
      <c r="I115" s="283">
        <f t="shared" si="32"/>
        <v>26.349999999999998</v>
      </c>
      <c r="J115" s="283">
        <f t="shared" si="33"/>
        <v>1.6500000000000021</v>
      </c>
      <c r="K115" s="285">
        <f t="shared" si="34"/>
        <v>447.95</v>
      </c>
      <c r="L115" s="286">
        <v>0</v>
      </c>
      <c r="M115" s="286">
        <v>0</v>
      </c>
      <c r="N115" s="285">
        <f t="shared" si="35"/>
        <v>447.95</v>
      </c>
      <c r="O115" s="616">
        <f t="shared" si="36"/>
        <v>0</v>
      </c>
      <c r="P115" s="289">
        <f t="shared" si="37"/>
        <v>0</v>
      </c>
      <c r="Q115" s="290">
        <f t="shared" si="38"/>
        <v>0</v>
      </c>
      <c r="R115" s="290">
        <f t="shared" si="39"/>
        <v>0</v>
      </c>
      <c r="S115" s="290">
        <f t="shared" si="40"/>
        <v>0</v>
      </c>
      <c r="T115" s="290">
        <f t="shared" si="41"/>
        <v>0</v>
      </c>
      <c r="U115" s="291">
        <f t="shared" si="42"/>
        <v>447.95</v>
      </c>
      <c r="V115" s="291">
        <f t="shared" si="46"/>
        <v>-447.95</v>
      </c>
      <c r="W115" s="265">
        <f t="shared" si="50"/>
        <v>0</v>
      </c>
      <c r="X115" s="291">
        <f t="shared" si="47"/>
        <v>-447.95</v>
      </c>
      <c r="Y115" s="170">
        <f t="shared" si="44"/>
        <v>28.05</v>
      </c>
      <c r="Z115" s="291">
        <f t="shared" si="45"/>
        <v>-28.05</v>
      </c>
      <c r="AC115" s="276">
        <f>IF(AI115=1,IF(AC114=MiscData!$F$1,EOMONTH(AC114,-11),EOMONTH(AC114,1)),AC114)</f>
        <v>42063</v>
      </c>
      <c r="AD115" s="275" t="str">
        <f t="shared" si="54"/>
        <v>20140101LGUM_423</v>
      </c>
      <c r="AE115" s="294" t="str">
        <f t="shared" si="55"/>
        <v xml:space="preserve">20140101LS </v>
      </c>
      <c r="AF115" s="618" t="str">
        <f t="shared" si="48"/>
        <v>423</v>
      </c>
      <c r="AH115" s="265">
        <f>MiscData!$X$5</f>
        <v>20140101</v>
      </c>
      <c r="AI115" s="265">
        <f>IF(AI114+1&gt;MiscData!$AC$77,1,AI114+1)</f>
        <v>39</v>
      </c>
      <c r="AJ115" s="265" t="str">
        <f>VLOOKUP(AI115,MiscData!$AC$5:$AD$77,2,FALSE)</f>
        <v>LGUM_423</v>
      </c>
      <c r="AK115" s="265" t="str">
        <f>VLOOKUP(AJ115,MiscData!$AD$5:$AE$77,2,FALSE)</f>
        <v xml:space="preserve">LS </v>
      </c>
      <c r="AT115" s="265" t="s">
        <v>527</v>
      </c>
      <c r="AV115" s="265">
        <v>0</v>
      </c>
    </row>
    <row r="116" spans="1:48">
      <c r="A116" s="275">
        <f t="shared" si="49"/>
        <v>113</v>
      </c>
      <c r="B116" s="276" t="str">
        <f t="shared" si="51"/>
        <v>Feb 2015</v>
      </c>
      <c r="C116" s="277" t="str">
        <f t="shared" si="52"/>
        <v xml:space="preserve">LS </v>
      </c>
      <c r="D116" s="277" t="str">
        <f t="shared" si="53"/>
        <v>LGUM_424</v>
      </c>
      <c r="E116" s="614">
        <f t="shared" si="30"/>
        <v>393</v>
      </c>
      <c r="F116" s="615">
        <v>0</v>
      </c>
      <c r="G116" s="614">
        <f t="shared" si="31"/>
        <v>0</v>
      </c>
      <c r="H116" s="615">
        <v>0</v>
      </c>
      <c r="I116" s="283">
        <f t="shared" si="32"/>
        <v>28.45</v>
      </c>
      <c r="J116" s="283">
        <f t="shared" si="33"/>
        <v>3.9800000000000004</v>
      </c>
      <c r="K116" s="285">
        <f t="shared" si="34"/>
        <v>11180.85</v>
      </c>
      <c r="L116" s="286">
        <v>0</v>
      </c>
      <c r="M116" s="286">
        <v>0</v>
      </c>
      <c r="N116" s="285">
        <f t="shared" si="35"/>
        <v>11180.85</v>
      </c>
      <c r="O116" s="616">
        <f t="shared" si="36"/>
        <v>0</v>
      </c>
      <c r="P116" s="289">
        <f t="shared" si="37"/>
        <v>0</v>
      </c>
      <c r="Q116" s="290">
        <f t="shared" si="38"/>
        <v>0</v>
      </c>
      <c r="R116" s="290">
        <f t="shared" si="39"/>
        <v>0</v>
      </c>
      <c r="S116" s="290">
        <f t="shared" si="40"/>
        <v>0</v>
      </c>
      <c r="T116" s="290">
        <f t="shared" si="41"/>
        <v>0</v>
      </c>
      <c r="U116" s="291">
        <f t="shared" si="42"/>
        <v>11180.85</v>
      </c>
      <c r="V116" s="291">
        <f t="shared" si="46"/>
        <v>-11180.85</v>
      </c>
      <c r="W116" s="265">
        <f t="shared" si="50"/>
        <v>0</v>
      </c>
      <c r="X116" s="291">
        <f t="shared" si="47"/>
        <v>-11180.85</v>
      </c>
      <c r="Y116" s="170">
        <f t="shared" si="44"/>
        <v>1564.14</v>
      </c>
      <c r="Z116" s="291">
        <f t="shared" si="45"/>
        <v>-1564.14</v>
      </c>
      <c r="AC116" s="276">
        <f>IF(AI116=1,IF(AC115=MiscData!$F$1,EOMONTH(AC115,-11),EOMONTH(AC115,1)),AC115)</f>
        <v>42063</v>
      </c>
      <c r="AD116" s="275" t="str">
        <f t="shared" si="54"/>
        <v>20140101LGUM_424</v>
      </c>
      <c r="AE116" s="294" t="str">
        <f t="shared" si="55"/>
        <v xml:space="preserve">20140101LS </v>
      </c>
      <c r="AF116" s="618" t="str">
        <f t="shared" si="48"/>
        <v>424</v>
      </c>
      <c r="AH116" s="265">
        <f>MiscData!$X$5</f>
        <v>20140101</v>
      </c>
      <c r="AI116" s="265">
        <f>IF(AI115+1&gt;MiscData!$AC$77,1,AI115+1)</f>
        <v>40</v>
      </c>
      <c r="AJ116" s="265" t="str">
        <f>VLOOKUP(AI116,MiscData!$AC$5:$AD$77,2,FALSE)</f>
        <v>LGUM_424</v>
      </c>
      <c r="AK116" s="265" t="str">
        <f>VLOOKUP(AJ116,MiscData!$AD$5:$AE$77,2,FALSE)</f>
        <v xml:space="preserve">LS </v>
      </c>
      <c r="AT116" s="265" t="s">
        <v>528</v>
      </c>
      <c r="AV116" s="265">
        <v>0</v>
      </c>
    </row>
    <row r="117" spans="1:48">
      <c r="A117" s="275">
        <f t="shared" si="49"/>
        <v>114</v>
      </c>
      <c r="B117" s="276" t="str">
        <f t="shared" si="51"/>
        <v>Feb 2015</v>
      </c>
      <c r="C117" s="277" t="str">
        <f t="shared" si="52"/>
        <v xml:space="preserve">LS </v>
      </c>
      <c r="D117" s="277" t="str">
        <f t="shared" si="53"/>
        <v>LGUM_425</v>
      </c>
      <c r="E117" s="614">
        <f t="shared" si="30"/>
        <v>33</v>
      </c>
      <c r="F117" s="615">
        <v>0</v>
      </c>
      <c r="G117" s="614">
        <f t="shared" si="31"/>
        <v>0</v>
      </c>
      <c r="H117" s="615">
        <v>0</v>
      </c>
      <c r="I117" s="283">
        <f t="shared" si="32"/>
        <v>34.029999999999994</v>
      </c>
      <c r="J117" s="283">
        <f t="shared" si="33"/>
        <v>4.2799999999999976</v>
      </c>
      <c r="K117" s="285">
        <f t="shared" si="34"/>
        <v>1122.99</v>
      </c>
      <c r="L117" s="286">
        <v>0</v>
      </c>
      <c r="M117" s="286">
        <v>0</v>
      </c>
      <c r="N117" s="285">
        <f t="shared" si="35"/>
        <v>1122.99</v>
      </c>
      <c r="O117" s="616">
        <f t="shared" si="36"/>
        <v>0</v>
      </c>
      <c r="P117" s="289">
        <f t="shared" si="37"/>
        <v>0</v>
      </c>
      <c r="Q117" s="290">
        <f t="shared" si="38"/>
        <v>0</v>
      </c>
      <c r="R117" s="290">
        <f t="shared" si="39"/>
        <v>0</v>
      </c>
      <c r="S117" s="290">
        <f t="shared" si="40"/>
        <v>0</v>
      </c>
      <c r="T117" s="290">
        <f t="shared" si="41"/>
        <v>0</v>
      </c>
      <c r="U117" s="291">
        <f t="shared" si="42"/>
        <v>1122.99</v>
      </c>
      <c r="V117" s="291">
        <f t="shared" si="46"/>
        <v>-1122.99</v>
      </c>
      <c r="W117" s="265">
        <f t="shared" si="50"/>
        <v>0</v>
      </c>
      <c r="X117" s="291">
        <f t="shared" si="47"/>
        <v>-1122.99</v>
      </c>
      <c r="Y117" s="170">
        <f t="shared" si="44"/>
        <v>141.24</v>
      </c>
      <c r="Z117" s="291">
        <f t="shared" si="45"/>
        <v>-141.24</v>
      </c>
      <c r="AC117" s="276">
        <f>IF(AI117=1,IF(AC116=MiscData!$F$1,EOMONTH(AC116,-11),EOMONTH(AC116,1)),AC116)</f>
        <v>42063</v>
      </c>
      <c r="AD117" s="275" t="str">
        <f t="shared" si="54"/>
        <v>20140101LGUM_425</v>
      </c>
      <c r="AE117" s="294" t="str">
        <f t="shared" si="55"/>
        <v xml:space="preserve">20140101LS </v>
      </c>
      <c r="AF117" s="618" t="str">
        <f t="shared" si="48"/>
        <v>425</v>
      </c>
      <c r="AH117" s="265">
        <f>MiscData!$X$5</f>
        <v>20140101</v>
      </c>
      <c r="AI117" s="265">
        <f>IF(AI116+1&gt;MiscData!$AC$77,1,AI116+1)</f>
        <v>41</v>
      </c>
      <c r="AJ117" s="265" t="str">
        <f>VLOOKUP(AI117,MiscData!$AC$5:$AD$77,2,FALSE)</f>
        <v>LGUM_425</v>
      </c>
      <c r="AK117" s="265" t="str">
        <f>VLOOKUP(AJ117,MiscData!$AD$5:$AE$77,2,FALSE)</f>
        <v xml:space="preserve">LS </v>
      </c>
      <c r="AT117" s="265" t="s">
        <v>252</v>
      </c>
      <c r="AV117" s="265">
        <v>0</v>
      </c>
    </row>
    <row r="118" spans="1:48">
      <c r="A118" s="275">
        <f t="shared" si="49"/>
        <v>115</v>
      </c>
      <c r="B118" s="276" t="str">
        <f t="shared" si="51"/>
        <v>Feb 2015</v>
      </c>
      <c r="C118" s="277" t="str">
        <f t="shared" si="52"/>
        <v>RLS</v>
      </c>
      <c r="D118" s="277" t="str">
        <f t="shared" si="53"/>
        <v>LGUM_426</v>
      </c>
      <c r="E118" s="614">
        <f t="shared" si="30"/>
        <v>39</v>
      </c>
      <c r="F118" s="615">
        <v>0</v>
      </c>
      <c r="G118" s="614">
        <f t="shared" si="31"/>
        <v>0</v>
      </c>
      <c r="H118" s="615">
        <v>0</v>
      </c>
      <c r="I118" s="283">
        <f t="shared" si="32"/>
        <v>33.22</v>
      </c>
      <c r="J118" s="283">
        <f t="shared" si="33"/>
        <v>0.75</v>
      </c>
      <c r="K118" s="285">
        <f t="shared" si="34"/>
        <v>1295.58</v>
      </c>
      <c r="L118" s="286">
        <v>0</v>
      </c>
      <c r="M118" s="286">
        <v>0</v>
      </c>
      <c r="N118" s="285">
        <f t="shared" si="35"/>
        <v>1295.58</v>
      </c>
      <c r="O118" s="616">
        <f t="shared" si="36"/>
        <v>0</v>
      </c>
      <c r="P118" s="289">
        <f t="shared" si="37"/>
        <v>0</v>
      </c>
      <c r="Q118" s="290">
        <f t="shared" si="38"/>
        <v>0</v>
      </c>
      <c r="R118" s="290">
        <f t="shared" si="39"/>
        <v>0</v>
      </c>
      <c r="S118" s="290">
        <f t="shared" si="40"/>
        <v>0</v>
      </c>
      <c r="T118" s="290">
        <f t="shared" si="41"/>
        <v>0</v>
      </c>
      <c r="U118" s="291">
        <f t="shared" si="42"/>
        <v>1295.58</v>
      </c>
      <c r="V118" s="291">
        <f t="shared" si="46"/>
        <v>-1295.58</v>
      </c>
      <c r="W118" s="265">
        <f t="shared" si="50"/>
        <v>0</v>
      </c>
      <c r="X118" s="291">
        <f t="shared" si="47"/>
        <v>-1295.58</v>
      </c>
      <c r="Y118" s="170">
        <f t="shared" si="44"/>
        <v>29.25</v>
      </c>
      <c r="Z118" s="291">
        <f t="shared" si="45"/>
        <v>-29.25</v>
      </c>
      <c r="AC118" s="276">
        <f>IF(AI118=1,IF(AC117=MiscData!$F$1,EOMONTH(AC117,-11),EOMONTH(AC117,1)),AC117)</f>
        <v>42063</v>
      </c>
      <c r="AD118" s="275" t="str">
        <f t="shared" si="54"/>
        <v>20140101LGUM_426</v>
      </c>
      <c r="AE118" s="294" t="str">
        <f t="shared" si="55"/>
        <v>20140101RLS</v>
      </c>
      <c r="AF118" s="618" t="str">
        <f t="shared" si="48"/>
        <v>426</v>
      </c>
      <c r="AH118" s="265">
        <f>MiscData!$X$5</f>
        <v>20140101</v>
      </c>
      <c r="AI118" s="265">
        <f>IF(AI117+1&gt;MiscData!$AC$77,1,AI117+1)</f>
        <v>42</v>
      </c>
      <c r="AJ118" s="265" t="str">
        <f>VLOOKUP(AI118,MiscData!$AC$5:$AD$77,2,FALSE)</f>
        <v>LGUM_426</v>
      </c>
      <c r="AK118" s="265" t="str">
        <f>VLOOKUP(AJ118,MiscData!$AD$5:$AE$77,2,FALSE)</f>
        <v>RLS</v>
      </c>
      <c r="AT118" s="265" t="s">
        <v>253</v>
      </c>
      <c r="AV118" s="265">
        <v>-7.88</v>
      </c>
    </row>
    <row r="119" spans="1:48">
      <c r="A119" s="275">
        <f t="shared" si="49"/>
        <v>116</v>
      </c>
      <c r="B119" s="276" t="str">
        <f t="shared" si="51"/>
        <v>Feb 2015</v>
      </c>
      <c r="C119" s="277" t="str">
        <f t="shared" si="52"/>
        <v xml:space="preserve">LS </v>
      </c>
      <c r="D119" s="277" t="str">
        <f t="shared" si="53"/>
        <v>LGUM_427</v>
      </c>
      <c r="E119" s="614">
        <f t="shared" si="30"/>
        <v>51</v>
      </c>
      <c r="F119" s="615">
        <v>0</v>
      </c>
      <c r="G119" s="614">
        <f t="shared" si="31"/>
        <v>0</v>
      </c>
      <c r="H119" s="615">
        <v>0</v>
      </c>
      <c r="I119" s="283">
        <f t="shared" si="32"/>
        <v>35.199999999999996</v>
      </c>
      <c r="J119" s="283">
        <f t="shared" si="33"/>
        <v>0.75</v>
      </c>
      <c r="K119" s="285">
        <f t="shared" si="34"/>
        <v>1795.2</v>
      </c>
      <c r="L119" s="286">
        <v>0</v>
      </c>
      <c r="M119" s="286">
        <v>0</v>
      </c>
      <c r="N119" s="285">
        <f t="shared" si="35"/>
        <v>1795.2</v>
      </c>
      <c r="O119" s="616">
        <f t="shared" si="36"/>
        <v>0</v>
      </c>
      <c r="P119" s="289">
        <f t="shared" si="37"/>
        <v>0</v>
      </c>
      <c r="Q119" s="290">
        <f t="shared" si="38"/>
        <v>0</v>
      </c>
      <c r="R119" s="290">
        <f t="shared" si="39"/>
        <v>0</v>
      </c>
      <c r="S119" s="290">
        <f t="shared" si="40"/>
        <v>0</v>
      </c>
      <c r="T119" s="290">
        <f t="shared" si="41"/>
        <v>0</v>
      </c>
      <c r="U119" s="291">
        <f t="shared" si="42"/>
        <v>1795.2</v>
      </c>
      <c r="V119" s="291">
        <f t="shared" si="46"/>
        <v>-1795.2</v>
      </c>
      <c r="W119" s="265">
        <f t="shared" si="50"/>
        <v>0</v>
      </c>
      <c r="X119" s="291">
        <f t="shared" si="47"/>
        <v>-1795.2</v>
      </c>
      <c r="Y119" s="170">
        <f t="shared" si="44"/>
        <v>38.25</v>
      </c>
      <c r="Z119" s="291">
        <f t="shared" si="45"/>
        <v>-38.25</v>
      </c>
      <c r="AC119" s="276">
        <f>IF(AI119=1,IF(AC118=MiscData!$F$1,EOMONTH(AC118,-11),EOMONTH(AC118,1)),AC118)</f>
        <v>42063</v>
      </c>
      <c r="AD119" s="275" t="str">
        <f t="shared" si="54"/>
        <v>20140101LGUM_427</v>
      </c>
      <c r="AE119" s="294" t="str">
        <f t="shared" si="55"/>
        <v xml:space="preserve">20140101LS </v>
      </c>
      <c r="AF119" s="618" t="str">
        <f t="shared" si="48"/>
        <v>427</v>
      </c>
      <c r="AH119" s="265">
        <f>MiscData!$X$5</f>
        <v>20140101</v>
      </c>
      <c r="AI119" s="265">
        <f>IF(AI118+1&gt;MiscData!$AC$77,1,AI118+1)</f>
        <v>43</v>
      </c>
      <c r="AJ119" s="265" t="str">
        <f>VLOOKUP(AI119,MiscData!$AC$5:$AD$77,2,FALSE)</f>
        <v>LGUM_427</v>
      </c>
      <c r="AK119" s="265" t="str">
        <f>VLOOKUP(AJ119,MiscData!$AD$5:$AE$77,2,FALSE)</f>
        <v xml:space="preserve">LS </v>
      </c>
      <c r="AT119" s="265" t="s">
        <v>387</v>
      </c>
      <c r="AV119" s="265">
        <v>0</v>
      </c>
    </row>
    <row r="120" spans="1:48">
      <c r="A120" s="275">
        <f t="shared" si="49"/>
        <v>117</v>
      </c>
      <c r="B120" s="276" t="str">
        <f t="shared" si="51"/>
        <v>Feb 2015</v>
      </c>
      <c r="C120" s="277" t="str">
        <f t="shared" si="52"/>
        <v>RLS</v>
      </c>
      <c r="D120" s="277" t="str">
        <f t="shared" si="53"/>
        <v>LGUM_428</v>
      </c>
      <c r="E120" s="614">
        <f t="shared" si="30"/>
        <v>198</v>
      </c>
      <c r="F120" s="615">
        <v>0</v>
      </c>
      <c r="G120" s="614">
        <f t="shared" si="31"/>
        <v>0</v>
      </c>
      <c r="H120" s="615">
        <v>0</v>
      </c>
      <c r="I120" s="283">
        <f t="shared" si="32"/>
        <v>34.090000000000003</v>
      </c>
      <c r="J120" s="283">
        <f t="shared" si="33"/>
        <v>1.0600000000000023</v>
      </c>
      <c r="K120" s="285">
        <f t="shared" si="34"/>
        <v>6749.82</v>
      </c>
      <c r="L120" s="286">
        <v>0</v>
      </c>
      <c r="M120" s="286">
        <v>0</v>
      </c>
      <c r="N120" s="285">
        <f t="shared" si="35"/>
        <v>6749.82</v>
      </c>
      <c r="O120" s="616">
        <f t="shared" si="36"/>
        <v>0</v>
      </c>
      <c r="P120" s="289">
        <f t="shared" si="37"/>
        <v>0</v>
      </c>
      <c r="Q120" s="290">
        <f t="shared" si="38"/>
        <v>0</v>
      </c>
      <c r="R120" s="290">
        <f t="shared" si="39"/>
        <v>0</v>
      </c>
      <c r="S120" s="290">
        <f t="shared" si="40"/>
        <v>0</v>
      </c>
      <c r="T120" s="290">
        <f t="shared" si="41"/>
        <v>0</v>
      </c>
      <c r="U120" s="291">
        <f t="shared" si="42"/>
        <v>6749.82</v>
      </c>
      <c r="V120" s="291">
        <f t="shared" si="46"/>
        <v>-6749.82</v>
      </c>
      <c r="W120" s="265">
        <f t="shared" si="50"/>
        <v>0</v>
      </c>
      <c r="X120" s="291">
        <f t="shared" si="47"/>
        <v>-6749.82</v>
      </c>
      <c r="Y120" s="170">
        <f t="shared" si="44"/>
        <v>209.88</v>
      </c>
      <c r="Z120" s="291">
        <f t="shared" si="45"/>
        <v>-209.88</v>
      </c>
      <c r="AC120" s="276">
        <f>IF(AI120=1,IF(AC119=MiscData!$F$1,EOMONTH(AC119,-11),EOMONTH(AC119,1)),AC119)</f>
        <v>42063</v>
      </c>
      <c r="AD120" s="275" t="str">
        <f t="shared" si="54"/>
        <v>20140101LGUM_428</v>
      </c>
      <c r="AE120" s="294" t="str">
        <f t="shared" si="55"/>
        <v>20140101RLS</v>
      </c>
      <c r="AF120" s="618" t="str">
        <f t="shared" si="48"/>
        <v>428</v>
      </c>
      <c r="AH120" s="265">
        <f>MiscData!$X$5</f>
        <v>20140101</v>
      </c>
      <c r="AI120" s="265">
        <f>IF(AI119+1&gt;MiscData!$AC$77,1,AI119+1)</f>
        <v>44</v>
      </c>
      <c r="AJ120" s="265" t="str">
        <f>VLOOKUP(AI120,MiscData!$AC$5:$AD$77,2,FALSE)</f>
        <v>LGUM_428</v>
      </c>
      <c r="AK120" s="265" t="str">
        <f>VLOOKUP(AJ120,MiscData!$AD$5:$AE$77,2,FALSE)</f>
        <v>RLS</v>
      </c>
      <c r="AT120" s="265" t="s">
        <v>254</v>
      </c>
      <c r="AV120" s="265">
        <v>0</v>
      </c>
    </row>
    <row r="121" spans="1:48">
      <c r="A121" s="275">
        <f t="shared" si="49"/>
        <v>118</v>
      </c>
      <c r="B121" s="276" t="str">
        <f t="shared" si="51"/>
        <v>Feb 2015</v>
      </c>
      <c r="C121" s="277" t="str">
        <f t="shared" si="52"/>
        <v xml:space="preserve">LS </v>
      </c>
      <c r="D121" s="277" t="str">
        <f t="shared" si="53"/>
        <v>LGUM_429</v>
      </c>
      <c r="E121" s="614">
        <f t="shared" si="30"/>
        <v>189</v>
      </c>
      <c r="F121" s="615">
        <v>0</v>
      </c>
      <c r="G121" s="614">
        <f t="shared" si="31"/>
        <v>0</v>
      </c>
      <c r="H121" s="615">
        <v>0</v>
      </c>
      <c r="I121" s="283">
        <f t="shared" si="32"/>
        <v>36.07</v>
      </c>
      <c r="J121" s="283">
        <f t="shared" si="33"/>
        <v>1.0599999999999952</v>
      </c>
      <c r="K121" s="285">
        <f t="shared" si="34"/>
        <v>6817.23</v>
      </c>
      <c r="L121" s="286">
        <v>0</v>
      </c>
      <c r="M121" s="286">
        <v>0</v>
      </c>
      <c r="N121" s="285">
        <f t="shared" si="35"/>
        <v>6817.23</v>
      </c>
      <c r="O121" s="616">
        <f t="shared" si="36"/>
        <v>0</v>
      </c>
      <c r="P121" s="289">
        <f t="shared" si="37"/>
        <v>0</v>
      </c>
      <c r="Q121" s="290">
        <f t="shared" si="38"/>
        <v>0</v>
      </c>
      <c r="R121" s="290">
        <f t="shared" si="39"/>
        <v>0</v>
      </c>
      <c r="S121" s="290">
        <f t="shared" si="40"/>
        <v>0</v>
      </c>
      <c r="T121" s="290">
        <f t="shared" si="41"/>
        <v>0</v>
      </c>
      <c r="U121" s="291">
        <f t="shared" si="42"/>
        <v>6817.23</v>
      </c>
      <c r="V121" s="291">
        <f t="shared" si="46"/>
        <v>-6817.23</v>
      </c>
      <c r="W121" s="265">
        <f t="shared" si="50"/>
        <v>0</v>
      </c>
      <c r="X121" s="291">
        <f t="shared" si="47"/>
        <v>-6817.23</v>
      </c>
      <c r="Y121" s="170">
        <f t="shared" si="44"/>
        <v>200.34</v>
      </c>
      <c r="Z121" s="291">
        <f t="shared" si="45"/>
        <v>-200.34</v>
      </c>
      <c r="AC121" s="276">
        <f>IF(AI121=1,IF(AC120=MiscData!$F$1,EOMONTH(AC120,-11),EOMONTH(AC120,1)),AC120)</f>
        <v>42063</v>
      </c>
      <c r="AD121" s="275" t="str">
        <f t="shared" si="54"/>
        <v>20140101LGUM_429</v>
      </c>
      <c r="AE121" s="294" t="str">
        <f t="shared" si="55"/>
        <v xml:space="preserve">20140101LS </v>
      </c>
      <c r="AF121" s="618" t="str">
        <f t="shared" si="48"/>
        <v>429</v>
      </c>
      <c r="AH121" s="265">
        <f>MiscData!$X$5</f>
        <v>20140101</v>
      </c>
      <c r="AI121" s="265">
        <f>IF(AI120+1&gt;MiscData!$AC$77,1,AI120+1)</f>
        <v>45</v>
      </c>
      <c r="AJ121" s="265" t="str">
        <f>VLOOKUP(AI121,MiscData!$AC$5:$AD$77,2,FALSE)</f>
        <v>LGUM_429</v>
      </c>
      <c r="AK121" s="265" t="str">
        <f>VLOOKUP(AJ121,MiscData!$AD$5:$AE$77,2,FALSE)</f>
        <v xml:space="preserve">LS </v>
      </c>
      <c r="AT121" s="265" t="s">
        <v>537</v>
      </c>
      <c r="AV121" s="265">
        <v>0</v>
      </c>
    </row>
    <row r="122" spans="1:48">
      <c r="A122" s="275">
        <f t="shared" si="49"/>
        <v>119</v>
      </c>
      <c r="B122" s="276" t="str">
        <f t="shared" si="51"/>
        <v>Feb 2015</v>
      </c>
      <c r="C122" s="277" t="str">
        <f t="shared" si="52"/>
        <v>RLS</v>
      </c>
      <c r="D122" s="277" t="str">
        <f t="shared" si="53"/>
        <v>LGUM_430</v>
      </c>
      <c r="E122" s="614">
        <f t="shared" si="30"/>
        <v>13</v>
      </c>
      <c r="F122" s="615">
        <v>0</v>
      </c>
      <c r="G122" s="614">
        <f t="shared" si="31"/>
        <v>0</v>
      </c>
      <c r="H122" s="615">
        <v>0</v>
      </c>
      <c r="I122" s="283">
        <f t="shared" si="32"/>
        <v>32.26</v>
      </c>
      <c r="J122" s="283">
        <f t="shared" si="33"/>
        <v>0.75</v>
      </c>
      <c r="K122" s="285">
        <f t="shared" si="34"/>
        <v>419.38</v>
      </c>
      <c r="L122" s="286">
        <v>0</v>
      </c>
      <c r="M122" s="286">
        <v>0</v>
      </c>
      <c r="N122" s="285">
        <f t="shared" si="35"/>
        <v>419.38</v>
      </c>
      <c r="O122" s="616">
        <f t="shared" si="36"/>
        <v>0</v>
      </c>
      <c r="P122" s="289">
        <f t="shared" si="37"/>
        <v>0</v>
      </c>
      <c r="Q122" s="290">
        <f t="shared" si="38"/>
        <v>0</v>
      </c>
      <c r="R122" s="290">
        <f t="shared" si="39"/>
        <v>0</v>
      </c>
      <c r="S122" s="290">
        <f t="shared" si="40"/>
        <v>0</v>
      </c>
      <c r="T122" s="290">
        <f t="shared" si="41"/>
        <v>0</v>
      </c>
      <c r="U122" s="291">
        <f t="shared" si="42"/>
        <v>419.38</v>
      </c>
      <c r="V122" s="291">
        <f t="shared" si="46"/>
        <v>-419.38</v>
      </c>
      <c r="W122" s="265">
        <f t="shared" si="50"/>
        <v>0</v>
      </c>
      <c r="X122" s="291">
        <f t="shared" si="47"/>
        <v>-419.38</v>
      </c>
      <c r="Y122" s="170">
        <f t="shared" si="44"/>
        <v>9.75</v>
      </c>
      <c r="Z122" s="291">
        <f t="shared" si="45"/>
        <v>-9.75</v>
      </c>
      <c r="AC122" s="276">
        <f>IF(AI122=1,IF(AC121=MiscData!$F$1,EOMONTH(AC121,-11),EOMONTH(AC121,1)),AC121)</f>
        <v>42063</v>
      </c>
      <c r="AD122" s="275" t="str">
        <f t="shared" si="54"/>
        <v>20140101LGUM_430</v>
      </c>
      <c r="AE122" s="294" t="str">
        <f t="shared" si="55"/>
        <v>20140101RLS</v>
      </c>
      <c r="AF122" s="618" t="str">
        <f t="shared" si="48"/>
        <v>430</v>
      </c>
      <c r="AH122" s="265">
        <f>MiscData!$X$5</f>
        <v>20140101</v>
      </c>
      <c r="AI122" s="265">
        <f>IF(AI121+1&gt;MiscData!$AC$77,1,AI121+1)</f>
        <v>46</v>
      </c>
      <c r="AJ122" s="265" t="str">
        <f>VLOOKUP(AI122,MiscData!$AC$5:$AD$77,2,FALSE)</f>
        <v>LGUM_430</v>
      </c>
      <c r="AK122" s="265" t="str">
        <f>VLOOKUP(AJ122,MiscData!$AD$5:$AE$77,2,FALSE)</f>
        <v>RLS</v>
      </c>
      <c r="AT122" s="265" t="s">
        <v>388</v>
      </c>
      <c r="AV122" s="265">
        <v>0</v>
      </c>
    </row>
    <row r="123" spans="1:48">
      <c r="A123" s="275">
        <f t="shared" si="49"/>
        <v>120</v>
      </c>
      <c r="B123" s="276" t="str">
        <f t="shared" si="51"/>
        <v>Feb 2015</v>
      </c>
      <c r="C123" s="277" t="str">
        <f t="shared" si="52"/>
        <v xml:space="preserve">LS </v>
      </c>
      <c r="D123" s="277" t="str">
        <f t="shared" si="53"/>
        <v>LGUM_431</v>
      </c>
      <c r="E123" s="614">
        <f t="shared" si="30"/>
        <v>43</v>
      </c>
      <c r="F123" s="615">
        <v>0</v>
      </c>
      <c r="G123" s="614">
        <f t="shared" si="31"/>
        <v>0</v>
      </c>
      <c r="H123" s="615">
        <v>0</v>
      </c>
      <c r="I123" s="283">
        <f t="shared" si="32"/>
        <v>32.93</v>
      </c>
      <c r="J123" s="283">
        <f t="shared" si="33"/>
        <v>0.75</v>
      </c>
      <c r="K123" s="285">
        <f t="shared" si="34"/>
        <v>1415.99</v>
      </c>
      <c r="L123" s="286">
        <v>0</v>
      </c>
      <c r="M123" s="286">
        <v>0</v>
      </c>
      <c r="N123" s="285">
        <f t="shared" si="35"/>
        <v>1415.99</v>
      </c>
      <c r="O123" s="616">
        <f t="shared" si="36"/>
        <v>0</v>
      </c>
      <c r="P123" s="289">
        <f t="shared" si="37"/>
        <v>0</v>
      </c>
      <c r="Q123" s="290">
        <f t="shared" si="38"/>
        <v>0</v>
      </c>
      <c r="R123" s="290">
        <f t="shared" si="39"/>
        <v>0</v>
      </c>
      <c r="S123" s="290">
        <f t="shared" si="40"/>
        <v>0</v>
      </c>
      <c r="T123" s="290">
        <f t="shared" si="41"/>
        <v>0</v>
      </c>
      <c r="U123" s="291">
        <f t="shared" si="42"/>
        <v>1415.99</v>
      </c>
      <c r="V123" s="291">
        <f t="shared" si="46"/>
        <v>-1415.99</v>
      </c>
      <c r="W123" s="265">
        <f t="shared" si="50"/>
        <v>0</v>
      </c>
      <c r="X123" s="291">
        <f t="shared" si="47"/>
        <v>-1415.99</v>
      </c>
      <c r="Y123" s="170">
        <f t="shared" si="44"/>
        <v>32.25</v>
      </c>
      <c r="Z123" s="291">
        <f t="shared" si="45"/>
        <v>-32.25</v>
      </c>
      <c r="AC123" s="276">
        <f>IF(AI123=1,IF(AC122=MiscData!$F$1,EOMONTH(AC122,-11),EOMONTH(AC122,1)),AC122)</f>
        <v>42063</v>
      </c>
      <c r="AD123" s="275" t="str">
        <f t="shared" si="54"/>
        <v>20140101LGUM_431</v>
      </c>
      <c r="AE123" s="294" t="str">
        <f t="shared" si="55"/>
        <v xml:space="preserve">20140101LS </v>
      </c>
      <c r="AF123" s="618" t="str">
        <f t="shared" si="48"/>
        <v>431</v>
      </c>
      <c r="AH123" s="265">
        <f>MiscData!$X$5</f>
        <v>20140101</v>
      </c>
      <c r="AI123" s="265">
        <f>IF(AI122+1&gt;MiscData!$AC$77,1,AI122+1)</f>
        <v>47</v>
      </c>
      <c r="AJ123" s="265" t="str">
        <f>VLOOKUP(AI123,MiscData!$AC$5:$AD$77,2,FALSE)</f>
        <v>LGUM_431</v>
      </c>
      <c r="AK123" s="265" t="str">
        <f>VLOOKUP(AJ123,MiscData!$AD$5:$AE$77,2,FALSE)</f>
        <v xml:space="preserve">LS </v>
      </c>
      <c r="AT123" s="265" t="s">
        <v>256</v>
      </c>
      <c r="AV123" s="265">
        <v>-6.12</v>
      </c>
    </row>
    <row r="124" spans="1:48">
      <c r="A124" s="275">
        <f t="shared" si="49"/>
        <v>121</v>
      </c>
      <c r="B124" s="276" t="str">
        <f t="shared" si="51"/>
        <v>Feb 2015</v>
      </c>
      <c r="C124" s="277" t="str">
        <f t="shared" si="52"/>
        <v>RLS</v>
      </c>
      <c r="D124" s="277" t="str">
        <f t="shared" si="53"/>
        <v>LGUM_432</v>
      </c>
      <c r="E124" s="614">
        <f t="shared" si="30"/>
        <v>10</v>
      </c>
      <c r="F124" s="615">
        <v>0</v>
      </c>
      <c r="G124" s="614">
        <f t="shared" si="31"/>
        <v>0</v>
      </c>
      <c r="H124" s="615">
        <v>0</v>
      </c>
      <c r="I124" s="283">
        <f t="shared" si="32"/>
        <v>34.330000000000005</v>
      </c>
      <c r="J124" s="283">
        <f t="shared" si="33"/>
        <v>1.0600000000000023</v>
      </c>
      <c r="K124" s="285">
        <f t="shared" si="34"/>
        <v>343.3</v>
      </c>
      <c r="L124" s="286">
        <v>0</v>
      </c>
      <c r="M124" s="286">
        <v>0</v>
      </c>
      <c r="N124" s="285">
        <f t="shared" si="35"/>
        <v>343.3</v>
      </c>
      <c r="O124" s="616">
        <f t="shared" si="36"/>
        <v>0</v>
      </c>
      <c r="P124" s="289">
        <f t="shared" si="37"/>
        <v>0</v>
      </c>
      <c r="Q124" s="290">
        <f t="shared" si="38"/>
        <v>0</v>
      </c>
      <c r="R124" s="290">
        <f t="shared" si="39"/>
        <v>0</v>
      </c>
      <c r="S124" s="290">
        <f t="shared" si="40"/>
        <v>0</v>
      </c>
      <c r="T124" s="290">
        <f t="shared" si="41"/>
        <v>0</v>
      </c>
      <c r="U124" s="291">
        <f t="shared" si="42"/>
        <v>343.3</v>
      </c>
      <c r="V124" s="291">
        <f t="shared" si="46"/>
        <v>-343.3</v>
      </c>
      <c r="W124" s="265">
        <f t="shared" si="50"/>
        <v>0</v>
      </c>
      <c r="X124" s="291">
        <f t="shared" si="47"/>
        <v>-343.3</v>
      </c>
      <c r="Y124" s="170">
        <f t="shared" si="44"/>
        <v>10.6</v>
      </c>
      <c r="Z124" s="291">
        <f t="shared" si="45"/>
        <v>-10.6</v>
      </c>
      <c r="AC124" s="276">
        <f>IF(AI124=1,IF(AC123=MiscData!$F$1,EOMONTH(AC123,-11),EOMONTH(AC123,1)),AC123)</f>
        <v>42063</v>
      </c>
      <c r="AD124" s="275" t="str">
        <f t="shared" si="54"/>
        <v>20140101LGUM_432</v>
      </c>
      <c r="AE124" s="294" t="str">
        <f t="shared" si="55"/>
        <v>20140101RLS</v>
      </c>
      <c r="AF124" s="618" t="str">
        <f t="shared" si="48"/>
        <v>432</v>
      </c>
      <c r="AH124" s="265">
        <f>MiscData!$X$5</f>
        <v>20140101</v>
      </c>
      <c r="AI124" s="265">
        <f>IF(AI123+1&gt;MiscData!$AC$77,1,AI123+1)</f>
        <v>48</v>
      </c>
      <c r="AJ124" s="265" t="str">
        <f>VLOOKUP(AI124,MiscData!$AC$5:$AD$77,2,FALSE)</f>
        <v>LGUM_432</v>
      </c>
      <c r="AK124" s="265" t="str">
        <f>VLOOKUP(AJ124,MiscData!$AD$5:$AE$77,2,FALSE)</f>
        <v>RLS</v>
      </c>
      <c r="AT124" s="265" t="s">
        <v>257</v>
      </c>
      <c r="AV124" s="265">
        <v>0</v>
      </c>
    </row>
    <row r="125" spans="1:48">
      <c r="A125" s="275">
        <f t="shared" si="49"/>
        <v>122</v>
      </c>
      <c r="B125" s="276" t="str">
        <f t="shared" si="51"/>
        <v>Feb 2015</v>
      </c>
      <c r="C125" s="277" t="str">
        <f t="shared" si="52"/>
        <v xml:space="preserve">LS </v>
      </c>
      <c r="D125" s="277" t="str">
        <f t="shared" si="53"/>
        <v>LGUM_433</v>
      </c>
      <c r="E125" s="614">
        <f t="shared" si="30"/>
        <v>187</v>
      </c>
      <c r="F125" s="615">
        <v>0</v>
      </c>
      <c r="G125" s="614">
        <f t="shared" si="31"/>
        <v>0</v>
      </c>
      <c r="H125" s="615">
        <v>0</v>
      </c>
      <c r="I125" s="283">
        <f t="shared" si="32"/>
        <v>34.99</v>
      </c>
      <c r="J125" s="283">
        <f t="shared" si="33"/>
        <v>1.0600000000000023</v>
      </c>
      <c r="K125" s="285">
        <f t="shared" si="34"/>
        <v>6543.13</v>
      </c>
      <c r="L125" s="286">
        <v>0</v>
      </c>
      <c r="M125" s="286">
        <v>0</v>
      </c>
      <c r="N125" s="285">
        <f t="shared" si="35"/>
        <v>6543.13</v>
      </c>
      <c r="O125" s="616">
        <f t="shared" si="36"/>
        <v>0</v>
      </c>
      <c r="P125" s="289">
        <f t="shared" si="37"/>
        <v>0</v>
      </c>
      <c r="Q125" s="290">
        <f t="shared" si="38"/>
        <v>0</v>
      </c>
      <c r="R125" s="290">
        <f t="shared" si="39"/>
        <v>0</v>
      </c>
      <c r="S125" s="290">
        <f t="shared" si="40"/>
        <v>0</v>
      </c>
      <c r="T125" s="290">
        <f t="shared" si="41"/>
        <v>0</v>
      </c>
      <c r="U125" s="291">
        <f t="shared" si="42"/>
        <v>6543.13</v>
      </c>
      <c r="V125" s="291">
        <f t="shared" si="46"/>
        <v>-6543.13</v>
      </c>
      <c r="W125" s="265">
        <f t="shared" si="50"/>
        <v>0</v>
      </c>
      <c r="X125" s="291">
        <f t="shared" si="47"/>
        <v>-6543.13</v>
      </c>
      <c r="Y125" s="170">
        <f t="shared" si="44"/>
        <v>198.22</v>
      </c>
      <c r="Z125" s="291">
        <f t="shared" si="45"/>
        <v>-198.22</v>
      </c>
      <c r="AC125" s="276">
        <f>IF(AI125=1,IF(AC124=MiscData!$F$1,EOMONTH(AC124,-11),EOMONTH(AC124,1)),AC124)</f>
        <v>42063</v>
      </c>
      <c r="AD125" s="275" t="str">
        <f t="shared" si="54"/>
        <v>20140101LGUM_433</v>
      </c>
      <c r="AE125" s="294" t="str">
        <f t="shared" si="55"/>
        <v xml:space="preserve">20140101LS </v>
      </c>
      <c r="AF125" s="618" t="str">
        <f t="shared" si="48"/>
        <v>433</v>
      </c>
      <c r="AH125" s="265">
        <f>MiscData!$X$5</f>
        <v>20140101</v>
      </c>
      <c r="AI125" s="265">
        <f>IF(AI124+1&gt;MiscData!$AC$77,1,AI124+1)</f>
        <v>49</v>
      </c>
      <c r="AJ125" s="265" t="str">
        <f>VLOOKUP(AI125,MiscData!$AC$5:$AD$77,2,FALSE)</f>
        <v>LGUM_433</v>
      </c>
      <c r="AK125" s="265" t="str">
        <f>VLOOKUP(AJ125,MiscData!$AD$5:$AE$77,2,FALSE)</f>
        <v xml:space="preserve">LS </v>
      </c>
      <c r="AT125" s="265" t="s">
        <v>390</v>
      </c>
      <c r="AV125" s="265">
        <v>0</v>
      </c>
    </row>
    <row r="126" spans="1:48">
      <c r="A126" s="275">
        <f t="shared" si="49"/>
        <v>123</v>
      </c>
      <c r="B126" s="276" t="str">
        <f t="shared" si="51"/>
        <v>Feb 2015</v>
      </c>
      <c r="C126" s="277" t="str">
        <f t="shared" si="52"/>
        <v xml:space="preserve">LS </v>
      </c>
      <c r="D126" s="277" t="str">
        <f t="shared" si="53"/>
        <v>LGUM_439</v>
      </c>
      <c r="E126" s="614">
        <f t="shared" si="30"/>
        <v>0</v>
      </c>
      <c r="F126" s="615">
        <v>0</v>
      </c>
      <c r="G126" s="614">
        <f t="shared" si="31"/>
        <v>0</v>
      </c>
      <c r="H126" s="615">
        <v>0</v>
      </c>
      <c r="I126" s="283">
        <f t="shared" si="32"/>
        <v>16.459999999999997</v>
      </c>
      <c r="J126" s="283">
        <f t="shared" si="33"/>
        <v>1.6499999999999986</v>
      </c>
      <c r="K126" s="285">
        <f t="shared" si="34"/>
        <v>0</v>
      </c>
      <c r="L126" s="286">
        <v>0</v>
      </c>
      <c r="M126" s="286">
        <v>0</v>
      </c>
      <c r="N126" s="285">
        <f t="shared" si="35"/>
        <v>0</v>
      </c>
      <c r="O126" s="616">
        <f t="shared" si="36"/>
        <v>0</v>
      </c>
      <c r="P126" s="289">
        <f t="shared" si="37"/>
        <v>1</v>
      </c>
      <c r="Q126" s="290">
        <f t="shared" si="38"/>
        <v>0</v>
      </c>
      <c r="R126" s="290">
        <f t="shared" si="39"/>
        <v>0</v>
      </c>
      <c r="S126" s="290">
        <f t="shared" si="40"/>
        <v>0</v>
      </c>
      <c r="T126" s="290">
        <f t="shared" si="41"/>
        <v>0</v>
      </c>
      <c r="U126" s="291">
        <f t="shared" si="42"/>
        <v>0</v>
      </c>
      <c r="V126" s="291">
        <f t="shared" si="46"/>
        <v>0</v>
      </c>
      <c r="W126" s="265">
        <f t="shared" si="50"/>
        <v>0</v>
      </c>
      <c r="X126" s="291">
        <f t="shared" si="47"/>
        <v>0</v>
      </c>
      <c r="Y126" s="170">
        <f t="shared" si="44"/>
        <v>0</v>
      </c>
      <c r="Z126" s="291">
        <f t="shared" si="45"/>
        <v>0</v>
      </c>
      <c r="AC126" s="276">
        <f>IF(AI126=1,IF(AC125=MiscData!$F$1,EOMONTH(AC125,-11),EOMONTH(AC125,1)),AC125)</f>
        <v>42063</v>
      </c>
      <c r="AD126" s="275" t="str">
        <f t="shared" si="54"/>
        <v>20140101LGUM_439</v>
      </c>
      <c r="AE126" s="294" t="str">
        <f t="shared" si="55"/>
        <v xml:space="preserve">20140101LS </v>
      </c>
      <c r="AF126" s="618" t="str">
        <f t="shared" si="48"/>
        <v>439</v>
      </c>
      <c r="AH126" s="265">
        <f>MiscData!$X$5</f>
        <v>20140101</v>
      </c>
      <c r="AI126" s="265">
        <f>IF(AI125+1&gt;MiscData!$AC$77,1,AI125+1)</f>
        <v>50</v>
      </c>
      <c r="AJ126" s="265" t="str">
        <f>VLOOKUP(AI126,MiscData!$AC$5:$AD$77,2,FALSE)</f>
        <v>LGUM_439</v>
      </c>
      <c r="AK126" s="265" t="str">
        <f>VLOOKUP(AJ126,MiscData!$AD$5:$AE$77,2,FALSE)</f>
        <v xml:space="preserve">LS </v>
      </c>
      <c r="AT126" s="265" t="s">
        <v>258</v>
      </c>
      <c r="AV126" s="265">
        <v>0</v>
      </c>
    </row>
    <row r="127" spans="1:48">
      <c r="A127" s="275">
        <f t="shared" si="49"/>
        <v>124</v>
      </c>
      <c r="B127" s="276" t="str">
        <f t="shared" si="51"/>
        <v>Feb 2015</v>
      </c>
      <c r="C127" s="277" t="str">
        <f t="shared" si="52"/>
        <v xml:space="preserve">LS </v>
      </c>
      <c r="D127" s="277" t="str">
        <f t="shared" si="53"/>
        <v>LGUM_440</v>
      </c>
      <c r="E127" s="614">
        <f t="shared" si="30"/>
        <v>2</v>
      </c>
      <c r="F127" s="615">
        <v>0</v>
      </c>
      <c r="G127" s="614">
        <f t="shared" si="31"/>
        <v>0</v>
      </c>
      <c r="H127" s="615">
        <v>0</v>
      </c>
      <c r="I127" s="283">
        <f t="shared" si="32"/>
        <v>18.279999999999998</v>
      </c>
      <c r="J127" s="283">
        <f t="shared" si="33"/>
        <v>2.67</v>
      </c>
      <c r="K127" s="285">
        <f t="shared" si="34"/>
        <v>36.56</v>
      </c>
      <c r="L127" s="286">
        <v>0</v>
      </c>
      <c r="M127" s="286">
        <v>0</v>
      </c>
      <c r="N127" s="285">
        <f t="shared" si="35"/>
        <v>36.56</v>
      </c>
      <c r="O127" s="616">
        <f t="shared" si="36"/>
        <v>0</v>
      </c>
      <c r="P127" s="289">
        <f t="shared" si="37"/>
        <v>0</v>
      </c>
      <c r="Q127" s="290">
        <f t="shared" si="38"/>
        <v>0</v>
      </c>
      <c r="R127" s="290">
        <f t="shared" si="39"/>
        <v>0</v>
      </c>
      <c r="S127" s="290">
        <f t="shared" si="40"/>
        <v>0</v>
      </c>
      <c r="T127" s="290">
        <f t="shared" si="41"/>
        <v>0</v>
      </c>
      <c r="U127" s="291">
        <f t="shared" si="42"/>
        <v>36.56</v>
      </c>
      <c r="V127" s="291">
        <f t="shared" si="46"/>
        <v>-36.56</v>
      </c>
      <c r="W127" s="265">
        <f t="shared" si="50"/>
        <v>0</v>
      </c>
      <c r="X127" s="291">
        <f t="shared" si="47"/>
        <v>-36.56</v>
      </c>
      <c r="Y127" s="170">
        <f t="shared" si="44"/>
        <v>5.34</v>
      </c>
      <c r="Z127" s="291">
        <f t="shared" si="45"/>
        <v>-5.34</v>
      </c>
      <c r="AC127" s="276">
        <f>IF(AI127=1,IF(AC126=MiscData!$F$1,EOMONTH(AC126,-11),EOMONTH(AC126,1)),AC126)</f>
        <v>42063</v>
      </c>
      <c r="AD127" s="275" t="str">
        <f t="shared" si="54"/>
        <v>20140101LGUM_440</v>
      </c>
      <c r="AE127" s="294" t="str">
        <f t="shared" si="55"/>
        <v xml:space="preserve">20140101LS </v>
      </c>
      <c r="AF127" s="618" t="str">
        <f t="shared" si="48"/>
        <v>440</v>
      </c>
      <c r="AH127" s="265">
        <f>MiscData!$X$5</f>
        <v>20140101</v>
      </c>
      <c r="AI127" s="265">
        <f>IF(AI126+1&gt;MiscData!$AC$77,1,AI126+1)</f>
        <v>51</v>
      </c>
      <c r="AJ127" s="265" t="str">
        <f>VLOOKUP(AI127,MiscData!$AC$5:$AD$77,2,FALSE)</f>
        <v>LGUM_440</v>
      </c>
      <c r="AK127" s="265" t="str">
        <f>VLOOKUP(AJ127,MiscData!$AD$5:$AE$77,2,FALSE)</f>
        <v xml:space="preserve">LS </v>
      </c>
      <c r="AT127" s="265" t="s">
        <v>259</v>
      </c>
      <c r="AV127" s="265">
        <v>0</v>
      </c>
    </row>
    <row r="128" spans="1:48">
      <c r="A128" s="275">
        <f t="shared" si="49"/>
        <v>125</v>
      </c>
      <c r="B128" s="276" t="str">
        <f t="shared" si="51"/>
        <v>Feb 2015</v>
      </c>
      <c r="C128" s="277" t="str">
        <f t="shared" si="52"/>
        <v xml:space="preserve">LS </v>
      </c>
      <c r="D128" s="277" t="str">
        <f t="shared" si="53"/>
        <v>LGUM_441</v>
      </c>
      <c r="E128" s="614">
        <f t="shared" si="30"/>
        <v>12</v>
      </c>
      <c r="F128" s="615">
        <v>0</v>
      </c>
      <c r="G128" s="614">
        <f t="shared" si="31"/>
        <v>0</v>
      </c>
      <c r="H128" s="615">
        <v>0</v>
      </c>
      <c r="I128" s="283">
        <f t="shared" si="32"/>
        <v>22.32</v>
      </c>
      <c r="J128" s="283">
        <f t="shared" si="33"/>
        <v>4.2800000000000011</v>
      </c>
      <c r="K128" s="285">
        <f t="shared" si="34"/>
        <v>267.83999999999997</v>
      </c>
      <c r="L128" s="286">
        <v>0</v>
      </c>
      <c r="M128" s="286">
        <v>0</v>
      </c>
      <c r="N128" s="285">
        <f t="shared" si="35"/>
        <v>267.83999999999997</v>
      </c>
      <c r="O128" s="616">
        <f t="shared" si="36"/>
        <v>0</v>
      </c>
      <c r="P128" s="289">
        <f t="shared" si="37"/>
        <v>0</v>
      </c>
      <c r="Q128" s="290">
        <f t="shared" si="38"/>
        <v>0</v>
      </c>
      <c r="R128" s="290">
        <f t="shared" si="39"/>
        <v>0</v>
      </c>
      <c r="S128" s="290">
        <f t="shared" si="40"/>
        <v>0</v>
      </c>
      <c r="T128" s="290">
        <f t="shared" si="41"/>
        <v>0</v>
      </c>
      <c r="U128" s="291">
        <f t="shared" si="42"/>
        <v>267.83999999999997</v>
      </c>
      <c r="V128" s="291">
        <f t="shared" si="46"/>
        <v>-267.83999999999997</v>
      </c>
      <c r="W128" s="265">
        <f t="shared" si="50"/>
        <v>0</v>
      </c>
      <c r="X128" s="291">
        <f t="shared" si="47"/>
        <v>-267.83999999999997</v>
      </c>
      <c r="Y128" s="170">
        <f t="shared" si="44"/>
        <v>51.36</v>
      </c>
      <c r="Z128" s="291">
        <f t="shared" si="45"/>
        <v>-51.36</v>
      </c>
      <c r="AC128" s="276">
        <f>IF(AI128=1,IF(AC127=MiscData!$F$1,EOMONTH(AC127,-11),EOMONTH(AC127,1)),AC127)</f>
        <v>42063</v>
      </c>
      <c r="AD128" s="275" t="str">
        <f t="shared" si="54"/>
        <v>20140101LGUM_441</v>
      </c>
      <c r="AE128" s="294" t="str">
        <f t="shared" si="55"/>
        <v xml:space="preserve">20140101LS </v>
      </c>
      <c r="AF128" s="618" t="str">
        <f t="shared" si="48"/>
        <v>441</v>
      </c>
      <c r="AH128" s="265">
        <f>MiscData!$X$5</f>
        <v>20140101</v>
      </c>
      <c r="AI128" s="265">
        <f>IF(AI127+1&gt;MiscData!$AC$77,1,AI127+1)</f>
        <v>52</v>
      </c>
      <c r="AJ128" s="265" t="str">
        <f>VLOOKUP(AI128,MiscData!$AC$5:$AD$77,2,FALSE)</f>
        <v>LGUM_441</v>
      </c>
      <c r="AK128" s="265" t="str">
        <f>VLOOKUP(AJ128,MiscData!$AD$5:$AE$77,2,FALSE)</f>
        <v xml:space="preserve">LS </v>
      </c>
      <c r="AT128" s="265" t="s">
        <v>261</v>
      </c>
      <c r="AV128" s="265">
        <v>0</v>
      </c>
    </row>
    <row r="129" spans="1:48">
      <c r="A129" s="275">
        <f t="shared" si="49"/>
        <v>126</v>
      </c>
      <c r="B129" s="276" t="str">
        <f t="shared" si="51"/>
        <v>Feb 2015</v>
      </c>
      <c r="C129" s="277" t="str">
        <f t="shared" si="52"/>
        <v xml:space="preserve">LS </v>
      </c>
      <c r="D129" s="277" t="str">
        <f t="shared" si="53"/>
        <v>LGUM_452</v>
      </c>
      <c r="E129" s="614">
        <f t="shared" si="30"/>
        <v>6198</v>
      </c>
      <c r="F129" s="615">
        <v>0</v>
      </c>
      <c r="G129" s="614">
        <f t="shared" si="31"/>
        <v>0</v>
      </c>
      <c r="H129" s="615">
        <v>0</v>
      </c>
      <c r="I129" s="283">
        <f t="shared" si="32"/>
        <v>12.82</v>
      </c>
      <c r="J129" s="283">
        <f t="shared" si="33"/>
        <v>1.6500000000000004</v>
      </c>
      <c r="K129" s="285">
        <f t="shared" si="34"/>
        <v>79458.36</v>
      </c>
      <c r="L129" s="286">
        <v>0</v>
      </c>
      <c r="M129" s="286">
        <v>0</v>
      </c>
      <c r="N129" s="285">
        <f t="shared" si="35"/>
        <v>79458.36</v>
      </c>
      <c r="O129" s="616">
        <f t="shared" si="36"/>
        <v>0</v>
      </c>
      <c r="P129" s="289">
        <f t="shared" si="37"/>
        <v>0</v>
      </c>
      <c r="Q129" s="290">
        <f t="shared" si="38"/>
        <v>0</v>
      </c>
      <c r="R129" s="290">
        <f t="shared" si="39"/>
        <v>0</v>
      </c>
      <c r="S129" s="290">
        <f t="shared" si="40"/>
        <v>0</v>
      </c>
      <c r="T129" s="290">
        <f t="shared" si="41"/>
        <v>0</v>
      </c>
      <c r="U129" s="291">
        <f t="shared" si="42"/>
        <v>79458.36</v>
      </c>
      <c r="V129" s="291">
        <f t="shared" si="46"/>
        <v>-79458.36</v>
      </c>
      <c r="W129" s="265">
        <f t="shared" si="50"/>
        <v>0</v>
      </c>
      <c r="X129" s="291">
        <f t="shared" si="47"/>
        <v>-79458.36</v>
      </c>
      <c r="Y129" s="170">
        <f t="shared" si="44"/>
        <v>10226.700000000001</v>
      </c>
      <c r="Z129" s="291">
        <f t="shared" si="45"/>
        <v>-10226.700000000001</v>
      </c>
      <c r="AC129" s="276">
        <f>IF(AI129=1,IF(AC128=MiscData!$F$1,EOMONTH(AC128,-11),EOMONTH(AC128,1)),AC128)</f>
        <v>42063</v>
      </c>
      <c r="AD129" s="275" t="str">
        <f t="shared" si="54"/>
        <v>20140101LGUM_452</v>
      </c>
      <c r="AE129" s="294" t="str">
        <f t="shared" si="55"/>
        <v xml:space="preserve">20140101LS </v>
      </c>
      <c r="AF129" s="618" t="str">
        <f t="shared" si="48"/>
        <v>452</v>
      </c>
      <c r="AH129" s="265">
        <f>MiscData!$X$5</f>
        <v>20140101</v>
      </c>
      <c r="AI129" s="265">
        <f>IF(AI128+1&gt;MiscData!$AC$77,1,AI128+1)</f>
        <v>53</v>
      </c>
      <c r="AJ129" s="265" t="str">
        <f>VLOOKUP(AI129,MiscData!$AC$5:$AD$77,2,FALSE)</f>
        <v>LGUM_452</v>
      </c>
      <c r="AK129" s="265" t="str">
        <f>VLOOKUP(AJ129,MiscData!$AD$5:$AE$77,2,FALSE)</f>
        <v xml:space="preserve">LS </v>
      </c>
      <c r="AT129" s="265" t="s">
        <v>263</v>
      </c>
      <c r="AV129" s="265">
        <v>0</v>
      </c>
    </row>
    <row r="130" spans="1:48">
      <c r="A130" s="275">
        <f t="shared" si="49"/>
        <v>127</v>
      </c>
      <c r="B130" s="276" t="str">
        <f t="shared" si="51"/>
        <v>Feb 2015</v>
      </c>
      <c r="C130" s="277" t="str">
        <f t="shared" si="52"/>
        <v xml:space="preserve">LS </v>
      </c>
      <c r="D130" s="277" t="str">
        <f t="shared" si="53"/>
        <v>LGUM_453</v>
      </c>
      <c r="E130" s="614">
        <f t="shared" si="30"/>
        <v>8738</v>
      </c>
      <c r="F130" s="615">
        <v>0</v>
      </c>
      <c r="G130" s="614">
        <f t="shared" si="31"/>
        <v>0</v>
      </c>
      <c r="H130" s="615">
        <v>0</v>
      </c>
      <c r="I130" s="283">
        <f t="shared" si="32"/>
        <v>15.08</v>
      </c>
      <c r="J130" s="283">
        <f t="shared" si="33"/>
        <v>3.9800000000000004</v>
      </c>
      <c r="K130" s="285">
        <f t="shared" si="34"/>
        <v>131769.04</v>
      </c>
      <c r="L130" s="286">
        <v>0</v>
      </c>
      <c r="M130" s="286">
        <v>0</v>
      </c>
      <c r="N130" s="285">
        <f t="shared" si="35"/>
        <v>131769.04</v>
      </c>
      <c r="O130" s="616">
        <f t="shared" si="36"/>
        <v>0</v>
      </c>
      <c r="P130" s="289">
        <f t="shared" si="37"/>
        <v>0</v>
      </c>
      <c r="Q130" s="290">
        <f t="shared" si="38"/>
        <v>0</v>
      </c>
      <c r="R130" s="290">
        <f t="shared" si="39"/>
        <v>0</v>
      </c>
      <c r="S130" s="290">
        <f t="shared" si="40"/>
        <v>0</v>
      </c>
      <c r="T130" s="290">
        <f t="shared" si="41"/>
        <v>0</v>
      </c>
      <c r="U130" s="291">
        <f t="shared" si="42"/>
        <v>131769.04</v>
      </c>
      <c r="V130" s="291">
        <f t="shared" si="46"/>
        <v>-131769.04</v>
      </c>
      <c r="W130" s="265">
        <f t="shared" si="50"/>
        <v>0</v>
      </c>
      <c r="X130" s="291">
        <f t="shared" si="47"/>
        <v>-131769.04</v>
      </c>
      <c r="Y130" s="170">
        <f t="shared" si="44"/>
        <v>34777.24</v>
      </c>
      <c r="Z130" s="291">
        <f t="shared" si="45"/>
        <v>-34777.24</v>
      </c>
      <c r="AC130" s="276">
        <f>IF(AI130=1,IF(AC129=MiscData!$F$1,EOMONTH(AC129,-11),EOMONTH(AC129,1)),AC129)</f>
        <v>42063</v>
      </c>
      <c r="AD130" s="275" t="str">
        <f t="shared" si="54"/>
        <v>20140101LGUM_453</v>
      </c>
      <c r="AE130" s="294" t="str">
        <f t="shared" si="55"/>
        <v xml:space="preserve">20140101LS </v>
      </c>
      <c r="AF130" s="618" t="str">
        <f t="shared" si="48"/>
        <v>453</v>
      </c>
      <c r="AH130" s="265">
        <f>MiscData!$X$5</f>
        <v>20140101</v>
      </c>
      <c r="AI130" s="265">
        <f>IF(AI129+1&gt;MiscData!$AC$77,1,AI129+1)</f>
        <v>54</v>
      </c>
      <c r="AJ130" s="265" t="str">
        <f>VLOOKUP(AI130,MiscData!$AC$5:$AD$77,2,FALSE)</f>
        <v>LGUM_453</v>
      </c>
      <c r="AK130" s="265" t="str">
        <f>VLOOKUP(AJ130,MiscData!$AD$5:$AE$77,2,FALSE)</f>
        <v xml:space="preserve">LS </v>
      </c>
      <c r="AT130" s="265" t="s">
        <v>264</v>
      </c>
      <c r="AV130" s="265">
        <v>0</v>
      </c>
    </row>
    <row r="131" spans="1:48">
      <c r="A131" s="275">
        <f t="shared" si="49"/>
        <v>128</v>
      </c>
      <c r="B131" s="276" t="str">
        <f t="shared" si="51"/>
        <v>Feb 2015</v>
      </c>
      <c r="C131" s="277" t="str">
        <f t="shared" si="52"/>
        <v xml:space="preserve">LS </v>
      </c>
      <c r="D131" s="277" t="str">
        <f t="shared" si="53"/>
        <v>LGUM_454</v>
      </c>
      <c r="E131" s="614">
        <f t="shared" si="30"/>
        <v>5354</v>
      </c>
      <c r="F131" s="615">
        <v>0</v>
      </c>
      <c r="G131" s="614">
        <f t="shared" si="31"/>
        <v>0</v>
      </c>
      <c r="H131" s="615">
        <v>0</v>
      </c>
      <c r="I131" s="283">
        <f t="shared" si="32"/>
        <v>17.38</v>
      </c>
      <c r="J131" s="283">
        <f t="shared" si="33"/>
        <v>4.2800000000000011</v>
      </c>
      <c r="K131" s="285">
        <f t="shared" si="34"/>
        <v>93052.52</v>
      </c>
      <c r="L131" s="286">
        <v>0</v>
      </c>
      <c r="M131" s="286">
        <v>0</v>
      </c>
      <c r="N131" s="285">
        <f t="shared" si="35"/>
        <v>93052.52</v>
      </c>
      <c r="O131" s="616">
        <f t="shared" si="36"/>
        <v>0</v>
      </c>
      <c r="P131" s="289">
        <f t="shared" si="37"/>
        <v>0</v>
      </c>
      <c r="Q131" s="290">
        <f t="shared" si="38"/>
        <v>0</v>
      </c>
      <c r="R131" s="290">
        <f t="shared" si="39"/>
        <v>0</v>
      </c>
      <c r="S131" s="290">
        <f t="shared" si="40"/>
        <v>0</v>
      </c>
      <c r="T131" s="290">
        <f t="shared" si="41"/>
        <v>0</v>
      </c>
      <c r="U131" s="291">
        <f t="shared" si="42"/>
        <v>93052.52</v>
      </c>
      <c r="V131" s="291">
        <f t="shared" si="46"/>
        <v>-93052.52</v>
      </c>
      <c r="W131" s="265">
        <f t="shared" si="50"/>
        <v>0</v>
      </c>
      <c r="X131" s="291">
        <f t="shared" si="47"/>
        <v>-93052.52</v>
      </c>
      <c r="Y131" s="170">
        <f t="shared" si="44"/>
        <v>22915.119999999999</v>
      </c>
      <c r="Z131" s="291">
        <f t="shared" si="45"/>
        <v>-22915.119999999999</v>
      </c>
      <c r="AC131" s="276">
        <f>IF(AI131=1,IF(AC130=MiscData!$F$1,EOMONTH(AC130,-11),EOMONTH(AC130,1)),AC130)</f>
        <v>42063</v>
      </c>
      <c r="AD131" s="275" t="str">
        <f t="shared" si="54"/>
        <v>20140101LGUM_454</v>
      </c>
      <c r="AE131" s="294" t="str">
        <f t="shared" si="55"/>
        <v xml:space="preserve">20140101LS </v>
      </c>
      <c r="AF131" s="618" t="str">
        <f t="shared" si="48"/>
        <v>454</v>
      </c>
      <c r="AH131" s="265">
        <f>MiscData!$X$5</f>
        <v>20140101</v>
      </c>
      <c r="AI131" s="265">
        <f>IF(AI130+1&gt;MiscData!$AC$77,1,AI130+1)</f>
        <v>55</v>
      </c>
      <c r="AJ131" s="265" t="str">
        <f>VLOOKUP(AI131,MiscData!$AC$5:$AD$77,2,FALSE)</f>
        <v>LGUM_454</v>
      </c>
      <c r="AK131" s="265" t="str">
        <f>VLOOKUP(AJ131,MiscData!$AD$5:$AE$77,2,FALSE)</f>
        <v xml:space="preserve">LS </v>
      </c>
      <c r="AT131" s="265" t="s">
        <v>265</v>
      </c>
      <c r="AV131" s="265">
        <v>0</v>
      </c>
    </row>
    <row r="132" spans="1:48">
      <c r="A132" s="275">
        <f t="shared" si="49"/>
        <v>129</v>
      </c>
      <c r="B132" s="276" t="str">
        <f t="shared" si="51"/>
        <v>Feb 2015</v>
      </c>
      <c r="C132" s="277" t="str">
        <f t="shared" si="52"/>
        <v xml:space="preserve">LS </v>
      </c>
      <c r="D132" s="277" t="str">
        <f t="shared" si="53"/>
        <v>LGUM_455</v>
      </c>
      <c r="E132" s="614">
        <f t="shared" ref="E132:E195" si="56">SUMIFS(L_1055_Count_Total,L_1055_Revenue_Month,$B132,L_1055_RateCategory,$D132)</f>
        <v>395</v>
      </c>
      <c r="F132" s="615">
        <v>0</v>
      </c>
      <c r="G132" s="614">
        <f t="shared" ref="G132:G195" si="57">SUMIFS(L_SBR_KWH,L_SBR_Revenue_Month,$B132,L_SBR_Rate_Category,$D132)</f>
        <v>0</v>
      </c>
      <c r="H132" s="615">
        <v>0</v>
      </c>
      <c r="I132" s="283">
        <f t="shared" ref="I132:I195" si="58">SUMIF(L_LightingRates_Tariff_Rate_Category,$AD132,L_LightingRates_UnitCharge)</f>
        <v>13.77</v>
      </c>
      <c r="J132" s="283">
        <f t="shared" ref="J132:J195" si="59">SUMIF(L_LightingRates_Tariff_Rate_Category,$AD132,L_LightingRates_FAC_Rate)</f>
        <v>1.6499999999999986</v>
      </c>
      <c r="K132" s="285">
        <f t="shared" ref="K132:K195" si="60">ROUND(($E132+$F132)*$I132,2)</f>
        <v>5439.15</v>
      </c>
      <c r="L132" s="286">
        <v>0</v>
      </c>
      <c r="M132" s="286">
        <v>0</v>
      </c>
      <c r="N132" s="285">
        <f t="shared" ref="N132:N195" si="61">SUM(K132:M132)</f>
        <v>5439.15</v>
      </c>
      <c r="O132" s="616">
        <f t="shared" ref="O132:O195" si="62">T132-SUM(Q132:S132)-SUMIFS(L_1055_Revenue_Poles_Test_Period,L_1055_RateCategory,$D132,L_1055_Revenue_Month,$B132)</f>
        <v>0</v>
      </c>
      <c r="P132" s="289">
        <f t="shared" ref="P132:P195" si="63">IF(AND(N132=0,O132=0),1,IF(N132=0,0,O132/N132))</f>
        <v>0</v>
      </c>
      <c r="Q132" s="290">
        <f t="shared" ref="Q132:Q195" si="64">SUMIFS(L_SBR_FAC,L_SBR_Revenue_Month,$B132,L_SBR_Rate_Category,$D132)</f>
        <v>0</v>
      </c>
      <c r="R132" s="290">
        <f t="shared" ref="R132:R195" si="65">SUMIFS(L_SBR_ECR,L_SBR_Revenue_Month,$B132,L_SBR_Rate_Category,$D132)</f>
        <v>0</v>
      </c>
      <c r="S132" s="290">
        <f t="shared" ref="S132:S195" si="66">SUMIFS(L_SBR_MSR,L_SBR_Revenue_Month,$B132,L_SBR_Rate_Category,$D132)</f>
        <v>0</v>
      </c>
      <c r="T132" s="290">
        <f t="shared" ref="T132:T195" si="67">SUMIFS(L_SBR_Revenue_Total,L_SBR_Revenue_Month,$B132,L_SBR_Rate_Category,$D132)</f>
        <v>0</v>
      </c>
      <c r="U132" s="291">
        <f t="shared" ref="U132:U195" si="68">SUM(N132,Q132:S132)</f>
        <v>5439.15</v>
      </c>
      <c r="V132" s="291">
        <f t="shared" si="46"/>
        <v>-5439.15</v>
      </c>
      <c r="W132" s="265">
        <f t="shared" ref="W132:W195" si="69">ROUND(SUMIFS(L_1055_Revenue_Poles_Test_Period,L_1055_Revenue_Month,$B132,L_1055_RateCategory,$D132),2)</f>
        <v>0</v>
      </c>
      <c r="X132" s="291">
        <f t="shared" si="47"/>
        <v>-5439.15</v>
      </c>
      <c r="Y132" s="170">
        <f t="shared" ref="Y132:Y195" si="70">ROUND(E132*J132,2)</f>
        <v>651.75</v>
      </c>
      <c r="Z132" s="291">
        <f t="shared" ref="Z132:Z195" si="71">O132-Y132</f>
        <v>-651.75</v>
      </c>
      <c r="AC132" s="276">
        <f>IF(AI132=1,IF(AC131=MiscData!$F$1,EOMONTH(AC131,-11),EOMONTH(AC131,1)),AC131)</f>
        <v>42063</v>
      </c>
      <c r="AD132" s="275" t="str">
        <f t="shared" si="54"/>
        <v>20140101LGUM_455</v>
      </c>
      <c r="AE132" s="294" t="str">
        <f t="shared" si="55"/>
        <v xml:space="preserve">20140101LS </v>
      </c>
      <c r="AF132" s="618" t="str">
        <f t="shared" si="48"/>
        <v>455</v>
      </c>
      <c r="AH132" s="265">
        <f>MiscData!$X$5</f>
        <v>20140101</v>
      </c>
      <c r="AI132" s="265">
        <f>IF(AI131+1&gt;MiscData!$AC$77,1,AI131+1)</f>
        <v>56</v>
      </c>
      <c r="AJ132" s="265" t="str">
        <f>VLOOKUP(AI132,MiscData!$AC$5:$AD$77,2,FALSE)</f>
        <v>LGUM_455</v>
      </c>
      <c r="AK132" s="265" t="str">
        <f>VLOOKUP(AJ132,MiscData!$AD$5:$AE$77,2,FALSE)</f>
        <v xml:space="preserve">LS </v>
      </c>
      <c r="AT132" s="265" t="s">
        <v>391</v>
      </c>
      <c r="AV132" s="265">
        <v>0</v>
      </c>
    </row>
    <row r="133" spans="1:48">
      <c r="A133" s="275">
        <f t="shared" si="49"/>
        <v>130</v>
      </c>
      <c r="B133" s="276" t="str">
        <f t="shared" si="51"/>
        <v>Feb 2015</v>
      </c>
      <c r="C133" s="277" t="str">
        <f t="shared" si="52"/>
        <v xml:space="preserve">LS </v>
      </c>
      <c r="D133" s="277" t="str">
        <f t="shared" si="53"/>
        <v>LGUM_456</v>
      </c>
      <c r="E133" s="614">
        <f t="shared" si="56"/>
        <v>12463</v>
      </c>
      <c r="F133" s="615">
        <v>0</v>
      </c>
      <c r="G133" s="614">
        <f t="shared" si="57"/>
        <v>0</v>
      </c>
      <c r="H133" s="615">
        <v>0</v>
      </c>
      <c r="I133" s="283">
        <f t="shared" si="58"/>
        <v>18.21</v>
      </c>
      <c r="J133" s="283">
        <f t="shared" si="59"/>
        <v>4.2800000000000011</v>
      </c>
      <c r="K133" s="285">
        <f t="shared" si="60"/>
        <v>226951.23</v>
      </c>
      <c r="L133" s="286">
        <v>0</v>
      </c>
      <c r="M133" s="286">
        <v>0</v>
      </c>
      <c r="N133" s="285">
        <f t="shared" si="61"/>
        <v>226951.23</v>
      </c>
      <c r="O133" s="616">
        <f t="shared" si="62"/>
        <v>0</v>
      </c>
      <c r="P133" s="289">
        <f t="shared" si="63"/>
        <v>0</v>
      </c>
      <c r="Q133" s="290">
        <f t="shared" si="64"/>
        <v>0</v>
      </c>
      <c r="R133" s="290">
        <f t="shared" si="65"/>
        <v>0</v>
      </c>
      <c r="S133" s="290">
        <f t="shared" si="66"/>
        <v>0</v>
      </c>
      <c r="T133" s="290">
        <f t="shared" si="67"/>
        <v>0</v>
      </c>
      <c r="U133" s="291">
        <f t="shared" si="68"/>
        <v>226951.23</v>
      </c>
      <c r="V133" s="291">
        <f t="shared" ref="V133:V196" si="72">ROUND(T133-U133,2)</f>
        <v>-226951.23</v>
      </c>
      <c r="W133" s="265">
        <f t="shared" si="69"/>
        <v>0</v>
      </c>
      <c r="X133" s="291">
        <f t="shared" ref="X133:X196" si="73">V133-W133</f>
        <v>-226951.23</v>
      </c>
      <c r="Y133" s="170">
        <f t="shared" si="70"/>
        <v>53341.64</v>
      </c>
      <c r="Z133" s="291">
        <f t="shared" si="71"/>
        <v>-53341.64</v>
      </c>
      <c r="AC133" s="276">
        <f>IF(AI133=1,IF(AC132=MiscData!$F$1,EOMONTH(AC132,-11),EOMONTH(AC132,1)),AC132)</f>
        <v>42063</v>
      </c>
      <c r="AD133" s="275" t="str">
        <f t="shared" si="54"/>
        <v>20140101LGUM_456</v>
      </c>
      <c r="AE133" s="294" t="str">
        <f t="shared" si="55"/>
        <v xml:space="preserve">20140101LS </v>
      </c>
      <c r="AF133" s="618" t="str">
        <f t="shared" ref="AF133:AF196" si="74">RIGHT(AJ133,3)</f>
        <v>456</v>
      </c>
      <c r="AH133" s="265">
        <f>MiscData!$X$5</f>
        <v>20140101</v>
      </c>
      <c r="AI133" s="265">
        <f>IF(AI132+1&gt;MiscData!$AC$77,1,AI132+1)</f>
        <v>57</v>
      </c>
      <c r="AJ133" s="265" t="str">
        <f>VLOOKUP(AI133,MiscData!$AC$5:$AD$77,2,FALSE)</f>
        <v>LGUM_456</v>
      </c>
      <c r="AK133" s="265" t="str">
        <f>VLOOKUP(AJ133,MiscData!$AD$5:$AE$77,2,FALSE)</f>
        <v xml:space="preserve">LS </v>
      </c>
      <c r="AT133" s="265" t="s">
        <v>267</v>
      </c>
      <c r="AV133" s="265">
        <v>0</v>
      </c>
    </row>
    <row r="134" spans="1:48">
      <c r="A134" s="275">
        <f t="shared" ref="A134:A197" si="75">A133+1</f>
        <v>131</v>
      </c>
      <c r="B134" s="276" t="str">
        <f t="shared" si="51"/>
        <v>Feb 2015</v>
      </c>
      <c r="C134" s="277" t="str">
        <f t="shared" si="52"/>
        <v xml:space="preserve">LS </v>
      </c>
      <c r="D134" s="277" t="str">
        <f t="shared" si="53"/>
        <v>LGUM_457</v>
      </c>
      <c r="E134" s="614">
        <f t="shared" si="56"/>
        <v>3189</v>
      </c>
      <c r="F134" s="615">
        <v>0</v>
      </c>
      <c r="G134" s="614">
        <f t="shared" si="57"/>
        <v>0</v>
      </c>
      <c r="H134" s="615">
        <v>0</v>
      </c>
      <c r="I134" s="283">
        <f t="shared" si="58"/>
        <v>10.86</v>
      </c>
      <c r="J134" s="283">
        <f t="shared" si="59"/>
        <v>1.0599999999999987</v>
      </c>
      <c r="K134" s="285">
        <f t="shared" si="60"/>
        <v>34632.54</v>
      </c>
      <c r="L134" s="286">
        <v>0</v>
      </c>
      <c r="M134" s="286">
        <v>0</v>
      </c>
      <c r="N134" s="285">
        <f t="shared" si="61"/>
        <v>34632.54</v>
      </c>
      <c r="O134" s="616">
        <f t="shared" si="62"/>
        <v>0</v>
      </c>
      <c r="P134" s="289">
        <f t="shared" si="63"/>
        <v>0</v>
      </c>
      <c r="Q134" s="290">
        <f t="shared" si="64"/>
        <v>0</v>
      </c>
      <c r="R134" s="290">
        <f t="shared" si="65"/>
        <v>0</v>
      </c>
      <c r="S134" s="290">
        <f t="shared" si="66"/>
        <v>0</v>
      </c>
      <c r="T134" s="290">
        <f t="shared" si="67"/>
        <v>0</v>
      </c>
      <c r="U134" s="291">
        <f t="shared" si="68"/>
        <v>34632.54</v>
      </c>
      <c r="V134" s="291">
        <f t="shared" si="72"/>
        <v>-34632.54</v>
      </c>
      <c r="W134" s="265">
        <f t="shared" si="69"/>
        <v>0</v>
      </c>
      <c r="X134" s="291">
        <f t="shared" si="73"/>
        <v>-34632.54</v>
      </c>
      <c r="Y134" s="170">
        <f t="shared" si="70"/>
        <v>3380.34</v>
      </c>
      <c r="Z134" s="291">
        <f t="shared" si="71"/>
        <v>-3380.34</v>
      </c>
      <c r="AC134" s="276">
        <f>IF(AI134=1,IF(AC133=MiscData!$F$1,EOMONTH(AC133,-11),EOMONTH(AC133,1)),AC133)</f>
        <v>42063</v>
      </c>
      <c r="AD134" s="275" t="str">
        <f t="shared" si="54"/>
        <v>20140101LGUM_457</v>
      </c>
      <c r="AE134" s="294" t="str">
        <f t="shared" si="55"/>
        <v xml:space="preserve">20140101LS </v>
      </c>
      <c r="AF134" s="618" t="str">
        <f t="shared" si="74"/>
        <v>457</v>
      </c>
      <c r="AH134" s="265">
        <f>MiscData!$X$5</f>
        <v>20140101</v>
      </c>
      <c r="AI134" s="265">
        <f>IF(AI133+1&gt;MiscData!$AC$77,1,AI133+1)</f>
        <v>58</v>
      </c>
      <c r="AJ134" s="265" t="str">
        <f>VLOOKUP(AI134,MiscData!$AC$5:$AD$77,2,FALSE)</f>
        <v>LGUM_457</v>
      </c>
      <c r="AK134" s="265" t="str">
        <f>VLOOKUP(AJ134,MiscData!$AD$5:$AE$77,2,FALSE)</f>
        <v xml:space="preserve">LS </v>
      </c>
      <c r="AT134" s="265" t="s">
        <v>392</v>
      </c>
      <c r="AV134" s="265">
        <v>0</v>
      </c>
    </row>
    <row r="135" spans="1:48">
      <c r="A135" s="275">
        <f t="shared" si="75"/>
        <v>132</v>
      </c>
      <c r="B135" s="276" t="str">
        <f t="shared" si="51"/>
        <v>Feb 2015</v>
      </c>
      <c r="C135" s="277" t="str">
        <f t="shared" si="52"/>
        <v>RLS</v>
      </c>
      <c r="D135" s="277" t="str">
        <f t="shared" si="53"/>
        <v>LGUM_458</v>
      </c>
      <c r="E135" s="614">
        <f t="shared" si="56"/>
        <v>5</v>
      </c>
      <c r="F135" s="615">
        <v>0</v>
      </c>
      <c r="G135" s="614">
        <f t="shared" si="57"/>
        <v>0</v>
      </c>
      <c r="H135" s="615">
        <v>0</v>
      </c>
      <c r="I135" s="283">
        <f t="shared" si="58"/>
        <v>11.13</v>
      </c>
      <c r="J135" s="283">
        <f t="shared" si="59"/>
        <v>3.7700000000000014</v>
      </c>
      <c r="K135" s="285">
        <f t="shared" si="60"/>
        <v>55.65</v>
      </c>
      <c r="L135" s="286">
        <v>0</v>
      </c>
      <c r="M135" s="286">
        <v>0</v>
      </c>
      <c r="N135" s="285">
        <f t="shared" si="61"/>
        <v>55.65</v>
      </c>
      <c r="O135" s="616">
        <f t="shared" si="62"/>
        <v>0</v>
      </c>
      <c r="P135" s="289">
        <f t="shared" si="63"/>
        <v>0</v>
      </c>
      <c r="Q135" s="290">
        <f t="shared" si="64"/>
        <v>0</v>
      </c>
      <c r="R135" s="290">
        <f t="shared" si="65"/>
        <v>0</v>
      </c>
      <c r="S135" s="290">
        <f t="shared" si="66"/>
        <v>0</v>
      </c>
      <c r="T135" s="290">
        <f t="shared" si="67"/>
        <v>0</v>
      </c>
      <c r="U135" s="291">
        <f t="shared" si="68"/>
        <v>55.65</v>
      </c>
      <c r="V135" s="291">
        <f t="shared" si="72"/>
        <v>-55.65</v>
      </c>
      <c r="W135" s="265">
        <f t="shared" si="69"/>
        <v>0</v>
      </c>
      <c r="X135" s="291">
        <f t="shared" si="73"/>
        <v>-55.65</v>
      </c>
      <c r="Y135" s="170">
        <f t="shared" si="70"/>
        <v>18.850000000000001</v>
      </c>
      <c r="Z135" s="291">
        <f t="shared" si="71"/>
        <v>-18.850000000000001</v>
      </c>
      <c r="AC135" s="276">
        <f>IF(AI135=1,IF(AC134=MiscData!$F$1,EOMONTH(AC134,-11),EOMONTH(AC134,1)),AC134)</f>
        <v>42063</v>
      </c>
      <c r="AD135" s="275" t="str">
        <f t="shared" si="54"/>
        <v>20140101LGUM_458</v>
      </c>
      <c r="AE135" s="294" t="str">
        <f t="shared" si="55"/>
        <v>20140101RLS</v>
      </c>
      <c r="AF135" s="618" t="str">
        <f t="shared" si="74"/>
        <v>458</v>
      </c>
      <c r="AH135" s="265">
        <f>MiscData!$X$5</f>
        <v>20140101</v>
      </c>
      <c r="AI135" s="265">
        <f>IF(AI134+1&gt;MiscData!$AC$77,1,AI134+1)</f>
        <v>59</v>
      </c>
      <c r="AJ135" s="265" t="str">
        <f>VLOOKUP(AI135,MiscData!$AC$5:$AD$77,2,FALSE)</f>
        <v>LGUM_458</v>
      </c>
      <c r="AK135" s="265" t="str">
        <f>VLOOKUP(AJ135,MiscData!$AD$5:$AE$77,2,FALSE)</f>
        <v>RLS</v>
      </c>
      <c r="AT135" s="265" t="s">
        <v>268</v>
      </c>
      <c r="AV135" s="265">
        <v>0</v>
      </c>
    </row>
    <row r="136" spans="1:48">
      <c r="A136" s="275">
        <f t="shared" si="75"/>
        <v>133</v>
      </c>
      <c r="B136" s="276" t="str">
        <f t="shared" si="51"/>
        <v>Feb 2015</v>
      </c>
      <c r="C136" s="277" t="str">
        <f t="shared" si="52"/>
        <v xml:space="preserve">LS </v>
      </c>
      <c r="D136" s="277" t="str">
        <f t="shared" si="53"/>
        <v>LGUM_470</v>
      </c>
      <c r="E136" s="614">
        <f t="shared" si="56"/>
        <v>21</v>
      </c>
      <c r="F136" s="615">
        <v>0</v>
      </c>
      <c r="G136" s="614">
        <f t="shared" si="57"/>
        <v>0</v>
      </c>
      <c r="H136" s="615">
        <v>0</v>
      </c>
      <c r="I136" s="283">
        <f t="shared" si="58"/>
        <v>12.79</v>
      </c>
      <c r="J136" s="283">
        <f t="shared" si="59"/>
        <v>1.3699999999999992</v>
      </c>
      <c r="K136" s="285">
        <f t="shared" si="60"/>
        <v>268.58999999999997</v>
      </c>
      <c r="L136" s="286">
        <v>0</v>
      </c>
      <c r="M136" s="286">
        <v>0</v>
      </c>
      <c r="N136" s="285">
        <f t="shared" si="61"/>
        <v>268.58999999999997</v>
      </c>
      <c r="O136" s="616">
        <f t="shared" si="62"/>
        <v>0</v>
      </c>
      <c r="P136" s="289">
        <f t="shared" si="63"/>
        <v>0</v>
      </c>
      <c r="Q136" s="290">
        <f t="shared" si="64"/>
        <v>0</v>
      </c>
      <c r="R136" s="290">
        <f t="shared" si="65"/>
        <v>0</v>
      </c>
      <c r="S136" s="290">
        <f t="shared" si="66"/>
        <v>0</v>
      </c>
      <c r="T136" s="290">
        <f t="shared" si="67"/>
        <v>0</v>
      </c>
      <c r="U136" s="291">
        <f t="shared" si="68"/>
        <v>268.58999999999997</v>
      </c>
      <c r="V136" s="291">
        <f t="shared" si="72"/>
        <v>-268.58999999999997</v>
      </c>
      <c r="W136" s="265">
        <f t="shared" si="69"/>
        <v>0</v>
      </c>
      <c r="X136" s="291">
        <f t="shared" si="73"/>
        <v>-268.58999999999997</v>
      </c>
      <c r="Y136" s="170">
        <f t="shared" si="70"/>
        <v>28.77</v>
      </c>
      <c r="Z136" s="291">
        <f t="shared" si="71"/>
        <v>-28.77</v>
      </c>
      <c r="AC136" s="276">
        <f>IF(AI136=1,IF(AC135=MiscData!$F$1,EOMONTH(AC135,-11),EOMONTH(AC135,1)),AC135)</f>
        <v>42063</v>
      </c>
      <c r="AD136" s="275" t="str">
        <f t="shared" si="54"/>
        <v>20140101LGUM_470</v>
      </c>
      <c r="AE136" s="294" t="str">
        <f t="shared" si="55"/>
        <v xml:space="preserve">20140101LS </v>
      </c>
      <c r="AF136" s="618" t="str">
        <f t="shared" si="74"/>
        <v>470</v>
      </c>
      <c r="AH136" s="265">
        <f>MiscData!$X$5</f>
        <v>20140101</v>
      </c>
      <c r="AI136" s="265">
        <f>IF(AI135+1&gt;MiscData!$AC$77,1,AI135+1)</f>
        <v>60</v>
      </c>
      <c r="AJ136" s="265" t="str">
        <f>VLOOKUP(AI136,MiscData!$AC$5:$AD$77,2,FALSE)</f>
        <v>LGUM_470</v>
      </c>
      <c r="AK136" s="265" t="str">
        <f>VLOOKUP(AJ136,MiscData!$AD$5:$AE$77,2,FALSE)</f>
        <v xml:space="preserve">LS </v>
      </c>
      <c r="AT136" s="265" t="s">
        <v>269</v>
      </c>
      <c r="AV136" s="265">
        <v>0</v>
      </c>
    </row>
    <row r="137" spans="1:48">
      <c r="A137" s="275">
        <f t="shared" si="75"/>
        <v>134</v>
      </c>
      <c r="B137" s="276" t="str">
        <f t="shared" si="51"/>
        <v>Feb 2015</v>
      </c>
      <c r="C137" s="277" t="str">
        <f t="shared" si="52"/>
        <v>RLS</v>
      </c>
      <c r="D137" s="277" t="str">
        <f t="shared" si="53"/>
        <v>LGUM_471</v>
      </c>
      <c r="E137" s="614">
        <f t="shared" si="56"/>
        <v>2</v>
      </c>
      <c r="F137" s="615">
        <v>0</v>
      </c>
      <c r="G137" s="614">
        <f t="shared" si="57"/>
        <v>0</v>
      </c>
      <c r="H137" s="615">
        <v>0</v>
      </c>
      <c r="I137" s="283">
        <f t="shared" si="58"/>
        <v>15.07</v>
      </c>
      <c r="J137" s="283">
        <f t="shared" si="59"/>
        <v>1.3699999999999992</v>
      </c>
      <c r="K137" s="285">
        <f t="shared" si="60"/>
        <v>30.14</v>
      </c>
      <c r="L137" s="286">
        <v>0</v>
      </c>
      <c r="M137" s="286">
        <v>0</v>
      </c>
      <c r="N137" s="285">
        <f t="shared" si="61"/>
        <v>30.14</v>
      </c>
      <c r="O137" s="616">
        <f t="shared" si="62"/>
        <v>0</v>
      </c>
      <c r="P137" s="289">
        <f t="shared" si="63"/>
        <v>0</v>
      </c>
      <c r="Q137" s="290">
        <f t="shared" si="64"/>
        <v>0</v>
      </c>
      <c r="R137" s="290">
        <f t="shared" si="65"/>
        <v>0</v>
      </c>
      <c r="S137" s="290">
        <f t="shared" si="66"/>
        <v>0</v>
      </c>
      <c r="T137" s="290">
        <f t="shared" si="67"/>
        <v>0</v>
      </c>
      <c r="U137" s="291">
        <f t="shared" si="68"/>
        <v>30.14</v>
      </c>
      <c r="V137" s="291">
        <f t="shared" si="72"/>
        <v>-30.14</v>
      </c>
      <c r="W137" s="265">
        <f t="shared" si="69"/>
        <v>0</v>
      </c>
      <c r="X137" s="291">
        <f t="shared" si="73"/>
        <v>-30.14</v>
      </c>
      <c r="Y137" s="170">
        <f t="shared" si="70"/>
        <v>2.74</v>
      </c>
      <c r="Z137" s="291">
        <f t="shared" si="71"/>
        <v>-2.74</v>
      </c>
      <c r="AC137" s="276">
        <f>IF(AI137=1,IF(AC136=MiscData!$F$1,EOMONTH(AC136,-11),EOMONTH(AC136,1)),AC136)</f>
        <v>42063</v>
      </c>
      <c r="AD137" s="275" t="str">
        <f t="shared" si="54"/>
        <v>20140101LGUM_471</v>
      </c>
      <c r="AE137" s="294" t="str">
        <f t="shared" si="55"/>
        <v>20140101RLS</v>
      </c>
      <c r="AF137" s="618" t="str">
        <f t="shared" si="74"/>
        <v>471</v>
      </c>
      <c r="AH137" s="265">
        <f>MiscData!$X$5</f>
        <v>20140101</v>
      </c>
      <c r="AI137" s="265">
        <f>IF(AI136+1&gt;MiscData!$AC$77,1,AI136+1)</f>
        <v>61</v>
      </c>
      <c r="AJ137" s="265" t="str">
        <f>VLOOKUP(AI137,MiscData!$AC$5:$AD$77,2,FALSE)</f>
        <v>LGUM_471</v>
      </c>
      <c r="AK137" s="265" t="str">
        <f>VLOOKUP(AJ137,MiscData!$AD$5:$AE$77,2,FALSE)</f>
        <v>RLS</v>
      </c>
      <c r="AT137" s="265" t="s">
        <v>393</v>
      </c>
      <c r="AV137" s="265">
        <v>0</v>
      </c>
    </row>
    <row r="138" spans="1:48">
      <c r="A138" s="275">
        <f t="shared" si="75"/>
        <v>135</v>
      </c>
      <c r="B138" s="276" t="str">
        <f t="shared" si="51"/>
        <v>Feb 2015</v>
      </c>
      <c r="C138" s="277" t="str">
        <f t="shared" si="52"/>
        <v xml:space="preserve">LS </v>
      </c>
      <c r="D138" s="277" t="str">
        <f t="shared" si="53"/>
        <v>LGUM_473</v>
      </c>
      <c r="E138" s="614">
        <f t="shared" si="56"/>
        <v>290</v>
      </c>
      <c r="F138" s="615">
        <v>0</v>
      </c>
      <c r="G138" s="614">
        <f t="shared" si="57"/>
        <v>0</v>
      </c>
      <c r="H138" s="615">
        <v>0</v>
      </c>
      <c r="I138" s="283">
        <f t="shared" si="58"/>
        <v>18.68</v>
      </c>
      <c r="J138" s="283">
        <f t="shared" si="59"/>
        <v>3.1799999999999979</v>
      </c>
      <c r="K138" s="285">
        <f t="shared" si="60"/>
        <v>5417.2</v>
      </c>
      <c r="L138" s="286">
        <v>0</v>
      </c>
      <c r="M138" s="286">
        <v>0</v>
      </c>
      <c r="N138" s="285">
        <f t="shared" si="61"/>
        <v>5417.2</v>
      </c>
      <c r="O138" s="616">
        <f t="shared" si="62"/>
        <v>0</v>
      </c>
      <c r="P138" s="289">
        <f t="shared" si="63"/>
        <v>0</v>
      </c>
      <c r="Q138" s="290">
        <f t="shared" si="64"/>
        <v>0</v>
      </c>
      <c r="R138" s="290">
        <f t="shared" si="65"/>
        <v>0</v>
      </c>
      <c r="S138" s="290">
        <f t="shared" si="66"/>
        <v>0</v>
      </c>
      <c r="T138" s="290">
        <f t="shared" si="67"/>
        <v>0</v>
      </c>
      <c r="U138" s="291">
        <f t="shared" si="68"/>
        <v>5417.2</v>
      </c>
      <c r="V138" s="291">
        <f t="shared" si="72"/>
        <v>-5417.2</v>
      </c>
      <c r="W138" s="265">
        <f t="shared" si="69"/>
        <v>0</v>
      </c>
      <c r="X138" s="291">
        <f t="shared" si="73"/>
        <v>-5417.2</v>
      </c>
      <c r="Y138" s="170">
        <f t="shared" si="70"/>
        <v>922.2</v>
      </c>
      <c r="Z138" s="291">
        <f t="shared" si="71"/>
        <v>-922.2</v>
      </c>
      <c r="AC138" s="276">
        <f>IF(AI138=1,IF(AC137=MiscData!$F$1,EOMONTH(AC137,-11),EOMONTH(AC137,1)),AC137)</f>
        <v>42063</v>
      </c>
      <c r="AD138" s="275" t="str">
        <f t="shared" si="54"/>
        <v>20140101LGUM_473</v>
      </c>
      <c r="AE138" s="294" t="str">
        <f t="shared" si="55"/>
        <v xml:space="preserve">20140101LS </v>
      </c>
      <c r="AF138" s="618" t="str">
        <f t="shared" si="74"/>
        <v>473</v>
      </c>
      <c r="AH138" s="265">
        <f>MiscData!$X$5</f>
        <v>20140101</v>
      </c>
      <c r="AI138" s="265">
        <f>IF(AI137+1&gt;MiscData!$AC$77,1,AI137+1)</f>
        <v>62</v>
      </c>
      <c r="AJ138" s="265" t="str">
        <f>VLOOKUP(AI138,MiscData!$AC$5:$AD$77,2,FALSE)</f>
        <v>LGUM_473</v>
      </c>
      <c r="AK138" s="265" t="str">
        <f>VLOOKUP(AJ138,MiscData!$AD$5:$AE$77,2,FALSE)</f>
        <v xml:space="preserve">LS </v>
      </c>
      <c r="AT138" s="265" t="s">
        <v>394</v>
      </c>
      <c r="AV138" s="265">
        <v>0</v>
      </c>
    </row>
    <row r="139" spans="1:48">
      <c r="A139" s="275">
        <f t="shared" si="75"/>
        <v>136</v>
      </c>
      <c r="B139" s="276" t="str">
        <f t="shared" si="51"/>
        <v>Feb 2015</v>
      </c>
      <c r="C139" s="277" t="str">
        <f t="shared" si="52"/>
        <v>RLS</v>
      </c>
      <c r="D139" s="277" t="str">
        <f t="shared" si="53"/>
        <v>LGUM_474</v>
      </c>
      <c r="E139" s="614">
        <f t="shared" si="56"/>
        <v>52</v>
      </c>
      <c r="F139" s="615">
        <v>0</v>
      </c>
      <c r="G139" s="614">
        <f t="shared" si="57"/>
        <v>0</v>
      </c>
      <c r="H139" s="615">
        <v>0</v>
      </c>
      <c r="I139" s="283">
        <f t="shared" si="58"/>
        <v>20.970000000000002</v>
      </c>
      <c r="J139" s="283">
        <f t="shared" si="59"/>
        <v>3.1799999999999997</v>
      </c>
      <c r="K139" s="285">
        <f t="shared" si="60"/>
        <v>1090.44</v>
      </c>
      <c r="L139" s="286">
        <v>0</v>
      </c>
      <c r="M139" s="286">
        <v>0</v>
      </c>
      <c r="N139" s="285">
        <f t="shared" si="61"/>
        <v>1090.44</v>
      </c>
      <c r="O139" s="616">
        <f t="shared" si="62"/>
        <v>0</v>
      </c>
      <c r="P139" s="289">
        <f t="shared" si="63"/>
        <v>0</v>
      </c>
      <c r="Q139" s="290">
        <f t="shared" si="64"/>
        <v>0</v>
      </c>
      <c r="R139" s="290">
        <f t="shared" si="65"/>
        <v>0</v>
      </c>
      <c r="S139" s="290">
        <f t="shared" si="66"/>
        <v>0</v>
      </c>
      <c r="T139" s="290">
        <f t="shared" si="67"/>
        <v>0</v>
      </c>
      <c r="U139" s="291">
        <f t="shared" si="68"/>
        <v>1090.44</v>
      </c>
      <c r="V139" s="291">
        <f t="shared" si="72"/>
        <v>-1090.44</v>
      </c>
      <c r="W139" s="265">
        <f t="shared" si="69"/>
        <v>0</v>
      </c>
      <c r="X139" s="291">
        <f t="shared" si="73"/>
        <v>-1090.44</v>
      </c>
      <c r="Y139" s="170">
        <f t="shared" si="70"/>
        <v>165.36</v>
      </c>
      <c r="Z139" s="291">
        <f t="shared" si="71"/>
        <v>-165.36</v>
      </c>
      <c r="AC139" s="276">
        <f>IF(AI139=1,IF(AC138=MiscData!$F$1,EOMONTH(AC138,-11),EOMONTH(AC138,1)),AC138)</f>
        <v>42063</v>
      </c>
      <c r="AD139" s="275" t="str">
        <f t="shared" si="54"/>
        <v>20140101LGUM_474</v>
      </c>
      <c r="AE139" s="294" t="str">
        <f t="shared" si="55"/>
        <v>20140101RLS</v>
      </c>
      <c r="AF139" s="618" t="str">
        <f t="shared" si="74"/>
        <v>474</v>
      </c>
      <c r="AH139" s="265">
        <f>MiscData!$X$5</f>
        <v>20140101</v>
      </c>
      <c r="AI139" s="265">
        <f>IF(AI138+1&gt;MiscData!$AC$77,1,AI138+1)</f>
        <v>63</v>
      </c>
      <c r="AJ139" s="265" t="str">
        <f>VLOOKUP(AI139,MiscData!$AC$5:$AD$77,2,FALSE)</f>
        <v>LGUM_474</v>
      </c>
      <c r="AK139" s="265" t="str">
        <f>VLOOKUP(AJ139,MiscData!$AD$5:$AE$77,2,FALSE)</f>
        <v>RLS</v>
      </c>
      <c r="AT139" s="265" t="s">
        <v>398</v>
      </c>
      <c r="AV139" s="265">
        <v>0</v>
      </c>
    </row>
    <row r="140" spans="1:48">
      <c r="A140" s="275">
        <f t="shared" si="75"/>
        <v>137</v>
      </c>
      <c r="B140" s="276" t="str">
        <f t="shared" si="51"/>
        <v>Feb 2015</v>
      </c>
      <c r="C140" s="277" t="str">
        <f t="shared" si="52"/>
        <v>RLS</v>
      </c>
      <c r="D140" s="277" t="str">
        <f t="shared" si="53"/>
        <v>LGUM_475</v>
      </c>
      <c r="E140" s="614">
        <f t="shared" si="56"/>
        <v>2</v>
      </c>
      <c r="F140" s="615">
        <v>0</v>
      </c>
      <c r="G140" s="614">
        <f t="shared" si="57"/>
        <v>0</v>
      </c>
      <c r="H140" s="615">
        <v>0</v>
      </c>
      <c r="I140" s="283">
        <f t="shared" si="58"/>
        <v>28.42</v>
      </c>
      <c r="J140" s="283">
        <f t="shared" si="59"/>
        <v>3.1800000000000033</v>
      </c>
      <c r="K140" s="285">
        <f t="shared" si="60"/>
        <v>56.84</v>
      </c>
      <c r="L140" s="286">
        <v>0</v>
      </c>
      <c r="M140" s="286">
        <v>0</v>
      </c>
      <c r="N140" s="285">
        <f t="shared" si="61"/>
        <v>56.84</v>
      </c>
      <c r="O140" s="616">
        <f t="shared" si="62"/>
        <v>0</v>
      </c>
      <c r="P140" s="289">
        <f t="shared" si="63"/>
        <v>0</v>
      </c>
      <c r="Q140" s="290">
        <f t="shared" si="64"/>
        <v>0</v>
      </c>
      <c r="R140" s="290">
        <f t="shared" si="65"/>
        <v>0</v>
      </c>
      <c r="S140" s="290">
        <f t="shared" si="66"/>
        <v>0</v>
      </c>
      <c r="T140" s="290">
        <f t="shared" si="67"/>
        <v>0</v>
      </c>
      <c r="U140" s="291">
        <f t="shared" si="68"/>
        <v>56.84</v>
      </c>
      <c r="V140" s="291">
        <f t="shared" si="72"/>
        <v>-56.84</v>
      </c>
      <c r="W140" s="265">
        <f t="shared" si="69"/>
        <v>0</v>
      </c>
      <c r="X140" s="291">
        <f t="shared" si="73"/>
        <v>-56.84</v>
      </c>
      <c r="Y140" s="170">
        <f t="shared" si="70"/>
        <v>6.36</v>
      </c>
      <c r="Z140" s="291">
        <f t="shared" si="71"/>
        <v>-6.36</v>
      </c>
      <c r="AC140" s="276">
        <f>IF(AI140=1,IF(AC139=MiscData!$F$1,EOMONTH(AC139,-11),EOMONTH(AC139,1)),AC139)</f>
        <v>42063</v>
      </c>
      <c r="AD140" s="275" t="str">
        <f t="shared" si="54"/>
        <v>20140101LGUM_475</v>
      </c>
      <c r="AE140" s="294" t="str">
        <f t="shared" si="55"/>
        <v>20140101RLS</v>
      </c>
      <c r="AF140" s="618" t="str">
        <f t="shared" si="74"/>
        <v>475</v>
      </c>
      <c r="AH140" s="265">
        <f>MiscData!$X$5</f>
        <v>20140101</v>
      </c>
      <c r="AI140" s="265">
        <f>IF(AI139+1&gt;MiscData!$AC$77,1,AI139+1)</f>
        <v>64</v>
      </c>
      <c r="AJ140" s="265" t="str">
        <f>VLOOKUP(AI140,MiscData!$AC$5:$AD$77,2,FALSE)</f>
        <v>LGUM_475</v>
      </c>
      <c r="AK140" s="265" t="str">
        <f>VLOOKUP(AJ140,MiscData!$AD$5:$AE$77,2,FALSE)</f>
        <v>RLS</v>
      </c>
      <c r="AT140" s="265" t="s">
        <v>395</v>
      </c>
      <c r="AV140" s="265">
        <v>0</v>
      </c>
    </row>
    <row r="141" spans="1:48">
      <c r="A141" s="275">
        <f t="shared" si="75"/>
        <v>138</v>
      </c>
      <c r="B141" s="276" t="str">
        <f t="shared" si="51"/>
        <v>Feb 2015</v>
      </c>
      <c r="C141" s="277" t="str">
        <f t="shared" si="52"/>
        <v xml:space="preserve">LS </v>
      </c>
      <c r="D141" s="277" t="str">
        <f t="shared" si="53"/>
        <v>LGUM_476</v>
      </c>
      <c r="E141" s="614">
        <f t="shared" si="56"/>
        <v>373</v>
      </c>
      <c r="F141" s="615">
        <v>0</v>
      </c>
      <c r="G141" s="614">
        <f t="shared" si="57"/>
        <v>0</v>
      </c>
      <c r="H141" s="615">
        <v>0</v>
      </c>
      <c r="I141" s="283">
        <f t="shared" si="58"/>
        <v>39.6</v>
      </c>
      <c r="J141" s="283">
        <f t="shared" si="59"/>
        <v>9.8100000000000023</v>
      </c>
      <c r="K141" s="285">
        <f t="shared" si="60"/>
        <v>14770.8</v>
      </c>
      <c r="L141" s="286">
        <v>0</v>
      </c>
      <c r="M141" s="286">
        <v>0</v>
      </c>
      <c r="N141" s="285">
        <f t="shared" si="61"/>
        <v>14770.8</v>
      </c>
      <c r="O141" s="616">
        <f t="shared" si="62"/>
        <v>0</v>
      </c>
      <c r="P141" s="289">
        <f t="shared" si="63"/>
        <v>0</v>
      </c>
      <c r="Q141" s="290">
        <f t="shared" si="64"/>
        <v>0</v>
      </c>
      <c r="R141" s="290">
        <f t="shared" si="65"/>
        <v>0</v>
      </c>
      <c r="S141" s="290">
        <f t="shared" si="66"/>
        <v>0</v>
      </c>
      <c r="T141" s="290">
        <f t="shared" si="67"/>
        <v>0</v>
      </c>
      <c r="U141" s="291">
        <f t="shared" si="68"/>
        <v>14770.8</v>
      </c>
      <c r="V141" s="291">
        <f t="shared" si="72"/>
        <v>-14770.8</v>
      </c>
      <c r="W141" s="265">
        <f t="shared" si="69"/>
        <v>0</v>
      </c>
      <c r="X141" s="291">
        <f t="shared" si="73"/>
        <v>-14770.8</v>
      </c>
      <c r="Y141" s="170">
        <f t="shared" si="70"/>
        <v>3659.13</v>
      </c>
      <c r="Z141" s="291">
        <f t="shared" si="71"/>
        <v>-3659.13</v>
      </c>
      <c r="AC141" s="276">
        <f>IF(AI141=1,IF(AC140=MiscData!$F$1,EOMONTH(AC140,-11),EOMONTH(AC140,1)),AC140)</f>
        <v>42063</v>
      </c>
      <c r="AD141" s="275" t="str">
        <f t="shared" si="54"/>
        <v>20140101LGUM_476</v>
      </c>
      <c r="AE141" s="294" t="str">
        <f t="shared" si="55"/>
        <v xml:space="preserve">20140101LS </v>
      </c>
      <c r="AF141" s="618" t="str">
        <f t="shared" si="74"/>
        <v>476</v>
      </c>
      <c r="AH141" s="265">
        <f>MiscData!$X$5</f>
        <v>20140101</v>
      </c>
      <c r="AI141" s="265">
        <f>IF(AI140+1&gt;MiscData!$AC$77,1,AI140+1)</f>
        <v>65</v>
      </c>
      <c r="AJ141" s="265" t="str">
        <f>VLOOKUP(AI141,MiscData!$AC$5:$AD$77,2,FALSE)</f>
        <v>LGUM_476</v>
      </c>
      <c r="AK141" s="265" t="str">
        <f>VLOOKUP(AJ141,MiscData!$AD$5:$AE$77,2,FALSE)</f>
        <v xml:space="preserve">LS </v>
      </c>
      <c r="AT141" s="265" t="s">
        <v>396</v>
      </c>
      <c r="AV141" s="265">
        <v>0</v>
      </c>
    </row>
    <row r="142" spans="1:48">
      <c r="A142" s="275">
        <f t="shared" si="75"/>
        <v>139</v>
      </c>
      <c r="B142" s="276" t="str">
        <f t="shared" si="51"/>
        <v>Feb 2015</v>
      </c>
      <c r="C142" s="277" t="str">
        <f t="shared" si="52"/>
        <v>RLS</v>
      </c>
      <c r="D142" s="277" t="str">
        <f t="shared" si="53"/>
        <v>LGUM_477</v>
      </c>
      <c r="E142" s="614">
        <f t="shared" si="56"/>
        <v>58</v>
      </c>
      <c r="F142" s="615">
        <v>0</v>
      </c>
      <c r="G142" s="614">
        <f t="shared" si="57"/>
        <v>0</v>
      </c>
      <c r="H142" s="615">
        <v>0</v>
      </c>
      <c r="I142" s="283">
        <f t="shared" si="58"/>
        <v>42.78</v>
      </c>
      <c r="J142" s="283">
        <f t="shared" si="59"/>
        <v>9.8100000000000023</v>
      </c>
      <c r="K142" s="285">
        <f t="shared" si="60"/>
        <v>2481.2399999999998</v>
      </c>
      <c r="L142" s="286">
        <v>0</v>
      </c>
      <c r="M142" s="286">
        <v>0</v>
      </c>
      <c r="N142" s="285">
        <f t="shared" si="61"/>
        <v>2481.2399999999998</v>
      </c>
      <c r="O142" s="616">
        <f t="shared" si="62"/>
        <v>0</v>
      </c>
      <c r="P142" s="289">
        <f t="shared" si="63"/>
        <v>0</v>
      </c>
      <c r="Q142" s="290">
        <f t="shared" si="64"/>
        <v>0</v>
      </c>
      <c r="R142" s="290">
        <f t="shared" si="65"/>
        <v>0</v>
      </c>
      <c r="S142" s="290">
        <f t="shared" si="66"/>
        <v>0</v>
      </c>
      <c r="T142" s="290">
        <f t="shared" si="67"/>
        <v>0</v>
      </c>
      <c r="U142" s="291">
        <f t="shared" si="68"/>
        <v>2481.2399999999998</v>
      </c>
      <c r="V142" s="291">
        <f t="shared" si="72"/>
        <v>-2481.2399999999998</v>
      </c>
      <c r="W142" s="265">
        <f t="shared" si="69"/>
        <v>0</v>
      </c>
      <c r="X142" s="291">
        <f t="shared" si="73"/>
        <v>-2481.2399999999998</v>
      </c>
      <c r="Y142" s="170">
        <f t="shared" si="70"/>
        <v>568.98</v>
      </c>
      <c r="Z142" s="291">
        <f t="shared" si="71"/>
        <v>-568.98</v>
      </c>
      <c r="AC142" s="276">
        <f>IF(AI142=1,IF(AC141=MiscData!$F$1,EOMONTH(AC141,-11),EOMONTH(AC141,1)),AC141)</f>
        <v>42063</v>
      </c>
      <c r="AD142" s="275" t="str">
        <f t="shared" si="54"/>
        <v>20140101LGUM_477</v>
      </c>
      <c r="AE142" s="294" t="str">
        <f t="shared" si="55"/>
        <v>20140101RLS</v>
      </c>
      <c r="AF142" s="618" t="str">
        <f t="shared" si="74"/>
        <v>477</v>
      </c>
      <c r="AH142" s="265">
        <f>MiscData!$X$5</f>
        <v>20140101</v>
      </c>
      <c r="AI142" s="265">
        <f>IF(AI141+1&gt;MiscData!$AC$77,1,AI141+1)</f>
        <v>66</v>
      </c>
      <c r="AJ142" s="265" t="str">
        <f>VLOOKUP(AI142,MiscData!$AC$5:$AD$77,2,FALSE)</f>
        <v>LGUM_477</v>
      </c>
      <c r="AK142" s="265" t="str">
        <f>VLOOKUP(AJ142,MiscData!$AD$5:$AE$77,2,FALSE)</f>
        <v>RLS</v>
      </c>
      <c r="AT142" s="265" t="s">
        <v>397</v>
      </c>
      <c r="AV142" s="265">
        <v>0</v>
      </c>
    </row>
    <row r="143" spans="1:48">
      <c r="A143" s="275">
        <f t="shared" si="75"/>
        <v>140</v>
      </c>
      <c r="B143" s="276" t="str">
        <f t="shared" si="51"/>
        <v>Feb 2015</v>
      </c>
      <c r="C143" s="277" t="str">
        <f t="shared" si="52"/>
        <v xml:space="preserve">LS </v>
      </c>
      <c r="D143" s="277" t="str">
        <f t="shared" si="53"/>
        <v>LGUM_479</v>
      </c>
      <c r="E143" s="614">
        <f t="shared" si="56"/>
        <v>0</v>
      </c>
      <c r="F143" s="615">
        <v>0</v>
      </c>
      <c r="G143" s="614">
        <f t="shared" si="57"/>
        <v>0</v>
      </c>
      <c r="H143" s="615">
        <v>0</v>
      </c>
      <c r="I143" s="283">
        <f t="shared" si="58"/>
        <v>14.06</v>
      </c>
      <c r="J143" s="283">
        <f t="shared" si="59"/>
        <v>1.370000000000001</v>
      </c>
      <c r="K143" s="285">
        <f t="shared" si="60"/>
        <v>0</v>
      </c>
      <c r="L143" s="286">
        <v>0</v>
      </c>
      <c r="M143" s="286">
        <v>0</v>
      </c>
      <c r="N143" s="285">
        <f t="shared" si="61"/>
        <v>0</v>
      </c>
      <c r="O143" s="616">
        <f t="shared" si="62"/>
        <v>0</v>
      </c>
      <c r="P143" s="289">
        <f t="shared" si="63"/>
        <v>1</v>
      </c>
      <c r="Q143" s="290">
        <f t="shared" si="64"/>
        <v>0</v>
      </c>
      <c r="R143" s="290">
        <f t="shared" si="65"/>
        <v>0</v>
      </c>
      <c r="S143" s="290">
        <f t="shared" si="66"/>
        <v>0</v>
      </c>
      <c r="T143" s="290">
        <f t="shared" si="67"/>
        <v>0</v>
      </c>
      <c r="U143" s="291">
        <f t="shared" si="68"/>
        <v>0</v>
      </c>
      <c r="V143" s="291">
        <f t="shared" si="72"/>
        <v>0</v>
      </c>
      <c r="W143" s="265">
        <f t="shared" si="69"/>
        <v>0</v>
      </c>
      <c r="X143" s="291">
        <f t="shared" si="73"/>
        <v>0</v>
      </c>
      <c r="Y143" s="170">
        <f t="shared" si="70"/>
        <v>0</v>
      </c>
      <c r="Z143" s="291">
        <f t="shared" si="71"/>
        <v>0</v>
      </c>
      <c r="AC143" s="276">
        <f>IF(AI143=1,IF(AC142=MiscData!$F$1,EOMONTH(AC142,-11),EOMONTH(AC142,1)),AC142)</f>
        <v>42063</v>
      </c>
      <c r="AD143" s="275" t="str">
        <f t="shared" si="54"/>
        <v>20140101LGUM_479</v>
      </c>
      <c r="AE143" s="294" t="str">
        <f t="shared" si="55"/>
        <v xml:space="preserve">20140101LS </v>
      </c>
      <c r="AF143" s="618" t="str">
        <f t="shared" si="74"/>
        <v>479</v>
      </c>
      <c r="AH143" s="265">
        <f>MiscData!$X$5</f>
        <v>20140101</v>
      </c>
      <c r="AI143" s="265">
        <f>IF(AI142+1&gt;MiscData!$AC$77,1,AI142+1)</f>
        <v>67</v>
      </c>
      <c r="AJ143" s="265" t="str">
        <f>VLOOKUP(AI143,MiscData!$AC$5:$AD$77,2,FALSE)</f>
        <v>LGUM_479</v>
      </c>
      <c r="AK143" s="265" t="str">
        <f>VLOOKUP(AJ143,MiscData!$AD$5:$AE$77,2,FALSE)</f>
        <v xml:space="preserve">LS </v>
      </c>
      <c r="AT143" s="265" t="s">
        <v>270</v>
      </c>
      <c r="AV143" s="265">
        <v>0</v>
      </c>
    </row>
    <row r="144" spans="1:48">
      <c r="A144" s="275">
        <f t="shared" si="75"/>
        <v>141</v>
      </c>
      <c r="B144" s="276" t="str">
        <f t="shared" si="51"/>
        <v>Feb 2015</v>
      </c>
      <c r="C144" s="277" t="str">
        <f t="shared" si="52"/>
        <v xml:space="preserve">LS </v>
      </c>
      <c r="D144" s="277" t="str">
        <f t="shared" si="53"/>
        <v>LGUM_480</v>
      </c>
      <c r="E144" s="614">
        <f t="shared" si="56"/>
        <v>18</v>
      </c>
      <c r="F144" s="615">
        <v>0</v>
      </c>
      <c r="G144" s="614">
        <f t="shared" si="57"/>
        <v>0</v>
      </c>
      <c r="H144" s="615">
        <v>0</v>
      </c>
      <c r="I144" s="283">
        <f t="shared" si="58"/>
        <v>23.83</v>
      </c>
      <c r="J144" s="283">
        <f t="shared" si="59"/>
        <v>1.370000000000001</v>
      </c>
      <c r="K144" s="285">
        <f t="shared" si="60"/>
        <v>428.94</v>
      </c>
      <c r="L144" s="286">
        <v>0</v>
      </c>
      <c r="M144" s="286">
        <v>0</v>
      </c>
      <c r="N144" s="285">
        <f t="shared" si="61"/>
        <v>428.94</v>
      </c>
      <c r="O144" s="616">
        <f t="shared" si="62"/>
        <v>0</v>
      </c>
      <c r="P144" s="289">
        <f t="shared" si="63"/>
        <v>0</v>
      </c>
      <c r="Q144" s="290">
        <f t="shared" si="64"/>
        <v>0</v>
      </c>
      <c r="R144" s="290">
        <f t="shared" si="65"/>
        <v>0</v>
      </c>
      <c r="S144" s="290">
        <f t="shared" si="66"/>
        <v>0</v>
      </c>
      <c r="T144" s="290">
        <f t="shared" si="67"/>
        <v>0</v>
      </c>
      <c r="U144" s="291">
        <f t="shared" si="68"/>
        <v>428.94</v>
      </c>
      <c r="V144" s="291">
        <f t="shared" si="72"/>
        <v>-428.94</v>
      </c>
      <c r="W144" s="265">
        <f t="shared" si="69"/>
        <v>0</v>
      </c>
      <c r="X144" s="291">
        <f t="shared" si="73"/>
        <v>-428.94</v>
      </c>
      <c r="Y144" s="170">
        <f t="shared" si="70"/>
        <v>24.66</v>
      </c>
      <c r="Z144" s="291">
        <f t="shared" si="71"/>
        <v>-24.66</v>
      </c>
      <c r="AC144" s="276">
        <f>IF(AI144=1,IF(AC143=MiscData!$F$1,EOMONTH(AC143,-11),EOMONTH(AC143,1)),AC143)</f>
        <v>42063</v>
      </c>
      <c r="AD144" s="275" t="str">
        <f t="shared" si="54"/>
        <v>20140101LGUM_480</v>
      </c>
      <c r="AE144" s="294" t="str">
        <f t="shared" si="55"/>
        <v xml:space="preserve">20140101LS </v>
      </c>
      <c r="AF144" s="618" t="str">
        <f t="shared" si="74"/>
        <v>480</v>
      </c>
      <c r="AH144" s="265">
        <f>MiscData!$X$5</f>
        <v>20140101</v>
      </c>
      <c r="AI144" s="265">
        <f>IF(AI143+1&gt;MiscData!$AC$77,1,AI143+1)</f>
        <v>68</v>
      </c>
      <c r="AJ144" s="265" t="str">
        <f>VLOOKUP(AI144,MiscData!$AC$5:$AD$77,2,FALSE)</f>
        <v>LGUM_480</v>
      </c>
      <c r="AK144" s="265" t="str">
        <f>VLOOKUP(AJ144,MiscData!$AD$5:$AE$77,2,FALSE)</f>
        <v xml:space="preserve">LS </v>
      </c>
      <c r="AT144" s="265" t="s">
        <v>271</v>
      </c>
      <c r="AV144" s="265">
        <v>0</v>
      </c>
    </row>
    <row r="145" spans="1:48">
      <c r="A145" s="275">
        <f t="shared" si="75"/>
        <v>142</v>
      </c>
      <c r="B145" s="276" t="str">
        <f t="shared" si="51"/>
        <v>Feb 2015</v>
      </c>
      <c r="C145" s="277" t="str">
        <f t="shared" si="52"/>
        <v xml:space="preserve">LS </v>
      </c>
      <c r="D145" s="277" t="str">
        <f t="shared" si="53"/>
        <v>LGUM_481</v>
      </c>
      <c r="E145" s="614">
        <f t="shared" si="56"/>
        <v>4</v>
      </c>
      <c r="F145" s="615">
        <v>0</v>
      </c>
      <c r="G145" s="614">
        <f t="shared" si="57"/>
        <v>0</v>
      </c>
      <c r="H145" s="615">
        <v>0</v>
      </c>
      <c r="I145" s="283">
        <f t="shared" si="58"/>
        <v>20.46</v>
      </c>
      <c r="J145" s="283">
        <f t="shared" si="59"/>
        <v>3.1800000000000033</v>
      </c>
      <c r="K145" s="285">
        <f t="shared" si="60"/>
        <v>81.84</v>
      </c>
      <c r="L145" s="286">
        <v>0</v>
      </c>
      <c r="M145" s="286">
        <v>0</v>
      </c>
      <c r="N145" s="285">
        <f t="shared" si="61"/>
        <v>81.84</v>
      </c>
      <c r="O145" s="616">
        <f t="shared" si="62"/>
        <v>0</v>
      </c>
      <c r="P145" s="289">
        <f t="shared" si="63"/>
        <v>0</v>
      </c>
      <c r="Q145" s="290">
        <f t="shared" si="64"/>
        <v>0</v>
      </c>
      <c r="R145" s="290">
        <f t="shared" si="65"/>
        <v>0</v>
      </c>
      <c r="S145" s="290">
        <f t="shared" si="66"/>
        <v>0</v>
      </c>
      <c r="T145" s="290">
        <f t="shared" si="67"/>
        <v>0</v>
      </c>
      <c r="U145" s="291">
        <f t="shared" si="68"/>
        <v>81.84</v>
      </c>
      <c r="V145" s="291">
        <f t="shared" si="72"/>
        <v>-81.84</v>
      </c>
      <c r="W145" s="265">
        <f t="shared" si="69"/>
        <v>0</v>
      </c>
      <c r="X145" s="291">
        <f t="shared" si="73"/>
        <v>-81.84</v>
      </c>
      <c r="Y145" s="170">
        <f t="shared" si="70"/>
        <v>12.72</v>
      </c>
      <c r="Z145" s="291">
        <f t="shared" si="71"/>
        <v>-12.72</v>
      </c>
      <c r="AC145" s="276">
        <f>IF(AI145=1,IF(AC144=MiscData!$F$1,EOMONTH(AC144,-11),EOMONTH(AC144,1)),AC144)</f>
        <v>42063</v>
      </c>
      <c r="AD145" s="275" t="str">
        <f t="shared" si="54"/>
        <v>20140101LGUM_481</v>
      </c>
      <c r="AE145" s="294" t="str">
        <f t="shared" si="55"/>
        <v xml:space="preserve">20140101LS </v>
      </c>
      <c r="AF145" s="618" t="str">
        <f t="shared" si="74"/>
        <v>481</v>
      </c>
      <c r="AH145" s="265">
        <f>MiscData!$X$5</f>
        <v>20140101</v>
      </c>
      <c r="AI145" s="265">
        <f>IF(AI144+1&gt;MiscData!$AC$77,1,AI144+1)</f>
        <v>69</v>
      </c>
      <c r="AJ145" s="265" t="str">
        <f>VLOOKUP(AI145,MiscData!$AC$5:$AD$77,2,FALSE)</f>
        <v>LGUM_481</v>
      </c>
      <c r="AK145" s="265" t="str">
        <f>VLOOKUP(AJ145,MiscData!$AD$5:$AE$77,2,FALSE)</f>
        <v xml:space="preserve">LS </v>
      </c>
      <c r="AT145" s="265" t="s">
        <v>272</v>
      </c>
      <c r="AV145" s="265">
        <v>-8.4</v>
      </c>
    </row>
    <row r="146" spans="1:48">
      <c r="A146" s="275">
        <f t="shared" si="75"/>
        <v>143</v>
      </c>
      <c r="B146" s="276" t="str">
        <f t="shared" si="51"/>
        <v>Feb 2015</v>
      </c>
      <c r="C146" s="277" t="str">
        <f t="shared" si="52"/>
        <v xml:space="preserve">LS </v>
      </c>
      <c r="D146" s="277" t="str">
        <f t="shared" si="53"/>
        <v>LGUM_482</v>
      </c>
      <c r="E146" s="614">
        <f t="shared" si="56"/>
        <v>38</v>
      </c>
      <c r="F146" s="615">
        <v>0</v>
      </c>
      <c r="G146" s="614">
        <f t="shared" si="57"/>
        <v>0</v>
      </c>
      <c r="H146" s="615">
        <v>0</v>
      </c>
      <c r="I146" s="283">
        <f t="shared" si="58"/>
        <v>30.21</v>
      </c>
      <c r="J146" s="283">
        <f t="shared" si="59"/>
        <v>3.1800000000000033</v>
      </c>
      <c r="K146" s="285">
        <f t="shared" si="60"/>
        <v>1147.98</v>
      </c>
      <c r="L146" s="286">
        <v>0</v>
      </c>
      <c r="M146" s="286">
        <v>0</v>
      </c>
      <c r="N146" s="285">
        <f t="shared" si="61"/>
        <v>1147.98</v>
      </c>
      <c r="O146" s="616">
        <f t="shared" si="62"/>
        <v>0</v>
      </c>
      <c r="P146" s="289">
        <f t="shared" si="63"/>
        <v>0</v>
      </c>
      <c r="Q146" s="290">
        <f t="shared" si="64"/>
        <v>0</v>
      </c>
      <c r="R146" s="290">
        <f t="shared" si="65"/>
        <v>0</v>
      </c>
      <c r="S146" s="290">
        <f t="shared" si="66"/>
        <v>0</v>
      </c>
      <c r="T146" s="290">
        <f t="shared" si="67"/>
        <v>0</v>
      </c>
      <c r="U146" s="291">
        <f t="shared" si="68"/>
        <v>1147.98</v>
      </c>
      <c r="V146" s="291">
        <f t="shared" si="72"/>
        <v>-1147.98</v>
      </c>
      <c r="W146" s="265">
        <f t="shared" si="69"/>
        <v>0</v>
      </c>
      <c r="X146" s="291">
        <f t="shared" si="73"/>
        <v>-1147.98</v>
      </c>
      <c r="Y146" s="170">
        <f t="shared" si="70"/>
        <v>120.84</v>
      </c>
      <c r="Z146" s="291">
        <f t="shared" si="71"/>
        <v>-120.84</v>
      </c>
      <c r="AC146" s="276">
        <f>IF(AI146=1,IF(AC145=MiscData!$F$1,EOMONTH(AC145,-11),EOMONTH(AC145,1)),AC145)</f>
        <v>42063</v>
      </c>
      <c r="AD146" s="275" t="str">
        <f t="shared" si="54"/>
        <v>20140101LGUM_482</v>
      </c>
      <c r="AE146" s="294" t="str">
        <f t="shared" si="55"/>
        <v xml:space="preserve">20140101LS </v>
      </c>
      <c r="AF146" s="618" t="str">
        <f t="shared" si="74"/>
        <v>482</v>
      </c>
      <c r="AH146" s="265">
        <f>MiscData!$X$5</f>
        <v>20140101</v>
      </c>
      <c r="AI146" s="265">
        <f>IF(AI145+1&gt;MiscData!$AC$77,1,AI145+1)</f>
        <v>70</v>
      </c>
      <c r="AJ146" s="265" t="str">
        <f>VLOOKUP(AI146,MiscData!$AC$5:$AD$77,2,FALSE)</f>
        <v>LGUM_482</v>
      </c>
      <c r="AK146" s="265" t="str">
        <f>VLOOKUP(AJ146,MiscData!$AD$5:$AE$77,2,FALSE)</f>
        <v xml:space="preserve">LS </v>
      </c>
      <c r="AT146" s="265" t="s">
        <v>273</v>
      </c>
      <c r="AV146" s="265">
        <v>-14.38</v>
      </c>
    </row>
    <row r="147" spans="1:48">
      <c r="A147" s="275">
        <f t="shared" si="75"/>
        <v>144</v>
      </c>
      <c r="B147" s="276" t="str">
        <f t="shared" si="51"/>
        <v>Feb 2015</v>
      </c>
      <c r="C147" s="277" t="str">
        <f t="shared" si="52"/>
        <v xml:space="preserve">LS </v>
      </c>
      <c r="D147" s="277" t="str">
        <f t="shared" si="53"/>
        <v>LGUM_483</v>
      </c>
      <c r="E147" s="614">
        <f t="shared" si="56"/>
        <v>2</v>
      </c>
      <c r="F147" s="615">
        <v>0</v>
      </c>
      <c r="G147" s="614">
        <f t="shared" si="57"/>
        <v>0</v>
      </c>
      <c r="H147" s="615">
        <v>0</v>
      </c>
      <c r="I147" s="283">
        <f t="shared" si="58"/>
        <v>42.56</v>
      </c>
      <c r="J147" s="283">
        <f t="shared" si="59"/>
        <v>9.8100000000000023</v>
      </c>
      <c r="K147" s="285">
        <f t="shared" si="60"/>
        <v>85.12</v>
      </c>
      <c r="L147" s="286">
        <v>0</v>
      </c>
      <c r="M147" s="286">
        <v>0</v>
      </c>
      <c r="N147" s="285">
        <f t="shared" si="61"/>
        <v>85.12</v>
      </c>
      <c r="O147" s="616">
        <f t="shared" si="62"/>
        <v>0</v>
      </c>
      <c r="P147" s="289">
        <f t="shared" si="63"/>
        <v>0</v>
      </c>
      <c r="Q147" s="290">
        <f t="shared" si="64"/>
        <v>0</v>
      </c>
      <c r="R147" s="290">
        <f t="shared" si="65"/>
        <v>0</v>
      </c>
      <c r="S147" s="290">
        <f t="shared" si="66"/>
        <v>0</v>
      </c>
      <c r="T147" s="290">
        <f t="shared" si="67"/>
        <v>0</v>
      </c>
      <c r="U147" s="291">
        <f t="shared" si="68"/>
        <v>85.12</v>
      </c>
      <c r="V147" s="291">
        <f t="shared" si="72"/>
        <v>-85.12</v>
      </c>
      <c r="W147" s="265">
        <f t="shared" si="69"/>
        <v>0</v>
      </c>
      <c r="X147" s="291">
        <f t="shared" si="73"/>
        <v>-85.12</v>
      </c>
      <c r="Y147" s="170">
        <f t="shared" si="70"/>
        <v>19.62</v>
      </c>
      <c r="Z147" s="291">
        <f t="shared" si="71"/>
        <v>-19.62</v>
      </c>
      <c r="AC147" s="276">
        <f>IF(AI147=1,IF(AC146=MiscData!$F$1,EOMONTH(AC146,-11),EOMONTH(AC146,1)),AC146)</f>
        <v>42063</v>
      </c>
      <c r="AD147" s="275" t="str">
        <f t="shared" si="54"/>
        <v>20140101LGUM_483</v>
      </c>
      <c r="AE147" s="294" t="str">
        <f t="shared" si="55"/>
        <v xml:space="preserve">20140101LS </v>
      </c>
      <c r="AF147" s="618" t="str">
        <f t="shared" si="74"/>
        <v>483</v>
      </c>
      <c r="AH147" s="265">
        <f>MiscData!$X$5</f>
        <v>20140101</v>
      </c>
      <c r="AI147" s="265">
        <f>IF(AI146+1&gt;MiscData!$AC$77,1,AI146+1)</f>
        <v>71</v>
      </c>
      <c r="AJ147" s="265" t="str">
        <f>VLOOKUP(AI147,MiscData!$AC$5:$AD$77,2,FALSE)</f>
        <v>LGUM_483</v>
      </c>
      <c r="AK147" s="265" t="str">
        <f>VLOOKUP(AJ147,MiscData!$AD$5:$AE$77,2,FALSE)</f>
        <v xml:space="preserve">LS </v>
      </c>
      <c r="AT147" s="265" t="s">
        <v>275</v>
      </c>
      <c r="AV147" s="265">
        <v>0</v>
      </c>
    </row>
    <row r="148" spans="1:48">
      <c r="A148" s="275">
        <f t="shared" si="75"/>
        <v>145</v>
      </c>
      <c r="B148" s="276" t="str">
        <f t="shared" si="51"/>
        <v>Feb 2015</v>
      </c>
      <c r="C148" s="277" t="str">
        <f t="shared" si="52"/>
        <v xml:space="preserve">LS </v>
      </c>
      <c r="D148" s="277" t="str">
        <f t="shared" si="53"/>
        <v>LGUM_484</v>
      </c>
      <c r="E148" s="614">
        <f t="shared" si="56"/>
        <v>13</v>
      </c>
      <c r="F148" s="615">
        <v>0</v>
      </c>
      <c r="G148" s="614">
        <f t="shared" si="57"/>
        <v>0</v>
      </c>
      <c r="H148" s="615">
        <v>0</v>
      </c>
      <c r="I148" s="283">
        <f t="shared" si="58"/>
        <v>52.31</v>
      </c>
      <c r="J148" s="283">
        <f t="shared" si="59"/>
        <v>9.8100000000000023</v>
      </c>
      <c r="K148" s="285">
        <f t="shared" si="60"/>
        <v>680.03</v>
      </c>
      <c r="L148" s="286">
        <v>0</v>
      </c>
      <c r="M148" s="286">
        <v>0</v>
      </c>
      <c r="N148" s="285">
        <f t="shared" si="61"/>
        <v>680.03</v>
      </c>
      <c r="O148" s="616">
        <f t="shared" si="62"/>
        <v>0</v>
      </c>
      <c r="P148" s="289">
        <f t="shared" si="63"/>
        <v>0</v>
      </c>
      <c r="Q148" s="290">
        <f t="shared" si="64"/>
        <v>0</v>
      </c>
      <c r="R148" s="290">
        <f t="shared" si="65"/>
        <v>0</v>
      </c>
      <c r="S148" s="290">
        <f t="shared" si="66"/>
        <v>0</v>
      </c>
      <c r="T148" s="290">
        <f t="shared" si="67"/>
        <v>0</v>
      </c>
      <c r="U148" s="291">
        <f t="shared" si="68"/>
        <v>680.03</v>
      </c>
      <c r="V148" s="291">
        <f t="shared" si="72"/>
        <v>-680.03</v>
      </c>
      <c r="W148" s="265">
        <f t="shared" si="69"/>
        <v>0</v>
      </c>
      <c r="X148" s="291">
        <f t="shared" si="73"/>
        <v>-680.03</v>
      </c>
      <c r="Y148" s="170">
        <f t="shared" si="70"/>
        <v>127.53</v>
      </c>
      <c r="Z148" s="291">
        <f t="shared" si="71"/>
        <v>-127.53</v>
      </c>
      <c r="AC148" s="276">
        <f>IF(AI148=1,IF(AC147=MiscData!$F$1,EOMONTH(AC147,-11),EOMONTH(AC147,1)),AC147)</f>
        <v>42063</v>
      </c>
      <c r="AD148" s="275" t="str">
        <f t="shared" si="54"/>
        <v>20140101LGUM_484</v>
      </c>
      <c r="AE148" s="294" t="str">
        <f t="shared" si="55"/>
        <v xml:space="preserve">20140101LS </v>
      </c>
      <c r="AF148" s="618" t="str">
        <f t="shared" si="74"/>
        <v>484</v>
      </c>
      <c r="AH148" s="265">
        <f>MiscData!$X$5</f>
        <v>20140101</v>
      </c>
      <c r="AI148" s="265">
        <f>IF(AI147+1&gt;MiscData!$AC$77,1,AI147+1)</f>
        <v>72</v>
      </c>
      <c r="AJ148" s="265" t="str">
        <f>VLOOKUP(AI148,MiscData!$AC$5:$AD$77,2,FALSE)</f>
        <v>LGUM_484</v>
      </c>
      <c r="AK148" s="265" t="str">
        <f>VLOOKUP(AJ148,MiscData!$AD$5:$AE$77,2,FALSE)</f>
        <v xml:space="preserve">LS </v>
      </c>
      <c r="AT148" s="265" t="s">
        <v>276</v>
      </c>
      <c r="AV148" s="265">
        <v>0</v>
      </c>
    </row>
    <row r="149" spans="1:48">
      <c r="A149" s="275">
        <f t="shared" si="75"/>
        <v>146</v>
      </c>
      <c r="B149" s="276" t="str">
        <f t="shared" si="51"/>
        <v>Feb 2015</v>
      </c>
      <c r="C149" s="277" t="str">
        <f t="shared" si="52"/>
        <v>ODL</v>
      </c>
      <c r="D149" s="277" t="str">
        <f t="shared" si="53"/>
        <v>ODL</v>
      </c>
      <c r="E149" s="614">
        <f t="shared" si="56"/>
        <v>0</v>
      </c>
      <c r="F149" s="615">
        <v>0</v>
      </c>
      <c r="G149" s="614">
        <f t="shared" si="57"/>
        <v>13630022</v>
      </c>
      <c r="H149" s="615">
        <v>0</v>
      </c>
      <c r="I149" s="283">
        <f t="shared" si="58"/>
        <v>0</v>
      </c>
      <c r="J149" s="283">
        <f t="shared" si="59"/>
        <v>0</v>
      </c>
      <c r="K149" s="285">
        <f t="shared" si="60"/>
        <v>0</v>
      </c>
      <c r="L149" s="286">
        <v>0</v>
      </c>
      <c r="M149" s="286">
        <v>0</v>
      </c>
      <c r="N149" s="285">
        <f t="shared" si="61"/>
        <v>0</v>
      </c>
      <c r="O149" s="616">
        <f t="shared" si="62"/>
        <v>1503046</v>
      </c>
      <c r="P149" s="289">
        <f t="shared" si="63"/>
        <v>0</v>
      </c>
      <c r="Q149" s="290">
        <f t="shared" si="64"/>
        <v>-26676</v>
      </c>
      <c r="R149" s="290">
        <f t="shared" si="65"/>
        <v>73057</v>
      </c>
      <c r="S149" s="290">
        <f t="shared" si="66"/>
        <v>0</v>
      </c>
      <c r="T149" s="290">
        <f t="shared" si="67"/>
        <v>1549427</v>
      </c>
      <c r="U149" s="291">
        <f t="shared" si="68"/>
        <v>46381</v>
      </c>
      <c r="V149" s="291">
        <f t="shared" si="72"/>
        <v>1503046</v>
      </c>
      <c r="W149" s="265">
        <f t="shared" si="69"/>
        <v>0</v>
      </c>
      <c r="X149" s="291">
        <f t="shared" si="73"/>
        <v>1503046</v>
      </c>
      <c r="Y149" s="170">
        <f t="shared" si="70"/>
        <v>0</v>
      </c>
      <c r="Z149" s="291">
        <f t="shared" si="71"/>
        <v>1503046</v>
      </c>
      <c r="AC149" s="276">
        <f>IF(AI149=1,IF(AC148=MiscData!$F$1,EOMONTH(AC148,-11),EOMONTH(AC148,1)),AC148)</f>
        <v>42063</v>
      </c>
      <c r="AD149" s="275" t="str">
        <f t="shared" si="54"/>
        <v>20140101ODL</v>
      </c>
      <c r="AE149" s="294" t="str">
        <f t="shared" si="55"/>
        <v>20140101ODL</v>
      </c>
      <c r="AF149" s="618" t="str">
        <f t="shared" si="74"/>
        <v>ODL</v>
      </c>
      <c r="AH149" s="265">
        <f>MiscData!$X$5</f>
        <v>20140101</v>
      </c>
      <c r="AI149" s="265">
        <f>IF(AI148+1&gt;MiscData!$AC$77,1,AI148+1)</f>
        <v>73</v>
      </c>
      <c r="AJ149" s="265" t="str">
        <f>VLOOKUP(AI149,MiscData!$AC$5:$AD$77,2,FALSE)</f>
        <v>ODL</v>
      </c>
      <c r="AK149" s="265" t="str">
        <f>VLOOKUP(AJ149,MiscData!$AD$5:$AE$77,2,FALSE)</f>
        <v>ODL</v>
      </c>
      <c r="AT149" s="265" t="s">
        <v>277</v>
      </c>
      <c r="AV149" s="265">
        <v>0</v>
      </c>
    </row>
    <row r="150" spans="1:48">
      <c r="A150" s="275">
        <f t="shared" si="75"/>
        <v>147</v>
      </c>
      <c r="B150" s="276" t="str">
        <f t="shared" si="51"/>
        <v>Mar 2014</v>
      </c>
      <c r="C150" s="277" t="str">
        <f t="shared" si="52"/>
        <v>RLS</v>
      </c>
      <c r="D150" s="277" t="str">
        <f t="shared" si="53"/>
        <v>LGUM_201</v>
      </c>
      <c r="E150" s="614">
        <f t="shared" si="56"/>
        <v>80</v>
      </c>
      <c r="F150" s="615">
        <f t="shared" ref="F150:F195" si="76">SUMIFS(L_1055_Count_OutOfPeriod,L_1055_Revenue_Month,$B150,L_1055_RateCategory,$D150)</f>
        <v>0</v>
      </c>
      <c r="G150" s="614">
        <f t="shared" si="57"/>
        <v>3421</v>
      </c>
      <c r="H150" s="615">
        <v>0</v>
      </c>
      <c r="I150" s="283">
        <f t="shared" si="58"/>
        <v>8.14</v>
      </c>
      <c r="J150" s="283">
        <f t="shared" si="59"/>
        <v>1.0899999999999999</v>
      </c>
      <c r="K150" s="285">
        <f t="shared" si="60"/>
        <v>651.20000000000005</v>
      </c>
      <c r="L150" s="286">
        <f t="shared" ref="L150:L195" si="77">SUMIFS(L_1055_Revenue_Test_Period_Adj,L_1055_RateCategory,$D150,L_1055_Revenue_Month,$B150)+SUMIFS(L_1055_Revenue_OutOfPeriod,L_1055_RateCategory,$D150,L_1055_Revenue_Month,$B150)</f>
        <v>0</v>
      </c>
      <c r="M150" s="286">
        <f t="shared" ref="M150:M195" si="78">SUMIFS(L_1055_Revenue_OutOfPeriod,L_1055_RateCategory,$D150,L_1055_Revenue_Month,$B150)</f>
        <v>0</v>
      </c>
      <c r="N150" s="285">
        <f t="shared" si="61"/>
        <v>651.20000000000005</v>
      </c>
      <c r="O150" s="616">
        <f t="shared" si="62"/>
        <v>651.19999999999993</v>
      </c>
      <c r="P150" s="289">
        <f t="shared" si="63"/>
        <v>0.99999999999999978</v>
      </c>
      <c r="Q150" s="290">
        <f t="shared" si="64"/>
        <v>7.58</v>
      </c>
      <c r="R150" s="290">
        <f t="shared" si="65"/>
        <v>12.24</v>
      </c>
      <c r="S150" s="290">
        <f t="shared" si="66"/>
        <v>0</v>
      </c>
      <c r="T150" s="290">
        <f t="shared" si="67"/>
        <v>706.04</v>
      </c>
      <c r="U150" s="291">
        <f t="shared" si="68"/>
        <v>671.0200000000001</v>
      </c>
      <c r="V150" s="291">
        <f t="shared" si="72"/>
        <v>35.020000000000003</v>
      </c>
      <c r="W150" s="265">
        <f t="shared" si="69"/>
        <v>35.020000000000003</v>
      </c>
      <c r="X150" s="291">
        <f t="shared" si="73"/>
        <v>0</v>
      </c>
      <c r="Y150" s="170">
        <f t="shared" si="70"/>
        <v>87.2</v>
      </c>
      <c r="Z150" s="291">
        <f t="shared" si="71"/>
        <v>563.99999999999989</v>
      </c>
      <c r="AC150" s="276">
        <f>IF(AI150=1,IF(AC149=MiscData!$F$1,EOMONTH(AC149,-11),EOMONTH(AC149,1)),AC149)</f>
        <v>41729</v>
      </c>
      <c r="AD150" s="275" t="str">
        <f t="shared" si="54"/>
        <v>20140101LGUM_201</v>
      </c>
      <c r="AE150" s="294" t="str">
        <f t="shared" si="55"/>
        <v>20140101RLS</v>
      </c>
      <c r="AF150" s="618" t="str">
        <f t="shared" si="74"/>
        <v>201</v>
      </c>
      <c r="AH150" s="265">
        <f>MiscData!$X$5</f>
        <v>20140101</v>
      </c>
      <c r="AI150" s="265">
        <f>IF(AI149+1&gt;MiscData!$AC$77,1,AI149+1)</f>
        <v>1</v>
      </c>
      <c r="AJ150" s="265" t="str">
        <f>VLOOKUP(AI150,MiscData!$AC$5:$AD$77,2,FALSE)</f>
        <v>LGUM_201</v>
      </c>
      <c r="AK150" s="265" t="str">
        <f>VLOOKUP(AJ150,MiscData!$AD$5:$AE$77,2,FALSE)</f>
        <v>RLS</v>
      </c>
      <c r="AT150" s="265" t="s">
        <v>278</v>
      </c>
      <c r="AV150" s="265">
        <v>0</v>
      </c>
    </row>
    <row r="151" spans="1:48">
      <c r="A151" s="275">
        <f t="shared" si="75"/>
        <v>148</v>
      </c>
      <c r="B151" s="276" t="str">
        <f t="shared" si="51"/>
        <v>Mar 2014</v>
      </c>
      <c r="C151" s="277" t="str">
        <f t="shared" si="52"/>
        <v>RLS</v>
      </c>
      <c r="D151" s="277" t="str">
        <f t="shared" si="53"/>
        <v>LGUM_203</v>
      </c>
      <c r="E151" s="614">
        <f t="shared" si="56"/>
        <v>3638</v>
      </c>
      <c r="F151" s="615">
        <f t="shared" si="76"/>
        <v>0</v>
      </c>
      <c r="G151" s="614">
        <f t="shared" si="57"/>
        <v>366282</v>
      </c>
      <c r="H151" s="615">
        <v>0</v>
      </c>
      <c r="I151" s="283">
        <f t="shared" si="58"/>
        <v>10.959999999999999</v>
      </c>
      <c r="J151" s="283">
        <f t="shared" si="59"/>
        <v>2.7099999999999991</v>
      </c>
      <c r="K151" s="285">
        <f t="shared" si="60"/>
        <v>39872.480000000003</v>
      </c>
      <c r="L151" s="286">
        <f t="shared" si="77"/>
        <v>-308.71999999999736</v>
      </c>
      <c r="M151" s="286">
        <f t="shared" si="78"/>
        <v>0</v>
      </c>
      <c r="N151" s="285">
        <f t="shared" si="61"/>
        <v>39563.760000000009</v>
      </c>
      <c r="O151" s="616">
        <f t="shared" si="62"/>
        <v>39563.759999999995</v>
      </c>
      <c r="P151" s="289">
        <f t="shared" si="63"/>
        <v>0.99999999999999967</v>
      </c>
      <c r="Q151" s="290">
        <f t="shared" si="64"/>
        <v>803.85</v>
      </c>
      <c r="R151" s="290">
        <f t="shared" si="65"/>
        <v>728.65</v>
      </c>
      <c r="S151" s="290">
        <f t="shared" si="66"/>
        <v>0</v>
      </c>
      <c r="T151" s="290">
        <f t="shared" si="67"/>
        <v>41616.199999999997</v>
      </c>
      <c r="U151" s="291">
        <f t="shared" si="68"/>
        <v>41096.260000000009</v>
      </c>
      <c r="V151" s="291">
        <f t="shared" si="72"/>
        <v>519.94000000000005</v>
      </c>
      <c r="W151" s="265">
        <f t="shared" si="69"/>
        <v>519.94000000000005</v>
      </c>
      <c r="X151" s="291">
        <f t="shared" si="73"/>
        <v>0</v>
      </c>
      <c r="Y151" s="170">
        <f t="shared" si="70"/>
        <v>9858.98</v>
      </c>
      <c r="Z151" s="291">
        <f t="shared" si="71"/>
        <v>29704.779999999995</v>
      </c>
      <c r="AC151" s="276">
        <f>IF(AI151=1,IF(AC150=MiscData!$F$1,EOMONTH(AC150,-11),EOMONTH(AC150,1)),AC150)</f>
        <v>41729</v>
      </c>
      <c r="AD151" s="275" t="str">
        <f t="shared" si="54"/>
        <v>20140101LGUM_203</v>
      </c>
      <c r="AE151" s="294" t="str">
        <f t="shared" si="55"/>
        <v>20140101RLS</v>
      </c>
      <c r="AF151" s="618" t="str">
        <f t="shared" si="74"/>
        <v>203</v>
      </c>
      <c r="AH151" s="265">
        <f>MiscData!$X$5</f>
        <v>20140101</v>
      </c>
      <c r="AI151" s="265">
        <f>IF(AI150+1&gt;MiscData!$AC$77,1,AI150+1)</f>
        <v>2</v>
      </c>
      <c r="AJ151" s="265" t="str">
        <f>VLOOKUP(AI151,MiscData!$AC$5:$AD$77,2,FALSE)</f>
        <v>LGUM_203</v>
      </c>
      <c r="AK151" s="265" t="str">
        <f>VLOOKUP(AJ151,MiscData!$AD$5:$AE$77,2,FALSE)</f>
        <v>RLS</v>
      </c>
      <c r="AT151" s="265" t="s">
        <v>279</v>
      </c>
      <c r="AV151" s="265">
        <v>0</v>
      </c>
    </row>
    <row r="152" spans="1:48">
      <c r="A152" s="275">
        <f t="shared" si="75"/>
        <v>149</v>
      </c>
      <c r="B152" s="276" t="str">
        <f t="shared" si="51"/>
        <v>Mar 2014</v>
      </c>
      <c r="C152" s="277" t="str">
        <f t="shared" si="52"/>
        <v>RLS</v>
      </c>
      <c r="D152" s="277" t="str">
        <f t="shared" si="53"/>
        <v>LGUM_204</v>
      </c>
      <c r="E152" s="614">
        <f t="shared" si="56"/>
        <v>3831</v>
      </c>
      <c r="F152" s="615">
        <f t="shared" si="76"/>
        <v>0</v>
      </c>
      <c r="G152" s="614">
        <f t="shared" si="57"/>
        <v>587678</v>
      </c>
      <c r="H152" s="615">
        <v>0</v>
      </c>
      <c r="I152" s="283">
        <f t="shared" si="58"/>
        <v>13.510000000000002</v>
      </c>
      <c r="J152" s="283">
        <f t="shared" si="59"/>
        <v>4.2000000000000011</v>
      </c>
      <c r="K152" s="285">
        <f t="shared" si="60"/>
        <v>51756.81</v>
      </c>
      <c r="L152" s="286">
        <f t="shared" si="77"/>
        <v>-210.72000000000054</v>
      </c>
      <c r="M152" s="286">
        <f t="shared" si="78"/>
        <v>0</v>
      </c>
      <c r="N152" s="285">
        <f t="shared" si="61"/>
        <v>51546.09</v>
      </c>
      <c r="O152" s="616">
        <f t="shared" si="62"/>
        <v>51546.09</v>
      </c>
      <c r="P152" s="289">
        <f t="shared" si="63"/>
        <v>1</v>
      </c>
      <c r="Q152" s="290">
        <f t="shared" si="64"/>
        <v>1290.4000000000001</v>
      </c>
      <c r="R152" s="290">
        <f t="shared" si="65"/>
        <v>948.36</v>
      </c>
      <c r="S152" s="290">
        <f t="shared" si="66"/>
        <v>0</v>
      </c>
      <c r="T152" s="290">
        <f t="shared" si="67"/>
        <v>54558.96</v>
      </c>
      <c r="U152" s="291">
        <f t="shared" si="68"/>
        <v>53784.85</v>
      </c>
      <c r="V152" s="291">
        <f t="shared" si="72"/>
        <v>774.11</v>
      </c>
      <c r="W152" s="265">
        <f t="shared" si="69"/>
        <v>774.11</v>
      </c>
      <c r="X152" s="291">
        <f t="shared" si="73"/>
        <v>0</v>
      </c>
      <c r="Y152" s="170">
        <f t="shared" si="70"/>
        <v>16090.2</v>
      </c>
      <c r="Z152" s="291">
        <f t="shared" si="71"/>
        <v>35455.89</v>
      </c>
      <c r="AC152" s="276">
        <f>IF(AI152=1,IF(AC151=MiscData!$F$1,EOMONTH(AC151,-11),EOMONTH(AC151,1)),AC151)</f>
        <v>41729</v>
      </c>
      <c r="AD152" s="275" t="str">
        <f t="shared" si="54"/>
        <v>20140101LGUM_204</v>
      </c>
      <c r="AE152" s="294" t="str">
        <f t="shared" si="55"/>
        <v>20140101RLS</v>
      </c>
      <c r="AF152" s="618" t="str">
        <f t="shared" si="74"/>
        <v>204</v>
      </c>
      <c r="AH152" s="265">
        <f>MiscData!$X$5</f>
        <v>20140101</v>
      </c>
      <c r="AI152" s="265">
        <f>IF(AI151+1&gt;MiscData!$AC$77,1,AI151+1)</f>
        <v>3</v>
      </c>
      <c r="AJ152" s="265" t="str">
        <f>VLOOKUP(AI152,MiscData!$AC$5:$AD$77,2,FALSE)</f>
        <v>LGUM_204</v>
      </c>
      <c r="AK152" s="265" t="str">
        <f>VLOOKUP(AJ152,MiscData!$AD$5:$AE$77,2,FALSE)</f>
        <v>RLS</v>
      </c>
      <c r="AT152" s="265" t="s">
        <v>280</v>
      </c>
      <c r="AV152" s="265">
        <v>0</v>
      </c>
    </row>
    <row r="153" spans="1:48">
      <c r="A153" s="275">
        <f t="shared" si="75"/>
        <v>150</v>
      </c>
      <c r="B153" s="276" t="str">
        <f t="shared" si="51"/>
        <v>Mar 2014</v>
      </c>
      <c r="C153" s="277" t="str">
        <f t="shared" si="52"/>
        <v>RLS</v>
      </c>
      <c r="D153" s="277" t="str">
        <f t="shared" si="53"/>
        <v>LGUM_206</v>
      </c>
      <c r="E153" s="614">
        <f t="shared" si="56"/>
        <v>99</v>
      </c>
      <c r="F153" s="615">
        <f t="shared" si="76"/>
        <v>0</v>
      </c>
      <c r="G153" s="614">
        <f t="shared" si="57"/>
        <v>4352</v>
      </c>
      <c r="H153" s="615">
        <v>0</v>
      </c>
      <c r="I153" s="283">
        <f t="shared" si="58"/>
        <v>12.450000000000001</v>
      </c>
      <c r="J153" s="283">
        <f t="shared" si="59"/>
        <v>1.0899999999999999</v>
      </c>
      <c r="K153" s="285">
        <f t="shared" si="60"/>
        <v>1232.55</v>
      </c>
      <c r="L153" s="286">
        <f t="shared" si="77"/>
        <v>0</v>
      </c>
      <c r="M153" s="286">
        <f t="shared" si="78"/>
        <v>0</v>
      </c>
      <c r="N153" s="285">
        <f t="shared" si="61"/>
        <v>1232.55</v>
      </c>
      <c r="O153" s="616">
        <f t="shared" si="62"/>
        <v>1232.55</v>
      </c>
      <c r="P153" s="289">
        <f t="shared" si="63"/>
        <v>1</v>
      </c>
      <c r="Q153" s="290">
        <f t="shared" si="64"/>
        <v>9.56</v>
      </c>
      <c r="R153" s="290">
        <f t="shared" si="65"/>
        <v>21.86</v>
      </c>
      <c r="S153" s="290">
        <f t="shared" si="66"/>
        <v>0</v>
      </c>
      <c r="T153" s="290">
        <f t="shared" si="67"/>
        <v>1263.97</v>
      </c>
      <c r="U153" s="291">
        <f t="shared" si="68"/>
        <v>1263.9699999999998</v>
      </c>
      <c r="V153" s="291">
        <f t="shared" si="72"/>
        <v>0</v>
      </c>
      <c r="W153" s="265">
        <f t="shared" si="69"/>
        <v>0</v>
      </c>
      <c r="X153" s="291">
        <f t="shared" si="73"/>
        <v>0</v>
      </c>
      <c r="Y153" s="170">
        <f t="shared" si="70"/>
        <v>107.91</v>
      </c>
      <c r="Z153" s="291">
        <f t="shared" si="71"/>
        <v>1124.6399999999999</v>
      </c>
      <c r="AC153" s="276">
        <f>IF(AI153=1,IF(AC152=MiscData!$F$1,EOMONTH(AC152,-11),EOMONTH(AC152,1)),AC152)</f>
        <v>41729</v>
      </c>
      <c r="AD153" s="275" t="str">
        <f t="shared" si="54"/>
        <v>20140101LGUM_206</v>
      </c>
      <c r="AE153" s="294" t="str">
        <f t="shared" si="55"/>
        <v>20140101RLS</v>
      </c>
      <c r="AF153" s="618" t="str">
        <f t="shared" si="74"/>
        <v>206</v>
      </c>
      <c r="AH153" s="265">
        <f>MiscData!$X$5</f>
        <v>20140101</v>
      </c>
      <c r="AI153" s="265">
        <f>IF(AI152+1&gt;MiscData!$AC$77,1,AI152+1)</f>
        <v>4</v>
      </c>
      <c r="AJ153" s="265" t="str">
        <f>VLOOKUP(AI153,MiscData!$AC$5:$AD$77,2,FALSE)</f>
        <v>LGUM_206</v>
      </c>
      <c r="AK153" s="265" t="str">
        <f>VLOOKUP(AJ153,MiscData!$AD$5:$AE$77,2,FALSE)</f>
        <v>RLS</v>
      </c>
      <c r="AT153" s="265" t="s">
        <v>281</v>
      </c>
      <c r="AV153" s="265">
        <v>0</v>
      </c>
    </row>
    <row r="154" spans="1:48">
      <c r="A154" s="275">
        <f t="shared" si="75"/>
        <v>151</v>
      </c>
      <c r="B154" s="276" t="str">
        <f t="shared" si="51"/>
        <v>Mar 2014</v>
      </c>
      <c r="C154" s="277" t="str">
        <f t="shared" si="52"/>
        <v>RLS</v>
      </c>
      <c r="D154" s="277" t="str">
        <f t="shared" si="53"/>
        <v>LGUM_207</v>
      </c>
      <c r="E154" s="614">
        <f t="shared" si="56"/>
        <v>775</v>
      </c>
      <c r="F154" s="615">
        <f t="shared" si="76"/>
        <v>0</v>
      </c>
      <c r="G154" s="614">
        <f t="shared" si="57"/>
        <v>127702</v>
      </c>
      <c r="H154" s="615">
        <v>0</v>
      </c>
      <c r="I154" s="283">
        <f t="shared" si="58"/>
        <v>15.54</v>
      </c>
      <c r="J154" s="283">
        <f t="shared" si="59"/>
        <v>4.2000000000000011</v>
      </c>
      <c r="K154" s="285">
        <f t="shared" si="60"/>
        <v>12043.5</v>
      </c>
      <c r="L154" s="286">
        <f t="shared" si="77"/>
        <v>-62.670000000000883</v>
      </c>
      <c r="M154" s="286">
        <f t="shared" si="78"/>
        <v>0</v>
      </c>
      <c r="N154" s="285">
        <f t="shared" si="61"/>
        <v>11980.83</v>
      </c>
      <c r="O154" s="616">
        <f t="shared" si="62"/>
        <v>11980.830000000002</v>
      </c>
      <c r="P154" s="289">
        <f t="shared" si="63"/>
        <v>1.0000000000000002</v>
      </c>
      <c r="Q154" s="290">
        <f t="shared" si="64"/>
        <v>276.31</v>
      </c>
      <c r="R154" s="290">
        <f t="shared" si="65"/>
        <v>236.83</v>
      </c>
      <c r="S154" s="290">
        <f t="shared" si="66"/>
        <v>0</v>
      </c>
      <c r="T154" s="290">
        <f t="shared" si="67"/>
        <v>13053.45</v>
      </c>
      <c r="U154" s="291">
        <f t="shared" si="68"/>
        <v>12493.97</v>
      </c>
      <c r="V154" s="291">
        <f t="shared" si="72"/>
        <v>559.48</v>
      </c>
      <c r="W154" s="265">
        <f t="shared" si="69"/>
        <v>559.48</v>
      </c>
      <c r="X154" s="291">
        <f t="shared" si="73"/>
        <v>0</v>
      </c>
      <c r="Y154" s="170">
        <f t="shared" si="70"/>
        <v>3255</v>
      </c>
      <c r="Z154" s="291">
        <f t="shared" si="71"/>
        <v>8725.8300000000017</v>
      </c>
      <c r="AC154" s="276">
        <f>IF(AI154=1,IF(AC153=MiscData!$F$1,EOMONTH(AC153,-11),EOMONTH(AC153,1)),AC153)</f>
        <v>41729</v>
      </c>
      <c r="AD154" s="275" t="str">
        <f t="shared" si="54"/>
        <v>20140101LGUM_207</v>
      </c>
      <c r="AE154" s="294" t="str">
        <f t="shared" si="55"/>
        <v>20140101RLS</v>
      </c>
      <c r="AF154" s="618" t="str">
        <f t="shared" si="74"/>
        <v>207</v>
      </c>
      <c r="AH154" s="265">
        <f>MiscData!$X$5</f>
        <v>20140101</v>
      </c>
      <c r="AI154" s="265">
        <f>IF(AI153+1&gt;MiscData!$AC$77,1,AI153+1)</f>
        <v>5</v>
      </c>
      <c r="AJ154" s="265" t="str">
        <f>VLOOKUP(AI154,MiscData!$AC$5:$AD$77,2,FALSE)</f>
        <v>LGUM_207</v>
      </c>
      <c r="AK154" s="265" t="str">
        <f>VLOOKUP(AJ154,MiscData!$AD$5:$AE$77,2,FALSE)</f>
        <v>RLS</v>
      </c>
      <c r="AT154" s="265" t="s">
        <v>283</v>
      </c>
      <c r="AV154" s="265">
        <v>0</v>
      </c>
    </row>
    <row r="155" spans="1:48">
      <c r="A155" s="275">
        <f t="shared" si="75"/>
        <v>152</v>
      </c>
      <c r="B155" s="276" t="str">
        <f t="shared" si="51"/>
        <v>Mar 2014</v>
      </c>
      <c r="C155" s="277" t="str">
        <f t="shared" si="52"/>
        <v>RLS</v>
      </c>
      <c r="D155" s="277" t="str">
        <f t="shared" si="53"/>
        <v>LGUM_208</v>
      </c>
      <c r="E155" s="614">
        <f t="shared" si="56"/>
        <v>1434</v>
      </c>
      <c r="F155" s="615">
        <f t="shared" si="76"/>
        <v>0</v>
      </c>
      <c r="G155" s="614">
        <f t="shared" si="57"/>
        <v>102812</v>
      </c>
      <c r="H155" s="615">
        <v>0</v>
      </c>
      <c r="I155" s="283">
        <f t="shared" si="58"/>
        <v>14.24</v>
      </c>
      <c r="J155" s="283">
        <f t="shared" si="59"/>
        <v>1.9100000000000001</v>
      </c>
      <c r="K155" s="285">
        <f t="shared" si="60"/>
        <v>20420.16</v>
      </c>
      <c r="L155" s="286">
        <f t="shared" si="77"/>
        <v>-38.059999999997963</v>
      </c>
      <c r="M155" s="286">
        <f t="shared" si="78"/>
        <v>0</v>
      </c>
      <c r="N155" s="285">
        <f t="shared" si="61"/>
        <v>20382.100000000002</v>
      </c>
      <c r="O155" s="616">
        <f t="shared" si="62"/>
        <v>20382.099999999999</v>
      </c>
      <c r="P155" s="289">
        <f t="shared" si="63"/>
        <v>0.99999999999999978</v>
      </c>
      <c r="Q155" s="290">
        <f t="shared" si="64"/>
        <v>225.96</v>
      </c>
      <c r="R155" s="290">
        <f t="shared" si="65"/>
        <v>363.47</v>
      </c>
      <c r="S155" s="290">
        <f t="shared" si="66"/>
        <v>0</v>
      </c>
      <c r="T155" s="290">
        <f t="shared" si="67"/>
        <v>20971.53</v>
      </c>
      <c r="U155" s="291">
        <f t="shared" si="68"/>
        <v>20971.530000000002</v>
      </c>
      <c r="V155" s="291">
        <f t="shared" si="72"/>
        <v>0</v>
      </c>
      <c r="W155" s="265">
        <f t="shared" si="69"/>
        <v>0</v>
      </c>
      <c r="X155" s="291">
        <f t="shared" si="73"/>
        <v>0</v>
      </c>
      <c r="Y155" s="170">
        <f t="shared" si="70"/>
        <v>2738.94</v>
      </c>
      <c r="Z155" s="291">
        <f t="shared" si="71"/>
        <v>17643.16</v>
      </c>
      <c r="AC155" s="276">
        <f>IF(AI155=1,IF(AC154=MiscData!$F$1,EOMONTH(AC154,-11),EOMONTH(AC154,1)),AC154)</f>
        <v>41729</v>
      </c>
      <c r="AD155" s="275" t="str">
        <f t="shared" si="54"/>
        <v>20140101LGUM_208</v>
      </c>
      <c r="AE155" s="294" t="str">
        <f t="shared" si="55"/>
        <v>20140101RLS</v>
      </c>
      <c r="AF155" s="618" t="str">
        <f t="shared" si="74"/>
        <v>208</v>
      </c>
      <c r="AH155" s="265">
        <f>MiscData!$X$5</f>
        <v>20140101</v>
      </c>
      <c r="AI155" s="265">
        <f>IF(AI154+1&gt;MiscData!$AC$77,1,AI154+1)</f>
        <v>6</v>
      </c>
      <c r="AJ155" s="265" t="str">
        <f>VLOOKUP(AI155,MiscData!$AC$5:$AD$77,2,FALSE)</f>
        <v>LGUM_208</v>
      </c>
      <c r="AK155" s="265" t="str">
        <f>VLOOKUP(AJ155,MiscData!$AD$5:$AE$77,2,FALSE)</f>
        <v>RLS</v>
      </c>
      <c r="AT155" s="265" t="s">
        <v>285</v>
      </c>
      <c r="AV155" s="265">
        <v>0</v>
      </c>
    </row>
    <row r="156" spans="1:48">
      <c r="A156" s="275">
        <f t="shared" si="75"/>
        <v>153</v>
      </c>
      <c r="B156" s="276" t="str">
        <f t="shared" si="51"/>
        <v>Mar 2014</v>
      </c>
      <c r="C156" s="277" t="str">
        <f t="shared" si="52"/>
        <v>RLS</v>
      </c>
      <c r="D156" s="277" t="str">
        <f t="shared" si="53"/>
        <v>LGUM_209</v>
      </c>
      <c r="E156" s="614">
        <f t="shared" si="56"/>
        <v>44</v>
      </c>
      <c r="F156" s="615">
        <f t="shared" si="76"/>
        <v>0</v>
      </c>
      <c r="G156" s="614">
        <f t="shared" si="57"/>
        <v>17608</v>
      </c>
      <c r="H156" s="615">
        <v>0</v>
      </c>
      <c r="I156" s="283">
        <f t="shared" si="58"/>
        <v>27.69</v>
      </c>
      <c r="J156" s="283">
        <f t="shared" si="59"/>
        <v>10.170000000000002</v>
      </c>
      <c r="K156" s="285">
        <f t="shared" si="60"/>
        <v>1218.3599999999999</v>
      </c>
      <c r="L156" s="286">
        <f t="shared" si="77"/>
        <v>0</v>
      </c>
      <c r="M156" s="286">
        <f t="shared" si="78"/>
        <v>0</v>
      </c>
      <c r="N156" s="285">
        <f t="shared" si="61"/>
        <v>1218.3599999999999</v>
      </c>
      <c r="O156" s="616">
        <f t="shared" si="62"/>
        <v>1218.3599999999999</v>
      </c>
      <c r="P156" s="289">
        <f t="shared" si="63"/>
        <v>1</v>
      </c>
      <c r="Q156" s="290">
        <f t="shared" si="64"/>
        <v>38.49</v>
      </c>
      <c r="R156" s="290">
        <f t="shared" si="65"/>
        <v>23.44</v>
      </c>
      <c r="S156" s="290">
        <f t="shared" si="66"/>
        <v>0</v>
      </c>
      <c r="T156" s="290">
        <f t="shared" si="67"/>
        <v>1329.73</v>
      </c>
      <c r="U156" s="291">
        <f t="shared" si="68"/>
        <v>1280.29</v>
      </c>
      <c r="V156" s="291">
        <f t="shared" si="72"/>
        <v>49.44</v>
      </c>
      <c r="W156" s="265">
        <f t="shared" si="69"/>
        <v>49.44</v>
      </c>
      <c r="X156" s="291">
        <f t="shared" si="73"/>
        <v>0</v>
      </c>
      <c r="Y156" s="170">
        <f t="shared" si="70"/>
        <v>447.48</v>
      </c>
      <c r="Z156" s="291">
        <f t="shared" si="71"/>
        <v>770.87999999999988</v>
      </c>
      <c r="AC156" s="276">
        <f>IF(AI156=1,IF(AC155=MiscData!$F$1,EOMONTH(AC155,-11),EOMONTH(AC155,1)),AC155)</f>
        <v>41729</v>
      </c>
      <c r="AD156" s="275" t="str">
        <f t="shared" si="54"/>
        <v>20140101LGUM_209</v>
      </c>
      <c r="AE156" s="294" t="str">
        <f t="shared" si="55"/>
        <v>20140101RLS</v>
      </c>
      <c r="AF156" s="618" t="str">
        <f t="shared" si="74"/>
        <v>209</v>
      </c>
      <c r="AH156" s="265">
        <f>MiscData!$X$5</f>
        <v>20140101</v>
      </c>
      <c r="AI156" s="265">
        <f>IF(AI155+1&gt;MiscData!$AC$77,1,AI155+1)</f>
        <v>7</v>
      </c>
      <c r="AJ156" s="265" t="str">
        <f>VLOOKUP(AI156,MiscData!$AC$5:$AD$77,2,FALSE)</f>
        <v>LGUM_209</v>
      </c>
      <c r="AK156" s="265" t="str">
        <f>VLOOKUP(AJ156,MiscData!$AD$5:$AE$77,2,FALSE)</f>
        <v>RLS</v>
      </c>
      <c r="AT156" s="265" t="s">
        <v>287</v>
      </c>
      <c r="AV156" s="265">
        <v>0</v>
      </c>
    </row>
    <row r="157" spans="1:48">
      <c r="A157" s="275">
        <f t="shared" si="75"/>
        <v>154</v>
      </c>
      <c r="B157" s="276" t="str">
        <f t="shared" si="51"/>
        <v>Mar 2014</v>
      </c>
      <c r="C157" s="277" t="str">
        <f t="shared" si="52"/>
        <v>RLS</v>
      </c>
      <c r="D157" s="277" t="str">
        <f t="shared" si="53"/>
        <v>LGUM_210</v>
      </c>
      <c r="E157" s="614">
        <f t="shared" si="56"/>
        <v>347</v>
      </c>
      <c r="F157" s="615">
        <f t="shared" si="76"/>
        <v>0</v>
      </c>
      <c r="G157" s="614">
        <f t="shared" si="57"/>
        <v>137884</v>
      </c>
      <c r="H157" s="615">
        <v>0</v>
      </c>
      <c r="I157" s="283">
        <f t="shared" si="58"/>
        <v>28.89</v>
      </c>
      <c r="J157" s="283">
        <f t="shared" si="59"/>
        <v>10.170000000000002</v>
      </c>
      <c r="K157" s="285">
        <f t="shared" si="60"/>
        <v>10024.83</v>
      </c>
      <c r="L157" s="286">
        <f t="shared" si="77"/>
        <v>-1.1099999999987631</v>
      </c>
      <c r="M157" s="286">
        <f t="shared" si="78"/>
        <v>0</v>
      </c>
      <c r="N157" s="285">
        <f t="shared" si="61"/>
        <v>10023.720000000001</v>
      </c>
      <c r="O157" s="616">
        <f t="shared" si="62"/>
        <v>10023.720000000001</v>
      </c>
      <c r="P157" s="289">
        <f t="shared" si="63"/>
        <v>1</v>
      </c>
      <c r="Q157" s="290">
        <f t="shared" si="64"/>
        <v>300.60000000000002</v>
      </c>
      <c r="R157" s="290">
        <f t="shared" si="65"/>
        <v>190.64</v>
      </c>
      <c r="S157" s="290">
        <f t="shared" si="66"/>
        <v>0</v>
      </c>
      <c r="T157" s="290">
        <f t="shared" si="67"/>
        <v>10714.78</v>
      </c>
      <c r="U157" s="291">
        <f t="shared" si="68"/>
        <v>10514.960000000001</v>
      </c>
      <c r="V157" s="291">
        <f t="shared" si="72"/>
        <v>199.82</v>
      </c>
      <c r="W157" s="265">
        <f t="shared" si="69"/>
        <v>199.82</v>
      </c>
      <c r="X157" s="291">
        <f t="shared" si="73"/>
        <v>0</v>
      </c>
      <c r="Y157" s="170">
        <f t="shared" si="70"/>
        <v>3528.99</v>
      </c>
      <c r="Z157" s="291">
        <f t="shared" si="71"/>
        <v>6494.7300000000014</v>
      </c>
      <c r="AC157" s="276">
        <f>IF(AI157=1,IF(AC156=MiscData!$F$1,EOMONTH(AC156,-11),EOMONTH(AC156,1)),AC156)</f>
        <v>41729</v>
      </c>
      <c r="AD157" s="275" t="str">
        <f t="shared" si="54"/>
        <v>20140101LGUM_210</v>
      </c>
      <c r="AE157" s="294" t="str">
        <f t="shared" si="55"/>
        <v>20140101RLS</v>
      </c>
      <c r="AF157" s="618" t="str">
        <f t="shared" si="74"/>
        <v>210</v>
      </c>
      <c r="AH157" s="265">
        <f>MiscData!$X$5</f>
        <v>20140101</v>
      </c>
      <c r="AI157" s="265">
        <f>IF(AI156+1&gt;MiscData!$AC$77,1,AI156+1)</f>
        <v>8</v>
      </c>
      <c r="AJ157" s="265" t="str">
        <f>VLOOKUP(AI157,MiscData!$AC$5:$AD$77,2,FALSE)</f>
        <v>LGUM_210</v>
      </c>
      <c r="AK157" s="265" t="str">
        <f>VLOOKUP(AJ157,MiscData!$AD$5:$AE$77,2,FALSE)</f>
        <v>RLS</v>
      </c>
      <c r="AT157" s="265" t="s">
        <v>288</v>
      </c>
      <c r="AV157" s="265">
        <v>0</v>
      </c>
    </row>
    <row r="158" spans="1:48">
      <c r="A158" s="275">
        <f t="shared" si="75"/>
        <v>155</v>
      </c>
      <c r="B158" s="276" t="str">
        <f t="shared" ref="B158:B221" si="79">TEXT(AC158,"mmm yyyy")</f>
        <v>Mar 2014</v>
      </c>
      <c r="C158" s="277" t="str">
        <f t="shared" ref="C158:C221" si="80">AK158</f>
        <v>RLS</v>
      </c>
      <c r="D158" s="277" t="str">
        <f t="shared" ref="D158:D221" si="81">AJ158</f>
        <v>LGUM_252</v>
      </c>
      <c r="E158" s="614">
        <f t="shared" si="56"/>
        <v>3984</v>
      </c>
      <c r="F158" s="615">
        <f t="shared" si="76"/>
        <v>0</v>
      </c>
      <c r="G158" s="614">
        <f t="shared" si="57"/>
        <v>290278</v>
      </c>
      <c r="H158" s="615">
        <v>0</v>
      </c>
      <c r="I158" s="283">
        <f t="shared" si="58"/>
        <v>9.57</v>
      </c>
      <c r="J158" s="283">
        <f t="shared" si="59"/>
        <v>1.9099999999999993</v>
      </c>
      <c r="K158" s="285">
        <f t="shared" si="60"/>
        <v>38126.879999999997</v>
      </c>
      <c r="L158" s="286">
        <f t="shared" si="77"/>
        <v>-174.92999999999546</v>
      </c>
      <c r="M158" s="286">
        <f t="shared" si="78"/>
        <v>0</v>
      </c>
      <c r="N158" s="285">
        <f t="shared" si="61"/>
        <v>37951.950000000004</v>
      </c>
      <c r="O158" s="616">
        <f t="shared" si="62"/>
        <v>37951.950000000004</v>
      </c>
      <c r="P158" s="289">
        <f t="shared" si="63"/>
        <v>1</v>
      </c>
      <c r="Q158" s="290">
        <f t="shared" si="64"/>
        <v>618.83000000000004</v>
      </c>
      <c r="R158" s="290">
        <f t="shared" si="65"/>
        <v>774.28</v>
      </c>
      <c r="S158" s="290">
        <f t="shared" si="66"/>
        <v>0</v>
      </c>
      <c r="T158" s="290">
        <f t="shared" si="67"/>
        <v>40914.410000000003</v>
      </c>
      <c r="U158" s="291">
        <f t="shared" si="68"/>
        <v>39345.060000000005</v>
      </c>
      <c r="V158" s="291">
        <f t="shared" si="72"/>
        <v>1569.35</v>
      </c>
      <c r="W158" s="265">
        <f t="shared" si="69"/>
        <v>1569.35</v>
      </c>
      <c r="X158" s="291">
        <f t="shared" si="73"/>
        <v>0</v>
      </c>
      <c r="Y158" s="170">
        <f t="shared" si="70"/>
        <v>7609.44</v>
      </c>
      <c r="Z158" s="291">
        <f t="shared" si="71"/>
        <v>30342.510000000006</v>
      </c>
      <c r="AC158" s="276">
        <f>IF(AI158=1,IF(AC157=MiscData!$F$1,EOMONTH(AC157,-11),EOMONTH(AC157,1)),AC157)</f>
        <v>41729</v>
      </c>
      <c r="AD158" s="275" t="str">
        <f t="shared" ref="AD158:AD221" si="82">CONCATENATE(AH158&amp;AJ158)</f>
        <v>20140101LGUM_252</v>
      </c>
      <c r="AE158" s="294" t="str">
        <f t="shared" ref="AE158:AE221" si="83">CONCATENATE(AH158&amp;AK158)</f>
        <v>20140101RLS</v>
      </c>
      <c r="AF158" s="618" t="str">
        <f t="shared" si="74"/>
        <v>252</v>
      </c>
      <c r="AH158" s="265">
        <f>MiscData!$X$5</f>
        <v>20140101</v>
      </c>
      <c r="AI158" s="265">
        <f>IF(AI157+1&gt;MiscData!$AC$77,1,AI157+1)</f>
        <v>9</v>
      </c>
      <c r="AJ158" s="265" t="str">
        <f>VLOOKUP(AI158,MiscData!$AC$5:$AD$77,2,FALSE)</f>
        <v>LGUM_252</v>
      </c>
      <c r="AK158" s="265" t="str">
        <f>VLOOKUP(AJ158,MiscData!$AD$5:$AE$77,2,FALSE)</f>
        <v>RLS</v>
      </c>
      <c r="AT158" s="265" t="s">
        <v>289</v>
      </c>
      <c r="AV158" s="265">
        <v>0</v>
      </c>
    </row>
    <row r="159" spans="1:48">
      <c r="A159" s="275">
        <f t="shared" si="75"/>
        <v>156</v>
      </c>
      <c r="B159" s="276" t="str">
        <f t="shared" si="79"/>
        <v>Mar 2014</v>
      </c>
      <c r="C159" s="277" t="str">
        <f t="shared" si="80"/>
        <v>RLS</v>
      </c>
      <c r="D159" s="277" t="str">
        <f t="shared" si="81"/>
        <v>LGUM_266</v>
      </c>
      <c r="E159" s="614">
        <f t="shared" si="56"/>
        <v>2020</v>
      </c>
      <c r="F159" s="615">
        <f t="shared" si="76"/>
        <v>0</v>
      </c>
      <c r="G159" s="614">
        <f t="shared" si="57"/>
        <v>211470</v>
      </c>
      <c r="H159" s="615">
        <v>0</v>
      </c>
      <c r="I159" s="283">
        <f t="shared" si="58"/>
        <v>27.34</v>
      </c>
      <c r="J159" s="283">
        <f t="shared" si="59"/>
        <v>2.8000000000000007</v>
      </c>
      <c r="K159" s="285">
        <f t="shared" si="60"/>
        <v>55226.8</v>
      </c>
      <c r="L159" s="286">
        <f t="shared" si="77"/>
        <v>0</v>
      </c>
      <c r="M159" s="286">
        <f t="shared" si="78"/>
        <v>0</v>
      </c>
      <c r="N159" s="285">
        <f t="shared" si="61"/>
        <v>55226.8</v>
      </c>
      <c r="O159" s="616">
        <f t="shared" si="62"/>
        <v>55226.799999999996</v>
      </c>
      <c r="P159" s="289">
        <f t="shared" si="63"/>
        <v>0.99999999999999989</v>
      </c>
      <c r="Q159" s="290">
        <f t="shared" si="64"/>
        <v>457.79</v>
      </c>
      <c r="R159" s="290">
        <f t="shared" si="65"/>
        <v>1029</v>
      </c>
      <c r="S159" s="290">
        <f t="shared" si="66"/>
        <v>0</v>
      </c>
      <c r="T159" s="290">
        <f t="shared" si="67"/>
        <v>56713.59</v>
      </c>
      <c r="U159" s="291">
        <f t="shared" si="68"/>
        <v>56713.590000000004</v>
      </c>
      <c r="V159" s="291">
        <f t="shared" si="72"/>
        <v>0</v>
      </c>
      <c r="W159" s="265">
        <f t="shared" si="69"/>
        <v>0</v>
      </c>
      <c r="X159" s="291">
        <f t="shared" si="73"/>
        <v>0</v>
      </c>
      <c r="Y159" s="170">
        <f t="shared" si="70"/>
        <v>5656</v>
      </c>
      <c r="Z159" s="291">
        <f t="shared" si="71"/>
        <v>49570.799999999996</v>
      </c>
      <c r="AC159" s="276">
        <f>IF(AI159=1,IF(AC158=MiscData!$F$1,EOMONTH(AC158,-11),EOMONTH(AC158,1)),AC158)</f>
        <v>41729</v>
      </c>
      <c r="AD159" s="275" t="str">
        <f t="shared" si="82"/>
        <v>20140101LGUM_266</v>
      </c>
      <c r="AE159" s="294" t="str">
        <f t="shared" si="83"/>
        <v>20140101RLS</v>
      </c>
      <c r="AF159" s="618" t="str">
        <f t="shared" si="74"/>
        <v>266</v>
      </c>
      <c r="AH159" s="265">
        <f>MiscData!$X$5</f>
        <v>20140101</v>
      </c>
      <c r="AI159" s="265">
        <f>IF(AI158+1&gt;MiscData!$AC$77,1,AI158+1)</f>
        <v>10</v>
      </c>
      <c r="AJ159" s="265" t="str">
        <f>VLOOKUP(AI159,MiscData!$AC$5:$AD$77,2,FALSE)</f>
        <v>LGUM_266</v>
      </c>
      <c r="AK159" s="265" t="str">
        <f>VLOOKUP(AJ159,MiscData!$AD$5:$AE$77,2,FALSE)</f>
        <v>RLS</v>
      </c>
      <c r="AT159" s="265" t="s">
        <v>290</v>
      </c>
      <c r="AV159" s="265">
        <v>0</v>
      </c>
    </row>
    <row r="160" spans="1:48">
      <c r="A160" s="275">
        <f t="shared" si="75"/>
        <v>157</v>
      </c>
      <c r="B160" s="276" t="str">
        <f t="shared" si="79"/>
        <v>Mar 2014</v>
      </c>
      <c r="C160" s="277" t="str">
        <f t="shared" si="80"/>
        <v>RLS</v>
      </c>
      <c r="D160" s="277" t="str">
        <f t="shared" si="81"/>
        <v>LGUM_267</v>
      </c>
      <c r="E160" s="614">
        <f t="shared" si="56"/>
        <v>2228</v>
      </c>
      <c r="F160" s="615">
        <f t="shared" si="76"/>
        <v>0</v>
      </c>
      <c r="G160" s="614">
        <f t="shared" si="57"/>
        <v>383736</v>
      </c>
      <c r="H160" s="615">
        <v>0</v>
      </c>
      <c r="I160" s="283">
        <f t="shared" si="58"/>
        <v>31.4</v>
      </c>
      <c r="J160" s="283">
        <f t="shared" si="59"/>
        <v>4.4499999999999993</v>
      </c>
      <c r="K160" s="285">
        <f t="shared" si="60"/>
        <v>69959.199999999997</v>
      </c>
      <c r="L160" s="286">
        <f t="shared" si="77"/>
        <v>-57.570000000006985</v>
      </c>
      <c r="M160" s="286">
        <f t="shared" si="78"/>
        <v>0</v>
      </c>
      <c r="N160" s="285">
        <f t="shared" si="61"/>
        <v>69901.62999999999</v>
      </c>
      <c r="O160" s="616">
        <f t="shared" si="62"/>
        <v>69901.62999999999</v>
      </c>
      <c r="P160" s="289">
        <f t="shared" si="63"/>
        <v>1</v>
      </c>
      <c r="Q160" s="290">
        <f t="shared" si="64"/>
        <v>838.94</v>
      </c>
      <c r="R160" s="290">
        <f t="shared" si="65"/>
        <v>1271.44</v>
      </c>
      <c r="S160" s="290">
        <f t="shared" si="66"/>
        <v>0</v>
      </c>
      <c r="T160" s="290">
        <f t="shared" si="67"/>
        <v>72012.009999999995</v>
      </c>
      <c r="U160" s="291">
        <f t="shared" si="68"/>
        <v>72012.009999999995</v>
      </c>
      <c r="V160" s="291">
        <f t="shared" si="72"/>
        <v>0</v>
      </c>
      <c r="W160" s="265">
        <f t="shared" si="69"/>
        <v>0</v>
      </c>
      <c r="X160" s="291">
        <f t="shared" si="73"/>
        <v>0</v>
      </c>
      <c r="Y160" s="170">
        <f t="shared" si="70"/>
        <v>9914.6</v>
      </c>
      <c r="Z160" s="291">
        <f t="shared" si="71"/>
        <v>59987.029999999992</v>
      </c>
      <c r="AC160" s="276">
        <f>IF(AI160=1,IF(AC159=MiscData!$F$1,EOMONTH(AC159,-11),EOMONTH(AC159,1)),AC159)</f>
        <v>41729</v>
      </c>
      <c r="AD160" s="275" t="str">
        <f t="shared" si="82"/>
        <v>20140101LGUM_267</v>
      </c>
      <c r="AE160" s="294" t="str">
        <f t="shared" si="83"/>
        <v>20140101RLS</v>
      </c>
      <c r="AF160" s="618" t="str">
        <f t="shared" si="74"/>
        <v>267</v>
      </c>
      <c r="AH160" s="265">
        <f>MiscData!$X$5</f>
        <v>20140101</v>
      </c>
      <c r="AI160" s="265">
        <f>IF(AI159+1&gt;MiscData!$AC$77,1,AI159+1)</f>
        <v>11</v>
      </c>
      <c r="AJ160" s="265" t="str">
        <f>VLOOKUP(AI160,MiscData!$AC$5:$AD$77,2,FALSE)</f>
        <v>LGUM_267</v>
      </c>
      <c r="AK160" s="265" t="str">
        <f>VLOOKUP(AJ160,MiscData!$AD$5:$AE$77,2,FALSE)</f>
        <v>RLS</v>
      </c>
      <c r="AT160" s="265" t="s">
        <v>291</v>
      </c>
      <c r="AV160" s="265">
        <v>0</v>
      </c>
    </row>
    <row r="161" spans="1:48">
      <c r="A161" s="275">
        <f t="shared" si="75"/>
        <v>158</v>
      </c>
      <c r="B161" s="276" t="str">
        <f t="shared" si="79"/>
        <v>Mar 2014</v>
      </c>
      <c r="C161" s="277" t="str">
        <f t="shared" si="80"/>
        <v>RLS</v>
      </c>
      <c r="D161" s="277" t="str">
        <f t="shared" si="81"/>
        <v>LGUM_274</v>
      </c>
      <c r="E161" s="614">
        <f t="shared" si="56"/>
        <v>17096</v>
      </c>
      <c r="F161" s="615">
        <f t="shared" si="76"/>
        <v>0</v>
      </c>
      <c r="G161" s="614">
        <f t="shared" si="57"/>
        <v>866385</v>
      </c>
      <c r="H161" s="615">
        <v>0</v>
      </c>
      <c r="I161" s="283">
        <f t="shared" si="58"/>
        <v>17.189999999999998</v>
      </c>
      <c r="J161" s="283">
        <f t="shared" si="59"/>
        <v>1.2699999999999996</v>
      </c>
      <c r="K161" s="285">
        <f t="shared" si="60"/>
        <v>293880.24</v>
      </c>
      <c r="L161" s="286">
        <f t="shared" si="77"/>
        <v>-47.500000000014552</v>
      </c>
      <c r="M161" s="286">
        <f t="shared" si="78"/>
        <v>0</v>
      </c>
      <c r="N161" s="285">
        <f t="shared" si="61"/>
        <v>293832.74</v>
      </c>
      <c r="O161" s="616">
        <f t="shared" si="62"/>
        <v>293832.74</v>
      </c>
      <c r="P161" s="289">
        <f t="shared" si="63"/>
        <v>1</v>
      </c>
      <c r="Q161" s="290">
        <f t="shared" si="64"/>
        <v>1895.11</v>
      </c>
      <c r="R161" s="290">
        <f t="shared" si="65"/>
        <v>5302.82</v>
      </c>
      <c r="S161" s="290">
        <f t="shared" si="66"/>
        <v>0</v>
      </c>
      <c r="T161" s="290">
        <f t="shared" si="67"/>
        <v>301032.73</v>
      </c>
      <c r="U161" s="291">
        <f t="shared" si="68"/>
        <v>301030.67</v>
      </c>
      <c r="V161" s="291">
        <f t="shared" si="72"/>
        <v>2.06</v>
      </c>
      <c r="W161" s="265">
        <f t="shared" si="69"/>
        <v>2.06</v>
      </c>
      <c r="X161" s="291">
        <f t="shared" si="73"/>
        <v>0</v>
      </c>
      <c r="Y161" s="170">
        <f t="shared" si="70"/>
        <v>21711.919999999998</v>
      </c>
      <c r="Z161" s="291">
        <f t="shared" si="71"/>
        <v>272120.82</v>
      </c>
      <c r="AC161" s="276">
        <f>IF(AI161=1,IF(AC160=MiscData!$F$1,EOMONTH(AC160,-11),EOMONTH(AC160,1)),AC160)</f>
        <v>41729</v>
      </c>
      <c r="AD161" s="275" t="str">
        <f t="shared" si="82"/>
        <v>20140101LGUM_274</v>
      </c>
      <c r="AE161" s="294" t="str">
        <f t="shared" si="83"/>
        <v>20140101RLS</v>
      </c>
      <c r="AF161" s="618" t="str">
        <f t="shared" si="74"/>
        <v>274</v>
      </c>
      <c r="AH161" s="265">
        <f>MiscData!$X$5</f>
        <v>20140101</v>
      </c>
      <c r="AI161" s="265">
        <f>IF(AI160+1&gt;MiscData!$AC$77,1,AI160+1)</f>
        <v>12</v>
      </c>
      <c r="AJ161" s="265" t="str">
        <f>VLOOKUP(AI161,MiscData!$AC$5:$AD$77,2,FALSE)</f>
        <v>LGUM_274</v>
      </c>
      <c r="AK161" s="265" t="str">
        <f>VLOOKUP(AJ161,MiscData!$AD$5:$AE$77,2,FALSE)</f>
        <v>RLS</v>
      </c>
      <c r="AT161" s="265" t="s">
        <v>571</v>
      </c>
      <c r="AV161" s="265">
        <v>0</v>
      </c>
    </row>
    <row r="162" spans="1:48">
      <c r="A162" s="275">
        <f t="shared" si="75"/>
        <v>159</v>
      </c>
      <c r="B162" s="276" t="str">
        <f t="shared" si="79"/>
        <v>Mar 2014</v>
      </c>
      <c r="C162" s="277" t="str">
        <f t="shared" si="80"/>
        <v>RLS</v>
      </c>
      <c r="D162" s="277" t="str">
        <f t="shared" si="81"/>
        <v>LGUM_275</v>
      </c>
      <c r="E162" s="614">
        <f t="shared" si="56"/>
        <v>515</v>
      </c>
      <c r="F162" s="615">
        <f t="shared" si="76"/>
        <v>0</v>
      </c>
      <c r="G162" s="614">
        <f t="shared" si="57"/>
        <v>37354</v>
      </c>
      <c r="H162" s="615">
        <v>0</v>
      </c>
      <c r="I162" s="283">
        <f t="shared" si="58"/>
        <v>24.89</v>
      </c>
      <c r="J162" s="283">
        <f t="shared" si="59"/>
        <v>1.7899999999999991</v>
      </c>
      <c r="K162" s="285">
        <f t="shared" si="60"/>
        <v>12818.35</v>
      </c>
      <c r="L162" s="286">
        <f t="shared" si="77"/>
        <v>-9.9599999999991269</v>
      </c>
      <c r="M162" s="286">
        <f t="shared" si="78"/>
        <v>0</v>
      </c>
      <c r="N162" s="285">
        <f t="shared" si="61"/>
        <v>12808.390000000001</v>
      </c>
      <c r="O162" s="616">
        <f t="shared" si="62"/>
        <v>12808.390000000001</v>
      </c>
      <c r="P162" s="289">
        <f t="shared" si="63"/>
        <v>1</v>
      </c>
      <c r="Q162" s="290">
        <f t="shared" si="64"/>
        <v>78.44</v>
      </c>
      <c r="R162" s="290">
        <f t="shared" si="65"/>
        <v>258.95999999999998</v>
      </c>
      <c r="S162" s="290">
        <f t="shared" si="66"/>
        <v>0</v>
      </c>
      <c r="T162" s="290">
        <f t="shared" si="67"/>
        <v>13145.79</v>
      </c>
      <c r="U162" s="291">
        <f t="shared" si="68"/>
        <v>13145.79</v>
      </c>
      <c r="V162" s="291">
        <f t="shared" si="72"/>
        <v>0</v>
      </c>
      <c r="W162" s="265">
        <f t="shared" si="69"/>
        <v>0</v>
      </c>
      <c r="X162" s="291">
        <f t="shared" si="73"/>
        <v>0</v>
      </c>
      <c r="Y162" s="170">
        <f t="shared" si="70"/>
        <v>921.85</v>
      </c>
      <c r="Z162" s="291">
        <f t="shared" si="71"/>
        <v>11886.54</v>
      </c>
      <c r="AC162" s="276">
        <f>IF(AI162=1,IF(AC161=MiscData!$F$1,EOMONTH(AC161,-11),EOMONTH(AC161,1)),AC161)</f>
        <v>41729</v>
      </c>
      <c r="AD162" s="275" t="str">
        <f t="shared" si="82"/>
        <v>20140101LGUM_275</v>
      </c>
      <c r="AE162" s="294" t="str">
        <f t="shared" si="83"/>
        <v>20140101RLS</v>
      </c>
      <c r="AF162" s="618" t="str">
        <f t="shared" si="74"/>
        <v>275</v>
      </c>
      <c r="AH162" s="265">
        <f>MiscData!$X$5</f>
        <v>20140101</v>
      </c>
      <c r="AI162" s="265">
        <f>IF(AI161+1&gt;MiscData!$AC$77,1,AI161+1)</f>
        <v>13</v>
      </c>
      <c r="AJ162" s="265" t="str">
        <f>VLOOKUP(AI162,MiscData!$AC$5:$AD$77,2,FALSE)</f>
        <v>LGUM_275</v>
      </c>
      <c r="AK162" s="265" t="str">
        <f>VLOOKUP(AJ162,MiscData!$AD$5:$AE$77,2,FALSE)</f>
        <v>RLS</v>
      </c>
      <c r="AT162" s="265" t="s">
        <v>573</v>
      </c>
      <c r="AV162" s="265">
        <v>0</v>
      </c>
    </row>
    <row r="163" spans="1:48">
      <c r="A163" s="275">
        <f t="shared" si="75"/>
        <v>160</v>
      </c>
      <c r="B163" s="276" t="str">
        <f t="shared" si="79"/>
        <v>Mar 2014</v>
      </c>
      <c r="C163" s="277" t="str">
        <f t="shared" si="80"/>
        <v>RLS</v>
      </c>
      <c r="D163" s="277" t="str">
        <f t="shared" si="81"/>
        <v>LGUM_276</v>
      </c>
      <c r="E163" s="614">
        <f t="shared" si="56"/>
        <v>1362</v>
      </c>
      <c r="F163" s="615">
        <f t="shared" si="76"/>
        <v>0</v>
      </c>
      <c r="G163" s="614">
        <f t="shared" si="57"/>
        <v>52100</v>
      </c>
      <c r="H163" s="615">
        <v>0</v>
      </c>
      <c r="I163" s="283">
        <f t="shared" si="58"/>
        <v>14.17</v>
      </c>
      <c r="J163" s="283">
        <f t="shared" si="59"/>
        <v>0.88000000000000078</v>
      </c>
      <c r="K163" s="285">
        <f t="shared" si="60"/>
        <v>19299.54</v>
      </c>
      <c r="L163" s="286">
        <f t="shared" si="77"/>
        <v>-59.040000000000191</v>
      </c>
      <c r="M163" s="286">
        <f t="shared" si="78"/>
        <v>0</v>
      </c>
      <c r="N163" s="285">
        <f t="shared" si="61"/>
        <v>19240.5</v>
      </c>
      <c r="O163" s="616">
        <f t="shared" si="62"/>
        <v>19240.5</v>
      </c>
      <c r="P163" s="289">
        <f t="shared" si="63"/>
        <v>1</v>
      </c>
      <c r="Q163" s="290">
        <f t="shared" si="64"/>
        <v>114.18</v>
      </c>
      <c r="R163" s="290">
        <f t="shared" si="65"/>
        <v>345.06</v>
      </c>
      <c r="S163" s="290">
        <f t="shared" si="66"/>
        <v>0</v>
      </c>
      <c r="T163" s="290">
        <f t="shared" si="67"/>
        <v>19699.740000000002</v>
      </c>
      <c r="U163" s="291">
        <f t="shared" si="68"/>
        <v>19699.740000000002</v>
      </c>
      <c r="V163" s="291">
        <f t="shared" si="72"/>
        <v>0</v>
      </c>
      <c r="W163" s="265">
        <f t="shared" si="69"/>
        <v>0</v>
      </c>
      <c r="X163" s="291">
        <f t="shared" si="73"/>
        <v>0</v>
      </c>
      <c r="Y163" s="170">
        <f t="shared" si="70"/>
        <v>1198.56</v>
      </c>
      <c r="Z163" s="291">
        <f t="shared" si="71"/>
        <v>18041.939999999999</v>
      </c>
      <c r="AC163" s="276">
        <f>IF(AI163=1,IF(AC162=MiscData!$F$1,EOMONTH(AC162,-11),EOMONTH(AC162,1)),AC162)</f>
        <v>41729</v>
      </c>
      <c r="AD163" s="275" t="str">
        <f t="shared" si="82"/>
        <v>20140101LGUM_276</v>
      </c>
      <c r="AE163" s="294" t="str">
        <f t="shared" si="83"/>
        <v>20140101RLS</v>
      </c>
      <c r="AF163" s="618" t="str">
        <f t="shared" si="74"/>
        <v>276</v>
      </c>
      <c r="AH163" s="265">
        <f>MiscData!$X$5</f>
        <v>20140101</v>
      </c>
      <c r="AI163" s="265">
        <f>IF(AI162+1&gt;MiscData!$AC$77,1,AI162+1)</f>
        <v>14</v>
      </c>
      <c r="AJ163" s="265" t="str">
        <f>VLOOKUP(AI163,MiscData!$AC$5:$AD$77,2,FALSE)</f>
        <v>LGUM_276</v>
      </c>
      <c r="AK163" s="265" t="str">
        <f>VLOOKUP(AJ163,MiscData!$AD$5:$AE$77,2,FALSE)</f>
        <v>RLS</v>
      </c>
      <c r="AT163" s="265" t="s">
        <v>292</v>
      </c>
      <c r="AV163" s="265">
        <v>0</v>
      </c>
    </row>
    <row r="164" spans="1:48">
      <c r="A164" s="275">
        <f t="shared" si="75"/>
        <v>161</v>
      </c>
      <c r="B164" s="276" t="str">
        <f t="shared" si="79"/>
        <v>Mar 2014</v>
      </c>
      <c r="C164" s="277" t="str">
        <f t="shared" si="80"/>
        <v>RLS</v>
      </c>
      <c r="D164" s="277" t="str">
        <f t="shared" si="81"/>
        <v>LGUM_277</v>
      </c>
      <c r="E164" s="614">
        <f t="shared" si="56"/>
        <v>2315</v>
      </c>
      <c r="F164" s="615">
        <f t="shared" si="76"/>
        <v>0</v>
      </c>
      <c r="G164" s="614">
        <f t="shared" si="57"/>
        <v>161592</v>
      </c>
      <c r="H164" s="615">
        <v>0</v>
      </c>
      <c r="I164" s="283">
        <f t="shared" si="58"/>
        <v>22.15</v>
      </c>
      <c r="J164" s="283">
        <f t="shared" si="59"/>
        <v>1.7900000000000027</v>
      </c>
      <c r="K164" s="285">
        <f t="shared" si="60"/>
        <v>51277.25</v>
      </c>
      <c r="L164" s="286">
        <f t="shared" si="77"/>
        <v>0</v>
      </c>
      <c r="M164" s="286">
        <f t="shared" si="78"/>
        <v>0</v>
      </c>
      <c r="N164" s="285">
        <f t="shared" si="61"/>
        <v>51277.25</v>
      </c>
      <c r="O164" s="616">
        <f t="shared" si="62"/>
        <v>51277.25</v>
      </c>
      <c r="P164" s="289">
        <f t="shared" si="63"/>
        <v>1</v>
      </c>
      <c r="Q164" s="290">
        <f t="shared" si="64"/>
        <v>354.87</v>
      </c>
      <c r="R164" s="290">
        <f t="shared" si="65"/>
        <v>916.69</v>
      </c>
      <c r="S164" s="290">
        <f t="shared" si="66"/>
        <v>0</v>
      </c>
      <c r="T164" s="290">
        <f t="shared" si="67"/>
        <v>52607.93</v>
      </c>
      <c r="U164" s="291">
        <f t="shared" si="68"/>
        <v>52548.810000000005</v>
      </c>
      <c r="V164" s="291">
        <f t="shared" si="72"/>
        <v>59.12</v>
      </c>
      <c r="W164" s="265">
        <f t="shared" si="69"/>
        <v>59.12</v>
      </c>
      <c r="X164" s="291">
        <f t="shared" si="73"/>
        <v>0</v>
      </c>
      <c r="Y164" s="170">
        <f t="shared" si="70"/>
        <v>4143.8500000000004</v>
      </c>
      <c r="Z164" s="291">
        <f t="shared" si="71"/>
        <v>47133.4</v>
      </c>
      <c r="AC164" s="276">
        <f>IF(AI164=1,IF(AC163=MiscData!$F$1,EOMONTH(AC163,-11),EOMONTH(AC163,1)),AC163)</f>
        <v>41729</v>
      </c>
      <c r="AD164" s="275" t="str">
        <f t="shared" si="82"/>
        <v>20140101LGUM_277</v>
      </c>
      <c r="AE164" s="294" t="str">
        <f t="shared" si="83"/>
        <v>20140101RLS</v>
      </c>
      <c r="AF164" s="618" t="str">
        <f t="shared" si="74"/>
        <v>277</v>
      </c>
      <c r="AH164" s="265">
        <f>MiscData!$X$5</f>
        <v>20140101</v>
      </c>
      <c r="AI164" s="265">
        <f>IF(AI163+1&gt;MiscData!$AC$77,1,AI163+1)</f>
        <v>15</v>
      </c>
      <c r="AJ164" s="265" t="str">
        <f>VLOOKUP(AI164,MiscData!$AC$5:$AD$77,2,FALSE)</f>
        <v>LGUM_277</v>
      </c>
      <c r="AK164" s="265" t="str">
        <f>VLOOKUP(AJ164,MiscData!$AD$5:$AE$77,2,FALSE)</f>
        <v>RLS</v>
      </c>
      <c r="AT164" s="265" t="s">
        <v>293</v>
      </c>
      <c r="AV164" s="265">
        <v>0</v>
      </c>
    </row>
    <row r="165" spans="1:48">
      <c r="A165" s="275">
        <f t="shared" si="75"/>
        <v>162</v>
      </c>
      <c r="B165" s="276" t="str">
        <f t="shared" si="79"/>
        <v>Mar 2014</v>
      </c>
      <c r="C165" s="277" t="str">
        <f t="shared" si="80"/>
        <v>RLS</v>
      </c>
      <c r="D165" s="277" t="str">
        <f t="shared" si="81"/>
        <v>LGUM_278</v>
      </c>
      <c r="E165" s="614">
        <f t="shared" si="56"/>
        <v>17</v>
      </c>
      <c r="F165" s="615">
        <f t="shared" si="76"/>
        <v>0</v>
      </c>
      <c r="G165" s="614">
        <f t="shared" si="57"/>
        <v>6812</v>
      </c>
      <c r="H165" s="615">
        <v>0</v>
      </c>
      <c r="I165" s="283">
        <f t="shared" si="58"/>
        <v>72.550000000000011</v>
      </c>
      <c r="J165" s="283">
        <f t="shared" si="59"/>
        <v>9.8400000000000034</v>
      </c>
      <c r="K165" s="285">
        <f t="shared" si="60"/>
        <v>1233.3499999999999</v>
      </c>
      <c r="L165" s="286">
        <f t="shared" si="77"/>
        <v>0</v>
      </c>
      <c r="M165" s="286">
        <f t="shared" si="78"/>
        <v>0</v>
      </c>
      <c r="N165" s="285">
        <f t="shared" si="61"/>
        <v>1233.3499999999999</v>
      </c>
      <c r="O165" s="616">
        <f t="shared" si="62"/>
        <v>1233.3499999999999</v>
      </c>
      <c r="P165" s="289">
        <f t="shared" si="63"/>
        <v>1</v>
      </c>
      <c r="Q165" s="290">
        <f t="shared" si="64"/>
        <v>14.98</v>
      </c>
      <c r="R165" s="290">
        <f t="shared" si="65"/>
        <v>21.98</v>
      </c>
      <c r="S165" s="290">
        <f t="shared" si="66"/>
        <v>0</v>
      </c>
      <c r="T165" s="290">
        <f t="shared" si="67"/>
        <v>1270.31</v>
      </c>
      <c r="U165" s="291">
        <f t="shared" si="68"/>
        <v>1270.31</v>
      </c>
      <c r="V165" s="291">
        <f t="shared" si="72"/>
        <v>0</v>
      </c>
      <c r="W165" s="265">
        <f t="shared" si="69"/>
        <v>0</v>
      </c>
      <c r="X165" s="291">
        <f t="shared" si="73"/>
        <v>0</v>
      </c>
      <c r="Y165" s="170">
        <f t="shared" si="70"/>
        <v>167.28</v>
      </c>
      <c r="Z165" s="291">
        <f t="shared" si="71"/>
        <v>1066.07</v>
      </c>
      <c r="AC165" s="276">
        <f>IF(AI165=1,IF(AC164=MiscData!$F$1,EOMONTH(AC164,-11),EOMONTH(AC164,1)),AC164)</f>
        <v>41729</v>
      </c>
      <c r="AD165" s="275" t="str">
        <f t="shared" si="82"/>
        <v>20140101LGUM_278</v>
      </c>
      <c r="AE165" s="294" t="str">
        <f t="shared" si="83"/>
        <v>20140101RLS</v>
      </c>
      <c r="AF165" s="618" t="str">
        <f t="shared" si="74"/>
        <v>278</v>
      </c>
      <c r="AH165" s="265">
        <f>MiscData!$X$5</f>
        <v>20140101</v>
      </c>
      <c r="AI165" s="265">
        <f>IF(AI164+1&gt;MiscData!$AC$77,1,AI164+1)</f>
        <v>16</v>
      </c>
      <c r="AJ165" s="265" t="str">
        <f>VLOOKUP(AI165,MiscData!$AC$5:$AD$77,2,FALSE)</f>
        <v>LGUM_278</v>
      </c>
      <c r="AK165" s="265" t="str">
        <f>VLOOKUP(AJ165,MiscData!$AD$5:$AE$77,2,FALSE)</f>
        <v>RLS</v>
      </c>
      <c r="AT165" s="265" t="s">
        <v>294</v>
      </c>
      <c r="AV165" s="265">
        <v>0</v>
      </c>
    </row>
    <row r="166" spans="1:48">
      <c r="A166" s="275">
        <f t="shared" si="75"/>
        <v>163</v>
      </c>
      <c r="B166" s="276" t="str">
        <f t="shared" si="79"/>
        <v>Mar 2014</v>
      </c>
      <c r="C166" s="277" t="str">
        <f t="shared" si="80"/>
        <v>RLS</v>
      </c>
      <c r="D166" s="277" t="str">
        <f t="shared" si="81"/>
        <v>LGUM_279</v>
      </c>
      <c r="E166" s="614">
        <f t="shared" si="56"/>
        <v>11</v>
      </c>
      <c r="F166" s="615">
        <f t="shared" si="76"/>
        <v>0</v>
      </c>
      <c r="G166" s="614">
        <f t="shared" si="57"/>
        <v>4437</v>
      </c>
      <c r="H166" s="615">
        <v>0</v>
      </c>
      <c r="I166" s="283">
        <f t="shared" si="58"/>
        <v>41.43</v>
      </c>
      <c r="J166" s="283">
        <f t="shared" si="59"/>
        <v>9.8399999999999963</v>
      </c>
      <c r="K166" s="285">
        <f t="shared" si="60"/>
        <v>455.73</v>
      </c>
      <c r="L166" s="286">
        <f t="shared" si="77"/>
        <v>0</v>
      </c>
      <c r="M166" s="286">
        <f t="shared" si="78"/>
        <v>0</v>
      </c>
      <c r="N166" s="285">
        <f t="shared" si="61"/>
        <v>455.73</v>
      </c>
      <c r="O166" s="616">
        <f t="shared" si="62"/>
        <v>455.73</v>
      </c>
      <c r="P166" s="289">
        <f t="shared" si="63"/>
        <v>1</v>
      </c>
      <c r="Q166" s="290">
        <f t="shared" si="64"/>
        <v>9.76</v>
      </c>
      <c r="R166" s="290">
        <f t="shared" si="65"/>
        <v>8.19</v>
      </c>
      <c r="S166" s="290">
        <f t="shared" si="66"/>
        <v>0</v>
      </c>
      <c r="T166" s="290">
        <f t="shared" si="67"/>
        <v>473.68</v>
      </c>
      <c r="U166" s="291">
        <f t="shared" si="68"/>
        <v>473.68</v>
      </c>
      <c r="V166" s="291">
        <f t="shared" si="72"/>
        <v>0</v>
      </c>
      <c r="W166" s="265">
        <f t="shared" si="69"/>
        <v>0</v>
      </c>
      <c r="X166" s="291">
        <f t="shared" si="73"/>
        <v>0</v>
      </c>
      <c r="Y166" s="170">
        <f t="shared" si="70"/>
        <v>108.24</v>
      </c>
      <c r="Z166" s="291">
        <f t="shared" si="71"/>
        <v>347.49</v>
      </c>
      <c r="AC166" s="276">
        <f>IF(AI166=1,IF(AC165=MiscData!$F$1,EOMONTH(AC165,-11),EOMONTH(AC165,1)),AC165)</f>
        <v>41729</v>
      </c>
      <c r="AD166" s="275" t="str">
        <f t="shared" si="82"/>
        <v>20140101LGUM_279</v>
      </c>
      <c r="AE166" s="294" t="str">
        <f t="shared" si="83"/>
        <v>20140101RLS</v>
      </c>
      <c r="AF166" s="618" t="str">
        <f t="shared" si="74"/>
        <v>279</v>
      </c>
      <c r="AH166" s="265">
        <f>MiscData!$X$5</f>
        <v>20140101</v>
      </c>
      <c r="AI166" s="265">
        <f>IF(AI165+1&gt;MiscData!$AC$77,1,AI165+1)</f>
        <v>17</v>
      </c>
      <c r="AJ166" s="265" t="str">
        <f>VLOOKUP(AI166,MiscData!$AC$5:$AD$77,2,FALSE)</f>
        <v>LGUM_279</v>
      </c>
      <c r="AK166" s="265" t="str">
        <f>VLOOKUP(AJ166,MiscData!$AD$5:$AE$77,2,FALSE)</f>
        <v>RLS</v>
      </c>
      <c r="AT166" s="265" t="s">
        <v>295</v>
      </c>
      <c r="AV166" s="265">
        <v>0</v>
      </c>
    </row>
    <row r="167" spans="1:48">
      <c r="A167" s="275">
        <f t="shared" si="75"/>
        <v>164</v>
      </c>
      <c r="B167" s="276" t="str">
        <f t="shared" si="79"/>
        <v>Mar 2014</v>
      </c>
      <c r="C167" s="277" t="str">
        <f t="shared" si="80"/>
        <v>RLS</v>
      </c>
      <c r="D167" s="277" t="str">
        <f t="shared" si="81"/>
        <v>LGUM_280</v>
      </c>
      <c r="E167" s="614">
        <f t="shared" si="56"/>
        <v>46</v>
      </c>
      <c r="F167" s="615">
        <f t="shared" si="76"/>
        <v>0</v>
      </c>
      <c r="G167" s="614">
        <f t="shared" si="57"/>
        <v>1832</v>
      </c>
      <c r="H167" s="615">
        <v>0</v>
      </c>
      <c r="I167" s="283">
        <f t="shared" si="58"/>
        <v>19.38</v>
      </c>
      <c r="J167" s="283">
        <f t="shared" si="59"/>
        <v>0.87999999999999901</v>
      </c>
      <c r="K167" s="285">
        <f t="shared" si="60"/>
        <v>891.48</v>
      </c>
      <c r="L167" s="286">
        <f t="shared" si="77"/>
        <v>0</v>
      </c>
      <c r="M167" s="286">
        <f t="shared" si="78"/>
        <v>0</v>
      </c>
      <c r="N167" s="285">
        <f t="shared" si="61"/>
        <v>891.48</v>
      </c>
      <c r="O167" s="616">
        <f t="shared" si="62"/>
        <v>891.4799999999999</v>
      </c>
      <c r="P167" s="289">
        <f t="shared" si="63"/>
        <v>0.99999999999999989</v>
      </c>
      <c r="Q167" s="290">
        <f t="shared" si="64"/>
        <v>4.03</v>
      </c>
      <c r="R167" s="290">
        <f t="shared" si="65"/>
        <v>28.71</v>
      </c>
      <c r="S167" s="290">
        <f t="shared" si="66"/>
        <v>0</v>
      </c>
      <c r="T167" s="290">
        <f t="shared" si="67"/>
        <v>1659.28</v>
      </c>
      <c r="U167" s="291">
        <f t="shared" si="68"/>
        <v>924.22</v>
      </c>
      <c r="V167" s="291">
        <f t="shared" si="72"/>
        <v>735.06</v>
      </c>
      <c r="W167" s="265">
        <f t="shared" si="69"/>
        <v>735.06</v>
      </c>
      <c r="X167" s="291">
        <f t="shared" si="73"/>
        <v>0</v>
      </c>
      <c r="Y167" s="170">
        <f t="shared" si="70"/>
        <v>40.479999999999997</v>
      </c>
      <c r="Z167" s="291">
        <f t="shared" si="71"/>
        <v>850.99999999999989</v>
      </c>
      <c r="AC167" s="276">
        <f>IF(AI167=1,IF(AC166=MiscData!$F$1,EOMONTH(AC166,-11),EOMONTH(AC166,1)),AC166)</f>
        <v>41729</v>
      </c>
      <c r="AD167" s="275" t="str">
        <f t="shared" si="82"/>
        <v>20140101LGUM_280</v>
      </c>
      <c r="AE167" s="294" t="str">
        <f t="shared" si="83"/>
        <v>20140101RLS</v>
      </c>
      <c r="AF167" s="618" t="str">
        <f t="shared" si="74"/>
        <v>280</v>
      </c>
      <c r="AH167" s="265">
        <f>MiscData!$X$5</f>
        <v>20140101</v>
      </c>
      <c r="AI167" s="265">
        <f>IF(AI166+1&gt;MiscData!$AC$77,1,AI166+1)</f>
        <v>18</v>
      </c>
      <c r="AJ167" s="265" t="str">
        <f>VLOOKUP(AI167,MiscData!$AC$5:$AD$77,2,FALSE)</f>
        <v>LGUM_280</v>
      </c>
      <c r="AK167" s="265" t="str">
        <f>VLOOKUP(AJ167,MiscData!$AD$5:$AE$77,2,FALSE)</f>
        <v>RLS</v>
      </c>
      <c r="AT167" s="265" t="s">
        <v>296</v>
      </c>
      <c r="AV167" s="265">
        <v>0</v>
      </c>
    </row>
    <row r="168" spans="1:48">
      <c r="A168" s="275">
        <f t="shared" si="75"/>
        <v>165</v>
      </c>
      <c r="B168" s="276" t="str">
        <f t="shared" si="79"/>
        <v>Mar 2014</v>
      </c>
      <c r="C168" s="277" t="str">
        <f t="shared" si="80"/>
        <v>RLS</v>
      </c>
      <c r="D168" s="277" t="str">
        <f t="shared" si="81"/>
        <v>LGUM_281</v>
      </c>
      <c r="E168" s="614">
        <f t="shared" si="56"/>
        <v>247</v>
      </c>
      <c r="F168" s="615">
        <f t="shared" si="76"/>
        <v>0</v>
      </c>
      <c r="G168" s="614">
        <f t="shared" si="57"/>
        <v>12493</v>
      </c>
      <c r="H168" s="615">
        <v>0</v>
      </c>
      <c r="I168" s="283">
        <f t="shared" si="58"/>
        <v>20.349999999999998</v>
      </c>
      <c r="J168" s="283">
        <f t="shared" si="59"/>
        <v>1.2699999999999996</v>
      </c>
      <c r="K168" s="285">
        <f t="shared" si="60"/>
        <v>5026.45</v>
      </c>
      <c r="L168" s="286">
        <f t="shared" si="77"/>
        <v>0</v>
      </c>
      <c r="M168" s="286">
        <f t="shared" si="78"/>
        <v>0</v>
      </c>
      <c r="N168" s="285">
        <f t="shared" si="61"/>
        <v>5026.45</v>
      </c>
      <c r="O168" s="616">
        <f t="shared" si="62"/>
        <v>5026.4500000000007</v>
      </c>
      <c r="P168" s="289">
        <f t="shared" si="63"/>
        <v>1.0000000000000002</v>
      </c>
      <c r="Q168" s="290">
        <f t="shared" si="64"/>
        <v>27.49</v>
      </c>
      <c r="R168" s="290">
        <f t="shared" si="65"/>
        <v>155.93</v>
      </c>
      <c r="S168" s="290">
        <f t="shared" si="66"/>
        <v>0</v>
      </c>
      <c r="T168" s="290">
        <f t="shared" si="67"/>
        <v>9015.25</v>
      </c>
      <c r="U168" s="291">
        <f t="shared" si="68"/>
        <v>5209.87</v>
      </c>
      <c r="V168" s="291">
        <f t="shared" si="72"/>
        <v>3805.38</v>
      </c>
      <c r="W168" s="265">
        <f t="shared" si="69"/>
        <v>3805.38</v>
      </c>
      <c r="X168" s="291">
        <f t="shared" si="73"/>
        <v>0</v>
      </c>
      <c r="Y168" s="170">
        <f t="shared" si="70"/>
        <v>313.69</v>
      </c>
      <c r="Z168" s="291">
        <f t="shared" si="71"/>
        <v>4712.7600000000011</v>
      </c>
      <c r="AC168" s="276">
        <f>IF(AI168=1,IF(AC167=MiscData!$F$1,EOMONTH(AC167,-11),EOMONTH(AC167,1)),AC167)</f>
        <v>41729</v>
      </c>
      <c r="AD168" s="275" t="str">
        <f t="shared" si="82"/>
        <v>20140101LGUM_281</v>
      </c>
      <c r="AE168" s="294" t="str">
        <f t="shared" si="83"/>
        <v>20140101RLS</v>
      </c>
      <c r="AF168" s="618" t="str">
        <f t="shared" si="74"/>
        <v>281</v>
      </c>
      <c r="AH168" s="265">
        <f>MiscData!$X$5</f>
        <v>20140101</v>
      </c>
      <c r="AI168" s="265">
        <f>IF(AI167+1&gt;MiscData!$AC$77,1,AI167+1)</f>
        <v>19</v>
      </c>
      <c r="AJ168" s="265" t="str">
        <f>VLOOKUP(AI168,MiscData!$AC$5:$AD$77,2,FALSE)</f>
        <v>LGUM_281</v>
      </c>
      <c r="AK168" s="265" t="str">
        <f>VLOOKUP(AJ168,MiscData!$AD$5:$AE$77,2,FALSE)</f>
        <v>RLS</v>
      </c>
      <c r="AT168" s="265" t="s">
        <v>577</v>
      </c>
      <c r="AV168" s="265">
        <v>0</v>
      </c>
    </row>
    <row r="169" spans="1:48">
      <c r="A169" s="275">
        <f t="shared" si="75"/>
        <v>166</v>
      </c>
      <c r="B169" s="276" t="str">
        <f t="shared" si="79"/>
        <v>Mar 2014</v>
      </c>
      <c r="C169" s="277" t="str">
        <f t="shared" si="80"/>
        <v>RLS</v>
      </c>
      <c r="D169" s="277" t="str">
        <f t="shared" si="81"/>
        <v>LGUM_282</v>
      </c>
      <c r="E169" s="614">
        <f t="shared" si="56"/>
        <v>106</v>
      </c>
      <c r="F169" s="615">
        <f t="shared" si="76"/>
        <v>0</v>
      </c>
      <c r="G169" s="614">
        <f t="shared" si="57"/>
        <v>4157</v>
      </c>
      <c r="H169" s="615">
        <v>0</v>
      </c>
      <c r="I169" s="283">
        <f t="shared" si="58"/>
        <v>19.53</v>
      </c>
      <c r="J169" s="283">
        <f t="shared" si="59"/>
        <v>0.87999999999999901</v>
      </c>
      <c r="K169" s="285">
        <f t="shared" si="60"/>
        <v>2070.1799999999998</v>
      </c>
      <c r="L169" s="286">
        <f t="shared" si="77"/>
        <v>0</v>
      </c>
      <c r="M169" s="286">
        <f t="shared" si="78"/>
        <v>0</v>
      </c>
      <c r="N169" s="285">
        <f t="shared" si="61"/>
        <v>2070.1799999999998</v>
      </c>
      <c r="O169" s="616">
        <f t="shared" si="62"/>
        <v>2070.1800000000003</v>
      </c>
      <c r="P169" s="289">
        <f t="shared" si="63"/>
        <v>1.0000000000000002</v>
      </c>
      <c r="Q169" s="290">
        <f t="shared" si="64"/>
        <v>9.14</v>
      </c>
      <c r="R169" s="290">
        <f t="shared" si="65"/>
        <v>54.01</v>
      </c>
      <c r="S169" s="290">
        <f t="shared" si="66"/>
        <v>0</v>
      </c>
      <c r="T169" s="290">
        <f t="shared" si="67"/>
        <v>3122.94</v>
      </c>
      <c r="U169" s="291">
        <f t="shared" si="68"/>
        <v>2133.33</v>
      </c>
      <c r="V169" s="291">
        <f t="shared" si="72"/>
        <v>989.61</v>
      </c>
      <c r="W169" s="265">
        <f t="shared" si="69"/>
        <v>989.61</v>
      </c>
      <c r="X169" s="291">
        <f t="shared" si="73"/>
        <v>0</v>
      </c>
      <c r="Y169" s="170">
        <f t="shared" si="70"/>
        <v>93.28</v>
      </c>
      <c r="Z169" s="291">
        <f t="shared" si="71"/>
        <v>1976.9000000000003</v>
      </c>
      <c r="AC169" s="276">
        <f>IF(AI169=1,IF(AC168=MiscData!$F$1,EOMONTH(AC168,-11),EOMONTH(AC168,1)),AC168)</f>
        <v>41729</v>
      </c>
      <c r="AD169" s="275" t="str">
        <f t="shared" si="82"/>
        <v>20140101LGUM_282</v>
      </c>
      <c r="AE169" s="294" t="str">
        <f t="shared" si="83"/>
        <v>20140101RLS</v>
      </c>
      <c r="AF169" s="618" t="str">
        <f t="shared" si="74"/>
        <v>282</v>
      </c>
      <c r="AH169" s="265">
        <f>MiscData!$X$5</f>
        <v>20140101</v>
      </c>
      <c r="AI169" s="265">
        <f>IF(AI168+1&gt;MiscData!$AC$77,1,AI168+1)</f>
        <v>20</v>
      </c>
      <c r="AJ169" s="265" t="str">
        <f>VLOOKUP(AI169,MiscData!$AC$5:$AD$77,2,FALSE)</f>
        <v>LGUM_282</v>
      </c>
      <c r="AK169" s="265" t="str">
        <f>VLOOKUP(AJ169,MiscData!$AD$5:$AE$77,2,FALSE)</f>
        <v>RLS</v>
      </c>
      <c r="AT169" s="265" t="s">
        <v>579</v>
      </c>
      <c r="AV169" s="265">
        <v>0</v>
      </c>
    </row>
    <row r="170" spans="1:48">
      <c r="A170" s="275">
        <f t="shared" si="75"/>
        <v>167</v>
      </c>
      <c r="B170" s="276" t="str">
        <f t="shared" si="79"/>
        <v>Mar 2014</v>
      </c>
      <c r="C170" s="277" t="str">
        <f t="shared" si="80"/>
        <v>RLS</v>
      </c>
      <c r="D170" s="277" t="str">
        <f t="shared" si="81"/>
        <v>LGUM_283</v>
      </c>
      <c r="E170" s="614">
        <f t="shared" si="56"/>
        <v>82</v>
      </c>
      <c r="F170" s="615">
        <f t="shared" si="76"/>
        <v>0</v>
      </c>
      <c r="G170" s="614">
        <f t="shared" si="57"/>
        <v>3960</v>
      </c>
      <c r="H170" s="615">
        <v>0</v>
      </c>
      <c r="I170" s="283">
        <f t="shared" si="58"/>
        <v>20.819999999999997</v>
      </c>
      <c r="J170" s="283">
        <f t="shared" si="59"/>
        <v>1.2699999999999996</v>
      </c>
      <c r="K170" s="285">
        <f t="shared" si="60"/>
        <v>1707.24</v>
      </c>
      <c r="L170" s="286">
        <f t="shared" si="77"/>
        <v>0</v>
      </c>
      <c r="M170" s="286">
        <f t="shared" si="78"/>
        <v>0</v>
      </c>
      <c r="N170" s="285">
        <f t="shared" si="61"/>
        <v>1707.24</v>
      </c>
      <c r="O170" s="616">
        <f t="shared" si="62"/>
        <v>1707.24</v>
      </c>
      <c r="P170" s="289">
        <f t="shared" si="63"/>
        <v>1</v>
      </c>
      <c r="Q170" s="290">
        <f t="shared" si="64"/>
        <v>8.7200000000000006</v>
      </c>
      <c r="R170" s="290">
        <f t="shared" si="65"/>
        <v>52.88</v>
      </c>
      <c r="S170" s="290">
        <f t="shared" si="66"/>
        <v>0</v>
      </c>
      <c r="T170" s="290">
        <f t="shared" si="67"/>
        <v>3056.61</v>
      </c>
      <c r="U170" s="291">
        <f t="shared" si="68"/>
        <v>1768.8400000000001</v>
      </c>
      <c r="V170" s="291">
        <f t="shared" si="72"/>
        <v>1287.77</v>
      </c>
      <c r="W170" s="265">
        <f t="shared" si="69"/>
        <v>1287.77</v>
      </c>
      <c r="X170" s="291">
        <f t="shared" si="73"/>
        <v>0</v>
      </c>
      <c r="Y170" s="170">
        <f t="shared" si="70"/>
        <v>104.14</v>
      </c>
      <c r="Z170" s="291">
        <f t="shared" si="71"/>
        <v>1603.1</v>
      </c>
      <c r="AC170" s="276">
        <f>IF(AI170=1,IF(AC169=MiscData!$F$1,EOMONTH(AC169,-11),EOMONTH(AC169,1)),AC169)</f>
        <v>41729</v>
      </c>
      <c r="AD170" s="275" t="str">
        <f t="shared" si="82"/>
        <v>20140101LGUM_283</v>
      </c>
      <c r="AE170" s="294" t="str">
        <f t="shared" si="83"/>
        <v>20140101RLS</v>
      </c>
      <c r="AF170" s="618" t="str">
        <f t="shared" si="74"/>
        <v>283</v>
      </c>
      <c r="AH170" s="265">
        <f>MiscData!$X$5</f>
        <v>20140101</v>
      </c>
      <c r="AI170" s="265">
        <f>IF(AI169+1&gt;MiscData!$AC$77,1,AI169+1)</f>
        <v>21</v>
      </c>
      <c r="AJ170" s="265" t="str">
        <f>VLOOKUP(AI170,MiscData!$AC$5:$AD$77,2,FALSE)</f>
        <v>LGUM_283</v>
      </c>
      <c r="AK170" s="265" t="str">
        <f>VLOOKUP(AJ170,MiscData!$AD$5:$AE$77,2,FALSE)</f>
        <v>RLS</v>
      </c>
      <c r="AT170" s="265" t="s">
        <v>581</v>
      </c>
      <c r="AV170" s="265">
        <v>0</v>
      </c>
    </row>
    <row r="171" spans="1:48">
      <c r="A171" s="275">
        <f t="shared" si="75"/>
        <v>168</v>
      </c>
      <c r="B171" s="276" t="str">
        <f t="shared" si="79"/>
        <v>Mar 2014</v>
      </c>
      <c r="C171" s="277" t="str">
        <f t="shared" si="80"/>
        <v>RLS</v>
      </c>
      <c r="D171" s="277" t="str">
        <f t="shared" si="81"/>
        <v>LGUM_314</v>
      </c>
      <c r="E171" s="614">
        <f t="shared" si="56"/>
        <v>497</v>
      </c>
      <c r="F171" s="615">
        <f t="shared" si="76"/>
        <v>0</v>
      </c>
      <c r="G171" s="614">
        <f t="shared" si="57"/>
        <v>48433</v>
      </c>
      <c r="H171" s="615">
        <v>0</v>
      </c>
      <c r="I171" s="283">
        <f t="shared" si="58"/>
        <v>19.2</v>
      </c>
      <c r="J171" s="283">
        <f t="shared" si="59"/>
        <v>2.7100000000000009</v>
      </c>
      <c r="K171" s="285">
        <f t="shared" si="60"/>
        <v>9542.4</v>
      </c>
      <c r="L171" s="286">
        <f t="shared" si="77"/>
        <v>-114.53000000000065</v>
      </c>
      <c r="M171" s="286">
        <f t="shared" si="78"/>
        <v>0</v>
      </c>
      <c r="N171" s="285">
        <f t="shared" si="61"/>
        <v>9427.869999999999</v>
      </c>
      <c r="O171" s="616">
        <f t="shared" si="62"/>
        <v>9427.869999999999</v>
      </c>
      <c r="P171" s="289">
        <f t="shared" si="63"/>
        <v>1</v>
      </c>
      <c r="Q171" s="290">
        <f t="shared" si="64"/>
        <v>105.21</v>
      </c>
      <c r="R171" s="290">
        <f t="shared" si="65"/>
        <v>174.08</v>
      </c>
      <c r="S171" s="290">
        <f t="shared" si="66"/>
        <v>0</v>
      </c>
      <c r="T171" s="290">
        <f t="shared" si="67"/>
        <v>9707.16</v>
      </c>
      <c r="U171" s="291">
        <f t="shared" si="68"/>
        <v>9707.159999999998</v>
      </c>
      <c r="V171" s="291">
        <f t="shared" si="72"/>
        <v>0</v>
      </c>
      <c r="W171" s="265">
        <f t="shared" si="69"/>
        <v>0</v>
      </c>
      <c r="X171" s="291">
        <f t="shared" si="73"/>
        <v>0</v>
      </c>
      <c r="Y171" s="170">
        <f t="shared" si="70"/>
        <v>1346.87</v>
      </c>
      <c r="Z171" s="291">
        <f t="shared" si="71"/>
        <v>8080.9999999999991</v>
      </c>
      <c r="AC171" s="276">
        <f>IF(AI171=1,IF(AC170=MiscData!$F$1,EOMONTH(AC170,-11),EOMONTH(AC170,1)),AC170)</f>
        <v>41729</v>
      </c>
      <c r="AD171" s="275" t="str">
        <f t="shared" si="82"/>
        <v>20140101LGUM_314</v>
      </c>
      <c r="AE171" s="294" t="str">
        <f t="shared" si="83"/>
        <v>20140101RLS</v>
      </c>
      <c r="AF171" s="618" t="str">
        <f t="shared" si="74"/>
        <v>314</v>
      </c>
      <c r="AH171" s="265">
        <f>MiscData!$X$5</f>
        <v>20140101</v>
      </c>
      <c r="AI171" s="265">
        <f>IF(AI170+1&gt;MiscData!$AC$77,1,AI170+1)</f>
        <v>22</v>
      </c>
      <c r="AJ171" s="265" t="str">
        <f>VLOOKUP(AI171,MiscData!$AC$5:$AD$77,2,FALSE)</f>
        <v>LGUM_314</v>
      </c>
      <c r="AK171" s="265" t="str">
        <f>VLOOKUP(AJ171,MiscData!$AD$5:$AE$77,2,FALSE)</f>
        <v>RLS</v>
      </c>
      <c r="AT171" s="265" t="s">
        <v>297</v>
      </c>
      <c r="AV171" s="265">
        <v>0</v>
      </c>
    </row>
    <row r="172" spans="1:48">
      <c r="A172" s="275">
        <f t="shared" si="75"/>
        <v>169</v>
      </c>
      <c r="B172" s="276" t="str">
        <f t="shared" si="79"/>
        <v>Mar 2014</v>
      </c>
      <c r="C172" s="277" t="str">
        <f t="shared" si="80"/>
        <v>RLS</v>
      </c>
      <c r="D172" s="277" t="str">
        <f t="shared" si="81"/>
        <v>LGUM_315</v>
      </c>
      <c r="E172" s="614">
        <f t="shared" si="56"/>
        <v>523</v>
      </c>
      <c r="F172" s="615">
        <f t="shared" si="76"/>
        <v>0</v>
      </c>
      <c r="G172" s="614">
        <f t="shared" si="57"/>
        <v>78689</v>
      </c>
      <c r="H172" s="615">
        <v>0</v>
      </c>
      <c r="I172" s="283">
        <f t="shared" si="58"/>
        <v>22.949999999999996</v>
      </c>
      <c r="J172" s="283">
        <f t="shared" si="59"/>
        <v>4.1999999999999993</v>
      </c>
      <c r="K172" s="285">
        <f t="shared" si="60"/>
        <v>12002.85</v>
      </c>
      <c r="L172" s="286">
        <f t="shared" si="77"/>
        <v>-12.659999999999854</v>
      </c>
      <c r="M172" s="286">
        <f t="shared" si="78"/>
        <v>0</v>
      </c>
      <c r="N172" s="285">
        <f t="shared" si="61"/>
        <v>11990.19</v>
      </c>
      <c r="O172" s="616">
        <f t="shared" si="62"/>
        <v>11990.189999999999</v>
      </c>
      <c r="P172" s="289">
        <f t="shared" si="63"/>
        <v>0.99999999999999989</v>
      </c>
      <c r="Q172" s="290">
        <f t="shared" si="64"/>
        <v>173</v>
      </c>
      <c r="R172" s="290">
        <f t="shared" si="65"/>
        <v>214.44</v>
      </c>
      <c r="S172" s="290">
        <f t="shared" si="66"/>
        <v>0</v>
      </c>
      <c r="T172" s="290">
        <f t="shared" si="67"/>
        <v>12377.63</v>
      </c>
      <c r="U172" s="291">
        <f t="shared" si="68"/>
        <v>12377.630000000001</v>
      </c>
      <c r="V172" s="291">
        <f t="shared" si="72"/>
        <v>0</v>
      </c>
      <c r="W172" s="265">
        <f t="shared" si="69"/>
        <v>0</v>
      </c>
      <c r="X172" s="291">
        <f t="shared" si="73"/>
        <v>0</v>
      </c>
      <c r="Y172" s="170">
        <f t="shared" si="70"/>
        <v>2196.6</v>
      </c>
      <c r="Z172" s="291">
        <f t="shared" si="71"/>
        <v>9793.5899999999983</v>
      </c>
      <c r="AC172" s="276">
        <f>IF(AI172=1,IF(AC171=MiscData!$F$1,EOMONTH(AC171,-11),EOMONTH(AC171,1)),AC171)</f>
        <v>41729</v>
      </c>
      <c r="AD172" s="275" t="str">
        <f t="shared" si="82"/>
        <v>20140101LGUM_315</v>
      </c>
      <c r="AE172" s="294" t="str">
        <f t="shared" si="83"/>
        <v>20140101RLS</v>
      </c>
      <c r="AF172" s="618" t="str">
        <f t="shared" si="74"/>
        <v>315</v>
      </c>
      <c r="AH172" s="265">
        <f>MiscData!$X$5</f>
        <v>20140101</v>
      </c>
      <c r="AI172" s="265">
        <f>IF(AI171+1&gt;MiscData!$AC$77,1,AI171+1)</f>
        <v>23</v>
      </c>
      <c r="AJ172" s="265" t="str">
        <f>VLOOKUP(AI172,MiscData!$AC$5:$AD$77,2,FALSE)</f>
        <v>LGUM_315</v>
      </c>
      <c r="AK172" s="265" t="str">
        <f>VLOOKUP(AJ172,MiscData!$AD$5:$AE$77,2,FALSE)</f>
        <v>RLS</v>
      </c>
      <c r="AT172" s="265" t="s">
        <v>299</v>
      </c>
      <c r="AV172" s="265">
        <v>0</v>
      </c>
    </row>
    <row r="173" spans="1:48">
      <c r="A173" s="275">
        <f t="shared" si="75"/>
        <v>170</v>
      </c>
      <c r="B173" s="276" t="str">
        <f t="shared" si="79"/>
        <v>Mar 2014</v>
      </c>
      <c r="C173" s="277" t="str">
        <f t="shared" si="80"/>
        <v>RLS</v>
      </c>
      <c r="D173" s="277" t="str">
        <f t="shared" si="81"/>
        <v>LGUM_318</v>
      </c>
      <c r="E173" s="614">
        <f t="shared" si="56"/>
        <v>54</v>
      </c>
      <c r="F173" s="615">
        <f t="shared" si="76"/>
        <v>0</v>
      </c>
      <c r="G173" s="614">
        <f t="shared" si="57"/>
        <v>3693</v>
      </c>
      <c r="H173" s="615">
        <v>0</v>
      </c>
      <c r="I173" s="283">
        <f t="shared" si="58"/>
        <v>17.419999999999998</v>
      </c>
      <c r="J173" s="283">
        <f t="shared" si="59"/>
        <v>1.9100000000000001</v>
      </c>
      <c r="K173" s="285">
        <f t="shared" si="60"/>
        <v>940.68</v>
      </c>
      <c r="L173" s="286">
        <f t="shared" si="77"/>
        <v>0</v>
      </c>
      <c r="M173" s="286">
        <f t="shared" si="78"/>
        <v>0</v>
      </c>
      <c r="N173" s="285">
        <f t="shared" si="61"/>
        <v>940.68</v>
      </c>
      <c r="O173" s="616">
        <f t="shared" si="62"/>
        <v>940.68</v>
      </c>
      <c r="P173" s="289">
        <f t="shared" si="63"/>
        <v>1</v>
      </c>
      <c r="Q173" s="290">
        <f t="shared" si="64"/>
        <v>8.1300000000000008</v>
      </c>
      <c r="R173" s="290">
        <f t="shared" si="65"/>
        <v>16.7</v>
      </c>
      <c r="S173" s="290">
        <f t="shared" si="66"/>
        <v>0</v>
      </c>
      <c r="T173" s="290">
        <f t="shared" si="67"/>
        <v>965.51</v>
      </c>
      <c r="U173" s="291">
        <f t="shared" si="68"/>
        <v>965.51</v>
      </c>
      <c r="V173" s="291">
        <f t="shared" si="72"/>
        <v>0</v>
      </c>
      <c r="W173" s="265">
        <f t="shared" si="69"/>
        <v>0</v>
      </c>
      <c r="X173" s="291">
        <f t="shared" si="73"/>
        <v>0</v>
      </c>
      <c r="Y173" s="170">
        <f t="shared" si="70"/>
        <v>103.14</v>
      </c>
      <c r="Z173" s="291">
        <f t="shared" si="71"/>
        <v>837.54</v>
      </c>
      <c r="AC173" s="276">
        <f>IF(AI173=1,IF(AC172=MiscData!$F$1,EOMONTH(AC172,-11),EOMONTH(AC172,1)),AC172)</f>
        <v>41729</v>
      </c>
      <c r="AD173" s="275" t="str">
        <f t="shared" si="82"/>
        <v>20140101LGUM_318</v>
      </c>
      <c r="AE173" s="294" t="str">
        <f t="shared" si="83"/>
        <v>20140101RLS</v>
      </c>
      <c r="AF173" s="618" t="str">
        <f t="shared" si="74"/>
        <v>318</v>
      </c>
      <c r="AH173" s="265">
        <f>MiscData!$X$5</f>
        <v>20140101</v>
      </c>
      <c r="AI173" s="265">
        <f>IF(AI172+1&gt;MiscData!$AC$77,1,AI172+1)</f>
        <v>24</v>
      </c>
      <c r="AJ173" s="265" t="str">
        <f>VLOOKUP(AI173,MiscData!$AC$5:$AD$77,2,FALSE)</f>
        <v>LGUM_318</v>
      </c>
      <c r="AK173" s="265" t="str">
        <f>VLOOKUP(AJ173,MiscData!$AD$5:$AE$77,2,FALSE)</f>
        <v>RLS</v>
      </c>
      <c r="AT173" s="265" t="s">
        <v>301</v>
      </c>
      <c r="AV173" s="265">
        <v>0</v>
      </c>
    </row>
    <row r="174" spans="1:48">
      <c r="A174" s="275">
        <f t="shared" si="75"/>
        <v>171</v>
      </c>
      <c r="B174" s="276" t="str">
        <f t="shared" si="79"/>
        <v>Mar 2014</v>
      </c>
      <c r="C174" s="277" t="str">
        <f t="shared" si="80"/>
        <v>RLS</v>
      </c>
      <c r="D174" s="277" t="str">
        <f t="shared" si="81"/>
        <v>LGUM_347</v>
      </c>
      <c r="E174" s="614">
        <f t="shared" si="56"/>
        <v>0</v>
      </c>
      <c r="F174" s="615">
        <f t="shared" si="76"/>
        <v>0</v>
      </c>
      <c r="G174" s="614">
        <f t="shared" si="57"/>
        <v>0</v>
      </c>
      <c r="H174" s="615">
        <v>0</v>
      </c>
      <c r="I174" s="283">
        <f t="shared" si="58"/>
        <v>22.939999999999998</v>
      </c>
      <c r="J174" s="283">
        <f t="shared" si="59"/>
        <v>26.14</v>
      </c>
      <c r="K174" s="285">
        <f t="shared" si="60"/>
        <v>0</v>
      </c>
      <c r="L174" s="286">
        <f t="shared" si="77"/>
        <v>0</v>
      </c>
      <c r="M174" s="286">
        <f t="shared" si="78"/>
        <v>0</v>
      </c>
      <c r="N174" s="285">
        <f t="shared" si="61"/>
        <v>0</v>
      </c>
      <c r="O174" s="616">
        <f t="shared" si="62"/>
        <v>0</v>
      </c>
      <c r="P174" s="289">
        <f t="shared" si="63"/>
        <v>1</v>
      </c>
      <c r="Q174" s="290">
        <f t="shared" si="64"/>
        <v>0</v>
      </c>
      <c r="R174" s="290">
        <f t="shared" si="65"/>
        <v>0</v>
      </c>
      <c r="S174" s="290">
        <f t="shared" si="66"/>
        <v>0</v>
      </c>
      <c r="T174" s="290">
        <f t="shared" si="67"/>
        <v>0</v>
      </c>
      <c r="U174" s="291">
        <f t="shared" si="68"/>
        <v>0</v>
      </c>
      <c r="V174" s="291">
        <f t="shared" si="72"/>
        <v>0</v>
      </c>
      <c r="W174" s="265">
        <f t="shared" si="69"/>
        <v>0</v>
      </c>
      <c r="X174" s="291">
        <f t="shared" si="73"/>
        <v>0</v>
      </c>
      <c r="Y174" s="170">
        <f t="shared" si="70"/>
        <v>0</v>
      </c>
      <c r="Z174" s="291">
        <f t="shared" si="71"/>
        <v>0</v>
      </c>
      <c r="AC174" s="276">
        <f>IF(AI174=1,IF(AC173=MiscData!$F$1,EOMONTH(AC173,-11),EOMONTH(AC173,1)),AC173)</f>
        <v>41729</v>
      </c>
      <c r="AD174" s="275" t="str">
        <f t="shared" si="82"/>
        <v>20140101LGUM_347</v>
      </c>
      <c r="AE174" s="294" t="str">
        <f t="shared" si="83"/>
        <v>20140101RLS</v>
      </c>
      <c r="AF174" s="618" t="str">
        <f t="shared" si="74"/>
        <v>347</v>
      </c>
      <c r="AH174" s="265">
        <f>MiscData!$X$5</f>
        <v>20140101</v>
      </c>
      <c r="AI174" s="265">
        <f>IF(AI173+1&gt;MiscData!$AC$77,1,AI173+1)</f>
        <v>25</v>
      </c>
      <c r="AJ174" s="265" t="str">
        <f>VLOOKUP(AI174,MiscData!$AC$5:$AD$77,2,FALSE)</f>
        <v>LGUM_347</v>
      </c>
      <c r="AK174" s="265" t="str">
        <f>VLOOKUP(AJ174,MiscData!$AD$5:$AE$77,2,FALSE)</f>
        <v>RLS</v>
      </c>
      <c r="AT174" s="265" t="s">
        <v>302</v>
      </c>
      <c r="AV174" s="265">
        <v>0</v>
      </c>
    </row>
    <row r="175" spans="1:48">
      <c r="A175" s="275">
        <f t="shared" si="75"/>
        <v>172</v>
      </c>
      <c r="B175" s="276" t="str">
        <f t="shared" si="79"/>
        <v>Mar 2014</v>
      </c>
      <c r="C175" s="277" t="str">
        <f t="shared" si="80"/>
        <v>RLS</v>
      </c>
      <c r="D175" s="277" t="str">
        <f t="shared" si="81"/>
        <v>LGUM_348</v>
      </c>
      <c r="E175" s="614">
        <f t="shared" si="56"/>
        <v>40</v>
      </c>
      <c r="F175" s="615">
        <f t="shared" si="76"/>
        <v>0</v>
      </c>
      <c r="G175" s="614">
        <f t="shared" si="57"/>
        <v>3909</v>
      </c>
      <c r="H175" s="615">
        <v>0</v>
      </c>
      <c r="I175" s="283">
        <f t="shared" si="58"/>
        <v>13.12</v>
      </c>
      <c r="J175" s="283">
        <f t="shared" si="59"/>
        <v>2.9800000000000004</v>
      </c>
      <c r="K175" s="285">
        <f t="shared" si="60"/>
        <v>524.79999999999995</v>
      </c>
      <c r="L175" s="286">
        <f t="shared" si="77"/>
        <v>0</v>
      </c>
      <c r="M175" s="286">
        <f t="shared" si="78"/>
        <v>0</v>
      </c>
      <c r="N175" s="285">
        <f t="shared" si="61"/>
        <v>524.79999999999995</v>
      </c>
      <c r="O175" s="616">
        <f t="shared" si="62"/>
        <v>524.79999999999995</v>
      </c>
      <c r="P175" s="289">
        <f t="shared" si="63"/>
        <v>1</v>
      </c>
      <c r="Q175" s="290">
        <f t="shared" si="64"/>
        <v>8.6</v>
      </c>
      <c r="R175" s="290">
        <f t="shared" si="65"/>
        <v>9.3800000000000008</v>
      </c>
      <c r="S175" s="290">
        <f t="shared" si="66"/>
        <v>0</v>
      </c>
      <c r="T175" s="290">
        <f t="shared" si="67"/>
        <v>542.78</v>
      </c>
      <c r="U175" s="291">
        <f t="shared" si="68"/>
        <v>542.78</v>
      </c>
      <c r="V175" s="291">
        <f t="shared" si="72"/>
        <v>0</v>
      </c>
      <c r="W175" s="265">
        <f t="shared" si="69"/>
        <v>0</v>
      </c>
      <c r="X175" s="291">
        <f t="shared" si="73"/>
        <v>0</v>
      </c>
      <c r="Y175" s="170">
        <f t="shared" si="70"/>
        <v>119.2</v>
      </c>
      <c r="Z175" s="291">
        <f t="shared" si="71"/>
        <v>405.59999999999997</v>
      </c>
      <c r="AC175" s="276">
        <f>IF(AI175=1,IF(AC174=MiscData!$F$1,EOMONTH(AC174,-11),EOMONTH(AC174,1)),AC174)</f>
        <v>41729</v>
      </c>
      <c r="AD175" s="275" t="str">
        <f t="shared" si="82"/>
        <v>20140101LGUM_348</v>
      </c>
      <c r="AE175" s="294" t="str">
        <f t="shared" si="83"/>
        <v>20140101RLS</v>
      </c>
      <c r="AF175" s="618" t="str">
        <f t="shared" si="74"/>
        <v>348</v>
      </c>
      <c r="AH175" s="265">
        <f>MiscData!$X$5</f>
        <v>20140101</v>
      </c>
      <c r="AI175" s="265">
        <f>IF(AI174+1&gt;MiscData!$AC$77,1,AI174+1)</f>
        <v>26</v>
      </c>
      <c r="AJ175" s="265" t="str">
        <f>VLOOKUP(AI175,MiscData!$AC$5:$AD$77,2,FALSE)</f>
        <v>LGUM_348</v>
      </c>
      <c r="AK175" s="265" t="str">
        <f>VLOOKUP(AJ175,MiscData!$AD$5:$AE$77,2,FALSE)</f>
        <v>RLS</v>
      </c>
      <c r="AT175" s="265" t="s">
        <v>303</v>
      </c>
      <c r="AV175" s="265">
        <v>0</v>
      </c>
    </row>
    <row r="176" spans="1:48">
      <c r="A176" s="275">
        <f t="shared" si="75"/>
        <v>173</v>
      </c>
      <c r="B176" s="276" t="str">
        <f t="shared" si="79"/>
        <v>Mar 2014</v>
      </c>
      <c r="C176" s="277" t="str">
        <f t="shared" si="80"/>
        <v>RLS</v>
      </c>
      <c r="D176" s="277" t="str">
        <f t="shared" si="81"/>
        <v>LGUM_349</v>
      </c>
      <c r="E176" s="614">
        <f t="shared" si="56"/>
        <v>17</v>
      </c>
      <c r="F176" s="615">
        <f t="shared" si="76"/>
        <v>0</v>
      </c>
      <c r="G176" s="614">
        <f t="shared" si="57"/>
        <v>554</v>
      </c>
      <c r="H176" s="615">
        <v>0</v>
      </c>
      <c r="I176" s="283">
        <f t="shared" si="58"/>
        <v>9.0200000000000014</v>
      </c>
      <c r="J176" s="283">
        <f t="shared" si="59"/>
        <v>0.91000000000000014</v>
      </c>
      <c r="K176" s="285">
        <f t="shared" si="60"/>
        <v>153.34</v>
      </c>
      <c r="L176" s="286">
        <f t="shared" si="77"/>
        <v>0</v>
      </c>
      <c r="M176" s="286">
        <f t="shared" si="78"/>
        <v>0</v>
      </c>
      <c r="N176" s="285">
        <f t="shared" si="61"/>
        <v>153.34</v>
      </c>
      <c r="O176" s="616">
        <f t="shared" si="62"/>
        <v>153.34</v>
      </c>
      <c r="P176" s="289">
        <f t="shared" si="63"/>
        <v>1</v>
      </c>
      <c r="Q176" s="290">
        <f t="shared" si="64"/>
        <v>1.22</v>
      </c>
      <c r="R176" s="290">
        <f t="shared" si="65"/>
        <v>2.72</v>
      </c>
      <c r="S176" s="290">
        <f t="shared" si="66"/>
        <v>0</v>
      </c>
      <c r="T176" s="290">
        <f t="shared" si="67"/>
        <v>157.28</v>
      </c>
      <c r="U176" s="291">
        <f t="shared" si="68"/>
        <v>157.28</v>
      </c>
      <c r="V176" s="291">
        <f t="shared" si="72"/>
        <v>0</v>
      </c>
      <c r="W176" s="265">
        <f t="shared" si="69"/>
        <v>0</v>
      </c>
      <c r="X176" s="291">
        <f t="shared" si="73"/>
        <v>0</v>
      </c>
      <c r="Y176" s="170">
        <f t="shared" si="70"/>
        <v>15.47</v>
      </c>
      <c r="Z176" s="291">
        <f t="shared" si="71"/>
        <v>137.87</v>
      </c>
      <c r="AC176" s="276">
        <f>IF(AI176=1,IF(AC175=MiscData!$F$1,EOMONTH(AC175,-11),EOMONTH(AC175,1)),AC175)</f>
        <v>41729</v>
      </c>
      <c r="AD176" s="275" t="str">
        <f t="shared" si="82"/>
        <v>20140101LGUM_349</v>
      </c>
      <c r="AE176" s="294" t="str">
        <f t="shared" si="83"/>
        <v>20140101RLS</v>
      </c>
      <c r="AF176" s="618" t="str">
        <f t="shared" si="74"/>
        <v>349</v>
      </c>
      <c r="AH176" s="265">
        <f>MiscData!$X$5</f>
        <v>20140101</v>
      </c>
      <c r="AI176" s="265">
        <f>IF(AI175+1&gt;MiscData!$AC$77,1,AI175+1)</f>
        <v>27</v>
      </c>
      <c r="AJ176" s="265" t="str">
        <f>VLOOKUP(AI176,MiscData!$AC$5:$AD$77,2,FALSE)</f>
        <v>LGUM_349</v>
      </c>
      <c r="AK176" s="265" t="str">
        <f>VLOOKUP(AJ176,MiscData!$AD$5:$AE$77,2,FALSE)</f>
        <v>RLS</v>
      </c>
      <c r="AT176" s="265" t="s">
        <v>304</v>
      </c>
      <c r="AV176" s="265">
        <v>0</v>
      </c>
    </row>
    <row r="177" spans="1:48">
      <c r="A177" s="275">
        <f t="shared" si="75"/>
        <v>174</v>
      </c>
      <c r="B177" s="276" t="str">
        <f t="shared" si="79"/>
        <v>Mar 2014</v>
      </c>
      <c r="C177" s="277" t="str">
        <f t="shared" si="80"/>
        <v xml:space="preserve">LS </v>
      </c>
      <c r="D177" s="277" t="str">
        <f t="shared" si="81"/>
        <v>LGUM_400</v>
      </c>
      <c r="E177" s="614">
        <f t="shared" si="56"/>
        <v>33</v>
      </c>
      <c r="F177" s="615">
        <f t="shared" si="76"/>
        <v>0</v>
      </c>
      <c r="G177" s="614">
        <f t="shared" si="57"/>
        <v>583</v>
      </c>
      <c r="H177" s="615">
        <v>0</v>
      </c>
      <c r="I177" s="283">
        <f t="shared" si="58"/>
        <v>23.89</v>
      </c>
      <c r="J177" s="283">
        <f t="shared" si="59"/>
        <v>1.0199999999999996</v>
      </c>
      <c r="K177" s="285">
        <f t="shared" si="60"/>
        <v>788.37</v>
      </c>
      <c r="L177" s="286">
        <f t="shared" si="77"/>
        <v>0</v>
      </c>
      <c r="M177" s="286">
        <f t="shared" si="78"/>
        <v>0</v>
      </c>
      <c r="N177" s="285">
        <f t="shared" si="61"/>
        <v>788.37</v>
      </c>
      <c r="O177" s="616">
        <f t="shared" si="62"/>
        <v>788.37</v>
      </c>
      <c r="P177" s="289">
        <f t="shared" si="63"/>
        <v>1</v>
      </c>
      <c r="Q177" s="290">
        <f t="shared" si="64"/>
        <v>1.28</v>
      </c>
      <c r="R177" s="290">
        <f t="shared" si="65"/>
        <v>14.84</v>
      </c>
      <c r="S177" s="290">
        <f t="shared" si="66"/>
        <v>0</v>
      </c>
      <c r="T177" s="290">
        <f t="shared" si="67"/>
        <v>857.89</v>
      </c>
      <c r="U177" s="291">
        <f t="shared" si="68"/>
        <v>804.49</v>
      </c>
      <c r="V177" s="291">
        <f t="shared" si="72"/>
        <v>53.4</v>
      </c>
      <c r="W177" s="265">
        <f t="shared" si="69"/>
        <v>53.4</v>
      </c>
      <c r="X177" s="291">
        <f t="shared" si="73"/>
        <v>0</v>
      </c>
      <c r="Y177" s="170">
        <f t="shared" si="70"/>
        <v>33.659999999999997</v>
      </c>
      <c r="Z177" s="291">
        <f t="shared" si="71"/>
        <v>754.71</v>
      </c>
      <c r="AC177" s="276">
        <f>IF(AI177=1,IF(AC176=MiscData!$F$1,EOMONTH(AC176,-11),EOMONTH(AC176,1)),AC176)</f>
        <v>41729</v>
      </c>
      <c r="AD177" s="275" t="str">
        <f t="shared" si="82"/>
        <v>20140101LGUM_400</v>
      </c>
      <c r="AE177" s="294" t="str">
        <f t="shared" si="83"/>
        <v xml:space="preserve">20140101LS </v>
      </c>
      <c r="AF177" s="618" t="str">
        <f t="shared" si="74"/>
        <v>400</v>
      </c>
      <c r="AH177" s="265">
        <f>MiscData!$X$5</f>
        <v>20140101</v>
      </c>
      <c r="AI177" s="265">
        <f>IF(AI176+1&gt;MiscData!$AC$77,1,AI176+1)</f>
        <v>28</v>
      </c>
      <c r="AJ177" s="265" t="str">
        <f>VLOOKUP(AI177,MiscData!$AC$5:$AD$77,2,FALSE)</f>
        <v>LGUM_400</v>
      </c>
      <c r="AK177" s="265" t="str">
        <f>VLOOKUP(AJ177,MiscData!$AD$5:$AE$77,2,FALSE)</f>
        <v xml:space="preserve">LS </v>
      </c>
      <c r="AT177" s="265" t="s">
        <v>585</v>
      </c>
      <c r="AV177" s="265">
        <v>0</v>
      </c>
    </row>
    <row r="178" spans="1:48">
      <c r="A178" s="275">
        <f t="shared" si="75"/>
        <v>175</v>
      </c>
      <c r="B178" s="276" t="str">
        <f t="shared" si="79"/>
        <v>Mar 2014</v>
      </c>
      <c r="C178" s="277" t="str">
        <f t="shared" si="80"/>
        <v xml:space="preserve">LS </v>
      </c>
      <c r="D178" s="277" t="str">
        <f t="shared" si="81"/>
        <v>LGUM_401</v>
      </c>
      <c r="E178" s="614">
        <f t="shared" si="56"/>
        <v>4</v>
      </c>
      <c r="F178" s="615">
        <f t="shared" si="76"/>
        <v>0</v>
      </c>
      <c r="G178" s="614">
        <f t="shared" si="57"/>
        <v>141</v>
      </c>
      <c r="H178" s="615">
        <v>0</v>
      </c>
      <c r="I178" s="283">
        <f t="shared" si="58"/>
        <v>24.9</v>
      </c>
      <c r="J178" s="283">
        <f t="shared" si="59"/>
        <v>1.0599999999999987</v>
      </c>
      <c r="K178" s="285">
        <f t="shared" si="60"/>
        <v>99.6</v>
      </c>
      <c r="L178" s="286">
        <f t="shared" si="77"/>
        <v>0</v>
      </c>
      <c r="M178" s="286">
        <f t="shared" si="78"/>
        <v>0</v>
      </c>
      <c r="N178" s="285">
        <f t="shared" si="61"/>
        <v>99.6</v>
      </c>
      <c r="O178" s="616">
        <f t="shared" si="62"/>
        <v>99.600000000000009</v>
      </c>
      <c r="P178" s="289">
        <f t="shared" si="63"/>
        <v>1.0000000000000002</v>
      </c>
      <c r="Q178" s="290">
        <f t="shared" si="64"/>
        <v>0.31</v>
      </c>
      <c r="R178" s="290">
        <f t="shared" si="65"/>
        <v>1.76</v>
      </c>
      <c r="S178" s="290">
        <f t="shared" si="66"/>
        <v>0</v>
      </c>
      <c r="T178" s="290">
        <f t="shared" si="67"/>
        <v>101.67</v>
      </c>
      <c r="U178" s="291">
        <f t="shared" si="68"/>
        <v>101.67</v>
      </c>
      <c r="V178" s="291">
        <f t="shared" si="72"/>
        <v>0</v>
      </c>
      <c r="W178" s="265">
        <f t="shared" si="69"/>
        <v>0</v>
      </c>
      <c r="X178" s="291">
        <f t="shared" si="73"/>
        <v>0</v>
      </c>
      <c r="Y178" s="170">
        <f t="shared" si="70"/>
        <v>4.24</v>
      </c>
      <c r="Z178" s="291">
        <f t="shared" si="71"/>
        <v>95.360000000000014</v>
      </c>
      <c r="AC178" s="276">
        <f>IF(AI178=1,IF(AC177=MiscData!$F$1,EOMONTH(AC177,-11),EOMONTH(AC177,1)),AC177)</f>
        <v>41729</v>
      </c>
      <c r="AD178" s="275" t="str">
        <f t="shared" si="82"/>
        <v>20140101LGUM_401</v>
      </c>
      <c r="AE178" s="294" t="str">
        <f t="shared" si="83"/>
        <v xml:space="preserve">20140101LS </v>
      </c>
      <c r="AF178" s="618" t="str">
        <f t="shared" si="74"/>
        <v>401</v>
      </c>
      <c r="AH178" s="265">
        <f>MiscData!$X$5</f>
        <v>20140101</v>
      </c>
      <c r="AI178" s="265">
        <f>IF(AI177+1&gt;MiscData!$AC$77,1,AI177+1)</f>
        <v>29</v>
      </c>
      <c r="AJ178" s="265" t="str">
        <f>VLOOKUP(AI178,MiscData!$AC$5:$AD$77,2,FALSE)</f>
        <v>LGUM_401</v>
      </c>
      <c r="AK178" s="265" t="str">
        <f>VLOOKUP(AJ178,MiscData!$AD$5:$AE$77,2,FALSE)</f>
        <v xml:space="preserve">LS </v>
      </c>
      <c r="AT178" s="265" t="s">
        <v>305</v>
      </c>
      <c r="AV178" s="265">
        <v>0</v>
      </c>
    </row>
    <row r="179" spans="1:48">
      <c r="A179" s="275">
        <f t="shared" si="75"/>
        <v>176</v>
      </c>
      <c r="B179" s="276" t="str">
        <f t="shared" si="79"/>
        <v>Mar 2014</v>
      </c>
      <c r="C179" s="277" t="str">
        <f t="shared" si="80"/>
        <v xml:space="preserve">LS </v>
      </c>
      <c r="D179" s="277" t="str">
        <f t="shared" si="81"/>
        <v>LGUM_412</v>
      </c>
      <c r="E179" s="614">
        <f t="shared" si="56"/>
        <v>226</v>
      </c>
      <c r="F179" s="615">
        <f t="shared" si="76"/>
        <v>0</v>
      </c>
      <c r="G179" s="614">
        <f t="shared" si="57"/>
        <v>6723</v>
      </c>
      <c r="H179" s="615">
        <v>0</v>
      </c>
      <c r="I179" s="283">
        <f t="shared" si="58"/>
        <v>19.79</v>
      </c>
      <c r="J179" s="283">
        <f t="shared" si="59"/>
        <v>0.74999999999999645</v>
      </c>
      <c r="K179" s="285">
        <f t="shared" si="60"/>
        <v>4472.54</v>
      </c>
      <c r="L179" s="286">
        <f t="shared" si="77"/>
        <v>0</v>
      </c>
      <c r="M179" s="286">
        <f t="shared" si="78"/>
        <v>0</v>
      </c>
      <c r="N179" s="285">
        <f t="shared" si="61"/>
        <v>4472.54</v>
      </c>
      <c r="O179" s="616">
        <f t="shared" si="62"/>
        <v>4472.54</v>
      </c>
      <c r="P179" s="289">
        <f t="shared" si="63"/>
        <v>1</v>
      </c>
      <c r="Q179" s="290">
        <f t="shared" si="64"/>
        <v>14.77</v>
      </c>
      <c r="R179" s="290">
        <f t="shared" si="65"/>
        <v>78.989999999999995</v>
      </c>
      <c r="S179" s="290">
        <f t="shared" si="66"/>
        <v>0</v>
      </c>
      <c r="T179" s="290">
        <f t="shared" si="67"/>
        <v>4566.3</v>
      </c>
      <c r="U179" s="291">
        <f t="shared" si="68"/>
        <v>4566.3</v>
      </c>
      <c r="V179" s="291">
        <f t="shared" si="72"/>
        <v>0</v>
      </c>
      <c r="W179" s="265">
        <f t="shared" si="69"/>
        <v>0</v>
      </c>
      <c r="X179" s="291">
        <f t="shared" si="73"/>
        <v>0</v>
      </c>
      <c r="Y179" s="170">
        <f t="shared" si="70"/>
        <v>169.5</v>
      </c>
      <c r="Z179" s="291">
        <f t="shared" si="71"/>
        <v>4303.04</v>
      </c>
      <c r="AC179" s="276">
        <f>IF(AI179=1,IF(AC178=MiscData!$F$1,EOMONTH(AC178,-11),EOMONTH(AC178,1)),AC178)</f>
        <v>41729</v>
      </c>
      <c r="AD179" s="275" t="str">
        <f t="shared" si="82"/>
        <v>20140101LGUM_412</v>
      </c>
      <c r="AE179" s="294" t="str">
        <f t="shared" si="83"/>
        <v xml:space="preserve">20140101LS </v>
      </c>
      <c r="AF179" s="618" t="str">
        <f t="shared" si="74"/>
        <v>412</v>
      </c>
      <c r="AH179" s="265">
        <f>MiscData!$X$5</f>
        <v>20140101</v>
      </c>
      <c r="AI179" s="265">
        <f>IF(AI178+1&gt;MiscData!$AC$77,1,AI178+1)</f>
        <v>30</v>
      </c>
      <c r="AJ179" s="265" t="str">
        <f>VLOOKUP(AI179,MiscData!$AC$5:$AD$77,2,FALSE)</f>
        <v>LGUM_412</v>
      </c>
      <c r="AK179" s="265" t="str">
        <f>VLOOKUP(AJ179,MiscData!$AD$5:$AE$77,2,FALSE)</f>
        <v xml:space="preserve">LS </v>
      </c>
      <c r="AT179" s="265" t="s">
        <v>306</v>
      </c>
      <c r="AV179" s="265">
        <v>0</v>
      </c>
    </row>
    <row r="180" spans="1:48">
      <c r="A180" s="275">
        <f t="shared" si="75"/>
        <v>177</v>
      </c>
      <c r="B180" s="276" t="str">
        <f t="shared" si="79"/>
        <v>Mar 2014</v>
      </c>
      <c r="C180" s="277" t="str">
        <f t="shared" si="80"/>
        <v xml:space="preserve">LS </v>
      </c>
      <c r="D180" s="277" t="str">
        <f t="shared" si="81"/>
        <v>LGUM_413</v>
      </c>
      <c r="E180" s="614">
        <f t="shared" si="56"/>
        <v>2077</v>
      </c>
      <c r="F180" s="615">
        <f t="shared" si="76"/>
        <v>0</v>
      </c>
      <c r="G180" s="614">
        <f t="shared" si="57"/>
        <v>85134</v>
      </c>
      <c r="H180" s="615">
        <v>0</v>
      </c>
      <c r="I180" s="283">
        <f t="shared" si="58"/>
        <v>20.49</v>
      </c>
      <c r="J180" s="283">
        <f t="shared" si="59"/>
        <v>1.0599999999999987</v>
      </c>
      <c r="K180" s="285">
        <f t="shared" si="60"/>
        <v>42557.73</v>
      </c>
      <c r="L180" s="286">
        <f t="shared" si="77"/>
        <v>39.549999999997056</v>
      </c>
      <c r="M180" s="286">
        <f t="shared" si="78"/>
        <v>0</v>
      </c>
      <c r="N180" s="285">
        <f t="shared" si="61"/>
        <v>42597.279999999999</v>
      </c>
      <c r="O180" s="616">
        <f t="shared" si="62"/>
        <v>42597.280000000006</v>
      </c>
      <c r="P180" s="289">
        <f t="shared" si="63"/>
        <v>1.0000000000000002</v>
      </c>
      <c r="Q180" s="290">
        <f t="shared" si="64"/>
        <v>186.76</v>
      </c>
      <c r="R180" s="290">
        <f t="shared" si="65"/>
        <v>760.08</v>
      </c>
      <c r="S180" s="290">
        <f t="shared" si="66"/>
        <v>0</v>
      </c>
      <c r="T180" s="290">
        <f t="shared" si="67"/>
        <v>43555.43</v>
      </c>
      <c r="U180" s="291">
        <f t="shared" si="68"/>
        <v>43544.12</v>
      </c>
      <c r="V180" s="291">
        <f t="shared" si="72"/>
        <v>11.31</v>
      </c>
      <c r="W180" s="265">
        <f t="shared" si="69"/>
        <v>11.31</v>
      </c>
      <c r="X180" s="291">
        <f t="shared" si="73"/>
        <v>0</v>
      </c>
      <c r="Y180" s="170">
        <f t="shared" si="70"/>
        <v>2201.62</v>
      </c>
      <c r="Z180" s="291">
        <f t="shared" si="71"/>
        <v>40395.660000000003</v>
      </c>
      <c r="AC180" s="276">
        <f>IF(AI180=1,IF(AC179=MiscData!$F$1,EOMONTH(AC179,-11),EOMONTH(AC179,1)),AC179)</f>
        <v>41729</v>
      </c>
      <c r="AD180" s="275" t="str">
        <f t="shared" si="82"/>
        <v>20140101LGUM_413</v>
      </c>
      <c r="AE180" s="294" t="str">
        <f t="shared" si="83"/>
        <v xml:space="preserve">20140101LS </v>
      </c>
      <c r="AF180" s="618" t="str">
        <f t="shared" si="74"/>
        <v>413</v>
      </c>
      <c r="AH180" s="265">
        <f>MiscData!$X$5</f>
        <v>20140101</v>
      </c>
      <c r="AI180" s="265">
        <f>IF(AI179+1&gt;MiscData!$AC$77,1,AI179+1)</f>
        <v>31</v>
      </c>
      <c r="AJ180" s="265" t="str">
        <f>VLOOKUP(AI180,MiscData!$AC$5:$AD$77,2,FALSE)</f>
        <v>LGUM_413</v>
      </c>
      <c r="AK180" s="265" t="str">
        <f>VLOOKUP(AJ180,MiscData!$AD$5:$AE$77,2,FALSE)</f>
        <v xml:space="preserve">LS </v>
      </c>
      <c r="AT180" s="265" t="s">
        <v>307</v>
      </c>
      <c r="AV180" s="265">
        <v>0</v>
      </c>
    </row>
    <row r="181" spans="1:48">
      <c r="A181" s="275">
        <f t="shared" si="75"/>
        <v>178</v>
      </c>
      <c r="B181" s="276" t="str">
        <f t="shared" si="79"/>
        <v>Mar 2014</v>
      </c>
      <c r="C181" s="277" t="str">
        <f t="shared" si="80"/>
        <v xml:space="preserve">LS </v>
      </c>
      <c r="D181" s="277" t="str">
        <f t="shared" si="81"/>
        <v>LGUM_415</v>
      </c>
      <c r="E181" s="614">
        <f t="shared" si="56"/>
        <v>32</v>
      </c>
      <c r="F181" s="615">
        <f t="shared" si="76"/>
        <v>0</v>
      </c>
      <c r="G181" s="614">
        <f t="shared" si="57"/>
        <v>929</v>
      </c>
      <c r="H181" s="615">
        <v>0</v>
      </c>
      <c r="I181" s="283">
        <f t="shared" si="58"/>
        <v>20.18</v>
      </c>
      <c r="J181" s="283">
        <f t="shared" si="59"/>
        <v>0.75</v>
      </c>
      <c r="K181" s="285">
        <f t="shared" si="60"/>
        <v>645.76</v>
      </c>
      <c r="L181" s="286">
        <f t="shared" si="77"/>
        <v>0</v>
      </c>
      <c r="M181" s="286">
        <f t="shared" si="78"/>
        <v>0</v>
      </c>
      <c r="N181" s="285">
        <f t="shared" si="61"/>
        <v>645.76</v>
      </c>
      <c r="O181" s="616">
        <f t="shared" si="62"/>
        <v>645.76</v>
      </c>
      <c r="P181" s="289">
        <f t="shared" si="63"/>
        <v>1</v>
      </c>
      <c r="Q181" s="290">
        <f t="shared" si="64"/>
        <v>2.0299999999999998</v>
      </c>
      <c r="R181" s="290">
        <f t="shared" si="65"/>
        <v>11.44</v>
      </c>
      <c r="S181" s="290">
        <f t="shared" si="66"/>
        <v>0</v>
      </c>
      <c r="T181" s="290">
        <f t="shared" si="67"/>
        <v>659.23</v>
      </c>
      <c r="U181" s="291">
        <f t="shared" si="68"/>
        <v>659.23</v>
      </c>
      <c r="V181" s="291">
        <f t="shared" si="72"/>
        <v>0</v>
      </c>
      <c r="W181" s="265">
        <f t="shared" si="69"/>
        <v>0</v>
      </c>
      <c r="X181" s="291">
        <f t="shared" si="73"/>
        <v>0</v>
      </c>
      <c r="Y181" s="170">
        <f t="shared" si="70"/>
        <v>24</v>
      </c>
      <c r="Z181" s="291">
        <f t="shared" si="71"/>
        <v>621.76</v>
      </c>
      <c r="AC181" s="276">
        <f>IF(AI181=1,IF(AC180=MiscData!$F$1,EOMONTH(AC180,-11),EOMONTH(AC180,1)),AC180)</f>
        <v>41729</v>
      </c>
      <c r="AD181" s="275" t="str">
        <f t="shared" si="82"/>
        <v>20140101LGUM_415</v>
      </c>
      <c r="AE181" s="294" t="str">
        <f t="shared" si="83"/>
        <v xml:space="preserve">20140101LS </v>
      </c>
      <c r="AF181" s="618" t="str">
        <f t="shared" si="74"/>
        <v>415</v>
      </c>
      <c r="AH181" s="265">
        <f>MiscData!$X$5</f>
        <v>20140101</v>
      </c>
      <c r="AI181" s="265">
        <f>IF(AI180+1&gt;MiscData!$AC$77,1,AI180+1)</f>
        <v>32</v>
      </c>
      <c r="AJ181" s="265" t="str">
        <f>VLOOKUP(AI181,MiscData!$AC$5:$AD$77,2,FALSE)</f>
        <v>LGUM_415</v>
      </c>
      <c r="AK181" s="265" t="str">
        <f>VLOOKUP(AJ181,MiscData!$AD$5:$AE$77,2,FALSE)</f>
        <v xml:space="preserve">LS </v>
      </c>
      <c r="AT181" s="265" t="s">
        <v>308</v>
      </c>
      <c r="AV181" s="265">
        <v>0</v>
      </c>
    </row>
    <row r="182" spans="1:48">
      <c r="A182" s="275">
        <f t="shared" si="75"/>
        <v>179</v>
      </c>
      <c r="B182" s="276" t="str">
        <f t="shared" si="79"/>
        <v>Mar 2014</v>
      </c>
      <c r="C182" s="277" t="str">
        <f t="shared" si="80"/>
        <v xml:space="preserve">LS </v>
      </c>
      <c r="D182" s="277" t="str">
        <f t="shared" si="81"/>
        <v>LGUM_416</v>
      </c>
      <c r="E182" s="614">
        <f t="shared" si="56"/>
        <v>1881</v>
      </c>
      <c r="F182" s="615">
        <f t="shared" si="76"/>
        <v>0</v>
      </c>
      <c r="G182" s="614">
        <f t="shared" si="57"/>
        <v>77326</v>
      </c>
      <c r="H182" s="615">
        <v>0</v>
      </c>
      <c r="I182" s="283">
        <f t="shared" si="58"/>
        <v>22.56</v>
      </c>
      <c r="J182" s="283">
        <f t="shared" si="59"/>
        <v>1.0599999999999987</v>
      </c>
      <c r="K182" s="285">
        <f t="shared" si="60"/>
        <v>42435.360000000001</v>
      </c>
      <c r="L182" s="286">
        <f t="shared" si="77"/>
        <v>-473.37999999999738</v>
      </c>
      <c r="M182" s="286">
        <f t="shared" si="78"/>
        <v>0</v>
      </c>
      <c r="N182" s="285">
        <f t="shared" si="61"/>
        <v>41961.98</v>
      </c>
      <c r="O182" s="616">
        <f t="shared" si="62"/>
        <v>41961.979999999996</v>
      </c>
      <c r="P182" s="289">
        <f t="shared" si="63"/>
        <v>0.99999999999999978</v>
      </c>
      <c r="Q182" s="290">
        <f t="shared" si="64"/>
        <v>170.07</v>
      </c>
      <c r="R182" s="290">
        <f t="shared" si="65"/>
        <v>742.09</v>
      </c>
      <c r="S182" s="290">
        <f t="shared" si="66"/>
        <v>0</v>
      </c>
      <c r="T182" s="290">
        <f t="shared" si="67"/>
        <v>42893.69</v>
      </c>
      <c r="U182" s="291">
        <f t="shared" si="68"/>
        <v>42874.14</v>
      </c>
      <c r="V182" s="291">
        <f t="shared" si="72"/>
        <v>19.55</v>
      </c>
      <c r="W182" s="265">
        <f t="shared" si="69"/>
        <v>19.55</v>
      </c>
      <c r="X182" s="291">
        <f t="shared" si="73"/>
        <v>0</v>
      </c>
      <c r="Y182" s="170">
        <f t="shared" si="70"/>
        <v>1993.86</v>
      </c>
      <c r="Z182" s="291">
        <f t="shared" si="71"/>
        <v>39968.119999999995</v>
      </c>
      <c r="AC182" s="276">
        <f>IF(AI182=1,IF(AC181=MiscData!$F$1,EOMONTH(AC181,-11),EOMONTH(AC181,1)),AC181)</f>
        <v>41729</v>
      </c>
      <c r="AD182" s="275" t="str">
        <f t="shared" si="82"/>
        <v>20140101LGUM_416</v>
      </c>
      <c r="AE182" s="294" t="str">
        <f t="shared" si="83"/>
        <v xml:space="preserve">20140101LS </v>
      </c>
      <c r="AF182" s="618" t="str">
        <f t="shared" si="74"/>
        <v>416</v>
      </c>
      <c r="AH182" s="265">
        <f>MiscData!$X$5</f>
        <v>20140101</v>
      </c>
      <c r="AI182" s="265">
        <f>IF(AI181+1&gt;MiscData!$AC$77,1,AI181+1)</f>
        <v>33</v>
      </c>
      <c r="AJ182" s="265" t="str">
        <f>VLOOKUP(AI182,MiscData!$AC$5:$AD$77,2,FALSE)</f>
        <v>LGUM_416</v>
      </c>
      <c r="AK182" s="265" t="str">
        <f>VLOOKUP(AJ182,MiscData!$AD$5:$AE$77,2,FALSE)</f>
        <v xml:space="preserve">LS </v>
      </c>
      <c r="AT182" s="265" t="s">
        <v>309</v>
      </c>
      <c r="AV182" s="265">
        <v>0</v>
      </c>
    </row>
    <row r="183" spans="1:48">
      <c r="A183" s="275">
        <f t="shared" si="75"/>
        <v>180</v>
      </c>
      <c r="B183" s="276" t="str">
        <f t="shared" si="79"/>
        <v>Mar 2014</v>
      </c>
      <c r="C183" s="277" t="str">
        <f t="shared" si="80"/>
        <v>RLS</v>
      </c>
      <c r="D183" s="277" t="str">
        <f t="shared" si="81"/>
        <v>LGUM_417</v>
      </c>
      <c r="E183" s="614">
        <f t="shared" si="56"/>
        <v>36</v>
      </c>
      <c r="F183" s="615">
        <f t="shared" si="76"/>
        <v>0</v>
      </c>
      <c r="G183" s="614">
        <f t="shared" si="57"/>
        <v>1447</v>
      </c>
      <c r="H183" s="615">
        <v>0</v>
      </c>
      <c r="I183" s="283">
        <f t="shared" si="58"/>
        <v>23.68</v>
      </c>
      <c r="J183" s="283">
        <f t="shared" si="59"/>
        <v>1.0300000000000011</v>
      </c>
      <c r="K183" s="285">
        <f t="shared" si="60"/>
        <v>852.48</v>
      </c>
      <c r="L183" s="286">
        <f t="shared" si="77"/>
        <v>0</v>
      </c>
      <c r="M183" s="286">
        <f t="shared" si="78"/>
        <v>0</v>
      </c>
      <c r="N183" s="285">
        <f t="shared" si="61"/>
        <v>852.48</v>
      </c>
      <c r="O183" s="616">
        <f t="shared" si="62"/>
        <v>852.48</v>
      </c>
      <c r="P183" s="289">
        <f t="shared" si="63"/>
        <v>1</v>
      </c>
      <c r="Q183" s="290">
        <f t="shared" si="64"/>
        <v>3.19</v>
      </c>
      <c r="R183" s="290">
        <f t="shared" si="65"/>
        <v>15.07</v>
      </c>
      <c r="S183" s="290">
        <f t="shared" si="66"/>
        <v>0</v>
      </c>
      <c r="T183" s="290">
        <f t="shared" si="67"/>
        <v>870.74</v>
      </c>
      <c r="U183" s="291">
        <f t="shared" si="68"/>
        <v>870.74000000000012</v>
      </c>
      <c r="V183" s="291">
        <f t="shared" si="72"/>
        <v>0</v>
      </c>
      <c r="W183" s="265">
        <f t="shared" si="69"/>
        <v>0</v>
      </c>
      <c r="X183" s="291">
        <f t="shared" si="73"/>
        <v>0</v>
      </c>
      <c r="Y183" s="170">
        <f t="shared" si="70"/>
        <v>37.08</v>
      </c>
      <c r="Z183" s="291">
        <f t="shared" si="71"/>
        <v>815.4</v>
      </c>
      <c r="AC183" s="276">
        <f>IF(AI183=1,IF(AC182=MiscData!$F$1,EOMONTH(AC182,-11),EOMONTH(AC182,1)),AC182)</f>
        <v>41729</v>
      </c>
      <c r="AD183" s="275" t="str">
        <f t="shared" si="82"/>
        <v>20140101LGUM_417</v>
      </c>
      <c r="AE183" s="294" t="str">
        <f t="shared" si="83"/>
        <v>20140101RLS</v>
      </c>
      <c r="AF183" s="618" t="str">
        <f t="shared" si="74"/>
        <v>417</v>
      </c>
      <c r="AH183" s="265">
        <f>MiscData!$X$5</f>
        <v>20140101</v>
      </c>
      <c r="AI183" s="265">
        <f>IF(AI182+1&gt;MiscData!$AC$77,1,AI182+1)</f>
        <v>34</v>
      </c>
      <c r="AJ183" s="265" t="str">
        <f>VLOOKUP(AI183,MiscData!$AC$5:$AD$77,2,FALSE)</f>
        <v>LGUM_417</v>
      </c>
      <c r="AK183" s="265" t="str">
        <f>VLOOKUP(AJ183,MiscData!$AD$5:$AE$77,2,FALSE)</f>
        <v>RLS</v>
      </c>
      <c r="AT183" s="265" t="s">
        <v>310</v>
      </c>
      <c r="AV183" s="265">
        <v>-6.84</v>
      </c>
    </row>
    <row r="184" spans="1:48">
      <c r="A184" s="275">
        <f t="shared" si="75"/>
        <v>181</v>
      </c>
      <c r="B184" s="276" t="str">
        <f t="shared" si="79"/>
        <v>Mar 2014</v>
      </c>
      <c r="C184" s="277" t="str">
        <f t="shared" si="80"/>
        <v>RLS</v>
      </c>
      <c r="D184" s="277" t="str">
        <f t="shared" si="81"/>
        <v>LGUM_419</v>
      </c>
      <c r="E184" s="614">
        <f t="shared" si="56"/>
        <v>113</v>
      </c>
      <c r="F184" s="615">
        <f t="shared" si="76"/>
        <v>0</v>
      </c>
      <c r="G184" s="614">
        <f t="shared" si="57"/>
        <v>7515</v>
      </c>
      <c r="H184" s="615">
        <v>0</v>
      </c>
      <c r="I184" s="283">
        <f t="shared" si="58"/>
        <v>24.77</v>
      </c>
      <c r="J184" s="283">
        <f t="shared" si="59"/>
        <v>1.6499999999999986</v>
      </c>
      <c r="K184" s="285">
        <f t="shared" si="60"/>
        <v>2799.01</v>
      </c>
      <c r="L184" s="286">
        <f t="shared" si="77"/>
        <v>0</v>
      </c>
      <c r="M184" s="286">
        <f t="shared" si="78"/>
        <v>0</v>
      </c>
      <c r="N184" s="285">
        <f t="shared" si="61"/>
        <v>2799.01</v>
      </c>
      <c r="O184" s="616">
        <f t="shared" si="62"/>
        <v>2799.01</v>
      </c>
      <c r="P184" s="289">
        <f t="shared" si="63"/>
        <v>1</v>
      </c>
      <c r="Q184" s="290">
        <f t="shared" si="64"/>
        <v>16.54</v>
      </c>
      <c r="R184" s="290">
        <f t="shared" si="65"/>
        <v>49.54</v>
      </c>
      <c r="S184" s="290">
        <f t="shared" si="66"/>
        <v>0</v>
      </c>
      <c r="T184" s="290">
        <f t="shared" si="67"/>
        <v>2865.09</v>
      </c>
      <c r="U184" s="291">
        <f t="shared" si="68"/>
        <v>2865.09</v>
      </c>
      <c r="V184" s="291">
        <f t="shared" si="72"/>
        <v>0</v>
      </c>
      <c r="W184" s="265">
        <f t="shared" si="69"/>
        <v>0</v>
      </c>
      <c r="X184" s="291">
        <f t="shared" si="73"/>
        <v>0</v>
      </c>
      <c r="Y184" s="170">
        <f t="shared" si="70"/>
        <v>186.45</v>
      </c>
      <c r="Z184" s="291">
        <f t="shared" si="71"/>
        <v>2612.5600000000004</v>
      </c>
      <c r="AC184" s="276">
        <f>IF(AI184=1,IF(AC183=MiscData!$F$1,EOMONTH(AC183,-11),EOMONTH(AC183,1)),AC183)</f>
        <v>41729</v>
      </c>
      <c r="AD184" s="275" t="str">
        <f t="shared" si="82"/>
        <v>20140101LGUM_419</v>
      </c>
      <c r="AE184" s="294" t="str">
        <f t="shared" si="83"/>
        <v>20140101RLS</v>
      </c>
      <c r="AF184" s="618" t="str">
        <f t="shared" si="74"/>
        <v>419</v>
      </c>
      <c r="AH184" s="265">
        <f>MiscData!$X$5</f>
        <v>20140101</v>
      </c>
      <c r="AI184" s="265">
        <f>IF(AI183+1&gt;MiscData!$AC$77,1,AI183+1)</f>
        <v>35</v>
      </c>
      <c r="AJ184" s="265" t="str">
        <f>VLOOKUP(AI184,MiscData!$AC$5:$AD$77,2,FALSE)</f>
        <v>LGUM_419</v>
      </c>
      <c r="AK184" s="265" t="str">
        <f>VLOOKUP(AJ184,MiscData!$AD$5:$AE$77,2,FALSE)</f>
        <v>RLS</v>
      </c>
      <c r="AT184" s="265" t="s">
        <v>311</v>
      </c>
      <c r="AV184" s="265">
        <v>0</v>
      </c>
    </row>
    <row r="185" spans="1:48">
      <c r="A185" s="275">
        <f t="shared" si="75"/>
        <v>182</v>
      </c>
      <c r="B185" s="276" t="str">
        <f t="shared" si="79"/>
        <v>Mar 2014</v>
      </c>
      <c r="C185" s="277" t="str">
        <f t="shared" si="80"/>
        <v xml:space="preserve">LS </v>
      </c>
      <c r="D185" s="277" t="str">
        <f t="shared" si="81"/>
        <v>LGUM_420</v>
      </c>
      <c r="E185" s="614">
        <f t="shared" si="56"/>
        <v>60</v>
      </c>
      <c r="F185" s="615">
        <f t="shared" si="76"/>
        <v>0</v>
      </c>
      <c r="G185" s="614">
        <f t="shared" si="57"/>
        <v>4028</v>
      </c>
      <c r="H185" s="615">
        <v>0</v>
      </c>
      <c r="I185" s="283">
        <f t="shared" si="58"/>
        <v>29.889999999999997</v>
      </c>
      <c r="J185" s="283">
        <f t="shared" si="59"/>
        <v>1.6499999999999986</v>
      </c>
      <c r="K185" s="285">
        <f t="shared" si="60"/>
        <v>1793.4</v>
      </c>
      <c r="L185" s="286">
        <f t="shared" si="77"/>
        <v>0</v>
      </c>
      <c r="M185" s="286">
        <f t="shared" si="78"/>
        <v>0</v>
      </c>
      <c r="N185" s="285">
        <f t="shared" si="61"/>
        <v>1793.4</v>
      </c>
      <c r="O185" s="616">
        <f t="shared" si="62"/>
        <v>1793.3999999999999</v>
      </c>
      <c r="P185" s="289">
        <f t="shared" si="63"/>
        <v>0.99999999999999989</v>
      </c>
      <c r="Q185" s="290">
        <f t="shared" si="64"/>
        <v>8.65</v>
      </c>
      <c r="R185" s="290">
        <f t="shared" si="65"/>
        <v>34.53</v>
      </c>
      <c r="S185" s="290">
        <f t="shared" si="66"/>
        <v>0</v>
      </c>
      <c r="T185" s="290">
        <f t="shared" si="67"/>
        <v>1836.58</v>
      </c>
      <c r="U185" s="291">
        <f t="shared" si="68"/>
        <v>1836.5800000000002</v>
      </c>
      <c r="V185" s="291">
        <f t="shared" si="72"/>
        <v>0</v>
      </c>
      <c r="W185" s="265">
        <f t="shared" si="69"/>
        <v>0</v>
      </c>
      <c r="X185" s="291">
        <f t="shared" si="73"/>
        <v>0</v>
      </c>
      <c r="Y185" s="170">
        <f t="shared" si="70"/>
        <v>99</v>
      </c>
      <c r="Z185" s="291">
        <f t="shared" si="71"/>
        <v>1694.3999999999999</v>
      </c>
      <c r="AC185" s="276">
        <f>IF(AI185=1,IF(AC184=MiscData!$F$1,EOMONTH(AC184,-11),EOMONTH(AC184,1)),AC184)</f>
        <v>41729</v>
      </c>
      <c r="AD185" s="275" t="str">
        <f t="shared" si="82"/>
        <v>20140101LGUM_420</v>
      </c>
      <c r="AE185" s="294" t="str">
        <f t="shared" si="83"/>
        <v xml:space="preserve">20140101LS </v>
      </c>
      <c r="AF185" s="618" t="str">
        <f t="shared" si="74"/>
        <v>420</v>
      </c>
      <c r="AH185" s="265">
        <f>MiscData!$X$5</f>
        <v>20140101</v>
      </c>
      <c r="AI185" s="265">
        <f>IF(AI184+1&gt;MiscData!$AC$77,1,AI184+1)</f>
        <v>36</v>
      </c>
      <c r="AJ185" s="265" t="str">
        <f>VLOOKUP(AI185,MiscData!$AC$5:$AD$77,2,FALSE)</f>
        <v>LGUM_420</v>
      </c>
      <c r="AK185" s="265" t="str">
        <f>VLOOKUP(AJ185,MiscData!$AD$5:$AE$77,2,FALSE)</f>
        <v xml:space="preserve">LS </v>
      </c>
      <c r="AT185" s="265" t="s">
        <v>312</v>
      </c>
      <c r="AV185" s="265">
        <v>0</v>
      </c>
    </row>
    <row r="186" spans="1:48">
      <c r="A186" s="275">
        <f t="shared" si="75"/>
        <v>183</v>
      </c>
      <c r="B186" s="276" t="str">
        <f t="shared" si="79"/>
        <v>Mar 2014</v>
      </c>
      <c r="C186" s="277" t="str">
        <f t="shared" si="80"/>
        <v xml:space="preserve">LS </v>
      </c>
      <c r="D186" s="277" t="str">
        <f t="shared" si="81"/>
        <v>LGUM_421</v>
      </c>
      <c r="E186" s="614">
        <f t="shared" si="56"/>
        <v>179</v>
      </c>
      <c r="F186" s="615">
        <f t="shared" si="76"/>
        <v>0</v>
      </c>
      <c r="G186" s="614">
        <f t="shared" si="57"/>
        <v>18278</v>
      </c>
      <c r="H186" s="615">
        <v>0</v>
      </c>
      <c r="I186" s="283">
        <f t="shared" si="58"/>
        <v>32.860000000000007</v>
      </c>
      <c r="J186" s="283">
        <f t="shared" si="59"/>
        <v>2.6700000000000017</v>
      </c>
      <c r="K186" s="285">
        <f t="shared" si="60"/>
        <v>5881.94</v>
      </c>
      <c r="L186" s="286">
        <f t="shared" si="77"/>
        <v>0</v>
      </c>
      <c r="M186" s="286">
        <f t="shared" si="78"/>
        <v>0</v>
      </c>
      <c r="N186" s="285">
        <f t="shared" si="61"/>
        <v>5881.94</v>
      </c>
      <c r="O186" s="616">
        <f t="shared" si="62"/>
        <v>5881.94</v>
      </c>
      <c r="P186" s="289">
        <f t="shared" si="63"/>
        <v>1</v>
      </c>
      <c r="Q186" s="290">
        <f t="shared" si="64"/>
        <v>40.159999999999997</v>
      </c>
      <c r="R186" s="290">
        <f t="shared" si="65"/>
        <v>104.69</v>
      </c>
      <c r="S186" s="290">
        <f t="shared" si="66"/>
        <v>0</v>
      </c>
      <c r="T186" s="290">
        <f t="shared" si="67"/>
        <v>6026.79</v>
      </c>
      <c r="U186" s="291">
        <f t="shared" si="68"/>
        <v>6026.7899999999991</v>
      </c>
      <c r="V186" s="291">
        <f t="shared" si="72"/>
        <v>0</v>
      </c>
      <c r="W186" s="265">
        <f t="shared" si="69"/>
        <v>0</v>
      </c>
      <c r="X186" s="291">
        <f t="shared" si="73"/>
        <v>0</v>
      </c>
      <c r="Y186" s="170">
        <f t="shared" si="70"/>
        <v>477.93</v>
      </c>
      <c r="Z186" s="291">
        <f t="shared" si="71"/>
        <v>5404.0099999999993</v>
      </c>
      <c r="AC186" s="276">
        <f>IF(AI186=1,IF(AC185=MiscData!$F$1,EOMONTH(AC185,-11),EOMONTH(AC185,1)),AC185)</f>
        <v>41729</v>
      </c>
      <c r="AD186" s="275" t="str">
        <f t="shared" si="82"/>
        <v>20140101LGUM_421</v>
      </c>
      <c r="AE186" s="294" t="str">
        <f t="shared" si="83"/>
        <v xml:space="preserve">20140101LS </v>
      </c>
      <c r="AF186" s="618" t="str">
        <f t="shared" si="74"/>
        <v>421</v>
      </c>
      <c r="AH186" s="265">
        <f>MiscData!$X$5</f>
        <v>20140101</v>
      </c>
      <c r="AI186" s="265">
        <f>IF(AI185+1&gt;MiscData!$AC$77,1,AI185+1)</f>
        <v>37</v>
      </c>
      <c r="AJ186" s="265" t="str">
        <f>VLOOKUP(AI186,MiscData!$AC$5:$AD$77,2,FALSE)</f>
        <v>LGUM_421</v>
      </c>
      <c r="AK186" s="265" t="str">
        <f>VLOOKUP(AJ186,MiscData!$AD$5:$AE$77,2,FALSE)</f>
        <v xml:space="preserve">LS </v>
      </c>
      <c r="AT186" s="265" t="s">
        <v>313</v>
      </c>
      <c r="AV186" s="265">
        <v>0</v>
      </c>
    </row>
    <row r="187" spans="1:48">
      <c r="A187" s="275">
        <f t="shared" si="75"/>
        <v>184</v>
      </c>
      <c r="B187" s="276" t="str">
        <f t="shared" si="79"/>
        <v>Mar 2014</v>
      </c>
      <c r="C187" s="277" t="str">
        <f t="shared" si="80"/>
        <v xml:space="preserve">LS </v>
      </c>
      <c r="D187" s="277" t="str">
        <f t="shared" si="81"/>
        <v>LGUM_422</v>
      </c>
      <c r="E187" s="614">
        <f t="shared" si="56"/>
        <v>434</v>
      </c>
      <c r="F187" s="615">
        <f t="shared" si="76"/>
        <v>0</v>
      </c>
      <c r="G187" s="614">
        <f t="shared" si="57"/>
        <v>72281</v>
      </c>
      <c r="H187" s="615">
        <v>0</v>
      </c>
      <c r="I187" s="283">
        <f t="shared" si="58"/>
        <v>38.389999999999993</v>
      </c>
      <c r="J187" s="283">
        <f t="shared" si="59"/>
        <v>4.279999999999994</v>
      </c>
      <c r="K187" s="285">
        <f t="shared" si="60"/>
        <v>16661.259999999998</v>
      </c>
      <c r="L187" s="286">
        <f t="shared" si="77"/>
        <v>-120.06</v>
      </c>
      <c r="M187" s="286">
        <f t="shared" si="78"/>
        <v>0</v>
      </c>
      <c r="N187" s="285">
        <f t="shared" si="61"/>
        <v>16541.199999999997</v>
      </c>
      <c r="O187" s="616">
        <f t="shared" si="62"/>
        <v>16541.2</v>
      </c>
      <c r="P187" s="289">
        <f t="shared" si="63"/>
        <v>1.0000000000000002</v>
      </c>
      <c r="Q187" s="290">
        <f t="shared" si="64"/>
        <v>154.5</v>
      </c>
      <c r="R187" s="290">
        <f t="shared" si="65"/>
        <v>316.12</v>
      </c>
      <c r="S187" s="290">
        <f t="shared" si="66"/>
        <v>0</v>
      </c>
      <c r="T187" s="290">
        <f t="shared" si="67"/>
        <v>17011.82</v>
      </c>
      <c r="U187" s="291">
        <f t="shared" si="68"/>
        <v>17011.819999999996</v>
      </c>
      <c r="V187" s="291">
        <f t="shared" si="72"/>
        <v>0</v>
      </c>
      <c r="W187" s="265">
        <f t="shared" si="69"/>
        <v>0</v>
      </c>
      <c r="X187" s="291">
        <f t="shared" si="73"/>
        <v>0</v>
      </c>
      <c r="Y187" s="170">
        <f t="shared" si="70"/>
        <v>1857.52</v>
      </c>
      <c r="Z187" s="291">
        <f t="shared" si="71"/>
        <v>14683.68</v>
      </c>
      <c r="AC187" s="276">
        <f>IF(AI187=1,IF(AC186=MiscData!$F$1,EOMONTH(AC186,-11),EOMONTH(AC186,1)),AC186)</f>
        <v>41729</v>
      </c>
      <c r="AD187" s="275" t="str">
        <f t="shared" si="82"/>
        <v>20140101LGUM_422</v>
      </c>
      <c r="AE187" s="294" t="str">
        <f t="shared" si="83"/>
        <v xml:space="preserve">20140101LS </v>
      </c>
      <c r="AF187" s="618" t="str">
        <f t="shared" si="74"/>
        <v>422</v>
      </c>
      <c r="AH187" s="265">
        <f>MiscData!$X$5</f>
        <v>20140101</v>
      </c>
      <c r="AI187" s="265">
        <f>IF(AI186+1&gt;MiscData!$AC$77,1,AI186+1)</f>
        <v>38</v>
      </c>
      <c r="AJ187" s="265" t="str">
        <f>VLOOKUP(AI187,MiscData!$AC$5:$AD$77,2,FALSE)</f>
        <v>LGUM_422</v>
      </c>
      <c r="AK187" s="265" t="str">
        <f>VLOOKUP(AJ187,MiscData!$AD$5:$AE$77,2,FALSE)</f>
        <v xml:space="preserve">LS </v>
      </c>
      <c r="AT187" s="265" t="s">
        <v>314</v>
      </c>
      <c r="AV187" s="265">
        <v>0</v>
      </c>
    </row>
    <row r="188" spans="1:48">
      <c r="A188" s="275">
        <f t="shared" si="75"/>
        <v>185</v>
      </c>
      <c r="B188" s="276" t="str">
        <f t="shared" si="79"/>
        <v>Mar 2014</v>
      </c>
      <c r="C188" s="277" t="str">
        <f t="shared" si="80"/>
        <v xml:space="preserve">LS </v>
      </c>
      <c r="D188" s="277" t="str">
        <f t="shared" si="81"/>
        <v>LGUM_423</v>
      </c>
      <c r="E188" s="614">
        <f t="shared" si="56"/>
        <v>17</v>
      </c>
      <c r="F188" s="615">
        <f t="shared" si="76"/>
        <v>0</v>
      </c>
      <c r="G188" s="614">
        <f t="shared" si="57"/>
        <v>1073</v>
      </c>
      <c r="H188" s="615">
        <v>0</v>
      </c>
      <c r="I188" s="283">
        <f t="shared" si="58"/>
        <v>26.349999999999998</v>
      </c>
      <c r="J188" s="283">
        <f t="shared" si="59"/>
        <v>1.6500000000000021</v>
      </c>
      <c r="K188" s="285">
        <f t="shared" si="60"/>
        <v>447.95</v>
      </c>
      <c r="L188" s="286">
        <f t="shared" si="77"/>
        <v>0</v>
      </c>
      <c r="M188" s="286">
        <f t="shared" si="78"/>
        <v>0</v>
      </c>
      <c r="N188" s="285">
        <f t="shared" si="61"/>
        <v>447.95</v>
      </c>
      <c r="O188" s="616">
        <f t="shared" si="62"/>
        <v>447.95</v>
      </c>
      <c r="P188" s="289">
        <f t="shared" si="63"/>
        <v>1</v>
      </c>
      <c r="Q188" s="290">
        <f t="shared" si="64"/>
        <v>2.36</v>
      </c>
      <c r="R188" s="290">
        <f t="shared" si="65"/>
        <v>7.96</v>
      </c>
      <c r="S188" s="290">
        <f t="shared" si="66"/>
        <v>0</v>
      </c>
      <c r="T188" s="290">
        <f t="shared" si="67"/>
        <v>458.27</v>
      </c>
      <c r="U188" s="291">
        <f t="shared" si="68"/>
        <v>458.27</v>
      </c>
      <c r="V188" s="291">
        <f t="shared" si="72"/>
        <v>0</v>
      </c>
      <c r="W188" s="265">
        <f t="shared" si="69"/>
        <v>0</v>
      </c>
      <c r="X188" s="291">
        <f t="shared" si="73"/>
        <v>0</v>
      </c>
      <c r="Y188" s="170">
        <f t="shared" si="70"/>
        <v>28.05</v>
      </c>
      <c r="Z188" s="291">
        <f t="shared" si="71"/>
        <v>419.9</v>
      </c>
      <c r="AC188" s="276">
        <f>IF(AI188=1,IF(AC187=MiscData!$F$1,EOMONTH(AC187,-11),EOMONTH(AC187,1)),AC187)</f>
        <v>41729</v>
      </c>
      <c r="AD188" s="275" t="str">
        <f t="shared" si="82"/>
        <v>20140101LGUM_423</v>
      </c>
      <c r="AE188" s="294" t="str">
        <f t="shared" si="83"/>
        <v xml:space="preserve">20140101LS </v>
      </c>
      <c r="AF188" s="618" t="str">
        <f t="shared" si="74"/>
        <v>423</v>
      </c>
      <c r="AH188" s="265">
        <f>MiscData!$X$5</f>
        <v>20140101</v>
      </c>
      <c r="AI188" s="265">
        <f>IF(AI187+1&gt;MiscData!$AC$77,1,AI187+1)</f>
        <v>39</v>
      </c>
      <c r="AJ188" s="265" t="str">
        <f>VLOOKUP(AI188,MiscData!$AC$5:$AD$77,2,FALSE)</f>
        <v>LGUM_423</v>
      </c>
      <c r="AK188" s="265" t="str">
        <f>VLOOKUP(AJ188,MiscData!$AD$5:$AE$77,2,FALSE)</f>
        <v xml:space="preserve">LS </v>
      </c>
      <c r="AT188" s="265" t="s">
        <v>592</v>
      </c>
      <c r="AV188" s="265">
        <v>0</v>
      </c>
    </row>
    <row r="189" spans="1:48">
      <c r="A189" s="275">
        <f t="shared" si="75"/>
        <v>186</v>
      </c>
      <c r="B189" s="276" t="str">
        <f t="shared" si="79"/>
        <v>Mar 2014</v>
      </c>
      <c r="C189" s="277" t="str">
        <f t="shared" si="80"/>
        <v xml:space="preserve">LS </v>
      </c>
      <c r="D189" s="277" t="str">
        <f t="shared" si="81"/>
        <v>LGUM_424</v>
      </c>
      <c r="E189" s="614">
        <f t="shared" si="56"/>
        <v>394</v>
      </c>
      <c r="F189" s="615">
        <f t="shared" si="76"/>
        <v>0</v>
      </c>
      <c r="G189" s="614">
        <f t="shared" si="57"/>
        <v>38530</v>
      </c>
      <c r="H189" s="615">
        <v>0</v>
      </c>
      <c r="I189" s="283">
        <f t="shared" si="58"/>
        <v>28.45</v>
      </c>
      <c r="J189" s="283">
        <f t="shared" si="59"/>
        <v>3.9800000000000004</v>
      </c>
      <c r="K189" s="285">
        <f t="shared" si="60"/>
        <v>11209.3</v>
      </c>
      <c r="L189" s="286">
        <f t="shared" si="77"/>
        <v>196.20000000000073</v>
      </c>
      <c r="M189" s="286">
        <f t="shared" si="78"/>
        <v>0</v>
      </c>
      <c r="N189" s="285">
        <f t="shared" si="61"/>
        <v>11405.5</v>
      </c>
      <c r="O189" s="616">
        <f t="shared" si="62"/>
        <v>11405.5</v>
      </c>
      <c r="P189" s="289">
        <f t="shared" si="63"/>
        <v>1</v>
      </c>
      <c r="Q189" s="290">
        <f t="shared" si="64"/>
        <v>84.76</v>
      </c>
      <c r="R189" s="290">
        <f t="shared" si="65"/>
        <v>202.22</v>
      </c>
      <c r="S189" s="290">
        <f t="shared" si="66"/>
        <v>0</v>
      </c>
      <c r="T189" s="290">
        <f t="shared" si="67"/>
        <v>11692.48</v>
      </c>
      <c r="U189" s="291">
        <f t="shared" si="68"/>
        <v>11692.48</v>
      </c>
      <c r="V189" s="291">
        <f t="shared" si="72"/>
        <v>0</v>
      </c>
      <c r="W189" s="265">
        <f t="shared" si="69"/>
        <v>0</v>
      </c>
      <c r="X189" s="291">
        <f t="shared" si="73"/>
        <v>0</v>
      </c>
      <c r="Y189" s="170">
        <f t="shared" si="70"/>
        <v>1568.12</v>
      </c>
      <c r="Z189" s="291">
        <f t="shared" si="71"/>
        <v>9837.380000000001</v>
      </c>
      <c r="AC189" s="276">
        <f>IF(AI189=1,IF(AC188=MiscData!$F$1,EOMONTH(AC188,-11),EOMONTH(AC188,1)),AC188)</f>
        <v>41729</v>
      </c>
      <c r="AD189" s="275" t="str">
        <f t="shared" si="82"/>
        <v>20140101LGUM_424</v>
      </c>
      <c r="AE189" s="294" t="str">
        <f t="shared" si="83"/>
        <v xml:space="preserve">20140101LS </v>
      </c>
      <c r="AF189" s="618" t="str">
        <f t="shared" si="74"/>
        <v>424</v>
      </c>
      <c r="AH189" s="265">
        <f>MiscData!$X$5</f>
        <v>20140101</v>
      </c>
      <c r="AI189" s="265">
        <f>IF(AI188+1&gt;MiscData!$AC$77,1,AI188+1)</f>
        <v>40</v>
      </c>
      <c r="AJ189" s="265" t="str">
        <f>VLOOKUP(AI189,MiscData!$AC$5:$AD$77,2,FALSE)</f>
        <v>LGUM_424</v>
      </c>
      <c r="AK189" s="265" t="str">
        <f>VLOOKUP(AJ189,MiscData!$AD$5:$AE$77,2,FALSE)</f>
        <v xml:space="preserve">LS </v>
      </c>
      <c r="AT189" s="265" t="s">
        <v>593</v>
      </c>
      <c r="AV189" s="265">
        <v>0</v>
      </c>
    </row>
    <row r="190" spans="1:48">
      <c r="A190" s="275">
        <f t="shared" si="75"/>
        <v>187</v>
      </c>
      <c r="B190" s="276" t="str">
        <f t="shared" si="79"/>
        <v>Mar 2014</v>
      </c>
      <c r="C190" s="277" t="str">
        <f t="shared" si="80"/>
        <v xml:space="preserve">LS </v>
      </c>
      <c r="D190" s="277" t="str">
        <f t="shared" si="81"/>
        <v>LGUM_425</v>
      </c>
      <c r="E190" s="614">
        <f t="shared" si="56"/>
        <v>35</v>
      </c>
      <c r="F190" s="615">
        <f t="shared" si="76"/>
        <v>0</v>
      </c>
      <c r="G190" s="614">
        <f t="shared" si="57"/>
        <v>5706</v>
      </c>
      <c r="H190" s="615">
        <v>0</v>
      </c>
      <c r="I190" s="283">
        <f t="shared" si="58"/>
        <v>34.029999999999994</v>
      </c>
      <c r="J190" s="283">
        <f t="shared" si="59"/>
        <v>4.2799999999999976</v>
      </c>
      <c r="K190" s="285">
        <f t="shared" si="60"/>
        <v>1191.05</v>
      </c>
      <c r="L190" s="286">
        <f t="shared" si="77"/>
        <v>0</v>
      </c>
      <c r="M190" s="286">
        <f t="shared" si="78"/>
        <v>0</v>
      </c>
      <c r="N190" s="285">
        <f t="shared" si="61"/>
        <v>1191.05</v>
      </c>
      <c r="O190" s="616">
        <f t="shared" si="62"/>
        <v>1191.05</v>
      </c>
      <c r="P190" s="289">
        <f t="shared" si="63"/>
        <v>1</v>
      </c>
      <c r="Q190" s="290">
        <f t="shared" si="64"/>
        <v>12.27</v>
      </c>
      <c r="R190" s="290">
        <f t="shared" si="65"/>
        <v>22.76</v>
      </c>
      <c r="S190" s="290">
        <f t="shared" si="66"/>
        <v>0</v>
      </c>
      <c r="T190" s="290">
        <f t="shared" si="67"/>
        <v>1226.08</v>
      </c>
      <c r="U190" s="291">
        <f t="shared" si="68"/>
        <v>1226.08</v>
      </c>
      <c r="V190" s="291">
        <f t="shared" si="72"/>
        <v>0</v>
      </c>
      <c r="W190" s="265">
        <f t="shared" si="69"/>
        <v>0</v>
      </c>
      <c r="X190" s="291">
        <f t="shared" si="73"/>
        <v>0</v>
      </c>
      <c r="Y190" s="170">
        <f t="shared" si="70"/>
        <v>149.80000000000001</v>
      </c>
      <c r="Z190" s="291">
        <f t="shared" si="71"/>
        <v>1041.25</v>
      </c>
      <c r="AC190" s="276">
        <f>IF(AI190=1,IF(AC189=MiscData!$F$1,EOMONTH(AC189,-11),EOMONTH(AC189,1)),AC189)</f>
        <v>41729</v>
      </c>
      <c r="AD190" s="275" t="str">
        <f t="shared" si="82"/>
        <v>20140101LGUM_425</v>
      </c>
      <c r="AE190" s="294" t="str">
        <f t="shared" si="83"/>
        <v xml:space="preserve">20140101LS </v>
      </c>
      <c r="AF190" s="618" t="str">
        <f t="shared" si="74"/>
        <v>425</v>
      </c>
      <c r="AH190" s="265">
        <f>MiscData!$X$5</f>
        <v>20140101</v>
      </c>
      <c r="AI190" s="265">
        <f>IF(AI189+1&gt;MiscData!$AC$77,1,AI189+1)</f>
        <v>41</v>
      </c>
      <c r="AJ190" s="265" t="str">
        <f>VLOOKUP(AI190,MiscData!$AC$5:$AD$77,2,FALSE)</f>
        <v>LGUM_425</v>
      </c>
      <c r="AK190" s="265" t="str">
        <f>VLOOKUP(AJ190,MiscData!$AD$5:$AE$77,2,FALSE)</f>
        <v xml:space="preserve">LS </v>
      </c>
      <c r="AT190" s="265" t="s">
        <v>315</v>
      </c>
      <c r="AV190" s="265">
        <v>0</v>
      </c>
    </row>
    <row r="191" spans="1:48">
      <c r="A191" s="275">
        <f t="shared" si="75"/>
        <v>188</v>
      </c>
      <c r="B191" s="276" t="str">
        <f t="shared" si="79"/>
        <v>Mar 2014</v>
      </c>
      <c r="C191" s="277" t="str">
        <f t="shared" si="80"/>
        <v>RLS</v>
      </c>
      <c r="D191" s="277" t="str">
        <f t="shared" si="81"/>
        <v>LGUM_426</v>
      </c>
      <c r="E191" s="614">
        <f t="shared" si="56"/>
        <v>41</v>
      </c>
      <c r="F191" s="615">
        <f t="shared" si="76"/>
        <v>0</v>
      </c>
      <c r="G191" s="614">
        <f t="shared" si="57"/>
        <v>1210</v>
      </c>
      <c r="H191" s="615">
        <v>0</v>
      </c>
      <c r="I191" s="283">
        <f t="shared" si="58"/>
        <v>33.22</v>
      </c>
      <c r="J191" s="283">
        <f t="shared" si="59"/>
        <v>0.75</v>
      </c>
      <c r="K191" s="285">
        <f t="shared" si="60"/>
        <v>1362.02</v>
      </c>
      <c r="L191" s="286">
        <f t="shared" si="77"/>
        <v>0</v>
      </c>
      <c r="M191" s="286">
        <f t="shared" si="78"/>
        <v>0</v>
      </c>
      <c r="N191" s="285">
        <f t="shared" si="61"/>
        <v>1362.02</v>
      </c>
      <c r="O191" s="616">
        <f t="shared" si="62"/>
        <v>1362.0200000000002</v>
      </c>
      <c r="P191" s="289">
        <f t="shared" si="63"/>
        <v>1.0000000000000002</v>
      </c>
      <c r="Q191" s="290">
        <f t="shared" si="64"/>
        <v>2.66</v>
      </c>
      <c r="R191" s="290">
        <f t="shared" si="65"/>
        <v>24.39</v>
      </c>
      <c r="S191" s="290">
        <f t="shared" si="66"/>
        <v>0</v>
      </c>
      <c r="T191" s="290">
        <f t="shared" si="67"/>
        <v>1410.43</v>
      </c>
      <c r="U191" s="291">
        <f t="shared" si="68"/>
        <v>1389.0700000000002</v>
      </c>
      <c r="V191" s="291">
        <f t="shared" si="72"/>
        <v>21.36</v>
      </c>
      <c r="W191" s="265">
        <f t="shared" si="69"/>
        <v>21.36</v>
      </c>
      <c r="X191" s="291">
        <f t="shared" si="73"/>
        <v>0</v>
      </c>
      <c r="Y191" s="170">
        <f t="shared" si="70"/>
        <v>30.75</v>
      </c>
      <c r="Z191" s="291">
        <f t="shared" si="71"/>
        <v>1331.2700000000002</v>
      </c>
      <c r="AC191" s="276">
        <f>IF(AI191=1,IF(AC190=MiscData!$F$1,EOMONTH(AC190,-11),EOMONTH(AC190,1)),AC190)</f>
        <v>41729</v>
      </c>
      <c r="AD191" s="275" t="str">
        <f t="shared" si="82"/>
        <v>20140101LGUM_426</v>
      </c>
      <c r="AE191" s="294" t="str">
        <f t="shared" si="83"/>
        <v>20140101RLS</v>
      </c>
      <c r="AF191" s="618" t="str">
        <f t="shared" si="74"/>
        <v>426</v>
      </c>
      <c r="AH191" s="265">
        <f>MiscData!$X$5</f>
        <v>20140101</v>
      </c>
      <c r="AI191" s="265">
        <f>IF(AI190+1&gt;MiscData!$AC$77,1,AI190+1)</f>
        <v>42</v>
      </c>
      <c r="AJ191" s="265" t="str">
        <f>VLOOKUP(AI191,MiscData!$AC$5:$AD$77,2,FALSE)</f>
        <v>LGUM_426</v>
      </c>
      <c r="AK191" s="265" t="str">
        <f>VLOOKUP(AJ191,MiscData!$AD$5:$AE$77,2,FALSE)</f>
        <v>RLS</v>
      </c>
      <c r="AT191" s="265" t="s">
        <v>316</v>
      </c>
      <c r="AV191" s="265">
        <v>0</v>
      </c>
    </row>
    <row r="192" spans="1:48">
      <c r="A192" s="275">
        <f t="shared" si="75"/>
        <v>189</v>
      </c>
      <c r="B192" s="276" t="str">
        <f t="shared" si="79"/>
        <v>Mar 2014</v>
      </c>
      <c r="C192" s="277" t="str">
        <f t="shared" si="80"/>
        <v xml:space="preserve">LS </v>
      </c>
      <c r="D192" s="277" t="str">
        <f t="shared" si="81"/>
        <v>LGUM_427</v>
      </c>
      <c r="E192" s="614">
        <f t="shared" si="56"/>
        <v>53</v>
      </c>
      <c r="F192" s="615">
        <f t="shared" si="76"/>
        <v>0</v>
      </c>
      <c r="G192" s="614">
        <f t="shared" si="57"/>
        <v>1564</v>
      </c>
      <c r="H192" s="615">
        <v>0</v>
      </c>
      <c r="I192" s="283">
        <f t="shared" si="58"/>
        <v>35.199999999999996</v>
      </c>
      <c r="J192" s="283">
        <f t="shared" si="59"/>
        <v>0.75</v>
      </c>
      <c r="K192" s="285">
        <f t="shared" si="60"/>
        <v>1865.6</v>
      </c>
      <c r="L192" s="286">
        <f t="shared" si="77"/>
        <v>0</v>
      </c>
      <c r="M192" s="286">
        <f t="shared" si="78"/>
        <v>0</v>
      </c>
      <c r="N192" s="285">
        <f t="shared" si="61"/>
        <v>1865.6</v>
      </c>
      <c r="O192" s="616">
        <f t="shared" si="62"/>
        <v>1865.6000000000001</v>
      </c>
      <c r="P192" s="289">
        <f t="shared" si="63"/>
        <v>1.0000000000000002</v>
      </c>
      <c r="Q192" s="290">
        <f t="shared" si="64"/>
        <v>3.44</v>
      </c>
      <c r="R192" s="290">
        <f t="shared" si="65"/>
        <v>33.79</v>
      </c>
      <c r="S192" s="290">
        <f t="shared" si="66"/>
        <v>0</v>
      </c>
      <c r="T192" s="290">
        <f t="shared" si="67"/>
        <v>1953.69</v>
      </c>
      <c r="U192" s="291">
        <f t="shared" si="68"/>
        <v>1902.83</v>
      </c>
      <c r="V192" s="291">
        <f t="shared" si="72"/>
        <v>50.86</v>
      </c>
      <c r="W192" s="265">
        <f t="shared" si="69"/>
        <v>50.86</v>
      </c>
      <c r="X192" s="291">
        <f t="shared" si="73"/>
        <v>0</v>
      </c>
      <c r="Y192" s="170">
        <f t="shared" si="70"/>
        <v>39.75</v>
      </c>
      <c r="Z192" s="291">
        <f t="shared" si="71"/>
        <v>1825.8500000000001</v>
      </c>
      <c r="AC192" s="276">
        <f>IF(AI192=1,IF(AC191=MiscData!$F$1,EOMONTH(AC191,-11),EOMONTH(AC191,1)),AC191)</f>
        <v>41729</v>
      </c>
      <c r="AD192" s="275" t="str">
        <f t="shared" si="82"/>
        <v>20140101LGUM_427</v>
      </c>
      <c r="AE192" s="294" t="str">
        <f t="shared" si="83"/>
        <v xml:space="preserve">20140101LS </v>
      </c>
      <c r="AF192" s="618" t="str">
        <f t="shared" si="74"/>
        <v>427</v>
      </c>
      <c r="AH192" s="265">
        <f>MiscData!$X$5</f>
        <v>20140101</v>
      </c>
      <c r="AI192" s="265">
        <f>IF(AI191+1&gt;MiscData!$AC$77,1,AI191+1)</f>
        <v>43</v>
      </c>
      <c r="AJ192" s="265" t="str">
        <f>VLOOKUP(AI192,MiscData!$AC$5:$AD$77,2,FALSE)</f>
        <v>LGUM_427</v>
      </c>
      <c r="AK192" s="265" t="str">
        <f>VLOOKUP(AJ192,MiscData!$AD$5:$AE$77,2,FALSE)</f>
        <v xml:space="preserve">LS </v>
      </c>
      <c r="AT192" s="265" t="s">
        <v>317</v>
      </c>
      <c r="AV192" s="265">
        <v>0</v>
      </c>
    </row>
    <row r="193" spans="1:48">
      <c r="A193" s="275">
        <f t="shared" si="75"/>
        <v>190</v>
      </c>
      <c r="B193" s="276" t="str">
        <f t="shared" si="79"/>
        <v>Mar 2014</v>
      </c>
      <c r="C193" s="277" t="str">
        <f t="shared" si="80"/>
        <v>RLS</v>
      </c>
      <c r="D193" s="277" t="str">
        <f t="shared" si="81"/>
        <v>LGUM_428</v>
      </c>
      <c r="E193" s="614">
        <f t="shared" si="56"/>
        <v>208</v>
      </c>
      <c r="F193" s="615">
        <f t="shared" si="76"/>
        <v>0</v>
      </c>
      <c r="G193" s="614">
        <f t="shared" si="57"/>
        <v>8519</v>
      </c>
      <c r="H193" s="615">
        <v>0</v>
      </c>
      <c r="I193" s="283">
        <f t="shared" si="58"/>
        <v>34.090000000000003</v>
      </c>
      <c r="J193" s="283">
        <f t="shared" si="59"/>
        <v>1.0600000000000023</v>
      </c>
      <c r="K193" s="285">
        <f t="shared" si="60"/>
        <v>7090.72</v>
      </c>
      <c r="L193" s="286">
        <f t="shared" si="77"/>
        <v>0</v>
      </c>
      <c r="M193" s="286">
        <f t="shared" si="78"/>
        <v>0</v>
      </c>
      <c r="N193" s="285">
        <f t="shared" si="61"/>
        <v>7090.72</v>
      </c>
      <c r="O193" s="616">
        <f t="shared" si="62"/>
        <v>7090.72</v>
      </c>
      <c r="P193" s="289">
        <f t="shared" si="63"/>
        <v>1</v>
      </c>
      <c r="Q193" s="290">
        <f t="shared" si="64"/>
        <v>18.73</v>
      </c>
      <c r="R193" s="290">
        <f t="shared" si="65"/>
        <v>129.80000000000001</v>
      </c>
      <c r="S193" s="290">
        <f t="shared" si="66"/>
        <v>0</v>
      </c>
      <c r="T193" s="290">
        <f t="shared" si="67"/>
        <v>7505.52</v>
      </c>
      <c r="U193" s="291">
        <f t="shared" si="68"/>
        <v>7239.25</v>
      </c>
      <c r="V193" s="291">
        <f t="shared" si="72"/>
        <v>266.27</v>
      </c>
      <c r="W193" s="265">
        <f t="shared" si="69"/>
        <v>266.27</v>
      </c>
      <c r="X193" s="291">
        <f t="shared" si="73"/>
        <v>0</v>
      </c>
      <c r="Y193" s="170">
        <f t="shared" si="70"/>
        <v>220.48</v>
      </c>
      <c r="Z193" s="291">
        <f t="shared" si="71"/>
        <v>6870.2400000000007</v>
      </c>
      <c r="AC193" s="276">
        <f>IF(AI193=1,IF(AC192=MiscData!$F$1,EOMONTH(AC192,-11),EOMONTH(AC192,1)),AC192)</f>
        <v>41729</v>
      </c>
      <c r="AD193" s="275" t="str">
        <f t="shared" si="82"/>
        <v>20140101LGUM_428</v>
      </c>
      <c r="AE193" s="294" t="str">
        <f t="shared" si="83"/>
        <v>20140101RLS</v>
      </c>
      <c r="AF193" s="618" t="str">
        <f t="shared" si="74"/>
        <v>428</v>
      </c>
      <c r="AH193" s="265">
        <f>MiscData!$X$5</f>
        <v>20140101</v>
      </c>
      <c r="AI193" s="265">
        <f>IF(AI192+1&gt;MiscData!$AC$77,1,AI192+1)</f>
        <v>44</v>
      </c>
      <c r="AJ193" s="265" t="str">
        <f>VLOOKUP(AI193,MiscData!$AC$5:$AD$77,2,FALSE)</f>
        <v>LGUM_428</v>
      </c>
      <c r="AK193" s="265" t="str">
        <f>VLOOKUP(AJ193,MiscData!$AD$5:$AE$77,2,FALSE)</f>
        <v>RLS</v>
      </c>
      <c r="AT193" s="265" t="s">
        <v>318</v>
      </c>
      <c r="AV193" s="265">
        <v>0</v>
      </c>
    </row>
    <row r="194" spans="1:48">
      <c r="A194" s="275">
        <f t="shared" si="75"/>
        <v>191</v>
      </c>
      <c r="B194" s="276" t="str">
        <f t="shared" si="79"/>
        <v>Mar 2014</v>
      </c>
      <c r="C194" s="277" t="str">
        <f t="shared" si="80"/>
        <v xml:space="preserve">LS </v>
      </c>
      <c r="D194" s="277" t="str">
        <f t="shared" si="81"/>
        <v>LGUM_429</v>
      </c>
      <c r="E194" s="614">
        <f t="shared" si="56"/>
        <v>193</v>
      </c>
      <c r="F194" s="615">
        <f t="shared" si="76"/>
        <v>0</v>
      </c>
      <c r="G194" s="614">
        <f t="shared" si="57"/>
        <v>7505</v>
      </c>
      <c r="H194" s="615">
        <v>0</v>
      </c>
      <c r="I194" s="283">
        <f t="shared" si="58"/>
        <v>36.07</v>
      </c>
      <c r="J194" s="283">
        <f t="shared" si="59"/>
        <v>1.0599999999999952</v>
      </c>
      <c r="K194" s="285">
        <f t="shared" si="60"/>
        <v>6961.51</v>
      </c>
      <c r="L194" s="286">
        <f t="shared" si="77"/>
        <v>0</v>
      </c>
      <c r="M194" s="286">
        <f t="shared" si="78"/>
        <v>0</v>
      </c>
      <c r="N194" s="285">
        <f t="shared" si="61"/>
        <v>6961.51</v>
      </c>
      <c r="O194" s="616">
        <f t="shared" si="62"/>
        <v>6961.51</v>
      </c>
      <c r="P194" s="289">
        <f t="shared" si="63"/>
        <v>1</v>
      </c>
      <c r="Q194" s="290">
        <f t="shared" si="64"/>
        <v>15.55</v>
      </c>
      <c r="R194" s="290">
        <f t="shared" si="65"/>
        <v>157.96</v>
      </c>
      <c r="S194" s="290">
        <f t="shared" si="66"/>
        <v>0</v>
      </c>
      <c r="T194" s="290">
        <f t="shared" si="67"/>
        <v>7770.59</v>
      </c>
      <c r="U194" s="291">
        <f t="shared" si="68"/>
        <v>7135.02</v>
      </c>
      <c r="V194" s="291">
        <f t="shared" si="72"/>
        <v>635.57000000000005</v>
      </c>
      <c r="W194" s="265">
        <f t="shared" si="69"/>
        <v>635.57000000000005</v>
      </c>
      <c r="X194" s="291">
        <f t="shared" si="73"/>
        <v>0</v>
      </c>
      <c r="Y194" s="170">
        <f t="shared" si="70"/>
        <v>204.58</v>
      </c>
      <c r="Z194" s="291">
        <f t="shared" si="71"/>
        <v>6756.93</v>
      </c>
      <c r="AC194" s="276">
        <f>IF(AI194=1,IF(AC193=MiscData!$F$1,EOMONTH(AC193,-11),EOMONTH(AC193,1)),AC193)</f>
        <v>41729</v>
      </c>
      <c r="AD194" s="275" t="str">
        <f t="shared" si="82"/>
        <v>20140101LGUM_429</v>
      </c>
      <c r="AE194" s="294" t="str">
        <f t="shared" si="83"/>
        <v xml:space="preserve">20140101LS </v>
      </c>
      <c r="AF194" s="618" t="str">
        <f t="shared" si="74"/>
        <v>429</v>
      </c>
      <c r="AH194" s="265">
        <f>MiscData!$X$5</f>
        <v>20140101</v>
      </c>
      <c r="AI194" s="265">
        <f>IF(AI193+1&gt;MiscData!$AC$77,1,AI193+1)</f>
        <v>45</v>
      </c>
      <c r="AJ194" s="265" t="str">
        <f>VLOOKUP(AI194,MiscData!$AC$5:$AD$77,2,FALSE)</f>
        <v>LGUM_429</v>
      </c>
      <c r="AK194" s="265" t="str">
        <f>VLOOKUP(AJ194,MiscData!$AD$5:$AE$77,2,FALSE)</f>
        <v xml:space="preserve">LS </v>
      </c>
      <c r="AT194" s="265" t="s">
        <v>319</v>
      </c>
      <c r="AV194" s="265">
        <v>0</v>
      </c>
    </row>
    <row r="195" spans="1:48">
      <c r="A195" s="275">
        <f t="shared" si="75"/>
        <v>192</v>
      </c>
      <c r="B195" s="276" t="str">
        <f t="shared" si="79"/>
        <v>Mar 2014</v>
      </c>
      <c r="C195" s="277" t="str">
        <f t="shared" si="80"/>
        <v>RLS</v>
      </c>
      <c r="D195" s="277" t="str">
        <f t="shared" si="81"/>
        <v>LGUM_430</v>
      </c>
      <c r="E195" s="614">
        <f t="shared" si="56"/>
        <v>13</v>
      </c>
      <c r="F195" s="615">
        <f t="shared" si="76"/>
        <v>0</v>
      </c>
      <c r="G195" s="614">
        <f t="shared" si="57"/>
        <v>356</v>
      </c>
      <c r="H195" s="615">
        <v>0</v>
      </c>
      <c r="I195" s="283">
        <f t="shared" si="58"/>
        <v>32.26</v>
      </c>
      <c r="J195" s="283">
        <f t="shared" si="59"/>
        <v>0.75</v>
      </c>
      <c r="K195" s="285">
        <f t="shared" si="60"/>
        <v>419.38</v>
      </c>
      <c r="L195" s="286">
        <f t="shared" si="77"/>
        <v>0</v>
      </c>
      <c r="M195" s="286">
        <f t="shared" si="78"/>
        <v>0</v>
      </c>
      <c r="N195" s="285">
        <f t="shared" si="61"/>
        <v>419.38</v>
      </c>
      <c r="O195" s="616">
        <f t="shared" si="62"/>
        <v>419.38</v>
      </c>
      <c r="P195" s="289">
        <f t="shared" si="63"/>
        <v>1</v>
      </c>
      <c r="Q195" s="290">
        <f t="shared" si="64"/>
        <v>0.78</v>
      </c>
      <c r="R195" s="290">
        <f t="shared" si="65"/>
        <v>7.4</v>
      </c>
      <c r="S195" s="290">
        <f t="shared" si="66"/>
        <v>0</v>
      </c>
      <c r="T195" s="290">
        <f t="shared" si="67"/>
        <v>427.56</v>
      </c>
      <c r="U195" s="291">
        <f t="shared" si="68"/>
        <v>427.55999999999995</v>
      </c>
      <c r="V195" s="291">
        <f t="shared" si="72"/>
        <v>0</v>
      </c>
      <c r="W195" s="265">
        <f t="shared" si="69"/>
        <v>0</v>
      </c>
      <c r="X195" s="291">
        <f t="shared" si="73"/>
        <v>0</v>
      </c>
      <c r="Y195" s="170">
        <f t="shared" si="70"/>
        <v>9.75</v>
      </c>
      <c r="Z195" s="291">
        <f t="shared" si="71"/>
        <v>409.63</v>
      </c>
      <c r="AC195" s="276">
        <f>IF(AI195=1,IF(AC194=MiscData!$F$1,EOMONTH(AC194,-11),EOMONTH(AC194,1)),AC194)</f>
        <v>41729</v>
      </c>
      <c r="AD195" s="275" t="str">
        <f t="shared" si="82"/>
        <v>20140101LGUM_430</v>
      </c>
      <c r="AE195" s="294" t="str">
        <f t="shared" si="83"/>
        <v>20140101RLS</v>
      </c>
      <c r="AF195" s="618" t="str">
        <f t="shared" si="74"/>
        <v>430</v>
      </c>
      <c r="AH195" s="265">
        <f>MiscData!$X$5</f>
        <v>20140101</v>
      </c>
      <c r="AI195" s="265">
        <f>IF(AI194+1&gt;MiscData!$AC$77,1,AI194+1)</f>
        <v>46</v>
      </c>
      <c r="AJ195" s="265" t="str">
        <f>VLOOKUP(AI195,MiscData!$AC$5:$AD$77,2,FALSE)</f>
        <v>LGUM_430</v>
      </c>
      <c r="AK195" s="265" t="str">
        <f>VLOOKUP(AJ195,MiscData!$AD$5:$AE$77,2,FALSE)</f>
        <v>RLS</v>
      </c>
      <c r="AT195" s="265" t="s">
        <v>320</v>
      </c>
      <c r="AV195" s="265">
        <v>0</v>
      </c>
    </row>
    <row r="196" spans="1:48">
      <c r="A196" s="275">
        <f t="shared" si="75"/>
        <v>193</v>
      </c>
      <c r="B196" s="276" t="str">
        <f t="shared" si="79"/>
        <v>Mar 2014</v>
      </c>
      <c r="C196" s="277" t="str">
        <f t="shared" si="80"/>
        <v xml:space="preserve">LS </v>
      </c>
      <c r="D196" s="277" t="str">
        <f t="shared" si="81"/>
        <v>LGUM_431</v>
      </c>
      <c r="E196" s="614">
        <f t="shared" ref="E196:E259" si="84">SUMIFS(L_1055_Count_Total,L_1055_Revenue_Month,$B196,L_1055_RateCategory,$D196)</f>
        <v>45</v>
      </c>
      <c r="F196" s="615">
        <f t="shared" ref="F196:F219" si="85">SUMIFS(L_1055_Count_OutOfPeriod,L_1055_Revenue_Month,$B196,L_1055_RateCategory,$D196)</f>
        <v>0</v>
      </c>
      <c r="G196" s="614">
        <f t="shared" ref="G196:G259" si="86">SUMIFS(L_SBR_KWH,L_SBR_Revenue_Month,$B196,L_SBR_Rate_Category,$D196)</f>
        <v>1337</v>
      </c>
      <c r="H196" s="615">
        <v>0</v>
      </c>
      <c r="I196" s="283">
        <f t="shared" ref="I196:I259" si="87">SUMIF(L_LightingRates_Tariff_Rate_Category,$AD196,L_LightingRates_UnitCharge)</f>
        <v>32.93</v>
      </c>
      <c r="J196" s="283">
        <f t="shared" ref="J196:J259" si="88">SUMIF(L_LightingRates_Tariff_Rate_Category,$AD196,L_LightingRates_FAC_Rate)</f>
        <v>0.75</v>
      </c>
      <c r="K196" s="285">
        <f t="shared" ref="K196:K259" si="89">ROUND(($E196+$F196)*$I196,2)</f>
        <v>1481.85</v>
      </c>
      <c r="L196" s="286">
        <f t="shared" ref="L196:L259" si="90">SUMIFS(L_1055_Revenue_Test_Period_Adj,L_1055_RateCategory,$D196,L_1055_Revenue_Month,$B196)+SUMIFS(L_1055_Revenue_OutOfPeriod,L_1055_RateCategory,$D196,L_1055_Revenue_Month,$B196)</f>
        <v>0</v>
      </c>
      <c r="M196" s="286">
        <f t="shared" ref="M196:M259" si="91">SUMIFS(L_1055_Revenue_OutOfPeriod,L_1055_RateCategory,$D196,L_1055_Revenue_Month,$B196)</f>
        <v>0</v>
      </c>
      <c r="N196" s="285">
        <f t="shared" ref="N196:N259" si="92">SUM(K196:M196)</f>
        <v>1481.85</v>
      </c>
      <c r="O196" s="616">
        <f t="shared" ref="O196:O219" si="93">T196-SUM(Q196:S196)-SUMIFS(L_1055_Revenue_Poles_Test_Period,L_1055_RateCategory,$D196,L_1055_Revenue_Month,$B196)</f>
        <v>1481.85</v>
      </c>
      <c r="P196" s="289">
        <f t="shared" ref="P196:P259" si="94">IF(AND(N196=0,O196=0),1,IF(N196=0,0,O196/N196))</f>
        <v>1</v>
      </c>
      <c r="Q196" s="290">
        <f t="shared" ref="Q196:Q259" si="95">SUMIFS(L_SBR_FAC,L_SBR_Revenue_Month,$B196,L_SBR_Rate_Category,$D196)</f>
        <v>2.95</v>
      </c>
      <c r="R196" s="290">
        <f t="shared" ref="R196:R259" si="96">SUMIFS(L_SBR_ECR,L_SBR_Revenue_Month,$B196,L_SBR_Rate_Category,$D196)</f>
        <v>29.06</v>
      </c>
      <c r="S196" s="290">
        <f t="shared" ref="S196:S259" si="97">SUMIFS(L_SBR_MSR,L_SBR_Revenue_Month,$B196,L_SBR_Rate_Category,$D196)</f>
        <v>0</v>
      </c>
      <c r="T196" s="290">
        <f t="shared" ref="T196:T259" si="98">SUMIFS(L_SBR_Revenue_Total,L_SBR_Revenue_Month,$B196,L_SBR_Rate_Category,$D196)</f>
        <v>1679.84</v>
      </c>
      <c r="U196" s="291">
        <f t="shared" ref="U196:U259" si="99">SUM(N196,Q196:S196)</f>
        <v>1513.86</v>
      </c>
      <c r="V196" s="291">
        <f t="shared" si="72"/>
        <v>165.98</v>
      </c>
      <c r="W196" s="265">
        <f t="shared" ref="W196:W219" si="100">ROUND(SUMIFS(L_1055_Revenue_Poles_Test_Period,L_1055_Revenue_Month,$B196,L_1055_RateCategory,$D196),2)</f>
        <v>165.98</v>
      </c>
      <c r="X196" s="291">
        <f t="shared" si="73"/>
        <v>0</v>
      </c>
      <c r="Y196" s="170">
        <f t="shared" ref="Y196:Y259" si="101">ROUND(E196*J196,2)</f>
        <v>33.75</v>
      </c>
      <c r="Z196" s="291">
        <f t="shared" ref="Z196:Z259" si="102">O196-Y196</f>
        <v>1448.1</v>
      </c>
      <c r="AC196" s="276">
        <f>IF(AI196=1,IF(AC195=MiscData!$F$1,EOMONTH(AC195,-11),EOMONTH(AC195,1)),AC195)</f>
        <v>41729</v>
      </c>
      <c r="AD196" s="275" t="str">
        <f t="shared" si="82"/>
        <v>20140101LGUM_431</v>
      </c>
      <c r="AE196" s="294" t="str">
        <f t="shared" si="83"/>
        <v xml:space="preserve">20140101LS </v>
      </c>
      <c r="AF196" s="618" t="str">
        <f t="shared" si="74"/>
        <v>431</v>
      </c>
      <c r="AH196" s="265">
        <f>MiscData!$X$5</f>
        <v>20140101</v>
      </c>
      <c r="AI196" s="265">
        <f>IF(AI195+1&gt;MiscData!$AC$77,1,AI195+1)</f>
        <v>47</v>
      </c>
      <c r="AJ196" s="265" t="str">
        <f>VLOOKUP(AI196,MiscData!$AC$5:$AD$77,2,FALSE)</f>
        <v>LGUM_431</v>
      </c>
      <c r="AK196" s="265" t="str">
        <f>VLOOKUP(AJ196,MiscData!$AD$5:$AE$77,2,FALSE)</f>
        <v xml:space="preserve">LS </v>
      </c>
      <c r="AT196" s="265" t="s">
        <v>321</v>
      </c>
      <c r="AV196" s="265">
        <v>0</v>
      </c>
    </row>
    <row r="197" spans="1:48">
      <c r="A197" s="275">
        <f t="shared" si="75"/>
        <v>194</v>
      </c>
      <c r="B197" s="276" t="str">
        <f t="shared" si="79"/>
        <v>Mar 2014</v>
      </c>
      <c r="C197" s="277" t="str">
        <f t="shared" si="80"/>
        <v>RLS</v>
      </c>
      <c r="D197" s="277" t="str">
        <f t="shared" si="81"/>
        <v>LGUM_432</v>
      </c>
      <c r="E197" s="614">
        <f t="shared" si="84"/>
        <v>10</v>
      </c>
      <c r="F197" s="615">
        <f t="shared" si="85"/>
        <v>0</v>
      </c>
      <c r="G197" s="614">
        <f t="shared" si="86"/>
        <v>443</v>
      </c>
      <c r="H197" s="615">
        <v>0</v>
      </c>
      <c r="I197" s="283">
        <f t="shared" si="87"/>
        <v>34.330000000000005</v>
      </c>
      <c r="J197" s="283">
        <f t="shared" si="88"/>
        <v>1.0600000000000023</v>
      </c>
      <c r="K197" s="285">
        <f t="shared" si="89"/>
        <v>343.3</v>
      </c>
      <c r="L197" s="286">
        <f t="shared" si="90"/>
        <v>0</v>
      </c>
      <c r="M197" s="286">
        <f t="shared" si="91"/>
        <v>0</v>
      </c>
      <c r="N197" s="285">
        <f t="shared" si="92"/>
        <v>343.3</v>
      </c>
      <c r="O197" s="616">
        <f t="shared" si="93"/>
        <v>343.3</v>
      </c>
      <c r="P197" s="289">
        <f t="shared" si="94"/>
        <v>1</v>
      </c>
      <c r="Q197" s="290">
        <f t="shared" si="95"/>
        <v>0.97</v>
      </c>
      <c r="R197" s="290">
        <f t="shared" si="96"/>
        <v>6.12</v>
      </c>
      <c r="S197" s="290">
        <f t="shared" si="97"/>
        <v>0</v>
      </c>
      <c r="T197" s="290">
        <f t="shared" si="98"/>
        <v>353.86</v>
      </c>
      <c r="U197" s="291">
        <f t="shared" si="99"/>
        <v>350.39000000000004</v>
      </c>
      <c r="V197" s="291">
        <f t="shared" ref="V197:V260" si="103">ROUND(T197-U197,2)</f>
        <v>3.47</v>
      </c>
      <c r="W197" s="265">
        <f t="shared" si="100"/>
        <v>3.47</v>
      </c>
      <c r="X197" s="291">
        <f t="shared" ref="X197:X260" si="104">V197-W197</f>
        <v>0</v>
      </c>
      <c r="Y197" s="170">
        <f t="shared" si="101"/>
        <v>10.6</v>
      </c>
      <c r="Z197" s="291">
        <f t="shared" si="102"/>
        <v>332.7</v>
      </c>
      <c r="AC197" s="276">
        <f>IF(AI197=1,IF(AC196=MiscData!$F$1,EOMONTH(AC196,-11),EOMONTH(AC196,1)),AC196)</f>
        <v>41729</v>
      </c>
      <c r="AD197" s="275" t="str">
        <f t="shared" si="82"/>
        <v>20140101LGUM_432</v>
      </c>
      <c r="AE197" s="294" t="str">
        <f t="shared" si="83"/>
        <v>20140101RLS</v>
      </c>
      <c r="AF197" s="618" t="str">
        <f t="shared" ref="AF197:AF260" si="105">RIGHT(AJ197,3)</f>
        <v>432</v>
      </c>
      <c r="AH197" s="265">
        <f>MiscData!$X$5</f>
        <v>20140101</v>
      </c>
      <c r="AI197" s="265">
        <f>IF(AI196+1&gt;MiscData!$AC$77,1,AI196+1)</f>
        <v>48</v>
      </c>
      <c r="AJ197" s="265" t="str">
        <f>VLOOKUP(AI197,MiscData!$AC$5:$AD$77,2,FALSE)</f>
        <v>LGUM_432</v>
      </c>
      <c r="AK197" s="265" t="str">
        <f>VLOOKUP(AJ197,MiscData!$AD$5:$AE$77,2,FALSE)</f>
        <v>RLS</v>
      </c>
      <c r="AT197" s="265" t="s">
        <v>322</v>
      </c>
      <c r="AV197" s="265">
        <v>0</v>
      </c>
    </row>
    <row r="198" spans="1:48">
      <c r="A198" s="275">
        <f t="shared" ref="A198:A262" si="106">A197+1</f>
        <v>195</v>
      </c>
      <c r="B198" s="276" t="str">
        <f t="shared" si="79"/>
        <v>Mar 2014</v>
      </c>
      <c r="C198" s="277" t="str">
        <f t="shared" si="80"/>
        <v xml:space="preserve">LS </v>
      </c>
      <c r="D198" s="277" t="str">
        <f t="shared" si="81"/>
        <v>LGUM_433</v>
      </c>
      <c r="E198" s="614">
        <f t="shared" si="84"/>
        <v>195</v>
      </c>
      <c r="F198" s="615">
        <f t="shared" si="85"/>
        <v>0</v>
      </c>
      <c r="G198" s="614">
        <f t="shared" si="86"/>
        <v>7654</v>
      </c>
      <c r="H198" s="615">
        <v>0</v>
      </c>
      <c r="I198" s="283">
        <f t="shared" si="87"/>
        <v>34.99</v>
      </c>
      <c r="J198" s="283">
        <f t="shared" si="88"/>
        <v>1.0600000000000023</v>
      </c>
      <c r="K198" s="285">
        <f t="shared" si="89"/>
        <v>6823.05</v>
      </c>
      <c r="L198" s="286">
        <f t="shared" si="90"/>
        <v>0</v>
      </c>
      <c r="M198" s="286">
        <f t="shared" si="91"/>
        <v>0</v>
      </c>
      <c r="N198" s="285">
        <f t="shared" si="92"/>
        <v>6823.05</v>
      </c>
      <c r="O198" s="616">
        <f t="shared" si="93"/>
        <v>6823.05</v>
      </c>
      <c r="P198" s="289">
        <f t="shared" si="94"/>
        <v>1</v>
      </c>
      <c r="Q198" s="290">
        <f t="shared" si="95"/>
        <v>16.739999999999998</v>
      </c>
      <c r="R198" s="290">
        <f t="shared" si="96"/>
        <v>139.19</v>
      </c>
      <c r="S198" s="290">
        <f t="shared" si="97"/>
        <v>0</v>
      </c>
      <c r="T198" s="290">
        <f t="shared" si="98"/>
        <v>7911.67</v>
      </c>
      <c r="U198" s="291">
        <f t="shared" si="99"/>
        <v>6978.98</v>
      </c>
      <c r="V198" s="291">
        <f t="shared" si="103"/>
        <v>932.69</v>
      </c>
      <c r="W198" s="265">
        <f t="shared" si="100"/>
        <v>932.69</v>
      </c>
      <c r="X198" s="291">
        <f t="shared" si="104"/>
        <v>0</v>
      </c>
      <c r="Y198" s="170">
        <f t="shared" si="101"/>
        <v>206.7</v>
      </c>
      <c r="Z198" s="291">
        <f t="shared" si="102"/>
        <v>6616.35</v>
      </c>
      <c r="AC198" s="276">
        <f>IF(AI198=1,IF(AC197=MiscData!$F$1,EOMONTH(AC197,-11),EOMONTH(AC197,1)),AC197)</f>
        <v>41729</v>
      </c>
      <c r="AD198" s="275" t="str">
        <f t="shared" si="82"/>
        <v>20140101LGUM_433</v>
      </c>
      <c r="AE198" s="294" t="str">
        <f t="shared" si="83"/>
        <v xml:space="preserve">20140101LS </v>
      </c>
      <c r="AF198" s="618" t="str">
        <f t="shared" si="105"/>
        <v>433</v>
      </c>
      <c r="AH198" s="265">
        <f>MiscData!$X$5</f>
        <v>20140101</v>
      </c>
      <c r="AI198" s="265">
        <f>IF(AI197+1&gt;MiscData!$AC$77,1,AI197+1)</f>
        <v>49</v>
      </c>
      <c r="AJ198" s="265" t="str">
        <f>VLOOKUP(AI198,MiscData!$AC$5:$AD$77,2,FALSE)</f>
        <v>LGUM_433</v>
      </c>
      <c r="AK198" s="265" t="str">
        <f>VLOOKUP(AJ198,MiscData!$AD$5:$AE$77,2,FALSE)</f>
        <v xml:space="preserve">LS </v>
      </c>
      <c r="AT198" s="265" t="s">
        <v>323</v>
      </c>
      <c r="AV198" s="265">
        <v>0</v>
      </c>
    </row>
    <row r="199" spans="1:48">
      <c r="A199" s="275">
        <f t="shared" si="106"/>
        <v>196</v>
      </c>
      <c r="B199" s="276" t="str">
        <f t="shared" si="79"/>
        <v>Mar 2014</v>
      </c>
      <c r="C199" s="277" t="str">
        <f t="shared" si="80"/>
        <v xml:space="preserve">LS </v>
      </c>
      <c r="D199" s="277" t="str">
        <f t="shared" si="81"/>
        <v>LGUM_439</v>
      </c>
      <c r="E199" s="614">
        <f t="shared" si="84"/>
        <v>0</v>
      </c>
      <c r="F199" s="615">
        <f t="shared" si="85"/>
        <v>0</v>
      </c>
      <c r="G199" s="614">
        <f t="shared" si="86"/>
        <v>0</v>
      </c>
      <c r="H199" s="615">
        <v>0</v>
      </c>
      <c r="I199" s="283">
        <f t="shared" si="87"/>
        <v>16.459999999999997</v>
      </c>
      <c r="J199" s="283">
        <f t="shared" si="88"/>
        <v>1.6499999999999986</v>
      </c>
      <c r="K199" s="285">
        <f t="shared" si="89"/>
        <v>0</v>
      </c>
      <c r="L199" s="286">
        <f t="shared" si="90"/>
        <v>0</v>
      </c>
      <c r="M199" s="286">
        <f t="shared" si="91"/>
        <v>0</v>
      </c>
      <c r="N199" s="285">
        <f t="shared" si="92"/>
        <v>0</v>
      </c>
      <c r="O199" s="616">
        <f t="shared" si="93"/>
        <v>0</v>
      </c>
      <c r="P199" s="289">
        <f t="shared" si="94"/>
        <v>1</v>
      </c>
      <c r="Q199" s="290">
        <f t="shared" si="95"/>
        <v>0</v>
      </c>
      <c r="R199" s="290">
        <f t="shared" si="96"/>
        <v>0</v>
      </c>
      <c r="S199" s="290">
        <f t="shared" si="97"/>
        <v>0</v>
      </c>
      <c r="T199" s="290">
        <f t="shared" si="98"/>
        <v>0</v>
      </c>
      <c r="U199" s="291">
        <f t="shared" si="99"/>
        <v>0</v>
      </c>
      <c r="V199" s="291">
        <f t="shared" si="103"/>
        <v>0</v>
      </c>
      <c r="W199" s="265">
        <f t="shared" si="100"/>
        <v>0</v>
      </c>
      <c r="X199" s="291">
        <f t="shared" si="104"/>
        <v>0</v>
      </c>
      <c r="Y199" s="170">
        <f t="shared" si="101"/>
        <v>0</v>
      </c>
      <c r="Z199" s="291">
        <f t="shared" si="102"/>
        <v>0</v>
      </c>
      <c r="AC199" s="276">
        <f>IF(AI199=1,IF(AC198=MiscData!$F$1,EOMONTH(AC198,-11),EOMONTH(AC198,1)),AC198)</f>
        <v>41729</v>
      </c>
      <c r="AD199" s="275" t="str">
        <f t="shared" si="82"/>
        <v>20140101LGUM_439</v>
      </c>
      <c r="AE199" s="294" t="str">
        <f t="shared" si="83"/>
        <v xml:space="preserve">20140101LS </v>
      </c>
      <c r="AF199" s="618" t="str">
        <f t="shared" si="105"/>
        <v>439</v>
      </c>
      <c r="AH199" s="265">
        <f>MiscData!$X$5</f>
        <v>20140101</v>
      </c>
      <c r="AI199" s="265">
        <f>IF(AI198+1&gt;MiscData!$AC$77,1,AI198+1)</f>
        <v>50</v>
      </c>
      <c r="AJ199" s="265" t="str">
        <f>VLOOKUP(AI199,MiscData!$AC$5:$AD$77,2,FALSE)</f>
        <v>LGUM_439</v>
      </c>
      <c r="AK199" s="265" t="str">
        <f>VLOOKUP(AJ199,MiscData!$AD$5:$AE$77,2,FALSE)</f>
        <v xml:space="preserve">LS </v>
      </c>
      <c r="AT199" s="265" t="s">
        <v>324</v>
      </c>
      <c r="AV199" s="265">
        <v>0</v>
      </c>
    </row>
    <row r="200" spans="1:48">
      <c r="A200" s="275">
        <f t="shared" si="106"/>
        <v>197</v>
      </c>
      <c r="B200" s="276" t="str">
        <f t="shared" si="79"/>
        <v>Mar 2014</v>
      </c>
      <c r="C200" s="277" t="str">
        <f t="shared" si="80"/>
        <v xml:space="preserve">LS </v>
      </c>
      <c r="D200" s="277" t="str">
        <f t="shared" si="81"/>
        <v>LGUM_440</v>
      </c>
      <c r="E200" s="614">
        <f t="shared" si="84"/>
        <v>2</v>
      </c>
      <c r="F200" s="615">
        <f t="shared" si="85"/>
        <v>0</v>
      </c>
      <c r="G200" s="614">
        <f t="shared" si="86"/>
        <v>208</v>
      </c>
      <c r="H200" s="615">
        <v>0</v>
      </c>
      <c r="I200" s="283">
        <f t="shared" si="87"/>
        <v>18.279999999999998</v>
      </c>
      <c r="J200" s="283">
        <f t="shared" si="88"/>
        <v>2.67</v>
      </c>
      <c r="K200" s="285">
        <f t="shared" si="89"/>
        <v>36.56</v>
      </c>
      <c r="L200" s="286">
        <f t="shared" si="90"/>
        <v>0</v>
      </c>
      <c r="M200" s="286">
        <v>0</v>
      </c>
      <c r="N200" s="285">
        <f t="shared" si="92"/>
        <v>36.56</v>
      </c>
      <c r="O200" s="616">
        <f t="shared" si="93"/>
        <v>36.56</v>
      </c>
      <c r="P200" s="289">
        <f t="shared" si="94"/>
        <v>1</v>
      </c>
      <c r="Q200" s="290">
        <f t="shared" si="95"/>
        <v>0.46</v>
      </c>
      <c r="R200" s="290">
        <f t="shared" si="96"/>
        <v>0.66</v>
      </c>
      <c r="S200" s="290">
        <f t="shared" si="97"/>
        <v>0</v>
      </c>
      <c r="T200" s="290">
        <f t="shared" si="98"/>
        <v>37.68</v>
      </c>
      <c r="U200" s="291">
        <f t="shared" si="99"/>
        <v>37.68</v>
      </c>
      <c r="V200" s="291">
        <f t="shared" si="103"/>
        <v>0</v>
      </c>
      <c r="W200" s="265">
        <f t="shared" si="100"/>
        <v>0</v>
      </c>
      <c r="X200" s="291">
        <f t="shared" si="104"/>
        <v>0</v>
      </c>
      <c r="Y200" s="170">
        <f t="shared" si="101"/>
        <v>5.34</v>
      </c>
      <c r="Z200" s="291">
        <f t="shared" si="102"/>
        <v>31.220000000000002</v>
      </c>
      <c r="AC200" s="276">
        <f>IF(AI200=1,IF(AC199=MiscData!$F$1,EOMONTH(AC199,-11),EOMONTH(AC199,1)),AC199)</f>
        <v>41729</v>
      </c>
      <c r="AD200" s="275" t="str">
        <f t="shared" si="82"/>
        <v>20140101LGUM_440</v>
      </c>
      <c r="AE200" s="294" t="str">
        <f t="shared" si="83"/>
        <v xml:space="preserve">20140101LS </v>
      </c>
      <c r="AF200" s="618" t="str">
        <f t="shared" si="105"/>
        <v>440</v>
      </c>
      <c r="AH200" s="265">
        <f>MiscData!$X$5</f>
        <v>20140101</v>
      </c>
      <c r="AI200" s="265">
        <f>IF(AI199+1&gt;MiscData!$AC$77,1,AI199+1)</f>
        <v>51</v>
      </c>
      <c r="AJ200" s="265" t="str">
        <f>VLOOKUP(AI200,MiscData!$AC$5:$AD$77,2,FALSE)</f>
        <v>LGUM_440</v>
      </c>
      <c r="AK200" s="265" t="str">
        <f>VLOOKUP(AJ200,MiscData!$AD$5:$AE$77,2,FALSE)</f>
        <v xml:space="preserve">LS </v>
      </c>
      <c r="AT200" s="265" t="s">
        <v>325</v>
      </c>
      <c r="AV200" s="265">
        <v>0</v>
      </c>
    </row>
    <row r="201" spans="1:48">
      <c r="A201" s="275">
        <f t="shared" si="106"/>
        <v>198</v>
      </c>
      <c r="B201" s="276" t="str">
        <f t="shared" si="79"/>
        <v>Mar 2014</v>
      </c>
      <c r="C201" s="277" t="str">
        <f t="shared" si="80"/>
        <v xml:space="preserve">LS </v>
      </c>
      <c r="D201" s="277" t="str">
        <f t="shared" si="81"/>
        <v>LGUM_441</v>
      </c>
      <c r="E201" s="614">
        <f t="shared" si="84"/>
        <v>14</v>
      </c>
      <c r="F201" s="615">
        <f t="shared" si="85"/>
        <v>0</v>
      </c>
      <c r="G201" s="614">
        <f t="shared" si="86"/>
        <v>2314</v>
      </c>
      <c r="H201" s="615">
        <v>0</v>
      </c>
      <c r="I201" s="283">
        <f t="shared" si="87"/>
        <v>22.32</v>
      </c>
      <c r="J201" s="283">
        <f t="shared" si="88"/>
        <v>4.2800000000000011</v>
      </c>
      <c r="K201" s="285">
        <f t="shared" si="89"/>
        <v>312.48</v>
      </c>
      <c r="L201" s="286">
        <f t="shared" si="90"/>
        <v>0</v>
      </c>
      <c r="M201" s="286">
        <f t="shared" si="91"/>
        <v>0</v>
      </c>
      <c r="N201" s="285">
        <f t="shared" si="92"/>
        <v>312.48</v>
      </c>
      <c r="O201" s="616">
        <f t="shared" si="93"/>
        <v>312.48</v>
      </c>
      <c r="P201" s="289">
        <f t="shared" si="94"/>
        <v>1</v>
      </c>
      <c r="Q201" s="290">
        <f t="shared" si="95"/>
        <v>5.01</v>
      </c>
      <c r="R201" s="290">
        <f t="shared" si="96"/>
        <v>5.95</v>
      </c>
      <c r="S201" s="290">
        <f t="shared" si="97"/>
        <v>0</v>
      </c>
      <c r="T201" s="290">
        <f t="shared" si="98"/>
        <v>323.44</v>
      </c>
      <c r="U201" s="291">
        <f t="shared" si="99"/>
        <v>323.44</v>
      </c>
      <c r="V201" s="291">
        <f t="shared" si="103"/>
        <v>0</v>
      </c>
      <c r="W201" s="265">
        <f t="shared" si="100"/>
        <v>0</v>
      </c>
      <c r="X201" s="291">
        <f t="shared" si="104"/>
        <v>0</v>
      </c>
      <c r="Y201" s="170">
        <f t="shared" si="101"/>
        <v>59.92</v>
      </c>
      <c r="Z201" s="291">
        <f t="shared" si="102"/>
        <v>252.56</v>
      </c>
      <c r="AC201" s="276">
        <f>IF(AI201=1,IF(AC200=MiscData!$F$1,EOMONTH(AC200,-11),EOMONTH(AC200,1)),AC200)</f>
        <v>41729</v>
      </c>
      <c r="AD201" s="275" t="str">
        <f t="shared" si="82"/>
        <v>20140101LGUM_441</v>
      </c>
      <c r="AE201" s="294" t="str">
        <f t="shared" si="83"/>
        <v xml:space="preserve">20140101LS </v>
      </c>
      <c r="AF201" s="618" t="str">
        <f t="shared" si="105"/>
        <v>441</v>
      </c>
      <c r="AH201" s="265">
        <f>MiscData!$X$5</f>
        <v>20140101</v>
      </c>
      <c r="AI201" s="265">
        <f>IF(AI200+1&gt;MiscData!$AC$77,1,AI200+1)</f>
        <v>52</v>
      </c>
      <c r="AJ201" s="265" t="str">
        <f>VLOOKUP(AI201,MiscData!$AC$5:$AD$77,2,FALSE)</f>
        <v>LGUM_441</v>
      </c>
      <c r="AK201" s="265" t="str">
        <f>VLOOKUP(AJ201,MiscData!$AD$5:$AE$77,2,FALSE)</f>
        <v xml:space="preserve">LS </v>
      </c>
      <c r="AT201" s="265" t="s">
        <v>326</v>
      </c>
      <c r="AV201" s="265">
        <v>0</v>
      </c>
    </row>
    <row r="202" spans="1:48">
      <c r="A202" s="275">
        <f t="shared" si="106"/>
        <v>199</v>
      </c>
      <c r="B202" s="276" t="str">
        <f t="shared" si="79"/>
        <v>Mar 2014</v>
      </c>
      <c r="C202" s="277" t="str">
        <f t="shared" si="80"/>
        <v xml:space="preserve">LS </v>
      </c>
      <c r="D202" s="277" t="str">
        <f t="shared" si="81"/>
        <v>LGUM_452</v>
      </c>
      <c r="E202" s="614">
        <f t="shared" si="84"/>
        <v>6288</v>
      </c>
      <c r="F202" s="615">
        <f t="shared" si="85"/>
        <v>-2</v>
      </c>
      <c r="G202" s="614">
        <f t="shared" si="86"/>
        <v>389758</v>
      </c>
      <c r="H202" s="615">
        <v>0</v>
      </c>
      <c r="I202" s="283">
        <f t="shared" si="87"/>
        <v>12.82</v>
      </c>
      <c r="J202" s="283">
        <f t="shared" si="88"/>
        <v>1.6500000000000004</v>
      </c>
      <c r="K202" s="285">
        <f t="shared" si="89"/>
        <v>80586.52</v>
      </c>
      <c r="L202" s="286">
        <f t="shared" si="90"/>
        <v>56.620000000000566</v>
      </c>
      <c r="M202" s="286">
        <v>0</v>
      </c>
      <c r="N202" s="285">
        <f t="shared" si="92"/>
        <v>80643.14</v>
      </c>
      <c r="O202" s="616">
        <f t="shared" si="93"/>
        <v>80643.14</v>
      </c>
      <c r="P202" s="289">
        <f t="shared" si="94"/>
        <v>1</v>
      </c>
      <c r="Q202" s="290">
        <f t="shared" si="95"/>
        <v>856.58</v>
      </c>
      <c r="R202" s="290">
        <f t="shared" si="96"/>
        <v>1460.36</v>
      </c>
      <c r="S202" s="290">
        <f t="shared" si="97"/>
        <v>0</v>
      </c>
      <c r="T202" s="290">
        <f t="shared" si="98"/>
        <v>84090.62</v>
      </c>
      <c r="U202" s="291">
        <f t="shared" si="99"/>
        <v>82960.08</v>
      </c>
      <c r="V202" s="291">
        <f t="shared" si="103"/>
        <v>1130.54</v>
      </c>
      <c r="W202" s="265">
        <f t="shared" si="100"/>
        <v>1130.54</v>
      </c>
      <c r="X202" s="291">
        <f t="shared" si="104"/>
        <v>0</v>
      </c>
      <c r="Y202" s="170">
        <f t="shared" si="101"/>
        <v>10375.200000000001</v>
      </c>
      <c r="Z202" s="291">
        <f t="shared" si="102"/>
        <v>70267.94</v>
      </c>
      <c r="AC202" s="276">
        <f>IF(AI202=1,IF(AC201=MiscData!$F$1,EOMONTH(AC201,-11),EOMONTH(AC201,1)),AC201)</f>
        <v>41729</v>
      </c>
      <c r="AD202" s="275" t="str">
        <f t="shared" si="82"/>
        <v>20140101LGUM_452</v>
      </c>
      <c r="AE202" s="294" t="str">
        <f t="shared" si="83"/>
        <v xml:space="preserve">20140101LS </v>
      </c>
      <c r="AF202" s="618" t="str">
        <f t="shared" si="105"/>
        <v>452</v>
      </c>
      <c r="AH202" s="265">
        <f>MiscData!$X$5</f>
        <v>20140101</v>
      </c>
      <c r="AI202" s="265">
        <f>IF(AI201+1&gt;MiscData!$AC$77,1,AI201+1)</f>
        <v>53</v>
      </c>
      <c r="AJ202" s="265" t="str">
        <f>VLOOKUP(AI202,MiscData!$AC$5:$AD$77,2,FALSE)</f>
        <v>LGUM_452</v>
      </c>
      <c r="AK202" s="265" t="str">
        <f>VLOOKUP(AJ202,MiscData!$AD$5:$AE$77,2,FALSE)</f>
        <v xml:space="preserve">LS </v>
      </c>
      <c r="AT202" s="265" t="s">
        <v>327</v>
      </c>
      <c r="AV202" s="265">
        <v>0</v>
      </c>
    </row>
    <row r="203" spans="1:48">
      <c r="A203" s="275">
        <f t="shared" si="106"/>
        <v>200</v>
      </c>
      <c r="B203" s="276" t="str">
        <f t="shared" si="79"/>
        <v>Mar 2014</v>
      </c>
      <c r="C203" s="277" t="str">
        <f t="shared" si="80"/>
        <v xml:space="preserve">LS </v>
      </c>
      <c r="D203" s="277" t="str">
        <f t="shared" si="81"/>
        <v>LGUM_453</v>
      </c>
      <c r="E203" s="614">
        <f t="shared" si="84"/>
        <v>8856</v>
      </c>
      <c r="F203" s="615">
        <f t="shared" si="85"/>
        <v>0</v>
      </c>
      <c r="G203" s="614">
        <f t="shared" si="86"/>
        <v>867017</v>
      </c>
      <c r="H203" s="615">
        <v>0</v>
      </c>
      <c r="I203" s="283">
        <f t="shared" si="87"/>
        <v>15.08</v>
      </c>
      <c r="J203" s="283">
        <f t="shared" si="88"/>
        <v>3.9800000000000004</v>
      </c>
      <c r="K203" s="285">
        <f t="shared" si="89"/>
        <v>133548.48000000001</v>
      </c>
      <c r="L203" s="286">
        <f t="shared" si="90"/>
        <v>422.88000000001165</v>
      </c>
      <c r="M203" s="286">
        <f t="shared" si="91"/>
        <v>0</v>
      </c>
      <c r="N203" s="285">
        <f t="shared" si="92"/>
        <v>133971.36000000002</v>
      </c>
      <c r="O203" s="616">
        <f t="shared" si="93"/>
        <v>133971.36000000002</v>
      </c>
      <c r="P203" s="289">
        <f t="shared" si="94"/>
        <v>1</v>
      </c>
      <c r="Q203" s="290">
        <f t="shared" si="95"/>
        <v>1905.48</v>
      </c>
      <c r="R203" s="290">
        <f t="shared" si="96"/>
        <v>2419.5100000000002</v>
      </c>
      <c r="S203" s="290">
        <f t="shared" si="97"/>
        <v>0</v>
      </c>
      <c r="T203" s="290">
        <f t="shared" si="98"/>
        <v>139412.72</v>
      </c>
      <c r="U203" s="291">
        <f t="shared" si="99"/>
        <v>138296.35000000003</v>
      </c>
      <c r="V203" s="291">
        <f t="shared" si="103"/>
        <v>1116.3699999999999</v>
      </c>
      <c r="W203" s="265">
        <f t="shared" si="100"/>
        <v>1116.3699999999999</v>
      </c>
      <c r="X203" s="291">
        <f t="shared" si="104"/>
        <v>0</v>
      </c>
      <c r="Y203" s="170">
        <f t="shared" si="101"/>
        <v>35246.879999999997</v>
      </c>
      <c r="Z203" s="291">
        <f t="shared" si="102"/>
        <v>98724.48000000001</v>
      </c>
      <c r="AC203" s="276">
        <f>IF(AI203=1,IF(AC202=MiscData!$F$1,EOMONTH(AC202,-11),EOMONTH(AC202,1)),AC202)</f>
        <v>41729</v>
      </c>
      <c r="AD203" s="275" t="str">
        <f t="shared" si="82"/>
        <v>20140101LGUM_453</v>
      </c>
      <c r="AE203" s="294" t="str">
        <f t="shared" si="83"/>
        <v xml:space="preserve">20140101LS </v>
      </c>
      <c r="AF203" s="618" t="str">
        <f t="shared" si="105"/>
        <v>453</v>
      </c>
      <c r="AH203" s="265">
        <f>MiscData!$X$5</f>
        <v>20140101</v>
      </c>
      <c r="AI203" s="265">
        <f>IF(AI202+1&gt;MiscData!$AC$77,1,AI202+1)</f>
        <v>54</v>
      </c>
      <c r="AJ203" s="265" t="str">
        <f>VLOOKUP(AI203,MiscData!$AC$5:$AD$77,2,FALSE)</f>
        <v>LGUM_453</v>
      </c>
      <c r="AK203" s="265" t="str">
        <f>VLOOKUP(AJ203,MiscData!$AD$5:$AE$77,2,FALSE)</f>
        <v xml:space="preserve">LS </v>
      </c>
      <c r="AT203" s="265" t="s">
        <v>328</v>
      </c>
      <c r="AV203" s="265">
        <v>0</v>
      </c>
    </row>
    <row r="204" spans="1:48">
      <c r="A204" s="275">
        <f t="shared" si="106"/>
        <v>201</v>
      </c>
      <c r="B204" s="276" t="str">
        <f t="shared" si="79"/>
        <v>Mar 2014</v>
      </c>
      <c r="C204" s="277" t="str">
        <f t="shared" si="80"/>
        <v xml:space="preserve">LS </v>
      </c>
      <c r="D204" s="277" t="str">
        <f t="shared" si="81"/>
        <v>LGUM_454</v>
      </c>
      <c r="E204" s="614">
        <f t="shared" si="84"/>
        <v>5591</v>
      </c>
      <c r="F204" s="615">
        <f t="shared" si="85"/>
        <v>0</v>
      </c>
      <c r="G204" s="614">
        <f t="shared" si="86"/>
        <v>901658</v>
      </c>
      <c r="H204" s="615">
        <v>0</v>
      </c>
      <c r="I204" s="283">
        <f t="shared" si="87"/>
        <v>17.38</v>
      </c>
      <c r="J204" s="283">
        <f t="shared" si="88"/>
        <v>4.2800000000000011</v>
      </c>
      <c r="K204" s="285">
        <f t="shared" si="89"/>
        <v>97171.58</v>
      </c>
      <c r="L204" s="286">
        <f t="shared" si="90"/>
        <v>-114.15000000000509</v>
      </c>
      <c r="M204" s="286">
        <f t="shared" si="91"/>
        <v>0</v>
      </c>
      <c r="N204" s="285">
        <f t="shared" si="92"/>
        <v>97057.43</v>
      </c>
      <c r="O204" s="616">
        <f t="shared" si="93"/>
        <v>97057.430000000008</v>
      </c>
      <c r="P204" s="289">
        <f t="shared" si="94"/>
        <v>1.0000000000000002</v>
      </c>
      <c r="Q204" s="290">
        <f t="shared" si="95"/>
        <v>1974.76</v>
      </c>
      <c r="R204" s="290">
        <f t="shared" si="96"/>
        <v>1818.27</v>
      </c>
      <c r="S204" s="290">
        <f t="shared" si="97"/>
        <v>0</v>
      </c>
      <c r="T204" s="290">
        <f t="shared" si="98"/>
        <v>103697.24</v>
      </c>
      <c r="U204" s="291">
        <f t="shared" si="99"/>
        <v>100850.45999999999</v>
      </c>
      <c r="V204" s="291">
        <f t="shared" si="103"/>
        <v>2846.78</v>
      </c>
      <c r="W204" s="265">
        <f t="shared" si="100"/>
        <v>2846.78</v>
      </c>
      <c r="X204" s="291">
        <f t="shared" si="104"/>
        <v>0</v>
      </c>
      <c r="Y204" s="170">
        <f t="shared" si="101"/>
        <v>23929.48</v>
      </c>
      <c r="Z204" s="291">
        <f t="shared" si="102"/>
        <v>73127.950000000012</v>
      </c>
      <c r="AC204" s="276">
        <f>IF(AI204=1,IF(AC203=MiscData!$F$1,EOMONTH(AC203,-11),EOMONTH(AC203,1)),AC203)</f>
        <v>41729</v>
      </c>
      <c r="AD204" s="275" t="str">
        <f t="shared" si="82"/>
        <v>20140101LGUM_454</v>
      </c>
      <c r="AE204" s="294" t="str">
        <f t="shared" si="83"/>
        <v xml:space="preserve">20140101LS </v>
      </c>
      <c r="AF204" s="618" t="str">
        <f t="shared" si="105"/>
        <v>454</v>
      </c>
      <c r="AH204" s="265">
        <f>MiscData!$X$5</f>
        <v>20140101</v>
      </c>
      <c r="AI204" s="265">
        <f>IF(AI203+1&gt;MiscData!$AC$77,1,AI203+1)</f>
        <v>55</v>
      </c>
      <c r="AJ204" s="265" t="str">
        <f>VLOOKUP(AI204,MiscData!$AC$5:$AD$77,2,FALSE)</f>
        <v>LGUM_454</v>
      </c>
      <c r="AK204" s="265" t="str">
        <f>VLOOKUP(AJ204,MiscData!$AD$5:$AE$77,2,FALSE)</f>
        <v xml:space="preserve">LS </v>
      </c>
      <c r="AT204" s="265" t="s">
        <v>377</v>
      </c>
      <c r="AV204" s="265">
        <v>0</v>
      </c>
    </row>
    <row r="205" spans="1:48">
      <c r="A205" s="275">
        <f t="shared" si="106"/>
        <v>202</v>
      </c>
      <c r="B205" s="276" t="str">
        <f t="shared" si="79"/>
        <v>Mar 2014</v>
      </c>
      <c r="C205" s="277" t="str">
        <f t="shared" si="80"/>
        <v xml:space="preserve">LS </v>
      </c>
      <c r="D205" s="277" t="str">
        <f t="shared" si="81"/>
        <v>LGUM_455</v>
      </c>
      <c r="E205" s="614">
        <f t="shared" si="84"/>
        <v>421</v>
      </c>
      <c r="F205" s="615">
        <f t="shared" si="85"/>
        <v>0</v>
      </c>
      <c r="G205" s="614">
        <f t="shared" si="86"/>
        <v>26863</v>
      </c>
      <c r="H205" s="615">
        <v>0</v>
      </c>
      <c r="I205" s="283">
        <f t="shared" si="87"/>
        <v>13.77</v>
      </c>
      <c r="J205" s="283">
        <f t="shared" si="88"/>
        <v>1.6499999999999986</v>
      </c>
      <c r="K205" s="285">
        <f t="shared" si="89"/>
        <v>5797.17</v>
      </c>
      <c r="L205" s="286">
        <f t="shared" si="90"/>
        <v>-70.679999999999779</v>
      </c>
      <c r="M205" s="286">
        <f t="shared" si="91"/>
        <v>0</v>
      </c>
      <c r="N205" s="285">
        <f t="shared" si="92"/>
        <v>5726.4900000000007</v>
      </c>
      <c r="O205" s="616">
        <f t="shared" si="93"/>
        <v>5726.49</v>
      </c>
      <c r="P205" s="289">
        <f t="shared" si="94"/>
        <v>0.99999999999999989</v>
      </c>
      <c r="Q205" s="290">
        <f t="shared" si="95"/>
        <v>58.79</v>
      </c>
      <c r="R205" s="290">
        <f t="shared" si="96"/>
        <v>105.64</v>
      </c>
      <c r="S205" s="290">
        <f t="shared" si="97"/>
        <v>0</v>
      </c>
      <c r="T205" s="290">
        <f t="shared" si="98"/>
        <v>6105</v>
      </c>
      <c r="U205" s="291">
        <f t="shared" si="99"/>
        <v>5890.920000000001</v>
      </c>
      <c r="V205" s="291">
        <f t="shared" si="103"/>
        <v>214.08</v>
      </c>
      <c r="W205" s="265">
        <f t="shared" si="100"/>
        <v>214.08</v>
      </c>
      <c r="X205" s="291">
        <f t="shared" si="104"/>
        <v>0</v>
      </c>
      <c r="Y205" s="170">
        <f t="shared" si="101"/>
        <v>694.65</v>
      </c>
      <c r="Z205" s="291">
        <f t="shared" si="102"/>
        <v>5031.84</v>
      </c>
      <c r="AC205" s="276">
        <f>IF(AI205=1,IF(AC204=MiscData!$F$1,EOMONTH(AC204,-11),EOMONTH(AC204,1)),AC204)</f>
        <v>41729</v>
      </c>
      <c r="AD205" s="275" t="str">
        <f t="shared" si="82"/>
        <v>20140101LGUM_455</v>
      </c>
      <c r="AE205" s="294" t="str">
        <f t="shared" si="83"/>
        <v xml:space="preserve">20140101LS </v>
      </c>
      <c r="AF205" s="618" t="str">
        <f t="shared" si="105"/>
        <v>455</v>
      </c>
      <c r="AH205" s="265">
        <f>MiscData!$X$5</f>
        <v>20140101</v>
      </c>
      <c r="AI205" s="265">
        <f>IF(AI204+1&gt;MiscData!$AC$77,1,AI204+1)</f>
        <v>56</v>
      </c>
      <c r="AJ205" s="265" t="str">
        <f>VLOOKUP(AI205,MiscData!$AC$5:$AD$77,2,FALSE)</f>
        <v>LGUM_455</v>
      </c>
      <c r="AK205" s="265" t="str">
        <f>VLOOKUP(AJ205,MiscData!$AD$5:$AE$77,2,FALSE)</f>
        <v xml:space="preserve">LS </v>
      </c>
      <c r="AT205" s="265" t="s">
        <v>737</v>
      </c>
      <c r="AV205" s="265">
        <v>0</v>
      </c>
    </row>
    <row r="206" spans="1:48">
      <c r="A206" s="275">
        <f t="shared" si="106"/>
        <v>203</v>
      </c>
      <c r="B206" s="276" t="str">
        <f t="shared" si="79"/>
        <v>Mar 2014</v>
      </c>
      <c r="C206" s="277" t="str">
        <f t="shared" si="80"/>
        <v xml:space="preserve">LS </v>
      </c>
      <c r="D206" s="277" t="str">
        <f t="shared" si="81"/>
        <v>LGUM_456</v>
      </c>
      <c r="E206" s="614">
        <f t="shared" si="84"/>
        <v>13177</v>
      </c>
      <c r="F206" s="615">
        <f t="shared" si="85"/>
        <v>0</v>
      </c>
      <c r="G206" s="614">
        <f t="shared" si="86"/>
        <v>2212760</v>
      </c>
      <c r="H206" s="615">
        <v>0</v>
      </c>
      <c r="I206" s="283">
        <f t="shared" si="87"/>
        <v>18.21</v>
      </c>
      <c r="J206" s="283">
        <f t="shared" si="88"/>
        <v>4.2800000000000011</v>
      </c>
      <c r="K206" s="285">
        <f t="shared" si="89"/>
        <v>239953.17</v>
      </c>
      <c r="L206" s="286">
        <f t="shared" si="90"/>
        <v>-603.7700000000217</v>
      </c>
      <c r="M206" s="286">
        <f t="shared" si="91"/>
        <v>0</v>
      </c>
      <c r="N206" s="285">
        <f t="shared" si="92"/>
        <v>239349.4</v>
      </c>
      <c r="O206" s="616">
        <f t="shared" si="93"/>
        <v>239349.4</v>
      </c>
      <c r="P206" s="289">
        <f t="shared" si="94"/>
        <v>1</v>
      </c>
      <c r="Q206" s="290">
        <f t="shared" si="95"/>
        <v>4826.8999999999996</v>
      </c>
      <c r="R206" s="290">
        <f t="shared" si="96"/>
        <v>4544.6899999999996</v>
      </c>
      <c r="S206" s="290">
        <f t="shared" si="97"/>
        <v>0</v>
      </c>
      <c r="T206" s="290">
        <f t="shared" si="98"/>
        <v>256604.06</v>
      </c>
      <c r="U206" s="291">
        <f t="shared" si="99"/>
        <v>248720.99</v>
      </c>
      <c r="V206" s="291">
        <f t="shared" si="103"/>
        <v>7883.07</v>
      </c>
      <c r="W206" s="265">
        <f t="shared" si="100"/>
        <v>7883.07</v>
      </c>
      <c r="X206" s="291">
        <f t="shared" si="104"/>
        <v>0</v>
      </c>
      <c r="Y206" s="170">
        <f t="shared" si="101"/>
        <v>56397.56</v>
      </c>
      <c r="Z206" s="291">
        <f t="shared" si="102"/>
        <v>182951.84</v>
      </c>
      <c r="AC206" s="276">
        <f>IF(AI206=1,IF(AC205=MiscData!$F$1,EOMONTH(AC205,-11),EOMONTH(AC205,1)),AC205)</f>
        <v>41729</v>
      </c>
      <c r="AD206" s="275" t="str">
        <f t="shared" si="82"/>
        <v>20140101LGUM_456</v>
      </c>
      <c r="AE206" s="294" t="str">
        <f t="shared" si="83"/>
        <v xml:space="preserve">20140101LS </v>
      </c>
      <c r="AF206" s="618" t="str">
        <f t="shared" si="105"/>
        <v>456</v>
      </c>
      <c r="AH206" s="265">
        <f>MiscData!$X$5</f>
        <v>20140101</v>
      </c>
      <c r="AI206" s="265">
        <f>IF(AI205+1&gt;MiscData!$AC$77,1,AI205+1)</f>
        <v>57</v>
      </c>
      <c r="AJ206" s="265" t="str">
        <f>VLOOKUP(AI206,MiscData!$AC$5:$AD$77,2,FALSE)</f>
        <v>LGUM_456</v>
      </c>
      <c r="AK206" s="265" t="str">
        <f>VLOOKUP(AJ206,MiscData!$AD$5:$AE$77,2,FALSE)</f>
        <v xml:space="preserve">LS </v>
      </c>
      <c r="AT206" s="265" t="s">
        <v>329</v>
      </c>
      <c r="AV206" s="265">
        <v>0</v>
      </c>
    </row>
    <row r="207" spans="1:48">
      <c r="A207" s="275">
        <f t="shared" si="106"/>
        <v>204</v>
      </c>
      <c r="B207" s="276" t="str">
        <f t="shared" si="79"/>
        <v>Mar 2014</v>
      </c>
      <c r="C207" s="277" t="str">
        <f t="shared" si="80"/>
        <v xml:space="preserve">LS </v>
      </c>
      <c r="D207" s="277" t="str">
        <f t="shared" si="81"/>
        <v>LGUM_457</v>
      </c>
      <c r="E207" s="614">
        <f t="shared" si="84"/>
        <v>3361</v>
      </c>
      <c r="F207" s="615">
        <f t="shared" si="85"/>
        <v>0</v>
      </c>
      <c r="G207" s="614">
        <f t="shared" si="86"/>
        <v>139706</v>
      </c>
      <c r="H207" s="615">
        <v>0</v>
      </c>
      <c r="I207" s="283">
        <f t="shared" si="87"/>
        <v>10.86</v>
      </c>
      <c r="J207" s="283">
        <f t="shared" si="88"/>
        <v>1.0599999999999987</v>
      </c>
      <c r="K207" s="285">
        <f t="shared" si="89"/>
        <v>36500.46</v>
      </c>
      <c r="L207" s="286">
        <f t="shared" si="90"/>
        <v>-184.0200000000026</v>
      </c>
      <c r="M207" s="286">
        <f t="shared" si="91"/>
        <v>0</v>
      </c>
      <c r="N207" s="285">
        <f t="shared" si="92"/>
        <v>36316.439999999995</v>
      </c>
      <c r="O207" s="616">
        <f t="shared" si="93"/>
        <v>36316.44</v>
      </c>
      <c r="P207" s="289">
        <f t="shared" si="94"/>
        <v>1.0000000000000002</v>
      </c>
      <c r="Q207" s="290">
        <f t="shared" si="95"/>
        <v>304.94</v>
      </c>
      <c r="R207" s="290">
        <f t="shared" si="96"/>
        <v>674.25</v>
      </c>
      <c r="S207" s="290">
        <f t="shared" si="97"/>
        <v>0</v>
      </c>
      <c r="T207" s="290">
        <f t="shared" si="98"/>
        <v>38958.370000000003</v>
      </c>
      <c r="U207" s="291">
        <f t="shared" si="99"/>
        <v>37295.629999999997</v>
      </c>
      <c r="V207" s="291">
        <f t="shared" si="103"/>
        <v>1662.74</v>
      </c>
      <c r="W207" s="265">
        <f t="shared" si="100"/>
        <v>1662.74</v>
      </c>
      <c r="X207" s="291">
        <f t="shared" si="104"/>
        <v>0</v>
      </c>
      <c r="Y207" s="170">
        <f t="shared" si="101"/>
        <v>3562.66</v>
      </c>
      <c r="Z207" s="291">
        <f t="shared" si="102"/>
        <v>32753.780000000002</v>
      </c>
      <c r="AC207" s="276">
        <f>IF(AI207=1,IF(AC206=MiscData!$F$1,EOMONTH(AC206,-11),EOMONTH(AC206,1)),AC206)</f>
        <v>41729</v>
      </c>
      <c r="AD207" s="275" t="str">
        <f t="shared" si="82"/>
        <v>20140101LGUM_457</v>
      </c>
      <c r="AE207" s="294" t="str">
        <f t="shared" si="83"/>
        <v xml:space="preserve">20140101LS </v>
      </c>
      <c r="AF207" s="618" t="str">
        <f t="shared" si="105"/>
        <v>457</v>
      </c>
      <c r="AH207" s="265">
        <f>MiscData!$X$5</f>
        <v>20140101</v>
      </c>
      <c r="AI207" s="265">
        <f>IF(AI206+1&gt;MiscData!$AC$77,1,AI206+1)</f>
        <v>58</v>
      </c>
      <c r="AJ207" s="265" t="str">
        <f>VLOOKUP(AI207,MiscData!$AC$5:$AD$77,2,FALSE)</f>
        <v>LGUM_457</v>
      </c>
      <c r="AK207" s="265" t="str">
        <f>VLOOKUP(AJ207,MiscData!$AD$5:$AE$77,2,FALSE)</f>
        <v xml:space="preserve">LS </v>
      </c>
      <c r="AT207" s="265" t="s">
        <v>330</v>
      </c>
      <c r="AV207" s="265">
        <v>6446.91</v>
      </c>
    </row>
    <row r="208" spans="1:48">
      <c r="A208" s="275">
        <f t="shared" si="106"/>
        <v>205</v>
      </c>
      <c r="B208" s="276" t="str">
        <f t="shared" si="79"/>
        <v>Mar 2014</v>
      </c>
      <c r="C208" s="277" t="str">
        <f t="shared" si="80"/>
        <v>RLS</v>
      </c>
      <c r="D208" s="277" t="str">
        <f t="shared" si="81"/>
        <v>LGUM_458</v>
      </c>
      <c r="E208" s="614">
        <f t="shared" si="84"/>
        <v>5</v>
      </c>
      <c r="F208" s="615">
        <f t="shared" si="85"/>
        <v>0</v>
      </c>
      <c r="G208" s="614">
        <f t="shared" si="86"/>
        <v>362</v>
      </c>
      <c r="H208" s="615">
        <v>0</v>
      </c>
      <c r="I208" s="283">
        <f t="shared" si="87"/>
        <v>11.13</v>
      </c>
      <c r="J208" s="283">
        <f t="shared" si="88"/>
        <v>3.7700000000000014</v>
      </c>
      <c r="K208" s="285">
        <f t="shared" si="89"/>
        <v>55.65</v>
      </c>
      <c r="L208" s="286">
        <f t="shared" si="90"/>
        <v>0</v>
      </c>
      <c r="M208" s="286">
        <f t="shared" si="91"/>
        <v>0</v>
      </c>
      <c r="N208" s="285">
        <f t="shared" si="92"/>
        <v>55.65</v>
      </c>
      <c r="O208" s="616">
        <f t="shared" si="93"/>
        <v>55.650000000000006</v>
      </c>
      <c r="P208" s="289">
        <f t="shared" si="94"/>
        <v>1.0000000000000002</v>
      </c>
      <c r="Q208" s="290">
        <f t="shared" si="95"/>
        <v>0.8</v>
      </c>
      <c r="R208" s="290">
        <f t="shared" si="96"/>
        <v>1</v>
      </c>
      <c r="S208" s="290">
        <f t="shared" si="97"/>
        <v>0</v>
      </c>
      <c r="T208" s="290">
        <f t="shared" si="98"/>
        <v>57.45</v>
      </c>
      <c r="U208" s="291">
        <f t="shared" si="99"/>
        <v>57.449999999999996</v>
      </c>
      <c r="V208" s="291">
        <f t="shared" si="103"/>
        <v>0</v>
      </c>
      <c r="W208" s="265">
        <f t="shared" si="100"/>
        <v>0</v>
      </c>
      <c r="X208" s="291">
        <f t="shared" si="104"/>
        <v>0</v>
      </c>
      <c r="Y208" s="170">
        <f t="shared" si="101"/>
        <v>18.850000000000001</v>
      </c>
      <c r="Z208" s="291">
        <f t="shared" si="102"/>
        <v>36.800000000000004</v>
      </c>
      <c r="AC208" s="276">
        <f>IF(AI208=1,IF(AC207=MiscData!$F$1,EOMONTH(AC207,-11),EOMONTH(AC207,1)),AC207)</f>
        <v>41729</v>
      </c>
      <c r="AD208" s="275" t="str">
        <f t="shared" si="82"/>
        <v>20140101LGUM_458</v>
      </c>
      <c r="AE208" s="294" t="str">
        <f t="shared" si="83"/>
        <v>20140101RLS</v>
      </c>
      <c r="AF208" s="618" t="str">
        <f t="shared" si="105"/>
        <v>458</v>
      </c>
      <c r="AH208" s="265">
        <f>MiscData!$X$5</f>
        <v>20140101</v>
      </c>
      <c r="AI208" s="265">
        <f>IF(AI207+1&gt;MiscData!$AC$77,1,AI207+1)</f>
        <v>59</v>
      </c>
      <c r="AJ208" s="265" t="str">
        <f>VLOOKUP(AI208,MiscData!$AC$5:$AD$77,2,FALSE)</f>
        <v>LGUM_458</v>
      </c>
      <c r="AK208" s="265" t="str">
        <f>VLOOKUP(AJ208,MiscData!$AD$5:$AE$77,2,FALSE)</f>
        <v>RLS</v>
      </c>
      <c r="AT208" s="265" t="s">
        <v>331</v>
      </c>
      <c r="AV208" s="265">
        <v>26.32</v>
      </c>
    </row>
    <row r="209" spans="1:48">
      <c r="A209" s="275">
        <f t="shared" si="106"/>
        <v>206</v>
      </c>
      <c r="B209" s="276" t="str">
        <f t="shared" si="79"/>
        <v>Mar 2014</v>
      </c>
      <c r="C209" s="277" t="str">
        <f t="shared" si="80"/>
        <v xml:space="preserve">LS </v>
      </c>
      <c r="D209" s="277" t="str">
        <f t="shared" si="81"/>
        <v>LGUM_470</v>
      </c>
      <c r="E209" s="614">
        <f t="shared" si="84"/>
        <v>22</v>
      </c>
      <c r="F209" s="615">
        <f t="shared" si="85"/>
        <v>0</v>
      </c>
      <c r="G209" s="614">
        <f t="shared" si="86"/>
        <v>1187</v>
      </c>
      <c r="H209" s="615">
        <v>0</v>
      </c>
      <c r="I209" s="283">
        <f t="shared" si="87"/>
        <v>12.79</v>
      </c>
      <c r="J209" s="283">
        <f t="shared" si="88"/>
        <v>1.3699999999999992</v>
      </c>
      <c r="K209" s="285">
        <f t="shared" si="89"/>
        <v>281.38</v>
      </c>
      <c r="L209" s="286">
        <f t="shared" si="90"/>
        <v>0</v>
      </c>
      <c r="M209" s="286">
        <f t="shared" si="91"/>
        <v>0</v>
      </c>
      <c r="N209" s="285">
        <f t="shared" si="92"/>
        <v>281.38</v>
      </c>
      <c r="O209" s="616">
        <f t="shared" si="93"/>
        <v>281.38</v>
      </c>
      <c r="P209" s="289">
        <f t="shared" si="94"/>
        <v>1</v>
      </c>
      <c r="Q209" s="290">
        <f t="shared" si="95"/>
        <v>2.63</v>
      </c>
      <c r="R209" s="290">
        <f t="shared" si="96"/>
        <v>5.09</v>
      </c>
      <c r="S209" s="290">
        <f t="shared" si="97"/>
        <v>0</v>
      </c>
      <c r="T209" s="290">
        <f t="shared" si="98"/>
        <v>293.22000000000003</v>
      </c>
      <c r="U209" s="291">
        <f t="shared" si="99"/>
        <v>289.09999999999997</v>
      </c>
      <c r="V209" s="291">
        <f t="shared" si="103"/>
        <v>4.12</v>
      </c>
      <c r="W209" s="265">
        <f t="shared" si="100"/>
        <v>4.12</v>
      </c>
      <c r="X209" s="291">
        <f t="shared" si="104"/>
        <v>0</v>
      </c>
      <c r="Y209" s="170">
        <f t="shared" si="101"/>
        <v>30.14</v>
      </c>
      <c r="Z209" s="291">
        <f t="shared" si="102"/>
        <v>251.24</v>
      </c>
      <c r="AC209" s="276">
        <f>IF(AI209=1,IF(AC208=MiscData!$F$1,EOMONTH(AC208,-11),EOMONTH(AC208,1)),AC208)</f>
        <v>41729</v>
      </c>
      <c r="AD209" s="275" t="str">
        <f t="shared" si="82"/>
        <v>20140101LGUM_470</v>
      </c>
      <c r="AE209" s="294" t="str">
        <f t="shared" si="83"/>
        <v xml:space="preserve">20140101LS </v>
      </c>
      <c r="AF209" s="618" t="str">
        <f t="shared" si="105"/>
        <v>470</v>
      </c>
      <c r="AH209" s="265">
        <f>MiscData!$X$5</f>
        <v>20140101</v>
      </c>
      <c r="AI209" s="265">
        <f>IF(AI208+1&gt;MiscData!$AC$77,1,AI208+1)</f>
        <v>60</v>
      </c>
      <c r="AJ209" s="265" t="str">
        <f>VLOOKUP(AI209,MiscData!$AC$5:$AD$77,2,FALSE)</f>
        <v>LGUM_470</v>
      </c>
      <c r="AK209" s="265" t="str">
        <f>VLOOKUP(AJ209,MiscData!$AD$5:$AE$77,2,FALSE)</f>
        <v xml:space="preserve">LS </v>
      </c>
      <c r="AT209" s="265" t="s">
        <v>332</v>
      </c>
      <c r="AV209" s="265">
        <v>0</v>
      </c>
    </row>
    <row r="210" spans="1:48">
      <c r="A210" s="275">
        <f t="shared" si="106"/>
        <v>207</v>
      </c>
      <c r="B210" s="276" t="str">
        <f t="shared" si="79"/>
        <v>Mar 2014</v>
      </c>
      <c r="C210" s="277" t="str">
        <f t="shared" si="80"/>
        <v>RLS</v>
      </c>
      <c r="D210" s="277" t="str">
        <f t="shared" si="81"/>
        <v>LGUM_471</v>
      </c>
      <c r="E210" s="614">
        <f t="shared" si="84"/>
        <v>2</v>
      </c>
      <c r="F210" s="615">
        <f t="shared" si="85"/>
        <v>0</v>
      </c>
      <c r="G210" s="614">
        <f t="shared" si="86"/>
        <v>107</v>
      </c>
      <c r="H210" s="615">
        <v>0</v>
      </c>
      <c r="I210" s="283">
        <f t="shared" si="87"/>
        <v>15.07</v>
      </c>
      <c r="J210" s="283">
        <f t="shared" si="88"/>
        <v>1.3699999999999992</v>
      </c>
      <c r="K210" s="285">
        <f t="shared" si="89"/>
        <v>30.14</v>
      </c>
      <c r="L210" s="286">
        <f t="shared" si="90"/>
        <v>0</v>
      </c>
      <c r="M210" s="286">
        <f t="shared" si="91"/>
        <v>0</v>
      </c>
      <c r="N210" s="285">
        <f t="shared" si="92"/>
        <v>30.14</v>
      </c>
      <c r="O210" s="616">
        <f t="shared" si="93"/>
        <v>30.14</v>
      </c>
      <c r="P210" s="289">
        <f t="shared" si="94"/>
        <v>1</v>
      </c>
      <c r="Q210" s="290">
        <f t="shared" si="95"/>
        <v>0.24</v>
      </c>
      <c r="R210" s="290">
        <f t="shared" si="96"/>
        <v>0.54</v>
      </c>
      <c r="S210" s="290">
        <f t="shared" si="97"/>
        <v>0</v>
      </c>
      <c r="T210" s="290">
        <f t="shared" si="98"/>
        <v>30.92</v>
      </c>
      <c r="U210" s="291">
        <f t="shared" si="99"/>
        <v>30.919999999999998</v>
      </c>
      <c r="V210" s="291">
        <f t="shared" si="103"/>
        <v>0</v>
      </c>
      <c r="W210" s="265">
        <f t="shared" si="100"/>
        <v>0</v>
      </c>
      <c r="X210" s="291">
        <f t="shared" si="104"/>
        <v>0</v>
      </c>
      <c r="Y210" s="170">
        <f t="shared" si="101"/>
        <v>2.74</v>
      </c>
      <c r="Z210" s="291">
        <f t="shared" si="102"/>
        <v>27.4</v>
      </c>
      <c r="AC210" s="276">
        <f>IF(AI210=1,IF(AC209=MiscData!$F$1,EOMONTH(AC209,-11),EOMONTH(AC209,1)),AC209)</f>
        <v>41729</v>
      </c>
      <c r="AD210" s="275" t="str">
        <f t="shared" si="82"/>
        <v>20140101LGUM_471</v>
      </c>
      <c r="AE210" s="294" t="str">
        <f t="shared" si="83"/>
        <v>20140101RLS</v>
      </c>
      <c r="AF210" s="618" t="str">
        <f t="shared" si="105"/>
        <v>471</v>
      </c>
      <c r="AH210" s="265">
        <f>MiscData!$X$5</f>
        <v>20140101</v>
      </c>
      <c r="AI210" s="265">
        <f>IF(AI209+1&gt;MiscData!$AC$77,1,AI209+1)</f>
        <v>61</v>
      </c>
      <c r="AJ210" s="265" t="str">
        <f>VLOOKUP(AI210,MiscData!$AC$5:$AD$77,2,FALSE)</f>
        <v>LGUM_471</v>
      </c>
      <c r="AK210" s="265" t="str">
        <f>VLOOKUP(AJ210,MiscData!$AD$5:$AE$77,2,FALSE)</f>
        <v>RLS</v>
      </c>
      <c r="AT210" s="265" t="s">
        <v>333</v>
      </c>
      <c r="AV210" s="265">
        <v>17648.68</v>
      </c>
    </row>
    <row r="211" spans="1:48">
      <c r="A211" s="275">
        <f t="shared" si="106"/>
        <v>208</v>
      </c>
      <c r="B211" s="276" t="str">
        <f t="shared" si="79"/>
        <v>Mar 2014</v>
      </c>
      <c r="C211" s="277" t="str">
        <f t="shared" si="80"/>
        <v xml:space="preserve">LS </v>
      </c>
      <c r="D211" s="277" t="str">
        <f t="shared" si="81"/>
        <v>LGUM_473</v>
      </c>
      <c r="E211" s="614">
        <f t="shared" si="84"/>
        <v>338</v>
      </c>
      <c r="F211" s="615">
        <f t="shared" si="85"/>
        <v>0</v>
      </c>
      <c r="G211" s="614">
        <f t="shared" si="86"/>
        <v>40966</v>
      </c>
      <c r="H211" s="615">
        <v>0</v>
      </c>
      <c r="I211" s="283">
        <f t="shared" si="87"/>
        <v>18.68</v>
      </c>
      <c r="J211" s="283">
        <f t="shared" si="88"/>
        <v>3.1799999999999979</v>
      </c>
      <c r="K211" s="285">
        <f t="shared" si="89"/>
        <v>6313.84</v>
      </c>
      <c r="L211" s="286">
        <f t="shared" si="90"/>
        <v>-171.83999999999997</v>
      </c>
      <c r="M211" s="286">
        <f t="shared" si="91"/>
        <v>0</v>
      </c>
      <c r="N211" s="285">
        <f t="shared" si="92"/>
        <v>6142</v>
      </c>
      <c r="O211" s="616">
        <f t="shared" si="93"/>
        <v>6142</v>
      </c>
      <c r="P211" s="289">
        <f t="shared" si="94"/>
        <v>1</v>
      </c>
      <c r="Q211" s="290">
        <f t="shared" si="95"/>
        <v>88.94</v>
      </c>
      <c r="R211" s="290">
        <f t="shared" si="96"/>
        <v>115.43</v>
      </c>
      <c r="S211" s="290">
        <f t="shared" si="97"/>
        <v>0</v>
      </c>
      <c r="T211" s="290">
        <f t="shared" si="98"/>
        <v>6426.59</v>
      </c>
      <c r="U211" s="291">
        <f t="shared" si="99"/>
        <v>6346.37</v>
      </c>
      <c r="V211" s="291">
        <f t="shared" si="103"/>
        <v>80.22</v>
      </c>
      <c r="W211" s="265">
        <f t="shared" si="100"/>
        <v>80.22</v>
      </c>
      <c r="X211" s="291">
        <f t="shared" si="104"/>
        <v>0</v>
      </c>
      <c r="Y211" s="170">
        <f t="shared" si="101"/>
        <v>1074.8399999999999</v>
      </c>
      <c r="Z211" s="291">
        <f t="shared" si="102"/>
        <v>5067.16</v>
      </c>
      <c r="AC211" s="276">
        <f>IF(AI211=1,IF(AC210=MiscData!$F$1,EOMONTH(AC210,-11),EOMONTH(AC210,1)),AC210)</f>
        <v>41729</v>
      </c>
      <c r="AD211" s="275" t="str">
        <f t="shared" si="82"/>
        <v>20140101LGUM_473</v>
      </c>
      <c r="AE211" s="294" t="str">
        <f t="shared" si="83"/>
        <v xml:space="preserve">20140101LS </v>
      </c>
      <c r="AF211" s="618" t="str">
        <f t="shared" si="105"/>
        <v>473</v>
      </c>
      <c r="AH211" s="265">
        <f>MiscData!$X$5</f>
        <v>20140101</v>
      </c>
      <c r="AI211" s="265">
        <f>IF(AI210+1&gt;MiscData!$AC$77,1,AI210+1)</f>
        <v>62</v>
      </c>
      <c r="AJ211" s="265" t="str">
        <f>VLOOKUP(AI211,MiscData!$AC$5:$AD$77,2,FALSE)</f>
        <v>LGUM_473</v>
      </c>
      <c r="AK211" s="265" t="str">
        <f>VLOOKUP(AJ211,MiscData!$AD$5:$AE$77,2,FALSE)</f>
        <v xml:space="preserve">LS </v>
      </c>
      <c r="AT211" s="265" t="s">
        <v>334</v>
      </c>
      <c r="AV211" s="265">
        <v>0</v>
      </c>
    </row>
    <row r="212" spans="1:48">
      <c r="A212" s="275">
        <f t="shared" si="106"/>
        <v>209</v>
      </c>
      <c r="B212" s="276" t="str">
        <f t="shared" si="79"/>
        <v>Mar 2014</v>
      </c>
      <c r="C212" s="277" t="str">
        <f t="shared" si="80"/>
        <v>RLS</v>
      </c>
      <c r="D212" s="277" t="str">
        <f t="shared" si="81"/>
        <v>LGUM_474</v>
      </c>
      <c r="E212" s="614">
        <f t="shared" si="84"/>
        <v>54</v>
      </c>
      <c r="F212" s="615">
        <f t="shared" si="85"/>
        <v>0</v>
      </c>
      <c r="G212" s="614">
        <f t="shared" si="86"/>
        <v>6762</v>
      </c>
      <c r="H212" s="615">
        <v>0</v>
      </c>
      <c r="I212" s="283">
        <f t="shared" si="87"/>
        <v>20.970000000000002</v>
      </c>
      <c r="J212" s="283">
        <f t="shared" si="88"/>
        <v>3.1799999999999997</v>
      </c>
      <c r="K212" s="285">
        <f t="shared" si="89"/>
        <v>1132.3800000000001</v>
      </c>
      <c r="L212" s="286">
        <f t="shared" si="90"/>
        <v>0</v>
      </c>
      <c r="M212" s="286">
        <f t="shared" si="91"/>
        <v>0</v>
      </c>
      <c r="N212" s="285">
        <f t="shared" si="92"/>
        <v>1132.3800000000001</v>
      </c>
      <c r="O212" s="616">
        <f t="shared" si="93"/>
        <v>1132.3799999999999</v>
      </c>
      <c r="P212" s="289">
        <f t="shared" si="94"/>
        <v>0.99999999999999978</v>
      </c>
      <c r="Q212" s="290">
        <f t="shared" si="95"/>
        <v>14.87</v>
      </c>
      <c r="R212" s="290">
        <f t="shared" si="96"/>
        <v>20.6</v>
      </c>
      <c r="S212" s="290">
        <f t="shared" si="97"/>
        <v>0</v>
      </c>
      <c r="T212" s="290">
        <f t="shared" si="98"/>
        <v>1194.5899999999999</v>
      </c>
      <c r="U212" s="291">
        <f t="shared" si="99"/>
        <v>1167.8499999999999</v>
      </c>
      <c r="V212" s="291">
        <f t="shared" si="103"/>
        <v>26.74</v>
      </c>
      <c r="W212" s="265">
        <f t="shared" si="100"/>
        <v>26.74</v>
      </c>
      <c r="X212" s="291">
        <f t="shared" si="104"/>
        <v>0</v>
      </c>
      <c r="Y212" s="170">
        <f t="shared" si="101"/>
        <v>171.72</v>
      </c>
      <c r="Z212" s="291">
        <f t="shared" si="102"/>
        <v>960.65999999999985</v>
      </c>
      <c r="AC212" s="276">
        <f>IF(AI212=1,IF(AC211=MiscData!$F$1,EOMONTH(AC211,-11),EOMONTH(AC211,1)),AC211)</f>
        <v>41729</v>
      </c>
      <c r="AD212" s="275" t="str">
        <f t="shared" si="82"/>
        <v>20140101LGUM_474</v>
      </c>
      <c r="AE212" s="294" t="str">
        <f t="shared" si="83"/>
        <v>20140101RLS</v>
      </c>
      <c r="AF212" s="618" t="str">
        <f t="shared" si="105"/>
        <v>474</v>
      </c>
      <c r="AH212" s="265">
        <f>MiscData!$X$5</f>
        <v>20140101</v>
      </c>
      <c r="AI212" s="265">
        <f>IF(AI211+1&gt;MiscData!$AC$77,1,AI211+1)</f>
        <v>63</v>
      </c>
      <c r="AJ212" s="265" t="str">
        <f>VLOOKUP(AI212,MiscData!$AC$5:$AD$77,2,FALSE)</f>
        <v>LGUM_474</v>
      </c>
      <c r="AK212" s="265" t="str">
        <f>VLOOKUP(AJ212,MiscData!$AD$5:$AE$77,2,FALSE)</f>
        <v>RLS</v>
      </c>
      <c r="AT212" s="265" t="s">
        <v>335</v>
      </c>
      <c r="AV212" s="265">
        <v>53.16</v>
      </c>
    </row>
    <row r="213" spans="1:48">
      <c r="A213" s="275">
        <f t="shared" si="106"/>
        <v>210</v>
      </c>
      <c r="B213" s="276" t="str">
        <f t="shared" si="79"/>
        <v>Mar 2014</v>
      </c>
      <c r="C213" s="277" t="str">
        <f t="shared" si="80"/>
        <v>RLS</v>
      </c>
      <c r="D213" s="277" t="str">
        <f t="shared" si="81"/>
        <v>LGUM_475</v>
      </c>
      <c r="E213" s="614">
        <f t="shared" si="84"/>
        <v>2</v>
      </c>
      <c r="F213" s="615">
        <f t="shared" si="85"/>
        <v>0</v>
      </c>
      <c r="G213" s="614">
        <f t="shared" si="86"/>
        <v>246</v>
      </c>
      <c r="H213" s="615">
        <v>0</v>
      </c>
      <c r="I213" s="283">
        <f t="shared" si="87"/>
        <v>28.42</v>
      </c>
      <c r="J213" s="283">
        <f t="shared" si="88"/>
        <v>3.1800000000000033</v>
      </c>
      <c r="K213" s="285">
        <f t="shared" si="89"/>
        <v>56.84</v>
      </c>
      <c r="L213" s="286">
        <f t="shared" si="90"/>
        <v>0</v>
      </c>
      <c r="M213" s="286">
        <f t="shared" si="91"/>
        <v>0</v>
      </c>
      <c r="N213" s="285">
        <f t="shared" si="92"/>
        <v>56.84</v>
      </c>
      <c r="O213" s="616">
        <f t="shared" si="93"/>
        <v>56.84</v>
      </c>
      <c r="P213" s="289">
        <f t="shared" si="94"/>
        <v>1</v>
      </c>
      <c r="Q213" s="290">
        <f t="shared" si="95"/>
        <v>0.54</v>
      </c>
      <c r="R213" s="290">
        <f t="shared" si="96"/>
        <v>1.01</v>
      </c>
      <c r="S213" s="290">
        <f t="shared" si="97"/>
        <v>0</v>
      </c>
      <c r="T213" s="290">
        <f t="shared" si="98"/>
        <v>58.39</v>
      </c>
      <c r="U213" s="291">
        <f t="shared" si="99"/>
        <v>58.39</v>
      </c>
      <c r="V213" s="291">
        <f t="shared" si="103"/>
        <v>0</v>
      </c>
      <c r="W213" s="265">
        <f t="shared" si="100"/>
        <v>0</v>
      </c>
      <c r="X213" s="291">
        <f t="shared" si="104"/>
        <v>0</v>
      </c>
      <c r="Y213" s="170">
        <f t="shared" si="101"/>
        <v>6.36</v>
      </c>
      <c r="Z213" s="291">
        <f t="shared" si="102"/>
        <v>50.480000000000004</v>
      </c>
      <c r="AC213" s="276">
        <f>IF(AI213=1,IF(AC212=MiscData!$F$1,EOMONTH(AC212,-11),EOMONTH(AC212,1)),AC212)</f>
        <v>41729</v>
      </c>
      <c r="AD213" s="275" t="str">
        <f t="shared" si="82"/>
        <v>20140101LGUM_475</v>
      </c>
      <c r="AE213" s="294" t="str">
        <f t="shared" si="83"/>
        <v>20140101RLS</v>
      </c>
      <c r="AF213" s="618" t="str">
        <f t="shared" si="105"/>
        <v>475</v>
      </c>
      <c r="AH213" s="265">
        <f>MiscData!$X$5</f>
        <v>20140101</v>
      </c>
      <c r="AI213" s="265">
        <f>IF(AI212+1&gt;MiscData!$AC$77,1,AI212+1)</f>
        <v>64</v>
      </c>
      <c r="AJ213" s="265" t="str">
        <f>VLOOKUP(AI213,MiscData!$AC$5:$AD$77,2,FALSE)</f>
        <v>LGUM_475</v>
      </c>
      <c r="AK213" s="265" t="str">
        <f>VLOOKUP(AJ213,MiscData!$AD$5:$AE$77,2,FALSE)</f>
        <v>RLS</v>
      </c>
      <c r="AT213" s="265" t="s">
        <v>336</v>
      </c>
      <c r="AV213" s="265">
        <v>0</v>
      </c>
    </row>
    <row r="214" spans="1:48">
      <c r="A214" s="275">
        <f t="shared" si="106"/>
        <v>211</v>
      </c>
      <c r="B214" s="276" t="str">
        <f t="shared" si="79"/>
        <v>Mar 2014</v>
      </c>
      <c r="C214" s="277" t="str">
        <f t="shared" si="80"/>
        <v xml:space="preserve">LS </v>
      </c>
      <c r="D214" s="277" t="str">
        <f t="shared" si="81"/>
        <v>LGUM_476</v>
      </c>
      <c r="E214" s="614">
        <f t="shared" si="84"/>
        <v>400</v>
      </c>
      <c r="F214" s="615">
        <f t="shared" si="85"/>
        <v>0</v>
      </c>
      <c r="G214" s="614">
        <f t="shared" si="86"/>
        <v>153794</v>
      </c>
      <c r="H214" s="615">
        <v>0</v>
      </c>
      <c r="I214" s="283">
        <f t="shared" si="87"/>
        <v>39.6</v>
      </c>
      <c r="J214" s="283">
        <f t="shared" si="88"/>
        <v>9.8100000000000023</v>
      </c>
      <c r="K214" s="285">
        <f t="shared" si="89"/>
        <v>15840</v>
      </c>
      <c r="L214" s="286">
        <f t="shared" si="90"/>
        <v>-42.630000000000067</v>
      </c>
      <c r="M214" s="286">
        <f t="shared" si="91"/>
        <v>0</v>
      </c>
      <c r="N214" s="285">
        <f t="shared" si="92"/>
        <v>15797.37</v>
      </c>
      <c r="O214" s="616">
        <f t="shared" si="93"/>
        <v>15797.369999999999</v>
      </c>
      <c r="P214" s="289">
        <f t="shared" si="94"/>
        <v>0.99999999999999989</v>
      </c>
      <c r="Q214" s="290">
        <f t="shared" si="95"/>
        <v>328.66</v>
      </c>
      <c r="R214" s="290">
        <f t="shared" si="96"/>
        <v>296.20999999999998</v>
      </c>
      <c r="S214" s="290">
        <f t="shared" si="97"/>
        <v>0</v>
      </c>
      <c r="T214" s="290">
        <f t="shared" si="98"/>
        <v>16541.52</v>
      </c>
      <c r="U214" s="291">
        <f t="shared" si="99"/>
        <v>16422.240000000002</v>
      </c>
      <c r="V214" s="291">
        <f t="shared" si="103"/>
        <v>119.28</v>
      </c>
      <c r="W214" s="265">
        <f t="shared" si="100"/>
        <v>119.28</v>
      </c>
      <c r="X214" s="291">
        <f t="shared" si="104"/>
        <v>0</v>
      </c>
      <c r="Y214" s="170">
        <f t="shared" si="101"/>
        <v>3924</v>
      </c>
      <c r="Z214" s="291">
        <f t="shared" si="102"/>
        <v>11873.369999999999</v>
      </c>
      <c r="AC214" s="276">
        <f>IF(AI214=1,IF(AC213=MiscData!$F$1,EOMONTH(AC213,-11),EOMONTH(AC213,1)),AC213)</f>
        <v>41729</v>
      </c>
      <c r="AD214" s="275" t="str">
        <f t="shared" si="82"/>
        <v>20140101LGUM_476</v>
      </c>
      <c r="AE214" s="294" t="str">
        <f t="shared" si="83"/>
        <v xml:space="preserve">20140101LS </v>
      </c>
      <c r="AF214" s="618" t="str">
        <f t="shared" si="105"/>
        <v>476</v>
      </c>
      <c r="AH214" s="265">
        <f>MiscData!$X$5</f>
        <v>20140101</v>
      </c>
      <c r="AI214" s="265">
        <f>IF(AI213+1&gt;MiscData!$AC$77,1,AI213+1)</f>
        <v>65</v>
      </c>
      <c r="AJ214" s="265" t="str">
        <f>VLOOKUP(AI214,MiscData!$AC$5:$AD$77,2,FALSE)</f>
        <v>LGUM_476</v>
      </c>
      <c r="AK214" s="265" t="str">
        <f>VLOOKUP(AJ214,MiscData!$AD$5:$AE$77,2,FALSE)</f>
        <v xml:space="preserve">LS </v>
      </c>
      <c r="AT214" s="265" t="s">
        <v>337</v>
      </c>
      <c r="AV214" s="265">
        <v>0</v>
      </c>
    </row>
    <row r="215" spans="1:48">
      <c r="A215" s="275">
        <f t="shared" si="106"/>
        <v>212</v>
      </c>
      <c r="B215" s="276" t="str">
        <f t="shared" si="79"/>
        <v>Mar 2014</v>
      </c>
      <c r="C215" s="277" t="str">
        <f t="shared" si="80"/>
        <v>RLS</v>
      </c>
      <c r="D215" s="277" t="str">
        <f t="shared" si="81"/>
        <v>LGUM_477</v>
      </c>
      <c r="E215" s="614">
        <f t="shared" si="84"/>
        <v>61</v>
      </c>
      <c r="F215" s="615">
        <f t="shared" si="85"/>
        <v>0</v>
      </c>
      <c r="G215" s="614">
        <f t="shared" si="86"/>
        <v>23054</v>
      </c>
      <c r="H215" s="615">
        <v>0</v>
      </c>
      <c r="I215" s="283">
        <f t="shared" si="87"/>
        <v>42.78</v>
      </c>
      <c r="J215" s="283">
        <f t="shared" si="88"/>
        <v>9.8100000000000023</v>
      </c>
      <c r="K215" s="285">
        <f t="shared" si="89"/>
        <v>2609.58</v>
      </c>
      <c r="L215" s="286">
        <f t="shared" si="90"/>
        <v>0</v>
      </c>
      <c r="M215" s="286">
        <f t="shared" si="91"/>
        <v>0</v>
      </c>
      <c r="N215" s="285">
        <f t="shared" si="92"/>
        <v>2609.58</v>
      </c>
      <c r="O215" s="616">
        <f t="shared" si="93"/>
        <v>2609.58</v>
      </c>
      <c r="P215" s="289">
        <f t="shared" si="94"/>
        <v>1</v>
      </c>
      <c r="Q215" s="290">
        <f t="shared" si="95"/>
        <v>50.72</v>
      </c>
      <c r="R215" s="290">
        <f t="shared" si="96"/>
        <v>47.45</v>
      </c>
      <c r="S215" s="290">
        <f t="shared" si="97"/>
        <v>0</v>
      </c>
      <c r="T215" s="290">
        <f t="shared" si="98"/>
        <v>2741.68</v>
      </c>
      <c r="U215" s="291">
        <f t="shared" si="99"/>
        <v>2707.7499999999995</v>
      </c>
      <c r="V215" s="291">
        <f t="shared" si="103"/>
        <v>33.93</v>
      </c>
      <c r="W215" s="265">
        <f t="shared" si="100"/>
        <v>33.93</v>
      </c>
      <c r="X215" s="291">
        <f t="shared" si="104"/>
        <v>0</v>
      </c>
      <c r="Y215" s="170">
        <f t="shared" si="101"/>
        <v>598.41</v>
      </c>
      <c r="Z215" s="291">
        <f t="shared" si="102"/>
        <v>2011.17</v>
      </c>
      <c r="AC215" s="276">
        <f>IF(AI215=1,IF(AC214=MiscData!$F$1,EOMONTH(AC214,-11),EOMONTH(AC214,1)),AC214)</f>
        <v>41729</v>
      </c>
      <c r="AD215" s="275" t="str">
        <f t="shared" si="82"/>
        <v>20140101LGUM_477</v>
      </c>
      <c r="AE215" s="294" t="str">
        <f t="shared" si="83"/>
        <v>20140101RLS</v>
      </c>
      <c r="AF215" s="618" t="str">
        <f t="shared" si="105"/>
        <v>477</v>
      </c>
      <c r="AH215" s="265">
        <f>MiscData!$X$5</f>
        <v>20140101</v>
      </c>
      <c r="AI215" s="265">
        <f>IF(AI214+1&gt;MiscData!$AC$77,1,AI214+1)</f>
        <v>66</v>
      </c>
      <c r="AJ215" s="265" t="str">
        <f>VLOOKUP(AI215,MiscData!$AC$5:$AD$77,2,FALSE)</f>
        <v>LGUM_477</v>
      </c>
      <c r="AK215" s="265" t="str">
        <f>VLOOKUP(AJ215,MiscData!$AD$5:$AE$77,2,FALSE)</f>
        <v>RLS</v>
      </c>
      <c r="AT215" s="265" t="s">
        <v>338</v>
      </c>
      <c r="AV215" s="265">
        <v>0</v>
      </c>
    </row>
    <row r="216" spans="1:48">
      <c r="A216" s="275">
        <f t="shared" si="106"/>
        <v>213</v>
      </c>
      <c r="B216" s="276" t="str">
        <f t="shared" si="79"/>
        <v>Mar 2014</v>
      </c>
      <c r="C216" s="277" t="str">
        <f t="shared" si="80"/>
        <v xml:space="preserve">LS </v>
      </c>
      <c r="D216" s="277" t="str">
        <f t="shared" si="81"/>
        <v>LGUM_479</v>
      </c>
      <c r="E216" s="614">
        <f t="shared" si="84"/>
        <v>0</v>
      </c>
      <c r="F216" s="615">
        <f t="shared" si="85"/>
        <v>0</v>
      </c>
      <c r="G216" s="614">
        <f t="shared" si="86"/>
        <v>0</v>
      </c>
      <c r="H216" s="615">
        <v>0</v>
      </c>
      <c r="I216" s="283">
        <f t="shared" si="87"/>
        <v>14.06</v>
      </c>
      <c r="J216" s="283">
        <f t="shared" si="88"/>
        <v>1.370000000000001</v>
      </c>
      <c r="K216" s="285">
        <f t="shared" si="89"/>
        <v>0</v>
      </c>
      <c r="L216" s="286">
        <f t="shared" si="90"/>
        <v>0</v>
      </c>
      <c r="M216" s="286">
        <f t="shared" si="91"/>
        <v>0</v>
      </c>
      <c r="N216" s="285">
        <f t="shared" si="92"/>
        <v>0</v>
      </c>
      <c r="O216" s="616">
        <f t="shared" si="93"/>
        <v>0</v>
      </c>
      <c r="P216" s="289">
        <f t="shared" si="94"/>
        <v>1</v>
      </c>
      <c r="Q216" s="290">
        <f t="shared" si="95"/>
        <v>0</v>
      </c>
      <c r="R216" s="290">
        <f t="shared" si="96"/>
        <v>0</v>
      </c>
      <c r="S216" s="290">
        <f t="shared" si="97"/>
        <v>0</v>
      </c>
      <c r="T216" s="290">
        <f t="shared" si="98"/>
        <v>0</v>
      </c>
      <c r="U216" s="291">
        <f t="shared" si="99"/>
        <v>0</v>
      </c>
      <c r="V216" s="291">
        <f t="shared" si="103"/>
        <v>0</v>
      </c>
      <c r="W216" s="265">
        <f t="shared" si="100"/>
        <v>0</v>
      </c>
      <c r="X216" s="291">
        <f t="shared" si="104"/>
        <v>0</v>
      </c>
      <c r="Y216" s="170">
        <f t="shared" si="101"/>
        <v>0</v>
      </c>
      <c r="Z216" s="291">
        <f t="shared" si="102"/>
        <v>0</v>
      </c>
      <c r="AC216" s="276">
        <f>IF(AI216=1,IF(AC215=MiscData!$F$1,EOMONTH(AC215,-11),EOMONTH(AC215,1)),AC215)</f>
        <v>41729</v>
      </c>
      <c r="AD216" s="275" t="str">
        <f t="shared" si="82"/>
        <v>20140101LGUM_479</v>
      </c>
      <c r="AE216" s="294" t="str">
        <f t="shared" si="83"/>
        <v xml:space="preserve">20140101LS </v>
      </c>
      <c r="AF216" s="618" t="str">
        <f t="shared" si="105"/>
        <v>479</v>
      </c>
      <c r="AH216" s="265">
        <f>MiscData!$X$5</f>
        <v>20140101</v>
      </c>
      <c r="AI216" s="265">
        <f>IF(AI215+1&gt;MiscData!$AC$77,1,AI215+1)</f>
        <v>67</v>
      </c>
      <c r="AJ216" s="265" t="str">
        <f>VLOOKUP(AI216,MiscData!$AC$5:$AD$77,2,FALSE)</f>
        <v>LGUM_479</v>
      </c>
      <c r="AK216" s="265" t="str">
        <f>VLOOKUP(AJ216,MiscData!$AD$5:$AE$77,2,FALSE)</f>
        <v xml:space="preserve">LS </v>
      </c>
      <c r="AT216" s="265" t="s">
        <v>339</v>
      </c>
      <c r="AV216" s="265">
        <v>-72.650000000000006</v>
      </c>
    </row>
    <row r="217" spans="1:48">
      <c r="A217" s="275">
        <f t="shared" si="106"/>
        <v>214</v>
      </c>
      <c r="B217" s="276" t="str">
        <f t="shared" si="79"/>
        <v>Mar 2014</v>
      </c>
      <c r="C217" s="277" t="str">
        <f t="shared" si="80"/>
        <v xml:space="preserve">LS </v>
      </c>
      <c r="D217" s="277" t="str">
        <f t="shared" si="81"/>
        <v>LGUM_480</v>
      </c>
      <c r="E217" s="614">
        <f t="shared" si="84"/>
        <v>18</v>
      </c>
      <c r="F217" s="615">
        <f t="shared" si="85"/>
        <v>0</v>
      </c>
      <c r="G217" s="614">
        <f t="shared" si="86"/>
        <v>888</v>
      </c>
      <c r="H217" s="615">
        <v>0</v>
      </c>
      <c r="I217" s="283">
        <f t="shared" si="87"/>
        <v>23.83</v>
      </c>
      <c r="J217" s="283">
        <f t="shared" si="88"/>
        <v>1.370000000000001</v>
      </c>
      <c r="K217" s="285">
        <f t="shared" si="89"/>
        <v>428.94</v>
      </c>
      <c r="L217" s="286">
        <f t="shared" si="90"/>
        <v>0</v>
      </c>
      <c r="M217" s="286">
        <f t="shared" si="91"/>
        <v>0</v>
      </c>
      <c r="N217" s="285">
        <f t="shared" si="92"/>
        <v>428.94</v>
      </c>
      <c r="O217" s="616">
        <f t="shared" si="93"/>
        <v>428.94000000000005</v>
      </c>
      <c r="P217" s="289">
        <f t="shared" si="94"/>
        <v>1.0000000000000002</v>
      </c>
      <c r="Q217" s="290">
        <f t="shared" si="95"/>
        <v>1.95</v>
      </c>
      <c r="R217" s="290">
        <f t="shared" si="96"/>
        <v>7.58</v>
      </c>
      <c r="S217" s="290">
        <f t="shared" si="97"/>
        <v>0</v>
      </c>
      <c r="T217" s="290">
        <f t="shared" si="98"/>
        <v>438.47</v>
      </c>
      <c r="U217" s="291">
        <f t="shared" si="99"/>
        <v>438.46999999999997</v>
      </c>
      <c r="V217" s="291">
        <f t="shared" si="103"/>
        <v>0</v>
      </c>
      <c r="W217" s="265">
        <f t="shared" si="100"/>
        <v>0</v>
      </c>
      <c r="X217" s="291">
        <f t="shared" si="104"/>
        <v>0</v>
      </c>
      <c r="Y217" s="170">
        <f t="shared" si="101"/>
        <v>24.66</v>
      </c>
      <c r="Z217" s="291">
        <f t="shared" si="102"/>
        <v>404.28000000000003</v>
      </c>
      <c r="AC217" s="276">
        <f>IF(AI217=1,IF(AC216=MiscData!$F$1,EOMONTH(AC216,-11),EOMONTH(AC216,1)),AC216)</f>
        <v>41729</v>
      </c>
      <c r="AD217" s="275" t="str">
        <f t="shared" si="82"/>
        <v>20140101LGUM_480</v>
      </c>
      <c r="AE217" s="294" t="str">
        <f t="shared" si="83"/>
        <v xml:space="preserve">20140101LS </v>
      </c>
      <c r="AF217" s="618" t="str">
        <f t="shared" si="105"/>
        <v>480</v>
      </c>
      <c r="AH217" s="265">
        <f>MiscData!$X$5</f>
        <v>20140101</v>
      </c>
      <c r="AI217" s="265">
        <f>IF(AI216+1&gt;MiscData!$AC$77,1,AI216+1)</f>
        <v>68</v>
      </c>
      <c r="AJ217" s="265" t="str">
        <f>VLOOKUP(AI217,MiscData!$AC$5:$AD$77,2,FALSE)</f>
        <v>LGUM_480</v>
      </c>
      <c r="AK217" s="265" t="str">
        <f>VLOOKUP(AJ217,MiscData!$AD$5:$AE$77,2,FALSE)</f>
        <v xml:space="preserve">LS </v>
      </c>
      <c r="AT217" s="265" t="s">
        <v>340</v>
      </c>
      <c r="AV217" s="265">
        <v>0</v>
      </c>
    </row>
    <row r="218" spans="1:48">
      <c r="A218" s="275">
        <f t="shared" si="106"/>
        <v>215</v>
      </c>
      <c r="B218" s="276" t="str">
        <f t="shared" si="79"/>
        <v>Mar 2014</v>
      </c>
      <c r="C218" s="277" t="str">
        <f t="shared" si="80"/>
        <v xml:space="preserve">LS </v>
      </c>
      <c r="D218" s="277" t="str">
        <f t="shared" si="81"/>
        <v>LGUM_481</v>
      </c>
      <c r="E218" s="614">
        <f t="shared" si="84"/>
        <v>4</v>
      </c>
      <c r="F218" s="615">
        <f t="shared" si="85"/>
        <v>0</v>
      </c>
      <c r="G218" s="614">
        <f t="shared" si="86"/>
        <v>507</v>
      </c>
      <c r="H218" s="615">
        <v>0</v>
      </c>
      <c r="I218" s="283">
        <f t="shared" si="87"/>
        <v>20.46</v>
      </c>
      <c r="J218" s="283">
        <f t="shared" si="88"/>
        <v>3.1800000000000033</v>
      </c>
      <c r="K218" s="285">
        <f t="shared" si="89"/>
        <v>81.84</v>
      </c>
      <c r="L218" s="286">
        <f t="shared" si="90"/>
        <v>0</v>
      </c>
      <c r="M218" s="286">
        <f t="shared" si="91"/>
        <v>0</v>
      </c>
      <c r="N218" s="285">
        <f t="shared" si="92"/>
        <v>81.84</v>
      </c>
      <c r="O218" s="616">
        <f t="shared" si="93"/>
        <v>81.84</v>
      </c>
      <c r="P218" s="289">
        <f t="shared" si="94"/>
        <v>1</v>
      </c>
      <c r="Q218" s="290">
        <f t="shared" si="95"/>
        <v>1.1200000000000001</v>
      </c>
      <c r="R218" s="290">
        <f t="shared" si="96"/>
        <v>1.46</v>
      </c>
      <c r="S218" s="290">
        <f t="shared" si="97"/>
        <v>0</v>
      </c>
      <c r="T218" s="290">
        <f t="shared" si="98"/>
        <v>84.42</v>
      </c>
      <c r="U218" s="291">
        <f t="shared" si="99"/>
        <v>84.42</v>
      </c>
      <c r="V218" s="291">
        <f t="shared" si="103"/>
        <v>0</v>
      </c>
      <c r="W218" s="265">
        <f t="shared" si="100"/>
        <v>0</v>
      </c>
      <c r="X218" s="291">
        <f t="shared" si="104"/>
        <v>0</v>
      </c>
      <c r="Y218" s="170">
        <f t="shared" si="101"/>
        <v>12.72</v>
      </c>
      <c r="Z218" s="291">
        <f t="shared" si="102"/>
        <v>69.12</v>
      </c>
      <c r="AC218" s="276">
        <f>IF(AI218=1,IF(AC217=MiscData!$F$1,EOMONTH(AC217,-11),EOMONTH(AC217,1)),AC217)</f>
        <v>41729</v>
      </c>
      <c r="AD218" s="275" t="str">
        <f t="shared" si="82"/>
        <v>20140101LGUM_481</v>
      </c>
      <c r="AE218" s="294" t="str">
        <f t="shared" si="83"/>
        <v xml:space="preserve">20140101LS </v>
      </c>
      <c r="AF218" s="618" t="str">
        <f t="shared" si="105"/>
        <v>481</v>
      </c>
      <c r="AH218" s="265">
        <f>MiscData!$X$5</f>
        <v>20140101</v>
      </c>
      <c r="AI218" s="265">
        <f>IF(AI217+1&gt;MiscData!$AC$77,1,AI217+1)</f>
        <v>69</v>
      </c>
      <c r="AJ218" s="265" t="str">
        <f>VLOOKUP(AI218,MiscData!$AC$5:$AD$77,2,FALSE)</f>
        <v>LGUM_481</v>
      </c>
      <c r="AK218" s="265" t="str">
        <f>VLOOKUP(AJ218,MiscData!$AD$5:$AE$77,2,FALSE)</f>
        <v xml:space="preserve">LS </v>
      </c>
      <c r="AT218" s="265" t="s">
        <v>341</v>
      </c>
      <c r="AV218" s="265">
        <v>0</v>
      </c>
    </row>
    <row r="219" spans="1:48">
      <c r="A219" s="275">
        <f t="shared" si="106"/>
        <v>216</v>
      </c>
      <c r="B219" s="276" t="str">
        <f t="shared" si="79"/>
        <v>Mar 2014</v>
      </c>
      <c r="C219" s="277" t="str">
        <f t="shared" si="80"/>
        <v xml:space="preserve">LS </v>
      </c>
      <c r="D219" s="277" t="str">
        <f t="shared" si="81"/>
        <v>LGUM_482</v>
      </c>
      <c r="E219" s="614">
        <f t="shared" si="84"/>
        <v>42</v>
      </c>
      <c r="F219" s="615">
        <f t="shared" si="85"/>
        <v>0</v>
      </c>
      <c r="G219" s="614">
        <f t="shared" si="86"/>
        <v>5275</v>
      </c>
      <c r="H219" s="615">
        <v>0</v>
      </c>
      <c r="I219" s="283">
        <f t="shared" si="87"/>
        <v>30.21</v>
      </c>
      <c r="J219" s="283">
        <f t="shared" si="88"/>
        <v>3.1800000000000033</v>
      </c>
      <c r="K219" s="285">
        <f t="shared" si="89"/>
        <v>1268.82</v>
      </c>
      <c r="L219" s="286">
        <f t="shared" si="90"/>
        <v>0</v>
      </c>
      <c r="M219" s="286">
        <f t="shared" si="91"/>
        <v>0</v>
      </c>
      <c r="N219" s="285">
        <f t="shared" si="92"/>
        <v>1268.82</v>
      </c>
      <c r="O219" s="616">
        <f t="shared" si="93"/>
        <v>1268.8200000000002</v>
      </c>
      <c r="P219" s="289">
        <f t="shared" si="94"/>
        <v>1.0000000000000002</v>
      </c>
      <c r="Q219" s="290">
        <f t="shared" si="95"/>
        <v>11.54</v>
      </c>
      <c r="R219" s="290">
        <f t="shared" si="96"/>
        <v>23.02</v>
      </c>
      <c r="S219" s="290">
        <f t="shared" si="97"/>
        <v>0</v>
      </c>
      <c r="T219" s="290">
        <f t="shared" si="98"/>
        <v>1303.3800000000001</v>
      </c>
      <c r="U219" s="291">
        <f t="shared" si="99"/>
        <v>1303.3799999999999</v>
      </c>
      <c r="V219" s="291">
        <f t="shared" si="103"/>
        <v>0</v>
      </c>
      <c r="W219" s="265">
        <f t="shared" si="100"/>
        <v>0</v>
      </c>
      <c r="X219" s="291">
        <f t="shared" si="104"/>
        <v>0</v>
      </c>
      <c r="Y219" s="170">
        <f t="shared" si="101"/>
        <v>133.56</v>
      </c>
      <c r="Z219" s="291">
        <f t="shared" si="102"/>
        <v>1135.2600000000002</v>
      </c>
      <c r="AC219" s="276">
        <f>IF(AI219=1,IF(AC218=MiscData!$F$1,EOMONTH(AC218,-11),EOMONTH(AC218,1)),AC218)</f>
        <v>41729</v>
      </c>
      <c r="AD219" s="275" t="str">
        <f t="shared" si="82"/>
        <v>20140101LGUM_482</v>
      </c>
      <c r="AE219" s="294" t="str">
        <f t="shared" si="83"/>
        <v xml:space="preserve">20140101LS </v>
      </c>
      <c r="AF219" s="618" t="str">
        <f t="shared" si="105"/>
        <v>482</v>
      </c>
      <c r="AH219" s="265">
        <f>MiscData!$X$5</f>
        <v>20140101</v>
      </c>
      <c r="AI219" s="265">
        <f>IF(AI218+1&gt;MiscData!$AC$77,1,AI218+1)</f>
        <v>70</v>
      </c>
      <c r="AJ219" s="265" t="str">
        <f>VLOOKUP(AI219,MiscData!$AC$5:$AD$77,2,FALSE)</f>
        <v>LGUM_482</v>
      </c>
      <c r="AK219" s="265" t="str">
        <f>VLOOKUP(AJ219,MiscData!$AD$5:$AE$77,2,FALSE)</f>
        <v xml:space="preserve">LS </v>
      </c>
      <c r="AT219" s="265" t="s">
        <v>342</v>
      </c>
      <c r="AV219" s="265">
        <v>0</v>
      </c>
    </row>
    <row r="220" spans="1:48">
      <c r="A220" s="275">
        <f t="shared" si="106"/>
        <v>217</v>
      </c>
      <c r="B220" s="276" t="str">
        <f t="shared" si="79"/>
        <v>Mar 2014</v>
      </c>
      <c r="C220" s="277" t="str">
        <f t="shared" si="80"/>
        <v xml:space="preserve">LS </v>
      </c>
      <c r="D220" s="277" t="str">
        <f t="shared" si="81"/>
        <v>LGUM_483</v>
      </c>
      <c r="E220" s="614">
        <f t="shared" si="84"/>
        <v>2</v>
      </c>
      <c r="F220" s="615">
        <f t="shared" ref="F220:F251" si="107">SUMIFS(L_1055_Count_OutOfPeriod,L_1055_Revenue_Month,$B220,L_1055_RateCategory,$D220)</f>
        <v>0</v>
      </c>
      <c r="G220" s="614">
        <f t="shared" si="86"/>
        <v>766</v>
      </c>
      <c r="H220" s="615">
        <v>0</v>
      </c>
      <c r="I220" s="283">
        <f t="shared" si="87"/>
        <v>42.56</v>
      </c>
      <c r="J220" s="283">
        <f t="shared" si="88"/>
        <v>9.8100000000000023</v>
      </c>
      <c r="K220" s="285">
        <f>ROUND(($E220+$F220)*$I220,2)</f>
        <v>85.12</v>
      </c>
      <c r="L220" s="286">
        <f t="shared" si="90"/>
        <v>0</v>
      </c>
      <c r="M220" s="286">
        <f t="shared" si="91"/>
        <v>0</v>
      </c>
      <c r="N220" s="285">
        <f t="shared" si="92"/>
        <v>85.12</v>
      </c>
      <c r="O220" s="616">
        <f t="shared" ref="O220:O251" si="108">T220-SUM(Q220:S220)-W220</f>
        <v>85.12</v>
      </c>
      <c r="P220" s="289">
        <f t="shared" si="94"/>
        <v>1</v>
      </c>
      <c r="Q220" s="290">
        <f t="shared" si="95"/>
        <v>1.69</v>
      </c>
      <c r="R220" s="290">
        <f t="shared" si="96"/>
        <v>1.53</v>
      </c>
      <c r="S220" s="290">
        <f t="shared" si="97"/>
        <v>0</v>
      </c>
      <c r="T220" s="290">
        <f t="shared" si="98"/>
        <v>88.34</v>
      </c>
      <c r="U220" s="291">
        <f t="shared" si="99"/>
        <v>88.34</v>
      </c>
      <c r="V220" s="291">
        <f>ROUND(T220-U220,2)</f>
        <v>0</v>
      </c>
      <c r="W220" s="617">
        <f t="shared" ref="W220:W251" si="109">ROUND(SUMIFS(L_1055_Revenue_Pole_Total,L_1055_Revenue_Month,$B220,L_1055_RateCategory,$D220),2)</f>
        <v>0</v>
      </c>
      <c r="X220" s="291">
        <f t="shared" si="104"/>
        <v>0</v>
      </c>
      <c r="Y220" s="170">
        <f t="shared" si="101"/>
        <v>19.62</v>
      </c>
      <c r="Z220" s="291">
        <f t="shared" si="102"/>
        <v>65.5</v>
      </c>
      <c r="AC220" s="276">
        <f>IF(AI220=1,IF(AC219=MiscData!$F$1,EOMONTH(AC219,-11),EOMONTH(AC219,1)),AC219)</f>
        <v>41729</v>
      </c>
      <c r="AD220" s="275" t="str">
        <f t="shared" si="82"/>
        <v>20140101LGUM_483</v>
      </c>
      <c r="AE220" s="294" t="str">
        <f t="shared" si="83"/>
        <v xml:space="preserve">20140101LS </v>
      </c>
      <c r="AF220" s="618" t="str">
        <f t="shared" si="105"/>
        <v>483</v>
      </c>
      <c r="AH220" s="265">
        <f>MiscData!$X$5</f>
        <v>20140101</v>
      </c>
      <c r="AI220" s="265">
        <f>IF(AI219+1&gt;MiscData!$AC$77,1,AI219+1)</f>
        <v>71</v>
      </c>
      <c r="AJ220" s="265" t="str">
        <f>VLOOKUP(AI220,MiscData!$AC$5:$AD$77,2,FALSE)</f>
        <v>LGUM_483</v>
      </c>
      <c r="AK220" s="265" t="str">
        <f>VLOOKUP(AJ220,MiscData!$AD$5:$AE$77,2,FALSE)</f>
        <v xml:space="preserve">LS </v>
      </c>
      <c r="AT220" s="265" t="s">
        <v>343</v>
      </c>
      <c r="AV220" s="265">
        <v>0</v>
      </c>
    </row>
    <row r="221" spans="1:48">
      <c r="A221" s="275">
        <f t="shared" si="106"/>
        <v>218</v>
      </c>
      <c r="B221" s="276" t="str">
        <f t="shared" si="79"/>
        <v>Mar 2014</v>
      </c>
      <c r="C221" s="277" t="str">
        <f t="shared" si="80"/>
        <v xml:space="preserve">LS </v>
      </c>
      <c r="D221" s="277" t="str">
        <f t="shared" si="81"/>
        <v>LGUM_484</v>
      </c>
      <c r="E221" s="614">
        <f t="shared" si="84"/>
        <v>13</v>
      </c>
      <c r="F221" s="615">
        <f t="shared" si="107"/>
        <v>0</v>
      </c>
      <c r="G221" s="614">
        <f t="shared" si="86"/>
        <v>4930</v>
      </c>
      <c r="H221" s="615">
        <v>0</v>
      </c>
      <c r="I221" s="283">
        <f t="shared" si="87"/>
        <v>52.31</v>
      </c>
      <c r="J221" s="283">
        <f t="shared" si="88"/>
        <v>9.8100000000000023</v>
      </c>
      <c r="K221" s="285">
        <f t="shared" si="89"/>
        <v>680.03</v>
      </c>
      <c r="L221" s="286">
        <f t="shared" si="90"/>
        <v>0</v>
      </c>
      <c r="M221" s="286">
        <f t="shared" si="91"/>
        <v>0</v>
      </c>
      <c r="N221" s="285">
        <f t="shared" si="92"/>
        <v>680.03</v>
      </c>
      <c r="O221" s="616">
        <f t="shared" si="108"/>
        <v>680.03</v>
      </c>
      <c r="P221" s="289">
        <f t="shared" si="94"/>
        <v>1</v>
      </c>
      <c r="Q221" s="290">
        <f t="shared" si="95"/>
        <v>10.84</v>
      </c>
      <c r="R221" s="290">
        <f t="shared" si="96"/>
        <v>12.16</v>
      </c>
      <c r="S221" s="290">
        <f t="shared" si="97"/>
        <v>0</v>
      </c>
      <c r="T221" s="290">
        <f t="shared" si="98"/>
        <v>703.03</v>
      </c>
      <c r="U221" s="291">
        <f t="shared" si="99"/>
        <v>703.03</v>
      </c>
      <c r="V221" s="291">
        <f t="shared" si="103"/>
        <v>0</v>
      </c>
      <c r="W221" s="617">
        <f t="shared" si="109"/>
        <v>0</v>
      </c>
      <c r="X221" s="291">
        <f t="shared" si="104"/>
        <v>0</v>
      </c>
      <c r="Y221" s="170">
        <f t="shared" si="101"/>
        <v>127.53</v>
      </c>
      <c r="Z221" s="291">
        <f t="shared" si="102"/>
        <v>552.5</v>
      </c>
      <c r="AC221" s="276">
        <f>IF(AI221=1,IF(AC220=MiscData!$F$1,EOMONTH(AC220,-11),EOMONTH(AC220,1)),AC220)</f>
        <v>41729</v>
      </c>
      <c r="AD221" s="275" t="str">
        <f t="shared" si="82"/>
        <v>20140101LGUM_484</v>
      </c>
      <c r="AE221" s="294" t="str">
        <f t="shared" si="83"/>
        <v xml:space="preserve">20140101LS </v>
      </c>
      <c r="AF221" s="618" t="str">
        <f t="shared" si="105"/>
        <v>484</v>
      </c>
      <c r="AH221" s="265">
        <f>MiscData!$X$5</f>
        <v>20140101</v>
      </c>
      <c r="AI221" s="265">
        <f>IF(AI220+1&gt;MiscData!$AC$77,1,AI220+1)</f>
        <v>72</v>
      </c>
      <c r="AJ221" s="265" t="str">
        <f>VLOOKUP(AI221,MiscData!$AC$5:$AD$77,2,FALSE)</f>
        <v>LGUM_484</v>
      </c>
      <c r="AK221" s="265" t="str">
        <f>VLOOKUP(AJ221,MiscData!$AD$5:$AE$77,2,FALSE)</f>
        <v xml:space="preserve">LS </v>
      </c>
      <c r="AT221" s="265" t="s">
        <v>344</v>
      </c>
      <c r="AV221" s="265">
        <v>34.64</v>
      </c>
    </row>
    <row r="222" spans="1:48">
      <c r="A222" s="275">
        <f t="shared" si="106"/>
        <v>219</v>
      </c>
      <c r="B222" s="276" t="str">
        <f t="shared" ref="B222:B253" si="110">TEXT(AC222,"mmm yyyy")</f>
        <v>Mar 2014</v>
      </c>
      <c r="C222" s="277" t="str">
        <f t="shared" ref="C222:C253" si="111">AK222</f>
        <v>ODL</v>
      </c>
      <c r="D222" s="277" t="str">
        <f t="shared" ref="D222:D253" si="112">AJ222</f>
        <v>ODL</v>
      </c>
      <c r="E222" s="614">
        <f t="shared" si="84"/>
        <v>0</v>
      </c>
      <c r="F222" s="615">
        <f t="shared" si="107"/>
        <v>0</v>
      </c>
      <c r="G222" s="614">
        <f t="shared" si="86"/>
        <v>0</v>
      </c>
      <c r="H222" s="615">
        <v>0</v>
      </c>
      <c r="I222" s="283">
        <f t="shared" si="87"/>
        <v>0</v>
      </c>
      <c r="J222" s="283">
        <f t="shared" si="88"/>
        <v>0</v>
      </c>
      <c r="K222" s="285">
        <f t="shared" si="89"/>
        <v>0</v>
      </c>
      <c r="L222" s="286">
        <f t="shared" si="90"/>
        <v>0</v>
      </c>
      <c r="M222" s="286">
        <f t="shared" si="91"/>
        <v>0</v>
      </c>
      <c r="N222" s="285">
        <f t="shared" si="92"/>
        <v>0</v>
      </c>
      <c r="O222" s="616">
        <f t="shared" si="108"/>
        <v>0</v>
      </c>
      <c r="P222" s="289">
        <f t="shared" si="94"/>
        <v>1</v>
      </c>
      <c r="Q222" s="290">
        <f t="shared" si="95"/>
        <v>0</v>
      </c>
      <c r="R222" s="290">
        <f t="shared" si="96"/>
        <v>0</v>
      </c>
      <c r="S222" s="290">
        <f t="shared" si="97"/>
        <v>0</v>
      </c>
      <c r="T222" s="290">
        <f t="shared" si="98"/>
        <v>0</v>
      </c>
      <c r="U222" s="291">
        <f t="shared" si="99"/>
        <v>0</v>
      </c>
      <c r="V222" s="291">
        <f t="shared" si="103"/>
        <v>0</v>
      </c>
      <c r="W222" s="617">
        <f t="shared" si="109"/>
        <v>0</v>
      </c>
      <c r="X222" s="291">
        <f t="shared" si="104"/>
        <v>0</v>
      </c>
      <c r="Y222" s="170">
        <f t="shared" si="101"/>
        <v>0</v>
      </c>
      <c r="Z222" s="291">
        <f t="shared" si="102"/>
        <v>0</v>
      </c>
      <c r="AC222" s="276">
        <f>IF(AI222=1,IF(AC221=MiscData!$F$1,EOMONTH(AC221,-11),EOMONTH(AC221,1)),AC221)</f>
        <v>41729</v>
      </c>
      <c r="AD222" s="275" t="str">
        <f t="shared" ref="AD222:AD261" si="113">CONCATENATE(AH222&amp;AJ222)</f>
        <v>20140101ODL</v>
      </c>
      <c r="AE222" s="294" t="str">
        <f t="shared" ref="AE222:AE261" si="114">CONCATENATE(AH222&amp;AK222)</f>
        <v>20140101ODL</v>
      </c>
      <c r="AF222" s="618" t="str">
        <f t="shared" si="105"/>
        <v>ODL</v>
      </c>
      <c r="AH222" s="265">
        <f>MiscData!$X$5</f>
        <v>20140101</v>
      </c>
      <c r="AI222" s="265">
        <f>IF(AI221+1&gt;MiscData!$AC$77,1,AI221+1)</f>
        <v>73</v>
      </c>
      <c r="AJ222" s="265" t="str">
        <f>VLOOKUP(AI222,MiscData!$AC$5:$AD$77,2,FALSE)</f>
        <v>ODL</v>
      </c>
      <c r="AK222" s="265" t="str">
        <f>VLOOKUP(AJ222,MiscData!$AD$5:$AE$77,2,FALSE)</f>
        <v>ODL</v>
      </c>
      <c r="AT222" s="265" t="s">
        <v>345</v>
      </c>
      <c r="AV222" s="265">
        <v>124.52</v>
      </c>
    </row>
    <row r="223" spans="1:48">
      <c r="A223" s="275">
        <f t="shared" si="106"/>
        <v>220</v>
      </c>
      <c r="B223" s="276" t="str">
        <f t="shared" si="110"/>
        <v>Apr 2014</v>
      </c>
      <c r="C223" s="277" t="str">
        <f t="shared" si="111"/>
        <v>RLS</v>
      </c>
      <c r="D223" s="277" t="str">
        <f t="shared" si="112"/>
        <v>LGUM_201</v>
      </c>
      <c r="E223" s="614">
        <f t="shared" si="84"/>
        <v>79</v>
      </c>
      <c r="F223" s="615">
        <f t="shared" si="107"/>
        <v>0</v>
      </c>
      <c r="G223" s="614">
        <f t="shared" si="86"/>
        <v>3175</v>
      </c>
      <c r="H223" s="615">
        <v>0</v>
      </c>
      <c r="I223" s="283">
        <f t="shared" si="87"/>
        <v>8.14</v>
      </c>
      <c r="J223" s="283">
        <f t="shared" si="88"/>
        <v>1.0899999999999999</v>
      </c>
      <c r="K223" s="285">
        <f t="shared" si="89"/>
        <v>643.05999999999995</v>
      </c>
      <c r="L223" s="286">
        <f t="shared" si="90"/>
        <v>0</v>
      </c>
      <c r="M223" s="286">
        <f t="shared" si="91"/>
        <v>0</v>
      </c>
      <c r="N223" s="285">
        <f t="shared" si="92"/>
        <v>643.05999999999995</v>
      </c>
      <c r="O223" s="616">
        <f t="shared" si="108"/>
        <v>643.06000000000006</v>
      </c>
      <c r="P223" s="289">
        <f t="shared" si="94"/>
        <v>1.0000000000000002</v>
      </c>
      <c r="Q223" s="290">
        <f t="shared" si="95"/>
        <v>4.78</v>
      </c>
      <c r="R223" s="290">
        <f t="shared" si="96"/>
        <v>12.64</v>
      </c>
      <c r="S223" s="290">
        <f t="shared" si="97"/>
        <v>0</v>
      </c>
      <c r="T223" s="290">
        <f t="shared" si="98"/>
        <v>693.44</v>
      </c>
      <c r="U223" s="291">
        <f t="shared" si="99"/>
        <v>660.4799999999999</v>
      </c>
      <c r="V223" s="291">
        <f t="shared" si="103"/>
        <v>32.96</v>
      </c>
      <c r="W223" s="617">
        <f t="shared" si="109"/>
        <v>32.96</v>
      </c>
      <c r="X223" s="291">
        <f t="shared" si="104"/>
        <v>0</v>
      </c>
      <c r="Y223" s="170">
        <f t="shared" si="101"/>
        <v>86.11</v>
      </c>
      <c r="Z223" s="291">
        <f t="shared" si="102"/>
        <v>556.95000000000005</v>
      </c>
      <c r="AC223" s="276">
        <f>IF(AI223=1,IF(AC222=MiscData!$F$1,EOMONTH(AC222,-11),EOMONTH(AC222,1)),AC222)</f>
        <v>41759</v>
      </c>
      <c r="AD223" s="275" t="str">
        <f t="shared" si="113"/>
        <v>20140101LGUM_201</v>
      </c>
      <c r="AE223" s="294" t="str">
        <f t="shared" si="114"/>
        <v>20140101RLS</v>
      </c>
      <c r="AF223" s="618" t="str">
        <f t="shared" si="105"/>
        <v>201</v>
      </c>
      <c r="AH223" s="265">
        <f>MiscData!$X$5</f>
        <v>20140101</v>
      </c>
      <c r="AI223" s="265">
        <f>IF(AI222+1&gt;MiscData!$AC$77,1,AI222+1)</f>
        <v>1</v>
      </c>
      <c r="AJ223" s="265" t="str">
        <f>VLOOKUP(AI223,MiscData!$AC$5:$AD$77,2,FALSE)</f>
        <v>LGUM_201</v>
      </c>
      <c r="AK223" s="265" t="str">
        <f>VLOOKUP(AJ223,MiscData!$AD$5:$AE$77,2,FALSE)</f>
        <v>RLS</v>
      </c>
      <c r="AT223" s="265" t="s">
        <v>346</v>
      </c>
      <c r="AV223" s="265">
        <v>8271.08</v>
      </c>
    </row>
    <row r="224" spans="1:48">
      <c r="A224" s="275">
        <f t="shared" si="106"/>
        <v>221</v>
      </c>
      <c r="B224" s="276" t="str">
        <f t="shared" si="110"/>
        <v>Apr 2014</v>
      </c>
      <c r="C224" s="277" t="str">
        <f t="shared" si="111"/>
        <v>RLS</v>
      </c>
      <c r="D224" s="277" t="str">
        <f t="shared" si="112"/>
        <v>LGUM_203</v>
      </c>
      <c r="E224" s="614">
        <f t="shared" si="84"/>
        <v>3822</v>
      </c>
      <c r="F224" s="615">
        <f t="shared" si="107"/>
        <v>0</v>
      </c>
      <c r="G224" s="614">
        <f t="shared" si="86"/>
        <v>366748</v>
      </c>
      <c r="H224" s="615">
        <v>0</v>
      </c>
      <c r="I224" s="283">
        <f t="shared" si="87"/>
        <v>10.959999999999999</v>
      </c>
      <c r="J224" s="283">
        <f t="shared" si="88"/>
        <v>2.7099999999999991</v>
      </c>
      <c r="K224" s="285">
        <f t="shared" si="89"/>
        <v>41889.120000000003</v>
      </c>
      <c r="L224" s="286">
        <f t="shared" si="90"/>
        <v>-319.41999999999814</v>
      </c>
      <c r="M224" s="286">
        <f t="shared" si="91"/>
        <v>0</v>
      </c>
      <c r="N224" s="285">
        <f t="shared" si="92"/>
        <v>41569.700000000004</v>
      </c>
      <c r="O224" s="616">
        <f t="shared" si="108"/>
        <v>41569.700000000004</v>
      </c>
      <c r="P224" s="289">
        <f t="shared" si="94"/>
        <v>1</v>
      </c>
      <c r="Q224" s="290">
        <f t="shared" si="95"/>
        <v>566.19000000000005</v>
      </c>
      <c r="R224" s="290">
        <f t="shared" si="96"/>
        <v>795.52</v>
      </c>
      <c r="S224" s="290">
        <f t="shared" si="97"/>
        <v>0</v>
      </c>
      <c r="T224" s="290">
        <f t="shared" si="98"/>
        <v>43433.5</v>
      </c>
      <c r="U224" s="291">
        <f t="shared" si="99"/>
        <v>42931.41</v>
      </c>
      <c r="V224" s="291">
        <f t="shared" si="103"/>
        <v>502.09</v>
      </c>
      <c r="W224" s="617">
        <f t="shared" si="109"/>
        <v>502.09</v>
      </c>
      <c r="X224" s="291">
        <f t="shared" si="104"/>
        <v>0</v>
      </c>
      <c r="Y224" s="170">
        <f t="shared" si="101"/>
        <v>10357.620000000001</v>
      </c>
      <c r="Z224" s="291">
        <f t="shared" si="102"/>
        <v>31212.080000000002</v>
      </c>
      <c r="AC224" s="276">
        <f>IF(AI224=1,IF(AC223=MiscData!$F$1,EOMONTH(AC223,-11),EOMONTH(AC223,1)),AC223)</f>
        <v>41759</v>
      </c>
      <c r="AD224" s="275" t="str">
        <f t="shared" si="113"/>
        <v>20140101LGUM_203</v>
      </c>
      <c r="AE224" s="294" t="str">
        <f t="shared" si="114"/>
        <v>20140101RLS</v>
      </c>
      <c r="AF224" s="618" t="str">
        <f t="shared" si="105"/>
        <v>203</v>
      </c>
      <c r="AH224" s="265">
        <f>MiscData!$X$5</f>
        <v>20140101</v>
      </c>
      <c r="AI224" s="265">
        <f>IF(AI223+1&gt;MiscData!$AC$77,1,AI223+1)</f>
        <v>2</v>
      </c>
      <c r="AJ224" s="265" t="str">
        <f>VLOOKUP(AI224,MiscData!$AC$5:$AD$77,2,FALSE)</f>
        <v>LGUM_203</v>
      </c>
      <c r="AK224" s="265" t="str">
        <f>VLOOKUP(AJ224,MiscData!$AD$5:$AE$77,2,FALSE)</f>
        <v>RLS</v>
      </c>
      <c r="AT224" s="265" t="s">
        <v>347</v>
      </c>
      <c r="AV224" s="265">
        <v>0</v>
      </c>
    </row>
    <row r="225" spans="1:48">
      <c r="A225" s="275">
        <f t="shared" si="106"/>
        <v>222</v>
      </c>
      <c r="B225" s="276" t="str">
        <f t="shared" si="110"/>
        <v>Apr 2014</v>
      </c>
      <c r="C225" s="277" t="str">
        <f t="shared" si="111"/>
        <v>RLS</v>
      </c>
      <c r="D225" s="277" t="str">
        <f t="shared" si="112"/>
        <v>LGUM_204</v>
      </c>
      <c r="E225" s="614">
        <f t="shared" si="84"/>
        <v>3828</v>
      </c>
      <c r="F225" s="615">
        <f t="shared" si="107"/>
        <v>0</v>
      </c>
      <c r="G225" s="614">
        <f t="shared" si="86"/>
        <v>568896</v>
      </c>
      <c r="H225" s="615">
        <v>0</v>
      </c>
      <c r="I225" s="283">
        <f t="shared" si="87"/>
        <v>13.510000000000002</v>
      </c>
      <c r="J225" s="283">
        <f t="shared" si="88"/>
        <v>4.2000000000000011</v>
      </c>
      <c r="K225" s="285">
        <f t="shared" si="89"/>
        <v>51716.28</v>
      </c>
      <c r="L225" s="286">
        <f t="shared" si="90"/>
        <v>-241.73000000000093</v>
      </c>
      <c r="M225" s="286">
        <f t="shared" si="91"/>
        <v>0</v>
      </c>
      <c r="N225" s="285">
        <f t="shared" si="92"/>
        <v>51474.549999999996</v>
      </c>
      <c r="O225" s="616">
        <f t="shared" si="108"/>
        <v>51474.549999999996</v>
      </c>
      <c r="P225" s="289">
        <f t="shared" si="94"/>
        <v>1</v>
      </c>
      <c r="Q225" s="290">
        <f t="shared" si="95"/>
        <v>855.62</v>
      </c>
      <c r="R225" s="290">
        <f t="shared" si="96"/>
        <v>992.78</v>
      </c>
      <c r="S225" s="290">
        <f t="shared" si="97"/>
        <v>0</v>
      </c>
      <c r="T225" s="290">
        <f t="shared" si="98"/>
        <v>54086.07</v>
      </c>
      <c r="U225" s="291">
        <f t="shared" si="99"/>
        <v>53322.95</v>
      </c>
      <c r="V225" s="291">
        <f t="shared" si="103"/>
        <v>763.12</v>
      </c>
      <c r="W225" s="617">
        <f t="shared" si="109"/>
        <v>763.12</v>
      </c>
      <c r="X225" s="291">
        <f t="shared" si="104"/>
        <v>0</v>
      </c>
      <c r="Y225" s="170">
        <f t="shared" si="101"/>
        <v>16077.6</v>
      </c>
      <c r="Z225" s="291">
        <f t="shared" si="102"/>
        <v>35396.949999999997</v>
      </c>
      <c r="AC225" s="276">
        <f>IF(AI225=1,IF(AC224=MiscData!$F$1,EOMONTH(AC224,-11),EOMONTH(AC224,1)),AC224)</f>
        <v>41759</v>
      </c>
      <c r="AD225" s="275" t="str">
        <f t="shared" si="113"/>
        <v>20140101LGUM_204</v>
      </c>
      <c r="AE225" s="294" t="str">
        <f t="shared" si="114"/>
        <v>20140101RLS</v>
      </c>
      <c r="AF225" s="618" t="str">
        <f t="shared" si="105"/>
        <v>204</v>
      </c>
      <c r="AH225" s="265">
        <f>MiscData!$X$5</f>
        <v>20140101</v>
      </c>
      <c r="AI225" s="265">
        <f>IF(AI224+1&gt;MiscData!$AC$77,1,AI224+1)</f>
        <v>3</v>
      </c>
      <c r="AJ225" s="265" t="str">
        <f>VLOOKUP(AI225,MiscData!$AC$5:$AD$77,2,FALSE)</f>
        <v>LGUM_204</v>
      </c>
      <c r="AK225" s="265" t="str">
        <f>VLOOKUP(AJ225,MiscData!$AD$5:$AE$77,2,FALSE)</f>
        <v>RLS</v>
      </c>
      <c r="AT225" s="265" t="s">
        <v>348</v>
      </c>
      <c r="AV225" s="265">
        <v>0</v>
      </c>
    </row>
    <row r="226" spans="1:48">
      <c r="A226" s="275">
        <f t="shared" si="106"/>
        <v>223</v>
      </c>
      <c r="B226" s="276" t="str">
        <f t="shared" si="110"/>
        <v>Apr 2014</v>
      </c>
      <c r="C226" s="277" t="str">
        <f t="shared" si="111"/>
        <v>RLS</v>
      </c>
      <c r="D226" s="277" t="str">
        <f t="shared" si="112"/>
        <v>LGUM_206</v>
      </c>
      <c r="E226" s="614">
        <f t="shared" si="84"/>
        <v>99</v>
      </c>
      <c r="F226" s="615">
        <f t="shared" si="107"/>
        <v>0</v>
      </c>
      <c r="G226" s="614">
        <f t="shared" si="86"/>
        <v>3927</v>
      </c>
      <c r="H226" s="615">
        <v>0</v>
      </c>
      <c r="I226" s="283">
        <f t="shared" si="87"/>
        <v>12.450000000000001</v>
      </c>
      <c r="J226" s="283">
        <f t="shared" si="88"/>
        <v>1.0899999999999999</v>
      </c>
      <c r="K226" s="285">
        <f t="shared" si="89"/>
        <v>1232.55</v>
      </c>
      <c r="L226" s="286">
        <f t="shared" si="90"/>
        <v>-10.849999999999909</v>
      </c>
      <c r="M226" s="286">
        <f t="shared" si="91"/>
        <v>0</v>
      </c>
      <c r="N226" s="285">
        <f t="shared" si="92"/>
        <v>1221.7</v>
      </c>
      <c r="O226" s="616">
        <f t="shared" si="108"/>
        <v>1221.7</v>
      </c>
      <c r="P226" s="289">
        <f t="shared" si="94"/>
        <v>1</v>
      </c>
      <c r="Q226" s="290">
        <f t="shared" si="95"/>
        <v>5.84</v>
      </c>
      <c r="R226" s="290">
        <f t="shared" si="96"/>
        <v>22.97</v>
      </c>
      <c r="S226" s="290">
        <f t="shared" si="97"/>
        <v>0</v>
      </c>
      <c r="T226" s="290">
        <f t="shared" si="98"/>
        <v>1250.51</v>
      </c>
      <c r="U226" s="291">
        <f t="shared" si="99"/>
        <v>1250.51</v>
      </c>
      <c r="V226" s="291">
        <f t="shared" si="103"/>
        <v>0</v>
      </c>
      <c r="W226" s="617">
        <f t="shared" si="109"/>
        <v>0</v>
      </c>
      <c r="X226" s="291">
        <f t="shared" si="104"/>
        <v>0</v>
      </c>
      <c r="Y226" s="170">
        <f t="shared" si="101"/>
        <v>107.91</v>
      </c>
      <c r="Z226" s="291">
        <f t="shared" si="102"/>
        <v>1113.79</v>
      </c>
      <c r="AC226" s="276">
        <f>IF(AI226=1,IF(AC225=MiscData!$F$1,EOMONTH(AC225,-11),EOMONTH(AC225,1)),AC225)</f>
        <v>41759</v>
      </c>
      <c r="AD226" s="275" t="str">
        <f t="shared" si="113"/>
        <v>20140101LGUM_206</v>
      </c>
      <c r="AE226" s="294" t="str">
        <f t="shared" si="114"/>
        <v>20140101RLS</v>
      </c>
      <c r="AF226" s="618" t="str">
        <f t="shared" si="105"/>
        <v>206</v>
      </c>
      <c r="AH226" s="265">
        <f>MiscData!$X$5</f>
        <v>20140101</v>
      </c>
      <c r="AI226" s="265">
        <f>IF(AI225+1&gt;MiscData!$AC$77,1,AI225+1)</f>
        <v>4</v>
      </c>
      <c r="AJ226" s="265" t="str">
        <f>VLOOKUP(AI226,MiscData!$AC$5:$AD$77,2,FALSE)</f>
        <v>LGUM_206</v>
      </c>
      <c r="AK226" s="265" t="str">
        <f>VLOOKUP(AJ226,MiscData!$AD$5:$AE$77,2,FALSE)</f>
        <v>RLS</v>
      </c>
      <c r="AT226" s="265" t="s">
        <v>376</v>
      </c>
      <c r="AV226" s="265">
        <v>0</v>
      </c>
    </row>
    <row r="227" spans="1:48">
      <c r="A227" s="275">
        <f t="shared" si="106"/>
        <v>224</v>
      </c>
      <c r="B227" s="276" t="str">
        <f t="shared" si="110"/>
        <v>Apr 2014</v>
      </c>
      <c r="C227" s="277" t="str">
        <f t="shared" si="111"/>
        <v>RLS</v>
      </c>
      <c r="D227" s="277" t="str">
        <f t="shared" si="112"/>
        <v>LGUM_207</v>
      </c>
      <c r="E227" s="614">
        <f t="shared" si="84"/>
        <v>743</v>
      </c>
      <c r="F227" s="615">
        <f t="shared" si="107"/>
        <v>0</v>
      </c>
      <c r="G227" s="614">
        <f t="shared" si="86"/>
        <v>108848</v>
      </c>
      <c r="H227" s="615">
        <v>0</v>
      </c>
      <c r="I227" s="283">
        <f t="shared" si="87"/>
        <v>15.54</v>
      </c>
      <c r="J227" s="283">
        <f t="shared" si="88"/>
        <v>4.2000000000000011</v>
      </c>
      <c r="K227" s="285">
        <f t="shared" si="89"/>
        <v>11546.22</v>
      </c>
      <c r="L227" s="286">
        <f t="shared" si="90"/>
        <v>-35.360000000000582</v>
      </c>
      <c r="M227" s="286">
        <f t="shared" si="91"/>
        <v>0</v>
      </c>
      <c r="N227" s="285">
        <f t="shared" si="92"/>
        <v>11510.859999999999</v>
      </c>
      <c r="O227" s="616">
        <f t="shared" si="108"/>
        <v>11510.86</v>
      </c>
      <c r="P227" s="289">
        <f t="shared" si="94"/>
        <v>1.0000000000000002</v>
      </c>
      <c r="Q227" s="290">
        <f t="shared" si="95"/>
        <v>166.54</v>
      </c>
      <c r="R227" s="290">
        <f t="shared" si="96"/>
        <v>226.34</v>
      </c>
      <c r="S227" s="290">
        <f t="shared" si="97"/>
        <v>0</v>
      </c>
      <c r="T227" s="290">
        <f t="shared" si="98"/>
        <v>12431.72</v>
      </c>
      <c r="U227" s="291">
        <f t="shared" si="99"/>
        <v>11903.74</v>
      </c>
      <c r="V227" s="291">
        <f t="shared" si="103"/>
        <v>527.98</v>
      </c>
      <c r="W227" s="617">
        <f t="shared" si="109"/>
        <v>527.98</v>
      </c>
      <c r="X227" s="291">
        <f t="shared" si="104"/>
        <v>0</v>
      </c>
      <c r="Y227" s="170">
        <f t="shared" si="101"/>
        <v>3120.6</v>
      </c>
      <c r="Z227" s="291">
        <f t="shared" si="102"/>
        <v>8390.26</v>
      </c>
      <c r="AC227" s="276">
        <f>IF(AI227=1,IF(AC226=MiscData!$F$1,EOMONTH(AC226,-11),EOMONTH(AC226,1)),AC226)</f>
        <v>41759</v>
      </c>
      <c r="AD227" s="275" t="str">
        <f t="shared" si="113"/>
        <v>20140101LGUM_207</v>
      </c>
      <c r="AE227" s="294" t="str">
        <f t="shared" si="114"/>
        <v>20140101RLS</v>
      </c>
      <c r="AF227" s="618" t="str">
        <f t="shared" si="105"/>
        <v>207</v>
      </c>
      <c r="AH227" s="265">
        <f>MiscData!$X$5</f>
        <v>20140101</v>
      </c>
      <c r="AI227" s="265">
        <f>IF(AI226+1&gt;MiscData!$AC$77,1,AI226+1)</f>
        <v>5</v>
      </c>
      <c r="AJ227" s="265" t="str">
        <f>VLOOKUP(AI227,MiscData!$AC$5:$AD$77,2,FALSE)</f>
        <v>LGUM_207</v>
      </c>
      <c r="AK227" s="265" t="str">
        <f>VLOOKUP(AJ227,MiscData!$AD$5:$AE$77,2,FALSE)</f>
        <v>RLS</v>
      </c>
      <c r="AT227" s="265" t="s">
        <v>349</v>
      </c>
      <c r="AV227" s="265">
        <v>68.06</v>
      </c>
    </row>
    <row r="228" spans="1:48">
      <c r="A228" s="275">
        <f t="shared" si="106"/>
        <v>225</v>
      </c>
      <c r="B228" s="276" t="str">
        <f t="shared" si="110"/>
        <v>Apr 2014</v>
      </c>
      <c r="C228" s="277" t="str">
        <f t="shared" si="111"/>
        <v>RLS</v>
      </c>
      <c r="D228" s="277" t="str">
        <f t="shared" si="112"/>
        <v>LGUM_208</v>
      </c>
      <c r="E228" s="614">
        <f t="shared" si="84"/>
        <v>1429</v>
      </c>
      <c r="F228" s="615">
        <f t="shared" si="107"/>
        <v>0</v>
      </c>
      <c r="G228" s="614">
        <f t="shared" si="86"/>
        <v>95071</v>
      </c>
      <c r="H228" s="615">
        <v>0</v>
      </c>
      <c r="I228" s="283">
        <f t="shared" si="87"/>
        <v>14.24</v>
      </c>
      <c r="J228" s="283">
        <f t="shared" si="88"/>
        <v>1.9100000000000001</v>
      </c>
      <c r="K228" s="285">
        <f t="shared" si="89"/>
        <v>20348.96</v>
      </c>
      <c r="L228" s="286">
        <f t="shared" si="90"/>
        <v>-45.569999999999709</v>
      </c>
      <c r="M228" s="286">
        <f t="shared" si="91"/>
        <v>0</v>
      </c>
      <c r="N228" s="285">
        <f t="shared" si="92"/>
        <v>20303.39</v>
      </c>
      <c r="O228" s="616">
        <f t="shared" si="108"/>
        <v>20303.39</v>
      </c>
      <c r="P228" s="289">
        <f t="shared" si="94"/>
        <v>1</v>
      </c>
      <c r="Q228" s="290">
        <f t="shared" si="95"/>
        <v>141.86000000000001</v>
      </c>
      <c r="R228" s="290">
        <f t="shared" si="96"/>
        <v>382.35</v>
      </c>
      <c r="S228" s="290">
        <f t="shared" si="97"/>
        <v>0</v>
      </c>
      <c r="T228" s="290">
        <f t="shared" si="98"/>
        <v>20827.599999999999</v>
      </c>
      <c r="U228" s="291">
        <f t="shared" si="99"/>
        <v>20827.599999999999</v>
      </c>
      <c r="V228" s="291">
        <f t="shared" si="103"/>
        <v>0</v>
      </c>
      <c r="W228" s="617">
        <f t="shared" si="109"/>
        <v>0</v>
      </c>
      <c r="X228" s="291">
        <f t="shared" si="104"/>
        <v>0</v>
      </c>
      <c r="Y228" s="170">
        <f t="shared" si="101"/>
        <v>2729.39</v>
      </c>
      <c r="Z228" s="291">
        <f t="shared" si="102"/>
        <v>17574</v>
      </c>
      <c r="AC228" s="276">
        <f>IF(AI228=1,IF(AC227=MiscData!$F$1,EOMONTH(AC227,-11),EOMONTH(AC227,1)),AC227)</f>
        <v>41759</v>
      </c>
      <c r="AD228" s="275" t="str">
        <f t="shared" si="113"/>
        <v>20140101LGUM_208</v>
      </c>
      <c r="AE228" s="294" t="str">
        <f t="shared" si="114"/>
        <v>20140101RLS</v>
      </c>
      <c r="AF228" s="618" t="str">
        <f t="shared" si="105"/>
        <v>208</v>
      </c>
      <c r="AH228" s="265">
        <f>MiscData!$X$5</f>
        <v>20140101</v>
      </c>
      <c r="AI228" s="265">
        <f>IF(AI227+1&gt;MiscData!$AC$77,1,AI227+1)</f>
        <v>6</v>
      </c>
      <c r="AJ228" s="265" t="str">
        <f>VLOOKUP(AI228,MiscData!$AC$5:$AD$77,2,FALSE)</f>
        <v>LGUM_208</v>
      </c>
      <c r="AK228" s="265" t="str">
        <f>VLOOKUP(AJ228,MiscData!$AD$5:$AE$77,2,FALSE)</f>
        <v>RLS</v>
      </c>
      <c r="AT228" s="265" t="s">
        <v>350</v>
      </c>
      <c r="AV228" s="265">
        <v>0</v>
      </c>
    </row>
    <row r="229" spans="1:48">
      <c r="A229" s="275">
        <f t="shared" si="106"/>
        <v>226</v>
      </c>
      <c r="B229" s="276" t="str">
        <f t="shared" si="110"/>
        <v>Apr 2014</v>
      </c>
      <c r="C229" s="277" t="str">
        <f t="shared" si="111"/>
        <v>RLS</v>
      </c>
      <c r="D229" s="277" t="str">
        <f t="shared" si="112"/>
        <v>LGUM_209</v>
      </c>
      <c r="E229" s="614">
        <f t="shared" si="84"/>
        <v>46</v>
      </c>
      <c r="F229" s="615">
        <f t="shared" si="107"/>
        <v>0</v>
      </c>
      <c r="G229" s="614">
        <f t="shared" si="86"/>
        <v>15824</v>
      </c>
      <c r="H229" s="615">
        <v>0</v>
      </c>
      <c r="I229" s="283">
        <f t="shared" si="87"/>
        <v>27.69</v>
      </c>
      <c r="J229" s="283">
        <f t="shared" si="88"/>
        <v>10.170000000000002</v>
      </c>
      <c r="K229" s="285">
        <f t="shared" si="89"/>
        <v>1273.74</v>
      </c>
      <c r="L229" s="286">
        <f t="shared" si="90"/>
        <v>-25.779999999999973</v>
      </c>
      <c r="M229" s="286">
        <f t="shared" si="91"/>
        <v>0</v>
      </c>
      <c r="N229" s="285">
        <f t="shared" si="92"/>
        <v>1247.96</v>
      </c>
      <c r="O229" s="616">
        <f t="shared" si="108"/>
        <v>1247.96</v>
      </c>
      <c r="P229" s="289">
        <f t="shared" si="94"/>
        <v>1</v>
      </c>
      <c r="Q229" s="290">
        <f t="shared" si="95"/>
        <v>24.09</v>
      </c>
      <c r="R229" s="290">
        <f t="shared" si="96"/>
        <v>24.69</v>
      </c>
      <c r="S229" s="290">
        <f t="shared" si="97"/>
        <v>0</v>
      </c>
      <c r="T229" s="290">
        <f t="shared" si="98"/>
        <v>1346.18</v>
      </c>
      <c r="U229" s="291">
        <f t="shared" si="99"/>
        <v>1296.74</v>
      </c>
      <c r="V229" s="291">
        <f t="shared" si="103"/>
        <v>49.44</v>
      </c>
      <c r="W229" s="617">
        <f t="shared" si="109"/>
        <v>49.44</v>
      </c>
      <c r="X229" s="291">
        <f t="shared" si="104"/>
        <v>0</v>
      </c>
      <c r="Y229" s="170">
        <f t="shared" si="101"/>
        <v>467.82</v>
      </c>
      <c r="Z229" s="291">
        <f t="shared" si="102"/>
        <v>780.1400000000001</v>
      </c>
      <c r="AC229" s="276">
        <f>IF(AI229=1,IF(AC228=MiscData!$F$1,EOMONTH(AC228,-11),EOMONTH(AC228,1)),AC228)</f>
        <v>41759</v>
      </c>
      <c r="AD229" s="275" t="str">
        <f t="shared" si="113"/>
        <v>20140101LGUM_209</v>
      </c>
      <c r="AE229" s="294" t="str">
        <f t="shared" si="114"/>
        <v>20140101RLS</v>
      </c>
      <c r="AF229" s="618" t="str">
        <f t="shared" si="105"/>
        <v>209</v>
      </c>
      <c r="AH229" s="265">
        <f>MiscData!$X$5</f>
        <v>20140101</v>
      </c>
      <c r="AI229" s="265">
        <f>IF(AI228+1&gt;MiscData!$AC$77,1,AI228+1)</f>
        <v>7</v>
      </c>
      <c r="AJ229" s="265" t="str">
        <f>VLOOKUP(AI229,MiscData!$AC$5:$AD$77,2,FALSE)</f>
        <v>LGUM_209</v>
      </c>
      <c r="AK229" s="265" t="str">
        <f>VLOOKUP(AJ229,MiscData!$AD$5:$AE$77,2,FALSE)</f>
        <v>RLS</v>
      </c>
      <c r="AT229" s="265" t="s">
        <v>351</v>
      </c>
      <c r="AV229" s="265">
        <v>0</v>
      </c>
    </row>
    <row r="230" spans="1:48">
      <c r="A230" s="275">
        <f t="shared" si="106"/>
        <v>227</v>
      </c>
      <c r="B230" s="276" t="str">
        <f t="shared" si="110"/>
        <v>Apr 2014</v>
      </c>
      <c r="C230" s="277" t="str">
        <f t="shared" si="111"/>
        <v>RLS</v>
      </c>
      <c r="D230" s="277" t="str">
        <f t="shared" si="112"/>
        <v>LGUM_210</v>
      </c>
      <c r="E230" s="614">
        <f t="shared" si="84"/>
        <v>354</v>
      </c>
      <c r="F230" s="615">
        <f t="shared" si="107"/>
        <v>0</v>
      </c>
      <c r="G230" s="614">
        <f t="shared" si="86"/>
        <v>122625</v>
      </c>
      <c r="H230" s="615">
        <v>0</v>
      </c>
      <c r="I230" s="283">
        <f t="shared" si="87"/>
        <v>28.89</v>
      </c>
      <c r="J230" s="283">
        <f t="shared" si="88"/>
        <v>10.170000000000002</v>
      </c>
      <c r="K230" s="285">
        <f t="shared" si="89"/>
        <v>10227.06</v>
      </c>
      <c r="L230" s="286">
        <f t="shared" si="90"/>
        <v>-69.740000000001601</v>
      </c>
      <c r="M230" s="286">
        <f t="shared" si="91"/>
        <v>0</v>
      </c>
      <c r="N230" s="285">
        <f t="shared" si="92"/>
        <v>10157.319999999998</v>
      </c>
      <c r="O230" s="616">
        <f t="shared" si="108"/>
        <v>10157.32</v>
      </c>
      <c r="P230" s="289">
        <f t="shared" si="94"/>
        <v>1.0000000000000002</v>
      </c>
      <c r="Q230" s="290">
        <f t="shared" si="95"/>
        <v>188.93</v>
      </c>
      <c r="R230" s="290">
        <f t="shared" si="96"/>
        <v>196.57</v>
      </c>
      <c r="S230" s="290">
        <f t="shared" si="97"/>
        <v>0</v>
      </c>
      <c r="T230" s="290">
        <f t="shared" si="98"/>
        <v>10746.76</v>
      </c>
      <c r="U230" s="291">
        <f t="shared" si="99"/>
        <v>10542.819999999998</v>
      </c>
      <c r="V230" s="291">
        <f t="shared" si="103"/>
        <v>203.94</v>
      </c>
      <c r="W230" s="617">
        <f t="shared" si="109"/>
        <v>203.94</v>
      </c>
      <c r="X230" s="291">
        <f t="shared" si="104"/>
        <v>0</v>
      </c>
      <c r="Y230" s="170">
        <f t="shared" si="101"/>
        <v>3600.18</v>
      </c>
      <c r="Z230" s="291">
        <f t="shared" si="102"/>
        <v>6557.1399999999994</v>
      </c>
      <c r="AC230" s="276">
        <f>IF(AI230=1,IF(AC229=MiscData!$F$1,EOMONTH(AC229,-11),EOMONTH(AC229,1)),AC229)</f>
        <v>41759</v>
      </c>
      <c r="AD230" s="275" t="str">
        <f t="shared" si="113"/>
        <v>20140101LGUM_210</v>
      </c>
      <c r="AE230" s="294" t="str">
        <f t="shared" si="114"/>
        <v>20140101RLS</v>
      </c>
      <c r="AF230" s="618" t="str">
        <f t="shared" si="105"/>
        <v>210</v>
      </c>
      <c r="AH230" s="265">
        <f>MiscData!$X$5</f>
        <v>20140101</v>
      </c>
      <c r="AI230" s="265">
        <f>IF(AI229+1&gt;MiscData!$AC$77,1,AI229+1)</f>
        <v>8</v>
      </c>
      <c r="AJ230" s="265" t="str">
        <f>VLOOKUP(AI230,MiscData!$AC$5:$AD$77,2,FALSE)</f>
        <v>LGUM_210</v>
      </c>
      <c r="AK230" s="265" t="str">
        <f>VLOOKUP(AJ230,MiscData!$AD$5:$AE$77,2,FALSE)</f>
        <v>RLS</v>
      </c>
      <c r="AT230" s="265" t="s">
        <v>631</v>
      </c>
      <c r="AV230" s="265">
        <v>0</v>
      </c>
    </row>
    <row r="231" spans="1:48">
      <c r="A231" s="275">
        <f t="shared" si="106"/>
        <v>228</v>
      </c>
      <c r="B231" s="276" t="str">
        <f t="shared" si="110"/>
        <v>Apr 2014</v>
      </c>
      <c r="C231" s="277" t="str">
        <f t="shared" si="111"/>
        <v>RLS</v>
      </c>
      <c r="D231" s="277" t="str">
        <f t="shared" si="112"/>
        <v>LGUM_252</v>
      </c>
      <c r="E231" s="614">
        <f t="shared" si="84"/>
        <v>4051</v>
      </c>
      <c r="F231" s="615">
        <f t="shared" si="107"/>
        <v>0</v>
      </c>
      <c r="G231" s="614">
        <f t="shared" si="86"/>
        <v>272490</v>
      </c>
      <c r="H231" s="615">
        <v>0</v>
      </c>
      <c r="I231" s="283">
        <f t="shared" si="87"/>
        <v>9.57</v>
      </c>
      <c r="J231" s="283">
        <f t="shared" si="88"/>
        <v>1.9099999999999993</v>
      </c>
      <c r="K231" s="285">
        <f t="shared" si="89"/>
        <v>38768.07</v>
      </c>
      <c r="L231" s="286">
        <f t="shared" si="90"/>
        <v>-153.30000000000291</v>
      </c>
      <c r="M231" s="286">
        <v>0</v>
      </c>
      <c r="N231" s="285">
        <f t="shared" si="92"/>
        <v>38614.769999999997</v>
      </c>
      <c r="O231" s="616">
        <f t="shared" si="108"/>
        <v>38614.769999999997</v>
      </c>
      <c r="P231" s="289">
        <f t="shared" si="94"/>
        <v>1</v>
      </c>
      <c r="Q231" s="290">
        <f t="shared" si="95"/>
        <v>434.29</v>
      </c>
      <c r="R231" s="290">
        <f t="shared" si="96"/>
        <v>752.65</v>
      </c>
      <c r="S231" s="290">
        <f t="shared" si="97"/>
        <v>0</v>
      </c>
      <c r="T231" s="290">
        <f t="shared" si="98"/>
        <v>41350.69</v>
      </c>
      <c r="U231" s="291">
        <f t="shared" si="99"/>
        <v>39801.71</v>
      </c>
      <c r="V231" s="291">
        <f t="shared" si="103"/>
        <v>1548.98</v>
      </c>
      <c r="W231" s="617">
        <f t="shared" si="109"/>
        <v>1548.98</v>
      </c>
      <c r="X231" s="291">
        <f t="shared" si="104"/>
        <v>0</v>
      </c>
      <c r="Y231" s="170">
        <f t="shared" si="101"/>
        <v>7737.41</v>
      </c>
      <c r="Z231" s="291">
        <f t="shared" si="102"/>
        <v>30877.359999999997</v>
      </c>
      <c r="AC231" s="276">
        <f>IF(AI231=1,IF(AC230=MiscData!$F$1,EOMONTH(AC230,-11),EOMONTH(AC230,1)),AC230)</f>
        <v>41759</v>
      </c>
      <c r="AD231" s="275" t="str">
        <f t="shared" si="113"/>
        <v>20140101LGUM_252</v>
      </c>
      <c r="AE231" s="294" t="str">
        <f t="shared" si="114"/>
        <v>20140101RLS</v>
      </c>
      <c r="AF231" s="618" t="str">
        <f t="shared" si="105"/>
        <v>252</v>
      </c>
      <c r="AH231" s="265">
        <f>MiscData!$X$5</f>
        <v>20140101</v>
      </c>
      <c r="AI231" s="265">
        <f>IF(AI230+1&gt;MiscData!$AC$77,1,AI230+1)</f>
        <v>9</v>
      </c>
      <c r="AJ231" s="265" t="str">
        <f>VLOOKUP(AI231,MiscData!$AC$5:$AD$77,2,FALSE)</f>
        <v>LGUM_252</v>
      </c>
      <c r="AK231" s="265" t="str">
        <f>VLOOKUP(AJ231,MiscData!$AD$5:$AE$77,2,FALSE)</f>
        <v>RLS</v>
      </c>
      <c r="AT231" s="265" t="s">
        <v>352</v>
      </c>
      <c r="AV231" s="265">
        <v>0</v>
      </c>
    </row>
    <row r="232" spans="1:48">
      <c r="A232" s="275">
        <f t="shared" si="106"/>
        <v>229</v>
      </c>
      <c r="B232" s="276" t="str">
        <f t="shared" si="110"/>
        <v>Apr 2014</v>
      </c>
      <c r="C232" s="277" t="str">
        <f t="shared" si="111"/>
        <v>RLS</v>
      </c>
      <c r="D232" s="277" t="str">
        <f t="shared" si="112"/>
        <v>LGUM_266</v>
      </c>
      <c r="E232" s="614">
        <f t="shared" si="84"/>
        <v>2066</v>
      </c>
      <c r="F232" s="615">
        <f t="shared" si="107"/>
        <v>0</v>
      </c>
      <c r="G232" s="614">
        <f t="shared" si="86"/>
        <v>208194</v>
      </c>
      <c r="H232" s="615">
        <v>0</v>
      </c>
      <c r="I232" s="283">
        <f t="shared" si="87"/>
        <v>27.34</v>
      </c>
      <c r="J232" s="283">
        <f t="shared" si="88"/>
        <v>2.8000000000000007</v>
      </c>
      <c r="K232" s="285">
        <f t="shared" si="89"/>
        <v>56484.44</v>
      </c>
      <c r="L232" s="286">
        <f t="shared" si="90"/>
        <v>-16.399999999994179</v>
      </c>
      <c r="M232" s="286">
        <f t="shared" si="91"/>
        <v>0</v>
      </c>
      <c r="N232" s="285">
        <f t="shared" si="92"/>
        <v>56468.040000000008</v>
      </c>
      <c r="O232" s="616">
        <f t="shared" si="108"/>
        <v>56468.04</v>
      </c>
      <c r="P232" s="289">
        <f t="shared" si="94"/>
        <v>0.99999999999999989</v>
      </c>
      <c r="Q232" s="290">
        <f t="shared" si="95"/>
        <v>321.99</v>
      </c>
      <c r="R232" s="290">
        <f t="shared" si="96"/>
        <v>1056.78</v>
      </c>
      <c r="S232" s="290">
        <f t="shared" si="97"/>
        <v>0</v>
      </c>
      <c r="T232" s="290">
        <f t="shared" si="98"/>
        <v>57846.81</v>
      </c>
      <c r="U232" s="291">
        <f t="shared" si="99"/>
        <v>57846.810000000005</v>
      </c>
      <c r="V232" s="291">
        <f t="shared" si="103"/>
        <v>0</v>
      </c>
      <c r="W232" s="617">
        <f t="shared" si="109"/>
        <v>0</v>
      </c>
      <c r="X232" s="291">
        <f t="shared" si="104"/>
        <v>0</v>
      </c>
      <c r="Y232" s="170">
        <f t="shared" si="101"/>
        <v>5784.8</v>
      </c>
      <c r="Z232" s="291">
        <f t="shared" si="102"/>
        <v>50683.24</v>
      </c>
      <c r="AC232" s="276">
        <f>IF(AI232=1,IF(AC231=MiscData!$F$1,EOMONTH(AC231,-11),EOMONTH(AC231,1)),AC231)</f>
        <v>41759</v>
      </c>
      <c r="AD232" s="275" t="str">
        <f t="shared" si="113"/>
        <v>20140101LGUM_266</v>
      </c>
      <c r="AE232" s="294" t="str">
        <f t="shared" si="114"/>
        <v>20140101RLS</v>
      </c>
      <c r="AF232" s="618" t="str">
        <f t="shared" si="105"/>
        <v>266</v>
      </c>
      <c r="AH232" s="265">
        <f>MiscData!$X$5</f>
        <v>20140101</v>
      </c>
      <c r="AI232" s="265">
        <f>IF(AI231+1&gt;MiscData!$AC$77,1,AI231+1)</f>
        <v>10</v>
      </c>
      <c r="AJ232" s="265" t="str">
        <f>VLOOKUP(AI232,MiscData!$AC$5:$AD$77,2,FALSE)</f>
        <v>LGUM_266</v>
      </c>
      <c r="AK232" s="265" t="str">
        <f>VLOOKUP(AJ232,MiscData!$AD$5:$AE$77,2,FALSE)</f>
        <v>RLS</v>
      </c>
      <c r="AT232" s="265" t="s">
        <v>353</v>
      </c>
      <c r="AV232" s="265">
        <v>0</v>
      </c>
    </row>
    <row r="233" spans="1:48">
      <c r="A233" s="275">
        <f t="shared" si="106"/>
        <v>230</v>
      </c>
      <c r="B233" s="276" t="str">
        <f t="shared" si="110"/>
        <v>Apr 2014</v>
      </c>
      <c r="C233" s="277" t="str">
        <f t="shared" si="111"/>
        <v>RLS</v>
      </c>
      <c r="D233" s="277" t="str">
        <f t="shared" si="112"/>
        <v>LGUM_267</v>
      </c>
      <c r="E233" s="614">
        <f t="shared" si="84"/>
        <v>2264</v>
      </c>
      <c r="F233" s="615">
        <f t="shared" si="107"/>
        <v>0</v>
      </c>
      <c r="G233" s="614">
        <f t="shared" si="86"/>
        <v>357954</v>
      </c>
      <c r="H233" s="615">
        <v>0</v>
      </c>
      <c r="I233" s="283">
        <f t="shared" si="87"/>
        <v>31.4</v>
      </c>
      <c r="J233" s="283">
        <f t="shared" si="88"/>
        <v>4.4499999999999993</v>
      </c>
      <c r="K233" s="285">
        <f t="shared" si="89"/>
        <v>71089.600000000006</v>
      </c>
      <c r="L233" s="286">
        <f t="shared" si="90"/>
        <v>-104.67000000001281</v>
      </c>
      <c r="M233" s="286">
        <f t="shared" si="91"/>
        <v>0</v>
      </c>
      <c r="N233" s="285">
        <f t="shared" si="92"/>
        <v>70984.929999999993</v>
      </c>
      <c r="O233" s="616">
        <f t="shared" si="108"/>
        <v>70984.930000000008</v>
      </c>
      <c r="P233" s="289">
        <f t="shared" si="94"/>
        <v>1.0000000000000002</v>
      </c>
      <c r="Q233" s="290">
        <f t="shared" si="95"/>
        <v>546.61</v>
      </c>
      <c r="R233" s="290">
        <f t="shared" si="96"/>
        <v>1333.28</v>
      </c>
      <c r="S233" s="290">
        <f t="shared" si="97"/>
        <v>0</v>
      </c>
      <c r="T233" s="290">
        <f t="shared" si="98"/>
        <v>72864.820000000007</v>
      </c>
      <c r="U233" s="291">
        <f t="shared" si="99"/>
        <v>72864.819999999992</v>
      </c>
      <c r="V233" s="291">
        <f t="shared" si="103"/>
        <v>0</v>
      </c>
      <c r="W233" s="617">
        <f t="shared" si="109"/>
        <v>0</v>
      </c>
      <c r="X233" s="291">
        <f t="shared" si="104"/>
        <v>0</v>
      </c>
      <c r="Y233" s="170">
        <f t="shared" si="101"/>
        <v>10074.799999999999</v>
      </c>
      <c r="Z233" s="291">
        <f t="shared" si="102"/>
        <v>60910.130000000005</v>
      </c>
      <c r="AC233" s="276">
        <f>IF(AI233=1,IF(AC232=MiscData!$F$1,EOMONTH(AC232,-11),EOMONTH(AC232,1)),AC232)</f>
        <v>41759</v>
      </c>
      <c r="AD233" s="275" t="str">
        <f t="shared" si="113"/>
        <v>20140101LGUM_267</v>
      </c>
      <c r="AE233" s="294" t="str">
        <f t="shared" si="114"/>
        <v>20140101RLS</v>
      </c>
      <c r="AF233" s="618" t="str">
        <f t="shared" si="105"/>
        <v>267</v>
      </c>
      <c r="AH233" s="265">
        <f>MiscData!$X$5</f>
        <v>20140101</v>
      </c>
      <c r="AI233" s="265">
        <f>IF(AI232+1&gt;MiscData!$AC$77,1,AI232+1)</f>
        <v>11</v>
      </c>
      <c r="AJ233" s="265" t="str">
        <f>VLOOKUP(AI233,MiscData!$AC$5:$AD$77,2,FALSE)</f>
        <v>LGUM_267</v>
      </c>
      <c r="AK233" s="265" t="str">
        <f>VLOOKUP(AJ233,MiscData!$AD$5:$AE$77,2,FALSE)</f>
        <v>RLS</v>
      </c>
      <c r="AT233" s="265" t="s">
        <v>729</v>
      </c>
      <c r="AV233" s="265">
        <v>0</v>
      </c>
    </row>
    <row r="234" spans="1:48">
      <c r="A234" s="275">
        <f t="shared" si="106"/>
        <v>231</v>
      </c>
      <c r="B234" s="276" t="str">
        <f t="shared" si="110"/>
        <v>Apr 2014</v>
      </c>
      <c r="C234" s="277" t="str">
        <f t="shared" si="111"/>
        <v>RLS</v>
      </c>
      <c r="D234" s="277" t="str">
        <f t="shared" si="112"/>
        <v>LGUM_274</v>
      </c>
      <c r="E234" s="614">
        <f t="shared" si="84"/>
        <v>17157</v>
      </c>
      <c r="F234" s="615">
        <f t="shared" si="107"/>
        <v>2</v>
      </c>
      <c r="G234" s="614">
        <f t="shared" si="86"/>
        <v>790009</v>
      </c>
      <c r="H234" s="615">
        <v>0</v>
      </c>
      <c r="I234" s="283">
        <f t="shared" si="87"/>
        <v>17.189999999999998</v>
      </c>
      <c r="J234" s="283">
        <f t="shared" si="88"/>
        <v>1.2699999999999996</v>
      </c>
      <c r="K234" s="285">
        <f t="shared" si="89"/>
        <v>294963.21000000002</v>
      </c>
      <c r="L234" s="286">
        <f t="shared" si="90"/>
        <v>-234.26000000003964</v>
      </c>
      <c r="M234" s="286">
        <v>0</v>
      </c>
      <c r="N234" s="285">
        <f t="shared" si="92"/>
        <v>294728.94999999995</v>
      </c>
      <c r="O234" s="616">
        <f t="shared" si="108"/>
        <v>294728.95</v>
      </c>
      <c r="P234" s="289">
        <f t="shared" si="94"/>
        <v>1.0000000000000002</v>
      </c>
      <c r="Q234" s="290">
        <f t="shared" si="95"/>
        <v>1192.5999999999999</v>
      </c>
      <c r="R234" s="290">
        <f t="shared" si="96"/>
        <v>5522.64</v>
      </c>
      <c r="S234" s="290">
        <f t="shared" si="97"/>
        <v>0</v>
      </c>
      <c r="T234" s="290">
        <f t="shared" si="98"/>
        <v>301446.25</v>
      </c>
      <c r="U234" s="291">
        <f t="shared" si="99"/>
        <v>301444.18999999994</v>
      </c>
      <c r="V234" s="291">
        <f t="shared" si="103"/>
        <v>2.06</v>
      </c>
      <c r="W234" s="617">
        <f t="shared" si="109"/>
        <v>2.06</v>
      </c>
      <c r="X234" s="291">
        <f t="shared" si="104"/>
        <v>0</v>
      </c>
      <c r="Y234" s="170">
        <f t="shared" si="101"/>
        <v>21789.39</v>
      </c>
      <c r="Z234" s="291">
        <f t="shared" si="102"/>
        <v>272939.56</v>
      </c>
      <c r="AC234" s="276">
        <f>IF(AI234=1,IF(AC233=MiscData!$F$1,EOMONTH(AC233,-11),EOMONTH(AC233,1)),AC233)</f>
        <v>41759</v>
      </c>
      <c r="AD234" s="275" t="str">
        <f t="shared" si="113"/>
        <v>20140101LGUM_274</v>
      </c>
      <c r="AE234" s="294" t="str">
        <f t="shared" si="114"/>
        <v>20140101RLS</v>
      </c>
      <c r="AF234" s="618" t="str">
        <f t="shared" si="105"/>
        <v>274</v>
      </c>
      <c r="AH234" s="265">
        <f>MiscData!$X$5</f>
        <v>20140101</v>
      </c>
      <c r="AI234" s="265">
        <f>IF(AI233+1&gt;MiscData!$AC$77,1,AI233+1)</f>
        <v>12</v>
      </c>
      <c r="AJ234" s="265" t="str">
        <f>VLOOKUP(AI234,MiscData!$AC$5:$AD$77,2,FALSE)</f>
        <v>LGUM_274</v>
      </c>
      <c r="AK234" s="265" t="str">
        <f>VLOOKUP(AJ234,MiscData!$AD$5:$AE$77,2,FALSE)</f>
        <v>RLS</v>
      </c>
      <c r="AT234" s="265" t="s">
        <v>730</v>
      </c>
      <c r="AV234" s="265">
        <v>0</v>
      </c>
    </row>
    <row r="235" spans="1:48">
      <c r="A235" s="275">
        <f t="shared" si="106"/>
        <v>232</v>
      </c>
      <c r="B235" s="276" t="str">
        <f t="shared" si="110"/>
        <v>Apr 2014</v>
      </c>
      <c r="C235" s="277" t="str">
        <f t="shared" si="111"/>
        <v>RLS</v>
      </c>
      <c r="D235" s="277" t="str">
        <f t="shared" si="112"/>
        <v>LGUM_275</v>
      </c>
      <c r="E235" s="614">
        <f t="shared" si="84"/>
        <v>519</v>
      </c>
      <c r="F235" s="615">
        <f t="shared" si="107"/>
        <v>0</v>
      </c>
      <c r="G235" s="614">
        <f t="shared" si="86"/>
        <v>33533</v>
      </c>
      <c r="H235" s="615">
        <v>0</v>
      </c>
      <c r="I235" s="283">
        <f t="shared" si="87"/>
        <v>24.89</v>
      </c>
      <c r="J235" s="283">
        <f t="shared" si="88"/>
        <v>1.7899999999999991</v>
      </c>
      <c r="K235" s="285">
        <f t="shared" si="89"/>
        <v>12917.91</v>
      </c>
      <c r="L235" s="286">
        <f t="shared" si="90"/>
        <v>0</v>
      </c>
      <c r="M235" s="286">
        <f t="shared" si="91"/>
        <v>0</v>
      </c>
      <c r="N235" s="285">
        <f t="shared" si="92"/>
        <v>12917.91</v>
      </c>
      <c r="O235" s="616">
        <f t="shared" si="108"/>
        <v>12917.91</v>
      </c>
      <c r="P235" s="289">
        <f t="shared" si="94"/>
        <v>1</v>
      </c>
      <c r="Q235" s="290">
        <f t="shared" si="95"/>
        <v>54.75</v>
      </c>
      <c r="R235" s="290">
        <f t="shared" si="96"/>
        <v>239.81</v>
      </c>
      <c r="S235" s="290">
        <f t="shared" si="97"/>
        <v>0</v>
      </c>
      <c r="T235" s="290">
        <f t="shared" si="98"/>
        <v>13212.47</v>
      </c>
      <c r="U235" s="291">
        <f t="shared" si="99"/>
        <v>13212.47</v>
      </c>
      <c r="V235" s="291">
        <f t="shared" si="103"/>
        <v>0</v>
      </c>
      <c r="W235" s="617">
        <f t="shared" si="109"/>
        <v>0</v>
      </c>
      <c r="X235" s="291">
        <f t="shared" si="104"/>
        <v>0</v>
      </c>
      <c r="Y235" s="170">
        <f t="shared" si="101"/>
        <v>929.01</v>
      </c>
      <c r="Z235" s="291">
        <f t="shared" si="102"/>
        <v>11988.9</v>
      </c>
      <c r="AC235" s="276">
        <f>IF(AI235=1,IF(AC234=MiscData!$F$1,EOMONTH(AC234,-11),EOMONTH(AC234,1)),AC234)</f>
        <v>41759</v>
      </c>
      <c r="AD235" s="275" t="str">
        <f t="shared" si="113"/>
        <v>20140101LGUM_275</v>
      </c>
      <c r="AE235" s="294" t="str">
        <f t="shared" si="114"/>
        <v>20140101RLS</v>
      </c>
      <c r="AF235" s="618" t="str">
        <f t="shared" si="105"/>
        <v>275</v>
      </c>
      <c r="AH235" s="265">
        <f>MiscData!$X$5</f>
        <v>20140101</v>
      </c>
      <c r="AI235" s="265">
        <f>IF(AI234+1&gt;MiscData!$AC$77,1,AI234+1)</f>
        <v>13</v>
      </c>
      <c r="AJ235" s="265" t="str">
        <f>VLOOKUP(AI235,MiscData!$AC$5:$AD$77,2,FALSE)</f>
        <v>LGUM_275</v>
      </c>
      <c r="AK235" s="265" t="str">
        <f>VLOOKUP(AJ235,MiscData!$AD$5:$AE$77,2,FALSE)</f>
        <v>RLS</v>
      </c>
      <c r="AT235" s="265" t="s">
        <v>378</v>
      </c>
      <c r="AV235" s="265">
        <v>0</v>
      </c>
    </row>
    <row r="236" spans="1:48">
      <c r="A236" s="275">
        <f t="shared" si="106"/>
        <v>233</v>
      </c>
      <c r="B236" s="276" t="str">
        <f t="shared" si="110"/>
        <v>Apr 2014</v>
      </c>
      <c r="C236" s="277" t="str">
        <f t="shared" si="111"/>
        <v>RLS</v>
      </c>
      <c r="D236" s="277" t="str">
        <f t="shared" si="112"/>
        <v>LGUM_276</v>
      </c>
      <c r="E236" s="614">
        <f t="shared" si="84"/>
        <v>1356</v>
      </c>
      <c r="F236" s="615">
        <f t="shared" si="107"/>
        <v>0</v>
      </c>
      <c r="G236" s="614">
        <f t="shared" si="86"/>
        <v>47649</v>
      </c>
      <c r="H236" s="615">
        <v>0</v>
      </c>
      <c r="I236" s="283">
        <f t="shared" si="87"/>
        <v>14.17</v>
      </c>
      <c r="J236" s="283">
        <f t="shared" si="88"/>
        <v>0.88000000000000078</v>
      </c>
      <c r="K236" s="285">
        <f t="shared" si="89"/>
        <v>19214.52</v>
      </c>
      <c r="L236" s="286">
        <f t="shared" si="90"/>
        <v>-58.100000000002183</v>
      </c>
      <c r="M236" s="286">
        <f t="shared" si="91"/>
        <v>0</v>
      </c>
      <c r="N236" s="285">
        <f t="shared" si="92"/>
        <v>19156.419999999998</v>
      </c>
      <c r="O236" s="616">
        <f t="shared" si="108"/>
        <v>19156.420000000002</v>
      </c>
      <c r="P236" s="289">
        <f t="shared" si="94"/>
        <v>1.0000000000000002</v>
      </c>
      <c r="Q236" s="290">
        <f t="shared" si="95"/>
        <v>71.31</v>
      </c>
      <c r="R236" s="290">
        <f t="shared" si="96"/>
        <v>360.47</v>
      </c>
      <c r="S236" s="290">
        <f t="shared" si="97"/>
        <v>0</v>
      </c>
      <c r="T236" s="290">
        <f t="shared" si="98"/>
        <v>19588.2</v>
      </c>
      <c r="U236" s="291">
        <f t="shared" si="99"/>
        <v>19588.2</v>
      </c>
      <c r="V236" s="291">
        <f t="shared" si="103"/>
        <v>0</v>
      </c>
      <c r="W236" s="617">
        <f t="shared" si="109"/>
        <v>0</v>
      </c>
      <c r="X236" s="291">
        <f t="shared" si="104"/>
        <v>0</v>
      </c>
      <c r="Y236" s="170">
        <f t="shared" si="101"/>
        <v>1193.28</v>
      </c>
      <c r="Z236" s="291">
        <f t="shared" si="102"/>
        <v>17963.140000000003</v>
      </c>
      <c r="AC236" s="276">
        <f>IF(AI236=1,IF(AC235=MiscData!$F$1,EOMONTH(AC235,-11),EOMONTH(AC235,1)),AC235)</f>
        <v>41759</v>
      </c>
      <c r="AD236" s="275" t="str">
        <f t="shared" si="113"/>
        <v>20140101LGUM_276</v>
      </c>
      <c r="AE236" s="294" t="str">
        <f t="shared" si="114"/>
        <v>20140101RLS</v>
      </c>
      <c r="AF236" s="618" t="str">
        <f t="shared" si="105"/>
        <v>276</v>
      </c>
      <c r="AH236" s="265">
        <f>MiscData!$X$5</f>
        <v>20140101</v>
      </c>
      <c r="AI236" s="265">
        <f>IF(AI235+1&gt;MiscData!$AC$77,1,AI235+1)</f>
        <v>14</v>
      </c>
      <c r="AJ236" s="265" t="str">
        <f>VLOOKUP(AI236,MiscData!$AC$5:$AD$77,2,FALSE)</f>
        <v>LGUM_276</v>
      </c>
      <c r="AK236" s="265" t="str">
        <f>VLOOKUP(AJ236,MiscData!$AD$5:$AE$77,2,FALSE)</f>
        <v>RLS</v>
      </c>
      <c r="AT236" s="265" t="s">
        <v>354</v>
      </c>
      <c r="AV236" s="265">
        <v>196.24</v>
      </c>
    </row>
    <row r="237" spans="1:48">
      <c r="A237" s="275">
        <f t="shared" si="106"/>
        <v>234</v>
      </c>
      <c r="B237" s="276" t="str">
        <f t="shared" si="110"/>
        <v>Apr 2014</v>
      </c>
      <c r="C237" s="277" t="str">
        <f t="shared" si="111"/>
        <v>RLS</v>
      </c>
      <c r="D237" s="277" t="str">
        <f t="shared" si="112"/>
        <v>LGUM_277</v>
      </c>
      <c r="E237" s="614">
        <f t="shared" si="84"/>
        <v>2310</v>
      </c>
      <c r="F237" s="615">
        <f t="shared" si="107"/>
        <v>0</v>
      </c>
      <c r="G237" s="614">
        <f t="shared" si="86"/>
        <v>146672</v>
      </c>
      <c r="H237" s="615">
        <v>0</v>
      </c>
      <c r="I237" s="283">
        <f t="shared" si="87"/>
        <v>22.15</v>
      </c>
      <c r="J237" s="283">
        <f t="shared" si="88"/>
        <v>1.7900000000000027</v>
      </c>
      <c r="K237" s="285">
        <f t="shared" si="89"/>
        <v>51166.5</v>
      </c>
      <c r="L237" s="286">
        <f t="shared" si="90"/>
        <v>117.63000000000466</v>
      </c>
      <c r="M237" s="286">
        <f t="shared" si="91"/>
        <v>0</v>
      </c>
      <c r="N237" s="285">
        <f t="shared" si="92"/>
        <v>51284.130000000005</v>
      </c>
      <c r="O237" s="616">
        <f t="shared" si="108"/>
        <v>51284.13</v>
      </c>
      <c r="P237" s="289">
        <f t="shared" si="94"/>
        <v>0.99999999999999989</v>
      </c>
      <c r="Q237" s="290">
        <f t="shared" si="95"/>
        <v>219.37</v>
      </c>
      <c r="R237" s="290">
        <f t="shared" si="96"/>
        <v>964.06</v>
      </c>
      <c r="S237" s="290">
        <f t="shared" si="97"/>
        <v>0</v>
      </c>
      <c r="T237" s="290">
        <f t="shared" si="98"/>
        <v>52526.68</v>
      </c>
      <c r="U237" s="291">
        <f t="shared" si="99"/>
        <v>52467.560000000005</v>
      </c>
      <c r="V237" s="291">
        <f t="shared" si="103"/>
        <v>59.12</v>
      </c>
      <c r="W237" s="617">
        <f t="shared" si="109"/>
        <v>59.12</v>
      </c>
      <c r="X237" s="291">
        <f t="shared" si="104"/>
        <v>0</v>
      </c>
      <c r="Y237" s="170">
        <f t="shared" si="101"/>
        <v>4134.8999999999996</v>
      </c>
      <c r="Z237" s="291">
        <f t="shared" si="102"/>
        <v>47149.229999999996</v>
      </c>
      <c r="AC237" s="276">
        <f>IF(AI237=1,IF(AC236=MiscData!$F$1,EOMONTH(AC236,-11),EOMONTH(AC236,1)),AC236)</f>
        <v>41759</v>
      </c>
      <c r="AD237" s="275" t="str">
        <f t="shared" si="113"/>
        <v>20140101LGUM_277</v>
      </c>
      <c r="AE237" s="294" t="str">
        <f t="shared" si="114"/>
        <v>20140101RLS</v>
      </c>
      <c r="AF237" s="618" t="str">
        <f t="shared" si="105"/>
        <v>277</v>
      </c>
      <c r="AH237" s="265">
        <f>MiscData!$X$5</f>
        <v>20140101</v>
      </c>
      <c r="AI237" s="265">
        <f>IF(AI236+1&gt;MiscData!$AC$77,1,AI236+1)</f>
        <v>15</v>
      </c>
      <c r="AJ237" s="265" t="str">
        <f>VLOOKUP(AI237,MiscData!$AC$5:$AD$77,2,FALSE)</f>
        <v>LGUM_277</v>
      </c>
      <c r="AK237" s="265" t="str">
        <f>VLOOKUP(AJ237,MiscData!$AD$5:$AE$77,2,FALSE)</f>
        <v>RLS</v>
      </c>
      <c r="AT237" s="265" t="s">
        <v>355</v>
      </c>
      <c r="AV237" s="265">
        <v>110.86</v>
      </c>
    </row>
    <row r="238" spans="1:48">
      <c r="A238" s="275">
        <f t="shared" si="106"/>
        <v>235</v>
      </c>
      <c r="B238" s="276" t="str">
        <f t="shared" si="110"/>
        <v>Apr 2014</v>
      </c>
      <c r="C238" s="277" t="str">
        <f t="shared" si="111"/>
        <v>RLS</v>
      </c>
      <c r="D238" s="277" t="str">
        <f t="shared" si="112"/>
        <v>LGUM_278</v>
      </c>
      <c r="E238" s="614">
        <f t="shared" si="84"/>
        <v>17</v>
      </c>
      <c r="F238" s="615">
        <f t="shared" si="107"/>
        <v>0</v>
      </c>
      <c r="G238" s="614">
        <f t="shared" si="86"/>
        <v>5956</v>
      </c>
      <c r="H238" s="615">
        <v>0</v>
      </c>
      <c r="I238" s="283">
        <f t="shared" si="87"/>
        <v>72.550000000000011</v>
      </c>
      <c r="J238" s="283">
        <f t="shared" si="88"/>
        <v>9.8400000000000034</v>
      </c>
      <c r="K238" s="285">
        <f t="shared" si="89"/>
        <v>1233.3499999999999</v>
      </c>
      <c r="L238" s="286">
        <f t="shared" si="90"/>
        <v>0</v>
      </c>
      <c r="M238" s="286">
        <f t="shared" si="91"/>
        <v>0</v>
      </c>
      <c r="N238" s="285">
        <f t="shared" si="92"/>
        <v>1233.3499999999999</v>
      </c>
      <c r="O238" s="616">
        <f t="shared" si="108"/>
        <v>1233.3500000000001</v>
      </c>
      <c r="P238" s="289">
        <f t="shared" si="94"/>
        <v>1.0000000000000002</v>
      </c>
      <c r="Q238" s="290">
        <f t="shared" si="95"/>
        <v>8.8699999999999992</v>
      </c>
      <c r="R238" s="290">
        <f t="shared" si="96"/>
        <v>23.22</v>
      </c>
      <c r="S238" s="290">
        <f t="shared" si="97"/>
        <v>0</v>
      </c>
      <c r="T238" s="290">
        <f t="shared" si="98"/>
        <v>1265.44</v>
      </c>
      <c r="U238" s="291">
        <f t="shared" si="99"/>
        <v>1265.4399999999998</v>
      </c>
      <c r="V238" s="291">
        <f t="shared" si="103"/>
        <v>0</v>
      </c>
      <c r="W238" s="617">
        <f t="shared" si="109"/>
        <v>0</v>
      </c>
      <c r="X238" s="291">
        <f t="shared" si="104"/>
        <v>0</v>
      </c>
      <c r="Y238" s="170">
        <f t="shared" si="101"/>
        <v>167.28</v>
      </c>
      <c r="Z238" s="291">
        <f t="shared" si="102"/>
        <v>1066.0700000000002</v>
      </c>
      <c r="AC238" s="276">
        <f>IF(AI238=1,IF(AC237=MiscData!$F$1,EOMONTH(AC237,-11),EOMONTH(AC237,1)),AC237)</f>
        <v>41759</v>
      </c>
      <c r="AD238" s="275" t="str">
        <f t="shared" si="113"/>
        <v>20140101LGUM_278</v>
      </c>
      <c r="AE238" s="294" t="str">
        <f t="shared" si="114"/>
        <v>20140101RLS</v>
      </c>
      <c r="AF238" s="618" t="str">
        <f t="shared" si="105"/>
        <v>278</v>
      </c>
      <c r="AH238" s="265">
        <f>MiscData!$X$5</f>
        <v>20140101</v>
      </c>
      <c r="AI238" s="265">
        <f>IF(AI237+1&gt;MiscData!$AC$77,1,AI237+1)</f>
        <v>16</v>
      </c>
      <c r="AJ238" s="265" t="str">
        <f>VLOOKUP(AI238,MiscData!$AC$5:$AD$77,2,FALSE)</f>
        <v>LGUM_278</v>
      </c>
      <c r="AK238" s="265" t="str">
        <f>VLOOKUP(AJ238,MiscData!$AD$5:$AE$77,2,FALSE)</f>
        <v>RLS</v>
      </c>
      <c r="AT238" s="265" t="s">
        <v>356</v>
      </c>
      <c r="AV238" s="265">
        <v>225.88</v>
      </c>
    </row>
    <row r="239" spans="1:48">
      <c r="A239" s="275">
        <f t="shared" si="106"/>
        <v>236</v>
      </c>
      <c r="B239" s="276" t="str">
        <f t="shared" si="110"/>
        <v>Apr 2014</v>
      </c>
      <c r="C239" s="277" t="str">
        <f t="shared" si="111"/>
        <v>RLS</v>
      </c>
      <c r="D239" s="277" t="str">
        <f t="shared" si="112"/>
        <v>LGUM_279</v>
      </c>
      <c r="E239" s="614">
        <f t="shared" si="84"/>
        <v>11</v>
      </c>
      <c r="F239" s="615">
        <f t="shared" si="107"/>
        <v>0</v>
      </c>
      <c r="G239" s="614">
        <f t="shared" si="86"/>
        <v>3777</v>
      </c>
      <c r="H239" s="615">
        <v>0</v>
      </c>
      <c r="I239" s="283">
        <f t="shared" si="87"/>
        <v>41.43</v>
      </c>
      <c r="J239" s="283">
        <f t="shared" si="88"/>
        <v>9.8399999999999963</v>
      </c>
      <c r="K239" s="285">
        <f t="shared" si="89"/>
        <v>455.73</v>
      </c>
      <c r="L239" s="286">
        <f t="shared" si="90"/>
        <v>0</v>
      </c>
      <c r="M239" s="286">
        <f t="shared" si="91"/>
        <v>0</v>
      </c>
      <c r="N239" s="285">
        <f t="shared" si="92"/>
        <v>455.73</v>
      </c>
      <c r="O239" s="616">
        <f t="shared" si="108"/>
        <v>455.73</v>
      </c>
      <c r="P239" s="289">
        <f t="shared" si="94"/>
        <v>1</v>
      </c>
      <c r="Q239" s="290">
        <f t="shared" si="95"/>
        <v>5.62</v>
      </c>
      <c r="R239" s="290">
        <f t="shared" si="96"/>
        <v>8.6300000000000008</v>
      </c>
      <c r="S239" s="290">
        <f t="shared" si="97"/>
        <v>0</v>
      </c>
      <c r="T239" s="290">
        <f t="shared" si="98"/>
        <v>469.98</v>
      </c>
      <c r="U239" s="291">
        <f t="shared" si="99"/>
        <v>469.98</v>
      </c>
      <c r="V239" s="291">
        <f t="shared" si="103"/>
        <v>0</v>
      </c>
      <c r="W239" s="617">
        <f t="shared" si="109"/>
        <v>0</v>
      </c>
      <c r="X239" s="291">
        <f t="shared" si="104"/>
        <v>0</v>
      </c>
      <c r="Y239" s="170">
        <f t="shared" si="101"/>
        <v>108.24</v>
      </c>
      <c r="Z239" s="291">
        <f t="shared" si="102"/>
        <v>347.49</v>
      </c>
      <c r="AC239" s="276">
        <f>IF(AI239=1,IF(AC238=MiscData!$F$1,EOMONTH(AC238,-11),EOMONTH(AC238,1)),AC238)</f>
        <v>41759</v>
      </c>
      <c r="AD239" s="275" t="str">
        <f t="shared" si="113"/>
        <v>20140101LGUM_279</v>
      </c>
      <c r="AE239" s="294" t="str">
        <f t="shared" si="114"/>
        <v>20140101RLS</v>
      </c>
      <c r="AF239" s="618" t="str">
        <f t="shared" si="105"/>
        <v>279</v>
      </c>
      <c r="AH239" s="265">
        <f>MiscData!$X$5</f>
        <v>20140101</v>
      </c>
      <c r="AI239" s="265">
        <f>IF(AI238+1&gt;MiscData!$AC$77,1,AI238+1)</f>
        <v>17</v>
      </c>
      <c r="AJ239" s="265" t="str">
        <f>VLOOKUP(AI239,MiscData!$AC$5:$AD$77,2,FALSE)</f>
        <v>LGUM_279</v>
      </c>
      <c r="AK239" s="265" t="str">
        <f>VLOOKUP(AJ239,MiscData!$AD$5:$AE$77,2,FALSE)</f>
        <v>RLS</v>
      </c>
      <c r="AT239" s="265" t="s">
        <v>357</v>
      </c>
      <c r="AV239" s="265">
        <v>0</v>
      </c>
    </row>
    <row r="240" spans="1:48">
      <c r="A240" s="275">
        <f t="shared" si="106"/>
        <v>237</v>
      </c>
      <c r="B240" s="276" t="str">
        <f t="shared" si="110"/>
        <v>Apr 2014</v>
      </c>
      <c r="C240" s="277" t="str">
        <f t="shared" si="111"/>
        <v>RLS</v>
      </c>
      <c r="D240" s="277" t="str">
        <f t="shared" si="112"/>
        <v>LGUM_280</v>
      </c>
      <c r="E240" s="614">
        <f t="shared" si="84"/>
        <v>46</v>
      </c>
      <c r="F240" s="615">
        <f t="shared" si="107"/>
        <v>0</v>
      </c>
      <c r="G240" s="614">
        <f t="shared" si="86"/>
        <v>1588</v>
      </c>
      <c r="H240" s="615">
        <v>0</v>
      </c>
      <c r="I240" s="283">
        <f t="shared" si="87"/>
        <v>19.38</v>
      </c>
      <c r="J240" s="283">
        <f t="shared" si="88"/>
        <v>0.87999999999999901</v>
      </c>
      <c r="K240" s="285">
        <f t="shared" si="89"/>
        <v>891.48</v>
      </c>
      <c r="L240" s="286">
        <f t="shared" si="90"/>
        <v>0</v>
      </c>
      <c r="M240" s="286">
        <f t="shared" si="91"/>
        <v>0</v>
      </c>
      <c r="N240" s="285">
        <f t="shared" si="92"/>
        <v>891.48</v>
      </c>
      <c r="O240" s="616">
        <f t="shared" si="108"/>
        <v>891.48</v>
      </c>
      <c r="P240" s="289">
        <f t="shared" si="94"/>
        <v>1</v>
      </c>
      <c r="Q240" s="290">
        <f t="shared" si="95"/>
        <v>2.36</v>
      </c>
      <c r="R240" s="290">
        <f t="shared" si="96"/>
        <v>30.46</v>
      </c>
      <c r="S240" s="290">
        <f t="shared" si="97"/>
        <v>0</v>
      </c>
      <c r="T240" s="290">
        <f t="shared" si="98"/>
        <v>1659.36</v>
      </c>
      <c r="U240" s="291">
        <f t="shared" si="99"/>
        <v>924.30000000000007</v>
      </c>
      <c r="V240" s="291">
        <f t="shared" si="103"/>
        <v>735.06</v>
      </c>
      <c r="W240" s="617">
        <f t="shared" si="109"/>
        <v>735.06</v>
      </c>
      <c r="X240" s="291">
        <f t="shared" si="104"/>
        <v>0</v>
      </c>
      <c r="Y240" s="170">
        <f t="shared" si="101"/>
        <v>40.479999999999997</v>
      </c>
      <c r="Z240" s="291">
        <f t="shared" si="102"/>
        <v>851</v>
      </c>
      <c r="AC240" s="276">
        <f>IF(AI240=1,IF(AC239=MiscData!$F$1,EOMONTH(AC239,-11),EOMONTH(AC239,1)),AC239)</f>
        <v>41759</v>
      </c>
      <c r="AD240" s="275" t="str">
        <f t="shared" si="113"/>
        <v>20140101LGUM_280</v>
      </c>
      <c r="AE240" s="294" t="str">
        <f t="shared" si="114"/>
        <v>20140101RLS</v>
      </c>
      <c r="AF240" s="618" t="str">
        <f t="shared" si="105"/>
        <v>280</v>
      </c>
      <c r="AH240" s="265">
        <f>MiscData!$X$5</f>
        <v>20140101</v>
      </c>
      <c r="AI240" s="265">
        <f>IF(AI239+1&gt;MiscData!$AC$77,1,AI239+1)</f>
        <v>18</v>
      </c>
      <c r="AJ240" s="265" t="str">
        <f>VLOOKUP(AI240,MiscData!$AC$5:$AD$77,2,FALSE)</f>
        <v>LGUM_280</v>
      </c>
      <c r="AK240" s="265" t="str">
        <f>VLOOKUP(AJ240,MiscData!$AD$5:$AE$77,2,FALSE)</f>
        <v>RLS</v>
      </c>
      <c r="AT240" s="265" t="s">
        <v>358</v>
      </c>
      <c r="AV240" s="265">
        <v>448.13</v>
      </c>
    </row>
    <row r="241" spans="1:48">
      <c r="A241" s="275">
        <f t="shared" si="106"/>
        <v>238</v>
      </c>
      <c r="B241" s="276" t="str">
        <f t="shared" si="110"/>
        <v>Apr 2014</v>
      </c>
      <c r="C241" s="277" t="str">
        <f t="shared" si="111"/>
        <v>RLS</v>
      </c>
      <c r="D241" s="277" t="str">
        <f t="shared" si="112"/>
        <v>LGUM_281</v>
      </c>
      <c r="E241" s="614">
        <f t="shared" si="84"/>
        <v>247</v>
      </c>
      <c r="F241" s="615">
        <f t="shared" si="107"/>
        <v>0</v>
      </c>
      <c r="G241" s="614">
        <f t="shared" si="86"/>
        <v>11169</v>
      </c>
      <c r="H241" s="615">
        <v>0</v>
      </c>
      <c r="I241" s="283">
        <f t="shared" si="87"/>
        <v>20.349999999999998</v>
      </c>
      <c r="J241" s="283">
        <f t="shared" si="88"/>
        <v>1.2699999999999996</v>
      </c>
      <c r="K241" s="285">
        <f t="shared" si="89"/>
        <v>5026.45</v>
      </c>
      <c r="L241" s="286">
        <f t="shared" si="90"/>
        <v>0</v>
      </c>
      <c r="M241" s="286">
        <f t="shared" si="91"/>
        <v>0</v>
      </c>
      <c r="N241" s="285">
        <f t="shared" si="92"/>
        <v>5026.45</v>
      </c>
      <c r="O241" s="616">
        <f t="shared" si="108"/>
        <v>5026.45</v>
      </c>
      <c r="P241" s="289">
        <f t="shared" si="94"/>
        <v>1</v>
      </c>
      <c r="Q241" s="290">
        <f t="shared" si="95"/>
        <v>16.64</v>
      </c>
      <c r="R241" s="290">
        <f t="shared" si="96"/>
        <v>165.48</v>
      </c>
      <c r="S241" s="290">
        <f t="shared" si="97"/>
        <v>0</v>
      </c>
      <c r="T241" s="290">
        <f t="shared" si="98"/>
        <v>9013.9500000000007</v>
      </c>
      <c r="U241" s="291">
        <f t="shared" si="99"/>
        <v>5208.57</v>
      </c>
      <c r="V241" s="291">
        <f t="shared" si="103"/>
        <v>3805.38</v>
      </c>
      <c r="W241" s="617">
        <f t="shared" si="109"/>
        <v>3805.38</v>
      </c>
      <c r="X241" s="291">
        <f t="shared" si="104"/>
        <v>0</v>
      </c>
      <c r="Y241" s="170">
        <f t="shared" si="101"/>
        <v>313.69</v>
      </c>
      <c r="Z241" s="291">
        <f t="shared" si="102"/>
        <v>4712.76</v>
      </c>
      <c r="AC241" s="276">
        <f>IF(AI241=1,IF(AC240=MiscData!$F$1,EOMONTH(AC240,-11),EOMONTH(AC240,1)),AC240)</f>
        <v>41759</v>
      </c>
      <c r="AD241" s="275" t="str">
        <f t="shared" si="113"/>
        <v>20140101LGUM_281</v>
      </c>
      <c r="AE241" s="294" t="str">
        <f t="shared" si="114"/>
        <v>20140101RLS</v>
      </c>
      <c r="AF241" s="618" t="str">
        <f t="shared" si="105"/>
        <v>281</v>
      </c>
      <c r="AH241" s="265">
        <f>MiscData!$X$5</f>
        <v>20140101</v>
      </c>
      <c r="AI241" s="265">
        <f>IF(AI240+1&gt;MiscData!$AC$77,1,AI240+1)</f>
        <v>19</v>
      </c>
      <c r="AJ241" s="265" t="str">
        <f>VLOOKUP(AI241,MiscData!$AC$5:$AD$77,2,FALSE)</f>
        <v>LGUM_281</v>
      </c>
      <c r="AK241" s="265" t="str">
        <f>VLOOKUP(AJ241,MiscData!$AD$5:$AE$77,2,FALSE)</f>
        <v>RLS</v>
      </c>
      <c r="AT241" s="265" t="s">
        <v>359</v>
      </c>
      <c r="AV241" s="265">
        <v>136.86000000000001</v>
      </c>
    </row>
    <row r="242" spans="1:48">
      <c r="A242" s="275">
        <f t="shared" si="106"/>
        <v>239</v>
      </c>
      <c r="B242" s="276" t="str">
        <f t="shared" si="110"/>
        <v>Apr 2014</v>
      </c>
      <c r="C242" s="277" t="str">
        <f t="shared" si="111"/>
        <v>RLS</v>
      </c>
      <c r="D242" s="277" t="str">
        <f t="shared" si="112"/>
        <v>LGUM_282</v>
      </c>
      <c r="E242" s="614">
        <f t="shared" si="84"/>
        <v>106</v>
      </c>
      <c r="F242" s="615">
        <f t="shared" si="107"/>
        <v>0</v>
      </c>
      <c r="G242" s="614">
        <f t="shared" si="86"/>
        <v>3622</v>
      </c>
      <c r="H242" s="615">
        <v>0</v>
      </c>
      <c r="I242" s="283">
        <f t="shared" si="87"/>
        <v>19.53</v>
      </c>
      <c r="J242" s="283">
        <f t="shared" si="88"/>
        <v>0.87999999999999901</v>
      </c>
      <c r="K242" s="285">
        <f t="shared" si="89"/>
        <v>2070.1799999999998</v>
      </c>
      <c r="L242" s="286">
        <f t="shared" si="90"/>
        <v>0</v>
      </c>
      <c r="M242" s="286">
        <f t="shared" si="91"/>
        <v>0</v>
      </c>
      <c r="N242" s="285">
        <f t="shared" si="92"/>
        <v>2070.1799999999998</v>
      </c>
      <c r="O242" s="616">
        <f t="shared" si="108"/>
        <v>2070.1800000000003</v>
      </c>
      <c r="P242" s="289">
        <f t="shared" si="94"/>
        <v>1.0000000000000002</v>
      </c>
      <c r="Q242" s="290">
        <f t="shared" si="95"/>
        <v>5.4</v>
      </c>
      <c r="R242" s="290">
        <f t="shared" si="96"/>
        <v>57.32</v>
      </c>
      <c r="S242" s="290">
        <f t="shared" si="97"/>
        <v>0</v>
      </c>
      <c r="T242" s="290">
        <f t="shared" si="98"/>
        <v>3122.51</v>
      </c>
      <c r="U242" s="291">
        <f t="shared" si="99"/>
        <v>2132.9</v>
      </c>
      <c r="V242" s="291">
        <f t="shared" si="103"/>
        <v>989.61</v>
      </c>
      <c r="W242" s="617">
        <f t="shared" si="109"/>
        <v>989.61</v>
      </c>
      <c r="X242" s="291">
        <f t="shared" si="104"/>
        <v>0</v>
      </c>
      <c r="Y242" s="170">
        <f t="shared" si="101"/>
        <v>93.28</v>
      </c>
      <c r="Z242" s="291">
        <f t="shared" si="102"/>
        <v>1976.9000000000003</v>
      </c>
      <c r="AC242" s="276">
        <f>IF(AI242=1,IF(AC241=MiscData!$F$1,EOMONTH(AC241,-11),EOMONTH(AC241,1)),AC241)</f>
        <v>41759</v>
      </c>
      <c r="AD242" s="275" t="str">
        <f t="shared" si="113"/>
        <v>20140101LGUM_282</v>
      </c>
      <c r="AE242" s="294" t="str">
        <f t="shared" si="114"/>
        <v>20140101RLS</v>
      </c>
      <c r="AF242" s="618" t="str">
        <f t="shared" si="105"/>
        <v>282</v>
      </c>
      <c r="AH242" s="265">
        <f>MiscData!$X$5</f>
        <v>20140101</v>
      </c>
      <c r="AI242" s="265">
        <f>IF(AI241+1&gt;MiscData!$AC$77,1,AI241+1)</f>
        <v>20</v>
      </c>
      <c r="AJ242" s="265" t="str">
        <f>VLOOKUP(AI242,MiscData!$AC$5:$AD$77,2,FALSE)</f>
        <v>LGUM_282</v>
      </c>
      <c r="AK242" s="265" t="str">
        <f>VLOOKUP(AJ242,MiscData!$AD$5:$AE$77,2,FALSE)</f>
        <v>RLS</v>
      </c>
      <c r="AT242" s="265" t="s">
        <v>360</v>
      </c>
      <c r="AV242" s="265">
        <v>0</v>
      </c>
    </row>
    <row r="243" spans="1:48">
      <c r="A243" s="275">
        <f t="shared" si="106"/>
        <v>240</v>
      </c>
      <c r="B243" s="276" t="str">
        <f t="shared" si="110"/>
        <v>Apr 2014</v>
      </c>
      <c r="C243" s="277" t="str">
        <f t="shared" si="111"/>
        <v>RLS</v>
      </c>
      <c r="D243" s="277" t="str">
        <f t="shared" si="112"/>
        <v>LGUM_283</v>
      </c>
      <c r="E243" s="614">
        <f t="shared" si="84"/>
        <v>82</v>
      </c>
      <c r="F243" s="615">
        <f t="shared" si="107"/>
        <v>0</v>
      </c>
      <c r="G243" s="614">
        <f t="shared" si="86"/>
        <v>3810</v>
      </c>
      <c r="H243" s="615">
        <v>0</v>
      </c>
      <c r="I243" s="283">
        <f t="shared" si="87"/>
        <v>20.819999999999997</v>
      </c>
      <c r="J243" s="283">
        <f t="shared" si="88"/>
        <v>1.2699999999999996</v>
      </c>
      <c r="K243" s="285">
        <f t="shared" si="89"/>
        <v>1707.24</v>
      </c>
      <c r="L243" s="286">
        <f t="shared" si="90"/>
        <v>0</v>
      </c>
      <c r="M243" s="286">
        <f t="shared" si="91"/>
        <v>0</v>
      </c>
      <c r="N243" s="285">
        <f t="shared" si="92"/>
        <v>1707.24</v>
      </c>
      <c r="O243" s="616">
        <f t="shared" si="108"/>
        <v>1707.2400000000002</v>
      </c>
      <c r="P243" s="289">
        <f t="shared" si="94"/>
        <v>1.0000000000000002</v>
      </c>
      <c r="Q243" s="290">
        <f t="shared" si="95"/>
        <v>5.66</v>
      </c>
      <c r="R243" s="290">
        <f t="shared" si="96"/>
        <v>56.13</v>
      </c>
      <c r="S243" s="290">
        <f t="shared" si="97"/>
        <v>0</v>
      </c>
      <c r="T243" s="290">
        <f t="shared" si="98"/>
        <v>3056.8</v>
      </c>
      <c r="U243" s="291">
        <f t="shared" si="99"/>
        <v>1769.0300000000002</v>
      </c>
      <c r="V243" s="291">
        <f t="shared" si="103"/>
        <v>1287.77</v>
      </c>
      <c r="W243" s="617">
        <f t="shared" si="109"/>
        <v>1287.77</v>
      </c>
      <c r="X243" s="291">
        <f t="shared" si="104"/>
        <v>0</v>
      </c>
      <c r="Y243" s="170">
        <f t="shared" si="101"/>
        <v>104.14</v>
      </c>
      <c r="Z243" s="291">
        <f t="shared" si="102"/>
        <v>1603.1000000000001</v>
      </c>
      <c r="AC243" s="276">
        <f>IF(AI243=1,IF(AC242=MiscData!$F$1,EOMONTH(AC242,-11),EOMONTH(AC242,1)),AC242)</f>
        <v>41759</v>
      </c>
      <c r="AD243" s="275" t="str">
        <f t="shared" si="113"/>
        <v>20140101LGUM_283</v>
      </c>
      <c r="AE243" s="294" t="str">
        <f t="shared" si="114"/>
        <v>20140101RLS</v>
      </c>
      <c r="AF243" s="618" t="str">
        <f t="shared" si="105"/>
        <v>283</v>
      </c>
      <c r="AH243" s="265">
        <f>MiscData!$X$5</f>
        <v>20140101</v>
      </c>
      <c r="AI243" s="265">
        <f>IF(AI242+1&gt;MiscData!$AC$77,1,AI242+1)</f>
        <v>21</v>
      </c>
      <c r="AJ243" s="265" t="str">
        <f>VLOOKUP(AI243,MiscData!$AC$5:$AD$77,2,FALSE)</f>
        <v>LGUM_283</v>
      </c>
      <c r="AK243" s="265" t="str">
        <f>VLOOKUP(AJ243,MiscData!$AD$5:$AE$77,2,FALSE)</f>
        <v>RLS</v>
      </c>
      <c r="AT243" s="265" t="s">
        <v>361</v>
      </c>
      <c r="AV243" s="265">
        <v>0</v>
      </c>
    </row>
    <row r="244" spans="1:48">
      <c r="A244" s="275">
        <f t="shared" si="106"/>
        <v>241</v>
      </c>
      <c r="B244" s="276" t="str">
        <f t="shared" si="110"/>
        <v>Apr 2014</v>
      </c>
      <c r="C244" s="277" t="str">
        <f t="shared" si="111"/>
        <v>RLS</v>
      </c>
      <c r="D244" s="277" t="str">
        <f t="shared" si="112"/>
        <v>LGUM_314</v>
      </c>
      <c r="E244" s="614">
        <f t="shared" si="84"/>
        <v>533</v>
      </c>
      <c r="F244" s="615">
        <f t="shared" si="107"/>
        <v>0</v>
      </c>
      <c r="G244" s="614">
        <f t="shared" si="86"/>
        <v>51328</v>
      </c>
      <c r="H244" s="615">
        <v>0</v>
      </c>
      <c r="I244" s="283">
        <f t="shared" si="87"/>
        <v>19.2</v>
      </c>
      <c r="J244" s="283">
        <f t="shared" si="88"/>
        <v>2.7100000000000009</v>
      </c>
      <c r="K244" s="285">
        <f t="shared" si="89"/>
        <v>10233.6</v>
      </c>
      <c r="L244" s="286">
        <f t="shared" si="90"/>
        <v>-31.199999999998909</v>
      </c>
      <c r="M244" s="286">
        <f t="shared" si="91"/>
        <v>0</v>
      </c>
      <c r="N244" s="285">
        <f t="shared" si="92"/>
        <v>10202.400000000001</v>
      </c>
      <c r="O244" s="616">
        <f t="shared" si="108"/>
        <v>10202.4</v>
      </c>
      <c r="P244" s="289">
        <f t="shared" si="94"/>
        <v>0.99999999999999978</v>
      </c>
      <c r="Q244" s="290">
        <f t="shared" si="95"/>
        <v>81.349999999999994</v>
      </c>
      <c r="R244" s="290">
        <f t="shared" si="96"/>
        <v>190.8</v>
      </c>
      <c r="S244" s="290">
        <f t="shared" si="97"/>
        <v>0</v>
      </c>
      <c r="T244" s="290">
        <f t="shared" si="98"/>
        <v>10474.549999999999</v>
      </c>
      <c r="U244" s="291">
        <f t="shared" si="99"/>
        <v>10474.550000000001</v>
      </c>
      <c r="V244" s="291">
        <f t="shared" si="103"/>
        <v>0</v>
      </c>
      <c r="W244" s="617">
        <f t="shared" si="109"/>
        <v>0</v>
      </c>
      <c r="X244" s="291">
        <f t="shared" si="104"/>
        <v>0</v>
      </c>
      <c r="Y244" s="170">
        <f t="shared" si="101"/>
        <v>1444.43</v>
      </c>
      <c r="Z244" s="291">
        <f t="shared" si="102"/>
        <v>8757.9699999999993</v>
      </c>
      <c r="AC244" s="276">
        <f>IF(AI244=1,IF(AC243=MiscData!$F$1,EOMONTH(AC243,-11),EOMONTH(AC243,1)),AC243)</f>
        <v>41759</v>
      </c>
      <c r="AD244" s="275" t="str">
        <f t="shared" si="113"/>
        <v>20140101LGUM_314</v>
      </c>
      <c r="AE244" s="294" t="str">
        <f t="shared" si="114"/>
        <v>20140101RLS</v>
      </c>
      <c r="AF244" s="618" t="str">
        <f t="shared" si="105"/>
        <v>314</v>
      </c>
      <c r="AH244" s="265">
        <f>MiscData!$X$5</f>
        <v>20140101</v>
      </c>
      <c r="AI244" s="265">
        <f>IF(AI243+1&gt;MiscData!$AC$77,1,AI243+1)</f>
        <v>22</v>
      </c>
      <c r="AJ244" s="265" t="str">
        <f>VLOOKUP(AI244,MiscData!$AC$5:$AD$77,2,FALSE)</f>
        <v>LGUM_314</v>
      </c>
      <c r="AK244" s="265" t="str">
        <f>VLOOKUP(AJ244,MiscData!$AD$5:$AE$77,2,FALSE)</f>
        <v>RLS</v>
      </c>
      <c r="AT244" s="265" t="s">
        <v>362</v>
      </c>
      <c r="AV244" s="265">
        <v>0</v>
      </c>
    </row>
    <row r="245" spans="1:48">
      <c r="A245" s="275">
        <f t="shared" si="106"/>
        <v>242</v>
      </c>
      <c r="B245" s="276" t="str">
        <f t="shared" si="110"/>
        <v>Apr 2014</v>
      </c>
      <c r="C245" s="277" t="str">
        <f t="shared" si="111"/>
        <v>RLS</v>
      </c>
      <c r="D245" s="277" t="str">
        <f t="shared" si="112"/>
        <v>LGUM_315</v>
      </c>
      <c r="E245" s="614">
        <f t="shared" si="84"/>
        <v>520</v>
      </c>
      <c r="F245" s="615">
        <f t="shared" si="107"/>
        <v>0</v>
      </c>
      <c r="G245" s="614">
        <f t="shared" si="86"/>
        <v>76919</v>
      </c>
      <c r="H245" s="615">
        <v>0</v>
      </c>
      <c r="I245" s="283">
        <f t="shared" si="87"/>
        <v>22.949999999999996</v>
      </c>
      <c r="J245" s="283">
        <f t="shared" si="88"/>
        <v>4.1999999999999993</v>
      </c>
      <c r="K245" s="285">
        <f t="shared" si="89"/>
        <v>11934</v>
      </c>
      <c r="L245" s="286">
        <f t="shared" si="90"/>
        <v>-135.54999999999927</v>
      </c>
      <c r="M245" s="286">
        <f t="shared" si="91"/>
        <v>0</v>
      </c>
      <c r="N245" s="285">
        <f t="shared" si="92"/>
        <v>11798.45</v>
      </c>
      <c r="O245" s="616">
        <f t="shared" si="108"/>
        <v>11798.45</v>
      </c>
      <c r="P245" s="289">
        <f t="shared" si="94"/>
        <v>1</v>
      </c>
      <c r="Q245" s="290">
        <f t="shared" si="95"/>
        <v>114.72</v>
      </c>
      <c r="R245" s="290">
        <f t="shared" si="96"/>
        <v>222.74</v>
      </c>
      <c r="S245" s="290">
        <f t="shared" si="97"/>
        <v>0</v>
      </c>
      <c r="T245" s="290">
        <f t="shared" si="98"/>
        <v>12135.91</v>
      </c>
      <c r="U245" s="291">
        <f t="shared" si="99"/>
        <v>12135.91</v>
      </c>
      <c r="V245" s="291">
        <f t="shared" si="103"/>
        <v>0</v>
      </c>
      <c r="W245" s="617">
        <f t="shared" si="109"/>
        <v>0</v>
      </c>
      <c r="X245" s="291">
        <f t="shared" si="104"/>
        <v>0</v>
      </c>
      <c r="Y245" s="170">
        <f t="shared" si="101"/>
        <v>2184</v>
      </c>
      <c r="Z245" s="291">
        <f t="shared" si="102"/>
        <v>9614.4500000000007</v>
      </c>
      <c r="AC245" s="276">
        <f>IF(AI245=1,IF(AC244=MiscData!$F$1,EOMONTH(AC244,-11),EOMONTH(AC244,1)),AC244)</f>
        <v>41759</v>
      </c>
      <c r="AD245" s="275" t="str">
        <f t="shared" si="113"/>
        <v>20140101LGUM_315</v>
      </c>
      <c r="AE245" s="294" t="str">
        <f t="shared" si="114"/>
        <v>20140101RLS</v>
      </c>
      <c r="AF245" s="618" t="str">
        <f t="shared" si="105"/>
        <v>315</v>
      </c>
      <c r="AH245" s="265">
        <f>MiscData!$X$5</f>
        <v>20140101</v>
      </c>
      <c r="AI245" s="265">
        <f>IF(AI244+1&gt;MiscData!$AC$77,1,AI244+1)</f>
        <v>23</v>
      </c>
      <c r="AJ245" s="265" t="str">
        <f>VLOOKUP(AI245,MiscData!$AC$5:$AD$77,2,FALSE)</f>
        <v>LGUM_315</v>
      </c>
      <c r="AK245" s="265" t="str">
        <f>VLOOKUP(AJ245,MiscData!$AD$5:$AE$77,2,FALSE)</f>
        <v>RLS</v>
      </c>
      <c r="AT245" s="265" t="s">
        <v>363</v>
      </c>
      <c r="AV245" s="265">
        <v>0</v>
      </c>
    </row>
    <row r="246" spans="1:48">
      <c r="A246" s="275">
        <f t="shared" si="106"/>
        <v>243</v>
      </c>
      <c r="B246" s="276" t="str">
        <f t="shared" si="110"/>
        <v>Apr 2014</v>
      </c>
      <c r="C246" s="277" t="str">
        <f t="shared" si="111"/>
        <v>RLS</v>
      </c>
      <c r="D246" s="277" t="str">
        <f t="shared" si="112"/>
        <v>LGUM_318</v>
      </c>
      <c r="E246" s="614">
        <f t="shared" si="84"/>
        <v>54</v>
      </c>
      <c r="F246" s="615">
        <f t="shared" si="107"/>
        <v>0</v>
      </c>
      <c r="G246" s="614">
        <f t="shared" si="86"/>
        <v>3678</v>
      </c>
      <c r="H246" s="615">
        <v>0</v>
      </c>
      <c r="I246" s="283">
        <f t="shared" si="87"/>
        <v>17.419999999999998</v>
      </c>
      <c r="J246" s="283">
        <f t="shared" si="88"/>
        <v>1.9100000000000001</v>
      </c>
      <c r="K246" s="285">
        <f t="shared" si="89"/>
        <v>940.68</v>
      </c>
      <c r="L246" s="286">
        <f t="shared" si="90"/>
        <v>0</v>
      </c>
      <c r="M246" s="286">
        <f t="shared" si="91"/>
        <v>0</v>
      </c>
      <c r="N246" s="285">
        <f t="shared" si="92"/>
        <v>940.68</v>
      </c>
      <c r="O246" s="616">
        <f t="shared" si="108"/>
        <v>940.68000000000006</v>
      </c>
      <c r="P246" s="289">
        <f t="shared" si="94"/>
        <v>1.0000000000000002</v>
      </c>
      <c r="Q246" s="290">
        <f t="shared" si="95"/>
        <v>5.46</v>
      </c>
      <c r="R246" s="290">
        <f t="shared" si="96"/>
        <v>17.72</v>
      </c>
      <c r="S246" s="290">
        <f t="shared" si="97"/>
        <v>0</v>
      </c>
      <c r="T246" s="290">
        <f t="shared" si="98"/>
        <v>963.86</v>
      </c>
      <c r="U246" s="291">
        <f t="shared" si="99"/>
        <v>963.86</v>
      </c>
      <c r="V246" s="291">
        <f t="shared" si="103"/>
        <v>0</v>
      </c>
      <c r="W246" s="617">
        <f t="shared" si="109"/>
        <v>0</v>
      </c>
      <c r="X246" s="291">
        <f t="shared" si="104"/>
        <v>0</v>
      </c>
      <c r="Y246" s="170">
        <f t="shared" si="101"/>
        <v>103.14</v>
      </c>
      <c r="Z246" s="291">
        <f t="shared" si="102"/>
        <v>837.54000000000008</v>
      </c>
      <c r="AC246" s="276">
        <f>IF(AI246=1,IF(AC245=MiscData!$F$1,EOMONTH(AC245,-11),EOMONTH(AC245,1)),AC245)</f>
        <v>41759</v>
      </c>
      <c r="AD246" s="275" t="str">
        <f t="shared" si="113"/>
        <v>20140101LGUM_318</v>
      </c>
      <c r="AE246" s="294" t="str">
        <f t="shared" si="114"/>
        <v>20140101RLS</v>
      </c>
      <c r="AF246" s="618" t="str">
        <f t="shared" si="105"/>
        <v>318</v>
      </c>
      <c r="AH246" s="265">
        <f>MiscData!$X$5</f>
        <v>20140101</v>
      </c>
      <c r="AI246" s="265">
        <f>IF(AI245+1&gt;MiscData!$AC$77,1,AI245+1)</f>
        <v>24</v>
      </c>
      <c r="AJ246" s="265" t="str">
        <f>VLOOKUP(AI246,MiscData!$AC$5:$AD$77,2,FALSE)</f>
        <v>LGUM_318</v>
      </c>
      <c r="AK246" s="265" t="str">
        <f>VLOOKUP(AJ246,MiscData!$AD$5:$AE$77,2,FALSE)</f>
        <v>RLS</v>
      </c>
      <c r="AT246" s="265" t="s">
        <v>364</v>
      </c>
      <c r="AV246" s="265">
        <v>0</v>
      </c>
    </row>
    <row r="247" spans="1:48">
      <c r="A247" s="275">
        <f t="shared" si="106"/>
        <v>244</v>
      </c>
      <c r="B247" s="276" t="str">
        <f t="shared" si="110"/>
        <v>Apr 2014</v>
      </c>
      <c r="C247" s="277" t="str">
        <f t="shared" si="111"/>
        <v>RLS</v>
      </c>
      <c r="D247" s="277" t="str">
        <f t="shared" si="112"/>
        <v>LGUM_347</v>
      </c>
      <c r="E247" s="614">
        <f t="shared" si="84"/>
        <v>0</v>
      </c>
      <c r="F247" s="615">
        <f t="shared" si="107"/>
        <v>0</v>
      </c>
      <c r="G247" s="614">
        <f t="shared" si="86"/>
        <v>0</v>
      </c>
      <c r="H247" s="615">
        <v>0</v>
      </c>
      <c r="I247" s="283">
        <f t="shared" si="87"/>
        <v>22.939999999999998</v>
      </c>
      <c r="J247" s="283">
        <f t="shared" si="88"/>
        <v>26.14</v>
      </c>
      <c r="K247" s="285">
        <f t="shared" si="89"/>
        <v>0</v>
      </c>
      <c r="L247" s="286">
        <f t="shared" si="90"/>
        <v>0</v>
      </c>
      <c r="M247" s="286">
        <f t="shared" si="91"/>
        <v>0</v>
      </c>
      <c r="N247" s="285">
        <f t="shared" si="92"/>
        <v>0</v>
      </c>
      <c r="O247" s="616">
        <f t="shared" si="108"/>
        <v>0</v>
      </c>
      <c r="P247" s="289">
        <f t="shared" si="94"/>
        <v>1</v>
      </c>
      <c r="Q247" s="290">
        <f t="shared" si="95"/>
        <v>0</v>
      </c>
      <c r="R247" s="290">
        <f t="shared" si="96"/>
        <v>0</v>
      </c>
      <c r="S247" s="290">
        <f t="shared" si="97"/>
        <v>0</v>
      </c>
      <c r="T247" s="290">
        <f t="shared" si="98"/>
        <v>0</v>
      </c>
      <c r="U247" s="291">
        <f t="shared" si="99"/>
        <v>0</v>
      </c>
      <c r="V247" s="291">
        <f t="shared" si="103"/>
        <v>0</v>
      </c>
      <c r="W247" s="617">
        <f t="shared" si="109"/>
        <v>0</v>
      </c>
      <c r="X247" s="291">
        <f t="shared" si="104"/>
        <v>0</v>
      </c>
      <c r="Y247" s="170">
        <f t="shared" si="101"/>
        <v>0</v>
      </c>
      <c r="Z247" s="291">
        <f t="shared" si="102"/>
        <v>0</v>
      </c>
      <c r="AC247" s="276">
        <f>IF(AI247=1,IF(AC246=MiscData!$F$1,EOMONTH(AC246,-11),EOMONTH(AC246,1)),AC246)</f>
        <v>41759</v>
      </c>
      <c r="AD247" s="275" t="str">
        <f t="shared" si="113"/>
        <v>20140101LGUM_347</v>
      </c>
      <c r="AE247" s="294" t="str">
        <f t="shared" si="114"/>
        <v>20140101RLS</v>
      </c>
      <c r="AF247" s="618" t="str">
        <f t="shared" si="105"/>
        <v>347</v>
      </c>
      <c r="AH247" s="265">
        <f>MiscData!$X$5</f>
        <v>20140101</v>
      </c>
      <c r="AI247" s="265">
        <f>IF(AI246+1&gt;MiscData!$AC$77,1,AI246+1)</f>
        <v>25</v>
      </c>
      <c r="AJ247" s="265" t="str">
        <f>VLOOKUP(AI247,MiscData!$AC$5:$AD$77,2,FALSE)</f>
        <v>LGUM_347</v>
      </c>
      <c r="AK247" s="265" t="str">
        <f>VLOOKUP(AJ247,MiscData!$AD$5:$AE$77,2,FALSE)</f>
        <v>RLS</v>
      </c>
      <c r="AT247" s="265" t="s">
        <v>365</v>
      </c>
      <c r="AV247" s="265">
        <v>0</v>
      </c>
    </row>
    <row r="248" spans="1:48">
      <c r="A248" s="275">
        <f t="shared" si="106"/>
        <v>245</v>
      </c>
      <c r="B248" s="276" t="str">
        <f t="shared" si="110"/>
        <v>Apr 2014</v>
      </c>
      <c r="C248" s="277" t="str">
        <f t="shared" si="111"/>
        <v>RLS</v>
      </c>
      <c r="D248" s="277" t="str">
        <f t="shared" si="112"/>
        <v>LGUM_348</v>
      </c>
      <c r="E248" s="614">
        <f t="shared" si="84"/>
        <v>40</v>
      </c>
      <c r="F248" s="615">
        <f t="shared" si="107"/>
        <v>0</v>
      </c>
      <c r="G248" s="614">
        <f t="shared" si="86"/>
        <v>3896</v>
      </c>
      <c r="H248" s="615">
        <v>0</v>
      </c>
      <c r="I248" s="283">
        <f t="shared" si="87"/>
        <v>13.12</v>
      </c>
      <c r="J248" s="283">
        <f t="shared" si="88"/>
        <v>2.9800000000000004</v>
      </c>
      <c r="K248" s="285">
        <f t="shared" si="89"/>
        <v>524.79999999999995</v>
      </c>
      <c r="L248" s="286">
        <f t="shared" si="90"/>
        <v>0</v>
      </c>
      <c r="M248" s="286">
        <f t="shared" si="91"/>
        <v>0</v>
      </c>
      <c r="N248" s="285">
        <f t="shared" si="92"/>
        <v>524.79999999999995</v>
      </c>
      <c r="O248" s="616">
        <f t="shared" si="108"/>
        <v>524.79999999999995</v>
      </c>
      <c r="P248" s="289">
        <f t="shared" si="94"/>
        <v>1</v>
      </c>
      <c r="Q248" s="290">
        <f t="shared" si="95"/>
        <v>5.82</v>
      </c>
      <c r="R248" s="290">
        <f t="shared" si="96"/>
        <v>9.92</v>
      </c>
      <c r="S248" s="290">
        <f t="shared" si="97"/>
        <v>0</v>
      </c>
      <c r="T248" s="290">
        <f t="shared" si="98"/>
        <v>540.54</v>
      </c>
      <c r="U248" s="291">
        <f t="shared" si="99"/>
        <v>540.54</v>
      </c>
      <c r="V248" s="291">
        <f t="shared" si="103"/>
        <v>0</v>
      </c>
      <c r="W248" s="617">
        <f t="shared" si="109"/>
        <v>0</v>
      </c>
      <c r="X248" s="291">
        <f t="shared" si="104"/>
        <v>0</v>
      </c>
      <c r="Y248" s="170">
        <f t="shared" si="101"/>
        <v>119.2</v>
      </c>
      <c r="Z248" s="291">
        <f t="shared" si="102"/>
        <v>405.59999999999997</v>
      </c>
      <c r="AC248" s="276">
        <f>IF(AI248=1,IF(AC247=MiscData!$F$1,EOMONTH(AC247,-11),EOMONTH(AC247,1)),AC247)</f>
        <v>41759</v>
      </c>
      <c r="AD248" s="275" t="str">
        <f t="shared" si="113"/>
        <v>20140101LGUM_348</v>
      </c>
      <c r="AE248" s="294" t="str">
        <f t="shared" si="114"/>
        <v>20140101RLS</v>
      </c>
      <c r="AF248" s="618" t="str">
        <f t="shared" si="105"/>
        <v>348</v>
      </c>
      <c r="AH248" s="265">
        <f>MiscData!$X$5</f>
        <v>20140101</v>
      </c>
      <c r="AI248" s="265">
        <f>IF(AI247+1&gt;MiscData!$AC$77,1,AI247+1)</f>
        <v>26</v>
      </c>
      <c r="AJ248" s="265" t="str">
        <f>VLOOKUP(AI248,MiscData!$AC$5:$AD$77,2,FALSE)</f>
        <v>LGUM_348</v>
      </c>
      <c r="AK248" s="265" t="str">
        <f>VLOOKUP(AJ248,MiscData!$AD$5:$AE$77,2,FALSE)</f>
        <v>RLS</v>
      </c>
      <c r="AT248" s="265" t="s">
        <v>366</v>
      </c>
      <c r="AV248" s="265">
        <v>0</v>
      </c>
    </row>
    <row r="249" spans="1:48">
      <c r="A249" s="275">
        <f t="shared" si="106"/>
        <v>246</v>
      </c>
      <c r="B249" s="276" t="str">
        <f t="shared" si="110"/>
        <v>Apr 2014</v>
      </c>
      <c r="C249" s="277" t="str">
        <f t="shared" si="111"/>
        <v>RLS</v>
      </c>
      <c r="D249" s="277" t="str">
        <f t="shared" si="112"/>
        <v>LGUM_349</v>
      </c>
      <c r="E249" s="614">
        <f t="shared" si="84"/>
        <v>17</v>
      </c>
      <c r="F249" s="615">
        <f t="shared" si="107"/>
        <v>0</v>
      </c>
      <c r="G249" s="614">
        <f t="shared" si="86"/>
        <v>552</v>
      </c>
      <c r="H249" s="615">
        <v>0</v>
      </c>
      <c r="I249" s="283">
        <f t="shared" si="87"/>
        <v>9.0200000000000014</v>
      </c>
      <c r="J249" s="283">
        <f t="shared" si="88"/>
        <v>0.91000000000000014</v>
      </c>
      <c r="K249" s="285">
        <f t="shared" si="89"/>
        <v>153.34</v>
      </c>
      <c r="L249" s="286">
        <f t="shared" si="90"/>
        <v>0</v>
      </c>
      <c r="M249" s="286">
        <f t="shared" si="91"/>
        <v>0</v>
      </c>
      <c r="N249" s="285">
        <f t="shared" si="92"/>
        <v>153.34</v>
      </c>
      <c r="O249" s="616">
        <f t="shared" si="108"/>
        <v>153.34</v>
      </c>
      <c r="P249" s="289">
        <f t="shared" si="94"/>
        <v>1</v>
      </c>
      <c r="Q249" s="290">
        <f t="shared" si="95"/>
        <v>0.82</v>
      </c>
      <c r="R249" s="290">
        <f t="shared" si="96"/>
        <v>2.88</v>
      </c>
      <c r="S249" s="290">
        <f t="shared" si="97"/>
        <v>0</v>
      </c>
      <c r="T249" s="290">
        <f t="shared" si="98"/>
        <v>157.04</v>
      </c>
      <c r="U249" s="291">
        <f t="shared" si="99"/>
        <v>157.04</v>
      </c>
      <c r="V249" s="291">
        <f t="shared" si="103"/>
        <v>0</v>
      </c>
      <c r="W249" s="617">
        <f t="shared" si="109"/>
        <v>0</v>
      </c>
      <c r="X249" s="291">
        <f t="shared" si="104"/>
        <v>0</v>
      </c>
      <c r="Y249" s="170">
        <f t="shared" si="101"/>
        <v>15.47</v>
      </c>
      <c r="Z249" s="291">
        <f t="shared" si="102"/>
        <v>137.87</v>
      </c>
      <c r="AC249" s="276">
        <f>IF(AI249=1,IF(AC248=MiscData!$F$1,EOMONTH(AC248,-11),EOMONTH(AC248,1)),AC248)</f>
        <v>41759</v>
      </c>
      <c r="AD249" s="275" t="str">
        <f t="shared" si="113"/>
        <v>20140101LGUM_349</v>
      </c>
      <c r="AE249" s="294" t="str">
        <f t="shared" si="114"/>
        <v>20140101RLS</v>
      </c>
      <c r="AF249" s="618" t="str">
        <f t="shared" si="105"/>
        <v>349</v>
      </c>
      <c r="AH249" s="265">
        <f>MiscData!$X$5</f>
        <v>20140101</v>
      </c>
      <c r="AI249" s="265">
        <f>IF(AI248+1&gt;MiscData!$AC$77,1,AI248+1)</f>
        <v>27</v>
      </c>
      <c r="AJ249" s="265" t="str">
        <f>VLOOKUP(AI249,MiscData!$AC$5:$AD$77,2,FALSE)</f>
        <v>LGUM_349</v>
      </c>
      <c r="AK249" s="265" t="str">
        <f>VLOOKUP(AJ249,MiscData!$AD$5:$AE$77,2,FALSE)</f>
        <v>RLS</v>
      </c>
      <c r="AT249" s="265" t="s">
        <v>648</v>
      </c>
      <c r="AV249" s="265">
        <v>0</v>
      </c>
    </row>
    <row r="250" spans="1:48">
      <c r="A250" s="275">
        <f t="shared" si="106"/>
        <v>247</v>
      </c>
      <c r="B250" s="276" t="str">
        <f t="shared" si="110"/>
        <v>Apr 2014</v>
      </c>
      <c r="C250" s="277" t="str">
        <f t="shared" si="111"/>
        <v xml:space="preserve">LS </v>
      </c>
      <c r="D250" s="277" t="str">
        <f t="shared" si="112"/>
        <v>LGUM_400</v>
      </c>
      <c r="E250" s="614">
        <f t="shared" si="84"/>
        <v>36</v>
      </c>
      <c r="F250" s="615">
        <f t="shared" si="107"/>
        <v>0</v>
      </c>
      <c r="G250" s="614">
        <f t="shared" si="86"/>
        <v>574</v>
      </c>
      <c r="H250" s="615">
        <v>0</v>
      </c>
      <c r="I250" s="283">
        <f t="shared" si="87"/>
        <v>23.89</v>
      </c>
      <c r="J250" s="283">
        <f t="shared" si="88"/>
        <v>1.0199999999999996</v>
      </c>
      <c r="K250" s="285">
        <f t="shared" si="89"/>
        <v>860.04</v>
      </c>
      <c r="L250" s="286">
        <f t="shared" si="90"/>
        <v>0</v>
      </c>
      <c r="M250" s="286">
        <f t="shared" si="91"/>
        <v>0</v>
      </c>
      <c r="N250" s="285">
        <f t="shared" si="92"/>
        <v>860.04</v>
      </c>
      <c r="O250" s="616">
        <f t="shared" si="108"/>
        <v>860.04</v>
      </c>
      <c r="P250" s="289">
        <f t="shared" si="94"/>
        <v>1</v>
      </c>
      <c r="Q250" s="290">
        <f t="shared" si="95"/>
        <v>0.85</v>
      </c>
      <c r="R250" s="290">
        <f t="shared" si="96"/>
        <v>17.100000000000001</v>
      </c>
      <c r="S250" s="290">
        <f t="shared" si="97"/>
        <v>0</v>
      </c>
      <c r="T250" s="290">
        <f t="shared" si="98"/>
        <v>931.39</v>
      </c>
      <c r="U250" s="291">
        <f t="shared" si="99"/>
        <v>877.99</v>
      </c>
      <c r="V250" s="291">
        <f t="shared" si="103"/>
        <v>53.4</v>
      </c>
      <c r="W250" s="617">
        <f t="shared" si="109"/>
        <v>53.4</v>
      </c>
      <c r="X250" s="291">
        <f t="shared" si="104"/>
        <v>0</v>
      </c>
      <c r="Y250" s="170">
        <f t="shared" si="101"/>
        <v>36.72</v>
      </c>
      <c r="Z250" s="291">
        <f t="shared" si="102"/>
        <v>823.31999999999994</v>
      </c>
      <c r="AC250" s="276">
        <f>IF(AI250=1,IF(AC249=MiscData!$F$1,EOMONTH(AC249,-11),EOMONTH(AC249,1)),AC249)</f>
        <v>41759</v>
      </c>
      <c r="AD250" s="275" t="str">
        <f t="shared" si="113"/>
        <v>20140101LGUM_400</v>
      </c>
      <c r="AE250" s="294" t="str">
        <f t="shared" si="114"/>
        <v xml:space="preserve">20140101LS </v>
      </c>
      <c r="AF250" s="618" t="str">
        <f t="shared" si="105"/>
        <v>400</v>
      </c>
      <c r="AH250" s="265">
        <f>MiscData!$X$5</f>
        <v>20140101</v>
      </c>
      <c r="AI250" s="265">
        <f>IF(AI249+1&gt;MiscData!$AC$77,1,AI249+1)</f>
        <v>28</v>
      </c>
      <c r="AJ250" s="265" t="str">
        <f>VLOOKUP(AI250,MiscData!$AC$5:$AD$77,2,FALSE)</f>
        <v>LGUM_400</v>
      </c>
      <c r="AK250" s="265" t="str">
        <f>VLOOKUP(AJ250,MiscData!$AD$5:$AE$77,2,FALSE)</f>
        <v xml:space="preserve">LS </v>
      </c>
      <c r="AT250" s="265" t="s">
        <v>367</v>
      </c>
      <c r="AV250" s="265">
        <v>30.51</v>
      </c>
    </row>
    <row r="251" spans="1:48">
      <c r="A251" s="275">
        <f t="shared" si="106"/>
        <v>248</v>
      </c>
      <c r="B251" s="276" t="str">
        <f t="shared" si="110"/>
        <v>Apr 2014</v>
      </c>
      <c r="C251" s="277" t="str">
        <f t="shared" si="111"/>
        <v xml:space="preserve">LS </v>
      </c>
      <c r="D251" s="277" t="str">
        <f t="shared" si="112"/>
        <v>LGUM_401</v>
      </c>
      <c r="E251" s="614">
        <f t="shared" si="84"/>
        <v>4</v>
      </c>
      <c r="F251" s="615">
        <f t="shared" si="107"/>
        <v>0</v>
      </c>
      <c r="G251" s="614">
        <f t="shared" si="86"/>
        <v>132</v>
      </c>
      <c r="H251" s="615">
        <v>0</v>
      </c>
      <c r="I251" s="283">
        <f t="shared" si="87"/>
        <v>24.9</v>
      </c>
      <c r="J251" s="283">
        <f t="shared" si="88"/>
        <v>1.0599999999999987</v>
      </c>
      <c r="K251" s="285">
        <f t="shared" si="89"/>
        <v>99.6</v>
      </c>
      <c r="L251" s="286">
        <f t="shared" si="90"/>
        <v>0</v>
      </c>
      <c r="M251" s="286">
        <f t="shared" si="91"/>
        <v>0</v>
      </c>
      <c r="N251" s="285">
        <f t="shared" si="92"/>
        <v>99.6</v>
      </c>
      <c r="O251" s="616">
        <f t="shared" si="108"/>
        <v>99.6</v>
      </c>
      <c r="P251" s="289">
        <f t="shared" si="94"/>
        <v>1</v>
      </c>
      <c r="Q251" s="290">
        <f t="shared" si="95"/>
        <v>0.2</v>
      </c>
      <c r="R251" s="290">
        <f t="shared" si="96"/>
        <v>1.87</v>
      </c>
      <c r="S251" s="290">
        <f t="shared" si="97"/>
        <v>0</v>
      </c>
      <c r="T251" s="290">
        <f t="shared" si="98"/>
        <v>101.67</v>
      </c>
      <c r="U251" s="291">
        <f t="shared" si="99"/>
        <v>101.67</v>
      </c>
      <c r="V251" s="291">
        <f t="shared" si="103"/>
        <v>0</v>
      </c>
      <c r="W251" s="617">
        <f t="shared" si="109"/>
        <v>0</v>
      </c>
      <c r="X251" s="291">
        <f t="shared" si="104"/>
        <v>0</v>
      </c>
      <c r="Y251" s="170">
        <f t="shared" si="101"/>
        <v>4.24</v>
      </c>
      <c r="Z251" s="291">
        <f t="shared" si="102"/>
        <v>95.36</v>
      </c>
      <c r="AC251" s="276">
        <f>IF(AI251=1,IF(AC250=MiscData!$F$1,EOMONTH(AC250,-11),EOMONTH(AC250,1)),AC250)</f>
        <v>41759</v>
      </c>
      <c r="AD251" s="275" t="str">
        <f t="shared" si="113"/>
        <v>20140101LGUM_401</v>
      </c>
      <c r="AE251" s="294" t="str">
        <f t="shared" si="114"/>
        <v xml:space="preserve">20140101LS </v>
      </c>
      <c r="AF251" s="618" t="str">
        <f t="shared" si="105"/>
        <v>401</v>
      </c>
      <c r="AH251" s="265">
        <f>MiscData!$X$5</f>
        <v>20140101</v>
      </c>
      <c r="AI251" s="265">
        <f>IF(AI250+1&gt;MiscData!$AC$77,1,AI250+1)</f>
        <v>29</v>
      </c>
      <c r="AJ251" s="265" t="str">
        <f>VLOOKUP(AI251,MiscData!$AC$5:$AD$77,2,FALSE)</f>
        <v>LGUM_401</v>
      </c>
      <c r="AK251" s="265" t="str">
        <f>VLOOKUP(AJ251,MiscData!$AD$5:$AE$77,2,FALSE)</f>
        <v xml:space="preserve">LS </v>
      </c>
      <c r="AT251" s="265" t="s">
        <v>368</v>
      </c>
      <c r="AV251" s="265">
        <v>40.24</v>
      </c>
    </row>
    <row r="252" spans="1:48">
      <c r="A252" s="275">
        <f t="shared" si="106"/>
        <v>249</v>
      </c>
      <c r="B252" s="276" t="str">
        <f t="shared" si="110"/>
        <v>Apr 2014</v>
      </c>
      <c r="C252" s="277" t="str">
        <f t="shared" si="111"/>
        <v xml:space="preserve">LS </v>
      </c>
      <c r="D252" s="277" t="str">
        <f t="shared" si="112"/>
        <v>LGUM_412</v>
      </c>
      <c r="E252" s="614">
        <f t="shared" si="84"/>
        <v>226</v>
      </c>
      <c r="F252" s="615">
        <f t="shared" ref="F252:F283" si="115">SUMIFS(L_1055_Count_OutOfPeriod,L_1055_Revenue_Month,$B252,L_1055_RateCategory,$D252)</f>
        <v>0</v>
      </c>
      <c r="G252" s="614">
        <f t="shared" si="86"/>
        <v>6050</v>
      </c>
      <c r="H252" s="615">
        <v>0</v>
      </c>
      <c r="I252" s="283">
        <f t="shared" si="87"/>
        <v>19.79</v>
      </c>
      <c r="J252" s="283">
        <f t="shared" si="88"/>
        <v>0.74999999999999645</v>
      </c>
      <c r="K252" s="285">
        <f t="shared" si="89"/>
        <v>4472.54</v>
      </c>
      <c r="L252" s="286">
        <f t="shared" si="90"/>
        <v>0</v>
      </c>
      <c r="M252" s="286">
        <f t="shared" si="91"/>
        <v>0</v>
      </c>
      <c r="N252" s="285">
        <f t="shared" si="92"/>
        <v>4472.54</v>
      </c>
      <c r="O252" s="616">
        <f t="shared" ref="O252:O283" si="116">T252-SUM(Q252:S252)-W252</f>
        <v>4472.54</v>
      </c>
      <c r="P252" s="289">
        <f t="shared" si="94"/>
        <v>1</v>
      </c>
      <c r="Q252" s="290">
        <f t="shared" si="95"/>
        <v>9.0399999999999991</v>
      </c>
      <c r="R252" s="290">
        <f t="shared" si="96"/>
        <v>83.8</v>
      </c>
      <c r="S252" s="290">
        <f t="shared" si="97"/>
        <v>0</v>
      </c>
      <c r="T252" s="290">
        <f t="shared" si="98"/>
        <v>4565.38</v>
      </c>
      <c r="U252" s="291">
        <f t="shared" si="99"/>
        <v>4565.38</v>
      </c>
      <c r="V252" s="291">
        <f t="shared" si="103"/>
        <v>0</v>
      </c>
      <c r="W252" s="617">
        <f t="shared" ref="W252:W283" si="117">ROUND(SUMIFS(L_1055_Revenue_Pole_Total,L_1055_Revenue_Month,$B252,L_1055_RateCategory,$D252),2)</f>
        <v>0</v>
      </c>
      <c r="X252" s="291">
        <f t="shared" si="104"/>
        <v>0</v>
      </c>
      <c r="Y252" s="170">
        <f t="shared" si="101"/>
        <v>169.5</v>
      </c>
      <c r="Z252" s="291">
        <f t="shared" si="102"/>
        <v>4303.04</v>
      </c>
      <c r="AC252" s="276">
        <f>IF(AI252=1,IF(AC251=MiscData!$F$1,EOMONTH(AC251,-11),EOMONTH(AC251,1)),AC251)</f>
        <v>41759</v>
      </c>
      <c r="AD252" s="275" t="str">
        <f t="shared" si="113"/>
        <v>20140101LGUM_412</v>
      </c>
      <c r="AE252" s="294" t="str">
        <f t="shared" si="114"/>
        <v xml:space="preserve">20140101LS </v>
      </c>
      <c r="AF252" s="618" t="str">
        <f t="shared" si="105"/>
        <v>412</v>
      </c>
      <c r="AH252" s="265">
        <f>MiscData!$X$5</f>
        <v>20140101</v>
      </c>
      <c r="AI252" s="265">
        <f>IF(AI251+1&gt;MiscData!$AC$77,1,AI251+1)</f>
        <v>30</v>
      </c>
      <c r="AJ252" s="265" t="str">
        <f>VLOOKUP(AI252,MiscData!$AC$5:$AD$77,2,FALSE)</f>
        <v>LGUM_412</v>
      </c>
      <c r="AK252" s="265" t="str">
        <f>VLOOKUP(AJ252,MiscData!$AD$5:$AE$77,2,FALSE)</f>
        <v xml:space="preserve">LS </v>
      </c>
      <c r="AT252" s="265" t="s">
        <v>369</v>
      </c>
      <c r="AV252" s="265">
        <v>0</v>
      </c>
    </row>
    <row r="253" spans="1:48">
      <c r="A253" s="275">
        <f t="shared" si="106"/>
        <v>250</v>
      </c>
      <c r="B253" s="276" t="str">
        <f t="shared" si="110"/>
        <v>Apr 2014</v>
      </c>
      <c r="C253" s="277" t="str">
        <f t="shared" si="111"/>
        <v xml:space="preserve">LS </v>
      </c>
      <c r="D253" s="277" t="str">
        <f t="shared" si="112"/>
        <v>LGUM_413</v>
      </c>
      <c r="E253" s="614">
        <f t="shared" si="84"/>
        <v>2095</v>
      </c>
      <c r="F253" s="615">
        <f t="shared" si="115"/>
        <v>0</v>
      </c>
      <c r="G253" s="614">
        <f t="shared" si="86"/>
        <v>78570</v>
      </c>
      <c r="H253" s="615">
        <v>0</v>
      </c>
      <c r="I253" s="283">
        <f t="shared" si="87"/>
        <v>20.49</v>
      </c>
      <c r="J253" s="283">
        <f t="shared" si="88"/>
        <v>1.0599999999999987</v>
      </c>
      <c r="K253" s="285">
        <f t="shared" si="89"/>
        <v>42926.55</v>
      </c>
      <c r="L253" s="286">
        <f t="shared" si="90"/>
        <v>-6.1299999999973807</v>
      </c>
      <c r="M253" s="286">
        <f t="shared" si="91"/>
        <v>0</v>
      </c>
      <c r="N253" s="285">
        <f t="shared" si="92"/>
        <v>42920.420000000006</v>
      </c>
      <c r="O253" s="616">
        <f t="shared" si="116"/>
        <v>42920.420000000006</v>
      </c>
      <c r="P253" s="289">
        <f t="shared" si="94"/>
        <v>1</v>
      </c>
      <c r="Q253" s="290">
        <f t="shared" si="95"/>
        <v>117.75</v>
      </c>
      <c r="R253" s="290">
        <f t="shared" si="96"/>
        <v>804.09</v>
      </c>
      <c r="S253" s="290">
        <f t="shared" si="97"/>
        <v>0</v>
      </c>
      <c r="T253" s="290">
        <f t="shared" si="98"/>
        <v>43853.57</v>
      </c>
      <c r="U253" s="291">
        <f t="shared" si="99"/>
        <v>43842.26</v>
      </c>
      <c r="V253" s="291">
        <f t="shared" si="103"/>
        <v>11.31</v>
      </c>
      <c r="W253" s="617">
        <f t="shared" si="117"/>
        <v>11.31</v>
      </c>
      <c r="X253" s="291">
        <f t="shared" si="104"/>
        <v>0</v>
      </c>
      <c r="Y253" s="170">
        <f t="shared" si="101"/>
        <v>2220.6999999999998</v>
      </c>
      <c r="Z253" s="291">
        <f t="shared" si="102"/>
        <v>40699.720000000008</v>
      </c>
      <c r="AC253" s="276">
        <f>IF(AI253=1,IF(AC252=MiscData!$F$1,EOMONTH(AC252,-11),EOMONTH(AC252,1)),AC252)</f>
        <v>41759</v>
      </c>
      <c r="AD253" s="275" t="str">
        <f t="shared" si="113"/>
        <v>20140101LGUM_413</v>
      </c>
      <c r="AE253" s="294" t="str">
        <f t="shared" si="114"/>
        <v xml:space="preserve">20140101LS </v>
      </c>
      <c r="AF253" s="618" t="str">
        <f t="shared" si="105"/>
        <v>413</v>
      </c>
      <c r="AH253" s="265">
        <f>MiscData!$X$5</f>
        <v>20140101</v>
      </c>
      <c r="AI253" s="265">
        <f>IF(AI252+1&gt;MiscData!$AC$77,1,AI252+1)</f>
        <v>31</v>
      </c>
      <c r="AJ253" s="265" t="str">
        <f>VLOOKUP(AI253,MiscData!$AC$5:$AD$77,2,FALSE)</f>
        <v>LGUM_413</v>
      </c>
      <c r="AK253" s="265" t="str">
        <f>VLOOKUP(AJ253,MiscData!$AD$5:$AE$77,2,FALSE)</f>
        <v xml:space="preserve">LS </v>
      </c>
      <c r="AT253" s="265" t="s">
        <v>370</v>
      </c>
      <c r="AV253" s="265">
        <v>86.51</v>
      </c>
    </row>
    <row r="254" spans="1:48">
      <c r="A254" s="275">
        <f t="shared" si="106"/>
        <v>251</v>
      </c>
      <c r="B254" s="276" t="str">
        <f t="shared" ref="B254:B285" si="118">TEXT(AC254,"mmm yyyy")</f>
        <v>Apr 2014</v>
      </c>
      <c r="C254" s="277" t="str">
        <f t="shared" ref="C254:C285" si="119">AK254</f>
        <v xml:space="preserve">LS </v>
      </c>
      <c r="D254" s="277" t="str">
        <f t="shared" ref="D254:D285" si="120">AJ254</f>
        <v>LGUM_415</v>
      </c>
      <c r="E254" s="614">
        <f t="shared" si="84"/>
        <v>40</v>
      </c>
      <c r="F254" s="615">
        <f t="shared" si="115"/>
        <v>0</v>
      </c>
      <c r="G254" s="614">
        <f t="shared" si="86"/>
        <v>961</v>
      </c>
      <c r="H254" s="615">
        <v>0</v>
      </c>
      <c r="I254" s="283">
        <f t="shared" si="87"/>
        <v>20.18</v>
      </c>
      <c r="J254" s="283">
        <f t="shared" si="88"/>
        <v>0.75</v>
      </c>
      <c r="K254" s="285">
        <f t="shared" si="89"/>
        <v>807.2</v>
      </c>
      <c r="L254" s="286">
        <f t="shared" si="90"/>
        <v>-67.27</v>
      </c>
      <c r="M254" s="286">
        <f t="shared" si="91"/>
        <v>0</v>
      </c>
      <c r="N254" s="285">
        <f t="shared" si="92"/>
        <v>739.93000000000006</v>
      </c>
      <c r="O254" s="616">
        <f t="shared" si="116"/>
        <v>739.93</v>
      </c>
      <c r="P254" s="289">
        <f t="shared" si="94"/>
        <v>0.99999999999999989</v>
      </c>
      <c r="Q254" s="290">
        <f t="shared" si="95"/>
        <v>1.45</v>
      </c>
      <c r="R254" s="290">
        <f t="shared" si="96"/>
        <v>13.87</v>
      </c>
      <c r="S254" s="290">
        <f t="shared" si="97"/>
        <v>0</v>
      </c>
      <c r="T254" s="290">
        <f t="shared" si="98"/>
        <v>755.25</v>
      </c>
      <c r="U254" s="291">
        <f t="shared" si="99"/>
        <v>755.25000000000011</v>
      </c>
      <c r="V254" s="291">
        <f t="shared" si="103"/>
        <v>0</v>
      </c>
      <c r="W254" s="617">
        <f t="shared" si="117"/>
        <v>0</v>
      </c>
      <c r="X254" s="291">
        <f t="shared" si="104"/>
        <v>0</v>
      </c>
      <c r="Y254" s="170">
        <f t="shared" si="101"/>
        <v>30</v>
      </c>
      <c r="Z254" s="291">
        <f t="shared" si="102"/>
        <v>709.93</v>
      </c>
      <c r="AC254" s="276">
        <f>IF(AI254=1,IF(AC253=MiscData!$F$1,EOMONTH(AC253,-11),EOMONTH(AC253,1)),AC253)</f>
        <v>41759</v>
      </c>
      <c r="AD254" s="275" t="str">
        <f t="shared" si="113"/>
        <v>20140101LGUM_415</v>
      </c>
      <c r="AE254" s="294" t="str">
        <f t="shared" si="114"/>
        <v xml:space="preserve">20140101LS </v>
      </c>
      <c r="AF254" s="618" t="str">
        <f t="shared" si="105"/>
        <v>415</v>
      </c>
      <c r="AH254" s="265">
        <f>MiscData!$X$5</f>
        <v>20140101</v>
      </c>
      <c r="AI254" s="265">
        <f>IF(AI253+1&gt;MiscData!$AC$77,1,AI253+1)</f>
        <v>32</v>
      </c>
      <c r="AJ254" s="265" t="str">
        <f>VLOOKUP(AI254,MiscData!$AC$5:$AD$77,2,FALSE)</f>
        <v>LGUM_415</v>
      </c>
      <c r="AK254" s="265" t="str">
        <f>VLOOKUP(AJ254,MiscData!$AD$5:$AE$77,2,FALSE)</f>
        <v xml:space="preserve">LS </v>
      </c>
      <c r="AT254" s="265" t="s">
        <v>371</v>
      </c>
      <c r="AV254" s="265">
        <v>0</v>
      </c>
    </row>
    <row r="255" spans="1:48">
      <c r="A255" s="275">
        <f t="shared" si="106"/>
        <v>252</v>
      </c>
      <c r="B255" s="276" t="str">
        <f t="shared" si="118"/>
        <v>Apr 2014</v>
      </c>
      <c r="C255" s="277" t="str">
        <f t="shared" si="119"/>
        <v xml:space="preserve">LS </v>
      </c>
      <c r="D255" s="277" t="str">
        <f t="shared" si="120"/>
        <v>LGUM_416</v>
      </c>
      <c r="E255" s="614">
        <f t="shared" si="84"/>
        <v>1848</v>
      </c>
      <c r="F255" s="615">
        <f t="shared" si="115"/>
        <v>0</v>
      </c>
      <c r="G255" s="614">
        <f t="shared" si="86"/>
        <v>68475</v>
      </c>
      <c r="H255" s="615">
        <v>0</v>
      </c>
      <c r="I255" s="283">
        <f t="shared" si="87"/>
        <v>22.56</v>
      </c>
      <c r="J255" s="283">
        <f t="shared" si="88"/>
        <v>1.0599999999999987</v>
      </c>
      <c r="K255" s="285">
        <f t="shared" si="89"/>
        <v>41690.879999999997</v>
      </c>
      <c r="L255" s="286">
        <f t="shared" si="90"/>
        <v>-417.36000000000058</v>
      </c>
      <c r="M255" s="286">
        <f t="shared" si="91"/>
        <v>0</v>
      </c>
      <c r="N255" s="285">
        <f t="shared" si="92"/>
        <v>41273.519999999997</v>
      </c>
      <c r="O255" s="616">
        <f t="shared" si="116"/>
        <v>41273.519999999997</v>
      </c>
      <c r="P255" s="289">
        <f t="shared" si="94"/>
        <v>1</v>
      </c>
      <c r="Q255" s="290">
        <f t="shared" si="95"/>
        <v>102.11</v>
      </c>
      <c r="R255" s="290">
        <f t="shared" si="96"/>
        <v>773.95</v>
      </c>
      <c r="S255" s="290">
        <f t="shared" si="97"/>
        <v>0</v>
      </c>
      <c r="T255" s="290">
        <f t="shared" si="98"/>
        <v>42169.13</v>
      </c>
      <c r="U255" s="291">
        <f t="shared" si="99"/>
        <v>42149.579999999994</v>
      </c>
      <c r="V255" s="291">
        <f t="shared" si="103"/>
        <v>19.55</v>
      </c>
      <c r="W255" s="617">
        <f t="shared" si="117"/>
        <v>19.55</v>
      </c>
      <c r="X255" s="291">
        <f t="shared" si="104"/>
        <v>0</v>
      </c>
      <c r="Y255" s="170">
        <f t="shared" si="101"/>
        <v>1958.88</v>
      </c>
      <c r="Z255" s="291">
        <f t="shared" si="102"/>
        <v>39314.639999999999</v>
      </c>
      <c r="AC255" s="276">
        <f>IF(AI255=1,IF(AC254=MiscData!$F$1,EOMONTH(AC254,-11),EOMONTH(AC254,1)),AC254)</f>
        <v>41759</v>
      </c>
      <c r="AD255" s="275" t="str">
        <f t="shared" si="113"/>
        <v>20140101LGUM_416</v>
      </c>
      <c r="AE255" s="294" t="str">
        <f t="shared" si="114"/>
        <v xml:space="preserve">20140101LS </v>
      </c>
      <c r="AF255" s="618" t="str">
        <f t="shared" si="105"/>
        <v>416</v>
      </c>
      <c r="AH255" s="265">
        <f>MiscData!$X$5</f>
        <v>20140101</v>
      </c>
      <c r="AI255" s="265">
        <f>IF(AI254+1&gt;MiscData!$AC$77,1,AI254+1)</f>
        <v>33</v>
      </c>
      <c r="AJ255" s="265" t="str">
        <f>VLOOKUP(AI255,MiscData!$AC$5:$AD$77,2,FALSE)</f>
        <v>LGUM_416</v>
      </c>
      <c r="AK255" s="265" t="str">
        <f>VLOOKUP(AJ255,MiscData!$AD$5:$AE$77,2,FALSE)</f>
        <v xml:space="preserve">LS </v>
      </c>
      <c r="AT255" s="265" t="s">
        <v>655</v>
      </c>
      <c r="AV255" s="265">
        <v>0</v>
      </c>
    </row>
    <row r="256" spans="1:48">
      <c r="A256" s="275">
        <f t="shared" si="106"/>
        <v>253</v>
      </c>
      <c r="B256" s="276" t="str">
        <f t="shared" si="118"/>
        <v>Apr 2014</v>
      </c>
      <c r="C256" s="277" t="str">
        <f t="shared" si="119"/>
        <v>RLS</v>
      </c>
      <c r="D256" s="277" t="str">
        <f t="shared" si="120"/>
        <v>LGUM_417</v>
      </c>
      <c r="E256" s="614">
        <f t="shared" si="84"/>
        <v>40</v>
      </c>
      <c r="F256" s="615">
        <f t="shared" si="115"/>
        <v>0</v>
      </c>
      <c r="G256" s="614">
        <f t="shared" si="86"/>
        <v>1478</v>
      </c>
      <c r="H256" s="615">
        <v>0</v>
      </c>
      <c r="I256" s="283">
        <f t="shared" si="87"/>
        <v>23.68</v>
      </c>
      <c r="J256" s="283">
        <f t="shared" si="88"/>
        <v>1.0300000000000011</v>
      </c>
      <c r="K256" s="285">
        <f t="shared" si="89"/>
        <v>947.2</v>
      </c>
      <c r="L256" s="286">
        <f t="shared" si="90"/>
        <v>0</v>
      </c>
      <c r="M256" s="286">
        <f t="shared" si="91"/>
        <v>0</v>
      </c>
      <c r="N256" s="285">
        <f t="shared" si="92"/>
        <v>947.2</v>
      </c>
      <c r="O256" s="616">
        <f t="shared" si="116"/>
        <v>947.19999999999993</v>
      </c>
      <c r="P256" s="289">
        <f t="shared" si="94"/>
        <v>0.99999999999999989</v>
      </c>
      <c r="Q256" s="290">
        <f t="shared" si="95"/>
        <v>2.2000000000000002</v>
      </c>
      <c r="R256" s="290">
        <f t="shared" si="96"/>
        <v>17.75</v>
      </c>
      <c r="S256" s="290">
        <f t="shared" si="97"/>
        <v>0</v>
      </c>
      <c r="T256" s="290">
        <f t="shared" si="98"/>
        <v>967.15</v>
      </c>
      <c r="U256" s="291">
        <f t="shared" si="99"/>
        <v>967.15000000000009</v>
      </c>
      <c r="V256" s="291">
        <f t="shared" si="103"/>
        <v>0</v>
      </c>
      <c r="W256" s="617">
        <f t="shared" si="117"/>
        <v>0</v>
      </c>
      <c r="X256" s="291">
        <f t="shared" si="104"/>
        <v>0</v>
      </c>
      <c r="Y256" s="170">
        <f t="shared" si="101"/>
        <v>41.2</v>
      </c>
      <c r="Z256" s="291">
        <f t="shared" si="102"/>
        <v>905.99999999999989</v>
      </c>
      <c r="AC256" s="276">
        <f>IF(AI256=1,IF(AC255=MiscData!$F$1,EOMONTH(AC255,-11),EOMONTH(AC255,1)),AC255)</f>
        <v>41759</v>
      </c>
      <c r="AD256" s="275" t="str">
        <f t="shared" si="113"/>
        <v>20140101LGUM_417</v>
      </c>
      <c r="AE256" s="294" t="str">
        <f t="shared" si="114"/>
        <v>20140101RLS</v>
      </c>
      <c r="AF256" s="618" t="str">
        <f t="shared" si="105"/>
        <v>417</v>
      </c>
      <c r="AH256" s="265">
        <f>MiscData!$X$5</f>
        <v>20140101</v>
      </c>
      <c r="AI256" s="265">
        <f>IF(AI255+1&gt;MiscData!$AC$77,1,AI255+1)</f>
        <v>34</v>
      </c>
      <c r="AJ256" s="265" t="str">
        <f>VLOOKUP(AI256,MiscData!$AC$5:$AD$77,2,FALSE)</f>
        <v>LGUM_417</v>
      </c>
      <c r="AK256" s="265" t="str">
        <f>VLOOKUP(AJ256,MiscData!$AD$5:$AE$77,2,FALSE)</f>
        <v>RLS</v>
      </c>
      <c r="AT256" s="265" t="s">
        <v>657</v>
      </c>
      <c r="AV256" s="265">
        <v>0</v>
      </c>
    </row>
    <row r="257" spans="1:48">
      <c r="A257" s="275">
        <f t="shared" si="106"/>
        <v>254</v>
      </c>
      <c r="B257" s="276" t="str">
        <f t="shared" si="118"/>
        <v>Apr 2014</v>
      </c>
      <c r="C257" s="277" t="str">
        <f t="shared" si="119"/>
        <v>RLS</v>
      </c>
      <c r="D257" s="277" t="str">
        <f t="shared" si="120"/>
        <v>LGUM_419</v>
      </c>
      <c r="E257" s="614">
        <f t="shared" si="84"/>
        <v>113</v>
      </c>
      <c r="F257" s="615">
        <f t="shared" si="115"/>
        <v>0</v>
      </c>
      <c r="G257" s="614">
        <f t="shared" si="86"/>
        <v>6422</v>
      </c>
      <c r="H257" s="615">
        <v>0</v>
      </c>
      <c r="I257" s="283">
        <f t="shared" si="87"/>
        <v>24.77</v>
      </c>
      <c r="J257" s="283">
        <f t="shared" si="88"/>
        <v>1.6499999999999986</v>
      </c>
      <c r="K257" s="285">
        <f t="shared" si="89"/>
        <v>2799.01</v>
      </c>
      <c r="L257" s="286">
        <f t="shared" si="90"/>
        <v>0</v>
      </c>
      <c r="M257" s="286">
        <f t="shared" si="91"/>
        <v>0</v>
      </c>
      <c r="N257" s="285">
        <f t="shared" si="92"/>
        <v>2799.01</v>
      </c>
      <c r="O257" s="616">
        <f t="shared" si="116"/>
        <v>2799.01</v>
      </c>
      <c r="P257" s="289">
        <f t="shared" si="94"/>
        <v>1</v>
      </c>
      <c r="Q257" s="290">
        <f t="shared" si="95"/>
        <v>9.57</v>
      </c>
      <c r="R257" s="290">
        <f t="shared" si="96"/>
        <v>52.51</v>
      </c>
      <c r="S257" s="290">
        <f t="shared" si="97"/>
        <v>0</v>
      </c>
      <c r="T257" s="290">
        <f t="shared" si="98"/>
        <v>2861.09</v>
      </c>
      <c r="U257" s="291">
        <f t="shared" si="99"/>
        <v>2861.0900000000006</v>
      </c>
      <c r="V257" s="291">
        <f t="shared" si="103"/>
        <v>0</v>
      </c>
      <c r="W257" s="617">
        <f t="shared" si="117"/>
        <v>0</v>
      </c>
      <c r="X257" s="291">
        <f t="shared" si="104"/>
        <v>0</v>
      </c>
      <c r="Y257" s="170">
        <f t="shared" si="101"/>
        <v>186.45</v>
      </c>
      <c r="Z257" s="291">
        <f t="shared" si="102"/>
        <v>2612.5600000000004</v>
      </c>
      <c r="AC257" s="276">
        <f>IF(AI257=1,IF(AC256=MiscData!$F$1,EOMONTH(AC256,-11),EOMONTH(AC256,1)),AC256)</f>
        <v>41759</v>
      </c>
      <c r="AD257" s="275" t="str">
        <f t="shared" si="113"/>
        <v>20140101LGUM_419</v>
      </c>
      <c r="AE257" s="294" t="str">
        <f t="shared" si="114"/>
        <v>20140101RLS</v>
      </c>
      <c r="AF257" s="618" t="str">
        <f t="shared" si="105"/>
        <v>419</v>
      </c>
      <c r="AH257" s="265">
        <f>MiscData!$X$5</f>
        <v>20140101</v>
      </c>
      <c r="AI257" s="265">
        <f>IF(AI256+1&gt;MiscData!$AC$77,1,AI256+1)</f>
        <v>35</v>
      </c>
      <c r="AJ257" s="265" t="str">
        <f>VLOOKUP(AI257,MiscData!$AC$5:$AD$77,2,FALSE)</f>
        <v>LGUM_419</v>
      </c>
      <c r="AK257" s="265" t="str">
        <f>VLOOKUP(AJ257,MiscData!$AD$5:$AE$77,2,FALSE)</f>
        <v>RLS</v>
      </c>
      <c r="AT257" s="265" t="s">
        <v>659</v>
      </c>
      <c r="AV257" s="265">
        <v>0</v>
      </c>
    </row>
    <row r="258" spans="1:48">
      <c r="A258" s="275">
        <f t="shared" si="106"/>
        <v>255</v>
      </c>
      <c r="B258" s="276" t="str">
        <f t="shared" si="118"/>
        <v>Apr 2014</v>
      </c>
      <c r="C258" s="277" t="str">
        <f t="shared" si="119"/>
        <v xml:space="preserve">LS </v>
      </c>
      <c r="D258" s="277" t="str">
        <f t="shared" si="120"/>
        <v>LGUM_420</v>
      </c>
      <c r="E258" s="614">
        <f t="shared" si="84"/>
        <v>54</v>
      </c>
      <c r="F258" s="615">
        <f t="shared" si="115"/>
        <v>0</v>
      </c>
      <c r="G258" s="614">
        <f t="shared" si="86"/>
        <v>3094</v>
      </c>
      <c r="H258" s="615">
        <v>0</v>
      </c>
      <c r="I258" s="283">
        <f t="shared" si="87"/>
        <v>29.889999999999997</v>
      </c>
      <c r="J258" s="283">
        <f t="shared" si="88"/>
        <v>1.6499999999999986</v>
      </c>
      <c r="K258" s="285">
        <f t="shared" si="89"/>
        <v>1614.06</v>
      </c>
      <c r="L258" s="286">
        <f t="shared" si="90"/>
        <v>0</v>
      </c>
      <c r="M258" s="286">
        <f t="shared" si="91"/>
        <v>0</v>
      </c>
      <c r="N258" s="285">
        <f t="shared" si="92"/>
        <v>1614.06</v>
      </c>
      <c r="O258" s="616">
        <f t="shared" si="116"/>
        <v>1614.0600000000002</v>
      </c>
      <c r="P258" s="289">
        <f t="shared" si="94"/>
        <v>1.0000000000000002</v>
      </c>
      <c r="Q258" s="290">
        <f t="shared" si="95"/>
        <v>4.6100000000000003</v>
      </c>
      <c r="R258" s="290">
        <f t="shared" si="96"/>
        <v>30.25</v>
      </c>
      <c r="S258" s="290">
        <f t="shared" si="97"/>
        <v>0</v>
      </c>
      <c r="T258" s="290">
        <f t="shared" si="98"/>
        <v>1648.92</v>
      </c>
      <c r="U258" s="291">
        <f t="shared" si="99"/>
        <v>1648.9199999999998</v>
      </c>
      <c r="V258" s="291">
        <f t="shared" si="103"/>
        <v>0</v>
      </c>
      <c r="W258" s="617">
        <f t="shared" si="117"/>
        <v>0</v>
      </c>
      <c r="X258" s="291">
        <f t="shared" si="104"/>
        <v>0</v>
      </c>
      <c r="Y258" s="170">
        <f t="shared" si="101"/>
        <v>89.1</v>
      </c>
      <c r="Z258" s="291">
        <f t="shared" si="102"/>
        <v>1524.9600000000003</v>
      </c>
      <c r="AC258" s="276">
        <f>IF(AI258=1,IF(AC257=MiscData!$F$1,EOMONTH(AC257,-11),EOMONTH(AC257,1)),AC257)</f>
        <v>41759</v>
      </c>
      <c r="AD258" s="275" t="str">
        <f t="shared" si="113"/>
        <v>20140101LGUM_420</v>
      </c>
      <c r="AE258" s="294" t="str">
        <f t="shared" si="114"/>
        <v xml:space="preserve">20140101LS </v>
      </c>
      <c r="AF258" s="618" t="str">
        <f t="shared" si="105"/>
        <v>420</v>
      </c>
      <c r="AH258" s="265">
        <f>MiscData!$X$5</f>
        <v>20140101</v>
      </c>
      <c r="AI258" s="265">
        <f>IF(AI257+1&gt;MiscData!$AC$77,1,AI257+1)</f>
        <v>36</v>
      </c>
      <c r="AJ258" s="265" t="str">
        <f>VLOOKUP(AI258,MiscData!$AC$5:$AD$77,2,FALSE)</f>
        <v>LGUM_420</v>
      </c>
      <c r="AK258" s="265" t="str">
        <f>VLOOKUP(AJ258,MiscData!$AD$5:$AE$77,2,FALSE)</f>
        <v xml:space="preserve">LS </v>
      </c>
      <c r="AT258" s="265" t="s">
        <v>399</v>
      </c>
      <c r="AV258" s="265">
        <v>0</v>
      </c>
    </row>
    <row r="259" spans="1:48">
      <c r="A259" s="275">
        <f t="shared" si="106"/>
        <v>256</v>
      </c>
      <c r="B259" s="276" t="str">
        <f t="shared" si="118"/>
        <v>Apr 2014</v>
      </c>
      <c r="C259" s="277" t="str">
        <f t="shared" si="119"/>
        <v xml:space="preserve">LS </v>
      </c>
      <c r="D259" s="277" t="str">
        <f t="shared" si="120"/>
        <v>LGUM_421</v>
      </c>
      <c r="E259" s="614">
        <f t="shared" si="84"/>
        <v>185</v>
      </c>
      <c r="F259" s="615">
        <f t="shared" si="115"/>
        <v>0</v>
      </c>
      <c r="G259" s="614">
        <f t="shared" si="86"/>
        <v>17471</v>
      </c>
      <c r="H259" s="615">
        <v>0</v>
      </c>
      <c r="I259" s="283">
        <f t="shared" si="87"/>
        <v>32.860000000000007</v>
      </c>
      <c r="J259" s="283">
        <f t="shared" si="88"/>
        <v>2.6700000000000017</v>
      </c>
      <c r="K259" s="285">
        <f t="shared" si="89"/>
        <v>6079.1</v>
      </c>
      <c r="L259" s="286">
        <f t="shared" si="90"/>
        <v>-50.39</v>
      </c>
      <c r="M259" s="286">
        <f t="shared" si="91"/>
        <v>0</v>
      </c>
      <c r="N259" s="285">
        <f t="shared" si="92"/>
        <v>6028.71</v>
      </c>
      <c r="O259" s="616">
        <f t="shared" si="116"/>
        <v>6028.71</v>
      </c>
      <c r="P259" s="289">
        <f t="shared" si="94"/>
        <v>1</v>
      </c>
      <c r="Q259" s="290">
        <f t="shared" si="95"/>
        <v>26.24</v>
      </c>
      <c r="R259" s="290">
        <f t="shared" si="96"/>
        <v>113.3</v>
      </c>
      <c r="S259" s="290">
        <f t="shared" si="97"/>
        <v>0</v>
      </c>
      <c r="T259" s="290">
        <f t="shared" si="98"/>
        <v>6168.25</v>
      </c>
      <c r="U259" s="291">
        <f t="shared" si="99"/>
        <v>6168.25</v>
      </c>
      <c r="V259" s="291">
        <f t="shared" si="103"/>
        <v>0</v>
      </c>
      <c r="W259" s="617">
        <f t="shared" si="117"/>
        <v>0</v>
      </c>
      <c r="X259" s="291">
        <f t="shared" si="104"/>
        <v>0</v>
      </c>
      <c r="Y259" s="170">
        <f t="shared" si="101"/>
        <v>493.95</v>
      </c>
      <c r="Z259" s="291">
        <f t="shared" si="102"/>
        <v>5534.76</v>
      </c>
      <c r="AC259" s="276">
        <f>IF(AI259=1,IF(AC258=MiscData!$F$1,EOMONTH(AC258,-11),EOMONTH(AC258,1)),AC258)</f>
        <v>41759</v>
      </c>
      <c r="AD259" s="275" t="str">
        <f t="shared" si="113"/>
        <v>20140101LGUM_421</v>
      </c>
      <c r="AE259" s="294" t="str">
        <f t="shared" si="114"/>
        <v xml:space="preserve">20140101LS </v>
      </c>
      <c r="AF259" s="618" t="str">
        <f t="shared" si="105"/>
        <v>421</v>
      </c>
      <c r="AH259" s="265">
        <f>MiscData!$X$5</f>
        <v>20140101</v>
      </c>
      <c r="AI259" s="265">
        <f>IF(AI258+1&gt;MiscData!$AC$77,1,AI258+1)</f>
        <v>37</v>
      </c>
      <c r="AJ259" s="265" t="str">
        <f>VLOOKUP(AI259,MiscData!$AC$5:$AD$77,2,FALSE)</f>
        <v>LGUM_421</v>
      </c>
      <c r="AK259" s="265" t="str">
        <f>VLOOKUP(AJ259,MiscData!$AD$5:$AE$77,2,FALSE)</f>
        <v xml:space="preserve">LS </v>
      </c>
      <c r="AT259" s="265" t="s">
        <v>372</v>
      </c>
      <c r="AV259" s="265">
        <v>0</v>
      </c>
    </row>
    <row r="260" spans="1:48">
      <c r="A260" s="275">
        <f t="shared" si="106"/>
        <v>257</v>
      </c>
      <c r="B260" s="276" t="str">
        <f t="shared" si="118"/>
        <v>Apr 2014</v>
      </c>
      <c r="C260" s="277" t="str">
        <f t="shared" si="119"/>
        <v xml:space="preserve">LS </v>
      </c>
      <c r="D260" s="277" t="str">
        <f t="shared" si="120"/>
        <v>LGUM_422</v>
      </c>
      <c r="E260" s="614">
        <f t="shared" ref="E260:E323" si="121">SUMIFS(L_1055_Count_Total,L_1055_Revenue_Month,$B260,L_1055_RateCategory,$D260)</f>
        <v>398</v>
      </c>
      <c r="F260" s="615">
        <f t="shared" si="115"/>
        <v>0</v>
      </c>
      <c r="G260" s="614">
        <f t="shared" ref="G260:G323" si="122">SUMIFS(L_SBR_KWH,L_SBR_Revenue_Month,$B260,L_SBR_Rate_Category,$D260)</f>
        <v>59541</v>
      </c>
      <c r="H260" s="615">
        <v>0</v>
      </c>
      <c r="I260" s="283">
        <f t="shared" ref="I260:I323" si="123">SUMIF(L_LightingRates_Tariff_Rate_Category,$AD260,L_LightingRates_UnitCharge)</f>
        <v>38.389999999999993</v>
      </c>
      <c r="J260" s="283">
        <f t="shared" ref="J260:J323" si="124">SUMIF(L_LightingRates_Tariff_Rate_Category,$AD260,L_LightingRates_FAC_Rate)</f>
        <v>4.279999999999994</v>
      </c>
      <c r="K260" s="285">
        <f t="shared" ref="K260:K323" si="125">ROUND(($E260+$F260)*$I260,2)</f>
        <v>15279.22</v>
      </c>
      <c r="L260" s="286">
        <f t="shared" ref="L260:L323" si="126">SUMIFS(L_1055_Revenue_Test_Period_Adj,L_1055_RateCategory,$D260,L_1055_Revenue_Month,$B260)+SUMIFS(L_1055_Revenue_OutOfPeriod,L_1055_RateCategory,$D260,L_1055_Revenue_Month,$B260)</f>
        <v>-39.670000000000073</v>
      </c>
      <c r="M260" s="286">
        <f t="shared" ref="M260:M323" si="127">SUMIFS(L_1055_Revenue_OutOfPeriod,L_1055_RateCategory,$D260,L_1055_Revenue_Month,$B260)</f>
        <v>0</v>
      </c>
      <c r="N260" s="285">
        <f t="shared" ref="N260:N323" si="128">SUM(K260:M260)</f>
        <v>15239.55</v>
      </c>
      <c r="O260" s="616">
        <f t="shared" si="116"/>
        <v>15239.55</v>
      </c>
      <c r="P260" s="289">
        <f t="shared" ref="P260:P323" si="129">IF(AND(N260=0,O260=0),1,IF(N260=0,0,O260/N260))</f>
        <v>1</v>
      </c>
      <c r="Q260" s="290">
        <f t="shared" ref="Q260:Q323" si="130">SUMIFS(L_SBR_FAC,L_SBR_Revenue_Month,$B260,L_SBR_Rate_Category,$D260)</f>
        <v>89.06</v>
      </c>
      <c r="R260" s="290">
        <f t="shared" ref="R260:R323" si="131">SUMIFS(L_SBR_ECR,L_SBR_Revenue_Month,$B260,L_SBR_Rate_Category,$D260)</f>
        <v>286.45999999999998</v>
      </c>
      <c r="S260" s="290">
        <f t="shared" ref="S260:S323" si="132">SUMIFS(L_SBR_MSR,L_SBR_Revenue_Month,$B260,L_SBR_Rate_Category,$D260)</f>
        <v>0</v>
      </c>
      <c r="T260" s="290">
        <f t="shared" ref="T260:T323" si="133">SUMIFS(L_SBR_Revenue_Total,L_SBR_Revenue_Month,$B260,L_SBR_Rate_Category,$D260)</f>
        <v>15615.07</v>
      </c>
      <c r="U260" s="291">
        <f t="shared" ref="U260:U323" si="134">SUM(N260,Q260:S260)</f>
        <v>15615.069999999998</v>
      </c>
      <c r="V260" s="291">
        <f t="shared" si="103"/>
        <v>0</v>
      </c>
      <c r="W260" s="617">
        <f t="shared" si="117"/>
        <v>0</v>
      </c>
      <c r="X260" s="291">
        <f t="shared" si="104"/>
        <v>0</v>
      </c>
      <c r="Y260" s="170">
        <f t="shared" ref="Y260:Y323" si="135">ROUND(E260*J260,2)</f>
        <v>1703.44</v>
      </c>
      <c r="Z260" s="291">
        <f t="shared" ref="Z260:Z323" si="136">O260-Y260</f>
        <v>13536.109999999999</v>
      </c>
      <c r="AC260" s="276">
        <f>IF(AI260=1,IF(AC259=MiscData!$F$1,EOMONTH(AC259,-11),EOMONTH(AC259,1)),AC259)</f>
        <v>41759</v>
      </c>
      <c r="AD260" s="275" t="str">
        <f t="shared" si="113"/>
        <v>20140101LGUM_422</v>
      </c>
      <c r="AE260" s="294" t="str">
        <f t="shared" si="114"/>
        <v xml:space="preserve">20140101LS </v>
      </c>
      <c r="AF260" s="618" t="str">
        <f t="shared" si="105"/>
        <v>422</v>
      </c>
      <c r="AH260" s="265">
        <f>MiscData!$X$5</f>
        <v>20140101</v>
      </c>
      <c r="AI260" s="265">
        <f>IF(AI259+1&gt;MiscData!$AC$77,1,AI259+1)</f>
        <v>38</v>
      </c>
      <c r="AJ260" s="265" t="str">
        <f>VLOOKUP(AI260,MiscData!$AC$5:$AD$77,2,FALSE)</f>
        <v>LGUM_422</v>
      </c>
      <c r="AK260" s="265" t="str">
        <f>VLOOKUP(AJ260,MiscData!$AD$5:$AE$77,2,FALSE)</f>
        <v xml:space="preserve">LS </v>
      </c>
      <c r="AT260" s="265" t="s">
        <v>373</v>
      </c>
      <c r="AV260" s="265">
        <v>17.7</v>
      </c>
    </row>
    <row r="261" spans="1:48">
      <c r="A261" s="275">
        <f t="shared" si="106"/>
        <v>258</v>
      </c>
      <c r="B261" s="276" t="str">
        <f t="shared" si="118"/>
        <v>Apr 2014</v>
      </c>
      <c r="C261" s="277" t="str">
        <f t="shared" si="119"/>
        <v xml:space="preserve">LS </v>
      </c>
      <c r="D261" s="277" t="str">
        <f t="shared" si="120"/>
        <v>LGUM_423</v>
      </c>
      <c r="E261" s="614">
        <f t="shared" si="121"/>
        <v>17</v>
      </c>
      <c r="F261" s="615">
        <f t="shared" si="115"/>
        <v>0</v>
      </c>
      <c r="G261" s="614">
        <f t="shared" si="122"/>
        <v>990</v>
      </c>
      <c r="H261" s="615">
        <v>0</v>
      </c>
      <c r="I261" s="283">
        <f t="shared" si="123"/>
        <v>26.349999999999998</v>
      </c>
      <c r="J261" s="283">
        <f t="shared" si="124"/>
        <v>1.6500000000000021</v>
      </c>
      <c r="K261" s="285">
        <f t="shared" si="125"/>
        <v>447.95</v>
      </c>
      <c r="L261" s="286">
        <f t="shared" si="126"/>
        <v>0</v>
      </c>
      <c r="M261" s="286">
        <f t="shared" si="127"/>
        <v>0</v>
      </c>
      <c r="N261" s="285">
        <f t="shared" si="128"/>
        <v>447.95</v>
      </c>
      <c r="O261" s="616">
        <f t="shared" si="116"/>
        <v>447.95</v>
      </c>
      <c r="P261" s="289">
        <f t="shared" si="129"/>
        <v>1</v>
      </c>
      <c r="Q261" s="290">
        <f t="shared" si="130"/>
        <v>1.47</v>
      </c>
      <c r="R261" s="290">
        <f t="shared" si="131"/>
        <v>8.36</v>
      </c>
      <c r="S261" s="290">
        <f t="shared" si="132"/>
        <v>0</v>
      </c>
      <c r="T261" s="290">
        <f t="shared" si="133"/>
        <v>457.78</v>
      </c>
      <c r="U261" s="291">
        <f t="shared" si="134"/>
        <v>457.78000000000003</v>
      </c>
      <c r="V261" s="291">
        <f t="shared" ref="V261:V324" si="137">ROUND(T261-U261,2)</f>
        <v>0</v>
      </c>
      <c r="W261" s="617">
        <f t="shared" si="117"/>
        <v>0</v>
      </c>
      <c r="X261" s="291">
        <f t="shared" ref="X261:X324" si="138">V261-W261</f>
        <v>0</v>
      </c>
      <c r="Y261" s="170">
        <f t="shared" si="135"/>
        <v>28.05</v>
      </c>
      <c r="Z261" s="291">
        <f t="shared" si="136"/>
        <v>419.9</v>
      </c>
      <c r="AC261" s="276">
        <f>IF(AI261=1,IF(AC260=MiscData!$F$1,EOMONTH(AC260,-11),EOMONTH(AC260,1)),AC260)</f>
        <v>41759</v>
      </c>
      <c r="AD261" s="275" t="str">
        <f t="shared" si="113"/>
        <v>20140101LGUM_423</v>
      </c>
      <c r="AE261" s="294" t="str">
        <f t="shared" si="114"/>
        <v xml:space="preserve">20140101LS </v>
      </c>
      <c r="AF261" s="618" t="str">
        <f t="shared" ref="AF261:AF324" si="139">RIGHT(AJ261,3)</f>
        <v>423</v>
      </c>
      <c r="AH261" s="265">
        <f>MiscData!$X$5</f>
        <v>20140101</v>
      </c>
      <c r="AI261" s="265">
        <f>IF(AI260+1&gt;MiscData!$AC$77,1,AI260+1)</f>
        <v>39</v>
      </c>
      <c r="AJ261" s="265" t="str">
        <f>VLOOKUP(AI261,MiscData!$AC$5:$AD$77,2,FALSE)</f>
        <v>LGUM_423</v>
      </c>
      <c r="AK261" s="265" t="str">
        <f>VLOOKUP(AJ261,MiscData!$AD$5:$AE$77,2,FALSE)</f>
        <v xml:space="preserve">LS </v>
      </c>
      <c r="AT261" s="265" t="s">
        <v>374</v>
      </c>
      <c r="AV261" s="265">
        <v>121.51</v>
      </c>
    </row>
    <row r="262" spans="1:48">
      <c r="A262" s="275">
        <f t="shared" si="106"/>
        <v>259</v>
      </c>
      <c r="B262" s="276" t="str">
        <f t="shared" si="118"/>
        <v>Apr 2014</v>
      </c>
      <c r="C262" s="277" t="str">
        <f t="shared" si="119"/>
        <v xml:space="preserve">LS </v>
      </c>
      <c r="D262" s="277" t="str">
        <f t="shared" si="120"/>
        <v>LGUM_424</v>
      </c>
      <c r="E262" s="614">
        <f t="shared" si="121"/>
        <v>439</v>
      </c>
      <c r="F262" s="615">
        <f t="shared" si="115"/>
        <v>0</v>
      </c>
      <c r="G262" s="614">
        <f t="shared" si="122"/>
        <v>42565</v>
      </c>
      <c r="H262" s="615">
        <v>0</v>
      </c>
      <c r="I262" s="283">
        <f t="shared" si="123"/>
        <v>28.45</v>
      </c>
      <c r="J262" s="283">
        <f t="shared" si="124"/>
        <v>3.9800000000000004</v>
      </c>
      <c r="K262" s="285">
        <f t="shared" si="125"/>
        <v>12489.55</v>
      </c>
      <c r="L262" s="286">
        <f t="shared" si="126"/>
        <v>214.25</v>
      </c>
      <c r="M262" s="286">
        <f t="shared" si="127"/>
        <v>0</v>
      </c>
      <c r="N262" s="285">
        <f t="shared" si="128"/>
        <v>12703.8</v>
      </c>
      <c r="O262" s="616">
        <f t="shared" si="116"/>
        <v>12703.8</v>
      </c>
      <c r="P262" s="289">
        <f t="shared" si="129"/>
        <v>1</v>
      </c>
      <c r="Q262" s="290">
        <f t="shared" si="130"/>
        <v>65.23</v>
      </c>
      <c r="R262" s="290">
        <f t="shared" si="131"/>
        <v>237.89</v>
      </c>
      <c r="S262" s="290">
        <f t="shared" si="132"/>
        <v>0</v>
      </c>
      <c r="T262" s="290">
        <f t="shared" si="133"/>
        <v>13006.92</v>
      </c>
      <c r="U262" s="291">
        <f t="shared" si="134"/>
        <v>13006.919999999998</v>
      </c>
      <c r="V262" s="291">
        <f t="shared" si="137"/>
        <v>0</v>
      </c>
      <c r="W262" s="617">
        <f t="shared" si="117"/>
        <v>0</v>
      </c>
      <c r="X262" s="291">
        <f t="shared" si="138"/>
        <v>0</v>
      </c>
      <c r="Y262" s="170">
        <f t="shared" si="135"/>
        <v>1747.22</v>
      </c>
      <c r="Z262" s="291">
        <f t="shared" si="136"/>
        <v>10956.58</v>
      </c>
      <c r="AC262" s="276">
        <f>IF(AI262=1,IF(AC261=MiscData!$F$1,EOMONTH(AC261,-11),EOMONTH(AC261,1)),AC261)</f>
        <v>41759</v>
      </c>
      <c r="AD262" s="275" t="str">
        <f t="shared" ref="AD262:AD291" si="140">CONCATENATE(AH262&amp;AJ262)</f>
        <v>20140101LGUM_424</v>
      </c>
      <c r="AE262" s="294" t="str">
        <f t="shared" ref="AE262:AE291" si="141">CONCATENATE(AH262&amp;AK262)</f>
        <v xml:space="preserve">20140101LS </v>
      </c>
      <c r="AF262" s="618" t="str">
        <f t="shared" si="139"/>
        <v>424</v>
      </c>
      <c r="AH262" s="265">
        <f>MiscData!$X$5</f>
        <v>20140101</v>
      </c>
      <c r="AI262" s="265">
        <f>IF(AI261+1&gt;MiscData!$AC$77,1,AI261+1)</f>
        <v>40</v>
      </c>
      <c r="AJ262" s="265" t="str">
        <f>VLOOKUP(AI262,MiscData!$AC$5:$AD$77,2,FALSE)</f>
        <v>LGUM_424</v>
      </c>
      <c r="AK262" s="265" t="str">
        <f>VLOOKUP(AJ262,MiscData!$AD$5:$AE$77,2,FALSE)</f>
        <v xml:space="preserve">LS </v>
      </c>
      <c r="AT262" s="265" t="s">
        <v>164</v>
      </c>
      <c r="AV262" s="265">
        <v>-6.63</v>
      </c>
    </row>
    <row r="263" spans="1:48">
      <c r="A263" s="275">
        <f t="shared" ref="A263:A326" si="142">A262+1</f>
        <v>260</v>
      </c>
      <c r="B263" s="276" t="str">
        <f t="shared" si="118"/>
        <v>Apr 2014</v>
      </c>
      <c r="C263" s="277" t="str">
        <f t="shared" si="119"/>
        <v xml:space="preserve">LS </v>
      </c>
      <c r="D263" s="277" t="str">
        <f t="shared" si="120"/>
        <v>LGUM_425</v>
      </c>
      <c r="E263" s="614">
        <f t="shared" si="121"/>
        <v>35</v>
      </c>
      <c r="F263" s="615">
        <f t="shared" si="115"/>
        <v>0</v>
      </c>
      <c r="G263" s="614">
        <f t="shared" si="122"/>
        <v>5288</v>
      </c>
      <c r="H263" s="615">
        <v>0</v>
      </c>
      <c r="I263" s="283">
        <f t="shared" si="123"/>
        <v>34.029999999999994</v>
      </c>
      <c r="J263" s="283">
        <f t="shared" si="124"/>
        <v>4.2799999999999976</v>
      </c>
      <c r="K263" s="285">
        <f t="shared" si="125"/>
        <v>1191.05</v>
      </c>
      <c r="L263" s="286">
        <f t="shared" si="126"/>
        <v>0</v>
      </c>
      <c r="M263" s="286">
        <f t="shared" si="127"/>
        <v>0</v>
      </c>
      <c r="N263" s="285">
        <f t="shared" si="128"/>
        <v>1191.05</v>
      </c>
      <c r="O263" s="616">
        <f t="shared" si="116"/>
        <v>1191.05</v>
      </c>
      <c r="P263" s="289">
        <f t="shared" si="129"/>
        <v>1</v>
      </c>
      <c r="Q263" s="290">
        <f t="shared" si="130"/>
        <v>8.2200000000000006</v>
      </c>
      <c r="R263" s="290">
        <f t="shared" si="131"/>
        <v>22.29</v>
      </c>
      <c r="S263" s="290">
        <f t="shared" si="132"/>
        <v>0</v>
      </c>
      <c r="T263" s="290">
        <f t="shared" si="133"/>
        <v>1221.56</v>
      </c>
      <c r="U263" s="291">
        <f t="shared" si="134"/>
        <v>1221.56</v>
      </c>
      <c r="V263" s="291">
        <f t="shared" si="137"/>
        <v>0</v>
      </c>
      <c r="W263" s="617">
        <f t="shared" si="117"/>
        <v>0</v>
      </c>
      <c r="X263" s="291">
        <f t="shared" si="138"/>
        <v>0</v>
      </c>
      <c r="Y263" s="170">
        <f t="shared" si="135"/>
        <v>149.80000000000001</v>
      </c>
      <c r="Z263" s="291">
        <f t="shared" si="136"/>
        <v>1041.25</v>
      </c>
      <c r="AC263" s="276">
        <f>IF(AI263=1,IF(AC262=MiscData!$F$1,EOMONTH(AC262,-11),EOMONTH(AC262,1)),AC262)</f>
        <v>41759</v>
      </c>
      <c r="AD263" s="275" t="str">
        <f t="shared" si="140"/>
        <v>20140101LGUM_425</v>
      </c>
      <c r="AE263" s="294" t="str">
        <f t="shared" si="141"/>
        <v xml:space="preserve">20140101LS </v>
      </c>
      <c r="AF263" s="618" t="str">
        <f t="shared" si="139"/>
        <v>425</v>
      </c>
      <c r="AH263" s="265">
        <f>MiscData!$X$5</f>
        <v>20140101</v>
      </c>
      <c r="AI263" s="265">
        <f>IF(AI262+1&gt;MiscData!$AC$77,1,AI262+1)</f>
        <v>41</v>
      </c>
      <c r="AJ263" s="265" t="str">
        <f>VLOOKUP(AI263,MiscData!$AC$5:$AD$77,2,FALSE)</f>
        <v>LGUM_425</v>
      </c>
      <c r="AK263" s="265" t="str">
        <f>VLOOKUP(AJ263,MiscData!$AD$5:$AE$77,2,FALSE)</f>
        <v xml:space="preserve">LS </v>
      </c>
      <c r="AT263" s="265" t="s">
        <v>165</v>
      </c>
      <c r="AV263" s="265">
        <v>-118.11</v>
      </c>
    </row>
    <row r="264" spans="1:48">
      <c r="A264" s="275">
        <f t="shared" si="142"/>
        <v>261</v>
      </c>
      <c r="B264" s="276" t="str">
        <f t="shared" si="118"/>
        <v>Apr 2014</v>
      </c>
      <c r="C264" s="277" t="str">
        <f t="shared" si="119"/>
        <v>RLS</v>
      </c>
      <c r="D264" s="277" t="str">
        <f t="shared" si="120"/>
        <v>LGUM_426</v>
      </c>
      <c r="E264" s="614">
        <f t="shared" si="121"/>
        <v>41</v>
      </c>
      <c r="F264" s="615">
        <f t="shared" si="115"/>
        <v>0</v>
      </c>
      <c r="G264" s="614">
        <f t="shared" si="122"/>
        <v>1065</v>
      </c>
      <c r="H264" s="615">
        <v>0</v>
      </c>
      <c r="I264" s="283">
        <f t="shared" si="123"/>
        <v>33.22</v>
      </c>
      <c r="J264" s="283">
        <f t="shared" si="124"/>
        <v>0.75</v>
      </c>
      <c r="K264" s="285">
        <f t="shared" si="125"/>
        <v>1362.02</v>
      </c>
      <c r="L264" s="286">
        <f t="shared" si="126"/>
        <v>0</v>
      </c>
      <c r="M264" s="286">
        <f t="shared" si="127"/>
        <v>0</v>
      </c>
      <c r="N264" s="285">
        <f t="shared" si="128"/>
        <v>1362.02</v>
      </c>
      <c r="O264" s="616">
        <f t="shared" si="116"/>
        <v>1362.02</v>
      </c>
      <c r="P264" s="289">
        <f t="shared" si="129"/>
        <v>1</v>
      </c>
      <c r="Q264" s="290">
        <f t="shared" si="130"/>
        <v>1.58</v>
      </c>
      <c r="R264" s="290">
        <f t="shared" si="131"/>
        <v>25.9</v>
      </c>
      <c r="S264" s="290">
        <f t="shared" si="132"/>
        <v>0</v>
      </c>
      <c r="T264" s="290">
        <f t="shared" si="133"/>
        <v>1410.86</v>
      </c>
      <c r="U264" s="291">
        <f t="shared" si="134"/>
        <v>1389.5</v>
      </c>
      <c r="V264" s="291">
        <f t="shared" si="137"/>
        <v>21.36</v>
      </c>
      <c r="W264" s="617">
        <f t="shared" si="117"/>
        <v>21.36</v>
      </c>
      <c r="X264" s="291">
        <f t="shared" si="138"/>
        <v>0</v>
      </c>
      <c r="Y264" s="170">
        <f t="shared" si="135"/>
        <v>30.75</v>
      </c>
      <c r="Z264" s="291">
        <f t="shared" si="136"/>
        <v>1331.27</v>
      </c>
      <c r="AC264" s="276">
        <f>IF(AI264=1,IF(AC263=MiscData!$F$1,EOMONTH(AC263,-11),EOMONTH(AC263,1)),AC263)</f>
        <v>41759</v>
      </c>
      <c r="AD264" s="275" t="str">
        <f t="shared" si="140"/>
        <v>20140101LGUM_426</v>
      </c>
      <c r="AE264" s="294" t="str">
        <f t="shared" si="141"/>
        <v>20140101RLS</v>
      </c>
      <c r="AF264" s="618" t="str">
        <f t="shared" si="139"/>
        <v>426</v>
      </c>
      <c r="AH264" s="265">
        <f>MiscData!$X$5</f>
        <v>20140101</v>
      </c>
      <c r="AI264" s="265">
        <f>IF(AI263+1&gt;MiscData!$AC$77,1,AI263+1)</f>
        <v>42</v>
      </c>
      <c r="AJ264" s="265" t="str">
        <f>VLOOKUP(AI264,MiscData!$AC$5:$AD$77,2,FALSE)</f>
        <v>LGUM_426</v>
      </c>
      <c r="AK264" s="265" t="str">
        <f>VLOOKUP(AJ264,MiscData!$AD$5:$AE$77,2,FALSE)</f>
        <v>RLS</v>
      </c>
      <c r="AT264" s="265" t="s">
        <v>166</v>
      </c>
      <c r="AV264" s="265">
        <v>-44.46</v>
      </c>
    </row>
    <row r="265" spans="1:48">
      <c r="A265" s="275">
        <f t="shared" si="142"/>
        <v>262</v>
      </c>
      <c r="B265" s="276" t="str">
        <f t="shared" si="118"/>
        <v>Apr 2014</v>
      </c>
      <c r="C265" s="277" t="str">
        <f t="shared" si="119"/>
        <v xml:space="preserve">LS </v>
      </c>
      <c r="D265" s="277" t="str">
        <f t="shared" si="120"/>
        <v>LGUM_427</v>
      </c>
      <c r="E265" s="614">
        <f t="shared" si="121"/>
        <v>53</v>
      </c>
      <c r="F265" s="615">
        <f t="shared" si="115"/>
        <v>0</v>
      </c>
      <c r="G265" s="614">
        <f t="shared" si="122"/>
        <v>1376</v>
      </c>
      <c r="H265" s="615">
        <v>0</v>
      </c>
      <c r="I265" s="283">
        <f t="shared" si="123"/>
        <v>35.199999999999996</v>
      </c>
      <c r="J265" s="283">
        <f t="shared" si="124"/>
        <v>0.75</v>
      </c>
      <c r="K265" s="285">
        <f t="shared" si="125"/>
        <v>1865.6</v>
      </c>
      <c r="L265" s="286">
        <f t="shared" si="126"/>
        <v>0</v>
      </c>
      <c r="M265" s="286">
        <f t="shared" si="127"/>
        <v>0</v>
      </c>
      <c r="N265" s="285">
        <f t="shared" si="128"/>
        <v>1865.6</v>
      </c>
      <c r="O265" s="616">
        <f t="shared" si="116"/>
        <v>1865.6</v>
      </c>
      <c r="P265" s="289">
        <f t="shared" si="129"/>
        <v>1</v>
      </c>
      <c r="Q265" s="290">
        <f t="shared" si="130"/>
        <v>2.04</v>
      </c>
      <c r="R265" s="290">
        <f t="shared" si="131"/>
        <v>35.869999999999997</v>
      </c>
      <c r="S265" s="290">
        <f t="shared" si="132"/>
        <v>0</v>
      </c>
      <c r="T265" s="290">
        <f t="shared" si="133"/>
        <v>1954.37</v>
      </c>
      <c r="U265" s="291">
        <f t="shared" si="134"/>
        <v>1903.5099999999998</v>
      </c>
      <c r="V265" s="291">
        <f t="shared" si="137"/>
        <v>50.86</v>
      </c>
      <c r="W265" s="617">
        <f t="shared" si="117"/>
        <v>50.86</v>
      </c>
      <c r="X265" s="291">
        <f t="shared" si="138"/>
        <v>0</v>
      </c>
      <c r="Y265" s="170">
        <f t="shared" si="135"/>
        <v>39.75</v>
      </c>
      <c r="Z265" s="291">
        <f t="shared" si="136"/>
        <v>1825.85</v>
      </c>
      <c r="AC265" s="276">
        <f>IF(AI265=1,IF(AC264=MiscData!$F$1,EOMONTH(AC264,-11),EOMONTH(AC264,1)),AC264)</f>
        <v>41759</v>
      </c>
      <c r="AD265" s="275" t="str">
        <f t="shared" si="140"/>
        <v>20140101LGUM_427</v>
      </c>
      <c r="AE265" s="294" t="str">
        <f t="shared" si="141"/>
        <v xml:space="preserve">20140101LS </v>
      </c>
      <c r="AF265" s="618" t="str">
        <f t="shared" si="139"/>
        <v>427</v>
      </c>
      <c r="AH265" s="265">
        <f>MiscData!$X$5</f>
        <v>20140101</v>
      </c>
      <c r="AI265" s="265">
        <f>IF(AI264+1&gt;MiscData!$AC$77,1,AI264+1)</f>
        <v>43</v>
      </c>
      <c r="AJ265" s="265" t="str">
        <f>VLOOKUP(AI265,MiscData!$AC$5:$AD$77,2,FALSE)</f>
        <v>LGUM_427</v>
      </c>
      <c r="AK265" s="265" t="str">
        <f>VLOOKUP(AJ265,MiscData!$AD$5:$AE$77,2,FALSE)</f>
        <v xml:space="preserve">LS </v>
      </c>
      <c r="AT265" s="265" t="s">
        <v>167</v>
      </c>
      <c r="AV265" s="265">
        <v>0</v>
      </c>
    </row>
    <row r="266" spans="1:48">
      <c r="A266" s="275">
        <f t="shared" si="142"/>
        <v>263</v>
      </c>
      <c r="B266" s="276" t="str">
        <f t="shared" si="118"/>
        <v>Apr 2014</v>
      </c>
      <c r="C266" s="277" t="str">
        <f t="shared" si="119"/>
        <v>RLS</v>
      </c>
      <c r="D266" s="277" t="str">
        <f t="shared" si="120"/>
        <v>LGUM_428</v>
      </c>
      <c r="E266" s="614">
        <f t="shared" si="121"/>
        <v>208</v>
      </c>
      <c r="F266" s="615">
        <f t="shared" si="115"/>
        <v>0</v>
      </c>
      <c r="G266" s="614">
        <f t="shared" si="122"/>
        <v>7638</v>
      </c>
      <c r="H266" s="615">
        <v>0</v>
      </c>
      <c r="I266" s="283">
        <f t="shared" si="123"/>
        <v>34.090000000000003</v>
      </c>
      <c r="J266" s="283">
        <f t="shared" si="124"/>
        <v>1.0600000000000023</v>
      </c>
      <c r="K266" s="285">
        <f t="shared" si="125"/>
        <v>7090.72</v>
      </c>
      <c r="L266" s="286">
        <f t="shared" si="126"/>
        <v>0</v>
      </c>
      <c r="M266" s="286">
        <f t="shared" si="127"/>
        <v>0</v>
      </c>
      <c r="N266" s="285">
        <f t="shared" si="128"/>
        <v>7090.72</v>
      </c>
      <c r="O266" s="616">
        <f t="shared" si="116"/>
        <v>7090.7199999999993</v>
      </c>
      <c r="P266" s="289">
        <f t="shared" si="129"/>
        <v>0.99999999999999989</v>
      </c>
      <c r="Q266" s="290">
        <f t="shared" si="130"/>
        <v>11.39</v>
      </c>
      <c r="R266" s="290">
        <f t="shared" si="131"/>
        <v>137.81</v>
      </c>
      <c r="S266" s="290">
        <f t="shared" si="132"/>
        <v>0</v>
      </c>
      <c r="T266" s="290">
        <f t="shared" si="133"/>
        <v>7506.19</v>
      </c>
      <c r="U266" s="291">
        <f t="shared" si="134"/>
        <v>7239.920000000001</v>
      </c>
      <c r="V266" s="291">
        <f t="shared" si="137"/>
        <v>266.27</v>
      </c>
      <c r="W266" s="617">
        <f t="shared" si="117"/>
        <v>266.27</v>
      </c>
      <c r="X266" s="291">
        <f t="shared" si="138"/>
        <v>0</v>
      </c>
      <c r="Y266" s="170">
        <f t="shared" si="135"/>
        <v>220.48</v>
      </c>
      <c r="Z266" s="291">
        <f t="shared" si="136"/>
        <v>6870.24</v>
      </c>
      <c r="AC266" s="276">
        <f>IF(AI266=1,IF(AC265=MiscData!$F$1,EOMONTH(AC265,-11),EOMONTH(AC265,1)),AC265)</f>
        <v>41759</v>
      </c>
      <c r="AD266" s="275" t="str">
        <f t="shared" si="140"/>
        <v>20140101LGUM_428</v>
      </c>
      <c r="AE266" s="294" t="str">
        <f t="shared" si="141"/>
        <v>20140101RLS</v>
      </c>
      <c r="AF266" s="618" t="str">
        <f t="shared" si="139"/>
        <v>428</v>
      </c>
      <c r="AH266" s="265">
        <f>MiscData!$X$5</f>
        <v>20140101</v>
      </c>
      <c r="AI266" s="265">
        <f>IF(AI265+1&gt;MiscData!$AC$77,1,AI265+1)</f>
        <v>44</v>
      </c>
      <c r="AJ266" s="265" t="str">
        <f>VLOOKUP(AI266,MiscData!$AC$5:$AD$77,2,FALSE)</f>
        <v>LGUM_428</v>
      </c>
      <c r="AK266" s="265" t="str">
        <f>VLOOKUP(AJ266,MiscData!$AD$5:$AE$77,2,FALSE)</f>
        <v>RLS</v>
      </c>
      <c r="AT266" s="265" t="s">
        <v>168</v>
      </c>
      <c r="AV266" s="265">
        <v>0</v>
      </c>
    </row>
    <row r="267" spans="1:48">
      <c r="A267" s="275">
        <f t="shared" si="142"/>
        <v>264</v>
      </c>
      <c r="B267" s="276" t="str">
        <f t="shared" si="118"/>
        <v>Apr 2014</v>
      </c>
      <c r="C267" s="277" t="str">
        <f t="shared" si="119"/>
        <v xml:space="preserve">LS </v>
      </c>
      <c r="D267" s="277" t="str">
        <f t="shared" si="120"/>
        <v>LGUM_429</v>
      </c>
      <c r="E267" s="614">
        <f t="shared" si="121"/>
        <v>225</v>
      </c>
      <c r="F267" s="615">
        <f t="shared" si="115"/>
        <v>0</v>
      </c>
      <c r="G267" s="614">
        <f t="shared" si="122"/>
        <v>7121</v>
      </c>
      <c r="H267" s="615">
        <v>0</v>
      </c>
      <c r="I267" s="283">
        <f t="shared" si="123"/>
        <v>36.07</v>
      </c>
      <c r="J267" s="283">
        <f t="shared" si="124"/>
        <v>1.0599999999999952</v>
      </c>
      <c r="K267" s="285">
        <f t="shared" si="125"/>
        <v>8115.75</v>
      </c>
      <c r="L267" s="286">
        <f t="shared" si="126"/>
        <v>-807.96</v>
      </c>
      <c r="M267" s="286">
        <f t="shared" si="127"/>
        <v>0</v>
      </c>
      <c r="N267" s="285">
        <f t="shared" si="128"/>
        <v>7307.79</v>
      </c>
      <c r="O267" s="616">
        <f t="shared" si="116"/>
        <v>7307.79</v>
      </c>
      <c r="P267" s="289">
        <f t="shared" si="129"/>
        <v>1</v>
      </c>
      <c r="Q267" s="290">
        <f t="shared" si="130"/>
        <v>11.68</v>
      </c>
      <c r="R267" s="290">
        <f t="shared" si="131"/>
        <v>147.68</v>
      </c>
      <c r="S267" s="290">
        <f t="shared" si="132"/>
        <v>0</v>
      </c>
      <c r="T267" s="290">
        <f t="shared" si="133"/>
        <v>8136.9</v>
      </c>
      <c r="U267" s="291">
        <f t="shared" si="134"/>
        <v>7467.1500000000005</v>
      </c>
      <c r="V267" s="291">
        <f t="shared" si="137"/>
        <v>669.75</v>
      </c>
      <c r="W267" s="617">
        <f t="shared" si="117"/>
        <v>669.75</v>
      </c>
      <c r="X267" s="291">
        <f t="shared" si="138"/>
        <v>0</v>
      </c>
      <c r="Y267" s="170">
        <f t="shared" si="135"/>
        <v>238.5</v>
      </c>
      <c r="Z267" s="291">
        <f t="shared" si="136"/>
        <v>7069.29</v>
      </c>
      <c r="AC267" s="276">
        <f>IF(AI267=1,IF(AC266=MiscData!$F$1,EOMONTH(AC266,-11),EOMONTH(AC266,1)),AC266)</f>
        <v>41759</v>
      </c>
      <c r="AD267" s="275" t="str">
        <f t="shared" si="140"/>
        <v>20140101LGUM_429</v>
      </c>
      <c r="AE267" s="294" t="str">
        <f t="shared" si="141"/>
        <v xml:space="preserve">20140101LS </v>
      </c>
      <c r="AF267" s="618" t="str">
        <f t="shared" si="139"/>
        <v>429</v>
      </c>
      <c r="AH267" s="265">
        <f>MiscData!$X$5</f>
        <v>20140101</v>
      </c>
      <c r="AI267" s="265">
        <f>IF(AI266+1&gt;MiscData!$AC$77,1,AI266+1)</f>
        <v>45</v>
      </c>
      <c r="AJ267" s="265" t="str">
        <f>VLOOKUP(AI267,MiscData!$AC$5:$AD$77,2,FALSE)</f>
        <v>LGUM_429</v>
      </c>
      <c r="AK267" s="265" t="str">
        <f>VLOOKUP(AJ267,MiscData!$AD$5:$AE$77,2,FALSE)</f>
        <v xml:space="preserve">LS </v>
      </c>
      <c r="AT267" s="265" t="s">
        <v>504</v>
      </c>
      <c r="AV267" s="265">
        <v>0</v>
      </c>
    </row>
    <row r="268" spans="1:48">
      <c r="A268" s="275">
        <f t="shared" si="142"/>
        <v>265</v>
      </c>
      <c r="B268" s="276" t="str">
        <f t="shared" si="118"/>
        <v>Apr 2014</v>
      </c>
      <c r="C268" s="277" t="str">
        <f t="shared" si="119"/>
        <v>RLS</v>
      </c>
      <c r="D268" s="277" t="str">
        <f t="shared" si="120"/>
        <v>LGUM_430</v>
      </c>
      <c r="E268" s="614">
        <f t="shared" si="121"/>
        <v>13</v>
      </c>
      <c r="F268" s="615">
        <f t="shared" si="115"/>
        <v>0</v>
      </c>
      <c r="G268" s="614">
        <f t="shared" si="122"/>
        <v>349</v>
      </c>
      <c r="H268" s="615">
        <v>0</v>
      </c>
      <c r="I268" s="283">
        <f t="shared" si="123"/>
        <v>32.26</v>
      </c>
      <c r="J268" s="283">
        <f t="shared" si="124"/>
        <v>0.75</v>
      </c>
      <c r="K268" s="285">
        <f t="shared" si="125"/>
        <v>419.38</v>
      </c>
      <c r="L268" s="286">
        <f t="shared" si="126"/>
        <v>0</v>
      </c>
      <c r="M268" s="286">
        <f t="shared" si="127"/>
        <v>0</v>
      </c>
      <c r="N268" s="285">
        <f t="shared" si="128"/>
        <v>419.38</v>
      </c>
      <c r="O268" s="616">
        <f t="shared" si="116"/>
        <v>419.38</v>
      </c>
      <c r="P268" s="289">
        <f t="shared" si="129"/>
        <v>1</v>
      </c>
      <c r="Q268" s="290">
        <f t="shared" si="130"/>
        <v>0.52</v>
      </c>
      <c r="R268" s="290">
        <f t="shared" si="131"/>
        <v>7.85</v>
      </c>
      <c r="S268" s="290">
        <f t="shared" si="132"/>
        <v>0</v>
      </c>
      <c r="T268" s="290">
        <f t="shared" si="133"/>
        <v>427.75</v>
      </c>
      <c r="U268" s="291">
        <f t="shared" si="134"/>
        <v>427.75</v>
      </c>
      <c r="V268" s="291">
        <f t="shared" si="137"/>
        <v>0</v>
      </c>
      <c r="W268" s="617">
        <f t="shared" si="117"/>
        <v>0</v>
      </c>
      <c r="X268" s="291">
        <f t="shared" si="138"/>
        <v>0</v>
      </c>
      <c r="Y268" s="170">
        <f t="shared" si="135"/>
        <v>9.75</v>
      </c>
      <c r="Z268" s="291">
        <f t="shared" si="136"/>
        <v>409.63</v>
      </c>
      <c r="AC268" s="276">
        <f>IF(AI268=1,IF(AC267=MiscData!$F$1,EOMONTH(AC267,-11),EOMONTH(AC267,1)),AC267)</f>
        <v>41759</v>
      </c>
      <c r="AD268" s="275" t="str">
        <f t="shared" si="140"/>
        <v>20140101LGUM_430</v>
      </c>
      <c r="AE268" s="294" t="str">
        <f t="shared" si="141"/>
        <v>20140101RLS</v>
      </c>
      <c r="AF268" s="618" t="str">
        <f t="shared" si="139"/>
        <v>430</v>
      </c>
      <c r="AH268" s="265">
        <f>MiscData!$X$5</f>
        <v>20140101</v>
      </c>
      <c r="AI268" s="265">
        <f>IF(AI267+1&gt;MiscData!$AC$77,1,AI267+1)</f>
        <v>46</v>
      </c>
      <c r="AJ268" s="265" t="str">
        <f>VLOOKUP(AI268,MiscData!$AC$5:$AD$77,2,FALSE)</f>
        <v>LGUM_430</v>
      </c>
      <c r="AK268" s="265" t="str">
        <f>VLOOKUP(AJ268,MiscData!$AD$5:$AE$77,2,FALSE)</f>
        <v>RLS</v>
      </c>
      <c r="AT268" s="265" t="s">
        <v>169</v>
      </c>
      <c r="AV268" s="265">
        <v>0</v>
      </c>
    </row>
    <row r="269" spans="1:48">
      <c r="A269" s="275">
        <f t="shared" si="142"/>
        <v>266</v>
      </c>
      <c r="B269" s="276" t="str">
        <f t="shared" si="118"/>
        <v>Apr 2014</v>
      </c>
      <c r="C269" s="277" t="str">
        <f t="shared" si="119"/>
        <v xml:space="preserve">LS </v>
      </c>
      <c r="D269" s="277" t="str">
        <f t="shared" si="120"/>
        <v>LGUM_431</v>
      </c>
      <c r="E269" s="614">
        <f t="shared" si="121"/>
        <v>45</v>
      </c>
      <c r="F269" s="615">
        <f t="shared" si="115"/>
        <v>0</v>
      </c>
      <c r="G269" s="614">
        <f t="shared" si="122"/>
        <v>1195</v>
      </c>
      <c r="H269" s="615">
        <v>0</v>
      </c>
      <c r="I269" s="283">
        <f t="shared" si="123"/>
        <v>32.93</v>
      </c>
      <c r="J269" s="283">
        <f t="shared" si="124"/>
        <v>0.75</v>
      </c>
      <c r="K269" s="285">
        <f t="shared" si="125"/>
        <v>1481.85</v>
      </c>
      <c r="L269" s="286">
        <f t="shared" si="126"/>
        <v>0</v>
      </c>
      <c r="M269" s="286">
        <f t="shared" si="127"/>
        <v>0</v>
      </c>
      <c r="N269" s="285">
        <f t="shared" si="128"/>
        <v>1481.85</v>
      </c>
      <c r="O269" s="616">
        <f t="shared" si="116"/>
        <v>1481.85</v>
      </c>
      <c r="P269" s="289">
        <f t="shared" si="129"/>
        <v>1</v>
      </c>
      <c r="Q269" s="290">
        <f t="shared" si="130"/>
        <v>1.79</v>
      </c>
      <c r="R269" s="290">
        <f t="shared" si="131"/>
        <v>30.86</v>
      </c>
      <c r="S269" s="290">
        <f t="shared" si="132"/>
        <v>0</v>
      </c>
      <c r="T269" s="290">
        <f t="shared" si="133"/>
        <v>1680.48</v>
      </c>
      <c r="U269" s="291">
        <f t="shared" si="134"/>
        <v>1514.4999999999998</v>
      </c>
      <c r="V269" s="291">
        <f t="shared" si="137"/>
        <v>165.98</v>
      </c>
      <c r="W269" s="617">
        <f t="shared" si="117"/>
        <v>165.98</v>
      </c>
      <c r="X269" s="291">
        <f t="shared" si="138"/>
        <v>0</v>
      </c>
      <c r="Y269" s="170">
        <f t="shared" si="135"/>
        <v>33.75</v>
      </c>
      <c r="Z269" s="291">
        <f t="shared" si="136"/>
        <v>1448.1</v>
      </c>
      <c r="AC269" s="276">
        <f>IF(AI269=1,IF(AC268=MiscData!$F$1,EOMONTH(AC268,-11),EOMONTH(AC268,1)),AC268)</f>
        <v>41759</v>
      </c>
      <c r="AD269" s="275" t="str">
        <f t="shared" si="140"/>
        <v>20140101LGUM_431</v>
      </c>
      <c r="AE269" s="294" t="str">
        <f t="shared" si="141"/>
        <v xml:space="preserve">20140101LS </v>
      </c>
      <c r="AF269" s="618" t="str">
        <f t="shared" si="139"/>
        <v>431</v>
      </c>
      <c r="AH269" s="265">
        <f>MiscData!$X$5</f>
        <v>20140101</v>
      </c>
      <c r="AI269" s="265">
        <f>IF(AI268+1&gt;MiscData!$AC$77,1,AI268+1)</f>
        <v>47</v>
      </c>
      <c r="AJ269" s="265" t="str">
        <f>VLOOKUP(AI269,MiscData!$AC$5:$AD$77,2,FALSE)</f>
        <v>LGUM_431</v>
      </c>
      <c r="AK269" s="265" t="str">
        <f>VLOOKUP(AJ269,MiscData!$AD$5:$AE$77,2,FALSE)</f>
        <v xml:space="preserve">LS </v>
      </c>
      <c r="AT269" s="265" t="s">
        <v>170</v>
      </c>
      <c r="AV269" s="265">
        <v>0</v>
      </c>
    </row>
    <row r="270" spans="1:48">
      <c r="A270" s="275">
        <f t="shared" si="142"/>
        <v>267</v>
      </c>
      <c r="B270" s="276" t="str">
        <f t="shared" si="118"/>
        <v>Apr 2014</v>
      </c>
      <c r="C270" s="277" t="str">
        <f t="shared" si="119"/>
        <v>RLS</v>
      </c>
      <c r="D270" s="277" t="str">
        <f t="shared" si="120"/>
        <v>LGUM_432</v>
      </c>
      <c r="E270" s="614">
        <f t="shared" si="121"/>
        <v>10</v>
      </c>
      <c r="F270" s="615">
        <f t="shared" si="115"/>
        <v>0</v>
      </c>
      <c r="G270" s="614">
        <f t="shared" si="122"/>
        <v>369</v>
      </c>
      <c r="H270" s="615">
        <v>0</v>
      </c>
      <c r="I270" s="283">
        <f t="shared" si="123"/>
        <v>34.330000000000005</v>
      </c>
      <c r="J270" s="283">
        <f t="shared" si="124"/>
        <v>1.0600000000000023</v>
      </c>
      <c r="K270" s="285">
        <f t="shared" si="125"/>
        <v>343.3</v>
      </c>
      <c r="L270" s="286">
        <f t="shared" si="126"/>
        <v>0</v>
      </c>
      <c r="M270" s="286">
        <f t="shared" si="127"/>
        <v>0</v>
      </c>
      <c r="N270" s="285">
        <f t="shared" si="128"/>
        <v>343.3</v>
      </c>
      <c r="O270" s="616">
        <f t="shared" si="116"/>
        <v>343.29999999999995</v>
      </c>
      <c r="P270" s="289">
        <f t="shared" si="129"/>
        <v>0.99999999999999989</v>
      </c>
      <c r="Q270" s="290">
        <f t="shared" si="130"/>
        <v>0.55000000000000004</v>
      </c>
      <c r="R270" s="290">
        <f t="shared" si="131"/>
        <v>6.5</v>
      </c>
      <c r="S270" s="290">
        <f t="shared" si="132"/>
        <v>0</v>
      </c>
      <c r="T270" s="290">
        <f t="shared" si="133"/>
        <v>353.82</v>
      </c>
      <c r="U270" s="291">
        <f t="shared" si="134"/>
        <v>350.35</v>
      </c>
      <c r="V270" s="291">
        <f t="shared" si="137"/>
        <v>3.47</v>
      </c>
      <c r="W270" s="617">
        <f t="shared" si="117"/>
        <v>3.47</v>
      </c>
      <c r="X270" s="291">
        <f t="shared" si="138"/>
        <v>0</v>
      </c>
      <c r="Y270" s="170">
        <f t="shared" si="135"/>
        <v>10.6</v>
      </c>
      <c r="Z270" s="291">
        <f t="shared" si="136"/>
        <v>332.69999999999993</v>
      </c>
      <c r="AC270" s="276">
        <f>IF(AI270=1,IF(AC269=MiscData!$F$1,EOMONTH(AC269,-11),EOMONTH(AC269,1)),AC269)</f>
        <v>41759</v>
      </c>
      <c r="AD270" s="275" t="str">
        <f t="shared" si="140"/>
        <v>20140101LGUM_432</v>
      </c>
      <c r="AE270" s="294" t="str">
        <f t="shared" si="141"/>
        <v>20140101RLS</v>
      </c>
      <c r="AF270" s="618" t="str">
        <f t="shared" si="139"/>
        <v>432</v>
      </c>
      <c r="AH270" s="265">
        <f>MiscData!$X$5</f>
        <v>20140101</v>
      </c>
      <c r="AI270" s="265">
        <f>IF(AI269+1&gt;MiscData!$AC$77,1,AI269+1)</f>
        <v>48</v>
      </c>
      <c r="AJ270" s="265" t="str">
        <f>VLOOKUP(AI270,MiscData!$AC$5:$AD$77,2,FALSE)</f>
        <v>LGUM_432</v>
      </c>
      <c r="AK270" s="265" t="str">
        <f>VLOOKUP(AJ270,MiscData!$AD$5:$AE$77,2,FALSE)</f>
        <v>RLS</v>
      </c>
      <c r="AT270" s="265" t="s">
        <v>508</v>
      </c>
      <c r="AV270" s="265">
        <v>0</v>
      </c>
    </row>
    <row r="271" spans="1:48">
      <c r="A271" s="275">
        <f t="shared" si="142"/>
        <v>268</v>
      </c>
      <c r="B271" s="276" t="str">
        <f t="shared" si="118"/>
        <v>Apr 2014</v>
      </c>
      <c r="C271" s="277" t="str">
        <f t="shared" si="119"/>
        <v xml:space="preserve">LS </v>
      </c>
      <c r="D271" s="277" t="str">
        <f t="shared" si="120"/>
        <v>LGUM_433</v>
      </c>
      <c r="E271" s="614">
        <f t="shared" si="121"/>
        <v>195</v>
      </c>
      <c r="F271" s="615">
        <f t="shared" si="115"/>
        <v>0</v>
      </c>
      <c r="G271" s="614">
        <f t="shared" si="122"/>
        <v>7371</v>
      </c>
      <c r="H271" s="615">
        <v>0</v>
      </c>
      <c r="I271" s="283">
        <f t="shared" si="123"/>
        <v>34.99</v>
      </c>
      <c r="J271" s="283">
        <f t="shared" si="124"/>
        <v>1.0600000000000023</v>
      </c>
      <c r="K271" s="285">
        <f t="shared" si="125"/>
        <v>6823.05</v>
      </c>
      <c r="L271" s="286">
        <f t="shared" si="126"/>
        <v>0</v>
      </c>
      <c r="M271" s="286">
        <f t="shared" si="127"/>
        <v>0</v>
      </c>
      <c r="N271" s="285">
        <f t="shared" si="128"/>
        <v>6823.05</v>
      </c>
      <c r="O271" s="616">
        <f t="shared" si="116"/>
        <v>6823.0500000000011</v>
      </c>
      <c r="P271" s="289">
        <f t="shared" si="129"/>
        <v>1.0000000000000002</v>
      </c>
      <c r="Q271" s="290">
        <f t="shared" si="130"/>
        <v>11.07</v>
      </c>
      <c r="R271" s="290">
        <f t="shared" si="131"/>
        <v>145.04</v>
      </c>
      <c r="S271" s="290">
        <f t="shared" si="132"/>
        <v>0</v>
      </c>
      <c r="T271" s="290">
        <f t="shared" si="133"/>
        <v>7911.85</v>
      </c>
      <c r="U271" s="291">
        <f t="shared" si="134"/>
        <v>6979.16</v>
      </c>
      <c r="V271" s="291">
        <f t="shared" si="137"/>
        <v>932.69</v>
      </c>
      <c r="W271" s="617">
        <f t="shared" si="117"/>
        <v>932.69</v>
      </c>
      <c r="X271" s="291">
        <f t="shared" si="138"/>
        <v>0</v>
      </c>
      <c r="Y271" s="170">
        <f t="shared" si="135"/>
        <v>206.7</v>
      </c>
      <c r="Z271" s="291">
        <f t="shared" si="136"/>
        <v>6616.3500000000013</v>
      </c>
      <c r="AC271" s="276">
        <f>IF(AI271=1,IF(AC270=MiscData!$F$1,EOMONTH(AC270,-11),EOMONTH(AC270,1)),AC270)</f>
        <v>41759</v>
      </c>
      <c r="AD271" s="275" t="str">
        <f t="shared" si="140"/>
        <v>20140101LGUM_433</v>
      </c>
      <c r="AE271" s="294" t="str">
        <f t="shared" si="141"/>
        <v xml:space="preserve">20140101LS </v>
      </c>
      <c r="AF271" s="618" t="str">
        <f t="shared" si="139"/>
        <v>433</v>
      </c>
      <c r="AH271" s="265">
        <f>MiscData!$X$5</f>
        <v>20140101</v>
      </c>
      <c r="AI271" s="265">
        <f>IF(AI270+1&gt;MiscData!$AC$77,1,AI270+1)</f>
        <v>49</v>
      </c>
      <c r="AJ271" s="265" t="str">
        <f>VLOOKUP(AI271,MiscData!$AC$5:$AD$77,2,FALSE)</f>
        <v>LGUM_433</v>
      </c>
      <c r="AK271" s="265" t="str">
        <f>VLOOKUP(AJ271,MiscData!$AD$5:$AE$77,2,FALSE)</f>
        <v xml:space="preserve">LS </v>
      </c>
      <c r="AT271" s="265" t="s">
        <v>171</v>
      </c>
      <c r="AV271" s="265">
        <v>0</v>
      </c>
    </row>
    <row r="272" spans="1:48">
      <c r="A272" s="275">
        <f t="shared" si="142"/>
        <v>269</v>
      </c>
      <c r="B272" s="276" t="str">
        <f t="shared" si="118"/>
        <v>Apr 2014</v>
      </c>
      <c r="C272" s="277" t="str">
        <f t="shared" si="119"/>
        <v xml:space="preserve">LS </v>
      </c>
      <c r="D272" s="277" t="str">
        <f t="shared" si="120"/>
        <v>LGUM_439</v>
      </c>
      <c r="E272" s="614">
        <f t="shared" si="121"/>
        <v>0</v>
      </c>
      <c r="F272" s="615">
        <f t="shared" si="115"/>
        <v>0</v>
      </c>
      <c r="G272" s="614">
        <f t="shared" si="122"/>
        <v>0</v>
      </c>
      <c r="H272" s="615">
        <v>0</v>
      </c>
      <c r="I272" s="283">
        <f t="shared" si="123"/>
        <v>16.459999999999997</v>
      </c>
      <c r="J272" s="283">
        <f t="shared" si="124"/>
        <v>1.6499999999999986</v>
      </c>
      <c r="K272" s="285">
        <f t="shared" si="125"/>
        <v>0</v>
      </c>
      <c r="L272" s="286">
        <f t="shared" si="126"/>
        <v>0</v>
      </c>
      <c r="M272" s="286">
        <f t="shared" si="127"/>
        <v>0</v>
      </c>
      <c r="N272" s="285">
        <f t="shared" si="128"/>
        <v>0</v>
      </c>
      <c r="O272" s="616">
        <f t="shared" si="116"/>
        <v>0</v>
      </c>
      <c r="P272" s="289">
        <f t="shared" si="129"/>
        <v>1</v>
      </c>
      <c r="Q272" s="290">
        <f t="shared" si="130"/>
        <v>0</v>
      </c>
      <c r="R272" s="290">
        <f t="shared" si="131"/>
        <v>0</v>
      </c>
      <c r="S272" s="290">
        <f t="shared" si="132"/>
        <v>0</v>
      </c>
      <c r="T272" s="290">
        <f t="shared" si="133"/>
        <v>0</v>
      </c>
      <c r="U272" s="291">
        <f t="shared" si="134"/>
        <v>0</v>
      </c>
      <c r="V272" s="291">
        <f t="shared" si="137"/>
        <v>0</v>
      </c>
      <c r="W272" s="617">
        <f t="shared" si="117"/>
        <v>0</v>
      </c>
      <c r="X272" s="291">
        <f t="shared" si="138"/>
        <v>0</v>
      </c>
      <c r="Y272" s="170">
        <f t="shared" si="135"/>
        <v>0</v>
      </c>
      <c r="Z272" s="291">
        <f t="shared" si="136"/>
        <v>0</v>
      </c>
      <c r="AC272" s="276">
        <f>IF(AI272=1,IF(AC271=MiscData!$F$1,EOMONTH(AC271,-11),EOMONTH(AC271,1)),AC271)</f>
        <v>41759</v>
      </c>
      <c r="AD272" s="275" t="str">
        <f t="shared" si="140"/>
        <v>20140101LGUM_439</v>
      </c>
      <c r="AE272" s="294" t="str">
        <f t="shared" si="141"/>
        <v xml:space="preserve">20140101LS </v>
      </c>
      <c r="AF272" s="618" t="str">
        <f t="shared" si="139"/>
        <v>439</v>
      </c>
      <c r="AH272" s="265">
        <f>MiscData!$X$5</f>
        <v>20140101</v>
      </c>
      <c r="AI272" s="265">
        <f>IF(AI271+1&gt;MiscData!$AC$77,1,AI271+1)</f>
        <v>50</v>
      </c>
      <c r="AJ272" s="265" t="str">
        <f>VLOOKUP(AI272,MiscData!$AC$5:$AD$77,2,FALSE)</f>
        <v>LGUM_439</v>
      </c>
      <c r="AK272" s="265" t="str">
        <f>VLOOKUP(AJ272,MiscData!$AD$5:$AE$77,2,FALSE)</f>
        <v xml:space="preserve">LS </v>
      </c>
      <c r="AT272" s="265" t="s">
        <v>172</v>
      </c>
      <c r="AV272" s="265">
        <v>0</v>
      </c>
    </row>
    <row r="273" spans="1:48">
      <c r="A273" s="275">
        <f t="shared" si="142"/>
        <v>270</v>
      </c>
      <c r="B273" s="276" t="str">
        <f t="shared" si="118"/>
        <v>Apr 2014</v>
      </c>
      <c r="C273" s="277" t="str">
        <f t="shared" si="119"/>
        <v xml:space="preserve">LS </v>
      </c>
      <c r="D273" s="277" t="str">
        <f t="shared" si="120"/>
        <v>LGUM_440</v>
      </c>
      <c r="E273" s="614">
        <f t="shared" si="121"/>
        <v>2</v>
      </c>
      <c r="F273" s="615">
        <f t="shared" si="115"/>
        <v>0</v>
      </c>
      <c r="G273" s="614">
        <f t="shared" si="122"/>
        <v>188</v>
      </c>
      <c r="H273" s="615">
        <v>0</v>
      </c>
      <c r="I273" s="283">
        <f t="shared" si="123"/>
        <v>18.279999999999998</v>
      </c>
      <c r="J273" s="283">
        <f t="shared" si="124"/>
        <v>2.67</v>
      </c>
      <c r="K273" s="285">
        <f t="shared" si="125"/>
        <v>36.56</v>
      </c>
      <c r="L273" s="286">
        <f t="shared" si="126"/>
        <v>0</v>
      </c>
      <c r="M273" s="286">
        <f t="shared" si="127"/>
        <v>0</v>
      </c>
      <c r="N273" s="285">
        <f t="shared" si="128"/>
        <v>36.56</v>
      </c>
      <c r="O273" s="616">
        <f t="shared" si="116"/>
        <v>36.56</v>
      </c>
      <c r="P273" s="289">
        <f t="shared" si="129"/>
        <v>1</v>
      </c>
      <c r="Q273" s="290">
        <f t="shared" si="130"/>
        <v>0.28000000000000003</v>
      </c>
      <c r="R273" s="290">
        <f t="shared" si="131"/>
        <v>0.68</v>
      </c>
      <c r="S273" s="290">
        <f t="shared" si="132"/>
        <v>0</v>
      </c>
      <c r="T273" s="290">
        <f t="shared" si="133"/>
        <v>37.520000000000003</v>
      </c>
      <c r="U273" s="291">
        <f t="shared" si="134"/>
        <v>37.520000000000003</v>
      </c>
      <c r="V273" s="291">
        <f t="shared" si="137"/>
        <v>0</v>
      </c>
      <c r="W273" s="617">
        <f t="shared" si="117"/>
        <v>0</v>
      </c>
      <c r="X273" s="291">
        <f t="shared" si="138"/>
        <v>0</v>
      </c>
      <c r="Y273" s="170">
        <f t="shared" si="135"/>
        <v>5.34</v>
      </c>
      <c r="Z273" s="291">
        <f t="shared" si="136"/>
        <v>31.220000000000002</v>
      </c>
      <c r="AC273" s="276">
        <f>IF(AI273=1,IF(AC272=MiscData!$F$1,EOMONTH(AC272,-11),EOMONTH(AC272,1)),AC272)</f>
        <v>41759</v>
      </c>
      <c r="AD273" s="275" t="str">
        <f t="shared" si="140"/>
        <v>20140101LGUM_440</v>
      </c>
      <c r="AE273" s="294" t="str">
        <f t="shared" si="141"/>
        <v xml:space="preserve">20140101LS </v>
      </c>
      <c r="AF273" s="618" t="str">
        <f t="shared" si="139"/>
        <v>440</v>
      </c>
      <c r="AH273" s="265">
        <f>MiscData!$X$5</f>
        <v>20140101</v>
      </c>
      <c r="AI273" s="265">
        <f>IF(AI272+1&gt;MiscData!$AC$77,1,AI272+1)</f>
        <v>51</v>
      </c>
      <c r="AJ273" s="265" t="str">
        <f>VLOOKUP(AI273,MiscData!$AC$5:$AD$77,2,FALSE)</f>
        <v>LGUM_440</v>
      </c>
      <c r="AK273" s="265" t="str">
        <f>VLOOKUP(AJ273,MiscData!$AD$5:$AE$77,2,FALSE)</f>
        <v xml:space="preserve">LS </v>
      </c>
      <c r="AT273" s="265" t="s">
        <v>173</v>
      </c>
      <c r="AV273" s="265">
        <v>0</v>
      </c>
    </row>
    <row r="274" spans="1:48">
      <c r="A274" s="275">
        <f t="shared" si="142"/>
        <v>271</v>
      </c>
      <c r="B274" s="276" t="str">
        <f t="shared" si="118"/>
        <v>Apr 2014</v>
      </c>
      <c r="C274" s="277" t="str">
        <f t="shared" si="119"/>
        <v xml:space="preserve">LS </v>
      </c>
      <c r="D274" s="277" t="str">
        <f t="shared" si="120"/>
        <v>LGUM_441</v>
      </c>
      <c r="E274" s="614">
        <f t="shared" si="121"/>
        <v>14</v>
      </c>
      <c r="F274" s="615">
        <f t="shared" si="115"/>
        <v>0</v>
      </c>
      <c r="G274" s="614">
        <f t="shared" si="122"/>
        <v>2010</v>
      </c>
      <c r="H274" s="615">
        <v>0</v>
      </c>
      <c r="I274" s="283">
        <f t="shared" si="123"/>
        <v>22.32</v>
      </c>
      <c r="J274" s="283">
        <f t="shared" si="124"/>
        <v>4.2800000000000011</v>
      </c>
      <c r="K274" s="285">
        <f t="shared" si="125"/>
        <v>312.48</v>
      </c>
      <c r="L274" s="286">
        <f t="shared" si="126"/>
        <v>-14.14</v>
      </c>
      <c r="M274" s="286">
        <f t="shared" si="127"/>
        <v>0</v>
      </c>
      <c r="N274" s="285">
        <f t="shared" si="128"/>
        <v>298.34000000000003</v>
      </c>
      <c r="O274" s="616">
        <f t="shared" si="116"/>
        <v>298.34000000000003</v>
      </c>
      <c r="P274" s="289">
        <f t="shared" si="129"/>
        <v>1</v>
      </c>
      <c r="Q274" s="290">
        <f t="shared" si="130"/>
        <v>3.03</v>
      </c>
      <c r="R274" s="290">
        <f t="shared" si="131"/>
        <v>5.61</v>
      </c>
      <c r="S274" s="290">
        <f t="shared" si="132"/>
        <v>0</v>
      </c>
      <c r="T274" s="290">
        <f t="shared" si="133"/>
        <v>306.98</v>
      </c>
      <c r="U274" s="291">
        <f t="shared" si="134"/>
        <v>306.98</v>
      </c>
      <c r="V274" s="291">
        <f t="shared" si="137"/>
        <v>0</v>
      </c>
      <c r="W274" s="617">
        <f t="shared" si="117"/>
        <v>0</v>
      </c>
      <c r="X274" s="291">
        <f t="shared" si="138"/>
        <v>0</v>
      </c>
      <c r="Y274" s="170">
        <f t="shared" si="135"/>
        <v>59.92</v>
      </c>
      <c r="Z274" s="291">
        <f t="shared" si="136"/>
        <v>238.42000000000002</v>
      </c>
      <c r="AC274" s="276">
        <f>IF(AI274=1,IF(AC273=MiscData!$F$1,EOMONTH(AC273,-11),EOMONTH(AC273,1)),AC273)</f>
        <v>41759</v>
      </c>
      <c r="AD274" s="275" t="str">
        <f t="shared" si="140"/>
        <v>20140101LGUM_441</v>
      </c>
      <c r="AE274" s="294" t="str">
        <f t="shared" si="141"/>
        <v xml:space="preserve">20140101LS </v>
      </c>
      <c r="AF274" s="618" t="str">
        <f t="shared" si="139"/>
        <v>441</v>
      </c>
      <c r="AH274" s="265">
        <f>MiscData!$X$5</f>
        <v>20140101</v>
      </c>
      <c r="AI274" s="265">
        <f>IF(AI273+1&gt;MiscData!$AC$77,1,AI273+1)</f>
        <v>52</v>
      </c>
      <c r="AJ274" s="265" t="str">
        <f>VLOOKUP(AI274,MiscData!$AC$5:$AD$77,2,FALSE)</f>
        <v>LGUM_441</v>
      </c>
      <c r="AK274" s="265" t="str">
        <f>VLOOKUP(AJ274,MiscData!$AD$5:$AE$77,2,FALSE)</f>
        <v xml:space="preserve">LS </v>
      </c>
      <c r="AT274" s="265" t="s">
        <v>174</v>
      </c>
      <c r="AV274" s="265">
        <v>0</v>
      </c>
    </row>
    <row r="275" spans="1:48">
      <c r="A275" s="275">
        <f t="shared" si="142"/>
        <v>272</v>
      </c>
      <c r="B275" s="276" t="str">
        <f t="shared" si="118"/>
        <v>Apr 2014</v>
      </c>
      <c r="C275" s="277" t="str">
        <f t="shared" si="119"/>
        <v xml:space="preserve">LS </v>
      </c>
      <c r="D275" s="277" t="str">
        <f t="shared" si="120"/>
        <v>LGUM_452</v>
      </c>
      <c r="E275" s="614">
        <f t="shared" si="121"/>
        <v>6609</v>
      </c>
      <c r="F275" s="615">
        <f t="shared" si="115"/>
        <v>0</v>
      </c>
      <c r="G275" s="614">
        <f t="shared" si="122"/>
        <v>384941</v>
      </c>
      <c r="H275" s="615">
        <v>0</v>
      </c>
      <c r="I275" s="283">
        <f t="shared" si="123"/>
        <v>12.82</v>
      </c>
      <c r="J275" s="283">
        <f t="shared" si="124"/>
        <v>1.6500000000000004</v>
      </c>
      <c r="K275" s="285">
        <f t="shared" si="125"/>
        <v>84727.38</v>
      </c>
      <c r="L275" s="286">
        <f t="shared" si="126"/>
        <v>-92.099999999996712</v>
      </c>
      <c r="M275" s="286">
        <f t="shared" si="127"/>
        <v>0</v>
      </c>
      <c r="N275" s="285">
        <f t="shared" si="128"/>
        <v>84635.280000000013</v>
      </c>
      <c r="O275" s="616">
        <f t="shared" si="116"/>
        <v>84635.28</v>
      </c>
      <c r="P275" s="289">
        <f t="shared" si="129"/>
        <v>0.99999999999999978</v>
      </c>
      <c r="Q275" s="290">
        <f t="shared" si="130"/>
        <v>583.6</v>
      </c>
      <c r="R275" s="290">
        <f t="shared" si="131"/>
        <v>1609.74</v>
      </c>
      <c r="S275" s="290">
        <f t="shared" si="132"/>
        <v>0</v>
      </c>
      <c r="T275" s="290">
        <f t="shared" si="133"/>
        <v>87970.94</v>
      </c>
      <c r="U275" s="291">
        <f t="shared" si="134"/>
        <v>86828.620000000024</v>
      </c>
      <c r="V275" s="291">
        <f t="shared" si="137"/>
        <v>1142.32</v>
      </c>
      <c r="W275" s="617">
        <f t="shared" si="117"/>
        <v>1142.32</v>
      </c>
      <c r="X275" s="291">
        <f t="shared" si="138"/>
        <v>0</v>
      </c>
      <c r="Y275" s="170">
        <f t="shared" si="135"/>
        <v>10904.85</v>
      </c>
      <c r="Z275" s="291">
        <f t="shared" si="136"/>
        <v>73730.429999999993</v>
      </c>
      <c r="AC275" s="276">
        <f>IF(AI275=1,IF(AC274=MiscData!$F$1,EOMONTH(AC274,-11),EOMONTH(AC274,1)),AC274)</f>
        <v>41759</v>
      </c>
      <c r="AD275" s="275" t="str">
        <f t="shared" si="140"/>
        <v>20140101LGUM_452</v>
      </c>
      <c r="AE275" s="294" t="str">
        <f t="shared" si="141"/>
        <v xml:space="preserve">20140101LS </v>
      </c>
      <c r="AF275" s="618" t="str">
        <f t="shared" si="139"/>
        <v>452</v>
      </c>
      <c r="AH275" s="265">
        <f>MiscData!$X$5</f>
        <v>20140101</v>
      </c>
      <c r="AI275" s="265">
        <f>IF(AI274+1&gt;MiscData!$AC$77,1,AI274+1)</f>
        <v>53</v>
      </c>
      <c r="AJ275" s="265" t="str">
        <f>VLOOKUP(AI275,MiscData!$AC$5:$AD$77,2,FALSE)</f>
        <v>LGUM_452</v>
      </c>
      <c r="AK275" s="265" t="str">
        <f>VLOOKUP(AJ275,MiscData!$AD$5:$AE$77,2,FALSE)</f>
        <v xml:space="preserve">LS </v>
      </c>
      <c r="AT275" s="265" t="s">
        <v>514</v>
      </c>
      <c r="AV275" s="265">
        <v>0</v>
      </c>
    </row>
    <row r="276" spans="1:48">
      <c r="A276" s="275">
        <f t="shared" si="142"/>
        <v>273</v>
      </c>
      <c r="B276" s="276" t="str">
        <f t="shared" si="118"/>
        <v>Apr 2014</v>
      </c>
      <c r="C276" s="277" t="str">
        <f t="shared" si="119"/>
        <v xml:space="preserve">LS </v>
      </c>
      <c r="D276" s="277" t="str">
        <f t="shared" si="120"/>
        <v>LGUM_453</v>
      </c>
      <c r="E276" s="614">
        <f t="shared" si="121"/>
        <v>9302</v>
      </c>
      <c r="F276" s="615">
        <f t="shared" si="115"/>
        <v>0</v>
      </c>
      <c r="G276" s="614">
        <f t="shared" si="122"/>
        <v>887221</v>
      </c>
      <c r="H276" s="615">
        <v>0</v>
      </c>
      <c r="I276" s="283">
        <f t="shared" si="123"/>
        <v>15.08</v>
      </c>
      <c r="J276" s="283">
        <f t="shared" si="124"/>
        <v>3.9800000000000004</v>
      </c>
      <c r="K276" s="285">
        <f t="shared" si="125"/>
        <v>140274.16</v>
      </c>
      <c r="L276" s="286">
        <f t="shared" si="126"/>
        <v>370.42999999999392</v>
      </c>
      <c r="M276" s="286">
        <f t="shared" si="127"/>
        <v>0</v>
      </c>
      <c r="N276" s="285">
        <f t="shared" si="128"/>
        <v>140644.59</v>
      </c>
      <c r="O276" s="616">
        <f t="shared" si="116"/>
        <v>140644.59</v>
      </c>
      <c r="P276" s="289">
        <f t="shared" si="129"/>
        <v>1</v>
      </c>
      <c r="Q276" s="290">
        <f t="shared" si="130"/>
        <v>1347.28</v>
      </c>
      <c r="R276" s="290">
        <f t="shared" si="131"/>
        <v>2666.88</v>
      </c>
      <c r="S276" s="290">
        <f t="shared" si="132"/>
        <v>0</v>
      </c>
      <c r="T276" s="290">
        <f t="shared" si="133"/>
        <v>145781.82999999999</v>
      </c>
      <c r="U276" s="291">
        <f t="shared" si="134"/>
        <v>144658.75</v>
      </c>
      <c r="V276" s="291">
        <f t="shared" si="137"/>
        <v>1123.08</v>
      </c>
      <c r="W276" s="617">
        <f t="shared" si="117"/>
        <v>1123.08</v>
      </c>
      <c r="X276" s="291">
        <f t="shared" si="138"/>
        <v>0</v>
      </c>
      <c r="Y276" s="170">
        <f t="shared" si="135"/>
        <v>37021.96</v>
      </c>
      <c r="Z276" s="291">
        <f t="shared" si="136"/>
        <v>103622.63</v>
      </c>
      <c r="AC276" s="276">
        <f>IF(AI276=1,IF(AC275=MiscData!$F$1,EOMONTH(AC275,-11),EOMONTH(AC275,1)),AC275)</f>
        <v>41759</v>
      </c>
      <c r="AD276" s="275" t="str">
        <f t="shared" si="140"/>
        <v>20140101LGUM_453</v>
      </c>
      <c r="AE276" s="294" t="str">
        <f t="shared" si="141"/>
        <v xml:space="preserve">20140101LS </v>
      </c>
      <c r="AF276" s="618" t="str">
        <f t="shared" si="139"/>
        <v>453</v>
      </c>
      <c r="AH276" s="265">
        <f>MiscData!$X$5</f>
        <v>20140101</v>
      </c>
      <c r="AI276" s="265">
        <f>IF(AI275+1&gt;MiscData!$AC$77,1,AI275+1)</f>
        <v>54</v>
      </c>
      <c r="AJ276" s="265" t="str">
        <f>VLOOKUP(AI276,MiscData!$AC$5:$AD$77,2,FALSE)</f>
        <v>LGUM_453</v>
      </c>
      <c r="AK276" s="265" t="str">
        <f>VLOOKUP(AJ276,MiscData!$AD$5:$AE$77,2,FALSE)</f>
        <v xml:space="preserve">LS </v>
      </c>
      <c r="AT276" s="265" t="s">
        <v>516</v>
      </c>
      <c r="AV276" s="265">
        <v>0</v>
      </c>
    </row>
    <row r="277" spans="1:48">
      <c r="A277" s="275">
        <f t="shared" si="142"/>
        <v>274</v>
      </c>
      <c r="B277" s="276" t="str">
        <f t="shared" si="118"/>
        <v>Apr 2014</v>
      </c>
      <c r="C277" s="277" t="str">
        <f t="shared" si="119"/>
        <v xml:space="preserve">LS </v>
      </c>
      <c r="D277" s="277" t="str">
        <f t="shared" si="120"/>
        <v>LGUM_454</v>
      </c>
      <c r="E277" s="614">
        <f t="shared" si="121"/>
        <v>5593</v>
      </c>
      <c r="F277" s="615">
        <f t="shared" si="115"/>
        <v>0</v>
      </c>
      <c r="G277" s="614">
        <f t="shared" si="122"/>
        <v>842859</v>
      </c>
      <c r="H277" s="615">
        <v>0</v>
      </c>
      <c r="I277" s="283">
        <f t="shared" si="123"/>
        <v>17.38</v>
      </c>
      <c r="J277" s="283">
        <f t="shared" si="124"/>
        <v>4.2800000000000011</v>
      </c>
      <c r="K277" s="285">
        <f t="shared" si="125"/>
        <v>97206.34</v>
      </c>
      <c r="L277" s="286">
        <f t="shared" si="126"/>
        <v>-98.800000000004729</v>
      </c>
      <c r="M277" s="286">
        <f t="shared" si="127"/>
        <v>0</v>
      </c>
      <c r="N277" s="285">
        <f t="shared" si="128"/>
        <v>97107.54</v>
      </c>
      <c r="O277" s="616">
        <f t="shared" si="116"/>
        <v>97107.540000000008</v>
      </c>
      <c r="P277" s="289">
        <f t="shared" si="129"/>
        <v>1.0000000000000002</v>
      </c>
      <c r="Q277" s="290">
        <f t="shared" si="130"/>
        <v>1269.72</v>
      </c>
      <c r="R277" s="290">
        <f t="shared" si="131"/>
        <v>1892.33</v>
      </c>
      <c r="S277" s="290">
        <f t="shared" si="132"/>
        <v>0</v>
      </c>
      <c r="T277" s="290">
        <f t="shared" si="133"/>
        <v>103086.49</v>
      </c>
      <c r="U277" s="291">
        <f t="shared" si="134"/>
        <v>100269.59</v>
      </c>
      <c r="V277" s="291">
        <f t="shared" si="137"/>
        <v>2816.9</v>
      </c>
      <c r="W277" s="617">
        <f t="shared" si="117"/>
        <v>2816.9</v>
      </c>
      <c r="X277" s="291">
        <f t="shared" si="138"/>
        <v>0</v>
      </c>
      <c r="Y277" s="170">
        <f t="shared" si="135"/>
        <v>23938.04</v>
      </c>
      <c r="Z277" s="291">
        <f t="shared" si="136"/>
        <v>73169.5</v>
      </c>
      <c r="AC277" s="276">
        <f>IF(AI277=1,IF(AC276=MiscData!$F$1,EOMONTH(AC276,-11),EOMONTH(AC276,1)),AC276)</f>
        <v>41759</v>
      </c>
      <c r="AD277" s="275" t="str">
        <f t="shared" si="140"/>
        <v>20140101LGUM_454</v>
      </c>
      <c r="AE277" s="294" t="str">
        <f t="shared" si="141"/>
        <v xml:space="preserve">20140101LS </v>
      </c>
      <c r="AF277" s="618" t="str">
        <f t="shared" si="139"/>
        <v>454</v>
      </c>
      <c r="AH277" s="265">
        <f>MiscData!$X$5</f>
        <v>20140101</v>
      </c>
      <c r="AI277" s="265">
        <f>IF(AI276+1&gt;MiscData!$AC$77,1,AI276+1)</f>
        <v>55</v>
      </c>
      <c r="AJ277" s="265" t="str">
        <f>VLOOKUP(AI277,MiscData!$AC$5:$AD$77,2,FALSE)</f>
        <v>LGUM_454</v>
      </c>
      <c r="AK277" s="265" t="str">
        <f>VLOOKUP(AJ277,MiscData!$AD$5:$AE$77,2,FALSE)</f>
        <v xml:space="preserve">LS </v>
      </c>
      <c r="AT277" s="265" t="s">
        <v>175</v>
      </c>
      <c r="AV277" s="265">
        <v>-10.029999999999999</v>
      </c>
    </row>
    <row r="278" spans="1:48">
      <c r="A278" s="275">
        <f t="shared" si="142"/>
        <v>275</v>
      </c>
      <c r="B278" s="276" t="str">
        <f t="shared" si="118"/>
        <v>Apr 2014</v>
      </c>
      <c r="C278" s="277" t="str">
        <f t="shared" si="119"/>
        <v xml:space="preserve">LS </v>
      </c>
      <c r="D278" s="277" t="str">
        <f t="shared" si="120"/>
        <v>LGUM_455</v>
      </c>
      <c r="E278" s="614">
        <f t="shared" si="121"/>
        <v>409</v>
      </c>
      <c r="F278" s="615">
        <f t="shared" si="115"/>
        <v>0</v>
      </c>
      <c r="G278" s="614">
        <f t="shared" si="122"/>
        <v>23448</v>
      </c>
      <c r="H278" s="615">
        <v>0</v>
      </c>
      <c r="I278" s="283">
        <f t="shared" si="123"/>
        <v>13.77</v>
      </c>
      <c r="J278" s="283">
        <f t="shared" si="124"/>
        <v>1.6499999999999986</v>
      </c>
      <c r="K278" s="285">
        <f t="shared" si="125"/>
        <v>5631.93</v>
      </c>
      <c r="L278" s="286">
        <f t="shared" si="126"/>
        <v>-41.770000000000181</v>
      </c>
      <c r="M278" s="286">
        <f t="shared" si="127"/>
        <v>0</v>
      </c>
      <c r="N278" s="285">
        <f t="shared" si="128"/>
        <v>5590.16</v>
      </c>
      <c r="O278" s="616">
        <f t="shared" si="116"/>
        <v>5590.16</v>
      </c>
      <c r="P278" s="289">
        <f t="shared" si="129"/>
        <v>1</v>
      </c>
      <c r="Q278" s="290">
        <f t="shared" si="130"/>
        <v>34.99</v>
      </c>
      <c r="R278" s="290">
        <f t="shared" si="131"/>
        <v>109.36</v>
      </c>
      <c r="S278" s="290">
        <f t="shared" si="132"/>
        <v>0</v>
      </c>
      <c r="T278" s="290">
        <f t="shared" si="133"/>
        <v>5941.45</v>
      </c>
      <c r="U278" s="291">
        <f t="shared" si="134"/>
        <v>5734.5099999999993</v>
      </c>
      <c r="V278" s="291">
        <f t="shared" si="137"/>
        <v>206.94</v>
      </c>
      <c r="W278" s="617">
        <f t="shared" si="117"/>
        <v>206.94</v>
      </c>
      <c r="X278" s="291">
        <f t="shared" si="138"/>
        <v>0</v>
      </c>
      <c r="Y278" s="170">
        <f t="shared" si="135"/>
        <v>674.85</v>
      </c>
      <c r="Z278" s="291">
        <f t="shared" si="136"/>
        <v>4915.3099999999995</v>
      </c>
      <c r="AC278" s="276">
        <f>IF(AI278=1,IF(AC277=MiscData!$F$1,EOMONTH(AC277,-11),EOMONTH(AC277,1)),AC277)</f>
        <v>41759</v>
      </c>
      <c r="AD278" s="275" t="str">
        <f t="shared" si="140"/>
        <v>20140101LGUM_455</v>
      </c>
      <c r="AE278" s="294" t="str">
        <f t="shared" si="141"/>
        <v xml:space="preserve">20140101LS </v>
      </c>
      <c r="AF278" s="618" t="str">
        <f t="shared" si="139"/>
        <v>455</v>
      </c>
      <c r="AH278" s="265">
        <f>MiscData!$X$5</f>
        <v>20140101</v>
      </c>
      <c r="AI278" s="265">
        <f>IF(AI277+1&gt;MiscData!$AC$77,1,AI277+1)</f>
        <v>56</v>
      </c>
      <c r="AJ278" s="265" t="str">
        <f>VLOOKUP(AI278,MiscData!$AC$5:$AD$77,2,FALSE)</f>
        <v>LGUM_455</v>
      </c>
      <c r="AK278" s="265" t="str">
        <f>VLOOKUP(AJ278,MiscData!$AD$5:$AE$77,2,FALSE)</f>
        <v xml:space="preserve">LS </v>
      </c>
      <c r="AT278" s="265" t="s">
        <v>176</v>
      </c>
      <c r="AV278" s="265">
        <v>0</v>
      </c>
    </row>
    <row r="279" spans="1:48">
      <c r="A279" s="275">
        <f t="shared" si="142"/>
        <v>276</v>
      </c>
      <c r="B279" s="276" t="str">
        <f t="shared" si="118"/>
        <v>Apr 2014</v>
      </c>
      <c r="C279" s="277" t="str">
        <f t="shared" si="119"/>
        <v xml:space="preserve">LS </v>
      </c>
      <c r="D279" s="277" t="str">
        <f t="shared" si="120"/>
        <v>LGUM_456</v>
      </c>
      <c r="E279" s="614">
        <f t="shared" si="121"/>
        <v>13048</v>
      </c>
      <c r="F279" s="615">
        <f t="shared" si="115"/>
        <v>0</v>
      </c>
      <c r="G279" s="614">
        <f t="shared" si="122"/>
        <v>1952909</v>
      </c>
      <c r="H279" s="615">
        <v>0</v>
      </c>
      <c r="I279" s="283">
        <f t="shared" si="123"/>
        <v>18.21</v>
      </c>
      <c r="J279" s="283">
        <f t="shared" si="124"/>
        <v>4.2800000000000011</v>
      </c>
      <c r="K279" s="285">
        <f t="shared" si="125"/>
        <v>237604.08</v>
      </c>
      <c r="L279" s="286">
        <f t="shared" si="126"/>
        <v>-567.72999999999388</v>
      </c>
      <c r="M279" s="286">
        <f t="shared" si="127"/>
        <v>0</v>
      </c>
      <c r="N279" s="285">
        <f t="shared" si="128"/>
        <v>237036.35</v>
      </c>
      <c r="O279" s="616">
        <f t="shared" si="116"/>
        <v>237036.35</v>
      </c>
      <c r="P279" s="289">
        <f t="shared" si="129"/>
        <v>1</v>
      </c>
      <c r="Q279" s="290">
        <f t="shared" si="130"/>
        <v>2949.28</v>
      </c>
      <c r="R279" s="290">
        <f t="shared" si="131"/>
        <v>4618.24</v>
      </c>
      <c r="S279" s="290">
        <f t="shared" si="132"/>
        <v>0</v>
      </c>
      <c r="T279" s="290">
        <f t="shared" si="133"/>
        <v>252373.28</v>
      </c>
      <c r="U279" s="291">
        <f t="shared" si="134"/>
        <v>244603.87</v>
      </c>
      <c r="V279" s="291">
        <f t="shared" si="137"/>
        <v>7769.41</v>
      </c>
      <c r="W279" s="617">
        <f t="shared" si="117"/>
        <v>7769.41</v>
      </c>
      <c r="X279" s="291">
        <f t="shared" si="138"/>
        <v>0</v>
      </c>
      <c r="Y279" s="170">
        <f t="shared" si="135"/>
        <v>55845.440000000002</v>
      </c>
      <c r="Z279" s="291">
        <f t="shared" si="136"/>
        <v>181190.91</v>
      </c>
      <c r="AC279" s="276">
        <f>IF(AI279=1,IF(AC278=MiscData!$F$1,EOMONTH(AC278,-11),EOMONTH(AC278,1)),AC278)</f>
        <v>41759</v>
      </c>
      <c r="AD279" s="275" t="str">
        <f t="shared" si="140"/>
        <v>20140101LGUM_456</v>
      </c>
      <c r="AE279" s="294" t="str">
        <f t="shared" si="141"/>
        <v xml:space="preserve">20140101LS </v>
      </c>
      <c r="AF279" s="618" t="str">
        <f t="shared" si="139"/>
        <v>456</v>
      </c>
      <c r="AH279" s="265">
        <f>MiscData!$X$5</f>
        <v>20140101</v>
      </c>
      <c r="AI279" s="265">
        <f>IF(AI278+1&gt;MiscData!$AC$77,1,AI278+1)</f>
        <v>57</v>
      </c>
      <c r="AJ279" s="265" t="str">
        <f>VLOOKUP(AI279,MiscData!$AC$5:$AD$77,2,FALSE)</f>
        <v>LGUM_456</v>
      </c>
      <c r="AK279" s="265" t="str">
        <f>VLOOKUP(AJ279,MiscData!$AD$5:$AE$77,2,FALSE)</f>
        <v xml:space="preserve">LS </v>
      </c>
      <c r="AT279" s="265" t="s">
        <v>177</v>
      </c>
      <c r="AV279" s="265">
        <v>0</v>
      </c>
    </row>
    <row r="280" spans="1:48">
      <c r="A280" s="275">
        <f t="shared" si="142"/>
        <v>277</v>
      </c>
      <c r="B280" s="276" t="str">
        <f t="shared" si="118"/>
        <v>Apr 2014</v>
      </c>
      <c r="C280" s="277" t="str">
        <f t="shared" si="119"/>
        <v xml:space="preserve">LS </v>
      </c>
      <c r="D280" s="277" t="str">
        <f t="shared" si="120"/>
        <v>LGUM_457</v>
      </c>
      <c r="E280" s="614">
        <f t="shared" si="121"/>
        <v>3359</v>
      </c>
      <c r="F280" s="615">
        <f t="shared" si="115"/>
        <v>0</v>
      </c>
      <c r="G280" s="614">
        <f t="shared" si="122"/>
        <v>125104</v>
      </c>
      <c r="H280" s="615">
        <v>0</v>
      </c>
      <c r="I280" s="283">
        <f t="shared" si="123"/>
        <v>10.86</v>
      </c>
      <c r="J280" s="283">
        <f t="shared" si="124"/>
        <v>1.0599999999999987</v>
      </c>
      <c r="K280" s="285">
        <f t="shared" si="125"/>
        <v>36478.74</v>
      </c>
      <c r="L280" s="286">
        <f t="shared" si="126"/>
        <v>-85.819999999995929</v>
      </c>
      <c r="M280" s="286">
        <f t="shared" si="127"/>
        <v>0</v>
      </c>
      <c r="N280" s="285">
        <f t="shared" si="128"/>
        <v>36392.920000000006</v>
      </c>
      <c r="O280" s="616">
        <f t="shared" si="116"/>
        <v>36392.92</v>
      </c>
      <c r="P280" s="289">
        <f t="shared" si="129"/>
        <v>0.99999999999999978</v>
      </c>
      <c r="Q280" s="290">
        <f t="shared" si="130"/>
        <v>190.75</v>
      </c>
      <c r="R280" s="290">
        <f t="shared" si="131"/>
        <v>705.98</v>
      </c>
      <c r="S280" s="290">
        <f t="shared" si="132"/>
        <v>0</v>
      </c>
      <c r="T280" s="290">
        <f t="shared" si="133"/>
        <v>38936.18</v>
      </c>
      <c r="U280" s="291">
        <f t="shared" si="134"/>
        <v>37289.650000000009</v>
      </c>
      <c r="V280" s="291">
        <f t="shared" si="137"/>
        <v>1646.53</v>
      </c>
      <c r="W280" s="617">
        <f t="shared" si="117"/>
        <v>1646.53</v>
      </c>
      <c r="X280" s="291">
        <f t="shared" si="138"/>
        <v>0</v>
      </c>
      <c r="Y280" s="170">
        <f t="shared" si="135"/>
        <v>3560.54</v>
      </c>
      <c r="Z280" s="291">
        <f t="shared" si="136"/>
        <v>32832.379999999997</v>
      </c>
      <c r="AC280" s="276">
        <f>IF(AI280=1,IF(AC279=MiscData!$F$1,EOMONTH(AC279,-11),EOMONTH(AC279,1)),AC279)</f>
        <v>41759</v>
      </c>
      <c r="AD280" s="275" t="str">
        <f t="shared" si="140"/>
        <v>20140101LGUM_457</v>
      </c>
      <c r="AE280" s="294" t="str">
        <f t="shared" si="141"/>
        <v xml:space="preserve">20140101LS </v>
      </c>
      <c r="AF280" s="618" t="str">
        <f t="shared" si="139"/>
        <v>457</v>
      </c>
      <c r="AH280" s="265">
        <f>MiscData!$X$5</f>
        <v>20140101</v>
      </c>
      <c r="AI280" s="265">
        <f>IF(AI279+1&gt;MiscData!$AC$77,1,AI279+1)</f>
        <v>58</v>
      </c>
      <c r="AJ280" s="265" t="str">
        <f>VLOOKUP(AI280,MiscData!$AC$5:$AD$77,2,FALSE)</f>
        <v>LGUM_457</v>
      </c>
      <c r="AK280" s="265" t="str">
        <f>VLOOKUP(AJ280,MiscData!$AD$5:$AE$77,2,FALSE)</f>
        <v xml:space="preserve">LS </v>
      </c>
      <c r="AT280" s="265" t="s">
        <v>521</v>
      </c>
      <c r="AV280" s="265">
        <v>0</v>
      </c>
    </row>
    <row r="281" spans="1:48">
      <c r="A281" s="275">
        <f t="shared" si="142"/>
        <v>278</v>
      </c>
      <c r="B281" s="276" t="str">
        <f t="shared" si="118"/>
        <v>Apr 2014</v>
      </c>
      <c r="C281" s="277" t="str">
        <f t="shared" si="119"/>
        <v>RLS</v>
      </c>
      <c r="D281" s="277" t="str">
        <f t="shared" si="120"/>
        <v>LGUM_458</v>
      </c>
      <c r="E281" s="614">
        <f t="shared" si="121"/>
        <v>5</v>
      </c>
      <c r="F281" s="615">
        <f t="shared" si="115"/>
        <v>0</v>
      </c>
      <c r="G281" s="614">
        <f t="shared" si="122"/>
        <v>343</v>
      </c>
      <c r="H281" s="615">
        <v>0</v>
      </c>
      <c r="I281" s="283">
        <f t="shared" si="123"/>
        <v>11.13</v>
      </c>
      <c r="J281" s="283">
        <f t="shared" si="124"/>
        <v>3.7700000000000014</v>
      </c>
      <c r="K281" s="285">
        <f t="shared" si="125"/>
        <v>55.65</v>
      </c>
      <c r="L281" s="286">
        <f t="shared" si="126"/>
        <v>0</v>
      </c>
      <c r="M281" s="286">
        <f t="shared" si="127"/>
        <v>0</v>
      </c>
      <c r="N281" s="285">
        <f t="shared" si="128"/>
        <v>55.65</v>
      </c>
      <c r="O281" s="616">
        <f t="shared" si="116"/>
        <v>55.65</v>
      </c>
      <c r="P281" s="289">
        <f t="shared" si="129"/>
        <v>1</v>
      </c>
      <c r="Q281" s="290">
        <f t="shared" si="130"/>
        <v>0.51</v>
      </c>
      <c r="R281" s="290">
        <f t="shared" si="131"/>
        <v>1.05</v>
      </c>
      <c r="S281" s="290">
        <f t="shared" si="132"/>
        <v>0</v>
      </c>
      <c r="T281" s="290">
        <f t="shared" si="133"/>
        <v>57.21</v>
      </c>
      <c r="U281" s="291">
        <f t="shared" si="134"/>
        <v>57.209999999999994</v>
      </c>
      <c r="V281" s="291">
        <f t="shared" si="137"/>
        <v>0</v>
      </c>
      <c r="W281" s="617">
        <f t="shared" si="117"/>
        <v>0</v>
      </c>
      <c r="X281" s="291">
        <f t="shared" si="138"/>
        <v>0</v>
      </c>
      <c r="Y281" s="170">
        <f t="shared" si="135"/>
        <v>18.850000000000001</v>
      </c>
      <c r="Z281" s="291">
        <f t="shared" si="136"/>
        <v>36.799999999999997</v>
      </c>
      <c r="AC281" s="276">
        <f>IF(AI281=1,IF(AC280=MiscData!$F$1,EOMONTH(AC280,-11),EOMONTH(AC280,1)),AC280)</f>
        <v>41759</v>
      </c>
      <c r="AD281" s="275" t="str">
        <f t="shared" si="140"/>
        <v>20140101LGUM_458</v>
      </c>
      <c r="AE281" s="294" t="str">
        <f t="shared" si="141"/>
        <v>20140101RLS</v>
      </c>
      <c r="AF281" s="618" t="str">
        <f t="shared" si="139"/>
        <v>458</v>
      </c>
      <c r="AH281" s="265">
        <f>MiscData!$X$5</f>
        <v>20140101</v>
      </c>
      <c r="AI281" s="265">
        <f>IF(AI280+1&gt;MiscData!$AC$77,1,AI280+1)</f>
        <v>59</v>
      </c>
      <c r="AJ281" s="265" t="str">
        <f>VLOOKUP(AI281,MiscData!$AC$5:$AD$77,2,FALSE)</f>
        <v>LGUM_458</v>
      </c>
      <c r="AK281" s="265" t="str">
        <f>VLOOKUP(AJ281,MiscData!$AD$5:$AE$77,2,FALSE)</f>
        <v>RLS</v>
      </c>
      <c r="AT281" s="265" t="s">
        <v>524</v>
      </c>
      <c r="AV281" s="265">
        <v>0</v>
      </c>
    </row>
    <row r="282" spans="1:48">
      <c r="A282" s="275">
        <f t="shared" si="142"/>
        <v>279</v>
      </c>
      <c r="B282" s="276" t="str">
        <f t="shared" si="118"/>
        <v>Apr 2014</v>
      </c>
      <c r="C282" s="277" t="str">
        <f t="shared" si="119"/>
        <v xml:space="preserve">LS </v>
      </c>
      <c r="D282" s="277" t="str">
        <f t="shared" si="120"/>
        <v>LGUM_470</v>
      </c>
      <c r="E282" s="614">
        <f t="shared" si="121"/>
        <v>22</v>
      </c>
      <c r="F282" s="615">
        <f t="shared" si="115"/>
        <v>0</v>
      </c>
      <c r="G282" s="614">
        <f t="shared" si="122"/>
        <v>1039</v>
      </c>
      <c r="H282" s="615">
        <v>0</v>
      </c>
      <c r="I282" s="283">
        <f t="shared" si="123"/>
        <v>12.79</v>
      </c>
      <c r="J282" s="283">
        <f t="shared" si="124"/>
        <v>1.3699999999999992</v>
      </c>
      <c r="K282" s="285">
        <f t="shared" si="125"/>
        <v>281.38</v>
      </c>
      <c r="L282" s="286">
        <f t="shared" si="126"/>
        <v>0</v>
      </c>
      <c r="M282" s="286">
        <f t="shared" si="127"/>
        <v>0</v>
      </c>
      <c r="N282" s="285">
        <f t="shared" si="128"/>
        <v>281.38</v>
      </c>
      <c r="O282" s="616">
        <f t="shared" si="116"/>
        <v>281.38</v>
      </c>
      <c r="P282" s="289">
        <f t="shared" si="129"/>
        <v>1</v>
      </c>
      <c r="Q282" s="290">
        <f t="shared" si="130"/>
        <v>1.54</v>
      </c>
      <c r="R282" s="290">
        <f t="shared" si="131"/>
        <v>5.36</v>
      </c>
      <c r="S282" s="290">
        <f t="shared" si="132"/>
        <v>0</v>
      </c>
      <c r="T282" s="290">
        <f t="shared" si="133"/>
        <v>292.39999999999998</v>
      </c>
      <c r="U282" s="291">
        <f t="shared" si="134"/>
        <v>288.28000000000003</v>
      </c>
      <c r="V282" s="291">
        <f t="shared" si="137"/>
        <v>4.12</v>
      </c>
      <c r="W282" s="617">
        <f t="shared" si="117"/>
        <v>4.12</v>
      </c>
      <c r="X282" s="291">
        <f t="shared" si="138"/>
        <v>0</v>
      </c>
      <c r="Y282" s="170">
        <f t="shared" si="135"/>
        <v>30.14</v>
      </c>
      <c r="Z282" s="291">
        <f t="shared" si="136"/>
        <v>251.24</v>
      </c>
      <c r="AC282" s="276">
        <f>IF(AI282=1,IF(AC281=MiscData!$F$1,EOMONTH(AC281,-11),EOMONTH(AC281,1)),AC281)</f>
        <v>41759</v>
      </c>
      <c r="AD282" s="275" t="str">
        <f t="shared" si="140"/>
        <v>20140101LGUM_470</v>
      </c>
      <c r="AE282" s="294" t="str">
        <f t="shared" si="141"/>
        <v xml:space="preserve">20140101LS </v>
      </c>
      <c r="AF282" s="618" t="str">
        <f t="shared" si="139"/>
        <v>470</v>
      </c>
      <c r="AH282" s="265">
        <f>MiscData!$X$5</f>
        <v>20140101</v>
      </c>
      <c r="AI282" s="265">
        <f>IF(AI281+1&gt;MiscData!$AC$77,1,AI281+1)</f>
        <v>60</v>
      </c>
      <c r="AJ282" s="265" t="str">
        <f>VLOOKUP(AI282,MiscData!$AC$5:$AD$77,2,FALSE)</f>
        <v>LGUM_470</v>
      </c>
      <c r="AK282" s="265" t="str">
        <f>VLOOKUP(AJ282,MiscData!$AD$5:$AE$77,2,FALSE)</f>
        <v xml:space="preserve">LS </v>
      </c>
      <c r="AT282" s="265" t="s">
        <v>178</v>
      </c>
      <c r="AV282" s="265">
        <v>0</v>
      </c>
    </row>
    <row r="283" spans="1:48">
      <c r="A283" s="275">
        <f t="shared" si="142"/>
        <v>280</v>
      </c>
      <c r="B283" s="276" t="str">
        <f t="shared" si="118"/>
        <v>Apr 2014</v>
      </c>
      <c r="C283" s="277" t="str">
        <f t="shared" si="119"/>
        <v>RLS</v>
      </c>
      <c r="D283" s="277" t="str">
        <f t="shared" si="120"/>
        <v>LGUM_471</v>
      </c>
      <c r="E283" s="614">
        <f t="shared" si="121"/>
        <v>2</v>
      </c>
      <c r="F283" s="615">
        <f t="shared" si="115"/>
        <v>0</v>
      </c>
      <c r="G283" s="614">
        <f t="shared" si="122"/>
        <v>98</v>
      </c>
      <c r="H283" s="615">
        <v>0</v>
      </c>
      <c r="I283" s="283">
        <f t="shared" si="123"/>
        <v>15.07</v>
      </c>
      <c r="J283" s="283">
        <f t="shared" si="124"/>
        <v>1.3699999999999992</v>
      </c>
      <c r="K283" s="285">
        <f t="shared" si="125"/>
        <v>30.14</v>
      </c>
      <c r="L283" s="286">
        <f t="shared" si="126"/>
        <v>0</v>
      </c>
      <c r="M283" s="286">
        <f t="shared" si="127"/>
        <v>0</v>
      </c>
      <c r="N283" s="285">
        <f t="shared" si="128"/>
        <v>30.14</v>
      </c>
      <c r="O283" s="616">
        <f t="shared" si="116"/>
        <v>30.14</v>
      </c>
      <c r="P283" s="289">
        <f t="shared" si="129"/>
        <v>1</v>
      </c>
      <c r="Q283" s="290">
        <f t="shared" si="130"/>
        <v>0.14000000000000001</v>
      </c>
      <c r="R283" s="290">
        <f t="shared" si="131"/>
        <v>0.56000000000000005</v>
      </c>
      <c r="S283" s="290">
        <f t="shared" si="132"/>
        <v>0</v>
      </c>
      <c r="T283" s="290">
        <f t="shared" si="133"/>
        <v>30.84</v>
      </c>
      <c r="U283" s="291">
        <f t="shared" si="134"/>
        <v>30.84</v>
      </c>
      <c r="V283" s="291">
        <f t="shared" si="137"/>
        <v>0</v>
      </c>
      <c r="W283" s="617">
        <f t="shared" si="117"/>
        <v>0</v>
      </c>
      <c r="X283" s="291">
        <f t="shared" si="138"/>
        <v>0</v>
      </c>
      <c r="Y283" s="170">
        <f t="shared" si="135"/>
        <v>2.74</v>
      </c>
      <c r="Z283" s="291">
        <f t="shared" si="136"/>
        <v>27.4</v>
      </c>
      <c r="AC283" s="276">
        <f>IF(AI283=1,IF(AC282=MiscData!$F$1,EOMONTH(AC282,-11),EOMONTH(AC282,1)),AC282)</f>
        <v>41759</v>
      </c>
      <c r="AD283" s="275" t="str">
        <f t="shared" si="140"/>
        <v>20140101LGUM_471</v>
      </c>
      <c r="AE283" s="294" t="str">
        <f t="shared" si="141"/>
        <v>20140101RLS</v>
      </c>
      <c r="AF283" s="618" t="str">
        <f t="shared" si="139"/>
        <v>471</v>
      </c>
      <c r="AH283" s="265">
        <f>MiscData!$X$5</f>
        <v>20140101</v>
      </c>
      <c r="AI283" s="265">
        <f>IF(AI282+1&gt;MiscData!$AC$77,1,AI282+1)</f>
        <v>61</v>
      </c>
      <c r="AJ283" s="265" t="str">
        <f>VLOOKUP(AI283,MiscData!$AC$5:$AD$77,2,FALSE)</f>
        <v>LGUM_471</v>
      </c>
      <c r="AK283" s="265" t="str">
        <f>VLOOKUP(AJ283,MiscData!$AD$5:$AE$77,2,FALSE)</f>
        <v>RLS</v>
      </c>
      <c r="AT283" s="265" t="s">
        <v>179</v>
      </c>
      <c r="AV283" s="265">
        <v>-8.93</v>
      </c>
    </row>
    <row r="284" spans="1:48">
      <c r="A284" s="275">
        <f t="shared" si="142"/>
        <v>281</v>
      </c>
      <c r="B284" s="276" t="str">
        <f t="shared" si="118"/>
        <v>Apr 2014</v>
      </c>
      <c r="C284" s="277" t="str">
        <f t="shared" si="119"/>
        <v xml:space="preserve">LS </v>
      </c>
      <c r="D284" s="277" t="str">
        <f t="shared" si="120"/>
        <v>LGUM_473</v>
      </c>
      <c r="E284" s="614">
        <f t="shared" si="121"/>
        <v>510</v>
      </c>
      <c r="F284" s="615">
        <f t="shared" ref="F284:F347" si="143">SUMIFS(L_1055_Count_OutOfPeriod,L_1055_Revenue_Month,$B284,L_1055_RateCategory,$D284)</f>
        <v>0</v>
      </c>
      <c r="G284" s="614">
        <f t="shared" si="122"/>
        <v>58271</v>
      </c>
      <c r="H284" s="615">
        <v>0</v>
      </c>
      <c r="I284" s="283">
        <f t="shared" si="123"/>
        <v>18.68</v>
      </c>
      <c r="J284" s="283">
        <f t="shared" si="124"/>
        <v>3.1799999999999979</v>
      </c>
      <c r="K284" s="285">
        <f t="shared" si="125"/>
        <v>9526.7999999999993</v>
      </c>
      <c r="L284" s="286">
        <f t="shared" si="126"/>
        <v>-105.33000000000069</v>
      </c>
      <c r="M284" s="286">
        <f t="shared" si="127"/>
        <v>0</v>
      </c>
      <c r="N284" s="285">
        <f t="shared" si="128"/>
        <v>9421.4699999999993</v>
      </c>
      <c r="O284" s="616">
        <f t="shared" ref="O284:O347" si="144">T284-SUM(Q284:S284)-W284</f>
        <v>9421.4700000000012</v>
      </c>
      <c r="P284" s="289">
        <f t="shared" si="129"/>
        <v>1.0000000000000002</v>
      </c>
      <c r="Q284" s="290">
        <f t="shared" si="130"/>
        <v>74.89</v>
      </c>
      <c r="R284" s="290">
        <f t="shared" si="131"/>
        <v>200.6</v>
      </c>
      <c r="S284" s="290">
        <f t="shared" si="132"/>
        <v>0</v>
      </c>
      <c r="T284" s="290">
        <f t="shared" si="133"/>
        <v>9777.18</v>
      </c>
      <c r="U284" s="291">
        <f t="shared" si="134"/>
        <v>9696.9599999999991</v>
      </c>
      <c r="V284" s="291">
        <f t="shared" si="137"/>
        <v>80.22</v>
      </c>
      <c r="W284" s="617">
        <f t="shared" ref="W284:W291" si="145">ROUND(SUMIFS(L_1055_Revenue_Pole_Total,L_1055_Revenue_Month,$B284,L_1055_RateCategory,$D284),2)</f>
        <v>80.22</v>
      </c>
      <c r="X284" s="291">
        <f t="shared" si="138"/>
        <v>0</v>
      </c>
      <c r="Y284" s="170">
        <f t="shared" si="135"/>
        <v>1621.8</v>
      </c>
      <c r="Z284" s="291">
        <f t="shared" si="136"/>
        <v>7799.670000000001</v>
      </c>
      <c r="AC284" s="276">
        <f>IF(AI284=1,IF(AC283=MiscData!$F$1,EOMONTH(AC283,-11),EOMONTH(AC283,1)),AC283)</f>
        <v>41759</v>
      </c>
      <c r="AD284" s="275" t="str">
        <f t="shared" si="140"/>
        <v>20140101LGUM_473</v>
      </c>
      <c r="AE284" s="294" t="str">
        <f t="shared" si="141"/>
        <v xml:space="preserve">20140101LS </v>
      </c>
      <c r="AF284" s="618" t="str">
        <f t="shared" si="139"/>
        <v>473</v>
      </c>
      <c r="AH284" s="265">
        <f>MiscData!$X$5</f>
        <v>20140101</v>
      </c>
      <c r="AI284" s="265">
        <f>IF(AI283+1&gt;MiscData!$AC$77,1,AI283+1)</f>
        <v>62</v>
      </c>
      <c r="AJ284" s="265" t="str">
        <f>VLOOKUP(AI284,MiscData!$AC$5:$AD$77,2,FALSE)</f>
        <v>LGUM_473</v>
      </c>
      <c r="AK284" s="265" t="str">
        <f>VLOOKUP(AJ284,MiscData!$AD$5:$AE$77,2,FALSE)</f>
        <v xml:space="preserve">LS </v>
      </c>
      <c r="AT284" s="265" t="s">
        <v>180</v>
      </c>
      <c r="AV284" s="265">
        <v>0</v>
      </c>
    </row>
    <row r="285" spans="1:48">
      <c r="A285" s="275">
        <f t="shared" si="142"/>
        <v>282</v>
      </c>
      <c r="B285" s="276" t="str">
        <f t="shared" si="118"/>
        <v>Apr 2014</v>
      </c>
      <c r="C285" s="277" t="str">
        <f t="shared" si="119"/>
        <v>RLS</v>
      </c>
      <c r="D285" s="277" t="str">
        <f t="shared" si="120"/>
        <v>LGUM_474</v>
      </c>
      <c r="E285" s="614">
        <f t="shared" si="121"/>
        <v>56</v>
      </c>
      <c r="F285" s="615">
        <f t="shared" si="143"/>
        <v>0</v>
      </c>
      <c r="G285" s="614">
        <f t="shared" si="122"/>
        <v>6055</v>
      </c>
      <c r="H285" s="615">
        <v>0</v>
      </c>
      <c r="I285" s="283">
        <f t="shared" si="123"/>
        <v>20.970000000000002</v>
      </c>
      <c r="J285" s="283">
        <f t="shared" si="124"/>
        <v>3.1799999999999997</v>
      </c>
      <c r="K285" s="285">
        <f t="shared" si="125"/>
        <v>1174.32</v>
      </c>
      <c r="L285" s="286">
        <f t="shared" si="126"/>
        <v>-29.3599999999999</v>
      </c>
      <c r="M285" s="286">
        <f t="shared" si="127"/>
        <v>0</v>
      </c>
      <c r="N285" s="285">
        <f t="shared" si="128"/>
        <v>1144.96</v>
      </c>
      <c r="O285" s="616">
        <f t="shared" si="144"/>
        <v>1144.96</v>
      </c>
      <c r="P285" s="289">
        <f t="shared" si="129"/>
        <v>1</v>
      </c>
      <c r="Q285" s="290">
        <f t="shared" si="130"/>
        <v>9</v>
      </c>
      <c r="R285" s="290">
        <f t="shared" si="131"/>
        <v>22.18</v>
      </c>
      <c r="S285" s="290">
        <f t="shared" si="132"/>
        <v>0</v>
      </c>
      <c r="T285" s="290">
        <f t="shared" si="133"/>
        <v>1202.8800000000001</v>
      </c>
      <c r="U285" s="291">
        <f t="shared" si="134"/>
        <v>1176.1400000000001</v>
      </c>
      <c r="V285" s="291">
        <f t="shared" si="137"/>
        <v>26.74</v>
      </c>
      <c r="W285" s="617">
        <f t="shared" si="145"/>
        <v>26.74</v>
      </c>
      <c r="X285" s="291">
        <f t="shared" si="138"/>
        <v>0</v>
      </c>
      <c r="Y285" s="170">
        <f t="shared" si="135"/>
        <v>178.08</v>
      </c>
      <c r="Z285" s="291">
        <f t="shared" si="136"/>
        <v>966.88</v>
      </c>
      <c r="AC285" s="276">
        <f>IF(AI285=1,IF(AC284=MiscData!$F$1,EOMONTH(AC284,-11),EOMONTH(AC284,1)),AC284)</f>
        <v>41759</v>
      </c>
      <c r="AD285" s="275" t="str">
        <f t="shared" si="140"/>
        <v>20140101LGUM_474</v>
      </c>
      <c r="AE285" s="294" t="str">
        <f t="shared" si="141"/>
        <v>20140101RLS</v>
      </c>
      <c r="AF285" s="618" t="str">
        <f t="shared" si="139"/>
        <v>474</v>
      </c>
      <c r="AH285" s="265">
        <f>MiscData!$X$5</f>
        <v>20140101</v>
      </c>
      <c r="AI285" s="265">
        <f>IF(AI284+1&gt;MiscData!$AC$77,1,AI284+1)</f>
        <v>63</v>
      </c>
      <c r="AJ285" s="265" t="str">
        <f>VLOOKUP(AI285,MiscData!$AC$5:$AD$77,2,FALSE)</f>
        <v>LGUM_474</v>
      </c>
      <c r="AK285" s="265" t="str">
        <f>VLOOKUP(AJ285,MiscData!$AD$5:$AE$77,2,FALSE)</f>
        <v>RLS</v>
      </c>
      <c r="AT285" s="265" t="s">
        <v>181</v>
      </c>
      <c r="AV285" s="265">
        <v>-52.15</v>
      </c>
    </row>
    <row r="286" spans="1:48">
      <c r="A286" s="275">
        <f t="shared" si="142"/>
        <v>283</v>
      </c>
      <c r="B286" s="276" t="str">
        <f t="shared" ref="B286:B291" si="146">TEXT(AC286,"mmm yyyy")</f>
        <v>Apr 2014</v>
      </c>
      <c r="C286" s="277" t="str">
        <f t="shared" ref="C286:C291" si="147">AK286</f>
        <v>RLS</v>
      </c>
      <c r="D286" s="277" t="str">
        <f t="shared" ref="D286:D291" si="148">AJ286</f>
        <v>LGUM_475</v>
      </c>
      <c r="E286" s="614">
        <f t="shared" si="121"/>
        <v>2</v>
      </c>
      <c r="F286" s="615">
        <f t="shared" si="143"/>
        <v>0</v>
      </c>
      <c r="G286" s="614">
        <f t="shared" si="122"/>
        <v>215</v>
      </c>
      <c r="H286" s="615">
        <v>0</v>
      </c>
      <c r="I286" s="283">
        <f t="shared" si="123"/>
        <v>28.42</v>
      </c>
      <c r="J286" s="283">
        <f t="shared" si="124"/>
        <v>3.1800000000000033</v>
      </c>
      <c r="K286" s="285">
        <f t="shared" si="125"/>
        <v>56.84</v>
      </c>
      <c r="L286" s="286">
        <f t="shared" si="126"/>
        <v>0</v>
      </c>
      <c r="M286" s="286">
        <f t="shared" si="127"/>
        <v>0</v>
      </c>
      <c r="N286" s="285">
        <f t="shared" si="128"/>
        <v>56.84</v>
      </c>
      <c r="O286" s="616">
        <f t="shared" si="144"/>
        <v>56.839999999999996</v>
      </c>
      <c r="P286" s="289">
        <f t="shared" si="129"/>
        <v>0.99999999999999989</v>
      </c>
      <c r="Q286" s="290">
        <f t="shared" si="130"/>
        <v>0.32</v>
      </c>
      <c r="R286" s="290">
        <f t="shared" si="131"/>
        <v>1.06</v>
      </c>
      <c r="S286" s="290">
        <f t="shared" si="132"/>
        <v>0</v>
      </c>
      <c r="T286" s="290">
        <f t="shared" si="133"/>
        <v>58.22</v>
      </c>
      <c r="U286" s="291">
        <f t="shared" si="134"/>
        <v>58.220000000000006</v>
      </c>
      <c r="V286" s="291">
        <f t="shared" si="137"/>
        <v>0</v>
      </c>
      <c r="W286" s="617">
        <f t="shared" si="145"/>
        <v>0</v>
      </c>
      <c r="X286" s="291">
        <f t="shared" si="138"/>
        <v>0</v>
      </c>
      <c r="Y286" s="170">
        <f t="shared" si="135"/>
        <v>6.36</v>
      </c>
      <c r="Z286" s="291">
        <f t="shared" si="136"/>
        <v>50.48</v>
      </c>
      <c r="AC286" s="276">
        <f>IF(AI286=1,IF(AC285=MiscData!$F$1,EOMONTH(AC285,-11),EOMONTH(AC285,1)),AC285)</f>
        <v>41759</v>
      </c>
      <c r="AD286" s="275" t="str">
        <f t="shared" si="140"/>
        <v>20140101LGUM_475</v>
      </c>
      <c r="AE286" s="294" t="str">
        <f t="shared" si="141"/>
        <v>20140101RLS</v>
      </c>
      <c r="AF286" s="618" t="str">
        <f t="shared" si="139"/>
        <v>475</v>
      </c>
      <c r="AH286" s="265">
        <f>MiscData!$X$5</f>
        <v>20140101</v>
      </c>
      <c r="AI286" s="265">
        <f>IF(AI285+1&gt;MiscData!$AC$77,1,AI285+1)</f>
        <v>64</v>
      </c>
      <c r="AJ286" s="265" t="str">
        <f>VLOOKUP(AI286,MiscData!$AC$5:$AD$77,2,FALSE)</f>
        <v>LGUM_475</v>
      </c>
      <c r="AK286" s="265" t="str">
        <f>VLOOKUP(AJ286,MiscData!$AD$5:$AE$77,2,FALSE)</f>
        <v>RLS</v>
      </c>
      <c r="AT286" s="265" t="s">
        <v>534</v>
      </c>
      <c r="AV286" s="265">
        <v>0</v>
      </c>
    </row>
    <row r="287" spans="1:48">
      <c r="A287" s="275">
        <f t="shared" si="142"/>
        <v>284</v>
      </c>
      <c r="B287" s="276" t="str">
        <f t="shared" si="146"/>
        <v>Apr 2014</v>
      </c>
      <c r="C287" s="277" t="str">
        <f t="shared" si="147"/>
        <v xml:space="preserve">LS </v>
      </c>
      <c r="D287" s="277" t="str">
        <f t="shared" si="148"/>
        <v>LGUM_476</v>
      </c>
      <c r="E287" s="614">
        <f t="shared" si="121"/>
        <v>391</v>
      </c>
      <c r="F287" s="615">
        <f t="shared" si="143"/>
        <v>0</v>
      </c>
      <c r="G287" s="614">
        <f t="shared" si="122"/>
        <v>134495</v>
      </c>
      <c r="H287" s="615">
        <v>0</v>
      </c>
      <c r="I287" s="283">
        <f t="shared" si="123"/>
        <v>39.6</v>
      </c>
      <c r="J287" s="283">
        <f t="shared" si="124"/>
        <v>9.8100000000000023</v>
      </c>
      <c r="K287" s="285">
        <f t="shared" si="125"/>
        <v>15483.6</v>
      </c>
      <c r="L287" s="286">
        <f t="shared" si="126"/>
        <v>-16.570000000000618</v>
      </c>
      <c r="M287" s="286">
        <f t="shared" si="127"/>
        <v>0</v>
      </c>
      <c r="N287" s="285">
        <f t="shared" si="128"/>
        <v>15467.029999999999</v>
      </c>
      <c r="O287" s="616">
        <f t="shared" si="144"/>
        <v>15467.03</v>
      </c>
      <c r="P287" s="289">
        <f t="shared" si="129"/>
        <v>1.0000000000000002</v>
      </c>
      <c r="Q287" s="290">
        <f t="shared" si="130"/>
        <v>202.4</v>
      </c>
      <c r="R287" s="290">
        <f t="shared" si="131"/>
        <v>295.14999999999998</v>
      </c>
      <c r="S287" s="290">
        <f t="shared" si="132"/>
        <v>0</v>
      </c>
      <c r="T287" s="290">
        <f t="shared" si="133"/>
        <v>16083.86</v>
      </c>
      <c r="U287" s="291">
        <f t="shared" si="134"/>
        <v>15964.579999999998</v>
      </c>
      <c r="V287" s="291">
        <f t="shared" si="137"/>
        <v>119.28</v>
      </c>
      <c r="W287" s="617">
        <f t="shared" si="145"/>
        <v>119.28</v>
      </c>
      <c r="X287" s="291">
        <f t="shared" si="138"/>
        <v>0</v>
      </c>
      <c r="Y287" s="170">
        <f t="shared" si="135"/>
        <v>3835.71</v>
      </c>
      <c r="Z287" s="291">
        <f t="shared" si="136"/>
        <v>11631.32</v>
      </c>
      <c r="AC287" s="276">
        <f>IF(AI287=1,IF(AC286=MiscData!$F$1,EOMONTH(AC286,-11),EOMONTH(AC286,1)),AC286)</f>
        <v>41759</v>
      </c>
      <c r="AD287" s="275" t="str">
        <f t="shared" si="140"/>
        <v>20140101LGUM_476</v>
      </c>
      <c r="AE287" s="294" t="str">
        <f t="shared" si="141"/>
        <v xml:space="preserve">20140101LS </v>
      </c>
      <c r="AF287" s="618" t="str">
        <f t="shared" si="139"/>
        <v>476</v>
      </c>
      <c r="AH287" s="265">
        <f>MiscData!$X$5</f>
        <v>20140101</v>
      </c>
      <c r="AI287" s="265">
        <f>IF(AI286+1&gt;MiscData!$AC$77,1,AI286+1)</f>
        <v>65</v>
      </c>
      <c r="AJ287" s="265" t="str">
        <f>VLOOKUP(AI287,MiscData!$AC$5:$AD$77,2,FALSE)</f>
        <v>LGUM_476</v>
      </c>
      <c r="AK287" s="265" t="str">
        <f>VLOOKUP(AJ287,MiscData!$AD$5:$AE$77,2,FALSE)</f>
        <v xml:space="preserve">LS </v>
      </c>
      <c r="AT287" s="265" t="s">
        <v>182</v>
      </c>
      <c r="AV287" s="265">
        <v>-7.55</v>
      </c>
    </row>
    <row r="288" spans="1:48">
      <c r="A288" s="275">
        <f t="shared" si="142"/>
        <v>285</v>
      </c>
      <c r="B288" s="276" t="str">
        <f t="shared" si="146"/>
        <v>Apr 2014</v>
      </c>
      <c r="C288" s="277" t="str">
        <f t="shared" si="147"/>
        <v>RLS</v>
      </c>
      <c r="D288" s="277" t="str">
        <f t="shared" si="148"/>
        <v>LGUM_477</v>
      </c>
      <c r="E288" s="614">
        <f t="shared" si="121"/>
        <v>59</v>
      </c>
      <c r="F288" s="615">
        <f t="shared" si="143"/>
        <v>0</v>
      </c>
      <c r="G288" s="614">
        <f t="shared" si="122"/>
        <v>20562</v>
      </c>
      <c r="H288" s="615">
        <v>0</v>
      </c>
      <c r="I288" s="283">
        <f t="shared" si="123"/>
        <v>42.78</v>
      </c>
      <c r="J288" s="283">
        <f t="shared" si="124"/>
        <v>9.8100000000000023</v>
      </c>
      <c r="K288" s="285">
        <f t="shared" si="125"/>
        <v>2524.02</v>
      </c>
      <c r="L288" s="286">
        <f t="shared" si="126"/>
        <v>0</v>
      </c>
      <c r="M288" s="286">
        <f t="shared" si="127"/>
        <v>0</v>
      </c>
      <c r="N288" s="285">
        <f t="shared" si="128"/>
        <v>2524.02</v>
      </c>
      <c r="O288" s="616">
        <f t="shared" si="144"/>
        <v>2524.02</v>
      </c>
      <c r="P288" s="289">
        <f t="shared" si="129"/>
        <v>1</v>
      </c>
      <c r="Q288" s="290">
        <f t="shared" si="130"/>
        <v>30.66</v>
      </c>
      <c r="R288" s="290">
        <f t="shared" si="131"/>
        <v>48.41</v>
      </c>
      <c r="S288" s="290">
        <f t="shared" si="132"/>
        <v>0</v>
      </c>
      <c r="T288" s="290">
        <f t="shared" si="133"/>
        <v>2637.02</v>
      </c>
      <c r="U288" s="291">
        <f t="shared" si="134"/>
        <v>2603.0899999999997</v>
      </c>
      <c r="V288" s="291">
        <f t="shared" si="137"/>
        <v>33.93</v>
      </c>
      <c r="W288" s="617">
        <f t="shared" si="145"/>
        <v>33.93</v>
      </c>
      <c r="X288" s="291">
        <f t="shared" si="138"/>
        <v>0</v>
      </c>
      <c r="Y288" s="170">
        <f t="shared" si="135"/>
        <v>578.79</v>
      </c>
      <c r="Z288" s="291">
        <f t="shared" si="136"/>
        <v>1945.23</v>
      </c>
      <c r="AC288" s="276">
        <f>IF(AI288=1,IF(AC287=MiscData!$F$1,EOMONTH(AC287,-11),EOMONTH(AC287,1)),AC287)</f>
        <v>41759</v>
      </c>
      <c r="AD288" s="275" t="str">
        <f t="shared" si="140"/>
        <v>20140101LGUM_477</v>
      </c>
      <c r="AE288" s="294" t="str">
        <f t="shared" si="141"/>
        <v>20140101RLS</v>
      </c>
      <c r="AF288" s="618" t="str">
        <f t="shared" si="139"/>
        <v>477</v>
      </c>
      <c r="AH288" s="265">
        <f>MiscData!$X$5</f>
        <v>20140101</v>
      </c>
      <c r="AI288" s="265">
        <f>IF(AI287+1&gt;MiscData!$AC$77,1,AI287+1)</f>
        <v>66</v>
      </c>
      <c r="AJ288" s="265" t="str">
        <f>VLOOKUP(AI288,MiscData!$AC$5:$AD$77,2,FALSE)</f>
        <v>LGUM_477</v>
      </c>
      <c r="AK288" s="265" t="str">
        <f>VLOOKUP(AJ288,MiscData!$AD$5:$AE$77,2,FALSE)</f>
        <v>RLS</v>
      </c>
      <c r="AT288" s="265" t="s">
        <v>183</v>
      </c>
      <c r="AV288" s="265">
        <v>0</v>
      </c>
    </row>
    <row r="289" spans="1:48">
      <c r="A289" s="275">
        <f t="shared" si="142"/>
        <v>286</v>
      </c>
      <c r="B289" s="276" t="str">
        <f t="shared" si="146"/>
        <v>Apr 2014</v>
      </c>
      <c r="C289" s="277" t="str">
        <f t="shared" si="147"/>
        <v xml:space="preserve">LS </v>
      </c>
      <c r="D289" s="277" t="str">
        <f t="shared" si="148"/>
        <v>LGUM_479</v>
      </c>
      <c r="E289" s="614">
        <f t="shared" si="121"/>
        <v>0</v>
      </c>
      <c r="F289" s="615">
        <f t="shared" si="143"/>
        <v>0</v>
      </c>
      <c r="G289" s="614">
        <f t="shared" si="122"/>
        <v>0</v>
      </c>
      <c r="H289" s="615">
        <v>0</v>
      </c>
      <c r="I289" s="283">
        <f t="shared" si="123"/>
        <v>14.06</v>
      </c>
      <c r="J289" s="283">
        <f t="shared" si="124"/>
        <v>1.370000000000001</v>
      </c>
      <c r="K289" s="285">
        <f t="shared" si="125"/>
        <v>0</v>
      </c>
      <c r="L289" s="286">
        <f t="shared" si="126"/>
        <v>0</v>
      </c>
      <c r="M289" s="286">
        <f t="shared" si="127"/>
        <v>0</v>
      </c>
      <c r="N289" s="285">
        <f t="shared" si="128"/>
        <v>0</v>
      </c>
      <c r="O289" s="616">
        <f t="shared" si="144"/>
        <v>0</v>
      </c>
      <c r="P289" s="289">
        <f t="shared" si="129"/>
        <v>1</v>
      </c>
      <c r="Q289" s="290">
        <f t="shared" si="130"/>
        <v>0</v>
      </c>
      <c r="R289" s="290">
        <f t="shared" si="131"/>
        <v>0</v>
      </c>
      <c r="S289" s="290">
        <f t="shared" si="132"/>
        <v>0</v>
      </c>
      <c r="T289" s="290">
        <f t="shared" si="133"/>
        <v>0</v>
      </c>
      <c r="U289" s="291">
        <f t="shared" si="134"/>
        <v>0</v>
      </c>
      <c r="V289" s="291">
        <f t="shared" si="137"/>
        <v>0</v>
      </c>
      <c r="W289" s="617">
        <f t="shared" si="145"/>
        <v>0</v>
      </c>
      <c r="X289" s="291">
        <f t="shared" si="138"/>
        <v>0</v>
      </c>
      <c r="Y289" s="170">
        <f t="shared" si="135"/>
        <v>0</v>
      </c>
      <c r="Z289" s="291">
        <f t="shared" si="136"/>
        <v>0</v>
      </c>
      <c r="AC289" s="276">
        <f>IF(AI289=1,IF(AC288=MiscData!$F$1,EOMONTH(AC288,-11),EOMONTH(AC288,1)),AC288)</f>
        <v>41759</v>
      </c>
      <c r="AD289" s="275" t="str">
        <f t="shared" si="140"/>
        <v>20140101LGUM_479</v>
      </c>
      <c r="AE289" s="294" t="str">
        <f t="shared" si="141"/>
        <v xml:space="preserve">20140101LS </v>
      </c>
      <c r="AF289" s="618" t="str">
        <f t="shared" si="139"/>
        <v>479</v>
      </c>
      <c r="AH289" s="265">
        <f>MiscData!$X$5</f>
        <v>20140101</v>
      </c>
      <c r="AI289" s="265">
        <f>IF(AI288+1&gt;MiscData!$AC$77,1,AI288+1)</f>
        <v>67</v>
      </c>
      <c r="AJ289" s="265" t="str">
        <f>VLOOKUP(AI289,MiscData!$AC$5:$AD$77,2,FALSE)</f>
        <v>LGUM_479</v>
      </c>
      <c r="AK289" s="265" t="str">
        <f>VLOOKUP(AJ289,MiscData!$AD$5:$AE$77,2,FALSE)</f>
        <v xml:space="preserve">LS </v>
      </c>
      <c r="AT289" s="265" t="s">
        <v>400</v>
      </c>
      <c r="AV289" s="265">
        <v>0</v>
      </c>
    </row>
    <row r="290" spans="1:48">
      <c r="A290" s="275">
        <f t="shared" si="142"/>
        <v>287</v>
      </c>
      <c r="B290" s="276" t="str">
        <f t="shared" si="146"/>
        <v>Apr 2014</v>
      </c>
      <c r="C290" s="277" t="str">
        <f t="shared" si="147"/>
        <v xml:space="preserve">LS </v>
      </c>
      <c r="D290" s="277" t="str">
        <f t="shared" si="148"/>
        <v>LGUM_480</v>
      </c>
      <c r="E290" s="614">
        <f t="shared" si="121"/>
        <v>18</v>
      </c>
      <c r="F290" s="615">
        <f t="shared" si="143"/>
        <v>0</v>
      </c>
      <c r="G290" s="614">
        <f t="shared" si="122"/>
        <v>831</v>
      </c>
      <c r="H290" s="615">
        <v>0</v>
      </c>
      <c r="I290" s="283">
        <f t="shared" si="123"/>
        <v>23.83</v>
      </c>
      <c r="J290" s="283">
        <f t="shared" si="124"/>
        <v>1.370000000000001</v>
      </c>
      <c r="K290" s="285">
        <f t="shared" si="125"/>
        <v>428.94</v>
      </c>
      <c r="L290" s="286">
        <f t="shared" si="126"/>
        <v>0</v>
      </c>
      <c r="M290" s="286">
        <f t="shared" si="127"/>
        <v>0</v>
      </c>
      <c r="N290" s="285">
        <f t="shared" si="128"/>
        <v>428.94</v>
      </c>
      <c r="O290" s="616">
        <f t="shared" si="144"/>
        <v>428.94000000000005</v>
      </c>
      <c r="P290" s="289">
        <f t="shared" si="129"/>
        <v>1.0000000000000002</v>
      </c>
      <c r="Q290" s="290">
        <f t="shared" si="130"/>
        <v>1.24</v>
      </c>
      <c r="R290" s="290">
        <f t="shared" si="131"/>
        <v>8.0399999999999991</v>
      </c>
      <c r="S290" s="290">
        <f t="shared" si="132"/>
        <v>0</v>
      </c>
      <c r="T290" s="290">
        <f t="shared" si="133"/>
        <v>438.22</v>
      </c>
      <c r="U290" s="291">
        <f t="shared" si="134"/>
        <v>438.22</v>
      </c>
      <c r="V290" s="291">
        <f t="shared" si="137"/>
        <v>0</v>
      </c>
      <c r="W290" s="617">
        <f t="shared" si="145"/>
        <v>0</v>
      </c>
      <c r="X290" s="291">
        <f t="shared" si="138"/>
        <v>0</v>
      </c>
      <c r="Y290" s="170">
        <f t="shared" si="135"/>
        <v>24.66</v>
      </c>
      <c r="Z290" s="291">
        <f t="shared" si="136"/>
        <v>404.28000000000003</v>
      </c>
      <c r="AC290" s="276">
        <f>IF(AI290=1,IF(AC289=MiscData!$F$1,EOMONTH(AC289,-11),EOMONTH(AC289,1)),AC289)</f>
        <v>41759</v>
      </c>
      <c r="AD290" s="275" t="str">
        <f t="shared" si="140"/>
        <v>20140101LGUM_480</v>
      </c>
      <c r="AE290" s="294" t="str">
        <f t="shared" si="141"/>
        <v xml:space="preserve">20140101LS </v>
      </c>
      <c r="AF290" s="618" t="str">
        <f t="shared" si="139"/>
        <v>480</v>
      </c>
      <c r="AH290" s="265">
        <f>MiscData!$X$5</f>
        <v>20140101</v>
      </c>
      <c r="AI290" s="265">
        <f>IF(AI289+1&gt;MiscData!$AC$77,1,AI289+1)</f>
        <v>68</v>
      </c>
      <c r="AJ290" s="265" t="str">
        <f>VLOOKUP(AI290,MiscData!$AC$5:$AD$77,2,FALSE)</f>
        <v>LGUM_480</v>
      </c>
      <c r="AK290" s="265" t="str">
        <f>VLOOKUP(AJ290,MiscData!$AD$5:$AE$77,2,FALSE)</f>
        <v xml:space="preserve">LS </v>
      </c>
      <c r="AT290" s="265" t="s">
        <v>541</v>
      </c>
      <c r="AV290" s="265">
        <v>0</v>
      </c>
    </row>
    <row r="291" spans="1:48" ht="12.75" thickBot="1">
      <c r="A291" s="619">
        <f t="shared" si="142"/>
        <v>288</v>
      </c>
      <c r="B291" s="620" t="str">
        <f t="shared" si="146"/>
        <v>Apr 2014</v>
      </c>
      <c r="C291" s="621" t="str">
        <f t="shared" si="147"/>
        <v xml:space="preserve">LS </v>
      </c>
      <c r="D291" s="621" t="str">
        <f t="shared" si="148"/>
        <v>LGUM_481</v>
      </c>
      <c r="E291" s="622">
        <f t="shared" si="121"/>
        <v>4</v>
      </c>
      <c r="F291" s="623">
        <f t="shared" si="143"/>
        <v>0</v>
      </c>
      <c r="G291" s="614">
        <f t="shared" si="122"/>
        <v>462</v>
      </c>
      <c r="H291" s="615">
        <v>0</v>
      </c>
      <c r="I291" s="624">
        <f t="shared" si="123"/>
        <v>20.46</v>
      </c>
      <c r="J291" s="624">
        <f t="shared" si="124"/>
        <v>3.1800000000000033</v>
      </c>
      <c r="K291" s="625">
        <f t="shared" si="125"/>
        <v>81.84</v>
      </c>
      <c r="L291" s="286">
        <f t="shared" si="126"/>
        <v>0</v>
      </c>
      <c r="M291" s="286">
        <f t="shared" si="127"/>
        <v>0</v>
      </c>
      <c r="N291" s="625">
        <f t="shared" si="128"/>
        <v>81.84</v>
      </c>
      <c r="O291" s="626">
        <f t="shared" si="144"/>
        <v>81.839999999999989</v>
      </c>
      <c r="P291" s="627">
        <f t="shared" si="129"/>
        <v>0.99999999999999978</v>
      </c>
      <c r="Q291" s="628">
        <f t="shared" si="130"/>
        <v>0.69</v>
      </c>
      <c r="R291" s="628">
        <f t="shared" si="131"/>
        <v>1.54</v>
      </c>
      <c r="S291" s="628">
        <f t="shared" si="132"/>
        <v>0</v>
      </c>
      <c r="T291" s="628">
        <f t="shared" si="133"/>
        <v>84.07</v>
      </c>
      <c r="U291" s="629">
        <f t="shared" si="134"/>
        <v>84.070000000000007</v>
      </c>
      <c r="V291" s="629">
        <f t="shared" si="137"/>
        <v>0</v>
      </c>
      <c r="W291" s="630">
        <f t="shared" si="145"/>
        <v>0</v>
      </c>
      <c r="X291" s="629">
        <f t="shared" si="138"/>
        <v>0</v>
      </c>
      <c r="Y291" s="631">
        <f t="shared" si="135"/>
        <v>12.72</v>
      </c>
      <c r="Z291" s="629">
        <f t="shared" si="136"/>
        <v>69.11999999999999</v>
      </c>
      <c r="AA291" s="632"/>
      <c r="AB291" s="632"/>
      <c r="AC291" s="620">
        <f>IF(AI291=1,IF(AC290=MiscData!$F$1,EOMONTH(AC290,-11),EOMONTH(AC290,1)),AC290)</f>
        <v>41759</v>
      </c>
      <c r="AD291" s="619" t="str">
        <f t="shared" si="140"/>
        <v>20140101LGUM_481</v>
      </c>
      <c r="AE291" s="633" t="str">
        <f t="shared" si="141"/>
        <v xml:space="preserve">20140101LS </v>
      </c>
      <c r="AF291" s="634" t="str">
        <f t="shared" si="139"/>
        <v>481</v>
      </c>
      <c r="AG291" s="632"/>
      <c r="AH291" s="265">
        <f>MiscData!$X$5</f>
        <v>20140101</v>
      </c>
      <c r="AI291" s="632">
        <f>IF(AI290+1&gt;MiscData!$AC$77,1,AI290+1)</f>
        <v>69</v>
      </c>
      <c r="AJ291" s="632" t="str">
        <f>VLOOKUP(AI291,MiscData!$AC$5:$AD$77,2,FALSE)</f>
        <v>LGUM_481</v>
      </c>
      <c r="AK291" s="632" t="str">
        <f>VLOOKUP(AJ291,MiscData!$AD$5:$AE$77,2,FALSE)</f>
        <v xml:space="preserve">LS </v>
      </c>
      <c r="AT291" s="265" t="s">
        <v>184</v>
      </c>
      <c r="AV291" s="265">
        <v>-6.39</v>
      </c>
    </row>
    <row r="292" spans="1:48">
      <c r="A292" s="275">
        <f t="shared" si="142"/>
        <v>289</v>
      </c>
      <c r="B292" s="276" t="str">
        <f t="shared" ref="B292:B355" si="149">TEXT(AC292,"mmm yyyy")</f>
        <v>Apr 2014</v>
      </c>
      <c r="C292" s="277" t="str">
        <f t="shared" ref="C292:C355" si="150">AK292</f>
        <v xml:space="preserve">LS </v>
      </c>
      <c r="D292" s="277" t="str">
        <f t="shared" ref="D292:D355" si="151">AJ292</f>
        <v>LGUM_482</v>
      </c>
      <c r="E292" s="614">
        <f t="shared" si="121"/>
        <v>41</v>
      </c>
      <c r="F292" s="615">
        <f t="shared" si="143"/>
        <v>0</v>
      </c>
      <c r="G292" s="614">
        <f t="shared" si="122"/>
        <v>4655</v>
      </c>
      <c r="H292" s="615">
        <v>0</v>
      </c>
      <c r="I292" s="283">
        <f t="shared" si="123"/>
        <v>30.21</v>
      </c>
      <c r="J292" s="283">
        <f t="shared" si="124"/>
        <v>3.1800000000000033</v>
      </c>
      <c r="K292" s="285">
        <f t="shared" si="125"/>
        <v>1238.6099999999999</v>
      </c>
      <c r="L292" s="286">
        <f t="shared" si="126"/>
        <v>0</v>
      </c>
      <c r="M292" s="286">
        <v>0</v>
      </c>
      <c r="N292" s="285">
        <f t="shared" si="128"/>
        <v>1238.6099999999999</v>
      </c>
      <c r="O292" s="616">
        <f t="shared" si="144"/>
        <v>1238.6099999999999</v>
      </c>
      <c r="P292" s="289">
        <f t="shared" si="129"/>
        <v>1</v>
      </c>
      <c r="Q292" s="290">
        <f t="shared" si="130"/>
        <v>6.93</v>
      </c>
      <c r="R292" s="290">
        <f t="shared" si="131"/>
        <v>23.29</v>
      </c>
      <c r="S292" s="290">
        <f t="shared" si="132"/>
        <v>0</v>
      </c>
      <c r="T292" s="290">
        <f t="shared" si="133"/>
        <v>1268.83</v>
      </c>
      <c r="U292" s="291">
        <f t="shared" si="134"/>
        <v>1268.83</v>
      </c>
      <c r="V292" s="291">
        <f t="shared" si="137"/>
        <v>0</v>
      </c>
      <c r="W292" s="265">
        <f t="shared" ref="W292:W323" si="152">ROUND(SUMIFS(L_1055_Revenue_Poles_Test_Period,L_1055_Revenue_Month,$B292,L_1055_RateCategory,$D292),2)</f>
        <v>0</v>
      </c>
      <c r="X292" s="291">
        <f t="shared" si="138"/>
        <v>0</v>
      </c>
      <c r="Y292" s="170">
        <f t="shared" si="135"/>
        <v>130.38</v>
      </c>
      <c r="Z292" s="291">
        <f t="shared" si="136"/>
        <v>1108.23</v>
      </c>
      <c r="AC292" s="276">
        <f>IF(AI292=1,IF(AC291=MiscData!$F$1,EOMONTH(AC291,-11),EOMONTH(AC291,1)),AC291)</f>
        <v>41759</v>
      </c>
      <c r="AD292" s="275" t="str">
        <f t="shared" ref="AD292:AD355" si="153">CONCATENATE(AH292&amp;AJ292)</f>
        <v>20140101LGUM_482</v>
      </c>
      <c r="AE292" s="294" t="str">
        <f t="shared" ref="AE292:AE355" si="154">CONCATENATE(AH292&amp;AK292)</f>
        <v xml:space="preserve">20140101LS </v>
      </c>
      <c r="AF292" s="618" t="str">
        <f t="shared" si="139"/>
        <v>482</v>
      </c>
      <c r="AH292" s="265">
        <f>MiscData!$X$5</f>
        <v>20140101</v>
      </c>
      <c r="AI292" s="265">
        <f>IF(AI291+1&gt;MiscData!$AC$77,1,AI291+1)</f>
        <v>70</v>
      </c>
      <c r="AJ292" s="265" t="str">
        <f>VLOOKUP(AI292,MiscData!$AC$5:$AD$77,2,FALSE)</f>
        <v>LGUM_482</v>
      </c>
      <c r="AK292" s="265" t="str">
        <f>VLOOKUP(AJ292,MiscData!$AD$5:$AE$77,2,FALSE)</f>
        <v xml:space="preserve">LS </v>
      </c>
      <c r="AT292" s="265" t="s">
        <v>185</v>
      </c>
      <c r="AV292" s="265">
        <v>0</v>
      </c>
    </row>
    <row r="293" spans="1:48">
      <c r="A293" s="275">
        <f t="shared" si="142"/>
        <v>290</v>
      </c>
      <c r="B293" s="276" t="str">
        <f t="shared" si="149"/>
        <v>Apr 2014</v>
      </c>
      <c r="C293" s="277" t="str">
        <f t="shared" si="150"/>
        <v xml:space="preserve">LS </v>
      </c>
      <c r="D293" s="277" t="str">
        <f t="shared" si="151"/>
        <v>LGUM_483</v>
      </c>
      <c r="E293" s="614">
        <f t="shared" si="121"/>
        <v>2</v>
      </c>
      <c r="F293" s="615">
        <f t="shared" si="143"/>
        <v>0</v>
      </c>
      <c r="G293" s="614">
        <f t="shared" si="122"/>
        <v>674</v>
      </c>
      <c r="H293" s="615">
        <v>0</v>
      </c>
      <c r="I293" s="283">
        <f t="shared" si="123"/>
        <v>42.56</v>
      </c>
      <c r="J293" s="283">
        <f t="shared" si="124"/>
        <v>9.8100000000000023</v>
      </c>
      <c r="K293" s="285">
        <f t="shared" si="125"/>
        <v>85.12</v>
      </c>
      <c r="L293" s="286">
        <f t="shared" si="126"/>
        <v>0</v>
      </c>
      <c r="M293" s="286">
        <f t="shared" si="127"/>
        <v>0</v>
      </c>
      <c r="N293" s="285">
        <f t="shared" si="128"/>
        <v>85.12</v>
      </c>
      <c r="O293" s="616">
        <f t="shared" si="144"/>
        <v>85.12</v>
      </c>
      <c r="P293" s="289">
        <f t="shared" si="129"/>
        <v>1</v>
      </c>
      <c r="Q293" s="290">
        <f t="shared" si="130"/>
        <v>1</v>
      </c>
      <c r="R293" s="290">
        <f t="shared" si="131"/>
        <v>1.61</v>
      </c>
      <c r="S293" s="290">
        <f t="shared" si="132"/>
        <v>0</v>
      </c>
      <c r="T293" s="290">
        <f t="shared" si="133"/>
        <v>87.73</v>
      </c>
      <c r="U293" s="291">
        <f t="shared" si="134"/>
        <v>87.73</v>
      </c>
      <c r="V293" s="291">
        <f t="shared" si="137"/>
        <v>0</v>
      </c>
      <c r="W293" s="265">
        <f t="shared" si="152"/>
        <v>0</v>
      </c>
      <c r="X293" s="291">
        <f t="shared" si="138"/>
        <v>0</v>
      </c>
      <c r="Y293" s="170">
        <f t="shared" si="135"/>
        <v>19.62</v>
      </c>
      <c r="Z293" s="291">
        <f t="shared" si="136"/>
        <v>65.5</v>
      </c>
      <c r="AC293" s="276">
        <f>IF(AI293=1,IF(AC292=MiscData!$F$1,EOMONTH(AC292,-11),EOMONTH(AC292,1)),AC292)</f>
        <v>41759</v>
      </c>
      <c r="AD293" s="275" t="str">
        <f t="shared" si="153"/>
        <v>20140101LGUM_483</v>
      </c>
      <c r="AE293" s="294" t="str">
        <f t="shared" si="154"/>
        <v xml:space="preserve">20140101LS </v>
      </c>
      <c r="AF293" s="618" t="str">
        <f t="shared" si="139"/>
        <v>483</v>
      </c>
      <c r="AH293" s="265">
        <f>MiscData!$X$5</f>
        <v>20140101</v>
      </c>
      <c r="AI293" s="265">
        <f>IF(AI292+1&gt;MiscData!$AC$77,1,AI292+1)</f>
        <v>71</v>
      </c>
      <c r="AJ293" s="265" t="str">
        <f>VLOOKUP(AI293,MiscData!$AC$5:$AD$77,2,FALSE)</f>
        <v>LGUM_483</v>
      </c>
      <c r="AK293" s="265" t="str">
        <f>VLOOKUP(AJ293,MiscData!$AD$5:$AE$77,2,FALSE)</f>
        <v xml:space="preserve">LS </v>
      </c>
      <c r="AT293" s="265" t="s">
        <v>186</v>
      </c>
      <c r="AV293" s="265">
        <v>0</v>
      </c>
    </row>
    <row r="294" spans="1:48">
      <c r="A294" s="275">
        <f t="shared" si="142"/>
        <v>291</v>
      </c>
      <c r="B294" s="276" t="str">
        <f t="shared" si="149"/>
        <v>Apr 2014</v>
      </c>
      <c r="C294" s="277" t="str">
        <f t="shared" si="150"/>
        <v xml:space="preserve">LS </v>
      </c>
      <c r="D294" s="277" t="str">
        <f t="shared" si="151"/>
        <v>LGUM_484</v>
      </c>
      <c r="E294" s="614">
        <f t="shared" si="121"/>
        <v>13</v>
      </c>
      <c r="F294" s="615">
        <f t="shared" si="143"/>
        <v>0</v>
      </c>
      <c r="G294" s="614">
        <f t="shared" si="122"/>
        <v>4422</v>
      </c>
      <c r="H294" s="615">
        <v>0</v>
      </c>
      <c r="I294" s="283">
        <f t="shared" si="123"/>
        <v>52.31</v>
      </c>
      <c r="J294" s="283">
        <f t="shared" si="124"/>
        <v>9.8100000000000023</v>
      </c>
      <c r="K294" s="285">
        <f t="shared" si="125"/>
        <v>680.03</v>
      </c>
      <c r="L294" s="286">
        <f t="shared" si="126"/>
        <v>0</v>
      </c>
      <c r="M294" s="286">
        <f t="shared" si="127"/>
        <v>0</v>
      </c>
      <c r="N294" s="285">
        <f t="shared" si="128"/>
        <v>680.03</v>
      </c>
      <c r="O294" s="616">
        <f t="shared" si="144"/>
        <v>680.03000000000009</v>
      </c>
      <c r="P294" s="289">
        <f t="shared" si="129"/>
        <v>1.0000000000000002</v>
      </c>
      <c r="Q294" s="290">
        <f t="shared" si="130"/>
        <v>6.59</v>
      </c>
      <c r="R294" s="290">
        <f t="shared" si="131"/>
        <v>12.84</v>
      </c>
      <c r="S294" s="290">
        <f t="shared" si="132"/>
        <v>0</v>
      </c>
      <c r="T294" s="290">
        <f t="shared" si="133"/>
        <v>699.46</v>
      </c>
      <c r="U294" s="291">
        <f t="shared" si="134"/>
        <v>699.46</v>
      </c>
      <c r="V294" s="291">
        <f t="shared" si="137"/>
        <v>0</v>
      </c>
      <c r="W294" s="265">
        <f t="shared" si="152"/>
        <v>0</v>
      </c>
      <c r="X294" s="291">
        <f t="shared" si="138"/>
        <v>0</v>
      </c>
      <c r="Y294" s="170">
        <f t="shared" si="135"/>
        <v>127.53</v>
      </c>
      <c r="Z294" s="291">
        <f t="shared" si="136"/>
        <v>552.50000000000011</v>
      </c>
      <c r="AC294" s="276">
        <f>IF(AI294=1,IF(AC293=MiscData!$F$1,EOMONTH(AC293,-11),EOMONTH(AC293,1)),AC293)</f>
        <v>41759</v>
      </c>
      <c r="AD294" s="275" t="str">
        <f t="shared" si="153"/>
        <v>20140101LGUM_484</v>
      </c>
      <c r="AE294" s="294" t="str">
        <f t="shared" si="154"/>
        <v xml:space="preserve">20140101LS </v>
      </c>
      <c r="AF294" s="618" t="str">
        <f t="shared" si="139"/>
        <v>484</v>
      </c>
      <c r="AH294" s="265">
        <f>MiscData!$X$5</f>
        <v>20140101</v>
      </c>
      <c r="AI294" s="265">
        <f>IF(AI293+1&gt;MiscData!$AC$77,1,AI293+1)</f>
        <v>72</v>
      </c>
      <c r="AJ294" s="265" t="str">
        <f>VLOOKUP(AI294,MiscData!$AC$5:$AD$77,2,FALSE)</f>
        <v>LGUM_484</v>
      </c>
      <c r="AK294" s="265" t="str">
        <f>VLOOKUP(AJ294,MiscData!$AD$5:$AE$77,2,FALSE)</f>
        <v xml:space="preserve">LS </v>
      </c>
      <c r="AT294" s="265" t="s">
        <v>187</v>
      </c>
      <c r="AV294" s="265">
        <v>0</v>
      </c>
    </row>
    <row r="295" spans="1:48">
      <c r="A295" s="275">
        <f t="shared" si="142"/>
        <v>292</v>
      </c>
      <c r="B295" s="276" t="str">
        <f t="shared" si="149"/>
        <v>Apr 2014</v>
      </c>
      <c r="C295" s="277" t="str">
        <f t="shared" si="150"/>
        <v>ODL</v>
      </c>
      <c r="D295" s="277" t="str">
        <f t="shared" si="151"/>
        <v>ODL</v>
      </c>
      <c r="E295" s="614">
        <f t="shared" si="121"/>
        <v>0</v>
      </c>
      <c r="F295" s="615">
        <f t="shared" si="143"/>
        <v>0</v>
      </c>
      <c r="G295" s="614">
        <f t="shared" si="122"/>
        <v>0</v>
      </c>
      <c r="H295" s="615">
        <v>0</v>
      </c>
      <c r="I295" s="283">
        <f t="shared" si="123"/>
        <v>0</v>
      </c>
      <c r="J295" s="283">
        <f t="shared" si="124"/>
        <v>0</v>
      </c>
      <c r="K295" s="285">
        <f t="shared" si="125"/>
        <v>0</v>
      </c>
      <c r="L295" s="286">
        <f t="shared" si="126"/>
        <v>0</v>
      </c>
      <c r="M295" s="286">
        <f t="shared" si="127"/>
        <v>0</v>
      </c>
      <c r="N295" s="285">
        <f t="shared" si="128"/>
        <v>0</v>
      </c>
      <c r="O295" s="616">
        <f t="shared" si="144"/>
        <v>0</v>
      </c>
      <c r="P295" s="289">
        <f t="shared" si="129"/>
        <v>1</v>
      </c>
      <c r="Q295" s="290">
        <f t="shared" si="130"/>
        <v>0</v>
      </c>
      <c r="R295" s="290">
        <f t="shared" si="131"/>
        <v>0</v>
      </c>
      <c r="S295" s="290">
        <f t="shared" si="132"/>
        <v>0</v>
      </c>
      <c r="T295" s="290">
        <f t="shared" si="133"/>
        <v>0</v>
      </c>
      <c r="U295" s="291">
        <f t="shared" si="134"/>
        <v>0</v>
      </c>
      <c r="V295" s="291">
        <f t="shared" si="137"/>
        <v>0</v>
      </c>
      <c r="W295" s="265">
        <f t="shared" si="152"/>
        <v>0</v>
      </c>
      <c r="X295" s="291">
        <f t="shared" si="138"/>
        <v>0</v>
      </c>
      <c r="Y295" s="170">
        <f t="shared" si="135"/>
        <v>0</v>
      </c>
      <c r="Z295" s="291">
        <f t="shared" si="136"/>
        <v>0</v>
      </c>
      <c r="AC295" s="276">
        <f>IF(AI295=1,IF(AC294=MiscData!$F$1,EOMONTH(AC294,-11),EOMONTH(AC294,1)),AC294)</f>
        <v>41759</v>
      </c>
      <c r="AD295" s="275" t="str">
        <f t="shared" si="153"/>
        <v>20140101ODL</v>
      </c>
      <c r="AE295" s="294" t="str">
        <f t="shared" si="154"/>
        <v>20140101ODL</v>
      </c>
      <c r="AF295" s="618" t="str">
        <f t="shared" si="139"/>
        <v>ODL</v>
      </c>
      <c r="AH295" s="265">
        <f>MiscData!$X$5</f>
        <v>20140101</v>
      </c>
      <c r="AI295" s="265">
        <f>IF(AI294+1&gt;MiscData!$AC$77,1,AI294+1)</f>
        <v>73</v>
      </c>
      <c r="AJ295" s="265" t="str">
        <f>VLOOKUP(AI295,MiscData!$AC$5:$AD$77,2,FALSE)</f>
        <v>ODL</v>
      </c>
      <c r="AK295" s="265" t="str">
        <f>VLOOKUP(AJ295,MiscData!$AD$5:$AE$77,2,FALSE)</f>
        <v>ODL</v>
      </c>
      <c r="AT295" s="265" t="s">
        <v>188</v>
      </c>
      <c r="AV295" s="265">
        <v>0</v>
      </c>
    </row>
    <row r="296" spans="1:48">
      <c r="A296" s="275">
        <f t="shared" si="142"/>
        <v>293</v>
      </c>
      <c r="B296" s="276" t="str">
        <f t="shared" si="149"/>
        <v>May 2014</v>
      </c>
      <c r="C296" s="277" t="str">
        <f t="shared" si="150"/>
        <v>RLS</v>
      </c>
      <c r="D296" s="277" t="str">
        <f t="shared" si="151"/>
        <v>LGUM_201</v>
      </c>
      <c r="E296" s="614">
        <f t="shared" si="121"/>
        <v>56</v>
      </c>
      <c r="F296" s="615">
        <f t="shared" si="143"/>
        <v>13</v>
      </c>
      <c r="G296" s="614">
        <f t="shared" si="122"/>
        <v>1801</v>
      </c>
      <c r="H296" s="615">
        <v>0</v>
      </c>
      <c r="I296" s="283">
        <f t="shared" si="123"/>
        <v>8.14</v>
      </c>
      <c r="J296" s="283">
        <f t="shared" si="124"/>
        <v>1.0899999999999999</v>
      </c>
      <c r="K296" s="285">
        <f t="shared" si="125"/>
        <v>561.66</v>
      </c>
      <c r="L296" s="286">
        <f t="shared" si="126"/>
        <v>-106.42999999999994</v>
      </c>
      <c r="M296" s="286">
        <v>0</v>
      </c>
      <c r="N296" s="285">
        <f t="shared" si="128"/>
        <v>455.23</v>
      </c>
      <c r="O296" s="616">
        <f t="shared" si="144"/>
        <v>455.23</v>
      </c>
      <c r="P296" s="289">
        <f t="shared" si="129"/>
        <v>1</v>
      </c>
      <c r="Q296" s="290">
        <f t="shared" si="130"/>
        <v>0.92</v>
      </c>
      <c r="R296" s="290">
        <f t="shared" si="131"/>
        <v>12.73</v>
      </c>
      <c r="S296" s="290">
        <f t="shared" si="132"/>
        <v>0</v>
      </c>
      <c r="T296" s="290">
        <f t="shared" si="133"/>
        <v>502.66</v>
      </c>
      <c r="U296" s="291">
        <f t="shared" si="134"/>
        <v>468.88000000000005</v>
      </c>
      <c r="V296" s="291">
        <f t="shared" si="137"/>
        <v>33.78</v>
      </c>
      <c r="W296" s="265">
        <f t="shared" si="152"/>
        <v>33.78</v>
      </c>
      <c r="X296" s="291">
        <f t="shared" si="138"/>
        <v>0</v>
      </c>
      <c r="Y296" s="170">
        <f t="shared" si="135"/>
        <v>61.04</v>
      </c>
      <c r="Z296" s="291">
        <f t="shared" si="136"/>
        <v>394.19</v>
      </c>
      <c r="AC296" s="276">
        <f>IF(AI296=1,IF(AC295=MiscData!$F$1,EOMONTH(AC295,-11),EOMONTH(AC295,1)),AC295)</f>
        <v>41790</v>
      </c>
      <c r="AD296" s="275" t="str">
        <f t="shared" si="153"/>
        <v>20140101LGUM_201</v>
      </c>
      <c r="AE296" s="294" t="str">
        <f t="shared" si="154"/>
        <v>20140101RLS</v>
      </c>
      <c r="AF296" s="618" t="str">
        <f t="shared" si="139"/>
        <v>201</v>
      </c>
      <c r="AH296" s="265">
        <f>MiscData!$X$5</f>
        <v>20140101</v>
      </c>
      <c r="AI296" s="265">
        <f>IF(AI295+1&gt;MiscData!$AC$77,1,AI295+1)</f>
        <v>1</v>
      </c>
      <c r="AJ296" s="265" t="str">
        <f>VLOOKUP(AI296,MiscData!$AC$5:$AD$77,2,FALSE)</f>
        <v>LGUM_201</v>
      </c>
      <c r="AK296" s="265" t="str">
        <f>VLOOKUP(AJ296,MiscData!$AD$5:$AE$77,2,FALSE)</f>
        <v>RLS</v>
      </c>
      <c r="AT296" s="265" t="s">
        <v>189</v>
      </c>
      <c r="AV296" s="265">
        <v>19.91</v>
      </c>
    </row>
    <row r="297" spans="1:48">
      <c r="A297" s="275">
        <f t="shared" si="142"/>
        <v>294</v>
      </c>
      <c r="B297" s="276" t="str">
        <f t="shared" si="149"/>
        <v>May 2014</v>
      </c>
      <c r="C297" s="277" t="str">
        <f t="shared" si="150"/>
        <v>RLS</v>
      </c>
      <c r="D297" s="277" t="str">
        <f t="shared" si="151"/>
        <v>LGUM_203</v>
      </c>
      <c r="E297" s="614">
        <f t="shared" si="121"/>
        <v>1968</v>
      </c>
      <c r="F297" s="615">
        <f t="shared" si="143"/>
        <v>0</v>
      </c>
      <c r="G297" s="614">
        <f t="shared" si="122"/>
        <v>171786</v>
      </c>
      <c r="H297" s="615">
        <v>0</v>
      </c>
      <c r="I297" s="283">
        <f t="shared" si="123"/>
        <v>10.959999999999999</v>
      </c>
      <c r="J297" s="283">
        <f t="shared" si="124"/>
        <v>2.7099999999999991</v>
      </c>
      <c r="K297" s="285">
        <f t="shared" si="125"/>
        <v>21569.279999999999</v>
      </c>
      <c r="L297" s="286">
        <f t="shared" si="126"/>
        <v>-56.940000000001874</v>
      </c>
      <c r="M297" s="286">
        <f t="shared" si="127"/>
        <v>0</v>
      </c>
      <c r="N297" s="285">
        <f t="shared" si="128"/>
        <v>21512.339999999997</v>
      </c>
      <c r="O297" s="616">
        <f t="shared" si="144"/>
        <v>21512.340000000004</v>
      </c>
      <c r="P297" s="289">
        <f t="shared" si="129"/>
        <v>1.0000000000000004</v>
      </c>
      <c r="Q297" s="290">
        <f t="shared" si="130"/>
        <v>272</v>
      </c>
      <c r="R297" s="290">
        <f t="shared" si="131"/>
        <v>505.76</v>
      </c>
      <c r="S297" s="290">
        <f t="shared" si="132"/>
        <v>0</v>
      </c>
      <c r="T297" s="290">
        <f t="shared" si="133"/>
        <v>22803.040000000001</v>
      </c>
      <c r="U297" s="291">
        <f t="shared" si="134"/>
        <v>22290.099999999995</v>
      </c>
      <c r="V297" s="291">
        <f t="shared" si="137"/>
        <v>512.94000000000005</v>
      </c>
      <c r="W297" s="265">
        <f t="shared" si="152"/>
        <v>512.94000000000005</v>
      </c>
      <c r="X297" s="291">
        <f t="shared" si="138"/>
        <v>0</v>
      </c>
      <c r="Y297" s="170">
        <f t="shared" si="135"/>
        <v>5333.28</v>
      </c>
      <c r="Z297" s="291">
        <f t="shared" si="136"/>
        <v>16179.060000000005</v>
      </c>
      <c r="AC297" s="276">
        <f>IF(AI297=1,IF(AC296=MiscData!$F$1,EOMONTH(AC296,-11),EOMONTH(AC296,1)),AC296)</f>
        <v>41790</v>
      </c>
      <c r="AD297" s="275" t="str">
        <f t="shared" si="153"/>
        <v>20140101LGUM_203</v>
      </c>
      <c r="AE297" s="294" t="str">
        <f t="shared" si="154"/>
        <v>20140101RLS</v>
      </c>
      <c r="AF297" s="618" t="str">
        <f t="shared" si="139"/>
        <v>203</v>
      </c>
      <c r="AH297" s="265">
        <f>MiscData!$X$5</f>
        <v>20140101</v>
      </c>
      <c r="AI297" s="265">
        <f>IF(AI296+1&gt;MiscData!$AC$77,1,AI296+1)</f>
        <v>2</v>
      </c>
      <c r="AJ297" s="265" t="str">
        <f>VLOOKUP(AI297,MiscData!$AC$5:$AD$77,2,FALSE)</f>
        <v>LGUM_203</v>
      </c>
      <c r="AK297" s="265" t="str">
        <f>VLOOKUP(AJ297,MiscData!$AD$5:$AE$77,2,FALSE)</f>
        <v>RLS</v>
      </c>
      <c r="AT297" s="265" t="s">
        <v>190</v>
      </c>
      <c r="AV297" s="265">
        <v>-9.56</v>
      </c>
    </row>
    <row r="298" spans="1:48">
      <c r="A298" s="275">
        <f t="shared" si="142"/>
        <v>295</v>
      </c>
      <c r="B298" s="276" t="str">
        <f t="shared" si="149"/>
        <v>May 2014</v>
      </c>
      <c r="C298" s="277" t="str">
        <f t="shared" si="150"/>
        <v>RLS</v>
      </c>
      <c r="D298" s="277" t="str">
        <f t="shared" si="151"/>
        <v>LGUM_204</v>
      </c>
      <c r="E298" s="614">
        <f t="shared" si="121"/>
        <v>984</v>
      </c>
      <c r="F298" s="615">
        <f t="shared" si="143"/>
        <v>0</v>
      </c>
      <c r="G298" s="614">
        <f t="shared" si="122"/>
        <v>132274</v>
      </c>
      <c r="H298" s="615">
        <v>0</v>
      </c>
      <c r="I298" s="283">
        <f t="shared" si="123"/>
        <v>13.510000000000002</v>
      </c>
      <c r="J298" s="283">
        <f t="shared" si="124"/>
        <v>4.2000000000000011</v>
      </c>
      <c r="K298" s="285">
        <f t="shared" si="125"/>
        <v>13293.84</v>
      </c>
      <c r="L298" s="286">
        <f t="shared" si="126"/>
        <v>-58.999999999998863</v>
      </c>
      <c r="M298" s="286">
        <f t="shared" si="127"/>
        <v>0</v>
      </c>
      <c r="N298" s="285">
        <f t="shared" si="128"/>
        <v>13234.840000000002</v>
      </c>
      <c r="O298" s="616">
        <f t="shared" si="144"/>
        <v>13234.840000000002</v>
      </c>
      <c r="P298" s="289">
        <f t="shared" si="129"/>
        <v>1</v>
      </c>
      <c r="Q298" s="290">
        <f t="shared" si="130"/>
        <v>210.24</v>
      </c>
      <c r="R298" s="290">
        <f t="shared" si="131"/>
        <v>326.39999999999998</v>
      </c>
      <c r="S298" s="290">
        <f t="shared" si="132"/>
        <v>0</v>
      </c>
      <c r="T298" s="290">
        <f t="shared" si="133"/>
        <v>14545.45</v>
      </c>
      <c r="U298" s="291">
        <f t="shared" si="134"/>
        <v>13771.480000000001</v>
      </c>
      <c r="V298" s="291">
        <f t="shared" si="137"/>
        <v>773.97</v>
      </c>
      <c r="W298" s="265">
        <f t="shared" si="152"/>
        <v>773.97</v>
      </c>
      <c r="X298" s="291">
        <f t="shared" si="138"/>
        <v>0</v>
      </c>
      <c r="Y298" s="170">
        <f t="shared" si="135"/>
        <v>4132.8</v>
      </c>
      <c r="Z298" s="291">
        <f t="shared" si="136"/>
        <v>9102.0400000000009</v>
      </c>
      <c r="AC298" s="276">
        <f>IF(AI298=1,IF(AC297=MiscData!$F$1,EOMONTH(AC297,-11),EOMONTH(AC297,1)),AC297)</f>
        <v>41790</v>
      </c>
      <c r="AD298" s="275" t="str">
        <f t="shared" si="153"/>
        <v>20140101LGUM_204</v>
      </c>
      <c r="AE298" s="294" t="str">
        <f t="shared" si="154"/>
        <v>20140101RLS</v>
      </c>
      <c r="AF298" s="618" t="str">
        <f t="shared" si="139"/>
        <v>204</v>
      </c>
      <c r="AH298" s="265">
        <f>MiscData!$X$5</f>
        <v>20140101</v>
      </c>
      <c r="AI298" s="265">
        <f>IF(AI297+1&gt;MiscData!$AC$77,1,AI297+1)</f>
        <v>3</v>
      </c>
      <c r="AJ298" s="265" t="str">
        <f>VLOOKUP(AI298,MiscData!$AC$5:$AD$77,2,FALSE)</f>
        <v>LGUM_204</v>
      </c>
      <c r="AK298" s="265" t="str">
        <f>VLOOKUP(AJ298,MiscData!$AD$5:$AE$77,2,FALSE)</f>
        <v>RLS</v>
      </c>
      <c r="AT298" s="265" t="s">
        <v>191</v>
      </c>
      <c r="AV298" s="265">
        <v>0</v>
      </c>
    </row>
    <row r="299" spans="1:48">
      <c r="A299" s="275">
        <f t="shared" si="142"/>
        <v>296</v>
      </c>
      <c r="B299" s="276" t="str">
        <f t="shared" si="149"/>
        <v>May 2014</v>
      </c>
      <c r="C299" s="277" t="str">
        <f t="shared" si="150"/>
        <v>RLS</v>
      </c>
      <c r="D299" s="277" t="str">
        <f t="shared" si="151"/>
        <v>LGUM_206</v>
      </c>
      <c r="E299" s="614">
        <f t="shared" si="121"/>
        <v>98</v>
      </c>
      <c r="F299" s="615">
        <f t="shared" si="143"/>
        <v>0</v>
      </c>
      <c r="G299" s="614">
        <f t="shared" si="122"/>
        <v>3521</v>
      </c>
      <c r="H299" s="615">
        <v>0</v>
      </c>
      <c r="I299" s="283">
        <f t="shared" si="123"/>
        <v>12.450000000000001</v>
      </c>
      <c r="J299" s="283">
        <f t="shared" si="124"/>
        <v>1.0899999999999999</v>
      </c>
      <c r="K299" s="285">
        <f t="shared" si="125"/>
        <v>1220.0999999999999</v>
      </c>
      <c r="L299" s="286">
        <f t="shared" si="126"/>
        <v>-3.7300000000000182</v>
      </c>
      <c r="M299" s="286">
        <f t="shared" si="127"/>
        <v>0</v>
      </c>
      <c r="N299" s="285">
        <f t="shared" si="128"/>
        <v>1216.3699999999999</v>
      </c>
      <c r="O299" s="616">
        <f t="shared" si="144"/>
        <v>1216.3700000000001</v>
      </c>
      <c r="P299" s="289">
        <f t="shared" si="129"/>
        <v>1.0000000000000002</v>
      </c>
      <c r="Q299" s="290">
        <f t="shared" si="130"/>
        <v>5.64</v>
      </c>
      <c r="R299" s="290">
        <f t="shared" si="131"/>
        <v>28.47</v>
      </c>
      <c r="S299" s="290">
        <f t="shared" si="132"/>
        <v>0</v>
      </c>
      <c r="T299" s="290">
        <f t="shared" si="133"/>
        <v>1250.48</v>
      </c>
      <c r="U299" s="291">
        <f t="shared" si="134"/>
        <v>1250.48</v>
      </c>
      <c r="V299" s="291">
        <f t="shared" si="137"/>
        <v>0</v>
      </c>
      <c r="W299" s="265">
        <f t="shared" si="152"/>
        <v>0</v>
      </c>
      <c r="X299" s="291">
        <f t="shared" si="138"/>
        <v>0</v>
      </c>
      <c r="Y299" s="170">
        <f t="shared" si="135"/>
        <v>106.82</v>
      </c>
      <c r="Z299" s="291">
        <f t="shared" si="136"/>
        <v>1109.5500000000002</v>
      </c>
      <c r="AC299" s="276">
        <f>IF(AI299=1,IF(AC298=MiscData!$F$1,EOMONTH(AC298,-11),EOMONTH(AC298,1)),AC298)</f>
        <v>41790</v>
      </c>
      <c r="AD299" s="275" t="str">
        <f t="shared" si="153"/>
        <v>20140101LGUM_206</v>
      </c>
      <c r="AE299" s="294" t="str">
        <f t="shared" si="154"/>
        <v>20140101RLS</v>
      </c>
      <c r="AF299" s="618" t="str">
        <f t="shared" si="139"/>
        <v>206</v>
      </c>
      <c r="AH299" s="265">
        <f>MiscData!$X$5</f>
        <v>20140101</v>
      </c>
      <c r="AI299" s="265">
        <f>IF(AI298+1&gt;MiscData!$AC$77,1,AI298+1)</f>
        <v>4</v>
      </c>
      <c r="AJ299" s="265" t="str">
        <f>VLOOKUP(AI299,MiscData!$AC$5:$AD$77,2,FALSE)</f>
        <v>LGUM_206</v>
      </c>
      <c r="AK299" s="265" t="str">
        <f>VLOOKUP(AJ299,MiscData!$AD$5:$AE$77,2,FALSE)</f>
        <v>RLS</v>
      </c>
      <c r="AT299" s="265" t="s">
        <v>192</v>
      </c>
      <c r="AV299" s="265">
        <v>0</v>
      </c>
    </row>
    <row r="300" spans="1:48">
      <c r="A300" s="275">
        <f t="shared" si="142"/>
        <v>297</v>
      </c>
      <c r="B300" s="276" t="str">
        <f t="shared" si="149"/>
        <v>May 2014</v>
      </c>
      <c r="C300" s="277" t="str">
        <f t="shared" si="150"/>
        <v>RLS</v>
      </c>
      <c r="D300" s="277" t="str">
        <f t="shared" si="151"/>
        <v>LGUM_207</v>
      </c>
      <c r="E300" s="614">
        <f t="shared" si="121"/>
        <v>782</v>
      </c>
      <c r="F300" s="615">
        <f t="shared" si="143"/>
        <v>0</v>
      </c>
      <c r="G300" s="614">
        <f t="shared" si="122"/>
        <v>104653</v>
      </c>
      <c r="H300" s="615">
        <v>0</v>
      </c>
      <c r="I300" s="283">
        <f t="shared" si="123"/>
        <v>15.54</v>
      </c>
      <c r="J300" s="283">
        <f t="shared" si="124"/>
        <v>4.2000000000000011</v>
      </c>
      <c r="K300" s="285">
        <f t="shared" si="125"/>
        <v>12152.28</v>
      </c>
      <c r="L300" s="286">
        <f t="shared" si="126"/>
        <v>-48.170000000000982</v>
      </c>
      <c r="M300" s="286">
        <f t="shared" si="127"/>
        <v>0</v>
      </c>
      <c r="N300" s="285">
        <f t="shared" si="128"/>
        <v>12104.11</v>
      </c>
      <c r="O300" s="616">
        <f t="shared" si="144"/>
        <v>12104.109999999999</v>
      </c>
      <c r="P300" s="289">
        <f t="shared" si="129"/>
        <v>0.99999999999999989</v>
      </c>
      <c r="Q300" s="290">
        <f t="shared" si="130"/>
        <v>166.44</v>
      </c>
      <c r="R300" s="290">
        <f t="shared" si="131"/>
        <v>294.58</v>
      </c>
      <c r="S300" s="290">
        <f t="shared" si="132"/>
        <v>0</v>
      </c>
      <c r="T300" s="290">
        <f t="shared" si="133"/>
        <v>13151.16</v>
      </c>
      <c r="U300" s="291">
        <f t="shared" si="134"/>
        <v>12565.130000000001</v>
      </c>
      <c r="V300" s="291">
        <f t="shared" si="137"/>
        <v>586.03</v>
      </c>
      <c r="W300" s="265">
        <f t="shared" si="152"/>
        <v>586.03</v>
      </c>
      <c r="X300" s="291">
        <f t="shared" si="138"/>
        <v>0</v>
      </c>
      <c r="Y300" s="170">
        <f t="shared" si="135"/>
        <v>3284.4</v>
      </c>
      <c r="Z300" s="291">
        <f t="shared" si="136"/>
        <v>8819.7099999999991</v>
      </c>
      <c r="AC300" s="276">
        <f>IF(AI300=1,IF(AC299=MiscData!$F$1,EOMONTH(AC299,-11),EOMONTH(AC299,1)),AC299)</f>
        <v>41790</v>
      </c>
      <c r="AD300" s="275" t="str">
        <f t="shared" si="153"/>
        <v>20140101LGUM_207</v>
      </c>
      <c r="AE300" s="294" t="str">
        <f t="shared" si="154"/>
        <v>20140101RLS</v>
      </c>
      <c r="AF300" s="618" t="str">
        <f t="shared" si="139"/>
        <v>207</v>
      </c>
      <c r="AH300" s="265">
        <f>MiscData!$X$5</f>
        <v>20140101</v>
      </c>
      <c r="AI300" s="265">
        <f>IF(AI299+1&gt;MiscData!$AC$77,1,AI299+1)</f>
        <v>5</v>
      </c>
      <c r="AJ300" s="265" t="str">
        <f>VLOOKUP(AI300,MiscData!$AC$5:$AD$77,2,FALSE)</f>
        <v>LGUM_207</v>
      </c>
      <c r="AK300" s="265" t="str">
        <f>VLOOKUP(AJ300,MiscData!$AD$5:$AE$77,2,FALSE)</f>
        <v>RLS</v>
      </c>
      <c r="AT300" s="265" t="s">
        <v>193</v>
      </c>
      <c r="AV300" s="265">
        <v>-18.95</v>
      </c>
    </row>
    <row r="301" spans="1:48">
      <c r="A301" s="275">
        <f t="shared" si="142"/>
        <v>298</v>
      </c>
      <c r="B301" s="276" t="str">
        <f t="shared" si="149"/>
        <v>May 2014</v>
      </c>
      <c r="C301" s="277" t="str">
        <f t="shared" si="150"/>
        <v>RLS</v>
      </c>
      <c r="D301" s="277" t="str">
        <f t="shared" si="151"/>
        <v>LGUM_208</v>
      </c>
      <c r="E301" s="614">
        <f t="shared" si="121"/>
        <v>1045</v>
      </c>
      <c r="F301" s="615">
        <f t="shared" si="143"/>
        <v>0</v>
      </c>
      <c r="G301" s="614">
        <f t="shared" si="122"/>
        <v>63206</v>
      </c>
      <c r="H301" s="615">
        <v>0</v>
      </c>
      <c r="I301" s="283">
        <f t="shared" si="123"/>
        <v>14.24</v>
      </c>
      <c r="J301" s="283">
        <f t="shared" si="124"/>
        <v>1.9100000000000001</v>
      </c>
      <c r="K301" s="285">
        <f t="shared" si="125"/>
        <v>14880.8</v>
      </c>
      <c r="L301" s="286">
        <f t="shared" si="126"/>
        <v>-9.9699999999993452</v>
      </c>
      <c r="M301" s="286">
        <f t="shared" si="127"/>
        <v>0</v>
      </c>
      <c r="N301" s="285">
        <f t="shared" si="128"/>
        <v>14870.83</v>
      </c>
      <c r="O301" s="616">
        <f t="shared" si="144"/>
        <v>14870.83</v>
      </c>
      <c r="P301" s="289">
        <f t="shared" si="129"/>
        <v>1</v>
      </c>
      <c r="Q301" s="290">
        <f t="shared" si="130"/>
        <v>101.18</v>
      </c>
      <c r="R301" s="290">
        <f t="shared" si="131"/>
        <v>348.34</v>
      </c>
      <c r="S301" s="290">
        <f t="shared" si="132"/>
        <v>0</v>
      </c>
      <c r="T301" s="290">
        <f t="shared" si="133"/>
        <v>15320.35</v>
      </c>
      <c r="U301" s="291">
        <f t="shared" si="134"/>
        <v>15320.35</v>
      </c>
      <c r="V301" s="291">
        <f t="shared" si="137"/>
        <v>0</v>
      </c>
      <c r="W301" s="265">
        <f t="shared" si="152"/>
        <v>0</v>
      </c>
      <c r="X301" s="291">
        <f t="shared" si="138"/>
        <v>0</v>
      </c>
      <c r="Y301" s="170">
        <f t="shared" si="135"/>
        <v>1995.95</v>
      </c>
      <c r="Z301" s="291">
        <f t="shared" si="136"/>
        <v>12874.88</v>
      </c>
      <c r="AC301" s="276">
        <f>IF(AI301=1,IF(AC300=MiscData!$F$1,EOMONTH(AC300,-11),EOMONTH(AC300,1)),AC300)</f>
        <v>41790</v>
      </c>
      <c r="AD301" s="275" t="str">
        <f t="shared" si="153"/>
        <v>20140101LGUM_208</v>
      </c>
      <c r="AE301" s="294" t="str">
        <f t="shared" si="154"/>
        <v>20140101RLS</v>
      </c>
      <c r="AF301" s="618" t="str">
        <f t="shared" si="139"/>
        <v>208</v>
      </c>
      <c r="AH301" s="265">
        <f>MiscData!$X$5</f>
        <v>20140101</v>
      </c>
      <c r="AI301" s="265">
        <f>IF(AI300+1&gt;MiscData!$AC$77,1,AI300+1)</f>
        <v>6</v>
      </c>
      <c r="AJ301" s="265" t="str">
        <f>VLOOKUP(AI301,MiscData!$AC$5:$AD$77,2,FALSE)</f>
        <v>LGUM_208</v>
      </c>
      <c r="AK301" s="265" t="str">
        <f>VLOOKUP(AJ301,MiscData!$AD$5:$AE$77,2,FALSE)</f>
        <v>RLS</v>
      </c>
      <c r="AT301" s="265" t="s">
        <v>194</v>
      </c>
      <c r="AV301" s="265">
        <v>0</v>
      </c>
    </row>
    <row r="302" spans="1:48">
      <c r="A302" s="275">
        <f t="shared" si="142"/>
        <v>299</v>
      </c>
      <c r="B302" s="276" t="str">
        <f t="shared" si="149"/>
        <v>May 2014</v>
      </c>
      <c r="C302" s="277" t="str">
        <f t="shared" si="150"/>
        <v>RLS</v>
      </c>
      <c r="D302" s="277" t="str">
        <f t="shared" si="151"/>
        <v>LGUM_209</v>
      </c>
      <c r="E302" s="614">
        <f t="shared" si="121"/>
        <v>43</v>
      </c>
      <c r="F302" s="615">
        <f t="shared" si="143"/>
        <v>0</v>
      </c>
      <c r="G302" s="614">
        <f t="shared" si="122"/>
        <v>13849</v>
      </c>
      <c r="H302" s="615">
        <v>0</v>
      </c>
      <c r="I302" s="283">
        <f t="shared" si="123"/>
        <v>27.69</v>
      </c>
      <c r="J302" s="283">
        <f t="shared" si="124"/>
        <v>10.170000000000002</v>
      </c>
      <c r="K302" s="285">
        <f t="shared" si="125"/>
        <v>1190.67</v>
      </c>
      <c r="L302" s="286">
        <f t="shared" si="126"/>
        <v>0</v>
      </c>
      <c r="M302" s="286">
        <v>0</v>
      </c>
      <c r="N302" s="285">
        <f t="shared" si="128"/>
        <v>1190.67</v>
      </c>
      <c r="O302" s="616">
        <f t="shared" si="144"/>
        <v>1190.6699999999998</v>
      </c>
      <c r="P302" s="289">
        <f t="shared" si="129"/>
        <v>0.99999999999999978</v>
      </c>
      <c r="Q302" s="290">
        <f t="shared" si="130"/>
        <v>22.12</v>
      </c>
      <c r="R302" s="290">
        <f t="shared" si="131"/>
        <v>29.29</v>
      </c>
      <c r="S302" s="290">
        <f t="shared" si="132"/>
        <v>0</v>
      </c>
      <c r="T302" s="290">
        <f t="shared" si="133"/>
        <v>1291.52</v>
      </c>
      <c r="U302" s="291">
        <f t="shared" si="134"/>
        <v>1242.08</v>
      </c>
      <c r="V302" s="291">
        <f t="shared" si="137"/>
        <v>49.44</v>
      </c>
      <c r="W302" s="265">
        <f t="shared" si="152"/>
        <v>49.44</v>
      </c>
      <c r="X302" s="291">
        <f t="shared" si="138"/>
        <v>0</v>
      </c>
      <c r="Y302" s="170">
        <f t="shared" si="135"/>
        <v>437.31</v>
      </c>
      <c r="Z302" s="291">
        <f t="shared" si="136"/>
        <v>753.3599999999999</v>
      </c>
      <c r="AC302" s="276">
        <f>IF(AI302=1,IF(AC301=MiscData!$F$1,EOMONTH(AC301,-11),EOMONTH(AC301,1)),AC301)</f>
        <v>41790</v>
      </c>
      <c r="AD302" s="275" t="str">
        <f t="shared" si="153"/>
        <v>20140101LGUM_209</v>
      </c>
      <c r="AE302" s="294" t="str">
        <f t="shared" si="154"/>
        <v>20140101RLS</v>
      </c>
      <c r="AF302" s="618" t="str">
        <f t="shared" si="139"/>
        <v>209</v>
      </c>
      <c r="AH302" s="265">
        <f>MiscData!$X$5</f>
        <v>20140101</v>
      </c>
      <c r="AI302" s="265">
        <f>IF(AI301+1&gt;MiscData!$AC$77,1,AI301+1)</f>
        <v>7</v>
      </c>
      <c r="AJ302" s="265" t="str">
        <f>VLOOKUP(AI302,MiscData!$AC$5:$AD$77,2,FALSE)</f>
        <v>LGUM_209</v>
      </c>
      <c r="AK302" s="265" t="str">
        <f>VLOOKUP(AJ302,MiscData!$AD$5:$AE$77,2,FALSE)</f>
        <v>RLS</v>
      </c>
      <c r="AT302" s="265" t="s">
        <v>553</v>
      </c>
      <c r="AV302" s="265">
        <v>0</v>
      </c>
    </row>
    <row r="303" spans="1:48">
      <c r="A303" s="275">
        <f t="shared" si="142"/>
        <v>300</v>
      </c>
      <c r="B303" s="276" t="str">
        <f t="shared" si="149"/>
        <v>May 2014</v>
      </c>
      <c r="C303" s="277" t="str">
        <f t="shared" si="150"/>
        <v>RLS</v>
      </c>
      <c r="D303" s="277" t="str">
        <f t="shared" si="151"/>
        <v>LGUM_210</v>
      </c>
      <c r="E303" s="614">
        <f t="shared" si="121"/>
        <v>375</v>
      </c>
      <c r="F303" s="615">
        <f t="shared" si="143"/>
        <v>0</v>
      </c>
      <c r="G303" s="614">
        <f t="shared" si="122"/>
        <v>118014</v>
      </c>
      <c r="H303" s="615">
        <v>0</v>
      </c>
      <c r="I303" s="283">
        <f t="shared" si="123"/>
        <v>28.89</v>
      </c>
      <c r="J303" s="283">
        <f t="shared" si="124"/>
        <v>10.170000000000002</v>
      </c>
      <c r="K303" s="285">
        <f t="shared" si="125"/>
        <v>10833.75</v>
      </c>
      <c r="L303" s="286">
        <f t="shared" si="126"/>
        <v>-221.49000000000058</v>
      </c>
      <c r="M303" s="286">
        <f t="shared" si="127"/>
        <v>0</v>
      </c>
      <c r="N303" s="285">
        <f t="shared" si="128"/>
        <v>10612.26</v>
      </c>
      <c r="O303" s="616">
        <f t="shared" si="144"/>
        <v>10612.26</v>
      </c>
      <c r="P303" s="289">
        <f t="shared" si="129"/>
        <v>1</v>
      </c>
      <c r="Q303" s="290">
        <f t="shared" si="130"/>
        <v>187.78</v>
      </c>
      <c r="R303" s="290">
        <f t="shared" si="131"/>
        <v>252.65</v>
      </c>
      <c r="S303" s="290">
        <f t="shared" si="132"/>
        <v>0</v>
      </c>
      <c r="T303" s="290">
        <f t="shared" si="133"/>
        <v>11260.75</v>
      </c>
      <c r="U303" s="291">
        <f t="shared" si="134"/>
        <v>11052.69</v>
      </c>
      <c r="V303" s="291">
        <f t="shared" si="137"/>
        <v>208.06</v>
      </c>
      <c r="W303" s="265">
        <f t="shared" si="152"/>
        <v>208.06</v>
      </c>
      <c r="X303" s="291">
        <f t="shared" si="138"/>
        <v>0</v>
      </c>
      <c r="Y303" s="170">
        <f t="shared" si="135"/>
        <v>3813.75</v>
      </c>
      <c r="Z303" s="291">
        <f t="shared" si="136"/>
        <v>6798.51</v>
      </c>
      <c r="AC303" s="276">
        <f>IF(AI303=1,IF(AC302=MiscData!$F$1,EOMONTH(AC302,-11),EOMONTH(AC302,1)),AC302)</f>
        <v>41790</v>
      </c>
      <c r="AD303" s="275" t="str">
        <f t="shared" si="153"/>
        <v>20140101LGUM_210</v>
      </c>
      <c r="AE303" s="294" t="str">
        <f t="shared" si="154"/>
        <v>20140101RLS</v>
      </c>
      <c r="AF303" s="618" t="str">
        <f t="shared" si="139"/>
        <v>210</v>
      </c>
      <c r="AH303" s="265">
        <f>MiscData!$X$5</f>
        <v>20140101</v>
      </c>
      <c r="AI303" s="265">
        <f>IF(AI302+1&gt;MiscData!$AC$77,1,AI302+1)</f>
        <v>8</v>
      </c>
      <c r="AJ303" s="265" t="str">
        <f>VLOOKUP(AI303,MiscData!$AC$5:$AD$77,2,FALSE)</f>
        <v>LGUM_210</v>
      </c>
      <c r="AK303" s="265" t="str">
        <f>VLOOKUP(AJ303,MiscData!$AD$5:$AE$77,2,FALSE)</f>
        <v>RLS</v>
      </c>
      <c r="AT303" s="265" t="s">
        <v>555</v>
      </c>
      <c r="AV303" s="265">
        <v>0</v>
      </c>
    </row>
    <row r="304" spans="1:48">
      <c r="A304" s="275">
        <f t="shared" si="142"/>
        <v>301</v>
      </c>
      <c r="B304" s="276" t="str">
        <f t="shared" si="149"/>
        <v>May 2014</v>
      </c>
      <c r="C304" s="277" t="str">
        <f t="shared" si="150"/>
        <v>RLS</v>
      </c>
      <c r="D304" s="277" t="str">
        <f t="shared" si="151"/>
        <v>LGUM_252</v>
      </c>
      <c r="E304" s="614">
        <f t="shared" si="121"/>
        <v>3057</v>
      </c>
      <c r="F304" s="615">
        <f t="shared" si="143"/>
        <v>0</v>
      </c>
      <c r="G304" s="614">
        <f t="shared" si="122"/>
        <v>188679</v>
      </c>
      <c r="H304" s="615">
        <v>0</v>
      </c>
      <c r="I304" s="283">
        <f t="shared" si="123"/>
        <v>9.57</v>
      </c>
      <c r="J304" s="283">
        <f t="shared" si="124"/>
        <v>1.9099999999999993</v>
      </c>
      <c r="K304" s="285">
        <f t="shared" si="125"/>
        <v>29255.49</v>
      </c>
      <c r="L304" s="286">
        <f t="shared" si="126"/>
        <v>-123.68999999999789</v>
      </c>
      <c r="M304" s="286">
        <f t="shared" si="127"/>
        <v>0</v>
      </c>
      <c r="N304" s="285">
        <f t="shared" si="128"/>
        <v>29131.800000000003</v>
      </c>
      <c r="O304" s="616">
        <f t="shared" si="144"/>
        <v>29131.8</v>
      </c>
      <c r="P304" s="289">
        <f t="shared" si="129"/>
        <v>0.99999999999999989</v>
      </c>
      <c r="Q304" s="290">
        <f t="shared" si="130"/>
        <v>298.48</v>
      </c>
      <c r="R304" s="290">
        <f t="shared" si="131"/>
        <v>701.18</v>
      </c>
      <c r="S304" s="290">
        <f t="shared" si="132"/>
        <v>0</v>
      </c>
      <c r="T304" s="290">
        <f t="shared" si="133"/>
        <v>31687.93</v>
      </c>
      <c r="U304" s="291">
        <f t="shared" si="134"/>
        <v>30131.460000000003</v>
      </c>
      <c r="V304" s="291">
        <f t="shared" si="137"/>
        <v>1556.47</v>
      </c>
      <c r="W304" s="265">
        <f t="shared" si="152"/>
        <v>1556.47</v>
      </c>
      <c r="X304" s="291">
        <f t="shared" si="138"/>
        <v>0</v>
      </c>
      <c r="Y304" s="170">
        <f t="shared" si="135"/>
        <v>5838.87</v>
      </c>
      <c r="Z304" s="291">
        <f t="shared" si="136"/>
        <v>23292.93</v>
      </c>
      <c r="AC304" s="276">
        <f>IF(AI304=1,IF(AC303=MiscData!$F$1,EOMONTH(AC303,-11),EOMONTH(AC303,1)),AC303)</f>
        <v>41790</v>
      </c>
      <c r="AD304" s="275" t="str">
        <f t="shared" si="153"/>
        <v>20140101LGUM_252</v>
      </c>
      <c r="AE304" s="294" t="str">
        <f t="shared" si="154"/>
        <v>20140101RLS</v>
      </c>
      <c r="AF304" s="618" t="str">
        <f t="shared" si="139"/>
        <v>252</v>
      </c>
      <c r="AH304" s="265">
        <f>MiscData!$X$5</f>
        <v>20140101</v>
      </c>
      <c r="AI304" s="265">
        <f>IF(AI303+1&gt;MiscData!$AC$77,1,AI303+1)</f>
        <v>9</v>
      </c>
      <c r="AJ304" s="265" t="str">
        <f>VLOOKUP(AI304,MiscData!$AC$5:$AD$77,2,FALSE)</f>
        <v>LGUM_252</v>
      </c>
      <c r="AK304" s="265" t="str">
        <f>VLOOKUP(AJ304,MiscData!$AD$5:$AE$77,2,FALSE)</f>
        <v>RLS</v>
      </c>
      <c r="AT304" s="265" t="s">
        <v>557</v>
      </c>
      <c r="AV304" s="265">
        <v>0</v>
      </c>
    </row>
    <row r="305" spans="1:48">
      <c r="A305" s="275">
        <f t="shared" si="142"/>
        <v>302</v>
      </c>
      <c r="B305" s="276" t="str">
        <f t="shared" si="149"/>
        <v>May 2014</v>
      </c>
      <c r="C305" s="277" t="str">
        <f t="shared" si="150"/>
        <v>RLS</v>
      </c>
      <c r="D305" s="277" t="str">
        <f t="shared" si="151"/>
        <v>LGUM_266</v>
      </c>
      <c r="E305" s="614">
        <f t="shared" si="121"/>
        <v>816</v>
      </c>
      <c r="F305" s="615">
        <f t="shared" si="143"/>
        <v>0</v>
      </c>
      <c r="G305" s="614">
        <f t="shared" si="122"/>
        <v>75161</v>
      </c>
      <c r="H305" s="615">
        <v>0</v>
      </c>
      <c r="I305" s="283">
        <f t="shared" si="123"/>
        <v>27.34</v>
      </c>
      <c r="J305" s="283">
        <f t="shared" si="124"/>
        <v>2.8000000000000007</v>
      </c>
      <c r="K305" s="285">
        <f t="shared" si="125"/>
        <v>22309.439999999999</v>
      </c>
      <c r="L305" s="286">
        <f t="shared" si="126"/>
        <v>-266.79000000000087</v>
      </c>
      <c r="M305" s="286">
        <f t="shared" si="127"/>
        <v>0</v>
      </c>
      <c r="N305" s="285">
        <f t="shared" si="128"/>
        <v>22042.649999999998</v>
      </c>
      <c r="O305" s="616">
        <f t="shared" si="144"/>
        <v>22042.65</v>
      </c>
      <c r="P305" s="289">
        <f t="shared" si="129"/>
        <v>1.0000000000000002</v>
      </c>
      <c r="Q305" s="290">
        <f t="shared" si="130"/>
        <v>118.43</v>
      </c>
      <c r="R305" s="290">
        <f t="shared" si="131"/>
        <v>494.8</v>
      </c>
      <c r="S305" s="290">
        <f t="shared" si="132"/>
        <v>0</v>
      </c>
      <c r="T305" s="290">
        <f t="shared" si="133"/>
        <v>22655.88</v>
      </c>
      <c r="U305" s="291">
        <f t="shared" si="134"/>
        <v>22655.879999999997</v>
      </c>
      <c r="V305" s="291">
        <f t="shared" si="137"/>
        <v>0</v>
      </c>
      <c r="W305" s="265">
        <f t="shared" si="152"/>
        <v>0</v>
      </c>
      <c r="X305" s="291">
        <f t="shared" si="138"/>
        <v>0</v>
      </c>
      <c r="Y305" s="170">
        <f t="shared" si="135"/>
        <v>2284.8000000000002</v>
      </c>
      <c r="Z305" s="291">
        <f t="shared" si="136"/>
        <v>19757.850000000002</v>
      </c>
      <c r="AC305" s="276">
        <f>IF(AI305=1,IF(AC304=MiscData!$F$1,EOMONTH(AC304,-11),EOMONTH(AC304,1)),AC304)</f>
        <v>41790</v>
      </c>
      <c r="AD305" s="275" t="str">
        <f t="shared" si="153"/>
        <v>20140101LGUM_266</v>
      </c>
      <c r="AE305" s="294" t="str">
        <f t="shared" si="154"/>
        <v>20140101RLS</v>
      </c>
      <c r="AF305" s="618" t="str">
        <f t="shared" si="139"/>
        <v>266</v>
      </c>
      <c r="AH305" s="265">
        <f>MiscData!$X$5</f>
        <v>20140101</v>
      </c>
      <c r="AI305" s="265">
        <f>IF(AI304+1&gt;MiscData!$AC$77,1,AI304+1)</f>
        <v>10</v>
      </c>
      <c r="AJ305" s="265" t="str">
        <f>VLOOKUP(AI305,MiscData!$AC$5:$AD$77,2,FALSE)</f>
        <v>LGUM_266</v>
      </c>
      <c r="AK305" s="265" t="str">
        <f>VLOOKUP(AJ305,MiscData!$AD$5:$AE$77,2,FALSE)</f>
        <v>RLS</v>
      </c>
      <c r="AT305" s="265" t="s">
        <v>375</v>
      </c>
      <c r="AV305" s="265">
        <v>0</v>
      </c>
    </row>
    <row r="306" spans="1:48">
      <c r="A306" s="275">
        <f t="shared" si="142"/>
        <v>303</v>
      </c>
      <c r="B306" s="276" t="str">
        <f t="shared" si="149"/>
        <v>May 2014</v>
      </c>
      <c r="C306" s="277" t="str">
        <f t="shared" si="150"/>
        <v>RLS</v>
      </c>
      <c r="D306" s="277" t="str">
        <f t="shared" si="151"/>
        <v>LGUM_267</v>
      </c>
      <c r="E306" s="614">
        <f t="shared" si="121"/>
        <v>1795</v>
      </c>
      <c r="F306" s="615">
        <f t="shared" si="143"/>
        <v>96</v>
      </c>
      <c r="G306" s="614">
        <f t="shared" si="122"/>
        <v>259578</v>
      </c>
      <c r="H306" s="615">
        <v>0</v>
      </c>
      <c r="I306" s="283">
        <f t="shared" si="123"/>
        <v>31.4</v>
      </c>
      <c r="J306" s="283">
        <f t="shared" si="124"/>
        <v>4.4499999999999993</v>
      </c>
      <c r="K306" s="285">
        <f t="shared" si="125"/>
        <v>59377.4</v>
      </c>
      <c r="L306" s="286">
        <f t="shared" si="126"/>
        <v>-2797.58</v>
      </c>
      <c r="M306" s="286">
        <v>0</v>
      </c>
      <c r="N306" s="285">
        <f t="shared" si="128"/>
        <v>56579.82</v>
      </c>
      <c r="O306" s="616">
        <f t="shared" si="144"/>
        <v>56579.819999999992</v>
      </c>
      <c r="P306" s="289">
        <f t="shared" si="129"/>
        <v>0.99999999999999989</v>
      </c>
      <c r="Q306" s="290">
        <f t="shared" si="130"/>
        <v>394.63</v>
      </c>
      <c r="R306" s="290">
        <f t="shared" si="131"/>
        <v>1349.09</v>
      </c>
      <c r="S306" s="290">
        <f t="shared" si="132"/>
        <v>0</v>
      </c>
      <c r="T306" s="290">
        <f t="shared" si="133"/>
        <v>58323.539999999994</v>
      </c>
      <c r="U306" s="291">
        <f t="shared" si="134"/>
        <v>58323.539999999994</v>
      </c>
      <c r="V306" s="291">
        <f t="shared" si="137"/>
        <v>0</v>
      </c>
      <c r="W306" s="265">
        <f t="shared" si="152"/>
        <v>0</v>
      </c>
      <c r="X306" s="291">
        <f t="shared" si="138"/>
        <v>0</v>
      </c>
      <c r="Y306" s="170">
        <f t="shared" si="135"/>
        <v>7987.75</v>
      </c>
      <c r="Z306" s="291">
        <f t="shared" si="136"/>
        <v>48592.069999999992</v>
      </c>
      <c r="AC306" s="276">
        <f>IF(AI306=1,IF(AC305=MiscData!$F$1,EOMONTH(AC305,-11),EOMONTH(AC305,1)),AC305)</f>
        <v>41790</v>
      </c>
      <c r="AD306" s="275" t="str">
        <f t="shared" si="153"/>
        <v>20140101LGUM_267</v>
      </c>
      <c r="AE306" s="294" t="str">
        <f t="shared" si="154"/>
        <v>20140101RLS</v>
      </c>
      <c r="AF306" s="618" t="str">
        <f t="shared" si="139"/>
        <v>267</v>
      </c>
      <c r="AH306" s="265">
        <f>MiscData!$X$5</f>
        <v>20140101</v>
      </c>
      <c r="AI306" s="265">
        <f>IF(AI305+1&gt;MiscData!$AC$77,1,AI305+1)</f>
        <v>11</v>
      </c>
      <c r="AJ306" s="265" t="str">
        <f>VLOOKUP(AI306,MiscData!$AC$5:$AD$77,2,FALSE)</f>
        <v>LGUM_267</v>
      </c>
      <c r="AK306" s="265" t="str">
        <f>VLOOKUP(AJ306,MiscData!$AD$5:$AE$77,2,FALSE)</f>
        <v>RLS</v>
      </c>
      <c r="AT306" s="265" t="s">
        <v>195</v>
      </c>
      <c r="AV306" s="265">
        <v>0</v>
      </c>
    </row>
    <row r="307" spans="1:48">
      <c r="A307" s="275">
        <f t="shared" si="142"/>
        <v>304</v>
      </c>
      <c r="B307" s="276" t="str">
        <f t="shared" si="149"/>
        <v>May 2014</v>
      </c>
      <c r="C307" s="277" t="str">
        <f t="shared" si="150"/>
        <v>RLS</v>
      </c>
      <c r="D307" s="277" t="str">
        <f t="shared" si="151"/>
        <v>LGUM_274</v>
      </c>
      <c r="E307" s="614">
        <f t="shared" si="121"/>
        <v>16664</v>
      </c>
      <c r="F307" s="615">
        <f t="shared" si="143"/>
        <v>0</v>
      </c>
      <c r="G307" s="614">
        <f t="shared" si="122"/>
        <v>710811</v>
      </c>
      <c r="H307" s="615">
        <v>0</v>
      </c>
      <c r="I307" s="283">
        <f t="shared" si="123"/>
        <v>17.189999999999998</v>
      </c>
      <c r="J307" s="283">
        <f t="shared" si="124"/>
        <v>1.2699999999999996</v>
      </c>
      <c r="K307" s="285">
        <f t="shared" si="125"/>
        <v>286454.15999999997</v>
      </c>
      <c r="L307" s="286">
        <f t="shared" si="126"/>
        <v>586.28000000001407</v>
      </c>
      <c r="M307" s="286">
        <f t="shared" si="127"/>
        <v>0</v>
      </c>
      <c r="N307" s="285">
        <f t="shared" si="128"/>
        <v>287040.44</v>
      </c>
      <c r="O307" s="616">
        <f t="shared" si="144"/>
        <v>287040.44</v>
      </c>
      <c r="P307" s="289">
        <f t="shared" si="129"/>
        <v>1</v>
      </c>
      <c r="Q307" s="290">
        <f t="shared" si="130"/>
        <v>1134.8499999999999</v>
      </c>
      <c r="R307" s="290">
        <f t="shared" si="131"/>
        <v>6677.64</v>
      </c>
      <c r="S307" s="290">
        <f t="shared" si="132"/>
        <v>0</v>
      </c>
      <c r="T307" s="290">
        <f t="shared" si="133"/>
        <v>294854.99</v>
      </c>
      <c r="U307" s="291">
        <f t="shared" si="134"/>
        <v>294852.93</v>
      </c>
      <c r="V307" s="291">
        <f t="shared" si="137"/>
        <v>2.06</v>
      </c>
      <c r="W307" s="265">
        <f t="shared" si="152"/>
        <v>2.06</v>
      </c>
      <c r="X307" s="291">
        <f t="shared" si="138"/>
        <v>0</v>
      </c>
      <c r="Y307" s="170">
        <f t="shared" si="135"/>
        <v>21163.279999999999</v>
      </c>
      <c r="Z307" s="291">
        <f t="shared" si="136"/>
        <v>265877.16000000003</v>
      </c>
      <c r="AC307" s="276">
        <f>IF(AI307=1,IF(AC306=MiscData!$F$1,EOMONTH(AC306,-11),EOMONTH(AC306,1)),AC306)</f>
        <v>41790</v>
      </c>
      <c r="AD307" s="275" t="str">
        <f t="shared" si="153"/>
        <v>20140101LGUM_274</v>
      </c>
      <c r="AE307" s="294" t="str">
        <f t="shared" si="154"/>
        <v>20140101RLS</v>
      </c>
      <c r="AF307" s="618" t="str">
        <f t="shared" si="139"/>
        <v>274</v>
      </c>
      <c r="AH307" s="265">
        <f>MiscData!$X$5</f>
        <v>20140101</v>
      </c>
      <c r="AI307" s="265">
        <f>IF(AI306+1&gt;MiscData!$AC$77,1,AI306+1)</f>
        <v>12</v>
      </c>
      <c r="AJ307" s="265" t="str">
        <f>VLOOKUP(AI307,MiscData!$AC$5:$AD$77,2,FALSE)</f>
        <v>LGUM_274</v>
      </c>
      <c r="AK307" s="265" t="str">
        <f>VLOOKUP(AJ307,MiscData!$AD$5:$AE$77,2,FALSE)</f>
        <v>RLS</v>
      </c>
      <c r="AT307" s="265" t="s">
        <v>561</v>
      </c>
      <c r="AV307" s="265">
        <v>0</v>
      </c>
    </row>
    <row r="308" spans="1:48">
      <c r="A308" s="275">
        <f t="shared" si="142"/>
        <v>305</v>
      </c>
      <c r="B308" s="276" t="str">
        <f t="shared" si="149"/>
        <v>May 2014</v>
      </c>
      <c r="C308" s="277" t="str">
        <f t="shared" si="150"/>
        <v>RLS</v>
      </c>
      <c r="D308" s="277" t="str">
        <f t="shared" si="151"/>
        <v>LGUM_275</v>
      </c>
      <c r="E308" s="614">
        <f t="shared" si="121"/>
        <v>471</v>
      </c>
      <c r="F308" s="615">
        <f t="shared" si="143"/>
        <v>0</v>
      </c>
      <c r="G308" s="614">
        <f t="shared" si="122"/>
        <v>27752</v>
      </c>
      <c r="H308" s="615">
        <v>0</v>
      </c>
      <c r="I308" s="283">
        <f t="shared" si="123"/>
        <v>24.89</v>
      </c>
      <c r="J308" s="283">
        <f t="shared" si="124"/>
        <v>1.7899999999999991</v>
      </c>
      <c r="K308" s="285">
        <f t="shared" si="125"/>
        <v>11723.19</v>
      </c>
      <c r="L308" s="286">
        <f t="shared" si="126"/>
        <v>0</v>
      </c>
      <c r="M308" s="286">
        <f t="shared" si="127"/>
        <v>0</v>
      </c>
      <c r="N308" s="285">
        <f t="shared" si="128"/>
        <v>11723.19</v>
      </c>
      <c r="O308" s="616">
        <f t="shared" si="144"/>
        <v>11723.19</v>
      </c>
      <c r="P308" s="289">
        <f t="shared" si="129"/>
        <v>1</v>
      </c>
      <c r="Q308" s="290">
        <f t="shared" si="130"/>
        <v>43.64</v>
      </c>
      <c r="R308" s="290">
        <f t="shared" si="131"/>
        <v>261.51</v>
      </c>
      <c r="S308" s="290">
        <f t="shared" si="132"/>
        <v>0</v>
      </c>
      <c r="T308" s="290">
        <f t="shared" si="133"/>
        <v>12028.34</v>
      </c>
      <c r="U308" s="291">
        <f t="shared" si="134"/>
        <v>12028.34</v>
      </c>
      <c r="V308" s="291">
        <f t="shared" si="137"/>
        <v>0</v>
      </c>
      <c r="W308" s="265">
        <f t="shared" si="152"/>
        <v>0</v>
      </c>
      <c r="X308" s="291">
        <f t="shared" si="138"/>
        <v>0</v>
      </c>
      <c r="Y308" s="170">
        <f t="shared" si="135"/>
        <v>843.09</v>
      </c>
      <c r="Z308" s="291">
        <f t="shared" si="136"/>
        <v>10880.1</v>
      </c>
      <c r="AC308" s="276">
        <f>IF(AI308=1,IF(AC307=MiscData!$F$1,EOMONTH(AC307,-11),EOMONTH(AC307,1)),AC307)</f>
        <v>41790</v>
      </c>
      <c r="AD308" s="275" t="str">
        <f t="shared" si="153"/>
        <v>20140101LGUM_275</v>
      </c>
      <c r="AE308" s="294" t="str">
        <f t="shared" si="154"/>
        <v>20140101RLS</v>
      </c>
      <c r="AF308" s="618" t="str">
        <f t="shared" si="139"/>
        <v>275</v>
      </c>
      <c r="AH308" s="265">
        <f>MiscData!$X$5</f>
        <v>20140101</v>
      </c>
      <c r="AI308" s="265">
        <f>IF(AI307+1&gt;MiscData!$AC$77,1,AI307+1)</f>
        <v>13</v>
      </c>
      <c r="AJ308" s="265" t="str">
        <f>VLOOKUP(AI308,MiscData!$AC$5:$AD$77,2,FALSE)</f>
        <v>LGUM_275</v>
      </c>
      <c r="AK308" s="265" t="str">
        <f>VLOOKUP(AJ308,MiscData!$AD$5:$AE$77,2,FALSE)</f>
        <v>RLS</v>
      </c>
      <c r="AT308" s="265" t="s">
        <v>196</v>
      </c>
      <c r="AV308" s="265">
        <v>3.68</v>
      </c>
    </row>
    <row r="309" spans="1:48">
      <c r="A309" s="275">
        <f t="shared" si="142"/>
        <v>306</v>
      </c>
      <c r="B309" s="276" t="str">
        <f t="shared" si="149"/>
        <v>May 2014</v>
      </c>
      <c r="C309" s="277" t="str">
        <f t="shared" si="150"/>
        <v>RLS</v>
      </c>
      <c r="D309" s="277" t="str">
        <f t="shared" si="151"/>
        <v>LGUM_276</v>
      </c>
      <c r="E309" s="614">
        <f t="shared" si="121"/>
        <v>1352</v>
      </c>
      <c r="F309" s="615">
        <f t="shared" si="143"/>
        <v>0</v>
      </c>
      <c r="G309" s="614">
        <f t="shared" si="122"/>
        <v>42781</v>
      </c>
      <c r="H309" s="615">
        <v>0</v>
      </c>
      <c r="I309" s="283">
        <f t="shared" si="123"/>
        <v>14.17</v>
      </c>
      <c r="J309" s="283">
        <f t="shared" si="124"/>
        <v>0.88000000000000078</v>
      </c>
      <c r="K309" s="285">
        <f t="shared" si="125"/>
        <v>19157.84</v>
      </c>
      <c r="L309" s="286">
        <f t="shared" si="126"/>
        <v>-54.789999999997235</v>
      </c>
      <c r="M309" s="286">
        <f t="shared" si="127"/>
        <v>0</v>
      </c>
      <c r="N309" s="285">
        <f t="shared" si="128"/>
        <v>19103.050000000003</v>
      </c>
      <c r="O309" s="616">
        <f t="shared" si="144"/>
        <v>19103.05</v>
      </c>
      <c r="P309" s="289">
        <f t="shared" si="129"/>
        <v>0.99999999999999978</v>
      </c>
      <c r="Q309" s="290">
        <f t="shared" si="130"/>
        <v>68.319999999999993</v>
      </c>
      <c r="R309" s="290">
        <f t="shared" si="131"/>
        <v>444.68</v>
      </c>
      <c r="S309" s="290">
        <f t="shared" si="132"/>
        <v>0</v>
      </c>
      <c r="T309" s="290">
        <f t="shared" si="133"/>
        <v>19616.05</v>
      </c>
      <c r="U309" s="291">
        <f t="shared" si="134"/>
        <v>19616.050000000003</v>
      </c>
      <c r="V309" s="291">
        <f t="shared" si="137"/>
        <v>0</v>
      </c>
      <c r="W309" s="265">
        <f t="shared" si="152"/>
        <v>0</v>
      </c>
      <c r="X309" s="291">
        <f t="shared" si="138"/>
        <v>0</v>
      </c>
      <c r="Y309" s="170">
        <f t="shared" si="135"/>
        <v>1189.76</v>
      </c>
      <c r="Z309" s="291">
        <f t="shared" si="136"/>
        <v>17913.29</v>
      </c>
      <c r="AC309" s="276">
        <f>IF(AI309=1,IF(AC308=MiscData!$F$1,EOMONTH(AC308,-11),EOMONTH(AC308,1)),AC308)</f>
        <v>41790</v>
      </c>
      <c r="AD309" s="275" t="str">
        <f t="shared" si="153"/>
        <v>20140101LGUM_276</v>
      </c>
      <c r="AE309" s="294" t="str">
        <f t="shared" si="154"/>
        <v>20140101RLS</v>
      </c>
      <c r="AF309" s="618" t="str">
        <f t="shared" si="139"/>
        <v>276</v>
      </c>
      <c r="AH309" s="265">
        <f>MiscData!$X$5</f>
        <v>20140101</v>
      </c>
      <c r="AI309" s="265">
        <f>IF(AI308+1&gt;MiscData!$AC$77,1,AI308+1)</f>
        <v>14</v>
      </c>
      <c r="AJ309" s="265" t="str">
        <f>VLOOKUP(AI309,MiscData!$AC$5:$AD$77,2,FALSE)</f>
        <v>LGUM_276</v>
      </c>
      <c r="AK309" s="265" t="str">
        <f>VLOOKUP(AJ309,MiscData!$AD$5:$AE$77,2,FALSE)</f>
        <v>RLS</v>
      </c>
      <c r="AT309" s="265" t="s">
        <v>197</v>
      </c>
      <c r="AV309" s="265">
        <v>73.349999999999994</v>
      </c>
    </row>
    <row r="310" spans="1:48">
      <c r="A310" s="275">
        <f t="shared" si="142"/>
        <v>307</v>
      </c>
      <c r="B310" s="276" t="str">
        <f t="shared" si="149"/>
        <v>May 2014</v>
      </c>
      <c r="C310" s="277" t="str">
        <f t="shared" si="150"/>
        <v>RLS</v>
      </c>
      <c r="D310" s="277" t="str">
        <f t="shared" si="151"/>
        <v>LGUM_277</v>
      </c>
      <c r="E310" s="614">
        <f t="shared" si="121"/>
        <v>2075</v>
      </c>
      <c r="F310" s="615">
        <f t="shared" si="143"/>
        <v>0</v>
      </c>
      <c r="G310" s="614">
        <f t="shared" si="122"/>
        <v>121133</v>
      </c>
      <c r="H310" s="615">
        <v>0</v>
      </c>
      <c r="I310" s="283">
        <f t="shared" si="123"/>
        <v>22.15</v>
      </c>
      <c r="J310" s="283">
        <f t="shared" si="124"/>
        <v>1.7900000000000027</v>
      </c>
      <c r="K310" s="285">
        <f t="shared" si="125"/>
        <v>45961.25</v>
      </c>
      <c r="L310" s="286">
        <f t="shared" si="126"/>
        <v>0</v>
      </c>
      <c r="M310" s="286">
        <f t="shared" si="127"/>
        <v>0</v>
      </c>
      <c r="N310" s="285">
        <f t="shared" si="128"/>
        <v>45961.25</v>
      </c>
      <c r="O310" s="616">
        <f t="shared" si="144"/>
        <v>45961.249999999993</v>
      </c>
      <c r="P310" s="289">
        <f t="shared" si="129"/>
        <v>0.99999999999999989</v>
      </c>
      <c r="Q310" s="290">
        <f t="shared" si="130"/>
        <v>193.69</v>
      </c>
      <c r="R310" s="290">
        <f t="shared" si="131"/>
        <v>1074.6400000000001</v>
      </c>
      <c r="S310" s="290">
        <f t="shared" si="132"/>
        <v>0</v>
      </c>
      <c r="T310" s="290">
        <f t="shared" si="133"/>
        <v>47288.7</v>
      </c>
      <c r="U310" s="291">
        <f t="shared" si="134"/>
        <v>47229.58</v>
      </c>
      <c r="V310" s="291">
        <f t="shared" si="137"/>
        <v>59.12</v>
      </c>
      <c r="W310" s="265">
        <f t="shared" si="152"/>
        <v>59.12</v>
      </c>
      <c r="X310" s="291">
        <f t="shared" si="138"/>
        <v>0</v>
      </c>
      <c r="Y310" s="170">
        <f t="shared" si="135"/>
        <v>3714.25</v>
      </c>
      <c r="Z310" s="291">
        <f t="shared" si="136"/>
        <v>42246.999999999993</v>
      </c>
      <c r="AC310" s="276">
        <f>IF(AI310=1,IF(AC309=MiscData!$F$1,EOMONTH(AC309,-11),EOMONTH(AC309,1)),AC309)</f>
        <v>41790</v>
      </c>
      <c r="AD310" s="275" t="str">
        <f t="shared" si="153"/>
        <v>20140101LGUM_277</v>
      </c>
      <c r="AE310" s="294" t="str">
        <f t="shared" si="154"/>
        <v>20140101RLS</v>
      </c>
      <c r="AF310" s="618" t="str">
        <f t="shared" si="139"/>
        <v>277</v>
      </c>
      <c r="AH310" s="265">
        <f>MiscData!$X$5</f>
        <v>20140101</v>
      </c>
      <c r="AI310" s="265">
        <f>IF(AI309+1&gt;MiscData!$AC$77,1,AI309+1)</f>
        <v>15</v>
      </c>
      <c r="AJ310" s="265" t="str">
        <f>VLOOKUP(AI310,MiscData!$AC$5:$AD$77,2,FALSE)</f>
        <v>LGUM_277</v>
      </c>
      <c r="AK310" s="265" t="str">
        <f>VLOOKUP(AJ310,MiscData!$AD$5:$AE$77,2,FALSE)</f>
        <v>RLS</v>
      </c>
      <c r="AT310" s="265" t="s">
        <v>198</v>
      </c>
      <c r="AV310" s="265">
        <v>-77.11</v>
      </c>
    </row>
    <row r="311" spans="1:48">
      <c r="A311" s="275">
        <f t="shared" si="142"/>
        <v>308</v>
      </c>
      <c r="B311" s="276" t="str">
        <f t="shared" si="149"/>
        <v>May 2014</v>
      </c>
      <c r="C311" s="277" t="str">
        <f t="shared" si="150"/>
        <v>RLS</v>
      </c>
      <c r="D311" s="277" t="str">
        <f t="shared" si="151"/>
        <v>LGUM_278</v>
      </c>
      <c r="E311" s="614">
        <f t="shared" si="121"/>
        <v>17</v>
      </c>
      <c r="F311" s="615">
        <f t="shared" si="143"/>
        <v>0</v>
      </c>
      <c r="G311" s="614">
        <f t="shared" si="122"/>
        <v>5388</v>
      </c>
      <c r="H311" s="615">
        <v>0</v>
      </c>
      <c r="I311" s="283">
        <f t="shared" si="123"/>
        <v>72.550000000000011</v>
      </c>
      <c r="J311" s="283">
        <f t="shared" si="124"/>
        <v>9.8400000000000034</v>
      </c>
      <c r="K311" s="285">
        <f t="shared" si="125"/>
        <v>1233.3499999999999</v>
      </c>
      <c r="L311" s="286">
        <f t="shared" si="126"/>
        <v>0</v>
      </c>
      <c r="M311" s="286">
        <f t="shared" si="127"/>
        <v>0</v>
      </c>
      <c r="N311" s="285">
        <f t="shared" si="128"/>
        <v>1233.3499999999999</v>
      </c>
      <c r="O311" s="616">
        <f t="shared" si="144"/>
        <v>1233.3500000000001</v>
      </c>
      <c r="P311" s="289">
        <f t="shared" si="129"/>
        <v>1.0000000000000002</v>
      </c>
      <c r="Q311" s="290">
        <f t="shared" si="130"/>
        <v>8.6199999999999992</v>
      </c>
      <c r="R311" s="290">
        <f t="shared" si="131"/>
        <v>28.93</v>
      </c>
      <c r="S311" s="290">
        <f t="shared" si="132"/>
        <v>0</v>
      </c>
      <c r="T311" s="290">
        <f t="shared" si="133"/>
        <v>1270.9000000000001</v>
      </c>
      <c r="U311" s="291">
        <f t="shared" si="134"/>
        <v>1270.8999999999999</v>
      </c>
      <c r="V311" s="291">
        <f t="shared" si="137"/>
        <v>0</v>
      </c>
      <c r="W311" s="265">
        <f t="shared" si="152"/>
        <v>0</v>
      </c>
      <c r="X311" s="291">
        <f t="shared" si="138"/>
        <v>0</v>
      </c>
      <c r="Y311" s="170">
        <f t="shared" si="135"/>
        <v>167.28</v>
      </c>
      <c r="Z311" s="291">
        <f t="shared" si="136"/>
        <v>1066.0700000000002</v>
      </c>
      <c r="AC311" s="276">
        <f>IF(AI311=1,IF(AC310=MiscData!$F$1,EOMONTH(AC310,-11),EOMONTH(AC310,1)),AC310)</f>
        <v>41790</v>
      </c>
      <c r="AD311" s="275" t="str">
        <f t="shared" si="153"/>
        <v>20140101LGUM_278</v>
      </c>
      <c r="AE311" s="294" t="str">
        <f t="shared" si="154"/>
        <v>20140101RLS</v>
      </c>
      <c r="AF311" s="618" t="str">
        <f t="shared" si="139"/>
        <v>278</v>
      </c>
      <c r="AH311" s="265">
        <f>MiscData!$X$5</f>
        <v>20140101</v>
      </c>
      <c r="AI311" s="265">
        <f>IF(AI310+1&gt;MiscData!$AC$77,1,AI310+1)</f>
        <v>16</v>
      </c>
      <c r="AJ311" s="265" t="str">
        <f>VLOOKUP(AI311,MiscData!$AC$5:$AD$77,2,FALSE)</f>
        <v>LGUM_278</v>
      </c>
      <c r="AK311" s="265" t="str">
        <f>VLOOKUP(AJ311,MiscData!$AD$5:$AE$77,2,FALSE)</f>
        <v>RLS</v>
      </c>
      <c r="AT311" s="265" t="s">
        <v>199</v>
      </c>
      <c r="AV311" s="265">
        <v>-26.33</v>
      </c>
    </row>
    <row r="312" spans="1:48">
      <c r="A312" s="275">
        <f t="shared" si="142"/>
        <v>309</v>
      </c>
      <c r="B312" s="276" t="str">
        <f t="shared" si="149"/>
        <v>May 2014</v>
      </c>
      <c r="C312" s="277" t="str">
        <f t="shared" si="150"/>
        <v>RLS</v>
      </c>
      <c r="D312" s="277" t="str">
        <f t="shared" si="151"/>
        <v>LGUM_279</v>
      </c>
      <c r="E312" s="614">
        <f t="shared" si="121"/>
        <v>11</v>
      </c>
      <c r="F312" s="615">
        <f t="shared" si="143"/>
        <v>0</v>
      </c>
      <c r="G312" s="614">
        <f t="shared" si="122"/>
        <v>3495</v>
      </c>
      <c r="H312" s="615">
        <v>0</v>
      </c>
      <c r="I312" s="283">
        <f t="shared" si="123"/>
        <v>41.43</v>
      </c>
      <c r="J312" s="283">
        <f t="shared" si="124"/>
        <v>9.8399999999999963</v>
      </c>
      <c r="K312" s="285">
        <f t="shared" si="125"/>
        <v>455.73</v>
      </c>
      <c r="L312" s="286">
        <f t="shared" si="126"/>
        <v>0</v>
      </c>
      <c r="M312" s="286">
        <f t="shared" si="127"/>
        <v>0</v>
      </c>
      <c r="N312" s="285">
        <f t="shared" si="128"/>
        <v>455.73</v>
      </c>
      <c r="O312" s="616">
        <f t="shared" si="144"/>
        <v>455.73</v>
      </c>
      <c r="P312" s="289">
        <f t="shared" si="129"/>
        <v>1</v>
      </c>
      <c r="Q312" s="290">
        <f t="shared" si="130"/>
        <v>5.59</v>
      </c>
      <c r="R312" s="290">
        <f t="shared" si="131"/>
        <v>10.74</v>
      </c>
      <c r="S312" s="290">
        <f t="shared" si="132"/>
        <v>0</v>
      </c>
      <c r="T312" s="290">
        <f t="shared" si="133"/>
        <v>472.06</v>
      </c>
      <c r="U312" s="291">
        <f t="shared" si="134"/>
        <v>472.06</v>
      </c>
      <c r="V312" s="291">
        <f t="shared" si="137"/>
        <v>0</v>
      </c>
      <c r="W312" s="265">
        <f t="shared" si="152"/>
        <v>0</v>
      </c>
      <c r="X312" s="291">
        <f t="shared" si="138"/>
        <v>0</v>
      </c>
      <c r="Y312" s="170">
        <f t="shared" si="135"/>
        <v>108.24</v>
      </c>
      <c r="Z312" s="291">
        <f t="shared" si="136"/>
        <v>347.49</v>
      </c>
      <c r="AC312" s="276">
        <f>IF(AI312=1,IF(AC311=MiscData!$F$1,EOMONTH(AC311,-11),EOMONTH(AC311,1)),AC311)</f>
        <v>41790</v>
      </c>
      <c r="AD312" s="275" t="str">
        <f t="shared" si="153"/>
        <v>20140101LGUM_279</v>
      </c>
      <c r="AE312" s="294" t="str">
        <f t="shared" si="154"/>
        <v>20140101RLS</v>
      </c>
      <c r="AF312" s="618" t="str">
        <f t="shared" si="139"/>
        <v>279</v>
      </c>
      <c r="AH312" s="265">
        <f>MiscData!$X$5</f>
        <v>20140101</v>
      </c>
      <c r="AI312" s="265">
        <f>IF(AI311+1&gt;MiscData!$AC$77,1,AI311+1)</f>
        <v>17</v>
      </c>
      <c r="AJ312" s="265" t="str">
        <f>VLOOKUP(AI312,MiscData!$AC$5:$AD$77,2,FALSE)</f>
        <v>LGUM_279</v>
      </c>
      <c r="AK312" s="265" t="str">
        <f>VLOOKUP(AJ312,MiscData!$AD$5:$AE$77,2,FALSE)</f>
        <v>RLS</v>
      </c>
      <c r="AT312" s="265" t="s">
        <v>200</v>
      </c>
      <c r="AV312" s="265">
        <v>0</v>
      </c>
    </row>
    <row r="313" spans="1:48">
      <c r="A313" s="275">
        <f t="shared" si="142"/>
        <v>310</v>
      </c>
      <c r="B313" s="276" t="str">
        <f t="shared" si="149"/>
        <v>May 2014</v>
      </c>
      <c r="C313" s="277" t="str">
        <f t="shared" si="150"/>
        <v>RLS</v>
      </c>
      <c r="D313" s="277" t="str">
        <f t="shared" si="151"/>
        <v>LGUM_280</v>
      </c>
      <c r="E313" s="614">
        <f t="shared" si="121"/>
        <v>46</v>
      </c>
      <c r="F313" s="615">
        <f t="shared" si="143"/>
        <v>0</v>
      </c>
      <c r="G313" s="614">
        <f t="shared" si="122"/>
        <v>1547</v>
      </c>
      <c r="H313" s="615">
        <v>0</v>
      </c>
      <c r="I313" s="283">
        <f t="shared" si="123"/>
        <v>19.38</v>
      </c>
      <c r="J313" s="283">
        <f t="shared" si="124"/>
        <v>0.87999999999999901</v>
      </c>
      <c r="K313" s="285">
        <f t="shared" si="125"/>
        <v>891.48</v>
      </c>
      <c r="L313" s="286">
        <f t="shared" si="126"/>
        <v>0</v>
      </c>
      <c r="M313" s="286">
        <f t="shared" si="127"/>
        <v>0</v>
      </c>
      <c r="N313" s="285">
        <f t="shared" si="128"/>
        <v>891.48</v>
      </c>
      <c r="O313" s="616">
        <f t="shared" si="144"/>
        <v>891.48</v>
      </c>
      <c r="P313" s="289">
        <f t="shared" si="129"/>
        <v>1</v>
      </c>
      <c r="Q313" s="290">
        <f t="shared" si="130"/>
        <v>2.4700000000000002</v>
      </c>
      <c r="R313" s="290">
        <f t="shared" si="131"/>
        <v>37.94</v>
      </c>
      <c r="S313" s="290">
        <f t="shared" si="132"/>
        <v>0</v>
      </c>
      <c r="T313" s="290">
        <f t="shared" si="133"/>
        <v>1666.95</v>
      </c>
      <c r="U313" s="291">
        <f t="shared" si="134"/>
        <v>931.8900000000001</v>
      </c>
      <c r="V313" s="291">
        <f t="shared" si="137"/>
        <v>735.06</v>
      </c>
      <c r="W313" s="265">
        <f t="shared" si="152"/>
        <v>735.06</v>
      </c>
      <c r="X313" s="291">
        <f t="shared" si="138"/>
        <v>0</v>
      </c>
      <c r="Y313" s="170">
        <f t="shared" si="135"/>
        <v>40.479999999999997</v>
      </c>
      <c r="Z313" s="291">
        <f t="shared" si="136"/>
        <v>851</v>
      </c>
      <c r="AC313" s="276">
        <f>IF(AI313=1,IF(AC312=MiscData!$F$1,EOMONTH(AC312,-11),EOMONTH(AC312,1)),AC312)</f>
        <v>41790</v>
      </c>
      <c r="AD313" s="275" t="str">
        <f t="shared" si="153"/>
        <v>20140101LGUM_280</v>
      </c>
      <c r="AE313" s="294" t="str">
        <f t="shared" si="154"/>
        <v>20140101RLS</v>
      </c>
      <c r="AF313" s="618" t="str">
        <f t="shared" si="139"/>
        <v>280</v>
      </c>
      <c r="AH313" s="265">
        <f>MiscData!$X$5</f>
        <v>20140101</v>
      </c>
      <c r="AI313" s="265">
        <f>IF(AI312+1&gt;MiscData!$AC$77,1,AI312+1)</f>
        <v>18</v>
      </c>
      <c r="AJ313" s="265" t="str">
        <f>VLOOKUP(AI313,MiscData!$AC$5:$AD$77,2,FALSE)</f>
        <v>LGUM_280</v>
      </c>
      <c r="AK313" s="265" t="str">
        <f>VLOOKUP(AJ313,MiscData!$AD$5:$AE$77,2,FALSE)</f>
        <v>RLS</v>
      </c>
      <c r="AT313" s="265" t="s">
        <v>201</v>
      </c>
      <c r="AV313" s="265">
        <v>0</v>
      </c>
    </row>
    <row r="314" spans="1:48">
      <c r="A314" s="275">
        <f t="shared" si="142"/>
        <v>311</v>
      </c>
      <c r="B314" s="276" t="str">
        <f t="shared" si="149"/>
        <v>May 2014</v>
      </c>
      <c r="C314" s="277" t="str">
        <f t="shared" si="150"/>
        <v>RLS</v>
      </c>
      <c r="D314" s="277" t="str">
        <f t="shared" si="151"/>
        <v>LGUM_281</v>
      </c>
      <c r="E314" s="614">
        <f t="shared" si="121"/>
        <v>247</v>
      </c>
      <c r="F314" s="615">
        <f t="shared" si="143"/>
        <v>0</v>
      </c>
      <c r="G314" s="614">
        <f t="shared" si="122"/>
        <v>10448</v>
      </c>
      <c r="H314" s="615">
        <v>0</v>
      </c>
      <c r="I314" s="283">
        <f t="shared" si="123"/>
        <v>20.349999999999998</v>
      </c>
      <c r="J314" s="283">
        <f t="shared" si="124"/>
        <v>1.2699999999999996</v>
      </c>
      <c r="K314" s="285">
        <f t="shared" si="125"/>
        <v>5026.45</v>
      </c>
      <c r="L314" s="286">
        <f t="shared" si="126"/>
        <v>0</v>
      </c>
      <c r="M314" s="286">
        <f t="shared" si="127"/>
        <v>0</v>
      </c>
      <c r="N314" s="285">
        <f t="shared" si="128"/>
        <v>5026.45</v>
      </c>
      <c r="O314" s="616">
        <f t="shared" si="144"/>
        <v>5026.45</v>
      </c>
      <c r="P314" s="289">
        <f t="shared" si="129"/>
        <v>1</v>
      </c>
      <c r="Q314" s="290">
        <f t="shared" si="130"/>
        <v>16.73</v>
      </c>
      <c r="R314" s="290">
        <f t="shared" si="131"/>
        <v>206.14</v>
      </c>
      <c r="S314" s="290">
        <f t="shared" si="132"/>
        <v>0</v>
      </c>
      <c r="T314" s="290">
        <f t="shared" si="133"/>
        <v>9054.7000000000007</v>
      </c>
      <c r="U314" s="291">
        <f t="shared" si="134"/>
        <v>5249.32</v>
      </c>
      <c r="V314" s="291">
        <f t="shared" si="137"/>
        <v>3805.38</v>
      </c>
      <c r="W314" s="265">
        <f t="shared" si="152"/>
        <v>3805.38</v>
      </c>
      <c r="X314" s="291">
        <f t="shared" si="138"/>
        <v>0</v>
      </c>
      <c r="Y314" s="170">
        <f t="shared" si="135"/>
        <v>313.69</v>
      </c>
      <c r="Z314" s="291">
        <f t="shared" si="136"/>
        <v>4712.76</v>
      </c>
      <c r="AC314" s="276">
        <f>IF(AI314=1,IF(AC313=MiscData!$F$1,EOMONTH(AC313,-11),EOMONTH(AC313,1)),AC313)</f>
        <v>41790</v>
      </c>
      <c r="AD314" s="275" t="str">
        <f t="shared" si="153"/>
        <v>20140101LGUM_281</v>
      </c>
      <c r="AE314" s="294" t="str">
        <f t="shared" si="154"/>
        <v>20140101RLS</v>
      </c>
      <c r="AF314" s="618" t="str">
        <f t="shared" si="139"/>
        <v>281</v>
      </c>
      <c r="AH314" s="265">
        <f>MiscData!$X$5</f>
        <v>20140101</v>
      </c>
      <c r="AI314" s="265">
        <f>IF(AI313+1&gt;MiscData!$AC$77,1,AI313+1)</f>
        <v>19</v>
      </c>
      <c r="AJ314" s="265" t="str">
        <f>VLOOKUP(AI314,MiscData!$AC$5:$AD$77,2,FALSE)</f>
        <v>LGUM_281</v>
      </c>
      <c r="AK314" s="265" t="str">
        <f>VLOOKUP(AJ314,MiscData!$AD$5:$AE$77,2,FALSE)</f>
        <v>RLS</v>
      </c>
      <c r="AT314" s="265" t="s">
        <v>202</v>
      </c>
      <c r="AV314" s="265">
        <v>-7.68</v>
      </c>
    </row>
    <row r="315" spans="1:48">
      <c r="A315" s="275">
        <f t="shared" si="142"/>
        <v>312</v>
      </c>
      <c r="B315" s="276" t="str">
        <f t="shared" si="149"/>
        <v>May 2014</v>
      </c>
      <c r="C315" s="277" t="str">
        <f t="shared" si="150"/>
        <v>RLS</v>
      </c>
      <c r="D315" s="277" t="str">
        <f t="shared" si="151"/>
        <v>LGUM_282</v>
      </c>
      <c r="E315" s="614">
        <f t="shared" si="121"/>
        <v>106</v>
      </c>
      <c r="F315" s="615">
        <f t="shared" si="143"/>
        <v>0</v>
      </c>
      <c r="G315" s="614">
        <f t="shared" si="122"/>
        <v>3434</v>
      </c>
      <c r="H315" s="615">
        <v>0</v>
      </c>
      <c r="I315" s="283">
        <f t="shared" si="123"/>
        <v>19.53</v>
      </c>
      <c r="J315" s="283">
        <f t="shared" si="124"/>
        <v>0.87999999999999901</v>
      </c>
      <c r="K315" s="285">
        <f t="shared" si="125"/>
        <v>2070.1799999999998</v>
      </c>
      <c r="L315" s="286">
        <f t="shared" si="126"/>
        <v>0</v>
      </c>
      <c r="M315" s="286">
        <f t="shared" si="127"/>
        <v>0</v>
      </c>
      <c r="N315" s="285">
        <f t="shared" si="128"/>
        <v>2070.1799999999998</v>
      </c>
      <c r="O315" s="616">
        <f t="shared" si="144"/>
        <v>2070.1799999999998</v>
      </c>
      <c r="P315" s="289">
        <f t="shared" si="129"/>
        <v>1</v>
      </c>
      <c r="Q315" s="290">
        <f t="shared" si="130"/>
        <v>5.49</v>
      </c>
      <c r="R315" s="290">
        <f t="shared" si="131"/>
        <v>71.430000000000007</v>
      </c>
      <c r="S315" s="290">
        <f t="shared" si="132"/>
        <v>0</v>
      </c>
      <c r="T315" s="290">
        <f t="shared" si="133"/>
        <v>3136.71</v>
      </c>
      <c r="U315" s="291">
        <f t="shared" si="134"/>
        <v>2147.0999999999995</v>
      </c>
      <c r="V315" s="291">
        <f t="shared" si="137"/>
        <v>989.61</v>
      </c>
      <c r="W315" s="265">
        <f t="shared" si="152"/>
        <v>989.61</v>
      </c>
      <c r="X315" s="291">
        <f t="shared" si="138"/>
        <v>0</v>
      </c>
      <c r="Y315" s="170">
        <f t="shared" si="135"/>
        <v>93.28</v>
      </c>
      <c r="Z315" s="291">
        <f t="shared" si="136"/>
        <v>1976.8999999999999</v>
      </c>
      <c r="AC315" s="276">
        <f>IF(AI315=1,IF(AC314=MiscData!$F$1,EOMONTH(AC314,-11),EOMONTH(AC314,1)),AC314)</f>
        <v>41790</v>
      </c>
      <c r="AD315" s="275" t="str">
        <f t="shared" si="153"/>
        <v>20140101LGUM_282</v>
      </c>
      <c r="AE315" s="294" t="str">
        <f t="shared" si="154"/>
        <v>20140101RLS</v>
      </c>
      <c r="AF315" s="618" t="str">
        <f t="shared" si="139"/>
        <v>282</v>
      </c>
      <c r="AH315" s="265">
        <f>MiscData!$X$5</f>
        <v>20140101</v>
      </c>
      <c r="AI315" s="265">
        <f>IF(AI314+1&gt;MiscData!$AC$77,1,AI314+1)</f>
        <v>20</v>
      </c>
      <c r="AJ315" s="265" t="str">
        <f>VLOOKUP(AI315,MiscData!$AC$5:$AD$77,2,FALSE)</f>
        <v>LGUM_282</v>
      </c>
      <c r="AK315" s="265" t="str">
        <f>VLOOKUP(AJ315,MiscData!$AD$5:$AE$77,2,FALSE)</f>
        <v>RLS</v>
      </c>
      <c r="AT315" s="265" t="s">
        <v>203</v>
      </c>
      <c r="AV315" s="265">
        <v>0</v>
      </c>
    </row>
    <row r="316" spans="1:48">
      <c r="A316" s="275">
        <f t="shared" si="142"/>
        <v>313</v>
      </c>
      <c r="B316" s="276" t="str">
        <f t="shared" si="149"/>
        <v>May 2014</v>
      </c>
      <c r="C316" s="277" t="str">
        <f t="shared" si="150"/>
        <v>RLS</v>
      </c>
      <c r="D316" s="277" t="str">
        <f t="shared" si="151"/>
        <v>LGUM_283</v>
      </c>
      <c r="E316" s="614">
        <f t="shared" si="121"/>
        <v>82</v>
      </c>
      <c r="F316" s="615">
        <f t="shared" si="143"/>
        <v>0</v>
      </c>
      <c r="G316" s="614">
        <f t="shared" si="122"/>
        <v>3367</v>
      </c>
      <c r="H316" s="615">
        <v>0</v>
      </c>
      <c r="I316" s="283">
        <f t="shared" si="123"/>
        <v>20.819999999999997</v>
      </c>
      <c r="J316" s="283">
        <f t="shared" si="124"/>
        <v>1.2699999999999996</v>
      </c>
      <c r="K316" s="285">
        <f t="shared" si="125"/>
        <v>1707.24</v>
      </c>
      <c r="L316" s="286">
        <f t="shared" si="126"/>
        <v>0</v>
      </c>
      <c r="M316" s="286">
        <f t="shared" si="127"/>
        <v>0</v>
      </c>
      <c r="N316" s="285">
        <f t="shared" si="128"/>
        <v>1707.24</v>
      </c>
      <c r="O316" s="616">
        <f t="shared" si="144"/>
        <v>1707.2399999999998</v>
      </c>
      <c r="P316" s="289">
        <f t="shared" si="129"/>
        <v>0.99999999999999989</v>
      </c>
      <c r="Q316" s="290">
        <f t="shared" si="130"/>
        <v>5.39</v>
      </c>
      <c r="R316" s="290">
        <f t="shared" si="131"/>
        <v>69.91</v>
      </c>
      <c r="S316" s="290">
        <f t="shared" si="132"/>
        <v>0</v>
      </c>
      <c r="T316" s="290">
        <f t="shared" si="133"/>
        <v>3070.31</v>
      </c>
      <c r="U316" s="291">
        <f t="shared" si="134"/>
        <v>1782.5400000000002</v>
      </c>
      <c r="V316" s="291">
        <f t="shared" si="137"/>
        <v>1287.77</v>
      </c>
      <c r="W316" s="265">
        <f t="shared" si="152"/>
        <v>1287.77</v>
      </c>
      <c r="X316" s="291">
        <f t="shared" si="138"/>
        <v>0</v>
      </c>
      <c r="Y316" s="170">
        <f t="shared" si="135"/>
        <v>104.14</v>
      </c>
      <c r="Z316" s="291">
        <f t="shared" si="136"/>
        <v>1603.0999999999997</v>
      </c>
      <c r="AC316" s="276">
        <f>IF(AI316=1,IF(AC315=MiscData!$F$1,EOMONTH(AC315,-11),EOMONTH(AC315,1)),AC315)</f>
        <v>41790</v>
      </c>
      <c r="AD316" s="275" t="str">
        <f t="shared" si="153"/>
        <v>20140101LGUM_283</v>
      </c>
      <c r="AE316" s="294" t="str">
        <f t="shared" si="154"/>
        <v>20140101RLS</v>
      </c>
      <c r="AF316" s="618" t="str">
        <f t="shared" si="139"/>
        <v>283</v>
      </c>
      <c r="AH316" s="265">
        <f>MiscData!$X$5</f>
        <v>20140101</v>
      </c>
      <c r="AI316" s="265">
        <f>IF(AI315+1&gt;MiscData!$AC$77,1,AI315+1)</f>
        <v>21</v>
      </c>
      <c r="AJ316" s="265" t="str">
        <f>VLOOKUP(AI316,MiscData!$AC$5:$AD$77,2,FALSE)</f>
        <v>LGUM_283</v>
      </c>
      <c r="AK316" s="265" t="str">
        <f>VLOOKUP(AJ316,MiscData!$AD$5:$AE$77,2,FALSE)</f>
        <v>RLS</v>
      </c>
      <c r="AT316" s="265" t="s">
        <v>204</v>
      </c>
      <c r="AV316" s="265">
        <v>0</v>
      </c>
    </row>
    <row r="317" spans="1:48">
      <c r="A317" s="275">
        <f t="shared" si="142"/>
        <v>314</v>
      </c>
      <c r="B317" s="276" t="str">
        <f t="shared" si="149"/>
        <v>May 2014</v>
      </c>
      <c r="C317" s="277" t="str">
        <f t="shared" si="150"/>
        <v>RLS</v>
      </c>
      <c r="D317" s="277" t="str">
        <f t="shared" si="151"/>
        <v>LGUM_314</v>
      </c>
      <c r="E317" s="614">
        <f t="shared" si="121"/>
        <v>106</v>
      </c>
      <c r="F317" s="615">
        <f t="shared" si="143"/>
        <v>0</v>
      </c>
      <c r="G317" s="614">
        <f t="shared" si="122"/>
        <v>9800</v>
      </c>
      <c r="H317" s="615">
        <v>0</v>
      </c>
      <c r="I317" s="283">
        <f t="shared" si="123"/>
        <v>19.2</v>
      </c>
      <c r="J317" s="283">
        <f t="shared" si="124"/>
        <v>2.7100000000000009</v>
      </c>
      <c r="K317" s="285">
        <f t="shared" si="125"/>
        <v>2035.2</v>
      </c>
      <c r="L317" s="286">
        <f t="shared" si="126"/>
        <v>0</v>
      </c>
      <c r="M317" s="286">
        <f t="shared" si="127"/>
        <v>0</v>
      </c>
      <c r="N317" s="285">
        <f t="shared" si="128"/>
        <v>2035.2</v>
      </c>
      <c r="O317" s="616">
        <f t="shared" si="144"/>
        <v>2035.1999999999998</v>
      </c>
      <c r="P317" s="289">
        <f t="shared" si="129"/>
        <v>0.99999999999999989</v>
      </c>
      <c r="Q317" s="290">
        <f t="shared" si="130"/>
        <v>14.93</v>
      </c>
      <c r="R317" s="290">
        <f t="shared" si="131"/>
        <v>41.45</v>
      </c>
      <c r="S317" s="290">
        <f t="shared" si="132"/>
        <v>0</v>
      </c>
      <c r="T317" s="290">
        <f t="shared" si="133"/>
        <v>2091.58</v>
      </c>
      <c r="U317" s="291">
        <f t="shared" si="134"/>
        <v>2091.58</v>
      </c>
      <c r="V317" s="291">
        <f t="shared" si="137"/>
        <v>0</v>
      </c>
      <c r="W317" s="265">
        <f t="shared" si="152"/>
        <v>0</v>
      </c>
      <c r="X317" s="291">
        <f t="shared" si="138"/>
        <v>0</v>
      </c>
      <c r="Y317" s="170">
        <f t="shared" si="135"/>
        <v>287.26</v>
      </c>
      <c r="Z317" s="291">
        <f t="shared" si="136"/>
        <v>1747.9399999999998</v>
      </c>
      <c r="AC317" s="276">
        <f>IF(AI317=1,IF(AC316=MiscData!$F$1,EOMONTH(AC316,-11),EOMONTH(AC316,1)),AC316)</f>
        <v>41790</v>
      </c>
      <c r="AD317" s="275" t="str">
        <f t="shared" si="153"/>
        <v>20140101LGUM_314</v>
      </c>
      <c r="AE317" s="294" t="str">
        <f t="shared" si="154"/>
        <v>20140101RLS</v>
      </c>
      <c r="AF317" s="618" t="str">
        <f t="shared" si="139"/>
        <v>314</v>
      </c>
      <c r="AH317" s="265">
        <f>MiscData!$X$5</f>
        <v>20140101</v>
      </c>
      <c r="AI317" s="265">
        <f>IF(AI316+1&gt;MiscData!$AC$77,1,AI316+1)</f>
        <v>22</v>
      </c>
      <c r="AJ317" s="265" t="str">
        <f>VLOOKUP(AI317,MiscData!$AC$5:$AD$77,2,FALSE)</f>
        <v>LGUM_314</v>
      </c>
      <c r="AK317" s="265" t="str">
        <f>VLOOKUP(AJ317,MiscData!$AD$5:$AE$77,2,FALSE)</f>
        <v>RLS</v>
      </c>
      <c r="AT317" s="265" t="s">
        <v>205</v>
      </c>
      <c r="AV317" s="265">
        <v>-22.56</v>
      </c>
    </row>
    <row r="318" spans="1:48">
      <c r="A318" s="275">
        <f t="shared" si="142"/>
        <v>315</v>
      </c>
      <c r="B318" s="276" t="str">
        <f t="shared" si="149"/>
        <v>May 2014</v>
      </c>
      <c r="C318" s="277" t="str">
        <f t="shared" si="150"/>
        <v>RLS</v>
      </c>
      <c r="D318" s="277" t="str">
        <f t="shared" si="151"/>
        <v>LGUM_315</v>
      </c>
      <c r="E318" s="614">
        <f t="shared" si="121"/>
        <v>25</v>
      </c>
      <c r="F318" s="615">
        <f t="shared" si="143"/>
        <v>0</v>
      </c>
      <c r="G318" s="614">
        <f t="shared" si="122"/>
        <v>3347</v>
      </c>
      <c r="H318" s="615">
        <v>0</v>
      </c>
      <c r="I318" s="283">
        <f t="shared" si="123"/>
        <v>22.949999999999996</v>
      </c>
      <c r="J318" s="283">
        <f t="shared" si="124"/>
        <v>4.1999999999999993</v>
      </c>
      <c r="K318" s="285">
        <f t="shared" si="125"/>
        <v>573.75</v>
      </c>
      <c r="L318" s="286">
        <f t="shared" si="126"/>
        <v>0</v>
      </c>
      <c r="M318" s="286">
        <f t="shared" si="127"/>
        <v>0</v>
      </c>
      <c r="N318" s="285">
        <f t="shared" si="128"/>
        <v>573.75</v>
      </c>
      <c r="O318" s="616">
        <f t="shared" si="144"/>
        <v>573.75</v>
      </c>
      <c r="P318" s="289">
        <f t="shared" si="129"/>
        <v>1</v>
      </c>
      <c r="Q318" s="290">
        <f t="shared" si="130"/>
        <v>5.36</v>
      </c>
      <c r="R318" s="290">
        <f t="shared" si="131"/>
        <v>13.39</v>
      </c>
      <c r="S318" s="290">
        <f t="shared" si="132"/>
        <v>0</v>
      </c>
      <c r="T318" s="290">
        <f t="shared" si="133"/>
        <v>592.5</v>
      </c>
      <c r="U318" s="291">
        <f t="shared" si="134"/>
        <v>592.5</v>
      </c>
      <c r="V318" s="291">
        <f t="shared" si="137"/>
        <v>0</v>
      </c>
      <c r="W318" s="265">
        <f t="shared" si="152"/>
        <v>0</v>
      </c>
      <c r="X318" s="291">
        <f t="shared" si="138"/>
        <v>0</v>
      </c>
      <c r="Y318" s="170">
        <f t="shared" si="135"/>
        <v>105</v>
      </c>
      <c r="Z318" s="291">
        <f t="shared" si="136"/>
        <v>468.75</v>
      </c>
      <c r="AC318" s="276">
        <f>IF(AI318=1,IF(AC317=MiscData!$F$1,EOMONTH(AC317,-11),EOMONTH(AC317,1)),AC317)</f>
        <v>41790</v>
      </c>
      <c r="AD318" s="275" t="str">
        <f t="shared" si="153"/>
        <v>20140101LGUM_315</v>
      </c>
      <c r="AE318" s="294" t="str">
        <f t="shared" si="154"/>
        <v>20140101RLS</v>
      </c>
      <c r="AF318" s="618" t="str">
        <f t="shared" si="139"/>
        <v>315</v>
      </c>
      <c r="AH318" s="265">
        <f>MiscData!$X$5</f>
        <v>20140101</v>
      </c>
      <c r="AI318" s="265">
        <f>IF(AI317+1&gt;MiscData!$AC$77,1,AI317+1)</f>
        <v>23</v>
      </c>
      <c r="AJ318" s="265" t="str">
        <f>VLOOKUP(AI318,MiscData!$AC$5:$AD$77,2,FALSE)</f>
        <v>LGUM_315</v>
      </c>
      <c r="AK318" s="265" t="str">
        <f>VLOOKUP(AJ318,MiscData!$AD$5:$AE$77,2,FALSE)</f>
        <v>RLS</v>
      </c>
      <c r="AT318" s="265" t="s">
        <v>206</v>
      </c>
      <c r="AV318" s="265">
        <v>-14.19</v>
      </c>
    </row>
    <row r="319" spans="1:48">
      <c r="A319" s="275">
        <f t="shared" si="142"/>
        <v>316</v>
      </c>
      <c r="B319" s="276" t="str">
        <f t="shared" si="149"/>
        <v>May 2014</v>
      </c>
      <c r="C319" s="277" t="str">
        <f t="shared" si="150"/>
        <v>RLS</v>
      </c>
      <c r="D319" s="277" t="str">
        <f t="shared" si="151"/>
        <v>LGUM_318</v>
      </c>
      <c r="E319" s="614">
        <f t="shared" si="121"/>
        <v>0</v>
      </c>
      <c r="F319" s="615">
        <f t="shared" si="143"/>
        <v>0</v>
      </c>
      <c r="G319" s="614">
        <f t="shared" si="122"/>
        <v>0</v>
      </c>
      <c r="H319" s="615">
        <v>0</v>
      </c>
      <c r="I319" s="283">
        <f t="shared" si="123"/>
        <v>17.419999999999998</v>
      </c>
      <c r="J319" s="283">
        <f t="shared" si="124"/>
        <v>1.9100000000000001</v>
      </c>
      <c r="K319" s="285">
        <f t="shared" si="125"/>
        <v>0</v>
      </c>
      <c r="L319" s="286">
        <f t="shared" si="126"/>
        <v>0</v>
      </c>
      <c r="M319" s="286">
        <f t="shared" si="127"/>
        <v>0</v>
      </c>
      <c r="N319" s="285">
        <f t="shared" si="128"/>
        <v>0</v>
      </c>
      <c r="O319" s="616">
        <f t="shared" si="144"/>
        <v>0</v>
      </c>
      <c r="P319" s="289">
        <f t="shared" si="129"/>
        <v>1</v>
      </c>
      <c r="Q319" s="290">
        <f t="shared" si="130"/>
        <v>0</v>
      </c>
      <c r="R319" s="290">
        <f t="shared" si="131"/>
        <v>0</v>
      </c>
      <c r="S319" s="290">
        <f t="shared" si="132"/>
        <v>0</v>
      </c>
      <c r="T319" s="290">
        <f t="shared" si="133"/>
        <v>0</v>
      </c>
      <c r="U319" s="291">
        <f t="shared" si="134"/>
        <v>0</v>
      </c>
      <c r="V319" s="291">
        <f t="shared" si="137"/>
        <v>0</v>
      </c>
      <c r="W319" s="265">
        <f t="shared" si="152"/>
        <v>0</v>
      </c>
      <c r="X319" s="291">
        <f t="shared" si="138"/>
        <v>0</v>
      </c>
      <c r="Y319" s="170">
        <f t="shared" si="135"/>
        <v>0</v>
      </c>
      <c r="Z319" s="291">
        <f t="shared" si="136"/>
        <v>0</v>
      </c>
      <c r="AC319" s="276">
        <f>IF(AI319=1,IF(AC318=MiscData!$F$1,EOMONTH(AC318,-11),EOMONTH(AC318,1)),AC318)</f>
        <v>41790</v>
      </c>
      <c r="AD319" s="275" t="str">
        <f t="shared" si="153"/>
        <v>20140101LGUM_318</v>
      </c>
      <c r="AE319" s="294" t="str">
        <f t="shared" si="154"/>
        <v>20140101RLS</v>
      </c>
      <c r="AF319" s="618" t="str">
        <f t="shared" si="139"/>
        <v>318</v>
      </c>
      <c r="AH319" s="265">
        <f>MiscData!$X$5</f>
        <v>20140101</v>
      </c>
      <c r="AI319" s="265">
        <f>IF(AI318+1&gt;MiscData!$AC$77,1,AI318+1)</f>
        <v>24</v>
      </c>
      <c r="AJ319" s="265" t="str">
        <f>VLOOKUP(AI319,MiscData!$AC$5:$AD$77,2,FALSE)</f>
        <v>LGUM_318</v>
      </c>
      <c r="AK319" s="265" t="str">
        <f>VLOOKUP(AJ319,MiscData!$AD$5:$AE$77,2,FALSE)</f>
        <v>RLS</v>
      </c>
      <c r="AT319" s="265" t="s">
        <v>207</v>
      </c>
      <c r="AV319" s="265">
        <v>5.26</v>
      </c>
    </row>
    <row r="320" spans="1:48">
      <c r="A320" s="275">
        <f t="shared" si="142"/>
        <v>317</v>
      </c>
      <c r="B320" s="276" t="str">
        <f t="shared" si="149"/>
        <v>May 2014</v>
      </c>
      <c r="C320" s="277" t="str">
        <f t="shared" si="150"/>
        <v>RLS</v>
      </c>
      <c r="D320" s="277" t="str">
        <f t="shared" si="151"/>
        <v>LGUM_347</v>
      </c>
      <c r="E320" s="614">
        <f t="shared" si="121"/>
        <v>0</v>
      </c>
      <c r="F320" s="615">
        <f t="shared" si="143"/>
        <v>0</v>
      </c>
      <c r="G320" s="614">
        <f t="shared" si="122"/>
        <v>0</v>
      </c>
      <c r="H320" s="615">
        <v>0</v>
      </c>
      <c r="I320" s="283">
        <f t="shared" si="123"/>
        <v>22.939999999999998</v>
      </c>
      <c r="J320" s="283">
        <f t="shared" si="124"/>
        <v>26.14</v>
      </c>
      <c r="K320" s="285">
        <f t="shared" si="125"/>
        <v>0</v>
      </c>
      <c r="L320" s="286">
        <f t="shared" si="126"/>
        <v>0</v>
      </c>
      <c r="M320" s="286">
        <f t="shared" si="127"/>
        <v>0</v>
      </c>
      <c r="N320" s="285">
        <f t="shared" si="128"/>
        <v>0</v>
      </c>
      <c r="O320" s="616">
        <f t="shared" si="144"/>
        <v>0</v>
      </c>
      <c r="P320" s="289">
        <f t="shared" si="129"/>
        <v>1</v>
      </c>
      <c r="Q320" s="290">
        <f t="shared" si="130"/>
        <v>0</v>
      </c>
      <c r="R320" s="290">
        <f t="shared" si="131"/>
        <v>0</v>
      </c>
      <c r="S320" s="290">
        <f t="shared" si="132"/>
        <v>0</v>
      </c>
      <c r="T320" s="290">
        <f t="shared" si="133"/>
        <v>0</v>
      </c>
      <c r="U320" s="291">
        <f t="shared" si="134"/>
        <v>0</v>
      </c>
      <c r="V320" s="291">
        <f t="shared" si="137"/>
        <v>0</v>
      </c>
      <c r="W320" s="265">
        <f t="shared" si="152"/>
        <v>0</v>
      </c>
      <c r="X320" s="291">
        <f t="shared" si="138"/>
        <v>0</v>
      </c>
      <c r="Y320" s="170">
        <f t="shared" si="135"/>
        <v>0</v>
      </c>
      <c r="Z320" s="291">
        <f t="shared" si="136"/>
        <v>0</v>
      </c>
      <c r="AC320" s="276">
        <f>IF(AI320=1,IF(AC319=MiscData!$F$1,EOMONTH(AC319,-11),EOMONTH(AC319,1)),AC319)</f>
        <v>41790</v>
      </c>
      <c r="AD320" s="275" t="str">
        <f t="shared" si="153"/>
        <v>20140101LGUM_347</v>
      </c>
      <c r="AE320" s="294" t="str">
        <f t="shared" si="154"/>
        <v>20140101RLS</v>
      </c>
      <c r="AF320" s="618" t="str">
        <f t="shared" si="139"/>
        <v>347</v>
      </c>
      <c r="AH320" s="265">
        <f>MiscData!$X$5</f>
        <v>20140101</v>
      </c>
      <c r="AI320" s="265">
        <f>IF(AI319+1&gt;MiscData!$AC$77,1,AI319+1)</f>
        <v>25</v>
      </c>
      <c r="AJ320" s="265" t="str">
        <f>VLOOKUP(AI320,MiscData!$AC$5:$AD$77,2,FALSE)</f>
        <v>LGUM_347</v>
      </c>
      <c r="AK320" s="265" t="str">
        <f>VLOOKUP(AJ320,MiscData!$AD$5:$AE$77,2,FALSE)</f>
        <v>RLS</v>
      </c>
      <c r="AT320" s="265" t="s">
        <v>208</v>
      </c>
      <c r="AV320" s="265">
        <v>-131.86000000000001</v>
      </c>
    </row>
    <row r="321" spans="1:48">
      <c r="A321" s="275">
        <f t="shared" si="142"/>
        <v>318</v>
      </c>
      <c r="B321" s="276" t="str">
        <f t="shared" si="149"/>
        <v>May 2014</v>
      </c>
      <c r="C321" s="277" t="str">
        <f t="shared" si="150"/>
        <v>RLS</v>
      </c>
      <c r="D321" s="277" t="str">
        <f t="shared" si="151"/>
        <v>LGUM_348</v>
      </c>
      <c r="E321" s="614">
        <f t="shared" si="121"/>
        <v>0</v>
      </c>
      <c r="F321" s="615">
        <f t="shared" si="143"/>
        <v>0</v>
      </c>
      <c r="G321" s="614">
        <f t="shared" si="122"/>
        <v>0</v>
      </c>
      <c r="H321" s="615">
        <v>0</v>
      </c>
      <c r="I321" s="283">
        <f t="shared" si="123"/>
        <v>13.12</v>
      </c>
      <c r="J321" s="283">
        <f t="shared" si="124"/>
        <v>2.9800000000000004</v>
      </c>
      <c r="K321" s="285">
        <f t="shared" si="125"/>
        <v>0</v>
      </c>
      <c r="L321" s="286">
        <f t="shared" si="126"/>
        <v>0</v>
      </c>
      <c r="M321" s="286">
        <f t="shared" si="127"/>
        <v>0</v>
      </c>
      <c r="N321" s="285">
        <f t="shared" si="128"/>
        <v>0</v>
      </c>
      <c r="O321" s="616">
        <f t="shared" si="144"/>
        <v>0</v>
      </c>
      <c r="P321" s="289">
        <f t="shared" si="129"/>
        <v>1</v>
      </c>
      <c r="Q321" s="290">
        <f t="shared" si="130"/>
        <v>0</v>
      </c>
      <c r="R321" s="290">
        <f t="shared" si="131"/>
        <v>0</v>
      </c>
      <c r="S321" s="290">
        <f t="shared" si="132"/>
        <v>0</v>
      </c>
      <c r="T321" s="290">
        <f t="shared" si="133"/>
        <v>0</v>
      </c>
      <c r="U321" s="291">
        <f t="shared" si="134"/>
        <v>0</v>
      </c>
      <c r="V321" s="291">
        <f t="shared" si="137"/>
        <v>0</v>
      </c>
      <c r="W321" s="265">
        <f t="shared" si="152"/>
        <v>0</v>
      </c>
      <c r="X321" s="291">
        <f t="shared" si="138"/>
        <v>0</v>
      </c>
      <c r="Y321" s="170">
        <f t="shared" si="135"/>
        <v>0</v>
      </c>
      <c r="Z321" s="291">
        <f t="shared" si="136"/>
        <v>0</v>
      </c>
      <c r="AC321" s="276">
        <f>IF(AI321=1,IF(AC320=MiscData!$F$1,EOMONTH(AC320,-11),EOMONTH(AC320,1)),AC320)</f>
        <v>41790</v>
      </c>
      <c r="AD321" s="275" t="str">
        <f t="shared" si="153"/>
        <v>20140101LGUM_348</v>
      </c>
      <c r="AE321" s="294" t="str">
        <f t="shared" si="154"/>
        <v>20140101RLS</v>
      </c>
      <c r="AF321" s="618" t="str">
        <f t="shared" si="139"/>
        <v>348</v>
      </c>
      <c r="AH321" s="265">
        <f>MiscData!$X$5</f>
        <v>20140101</v>
      </c>
      <c r="AI321" s="265">
        <f>IF(AI320+1&gt;MiscData!$AC$77,1,AI320+1)</f>
        <v>26</v>
      </c>
      <c r="AJ321" s="265" t="str">
        <f>VLOOKUP(AI321,MiscData!$AC$5:$AD$77,2,FALSE)</f>
        <v>LGUM_348</v>
      </c>
      <c r="AK321" s="265" t="str">
        <f>VLOOKUP(AJ321,MiscData!$AD$5:$AE$77,2,FALSE)</f>
        <v>RLS</v>
      </c>
      <c r="AT321" s="265" t="s">
        <v>209</v>
      </c>
      <c r="AV321" s="265">
        <v>0</v>
      </c>
    </row>
    <row r="322" spans="1:48">
      <c r="A322" s="275">
        <f t="shared" si="142"/>
        <v>319</v>
      </c>
      <c r="B322" s="276" t="str">
        <f t="shared" si="149"/>
        <v>May 2014</v>
      </c>
      <c r="C322" s="277" t="str">
        <f t="shared" si="150"/>
        <v>RLS</v>
      </c>
      <c r="D322" s="277" t="str">
        <f t="shared" si="151"/>
        <v>LGUM_349</v>
      </c>
      <c r="E322" s="614">
        <f t="shared" si="121"/>
        <v>0</v>
      </c>
      <c r="F322" s="615">
        <f t="shared" si="143"/>
        <v>0</v>
      </c>
      <c r="G322" s="614">
        <f t="shared" si="122"/>
        <v>0</v>
      </c>
      <c r="H322" s="615">
        <v>0</v>
      </c>
      <c r="I322" s="283">
        <f t="shared" si="123"/>
        <v>9.0200000000000014</v>
      </c>
      <c r="J322" s="283">
        <f t="shared" si="124"/>
        <v>0.91000000000000014</v>
      </c>
      <c r="K322" s="285">
        <f t="shared" si="125"/>
        <v>0</v>
      </c>
      <c r="L322" s="286">
        <f t="shared" si="126"/>
        <v>0</v>
      </c>
      <c r="M322" s="286">
        <f t="shared" si="127"/>
        <v>0</v>
      </c>
      <c r="N322" s="285">
        <f t="shared" si="128"/>
        <v>0</v>
      </c>
      <c r="O322" s="616">
        <f t="shared" si="144"/>
        <v>0</v>
      </c>
      <c r="P322" s="289">
        <f t="shared" si="129"/>
        <v>1</v>
      </c>
      <c r="Q322" s="290">
        <f t="shared" si="130"/>
        <v>0</v>
      </c>
      <c r="R322" s="290">
        <f t="shared" si="131"/>
        <v>0</v>
      </c>
      <c r="S322" s="290">
        <f t="shared" si="132"/>
        <v>0</v>
      </c>
      <c r="T322" s="290">
        <f t="shared" si="133"/>
        <v>0</v>
      </c>
      <c r="U322" s="291">
        <f t="shared" si="134"/>
        <v>0</v>
      </c>
      <c r="V322" s="291">
        <f t="shared" si="137"/>
        <v>0</v>
      </c>
      <c r="W322" s="265">
        <f t="shared" si="152"/>
        <v>0</v>
      </c>
      <c r="X322" s="291">
        <f t="shared" si="138"/>
        <v>0</v>
      </c>
      <c r="Y322" s="170">
        <f t="shared" si="135"/>
        <v>0</v>
      </c>
      <c r="Z322" s="291">
        <f t="shared" si="136"/>
        <v>0</v>
      </c>
      <c r="AC322" s="276">
        <f>IF(AI322=1,IF(AC321=MiscData!$F$1,EOMONTH(AC321,-11),EOMONTH(AC321,1)),AC321)</f>
        <v>41790</v>
      </c>
      <c r="AD322" s="275" t="str">
        <f t="shared" si="153"/>
        <v>20140101LGUM_349</v>
      </c>
      <c r="AE322" s="294" t="str">
        <f t="shared" si="154"/>
        <v>20140101RLS</v>
      </c>
      <c r="AF322" s="618" t="str">
        <f t="shared" si="139"/>
        <v>349</v>
      </c>
      <c r="AH322" s="265">
        <f>MiscData!$X$5</f>
        <v>20140101</v>
      </c>
      <c r="AI322" s="265">
        <f>IF(AI321+1&gt;MiscData!$AC$77,1,AI321+1)</f>
        <v>27</v>
      </c>
      <c r="AJ322" s="265" t="str">
        <f>VLOOKUP(AI322,MiscData!$AC$5:$AD$77,2,FALSE)</f>
        <v>LGUM_349</v>
      </c>
      <c r="AK322" s="265" t="str">
        <f>VLOOKUP(AJ322,MiscData!$AD$5:$AE$77,2,FALSE)</f>
        <v>RLS</v>
      </c>
      <c r="AT322" s="265" t="s">
        <v>210</v>
      </c>
      <c r="AV322" s="265">
        <v>0</v>
      </c>
    </row>
    <row r="323" spans="1:48">
      <c r="A323" s="275">
        <f t="shared" si="142"/>
        <v>320</v>
      </c>
      <c r="B323" s="276" t="str">
        <f t="shared" si="149"/>
        <v>May 2014</v>
      </c>
      <c r="C323" s="277" t="str">
        <f t="shared" si="150"/>
        <v xml:space="preserve">LS </v>
      </c>
      <c r="D323" s="277" t="str">
        <f t="shared" si="151"/>
        <v>LGUM_400</v>
      </c>
      <c r="E323" s="614">
        <f t="shared" si="121"/>
        <v>36</v>
      </c>
      <c r="F323" s="615">
        <f t="shared" si="143"/>
        <v>0</v>
      </c>
      <c r="G323" s="614">
        <f t="shared" si="122"/>
        <v>525</v>
      </c>
      <c r="H323" s="615">
        <v>0</v>
      </c>
      <c r="I323" s="283">
        <f t="shared" si="123"/>
        <v>23.89</v>
      </c>
      <c r="J323" s="283">
        <f t="shared" si="124"/>
        <v>1.0199999999999996</v>
      </c>
      <c r="K323" s="285">
        <f t="shared" si="125"/>
        <v>860.04</v>
      </c>
      <c r="L323" s="286">
        <f t="shared" si="126"/>
        <v>0</v>
      </c>
      <c r="M323" s="286">
        <f t="shared" si="127"/>
        <v>0</v>
      </c>
      <c r="N323" s="285">
        <f t="shared" si="128"/>
        <v>860.04</v>
      </c>
      <c r="O323" s="616">
        <f t="shared" si="144"/>
        <v>860.04000000000008</v>
      </c>
      <c r="P323" s="289">
        <f t="shared" si="129"/>
        <v>1.0000000000000002</v>
      </c>
      <c r="Q323" s="290">
        <f t="shared" si="130"/>
        <v>0.84</v>
      </c>
      <c r="R323" s="290">
        <f t="shared" si="131"/>
        <v>21.3</v>
      </c>
      <c r="S323" s="290">
        <f t="shared" si="132"/>
        <v>0</v>
      </c>
      <c r="T323" s="290">
        <f t="shared" si="133"/>
        <v>935.58</v>
      </c>
      <c r="U323" s="291">
        <f t="shared" si="134"/>
        <v>882.18</v>
      </c>
      <c r="V323" s="291">
        <f t="shared" si="137"/>
        <v>53.4</v>
      </c>
      <c r="W323" s="265">
        <f t="shared" si="152"/>
        <v>53.4</v>
      </c>
      <c r="X323" s="291">
        <f t="shared" si="138"/>
        <v>0</v>
      </c>
      <c r="Y323" s="170">
        <f t="shared" si="135"/>
        <v>36.72</v>
      </c>
      <c r="Z323" s="291">
        <f t="shared" si="136"/>
        <v>823.32</v>
      </c>
      <c r="AC323" s="276">
        <f>IF(AI323=1,IF(AC322=MiscData!$F$1,EOMONTH(AC322,-11),EOMONTH(AC322,1)),AC322)</f>
        <v>41790</v>
      </c>
      <c r="AD323" s="275" t="str">
        <f t="shared" si="153"/>
        <v>20140101LGUM_400</v>
      </c>
      <c r="AE323" s="294" t="str">
        <f t="shared" si="154"/>
        <v xml:space="preserve">20140101LS </v>
      </c>
      <c r="AF323" s="618" t="str">
        <f t="shared" si="139"/>
        <v>400</v>
      </c>
      <c r="AH323" s="265">
        <f>MiscData!$X$5</f>
        <v>20140101</v>
      </c>
      <c r="AI323" s="265">
        <f>IF(AI322+1&gt;MiscData!$AC$77,1,AI322+1)</f>
        <v>28</v>
      </c>
      <c r="AJ323" s="265" t="str">
        <f>VLOOKUP(AI323,MiscData!$AC$5:$AD$77,2,FALSE)</f>
        <v>LGUM_400</v>
      </c>
      <c r="AK323" s="265" t="str">
        <f>VLOOKUP(AJ323,MiscData!$AD$5:$AE$77,2,FALSE)</f>
        <v xml:space="preserve">LS </v>
      </c>
      <c r="AT323" s="265" t="s">
        <v>211</v>
      </c>
      <c r="AV323" s="265">
        <v>0</v>
      </c>
    </row>
    <row r="324" spans="1:48">
      <c r="A324" s="275">
        <f t="shared" si="142"/>
        <v>321</v>
      </c>
      <c r="B324" s="276" t="str">
        <f t="shared" si="149"/>
        <v>May 2014</v>
      </c>
      <c r="C324" s="277" t="str">
        <f t="shared" si="150"/>
        <v xml:space="preserve">LS </v>
      </c>
      <c r="D324" s="277" t="str">
        <f t="shared" si="151"/>
        <v>LGUM_401</v>
      </c>
      <c r="E324" s="614">
        <f t="shared" ref="E324:E387" si="155">SUMIFS(L_1055_Count_Total,L_1055_Revenue_Month,$B324,L_1055_RateCategory,$D324)</f>
        <v>4</v>
      </c>
      <c r="F324" s="615">
        <f t="shared" si="143"/>
        <v>0</v>
      </c>
      <c r="G324" s="614">
        <f t="shared" ref="G324:G387" si="156">SUMIFS(L_SBR_KWH,L_SBR_Revenue_Month,$B324,L_SBR_Rate_Category,$D324)</f>
        <v>115</v>
      </c>
      <c r="H324" s="615">
        <v>0</v>
      </c>
      <c r="I324" s="283">
        <f t="shared" ref="I324:I387" si="157">SUMIF(L_LightingRates_Tariff_Rate_Category,$AD324,L_LightingRates_UnitCharge)</f>
        <v>24.9</v>
      </c>
      <c r="J324" s="283">
        <f t="shared" ref="J324:J387" si="158">SUMIF(L_LightingRates_Tariff_Rate_Category,$AD324,L_LightingRates_FAC_Rate)</f>
        <v>1.0599999999999987</v>
      </c>
      <c r="K324" s="285">
        <f t="shared" ref="K324:K387" si="159">ROUND(($E324+$F324)*$I324,2)</f>
        <v>99.6</v>
      </c>
      <c r="L324" s="286">
        <f t="shared" ref="L324:L387" si="160">SUMIFS(L_1055_Revenue_Test_Period_Adj,L_1055_RateCategory,$D324,L_1055_Revenue_Month,$B324)+SUMIFS(L_1055_Revenue_OutOfPeriod,L_1055_RateCategory,$D324,L_1055_Revenue_Month,$B324)</f>
        <v>0</v>
      </c>
      <c r="M324" s="286">
        <f t="shared" ref="M324:M387" si="161">SUMIFS(L_1055_Revenue_OutOfPeriod,L_1055_RateCategory,$D324,L_1055_Revenue_Month,$B324)</f>
        <v>0</v>
      </c>
      <c r="N324" s="285">
        <f t="shared" ref="N324:N387" si="162">SUM(K324:M324)</f>
        <v>99.6</v>
      </c>
      <c r="O324" s="616">
        <f t="shared" si="144"/>
        <v>99.6</v>
      </c>
      <c r="P324" s="289">
        <f t="shared" ref="P324:P387" si="163">IF(AND(N324=0,O324=0),1,IF(N324=0,0,O324/N324))</f>
        <v>1</v>
      </c>
      <c r="Q324" s="290">
        <f t="shared" ref="Q324:Q387" si="164">SUMIFS(L_SBR_FAC,L_SBR_Revenue_Month,$B324,L_SBR_Rate_Category,$D324)</f>
        <v>0.18</v>
      </c>
      <c r="R324" s="290">
        <f t="shared" ref="R324:R387" si="165">SUMIFS(L_SBR_ECR,L_SBR_Revenue_Month,$B324,L_SBR_Rate_Category,$D324)</f>
        <v>2.3199999999999998</v>
      </c>
      <c r="S324" s="290">
        <f t="shared" ref="S324:S387" si="166">SUMIFS(L_SBR_MSR,L_SBR_Revenue_Month,$B324,L_SBR_Rate_Category,$D324)</f>
        <v>0</v>
      </c>
      <c r="T324" s="290">
        <f t="shared" ref="T324:T387" si="167">SUMIFS(L_SBR_Revenue_Total,L_SBR_Revenue_Month,$B324,L_SBR_Rate_Category,$D324)</f>
        <v>102.1</v>
      </c>
      <c r="U324" s="291">
        <f t="shared" ref="U324:U387" si="168">SUM(N324,Q324:S324)</f>
        <v>102.1</v>
      </c>
      <c r="V324" s="291">
        <f t="shared" si="137"/>
        <v>0</v>
      </c>
      <c r="W324" s="265">
        <f t="shared" ref="W324:W387" si="169">ROUND(SUMIFS(L_1055_Revenue_Poles_Test_Period,L_1055_Revenue_Month,$B324,L_1055_RateCategory,$D324),2)</f>
        <v>0</v>
      </c>
      <c r="X324" s="291">
        <f t="shared" si="138"/>
        <v>0</v>
      </c>
      <c r="Y324" s="170">
        <f t="shared" ref="Y324:Y387" si="170">ROUND(E324*J324,2)</f>
        <v>4.24</v>
      </c>
      <c r="Z324" s="291">
        <f t="shared" ref="Z324:Z387" si="171">O324-Y324</f>
        <v>95.36</v>
      </c>
      <c r="AC324" s="276">
        <f>IF(AI324=1,IF(AC323=MiscData!$F$1,EOMONTH(AC323,-11),EOMONTH(AC323,1)),AC323)</f>
        <v>41790</v>
      </c>
      <c r="AD324" s="275" t="str">
        <f t="shared" si="153"/>
        <v>20140101LGUM_401</v>
      </c>
      <c r="AE324" s="294" t="str">
        <f t="shared" si="154"/>
        <v xml:space="preserve">20140101LS </v>
      </c>
      <c r="AF324" s="618" t="str">
        <f t="shared" si="139"/>
        <v>401</v>
      </c>
      <c r="AH324" s="265">
        <f>MiscData!$X$5</f>
        <v>20140101</v>
      </c>
      <c r="AI324" s="265">
        <f>IF(AI323+1&gt;MiscData!$AC$77,1,AI323+1)</f>
        <v>29</v>
      </c>
      <c r="AJ324" s="265" t="str">
        <f>VLOOKUP(AI324,MiscData!$AC$5:$AD$77,2,FALSE)</f>
        <v>LGUM_401</v>
      </c>
      <c r="AK324" s="265" t="str">
        <f>VLOOKUP(AJ324,MiscData!$AD$5:$AE$77,2,FALSE)</f>
        <v xml:space="preserve">LS </v>
      </c>
      <c r="AT324" s="265" t="s">
        <v>212</v>
      </c>
      <c r="AV324" s="265">
        <v>0</v>
      </c>
    </row>
    <row r="325" spans="1:48">
      <c r="A325" s="275">
        <f t="shared" si="142"/>
        <v>322</v>
      </c>
      <c r="B325" s="276" t="str">
        <f t="shared" si="149"/>
        <v>May 2014</v>
      </c>
      <c r="C325" s="277" t="str">
        <f t="shared" si="150"/>
        <v xml:space="preserve">LS </v>
      </c>
      <c r="D325" s="277" t="str">
        <f t="shared" si="151"/>
        <v>LGUM_412</v>
      </c>
      <c r="E325" s="614">
        <f t="shared" si="155"/>
        <v>227</v>
      </c>
      <c r="F325" s="615">
        <f t="shared" si="143"/>
        <v>0</v>
      </c>
      <c r="G325" s="614">
        <f t="shared" si="156"/>
        <v>5359</v>
      </c>
      <c r="H325" s="615">
        <v>0</v>
      </c>
      <c r="I325" s="283">
        <f t="shared" si="157"/>
        <v>19.79</v>
      </c>
      <c r="J325" s="283">
        <f t="shared" si="158"/>
        <v>0.74999999999999645</v>
      </c>
      <c r="K325" s="285">
        <f t="shared" si="159"/>
        <v>4492.33</v>
      </c>
      <c r="L325" s="286">
        <f t="shared" si="160"/>
        <v>-15.170000000000073</v>
      </c>
      <c r="M325" s="286">
        <f t="shared" si="161"/>
        <v>0</v>
      </c>
      <c r="N325" s="285">
        <f t="shared" si="162"/>
        <v>4477.16</v>
      </c>
      <c r="O325" s="616">
        <f t="shared" si="144"/>
        <v>4477.16</v>
      </c>
      <c r="P325" s="289">
        <f t="shared" si="163"/>
        <v>1</v>
      </c>
      <c r="Q325" s="290">
        <f t="shared" si="164"/>
        <v>8.6199999999999992</v>
      </c>
      <c r="R325" s="290">
        <f t="shared" si="165"/>
        <v>104.47</v>
      </c>
      <c r="S325" s="290">
        <f t="shared" si="166"/>
        <v>0</v>
      </c>
      <c r="T325" s="290">
        <f t="shared" si="167"/>
        <v>4590.25</v>
      </c>
      <c r="U325" s="291">
        <f t="shared" si="168"/>
        <v>4590.25</v>
      </c>
      <c r="V325" s="291">
        <f t="shared" ref="V325:V388" si="172">ROUND(T325-U325,2)</f>
        <v>0</v>
      </c>
      <c r="W325" s="265">
        <f t="shared" si="169"/>
        <v>0</v>
      </c>
      <c r="X325" s="291">
        <f t="shared" ref="X325:X388" si="173">V325-W325</f>
        <v>0</v>
      </c>
      <c r="Y325" s="170">
        <f t="shared" si="170"/>
        <v>170.25</v>
      </c>
      <c r="Z325" s="291">
        <f t="shared" si="171"/>
        <v>4306.91</v>
      </c>
      <c r="AC325" s="276">
        <f>IF(AI325=1,IF(AC324=MiscData!$F$1,EOMONTH(AC324,-11),EOMONTH(AC324,1)),AC324)</f>
        <v>41790</v>
      </c>
      <c r="AD325" s="275" t="str">
        <f t="shared" si="153"/>
        <v>20140101LGUM_412</v>
      </c>
      <c r="AE325" s="294" t="str">
        <f t="shared" si="154"/>
        <v xml:space="preserve">20140101LS </v>
      </c>
      <c r="AF325" s="618" t="str">
        <f t="shared" ref="AF325:AF388" si="174">RIGHT(AJ325,3)</f>
        <v>412</v>
      </c>
      <c r="AH325" s="265">
        <f>MiscData!$X$5</f>
        <v>20140101</v>
      </c>
      <c r="AI325" s="265">
        <f>IF(AI324+1&gt;MiscData!$AC$77,1,AI324+1)</f>
        <v>30</v>
      </c>
      <c r="AJ325" s="265" t="str">
        <f>VLOOKUP(AI325,MiscData!$AC$5:$AD$77,2,FALSE)</f>
        <v>LGUM_412</v>
      </c>
      <c r="AK325" s="265" t="str">
        <f>VLOOKUP(AJ325,MiscData!$AD$5:$AE$77,2,FALSE)</f>
        <v xml:space="preserve">LS </v>
      </c>
      <c r="AT325" s="265" t="s">
        <v>213</v>
      </c>
      <c r="AV325" s="265">
        <v>0</v>
      </c>
    </row>
    <row r="326" spans="1:48">
      <c r="A326" s="275">
        <f t="shared" si="142"/>
        <v>323</v>
      </c>
      <c r="B326" s="276" t="str">
        <f t="shared" si="149"/>
        <v>May 2014</v>
      </c>
      <c r="C326" s="277" t="str">
        <f t="shared" si="150"/>
        <v xml:space="preserve">LS </v>
      </c>
      <c r="D326" s="277" t="str">
        <f t="shared" si="151"/>
        <v>LGUM_413</v>
      </c>
      <c r="E326" s="614">
        <f t="shared" si="155"/>
        <v>2056</v>
      </c>
      <c r="F326" s="615">
        <f t="shared" si="143"/>
        <v>0</v>
      </c>
      <c r="G326" s="614">
        <f t="shared" si="156"/>
        <v>69903</v>
      </c>
      <c r="H326" s="615">
        <v>0</v>
      </c>
      <c r="I326" s="283">
        <f t="shared" si="157"/>
        <v>20.49</v>
      </c>
      <c r="J326" s="283">
        <f t="shared" si="158"/>
        <v>1.0599999999999987</v>
      </c>
      <c r="K326" s="285">
        <f t="shared" si="159"/>
        <v>42127.44</v>
      </c>
      <c r="L326" s="286">
        <f t="shared" si="160"/>
        <v>-33.680000000000291</v>
      </c>
      <c r="M326" s="286">
        <f t="shared" si="161"/>
        <v>0</v>
      </c>
      <c r="N326" s="285">
        <f t="shared" si="162"/>
        <v>42093.760000000002</v>
      </c>
      <c r="O326" s="616">
        <f t="shared" si="144"/>
        <v>42093.760000000002</v>
      </c>
      <c r="P326" s="289">
        <f t="shared" si="163"/>
        <v>1</v>
      </c>
      <c r="Q326" s="290">
        <f t="shared" si="164"/>
        <v>111.69</v>
      </c>
      <c r="R326" s="290">
        <f t="shared" si="165"/>
        <v>982.11</v>
      </c>
      <c r="S326" s="290">
        <f t="shared" si="166"/>
        <v>0</v>
      </c>
      <c r="T326" s="290">
        <f t="shared" si="167"/>
        <v>43198.87</v>
      </c>
      <c r="U326" s="291">
        <f t="shared" si="168"/>
        <v>43187.560000000005</v>
      </c>
      <c r="V326" s="291">
        <f t="shared" si="172"/>
        <v>11.31</v>
      </c>
      <c r="W326" s="265">
        <f t="shared" si="169"/>
        <v>11.31</v>
      </c>
      <c r="X326" s="291">
        <f t="shared" si="173"/>
        <v>0</v>
      </c>
      <c r="Y326" s="170">
        <f t="shared" si="170"/>
        <v>2179.36</v>
      </c>
      <c r="Z326" s="291">
        <f t="shared" si="171"/>
        <v>39914.400000000001</v>
      </c>
      <c r="AC326" s="276">
        <f>IF(AI326=1,IF(AC325=MiscData!$F$1,EOMONTH(AC325,-11),EOMONTH(AC325,1)),AC325)</f>
        <v>41790</v>
      </c>
      <c r="AD326" s="275" t="str">
        <f t="shared" si="153"/>
        <v>20140101LGUM_413</v>
      </c>
      <c r="AE326" s="294" t="str">
        <f t="shared" si="154"/>
        <v xml:space="preserve">20140101LS </v>
      </c>
      <c r="AF326" s="618" t="str">
        <f t="shared" si="174"/>
        <v>413</v>
      </c>
      <c r="AH326" s="265">
        <f>MiscData!$X$5</f>
        <v>20140101</v>
      </c>
      <c r="AI326" s="265">
        <f>IF(AI325+1&gt;MiscData!$AC$77,1,AI325+1)</f>
        <v>31</v>
      </c>
      <c r="AJ326" s="265" t="str">
        <f>VLOOKUP(AI326,MiscData!$AC$5:$AD$77,2,FALSE)</f>
        <v>LGUM_413</v>
      </c>
      <c r="AK326" s="265" t="str">
        <f>VLOOKUP(AJ326,MiscData!$AD$5:$AE$77,2,FALSE)</f>
        <v xml:space="preserve">LS </v>
      </c>
      <c r="AT326" s="265" t="s">
        <v>522</v>
      </c>
      <c r="AV326" s="265">
        <v>0</v>
      </c>
    </row>
    <row r="327" spans="1:48">
      <c r="A327" s="275">
        <f t="shared" ref="A327:A390" si="175">A326+1</f>
        <v>324</v>
      </c>
      <c r="B327" s="276" t="str">
        <f t="shared" si="149"/>
        <v>May 2014</v>
      </c>
      <c r="C327" s="277" t="str">
        <f t="shared" si="150"/>
        <v xml:space="preserve">LS </v>
      </c>
      <c r="D327" s="277" t="str">
        <f t="shared" si="151"/>
        <v>LGUM_415</v>
      </c>
      <c r="E327" s="614">
        <f t="shared" si="155"/>
        <v>38</v>
      </c>
      <c r="F327" s="615">
        <f t="shared" si="143"/>
        <v>0</v>
      </c>
      <c r="G327" s="614">
        <f t="shared" si="156"/>
        <v>942</v>
      </c>
      <c r="H327" s="615">
        <v>0</v>
      </c>
      <c r="I327" s="283">
        <f t="shared" si="157"/>
        <v>20.18</v>
      </c>
      <c r="J327" s="283">
        <f t="shared" si="158"/>
        <v>0.75</v>
      </c>
      <c r="K327" s="285">
        <f t="shared" si="159"/>
        <v>766.84</v>
      </c>
      <c r="L327" s="286">
        <f t="shared" si="160"/>
        <v>0</v>
      </c>
      <c r="M327" s="286">
        <f t="shared" si="161"/>
        <v>0</v>
      </c>
      <c r="N327" s="285">
        <f t="shared" si="162"/>
        <v>766.84</v>
      </c>
      <c r="O327" s="616">
        <f t="shared" si="144"/>
        <v>766.83999999999992</v>
      </c>
      <c r="P327" s="289">
        <f t="shared" si="163"/>
        <v>0.99999999999999989</v>
      </c>
      <c r="Q327" s="290">
        <f t="shared" si="164"/>
        <v>1.53</v>
      </c>
      <c r="R327" s="290">
        <f t="shared" si="165"/>
        <v>17.78</v>
      </c>
      <c r="S327" s="290">
        <f t="shared" si="166"/>
        <v>0</v>
      </c>
      <c r="T327" s="290">
        <f t="shared" si="167"/>
        <v>786.15</v>
      </c>
      <c r="U327" s="291">
        <f t="shared" si="168"/>
        <v>786.15</v>
      </c>
      <c r="V327" s="291">
        <f t="shared" si="172"/>
        <v>0</v>
      </c>
      <c r="W327" s="265">
        <f t="shared" si="169"/>
        <v>0</v>
      </c>
      <c r="X327" s="291">
        <f t="shared" si="173"/>
        <v>0</v>
      </c>
      <c r="Y327" s="170">
        <f t="shared" si="170"/>
        <v>28.5</v>
      </c>
      <c r="Z327" s="291">
        <f t="shared" si="171"/>
        <v>738.33999999999992</v>
      </c>
      <c r="AC327" s="276">
        <f>IF(AI327=1,IF(AC326=MiscData!$F$1,EOMONTH(AC326,-11),EOMONTH(AC326,1)),AC326)</f>
        <v>41790</v>
      </c>
      <c r="AD327" s="275" t="str">
        <f t="shared" si="153"/>
        <v>20140101LGUM_415</v>
      </c>
      <c r="AE327" s="294" t="str">
        <f t="shared" si="154"/>
        <v xml:space="preserve">20140101LS </v>
      </c>
      <c r="AF327" s="618" t="str">
        <f t="shared" si="174"/>
        <v>415</v>
      </c>
      <c r="AH327" s="265">
        <f>MiscData!$X$5</f>
        <v>20140101</v>
      </c>
      <c r="AI327" s="265">
        <f>IF(AI326+1&gt;MiscData!$AC$77,1,AI326+1)</f>
        <v>32</v>
      </c>
      <c r="AJ327" s="265" t="str">
        <f>VLOOKUP(AI327,MiscData!$AC$5:$AD$77,2,FALSE)</f>
        <v>LGUM_415</v>
      </c>
      <c r="AK327" s="265" t="str">
        <f>VLOOKUP(AJ327,MiscData!$AD$5:$AE$77,2,FALSE)</f>
        <v xml:space="preserve">LS </v>
      </c>
      <c r="AT327" s="265" t="s">
        <v>526</v>
      </c>
      <c r="AV327" s="265">
        <v>0</v>
      </c>
    </row>
    <row r="328" spans="1:48">
      <c r="A328" s="275">
        <f t="shared" si="175"/>
        <v>325</v>
      </c>
      <c r="B328" s="276" t="str">
        <f t="shared" si="149"/>
        <v>May 2014</v>
      </c>
      <c r="C328" s="277" t="str">
        <f t="shared" si="150"/>
        <v xml:space="preserve">LS </v>
      </c>
      <c r="D328" s="277" t="str">
        <f t="shared" si="151"/>
        <v>LGUM_416</v>
      </c>
      <c r="E328" s="614">
        <f t="shared" si="155"/>
        <v>1864</v>
      </c>
      <c r="F328" s="615">
        <f t="shared" si="143"/>
        <v>0</v>
      </c>
      <c r="G328" s="614">
        <f t="shared" si="156"/>
        <v>63796</v>
      </c>
      <c r="H328" s="615">
        <v>0</v>
      </c>
      <c r="I328" s="283">
        <f t="shared" si="157"/>
        <v>22.56</v>
      </c>
      <c r="J328" s="283">
        <f t="shared" si="158"/>
        <v>1.0599999999999987</v>
      </c>
      <c r="K328" s="285">
        <f t="shared" si="159"/>
        <v>42051.839999999997</v>
      </c>
      <c r="L328" s="286">
        <f t="shared" si="160"/>
        <v>-248.91000000000349</v>
      </c>
      <c r="M328" s="286">
        <f t="shared" si="161"/>
        <v>0</v>
      </c>
      <c r="N328" s="285">
        <f t="shared" si="162"/>
        <v>41802.929999999993</v>
      </c>
      <c r="O328" s="616">
        <f t="shared" si="144"/>
        <v>41802.93</v>
      </c>
      <c r="P328" s="289">
        <f t="shared" si="163"/>
        <v>1.0000000000000002</v>
      </c>
      <c r="Q328" s="290">
        <f t="shared" si="164"/>
        <v>102.04</v>
      </c>
      <c r="R328" s="290">
        <f t="shared" si="165"/>
        <v>976.39</v>
      </c>
      <c r="S328" s="290">
        <f t="shared" si="166"/>
        <v>0</v>
      </c>
      <c r="T328" s="290">
        <f t="shared" si="167"/>
        <v>42900.91</v>
      </c>
      <c r="U328" s="291">
        <f t="shared" si="168"/>
        <v>42881.359999999993</v>
      </c>
      <c r="V328" s="291">
        <f t="shared" si="172"/>
        <v>19.55</v>
      </c>
      <c r="W328" s="265">
        <f t="shared" si="169"/>
        <v>19.55</v>
      </c>
      <c r="X328" s="291">
        <f t="shared" si="173"/>
        <v>0</v>
      </c>
      <c r="Y328" s="170">
        <f t="shared" si="170"/>
        <v>1975.84</v>
      </c>
      <c r="Z328" s="291">
        <f t="shared" si="171"/>
        <v>39827.090000000004</v>
      </c>
      <c r="AC328" s="276">
        <f>IF(AI328=1,IF(AC327=MiscData!$F$1,EOMONTH(AC327,-11),EOMONTH(AC327,1)),AC327)</f>
        <v>41790</v>
      </c>
      <c r="AD328" s="275" t="str">
        <f t="shared" si="153"/>
        <v>20140101LGUM_416</v>
      </c>
      <c r="AE328" s="294" t="str">
        <f t="shared" si="154"/>
        <v xml:space="preserve">20140101LS </v>
      </c>
      <c r="AF328" s="618" t="str">
        <f t="shared" si="174"/>
        <v>416</v>
      </c>
      <c r="AH328" s="265">
        <f>MiscData!$X$5</f>
        <v>20140101</v>
      </c>
      <c r="AI328" s="265">
        <f>IF(AI327+1&gt;MiscData!$AC$77,1,AI327+1)</f>
        <v>33</v>
      </c>
      <c r="AJ328" s="265" t="str">
        <f>VLOOKUP(AI328,MiscData!$AC$5:$AD$77,2,FALSE)</f>
        <v>LGUM_416</v>
      </c>
      <c r="AK328" s="265" t="str">
        <f>VLOOKUP(AJ328,MiscData!$AD$5:$AE$77,2,FALSE)</f>
        <v xml:space="preserve">LS </v>
      </c>
      <c r="AT328" s="265" t="s">
        <v>214</v>
      </c>
      <c r="AV328" s="265">
        <v>-4.83</v>
      </c>
    </row>
    <row r="329" spans="1:48">
      <c r="A329" s="275">
        <f t="shared" si="175"/>
        <v>326</v>
      </c>
      <c r="B329" s="276" t="str">
        <f t="shared" si="149"/>
        <v>May 2014</v>
      </c>
      <c r="C329" s="277" t="str">
        <f t="shared" si="150"/>
        <v>RLS</v>
      </c>
      <c r="D329" s="277" t="str">
        <f t="shared" si="151"/>
        <v>LGUM_417</v>
      </c>
      <c r="E329" s="614">
        <f t="shared" si="155"/>
        <v>40</v>
      </c>
      <c r="F329" s="615">
        <f t="shared" si="143"/>
        <v>0</v>
      </c>
      <c r="G329" s="614">
        <f t="shared" si="156"/>
        <v>1350</v>
      </c>
      <c r="H329" s="615">
        <v>0</v>
      </c>
      <c r="I329" s="283">
        <f t="shared" si="157"/>
        <v>23.68</v>
      </c>
      <c r="J329" s="283">
        <f t="shared" si="158"/>
        <v>1.0300000000000011</v>
      </c>
      <c r="K329" s="285">
        <f t="shared" si="159"/>
        <v>947.2</v>
      </c>
      <c r="L329" s="286">
        <f t="shared" si="160"/>
        <v>0</v>
      </c>
      <c r="M329" s="286">
        <f t="shared" si="161"/>
        <v>0</v>
      </c>
      <c r="N329" s="285">
        <f t="shared" si="162"/>
        <v>947.2</v>
      </c>
      <c r="O329" s="616">
        <f t="shared" si="144"/>
        <v>947.2</v>
      </c>
      <c r="P329" s="289">
        <f t="shared" si="163"/>
        <v>1</v>
      </c>
      <c r="Q329" s="290">
        <f t="shared" si="164"/>
        <v>2.16</v>
      </c>
      <c r="R329" s="290">
        <f t="shared" si="165"/>
        <v>22.12</v>
      </c>
      <c r="S329" s="290">
        <f t="shared" si="166"/>
        <v>0</v>
      </c>
      <c r="T329" s="290">
        <f t="shared" si="167"/>
        <v>971.48</v>
      </c>
      <c r="U329" s="291">
        <f t="shared" si="168"/>
        <v>971.48</v>
      </c>
      <c r="V329" s="291">
        <f t="shared" si="172"/>
        <v>0</v>
      </c>
      <c r="W329" s="265">
        <f t="shared" si="169"/>
        <v>0</v>
      </c>
      <c r="X329" s="291">
        <f t="shared" si="173"/>
        <v>0</v>
      </c>
      <c r="Y329" s="170">
        <f t="shared" si="170"/>
        <v>41.2</v>
      </c>
      <c r="Z329" s="291">
        <f t="shared" si="171"/>
        <v>906</v>
      </c>
      <c r="AC329" s="276">
        <f>IF(AI329=1,IF(AC328=MiscData!$F$1,EOMONTH(AC328,-11),EOMONTH(AC328,1)),AC328)</f>
        <v>41790</v>
      </c>
      <c r="AD329" s="275" t="str">
        <f t="shared" si="153"/>
        <v>20140101LGUM_417</v>
      </c>
      <c r="AE329" s="294" t="str">
        <f t="shared" si="154"/>
        <v>20140101RLS</v>
      </c>
      <c r="AF329" s="618" t="str">
        <f t="shared" si="174"/>
        <v>417</v>
      </c>
      <c r="AH329" s="265">
        <f>MiscData!$X$5</f>
        <v>20140101</v>
      </c>
      <c r="AI329" s="265">
        <f>IF(AI328+1&gt;MiscData!$AC$77,1,AI328+1)</f>
        <v>34</v>
      </c>
      <c r="AJ329" s="265" t="str">
        <f>VLOOKUP(AI329,MiscData!$AC$5:$AD$77,2,FALSE)</f>
        <v>LGUM_417</v>
      </c>
      <c r="AK329" s="265" t="str">
        <f>VLOOKUP(AJ329,MiscData!$AD$5:$AE$77,2,FALSE)</f>
        <v>RLS</v>
      </c>
      <c r="AT329" s="265" t="s">
        <v>215</v>
      </c>
      <c r="AV329" s="265">
        <v>-5.17</v>
      </c>
    </row>
    <row r="330" spans="1:48">
      <c r="A330" s="275">
        <f t="shared" si="175"/>
        <v>327</v>
      </c>
      <c r="B330" s="276" t="str">
        <f t="shared" si="149"/>
        <v>May 2014</v>
      </c>
      <c r="C330" s="277" t="str">
        <f t="shared" si="150"/>
        <v>RLS</v>
      </c>
      <c r="D330" s="277" t="str">
        <f t="shared" si="151"/>
        <v>LGUM_419</v>
      </c>
      <c r="E330" s="614">
        <f t="shared" si="155"/>
        <v>113</v>
      </c>
      <c r="F330" s="615">
        <f t="shared" si="143"/>
        <v>0</v>
      </c>
      <c r="G330" s="614">
        <f t="shared" si="156"/>
        <v>6131</v>
      </c>
      <c r="H330" s="615">
        <v>0</v>
      </c>
      <c r="I330" s="283">
        <f t="shared" si="157"/>
        <v>24.77</v>
      </c>
      <c r="J330" s="283">
        <f t="shared" si="158"/>
        <v>1.6499999999999986</v>
      </c>
      <c r="K330" s="285">
        <f t="shared" si="159"/>
        <v>2799.01</v>
      </c>
      <c r="L330" s="286">
        <f t="shared" si="160"/>
        <v>0</v>
      </c>
      <c r="M330" s="286">
        <f t="shared" si="161"/>
        <v>0</v>
      </c>
      <c r="N330" s="285">
        <f t="shared" si="162"/>
        <v>2799.01</v>
      </c>
      <c r="O330" s="616">
        <f t="shared" si="144"/>
        <v>2799.0099999999998</v>
      </c>
      <c r="P330" s="289">
        <f t="shared" si="163"/>
        <v>0.99999999999999989</v>
      </c>
      <c r="Q330" s="290">
        <f t="shared" si="164"/>
        <v>9.81</v>
      </c>
      <c r="R330" s="290">
        <f t="shared" si="165"/>
        <v>65.45</v>
      </c>
      <c r="S330" s="290">
        <f t="shared" si="166"/>
        <v>0</v>
      </c>
      <c r="T330" s="290">
        <f t="shared" si="167"/>
        <v>2874.27</v>
      </c>
      <c r="U330" s="291">
        <f t="shared" si="168"/>
        <v>2874.27</v>
      </c>
      <c r="V330" s="291">
        <f t="shared" si="172"/>
        <v>0</v>
      </c>
      <c r="W330" s="265">
        <f t="shared" si="169"/>
        <v>0</v>
      </c>
      <c r="X330" s="291">
        <f t="shared" si="173"/>
        <v>0</v>
      </c>
      <c r="Y330" s="170">
        <f t="shared" si="170"/>
        <v>186.45</v>
      </c>
      <c r="Z330" s="291">
        <f t="shared" si="171"/>
        <v>2612.56</v>
      </c>
      <c r="AC330" s="276">
        <f>IF(AI330=1,IF(AC329=MiscData!$F$1,EOMONTH(AC329,-11),EOMONTH(AC329,1)),AC329)</f>
        <v>41790</v>
      </c>
      <c r="AD330" s="275" t="str">
        <f t="shared" si="153"/>
        <v>20140101LGUM_419</v>
      </c>
      <c r="AE330" s="294" t="str">
        <f t="shared" si="154"/>
        <v>20140101RLS</v>
      </c>
      <c r="AF330" s="618" t="str">
        <f t="shared" si="174"/>
        <v>419</v>
      </c>
      <c r="AH330" s="265">
        <f>MiscData!$X$5</f>
        <v>20140101</v>
      </c>
      <c r="AI330" s="265">
        <f>IF(AI329+1&gt;MiscData!$AC$77,1,AI329+1)</f>
        <v>35</v>
      </c>
      <c r="AJ330" s="265" t="str">
        <f>VLOOKUP(AI330,MiscData!$AC$5:$AD$77,2,FALSE)</f>
        <v>LGUM_419</v>
      </c>
      <c r="AK330" s="265" t="str">
        <f>VLOOKUP(AJ330,MiscData!$AD$5:$AE$77,2,FALSE)</f>
        <v>RLS</v>
      </c>
      <c r="AT330" s="265" t="s">
        <v>216</v>
      </c>
      <c r="AV330" s="265">
        <v>0</v>
      </c>
    </row>
    <row r="331" spans="1:48">
      <c r="A331" s="275">
        <f t="shared" si="175"/>
        <v>328</v>
      </c>
      <c r="B331" s="276" t="str">
        <f t="shared" si="149"/>
        <v>May 2014</v>
      </c>
      <c r="C331" s="277" t="str">
        <f t="shared" si="150"/>
        <v xml:space="preserve">LS </v>
      </c>
      <c r="D331" s="277" t="str">
        <f t="shared" si="151"/>
        <v>LGUM_420</v>
      </c>
      <c r="E331" s="614">
        <f t="shared" si="155"/>
        <v>54</v>
      </c>
      <c r="F331" s="615">
        <f t="shared" si="143"/>
        <v>0</v>
      </c>
      <c r="G331" s="614">
        <f t="shared" si="156"/>
        <v>2833</v>
      </c>
      <c r="H331" s="615">
        <v>0</v>
      </c>
      <c r="I331" s="283">
        <f t="shared" si="157"/>
        <v>29.889999999999997</v>
      </c>
      <c r="J331" s="283">
        <f t="shared" si="158"/>
        <v>1.6499999999999986</v>
      </c>
      <c r="K331" s="285">
        <f t="shared" si="159"/>
        <v>1614.06</v>
      </c>
      <c r="L331" s="286">
        <f t="shared" si="160"/>
        <v>0</v>
      </c>
      <c r="M331" s="286">
        <f t="shared" si="161"/>
        <v>0</v>
      </c>
      <c r="N331" s="285">
        <f t="shared" si="162"/>
        <v>1614.06</v>
      </c>
      <c r="O331" s="616">
        <f t="shared" si="144"/>
        <v>1614.06</v>
      </c>
      <c r="P331" s="289">
        <f t="shared" si="163"/>
        <v>1</v>
      </c>
      <c r="Q331" s="290">
        <f t="shared" si="164"/>
        <v>4.5199999999999996</v>
      </c>
      <c r="R331" s="290">
        <f t="shared" si="165"/>
        <v>37.74</v>
      </c>
      <c r="S331" s="290">
        <f t="shared" si="166"/>
        <v>0</v>
      </c>
      <c r="T331" s="290">
        <f t="shared" si="167"/>
        <v>1656.32</v>
      </c>
      <c r="U331" s="291">
        <f t="shared" si="168"/>
        <v>1656.32</v>
      </c>
      <c r="V331" s="291">
        <f t="shared" si="172"/>
        <v>0</v>
      </c>
      <c r="W331" s="265">
        <f t="shared" si="169"/>
        <v>0</v>
      </c>
      <c r="X331" s="291">
        <f t="shared" si="173"/>
        <v>0</v>
      </c>
      <c r="Y331" s="170">
        <f t="shared" si="170"/>
        <v>89.1</v>
      </c>
      <c r="Z331" s="291">
        <f t="shared" si="171"/>
        <v>1524.96</v>
      </c>
      <c r="AC331" s="276">
        <f>IF(AI331=1,IF(AC330=MiscData!$F$1,EOMONTH(AC330,-11),EOMONTH(AC330,1)),AC330)</f>
        <v>41790</v>
      </c>
      <c r="AD331" s="275" t="str">
        <f t="shared" si="153"/>
        <v>20140101LGUM_420</v>
      </c>
      <c r="AE331" s="294" t="str">
        <f t="shared" si="154"/>
        <v xml:space="preserve">20140101LS </v>
      </c>
      <c r="AF331" s="618" t="str">
        <f t="shared" si="174"/>
        <v>420</v>
      </c>
      <c r="AH331" s="265">
        <f>MiscData!$X$5</f>
        <v>20140101</v>
      </c>
      <c r="AI331" s="265">
        <f>IF(AI330+1&gt;MiscData!$AC$77,1,AI330+1)</f>
        <v>36</v>
      </c>
      <c r="AJ331" s="265" t="str">
        <f>VLOOKUP(AI331,MiscData!$AC$5:$AD$77,2,FALSE)</f>
        <v>LGUM_420</v>
      </c>
      <c r="AK331" s="265" t="str">
        <f>VLOOKUP(AJ331,MiscData!$AD$5:$AE$77,2,FALSE)</f>
        <v xml:space="preserve">LS </v>
      </c>
      <c r="AT331" s="265" t="s">
        <v>217</v>
      </c>
      <c r="AV331" s="265">
        <v>0</v>
      </c>
    </row>
    <row r="332" spans="1:48">
      <c r="A332" s="275">
        <f t="shared" si="175"/>
        <v>329</v>
      </c>
      <c r="B332" s="276" t="str">
        <f t="shared" si="149"/>
        <v>May 2014</v>
      </c>
      <c r="C332" s="277" t="str">
        <f t="shared" si="150"/>
        <v xml:space="preserve">LS </v>
      </c>
      <c r="D332" s="277" t="str">
        <f t="shared" si="151"/>
        <v>LGUM_421</v>
      </c>
      <c r="E332" s="614">
        <f t="shared" si="155"/>
        <v>176</v>
      </c>
      <c r="F332" s="615">
        <f t="shared" si="143"/>
        <v>0</v>
      </c>
      <c r="G332" s="614">
        <f t="shared" si="156"/>
        <v>14856</v>
      </c>
      <c r="H332" s="615">
        <v>0</v>
      </c>
      <c r="I332" s="283">
        <f t="shared" si="157"/>
        <v>32.860000000000007</v>
      </c>
      <c r="J332" s="283">
        <f t="shared" si="158"/>
        <v>2.6700000000000017</v>
      </c>
      <c r="K332" s="285">
        <f t="shared" si="159"/>
        <v>5783.36</v>
      </c>
      <c r="L332" s="286">
        <f t="shared" si="160"/>
        <v>0</v>
      </c>
      <c r="M332" s="286">
        <f t="shared" si="161"/>
        <v>0</v>
      </c>
      <c r="N332" s="285">
        <f t="shared" si="162"/>
        <v>5783.36</v>
      </c>
      <c r="O332" s="616">
        <f t="shared" si="144"/>
        <v>5783.3600000000006</v>
      </c>
      <c r="P332" s="289">
        <f t="shared" si="163"/>
        <v>1.0000000000000002</v>
      </c>
      <c r="Q332" s="290">
        <f t="shared" si="164"/>
        <v>23.79</v>
      </c>
      <c r="R332" s="290">
        <f t="shared" si="165"/>
        <v>135.19999999999999</v>
      </c>
      <c r="S332" s="290">
        <f t="shared" si="166"/>
        <v>0</v>
      </c>
      <c r="T332" s="290">
        <f t="shared" si="167"/>
        <v>5942.35</v>
      </c>
      <c r="U332" s="291">
        <f t="shared" si="168"/>
        <v>5942.3499999999995</v>
      </c>
      <c r="V332" s="291">
        <f t="shared" si="172"/>
        <v>0</v>
      </c>
      <c r="W332" s="265">
        <f t="shared" si="169"/>
        <v>0</v>
      </c>
      <c r="X332" s="291">
        <f t="shared" si="173"/>
        <v>0</v>
      </c>
      <c r="Y332" s="170">
        <f t="shared" si="170"/>
        <v>469.92</v>
      </c>
      <c r="Z332" s="291">
        <f t="shared" si="171"/>
        <v>5313.4400000000005</v>
      </c>
      <c r="AC332" s="276">
        <f>IF(AI332=1,IF(AC331=MiscData!$F$1,EOMONTH(AC331,-11),EOMONTH(AC331,1)),AC331)</f>
        <v>41790</v>
      </c>
      <c r="AD332" s="275" t="str">
        <f t="shared" si="153"/>
        <v>20140101LGUM_421</v>
      </c>
      <c r="AE332" s="294" t="str">
        <f t="shared" si="154"/>
        <v xml:space="preserve">20140101LS </v>
      </c>
      <c r="AF332" s="618" t="str">
        <f t="shared" si="174"/>
        <v>421</v>
      </c>
      <c r="AH332" s="265">
        <f>MiscData!$X$5</f>
        <v>20140101</v>
      </c>
      <c r="AI332" s="265">
        <f>IF(AI331+1&gt;MiscData!$AC$77,1,AI331+1)</f>
        <v>37</v>
      </c>
      <c r="AJ332" s="265" t="str">
        <f>VLOOKUP(AI332,MiscData!$AC$5:$AD$77,2,FALSE)</f>
        <v>LGUM_421</v>
      </c>
      <c r="AK332" s="265" t="str">
        <f>VLOOKUP(AJ332,MiscData!$AD$5:$AE$77,2,FALSE)</f>
        <v xml:space="preserve">LS </v>
      </c>
      <c r="AT332" s="265" t="s">
        <v>536</v>
      </c>
      <c r="AV332" s="265">
        <v>0</v>
      </c>
    </row>
    <row r="333" spans="1:48">
      <c r="A333" s="275">
        <f t="shared" si="175"/>
        <v>330</v>
      </c>
      <c r="B333" s="276" t="str">
        <f t="shared" si="149"/>
        <v>May 2014</v>
      </c>
      <c r="C333" s="277" t="str">
        <f t="shared" si="150"/>
        <v xml:space="preserve">LS </v>
      </c>
      <c r="D333" s="277" t="str">
        <f t="shared" si="151"/>
        <v>LGUM_422</v>
      </c>
      <c r="E333" s="614">
        <f t="shared" si="155"/>
        <v>391</v>
      </c>
      <c r="F333" s="615">
        <f t="shared" si="143"/>
        <v>0</v>
      </c>
      <c r="G333" s="614">
        <f t="shared" si="156"/>
        <v>54304</v>
      </c>
      <c r="H333" s="615">
        <v>0</v>
      </c>
      <c r="I333" s="283">
        <f t="shared" si="157"/>
        <v>38.389999999999993</v>
      </c>
      <c r="J333" s="283">
        <f t="shared" si="158"/>
        <v>4.279999999999994</v>
      </c>
      <c r="K333" s="285">
        <f t="shared" si="159"/>
        <v>15010.49</v>
      </c>
      <c r="L333" s="286">
        <f t="shared" si="160"/>
        <v>-63.670000000000073</v>
      </c>
      <c r="M333" s="286">
        <f t="shared" si="161"/>
        <v>0</v>
      </c>
      <c r="N333" s="285">
        <f t="shared" si="162"/>
        <v>14946.82</v>
      </c>
      <c r="O333" s="616">
        <f t="shared" si="144"/>
        <v>14946.82</v>
      </c>
      <c r="P333" s="289">
        <f t="shared" si="163"/>
        <v>1</v>
      </c>
      <c r="Q333" s="290">
        <f t="shared" si="164"/>
        <v>86.78</v>
      </c>
      <c r="R333" s="290">
        <f t="shared" si="165"/>
        <v>349.66</v>
      </c>
      <c r="S333" s="290">
        <f t="shared" si="166"/>
        <v>0</v>
      </c>
      <c r="T333" s="290">
        <f t="shared" si="167"/>
        <v>15383.26</v>
      </c>
      <c r="U333" s="291">
        <f t="shared" si="168"/>
        <v>15383.26</v>
      </c>
      <c r="V333" s="291">
        <f t="shared" si="172"/>
        <v>0</v>
      </c>
      <c r="W333" s="265">
        <f t="shared" si="169"/>
        <v>0</v>
      </c>
      <c r="X333" s="291">
        <f t="shared" si="173"/>
        <v>0</v>
      </c>
      <c r="Y333" s="170">
        <f t="shared" si="170"/>
        <v>1673.48</v>
      </c>
      <c r="Z333" s="291">
        <f t="shared" si="171"/>
        <v>13273.34</v>
      </c>
      <c r="AC333" s="276">
        <f>IF(AI333=1,IF(AC332=MiscData!$F$1,EOMONTH(AC332,-11),EOMONTH(AC332,1)),AC332)</f>
        <v>41790</v>
      </c>
      <c r="AD333" s="275" t="str">
        <f t="shared" si="153"/>
        <v>20140101LGUM_422</v>
      </c>
      <c r="AE333" s="294" t="str">
        <f t="shared" si="154"/>
        <v xml:space="preserve">20140101LS </v>
      </c>
      <c r="AF333" s="618" t="str">
        <f t="shared" si="174"/>
        <v>422</v>
      </c>
      <c r="AH333" s="265">
        <f>MiscData!$X$5</f>
        <v>20140101</v>
      </c>
      <c r="AI333" s="265">
        <f>IF(AI332+1&gt;MiscData!$AC$77,1,AI332+1)</f>
        <v>38</v>
      </c>
      <c r="AJ333" s="265" t="str">
        <f>VLOOKUP(AI333,MiscData!$AC$5:$AD$77,2,FALSE)</f>
        <v>LGUM_422</v>
      </c>
      <c r="AK333" s="265" t="str">
        <f>VLOOKUP(AJ333,MiscData!$AD$5:$AE$77,2,FALSE)</f>
        <v xml:space="preserve">LS </v>
      </c>
      <c r="AT333" s="265" t="s">
        <v>218</v>
      </c>
      <c r="AV333" s="265">
        <v>-9.0500000000000007</v>
      </c>
    </row>
    <row r="334" spans="1:48">
      <c r="A334" s="275">
        <f t="shared" si="175"/>
        <v>331</v>
      </c>
      <c r="B334" s="276" t="str">
        <f t="shared" si="149"/>
        <v>May 2014</v>
      </c>
      <c r="C334" s="277" t="str">
        <f t="shared" si="150"/>
        <v xml:space="preserve">LS </v>
      </c>
      <c r="D334" s="277" t="str">
        <f t="shared" si="151"/>
        <v>LGUM_423</v>
      </c>
      <c r="E334" s="614">
        <f t="shared" si="155"/>
        <v>13</v>
      </c>
      <c r="F334" s="615">
        <f t="shared" si="143"/>
        <v>0</v>
      </c>
      <c r="G334" s="614">
        <f t="shared" si="156"/>
        <v>681</v>
      </c>
      <c r="H334" s="615">
        <v>0</v>
      </c>
      <c r="I334" s="283">
        <f t="shared" si="157"/>
        <v>26.349999999999998</v>
      </c>
      <c r="J334" s="283">
        <f t="shared" si="158"/>
        <v>1.6500000000000021</v>
      </c>
      <c r="K334" s="285">
        <f t="shared" si="159"/>
        <v>342.55</v>
      </c>
      <c r="L334" s="286">
        <f t="shared" si="160"/>
        <v>0</v>
      </c>
      <c r="M334" s="286">
        <f t="shared" si="161"/>
        <v>0</v>
      </c>
      <c r="N334" s="285">
        <f t="shared" si="162"/>
        <v>342.55</v>
      </c>
      <c r="O334" s="616">
        <f t="shared" si="144"/>
        <v>342.55</v>
      </c>
      <c r="P334" s="289">
        <f t="shared" si="163"/>
        <v>1</v>
      </c>
      <c r="Q334" s="290">
        <f t="shared" si="164"/>
        <v>1.08</v>
      </c>
      <c r="R334" s="290">
        <f t="shared" si="165"/>
        <v>8.0399999999999991</v>
      </c>
      <c r="S334" s="290">
        <f t="shared" si="166"/>
        <v>0</v>
      </c>
      <c r="T334" s="290">
        <f t="shared" si="167"/>
        <v>351.67</v>
      </c>
      <c r="U334" s="291">
        <f t="shared" si="168"/>
        <v>351.67</v>
      </c>
      <c r="V334" s="291">
        <f t="shared" si="172"/>
        <v>0</v>
      </c>
      <c r="W334" s="265">
        <f t="shared" si="169"/>
        <v>0</v>
      </c>
      <c r="X334" s="291">
        <f t="shared" si="173"/>
        <v>0</v>
      </c>
      <c r="Y334" s="170">
        <f t="shared" si="170"/>
        <v>21.45</v>
      </c>
      <c r="Z334" s="291">
        <f t="shared" si="171"/>
        <v>321.10000000000002</v>
      </c>
      <c r="AC334" s="276">
        <f>IF(AI334=1,IF(AC333=MiscData!$F$1,EOMONTH(AC333,-11),EOMONTH(AC333,1)),AC333)</f>
        <v>41790</v>
      </c>
      <c r="AD334" s="275" t="str">
        <f t="shared" si="153"/>
        <v>20140101LGUM_423</v>
      </c>
      <c r="AE334" s="294" t="str">
        <f t="shared" si="154"/>
        <v xml:space="preserve">20140101LS </v>
      </c>
      <c r="AF334" s="618" t="str">
        <f t="shared" si="174"/>
        <v>423</v>
      </c>
      <c r="AH334" s="265">
        <f>MiscData!$X$5</f>
        <v>20140101</v>
      </c>
      <c r="AI334" s="265">
        <f>IF(AI333+1&gt;MiscData!$AC$77,1,AI333+1)</f>
        <v>39</v>
      </c>
      <c r="AJ334" s="265" t="str">
        <f>VLOOKUP(AI334,MiscData!$AC$5:$AD$77,2,FALSE)</f>
        <v>LGUM_423</v>
      </c>
      <c r="AK334" s="265" t="str">
        <f>VLOOKUP(AJ334,MiscData!$AD$5:$AE$77,2,FALSE)</f>
        <v xml:space="preserve">LS </v>
      </c>
      <c r="AT334" s="265" t="s">
        <v>219</v>
      </c>
      <c r="AV334" s="265">
        <v>-4.96</v>
      </c>
    </row>
    <row r="335" spans="1:48">
      <c r="A335" s="275">
        <f t="shared" si="175"/>
        <v>332</v>
      </c>
      <c r="B335" s="276" t="str">
        <f t="shared" si="149"/>
        <v>May 2014</v>
      </c>
      <c r="C335" s="277" t="str">
        <f t="shared" si="150"/>
        <v xml:space="preserve">LS </v>
      </c>
      <c r="D335" s="277" t="str">
        <f t="shared" si="151"/>
        <v>LGUM_424</v>
      </c>
      <c r="E335" s="614">
        <f t="shared" si="155"/>
        <v>40</v>
      </c>
      <c r="F335" s="615">
        <f t="shared" si="143"/>
        <v>0</v>
      </c>
      <c r="G335" s="614">
        <f t="shared" si="156"/>
        <v>3707</v>
      </c>
      <c r="H335" s="615">
        <v>0</v>
      </c>
      <c r="I335" s="283">
        <f t="shared" si="157"/>
        <v>28.45</v>
      </c>
      <c r="J335" s="283">
        <f t="shared" si="158"/>
        <v>3.9800000000000004</v>
      </c>
      <c r="K335" s="285">
        <f t="shared" si="159"/>
        <v>1138</v>
      </c>
      <c r="L335" s="286">
        <f t="shared" si="160"/>
        <v>0</v>
      </c>
      <c r="M335" s="286">
        <f t="shared" si="161"/>
        <v>0</v>
      </c>
      <c r="N335" s="285">
        <f t="shared" si="162"/>
        <v>1138</v>
      </c>
      <c r="O335" s="616">
        <f t="shared" si="144"/>
        <v>1138</v>
      </c>
      <c r="P335" s="289">
        <f t="shared" si="163"/>
        <v>1</v>
      </c>
      <c r="Q335" s="290">
        <f t="shared" si="164"/>
        <v>5.65</v>
      </c>
      <c r="R335" s="290">
        <f t="shared" si="165"/>
        <v>23.12</v>
      </c>
      <c r="S335" s="290">
        <f t="shared" si="166"/>
        <v>0</v>
      </c>
      <c r="T335" s="290">
        <f t="shared" si="167"/>
        <v>1166.77</v>
      </c>
      <c r="U335" s="291">
        <f>SUM(N335,Q335:S335)</f>
        <v>1166.77</v>
      </c>
      <c r="V335" s="291">
        <f>ROUND(T335-U335,2)</f>
        <v>0</v>
      </c>
      <c r="W335" s="265">
        <f t="shared" si="169"/>
        <v>0</v>
      </c>
      <c r="X335" s="291">
        <f>V335-W335</f>
        <v>0</v>
      </c>
      <c r="Y335" s="170">
        <f t="shared" si="170"/>
        <v>159.19999999999999</v>
      </c>
      <c r="Z335" s="291">
        <f t="shared" si="171"/>
        <v>978.8</v>
      </c>
      <c r="AC335" s="276">
        <f>IF(AI335=1,IF(AC334=MiscData!$F$1,EOMONTH(AC334,-11),EOMONTH(AC334,1)),AC334)</f>
        <v>41790</v>
      </c>
      <c r="AD335" s="275" t="str">
        <f t="shared" si="153"/>
        <v>20140101LGUM_424</v>
      </c>
      <c r="AE335" s="294" t="str">
        <f t="shared" si="154"/>
        <v xml:space="preserve">20140101LS </v>
      </c>
      <c r="AF335" s="618" t="str">
        <f t="shared" si="174"/>
        <v>424</v>
      </c>
      <c r="AH335" s="265">
        <f>MiscData!$X$5</f>
        <v>20140101</v>
      </c>
      <c r="AI335" s="265">
        <f>IF(AI334+1&gt;MiscData!$AC$77,1,AI334+1)</f>
        <v>40</v>
      </c>
      <c r="AJ335" s="265" t="str">
        <f>VLOOKUP(AI335,MiscData!$AC$5:$AD$77,2,FALSE)</f>
        <v>LGUM_424</v>
      </c>
      <c r="AK335" s="265" t="str">
        <f>VLOOKUP(AJ335,MiscData!$AD$5:$AE$77,2,FALSE)</f>
        <v xml:space="preserve">LS </v>
      </c>
      <c r="AT335" s="265" t="s">
        <v>220</v>
      </c>
      <c r="AV335" s="265">
        <v>0</v>
      </c>
    </row>
    <row r="336" spans="1:48">
      <c r="A336" s="275">
        <f t="shared" si="175"/>
        <v>333</v>
      </c>
      <c r="B336" s="276" t="str">
        <f t="shared" si="149"/>
        <v>May 2014</v>
      </c>
      <c r="C336" s="277" t="str">
        <f t="shared" si="150"/>
        <v xml:space="preserve">LS </v>
      </c>
      <c r="D336" s="277" t="str">
        <f t="shared" si="151"/>
        <v>LGUM_425</v>
      </c>
      <c r="E336" s="614">
        <f t="shared" si="155"/>
        <v>27</v>
      </c>
      <c r="F336" s="615">
        <f t="shared" si="143"/>
        <v>0</v>
      </c>
      <c r="G336" s="614">
        <f t="shared" si="156"/>
        <v>3753</v>
      </c>
      <c r="H336" s="615">
        <v>0</v>
      </c>
      <c r="I336" s="283">
        <f t="shared" si="157"/>
        <v>34.029999999999994</v>
      </c>
      <c r="J336" s="283">
        <f t="shared" si="158"/>
        <v>4.2799999999999976</v>
      </c>
      <c r="K336" s="285">
        <f t="shared" si="159"/>
        <v>918.81</v>
      </c>
      <c r="L336" s="286">
        <f t="shared" si="160"/>
        <v>0</v>
      </c>
      <c r="M336" s="286">
        <f t="shared" si="161"/>
        <v>0</v>
      </c>
      <c r="N336" s="285">
        <f t="shared" si="162"/>
        <v>918.81</v>
      </c>
      <c r="O336" s="616">
        <f t="shared" si="144"/>
        <v>918.81000000000006</v>
      </c>
      <c r="P336" s="289">
        <f t="shared" si="163"/>
        <v>1.0000000000000002</v>
      </c>
      <c r="Q336" s="290">
        <f t="shared" si="164"/>
        <v>5.95</v>
      </c>
      <c r="R336" s="290">
        <f t="shared" si="165"/>
        <v>21.1</v>
      </c>
      <c r="S336" s="290">
        <f t="shared" si="166"/>
        <v>0</v>
      </c>
      <c r="T336" s="290">
        <f t="shared" si="167"/>
        <v>945.86</v>
      </c>
      <c r="U336" s="291">
        <f t="shared" si="168"/>
        <v>945.86</v>
      </c>
      <c r="V336" s="291">
        <f t="shared" si="172"/>
        <v>0</v>
      </c>
      <c r="W336" s="265">
        <f t="shared" si="169"/>
        <v>0</v>
      </c>
      <c r="X336" s="291">
        <f t="shared" si="173"/>
        <v>0</v>
      </c>
      <c r="Y336" s="170">
        <f t="shared" si="170"/>
        <v>115.56</v>
      </c>
      <c r="Z336" s="291">
        <f t="shared" si="171"/>
        <v>803.25</v>
      </c>
      <c r="AC336" s="276">
        <f>IF(AI336=1,IF(AC335=MiscData!$F$1,EOMONTH(AC335,-11),EOMONTH(AC335,1)),AC335)</f>
        <v>41790</v>
      </c>
      <c r="AD336" s="275" t="str">
        <f t="shared" si="153"/>
        <v>20140101LGUM_425</v>
      </c>
      <c r="AE336" s="294" t="str">
        <f t="shared" si="154"/>
        <v xml:space="preserve">20140101LS </v>
      </c>
      <c r="AF336" s="618" t="str">
        <f t="shared" si="174"/>
        <v>425</v>
      </c>
      <c r="AH336" s="265">
        <f>MiscData!$X$5</f>
        <v>20140101</v>
      </c>
      <c r="AI336" s="265">
        <f>IF(AI335+1&gt;MiscData!$AC$77,1,AI335+1)</f>
        <v>41</v>
      </c>
      <c r="AJ336" s="265" t="str">
        <f>VLOOKUP(AI336,MiscData!$AC$5:$AD$77,2,FALSE)</f>
        <v>LGUM_425</v>
      </c>
      <c r="AK336" s="265" t="str">
        <f>VLOOKUP(AJ336,MiscData!$AD$5:$AE$77,2,FALSE)</f>
        <v xml:space="preserve">LS </v>
      </c>
      <c r="AT336" s="265" t="s">
        <v>221</v>
      </c>
      <c r="AV336" s="265">
        <v>-1.41</v>
      </c>
    </row>
    <row r="337" spans="1:48">
      <c r="A337" s="275">
        <f t="shared" si="175"/>
        <v>334</v>
      </c>
      <c r="B337" s="276" t="str">
        <f t="shared" si="149"/>
        <v>May 2014</v>
      </c>
      <c r="C337" s="277" t="str">
        <f t="shared" si="150"/>
        <v>RLS</v>
      </c>
      <c r="D337" s="277" t="str">
        <f t="shared" si="151"/>
        <v>LGUM_426</v>
      </c>
      <c r="E337" s="614">
        <f t="shared" si="155"/>
        <v>41</v>
      </c>
      <c r="F337" s="615">
        <f t="shared" si="143"/>
        <v>0</v>
      </c>
      <c r="G337" s="614">
        <f t="shared" si="156"/>
        <v>1053</v>
      </c>
      <c r="H337" s="615">
        <v>0</v>
      </c>
      <c r="I337" s="283">
        <f t="shared" si="157"/>
        <v>33.22</v>
      </c>
      <c r="J337" s="283">
        <f t="shared" si="158"/>
        <v>0.75</v>
      </c>
      <c r="K337" s="285">
        <f t="shared" si="159"/>
        <v>1362.02</v>
      </c>
      <c r="L337" s="286">
        <f t="shared" si="160"/>
        <v>0</v>
      </c>
      <c r="M337" s="286">
        <f t="shared" si="161"/>
        <v>0</v>
      </c>
      <c r="N337" s="285">
        <f t="shared" si="162"/>
        <v>1362.02</v>
      </c>
      <c r="O337" s="616">
        <f t="shared" si="144"/>
        <v>1362.02</v>
      </c>
      <c r="P337" s="289">
        <f t="shared" si="163"/>
        <v>1</v>
      </c>
      <c r="Q337" s="290">
        <f t="shared" si="164"/>
        <v>1.69</v>
      </c>
      <c r="R337" s="290">
        <f t="shared" si="165"/>
        <v>32.270000000000003</v>
      </c>
      <c r="S337" s="290">
        <f t="shared" si="166"/>
        <v>0</v>
      </c>
      <c r="T337" s="290">
        <f t="shared" si="167"/>
        <v>1417.34</v>
      </c>
      <c r="U337" s="291">
        <f t="shared" si="168"/>
        <v>1395.98</v>
      </c>
      <c r="V337" s="291">
        <f t="shared" si="172"/>
        <v>21.36</v>
      </c>
      <c r="W337" s="265">
        <f t="shared" si="169"/>
        <v>21.36</v>
      </c>
      <c r="X337" s="291">
        <f t="shared" si="173"/>
        <v>0</v>
      </c>
      <c r="Y337" s="170">
        <f t="shared" si="170"/>
        <v>30.75</v>
      </c>
      <c r="Z337" s="291">
        <f t="shared" si="171"/>
        <v>1331.27</v>
      </c>
      <c r="AC337" s="276">
        <f>IF(AI337=1,IF(AC336=MiscData!$F$1,EOMONTH(AC336,-11),EOMONTH(AC336,1)),AC336)</f>
        <v>41790</v>
      </c>
      <c r="AD337" s="275" t="str">
        <f t="shared" si="153"/>
        <v>20140101LGUM_426</v>
      </c>
      <c r="AE337" s="294" t="str">
        <f t="shared" si="154"/>
        <v>20140101RLS</v>
      </c>
      <c r="AF337" s="618" t="str">
        <f t="shared" si="174"/>
        <v>426</v>
      </c>
      <c r="AH337" s="265">
        <f>MiscData!$X$5</f>
        <v>20140101</v>
      </c>
      <c r="AI337" s="265">
        <f>IF(AI336+1&gt;MiscData!$AC$77,1,AI336+1)</f>
        <v>42</v>
      </c>
      <c r="AJ337" s="265" t="str">
        <f>VLOOKUP(AI337,MiscData!$AC$5:$AD$77,2,FALSE)</f>
        <v>LGUM_426</v>
      </c>
      <c r="AK337" s="265" t="str">
        <f>VLOOKUP(AJ337,MiscData!$AD$5:$AE$77,2,FALSE)</f>
        <v>RLS</v>
      </c>
      <c r="AT337" s="265" t="s">
        <v>222</v>
      </c>
      <c r="AV337" s="265">
        <v>0</v>
      </c>
    </row>
    <row r="338" spans="1:48">
      <c r="A338" s="275">
        <f t="shared" si="175"/>
        <v>335</v>
      </c>
      <c r="B338" s="276" t="str">
        <f t="shared" si="149"/>
        <v>May 2014</v>
      </c>
      <c r="C338" s="277" t="str">
        <f t="shared" si="150"/>
        <v xml:space="preserve">LS </v>
      </c>
      <c r="D338" s="277" t="str">
        <f t="shared" si="151"/>
        <v>LGUM_427</v>
      </c>
      <c r="E338" s="614">
        <f t="shared" si="155"/>
        <v>51</v>
      </c>
      <c r="F338" s="615">
        <f t="shared" si="143"/>
        <v>0</v>
      </c>
      <c r="G338" s="614">
        <f t="shared" si="156"/>
        <v>1289</v>
      </c>
      <c r="H338" s="615">
        <v>0</v>
      </c>
      <c r="I338" s="283">
        <f t="shared" si="157"/>
        <v>35.199999999999996</v>
      </c>
      <c r="J338" s="283">
        <f t="shared" si="158"/>
        <v>0.75</v>
      </c>
      <c r="K338" s="285">
        <f t="shared" si="159"/>
        <v>1795.2</v>
      </c>
      <c r="L338" s="286">
        <f t="shared" si="160"/>
        <v>0</v>
      </c>
      <c r="M338" s="286">
        <f t="shared" si="161"/>
        <v>0</v>
      </c>
      <c r="N338" s="285">
        <f t="shared" si="162"/>
        <v>1795.2</v>
      </c>
      <c r="O338" s="616">
        <f t="shared" si="144"/>
        <v>1795.1999999999998</v>
      </c>
      <c r="P338" s="289">
        <f t="shared" si="163"/>
        <v>0.99999999999999989</v>
      </c>
      <c r="Q338" s="290">
        <f t="shared" si="164"/>
        <v>2.0499999999999998</v>
      </c>
      <c r="R338" s="290">
        <f t="shared" si="165"/>
        <v>42.89</v>
      </c>
      <c r="S338" s="290">
        <f t="shared" si="166"/>
        <v>0</v>
      </c>
      <c r="T338" s="290">
        <f t="shared" si="167"/>
        <v>1883.54</v>
      </c>
      <c r="U338" s="291">
        <f t="shared" si="168"/>
        <v>1840.14</v>
      </c>
      <c r="V338" s="291">
        <f t="shared" si="172"/>
        <v>43.4</v>
      </c>
      <c r="W338" s="265">
        <f t="shared" si="169"/>
        <v>43.4</v>
      </c>
      <c r="X338" s="291">
        <f t="shared" si="173"/>
        <v>0</v>
      </c>
      <c r="Y338" s="170">
        <f t="shared" si="170"/>
        <v>38.25</v>
      </c>
      <c r="Z338" s="291">
        <f t="shared" si="171"/>
        <v>1756.9499999999998</v>
      </c>
      <c r="AC338" s="276">
        <f>IF(AI338=1,IF(AC337=MiscData!$F$1,EOMONTH(AC337,-11),EOMONTH(AC337,1)),AC337)</f>
        <v>41790</v>
      </c>
      <c r="AD338" s="275" t="str">
        <f t="shared" si="153"/>
        <v>20140101LGUM_427</v>
      </c>
      <c r="AE338" s="294" t="str">
        <f t="shared" si="154"/>
        <v xml:space="preserve">20140101LS </v>
      </c>
      <c r="AF338" s="618" t="str">
        <f t="shared" si="174"/>
        <v>427</v>
      </c>
      <c r="AH338" s="265">
        <f>MiscData!$X$5</f>
        <v>20140101</v>
      </c>
      <c r="AI338" s="265">
        <f>IF(AI337+1&gt;MiscData!$AC$77,1,AI337+1)</f>
        <v>43</v>
      </c>
      <c r="AJ338" s="265" t="str">
        <f>VLOOKUP(AI338,MiscData!$AC$5:$AD$77,2,FALSE)</f>
        <v>LGUM_427</v>
      </c>
      <c r="AK338" s="265" t="str">
        <f>VLOOKUP(AJ338,MiscData!$AD$5:$AE$77,2,FALSE)</f>
        <v xml:space="preserve">LS </v>
      </c>
      <c r="AT338" s="265" t="s">
        <v>223</v>
      </c>
      <c r="AV338" s="265">
        <v>-85.45</v>
      </c>
    </row>
    <row r="339" spans="1:48">
      <c r="A339" s="275">
        <f t="shared" si="175"/>
        <v>336</v>
      </c>
      <c r="B339" s="276" t="str">
        <f t="shared" si="149"/>
        <v>May 2014</v>
      </c>
      <c r="C339" s="277" t="str">
        <f t="shared" si="150"/>
        <v>RLS</v>
      </c>
      <c r="D339" s="277" t="str">
        <f t="shared" si="151"/>
        <v>LGUM_428</v>
      </c>
      <c r="E339" s="614">
        <f t="shared" si="155"/>
        <v>208</v>
      </c>
      <c r="F339" s="615">
        <f t="shared" si="143"/>
        <v>0</v>
      </c>
      <c r="G339" s="614">
        <f t="shared" si="156"/>
        <v>7401</v>
      </c>
      <c r="H339" s="615">
        <v>0</v>
      </c>
      <c r="I339" s="283">
        <f t="shared" si="157"/>
        <v>34.090000000000003</v>
      </c>
      <c r="J339" s="283">
        <f t="shared" si="158"/>
        <v>1.0600000000000023</v>
      </c>
      <c r="K339" s="285">
        <f t="shared" si="159"/>
        <v>7090.72</v>
      </c>
      <c r="L339" s="286">
        <f t="shared" si="160"/>
        <v>0</v>
      </c>
      <c r="M339" s="286">
        <f t="shared" si="161"/>
        <v>0</v>
      </c>
      <c r="N339" s="285">
        <f t="shared" si="162"/>
        <v>7090.72</v>
      </c>
      <c r="O339" s="616">
        <f t="shared" si="144"/>
        <v>7090.7199999999993</v>
      </c>
      <c r="P339" s="289">
        <f t="shared" si="163"/>
        <v>0.99999999999999989</v>
      </c>
      <c r="Q339" s="290">
        <f t="shared" si="164"/>
        <v>11.86</v>
      </c>
      <c r="R339" s="290">
        <f t="shared" si="165"/>
        <v>171.69</v>
      </c>
      <c r="S339" s="290">
        <f t="shared" si="166"/>
        <v>0</v>
      </c>
      <c r="T339" s="290">
        <f t="shared" si="167"/>
        <v>7540.54</v>
      </c>
      <c r="U339" s="291">
        <f t="shared" si="168"/>
        <v>7274.2699999999995</v>
      </c>
      <c r="V339" s="291">
        <f t="shared" si="172"/>
        <v>266.27</v>
      </c>
      <c r="W339" s="265">
        <f t="shared" si="169"/>
        <v>266.27</v>
      </c>
      <c r="X339" s="291">
        <f t="shared" si="173"/>
        <v>0</v>
      </c>
      <c r="Y339" s="170">
        <f t="shared" si="170"/>
        <v>220.48</v>
      </c>
      <c r="Z339" s="291">
        <f t="shared" si="171"/>
        <v>6870.24</v>
      </c>
      <c r="AC339" s="276">
        <f>IF(AI339=1,IF(AC338=MiscData!$F$1,EOMONTH(AC338,-11),EOMONTH(AC338,1)),AC338)</f>
        <v>41790</v>
      </c>
      <c r="AD339" s="275" t="str">
        <f t="shared" si="153"/>
        <v>20140101LGUM_428</v>
      </c>
      <c r="AE339" s="294" t="str">
        <f t="shared" si="154"/>
        <v>20140101RLS</v>
      </c>
      <c r="AF339" s="618" t="str">
        <f t="shared" si="174"/>
        <v>428</v>
      </c>
      <c r="AH339" s="265">
        <f>MiscData!$X$5</f>
        <v>20140101</v>
      </c>
      <c r="AI339" s="265">
        <f>IF(AI338+1&gt;MiscData!$AC$77,1,AI338+1)</f>
        <v>44</v>
      </c>
      <c r="AJ339" s="265" t="str">
        <f>VLOOKUP(AI339,MiscData!$AC$5:$AD$77,2,FALSE)</f>
        <v>LGUM_428</v>
      </c>
      <c r="AK339" s="265" t="str">
        <f>VLOOKUP(AJ339,MiscData!$AD$5:$AE$77,2,FALSE)</f>
        <v>RLS</v>
      </c>
      <c r="AT339" s="265" t="s">
        <v>224</v>
      </c>
      <c r="AV339" s="265">
        <v>-161.59</v>
      </c>
    </row>
    <row r="340" spans="1:48">
      <c r="A340" s="275">
        <f t="shared" si="175"/>
        <v>337</v>
      </c>
      <c r="B340" s="276" t="str">
        <f t="shared" si="149"/>
        <v>May 2014</v>
      </c>
      <c r="C340" s="277" t="str">
        <f t="shared" si="150"/>
        <v xml:space="preserve">LS </v>
      </c>
      <c r="D340" s="277" t="str">
        <f t="shared" si="151"/>
        <v>LGUM_429</v>
      </c>
      <c r="E340" s="614">
        <f t="shared" si="155"/>
        <v>196</v>
      </c>
      <c r="F340" s="615">
        <f t="shared" si="143"/>
        <v>0</v>
      </c>
      <c r="G340" s="614">
        <f t="shared" si="156"/>
        <v>6943</v>
      </c>
      <c r="H340" s="615">
        <v>0</v>
      </c>
      <c r="I340" s="283">
        <f t="shared" si="157"/>
        <v>36.07</v>
      </c>
      <c r="J340" s="283">
        <f t="shared" si="158"/>
        <v>1.0599999999999952</v>
      </c>
      <c r="K340" s="285">
        <f t="shared" si="159"/>
        <v>7069.72</v>
      </c>
      <c r="L340" s="286">
        <f t="shared" si="160"/>
        <v>0</v>
      </c>
      <c r="M340" s="286">
        <f t="shared" si="161"/>
        <v>0</v>
      </c>
      <c r="N340" s="285">
        <f t="shared" si="162"/>
        <v>7069.72</v>
      </c>
      <c r="O340" s="616">
        <f t="shared" si="144"/>
        <v>7069.72</v>
      </c>
      <c r="P340" s="289">
        <f t="shared" si="163"/>
        <v>1</v>
      </c>
      <c r="Q340" s="290">
        <f t="shared" si="164"/>
        <v>11.02</v>
      </c>
      <c r="R340" s="290">
        <f t="shared" si="165"/>
        <v>172.61</v>
      </c>
      <c r="S340" s="290">
        <f t="shared" si="166"/>
        <v>0</v>
      </c>
      <c r="T340" s="290">
        <f t="shared" si="167"/>
        <v>7888.92</v>
      </c>
      <c r="U340" s="291">
        <f t="shared" si="168"/>
        <v>7253.35</v>
      </c>
      <c r="V340" s="291">
        <f t="shared" si="172"/>
        <v>635.57000000000005</v>
      </c>
      <c r="W340" s="265">
        <f t="shared" si="169"/>
        <v>635.57000000000005</v>
      </c>
      <c r="X340" s="291">
        <f t="shared" si="173"/>
        <v>0</v>
      </c>
      <c r="Y340" s="170">
        <f t="shared" si="170"/>
        <v>207.76</v>
      </c>
      <c r="Z340" s="291">
        <f t="shared" si="171"/>
        <v>6861.96</v>
      </c>
      <c r="AC340" s="276">
        <f>IF(AI340=1,IF(AC339=MiscData!$F$1,EOMONTH(AC339,-11),EOMONTH(AC339,1)),AC339)</f>
        <v>41790</v>
      </c>
      <c r="AD340" s="275" t="str">
        <f t="shared" si="153"/>
        <v>20140101LGUM_429</v>
      </c>
      <c r="AE340" s="294" t="str">
        <f t="shared" si="154"/>
        <v xml:space="preserve">20140101LS </v>
      </c>
      <c r="AF340" s="618" t="str">
        <f t="shared" si="174"/>
        <v>429</v>
      </c>
      <c r="AH340" s="265">
        <f>MiscData!$X$5</f>
        <v>20140101</v>
      </c>
      <c r="AI340" s="265">
        <f>IF(AI339+1&gt;MiscData!$AC$77,1,AI339+1)</f>
        <v>45</v>
      </c>
      <c r="AJ340" s="265" t="str">
        <f>VLOOKUP(AI340,MiscData!$AC$5:$AD$77,2,FALSE)</f>
        <v>LGUM_429</v>
      </c>
      <c r="AK340" s="265" t="str">
        <f>VLOOKUP(AJ340,MiscData!$AD$5:$AE$77,2,FALSE)</f>
        <v xml:space="preserve">LS </v>
      </c>
      <c r="AT340" s="265" t="s">
        <v>225</v>
      </c>
      <c r="AV340" s="265">
        <v>0</v>
      </c>
    </row>
    <row r="341" spans="1:48">
      <c r="A341" s="275">
        <f t="shared" si="175"/>
        <v>338</v>
      </c>
      <c r="B341" s="276" t="str">
        <f t="shared" si="149"/>
        <v>May 2014</v>
      </c>
      <c r="C341" s="277" t="str">
        <f t="shared" si="150"/>
        <v>RLS</v>
      </c>
      <c r="D341" s="277" t="str">
        <f t="shared" si="151"/>
        <v>LGUM_430</v>
      </c>
      <c r="E341" s="614">
        <f t="shared" si="155"/>
        <v>1</v>
      </c>
      <c r="F341" s="615">
        <f t="shared" si="143"/>
        <v>0</v>
      </c>
      <c r="G341" s="614">
        <f t="shared" si="156"/>
        <v>24</v>
      </c>
      <c r="H341" s="615">
        <v>0</v>
      </c>
      <c r="I341" s="283">
        <f t="shared" si="157"/>
        <v>32.26</v>
      </c>
      <c r="J341" s="283">
        <f t="shared" si="158"/>
        <v>0.75</v>
      </c>
      <c r="K341" s="285">
        <f t="shared" si="159"/>
        <v>32.26</v>
      </c>
      <c r="L341" s="286">
        <f t="shared" si="160"/>
        <v>0</v>
      </c>
      <c r="M341" s="286">
        <f t="shared" si="161"/>
        <v>0</v>
      </c>
      <c r="N341" s="285">
        <f t="shared" si="162"/>
        <v>32.26</v>
      </c>
      <c r="O341" s="616">
        <f t="shared" si="144"/>
        <v>32.26</v>
      </c>
      <c r="P341" s="289">
        <f t="shared" si="163"/>
        <v>1</v>
      </c>
      <c r="Q341" s="290">
        <f t="shared" si="164"/>
        <v>0.04</v>
      </c>
      <c r="R341" s="290">
        <f t="shared" si="165"/>
        <v>0.75</v>
      </c>
      <c r="S341" s="290">
        <f t="shared" si="166"/>
        <v>0</v>
      </c>
      <c r="T341" s="290">
        <f t="shared" si="167"/>
        <v>33.049999999999997</v>
      </c>
      <c r="U341" s="291">
        <f t="shared" si="168"/>
        <v>33.049999999999997</v>
      </c>
      <c r="V341" s="291">
        <f t="shared" si="172"/>
        <v>0</v>
      </c>
      <c r="W341" s="265">
        <f t="shared" si="169"/>
        <v>0</v>
      </c>
      <c r="X341" s="291">
        <f t="shared" si="173"/>
        <v>0</v>
      </c>
      <c r="Y341" s="170">
        <f t="shared" si="170"/>
        <v>0.75</v>
      </c>
      <c r="Z341" s="291">
        <f t="shared" si="171"/>
        <v>31.509999999999998</v>
      </c>
      <c r="AC341" s="276">
        <f>IF(AI341=1,IF(AC340=MiscData!$F$1,EOMONTH(AC340,-11),EOMONTH(AC340,1)),AC340)</f>
        <v>41790</v>
      </c>
      <c r="AD341" s="275" t="str">
        <f t="shared" si="153"/>
        <v>20140101LGUM_430</v>
      </c>
      <c r="AE341" s="294" t="str">
        <f t="shared" si="154"/>
        <v>20140101RLS</v>
      </c>
      <c r="AF341" s="618" t="str">
        <f t="shared" si="174"/>
        <v>430</v>
      </c>
      <c r="AH341" s="265">
        <f>MiscData!$X$5</f>
        <v>20140101</v>
      </c>
      <c r="AI341" s="265">
        <f>IF(AI340+1&gt;MiscData!$AC$77,1,AI340+1)</f>
        <v>46</v>
      </c>
      <c r="AJ341" s="265" t="str">
        <f>VLOOKUP(AI341,MiscData!$AC$5:$AD$77,2,FALSE)</f>
        <v>LGUM_430</v>
      </c>
      <c r="AK341" s="265" t="str">
        <f>VLOOKUP(AJ341,MiscData!$AD$5:$AE$77,2,FALSE)</f>
        <v>RLS</v>
      </c>
      <c r="AT341" s="265" t="s">
        <v>226</v>
      </c>
      <c r="AV341" s="265">
        <v>56</v>
      </c>
    </row>
    <row r="342" spans="1:48">
      <c r="A342" s="275">
        <f t="shared" si="175"/>
        <v>339</v>
      </c>
      <c r="B342" s="276" t="str">
        <f t="shared" si="149"/>
        <v>May 2014</v>
      </c>
      <c r="C342" s="277" t="str">
        <f t="shared" si="150"/>
        <v xml:space="preserve">LS </v>
      </c>
      <c r="D342" s="277" t="str">
        <f t="shared" si="151"/>
        <v>LGUM_431</v>
      </c>
      <c r="E342" s="614">
        <f t="shared" si="155"/>
        <v>45</v>
      </c>
      <c r="F342" s="615">
        <f t="shared" si="143"/>
        <v>0</v>
      </c>
      <c r="G342" s="614">
        <f t="shared" si="156"/>
        <v>1119</v>
      </c>
      <c r="H342" s="615">
        <v>0</v>
      </c>
      <c r="I342" s="283">
        <f t="shared" si="157"/>
        <v>32.93</v>
      </c>
      <c r="J342" s="283">
        <f t="shared" si="158"/>
        <v>0.75</v>
      </c>
      <c r="K342" s="285">
        <f t="shared" si="159"/>
        <v>1481.85</v>
      </c>
      <c r="L342" s="286">
        <f t="shared" si="160"/>
        <v>0</v>
      </c>
      <c r="M342" s="286">
        <f t="shared" si="161"/>
        <v>0</v>
      </c>
      <c r="N342" s="285">
        <f t="shared" si="162"/>
        <v>1481.85</v>
      </c>
      <c r="O342" s="616">
        <f t="shared" si="144"/>
        <v>1481.85</v>
      </c>
      <c r="P342" s="289">
        <f t="shared" si="163"/>
        <v>1</v>
      </c>
      <c r="Q342" s="290">
        <f t="shared" si="164"/>
        <v>1.78</v>
      </c>
      <c r="R342" s="290">
        <f t="shared" si="165"/>
        <v>38.46</v>
      </c>
      <c r="S342" s="290">
        <f t="shared" si="166"/>
        <v>0</v>
      </c>
      <c r="T342" s="290">
        <f t="shared" si="167"/>
        <v>1688.07</v>
      </c>
      <c r="U342" s="291">
        <f t="shared" si="168"/>
        <v>1522.09</v>
      </c>
      <c r="V342" s="291">
        <f t="shared" si="172"/>
        <v>165.98</v>
      </c>
      <c r="W342" s="265">
        <f t="shared" si="169"/>
        <v>165.98</v>
      </c>
      <c r="X342" s="291">
        <f t="shared" si="173"/>
        <v>0</v>
      </c>
      <c r="Y342" s="170">
        <f t="shared" si="170"/>
        <v>33.75</v>
      </c>
      <c r="Z342" s="291">
        <f t="shared" si="171"/>
        <v>1448.1</v>
      </c>
      <c r="AC342" s="276">
        <f>IF(AI342=1,IF(AC341=MiscData!$F$1,EOMONTH(AC341,-11),EOMONTH(AC341,1)),AC341)</f>
        <v>41790</v>
      </c>
      <c r="AD342" s="275" t="str">
        <f t="shared" si="153"/>
        <v>20140101LGUM_431</v>
      </c>
      <c r="AE342" s="294" t="str">
        <f t="shared" si="154"/>
        <v xml:space="preserve">20140101LS </v>
      </c>
      <c r="AF342" s="618" t="str">
        <f t="shared" si="174"/>
        <v>431</v>
      </c>
      <c r="AH342" s="265">
        <f>MiscData!$X$5</f>
        <v>20140101</v>
      </c>
      <c r="AI342" s="265">
        <f>IF(AI341+1&gt;MiscData!$AC$77,1,AI341+1)</f>
        <v>47</v>
      </c>
      <c r="AJ342" s="265" t="str">
        <f>VLOOKUP(AI342,MiscData!$AC$5:$AD$77,2,FALSE)</f>
        <v>LGUM_431</v>
      </c>
      <c r="AK342" s="265" t="str">
        <f>VLOOKUP(AJ342,MiscData!$AD$5:$AE$77,2,FALSE)</f>
        <v xml:space="preserve">LS </v>
      </c>
      <c r="AT342" s="265" t="s">
        <v>227</v>
      </c>
      <c r="AV342" s="265">
        <v>-20.85</v>
      </c>
    </row>
    <row r="343" spans="1:48">
      <c r="A343" s="275">
        <f t="shared" si="175"/>
        <v>340</v>
      </c>
      <c r="B343" s="276" t="str">
        <f t="shared" si="149"/>
        <v>May 2014</v>
      </c>
      <c r="C343" s="277" t="str">
        <f t="shared" si="150"/>
        <v>RLS</v>
      </c>
      <c r="D343" s="277" t="str">
        <f t="shared" si="151"/>
        <v>LGUM_432</v>
      </c>
      <c r="E343" s="614">
        <f t="shared" si="155"/>
        <v>10</v>
      </c>
      <c r="F343" s="615">
        <f t="shared" si="143"/>
        <v>0</v>
      </c>
      <c r="G343" s="614">
        <f t="shared" si="156"/>
        <v>345</v>
      </c>
      <c r="H343" s="615">
        <v>0</v>
      </c>
      <c r="I343" s="283">
        <f t="shared" si="157"/>
        <v>34.330000000000005</v>
      </c>
      <c r="J343" s="283">
        <f t="shared" si="158"/>
        <v>1.0600000000000023</v>
      </c>
      <c r="K343" s="285">
        <f t="shared" si="159"/>
        <v>343.3</v>
      </c>
      <c r="L343" s="286">
        <f t="shared" si="160"/>
        <v>0</v>
      </c>
      <c r="M343" s="286">
        <f t="shared" si="161"/>
        <v>0</v>
      </c>
      <c r="N343" s="285">
        <f t="shared" si="162"/>
        <v>343.3</v>
      </c>
      <c r="O343" s="616">
        <f t="shared" si="144"/>
        <v>343.3</v>
      </c>
      <c r="P343" s="289">
        <f t="shared" si="163"/>
        <v>1</v>
      </c>
      <c r="Q343" s="290">
        <f t="shared" si="164"/>
        <v>0.55000000000000004</v>
      </c>
      <c r="R343" s="290">
        <f t="shared" si="165"/>
        <v>8.09</v>
      </c>
      <c r="S343" s="290">
        <f t="shared" si="166"/>
        <v>0</v>
      </c>
      <c r="T343" s="290">
        <f t="shared" si="167"/>
        <v>355.41</v>
      </c>
      <c r="U343" s="291">
        <f t="shared" si="168"/>
        <v>351.94</v>
      </c>
      <c r="V343" s="291">
        <f t="shared" si="172"/>
        <v>3.47</v>
      </c>
      <c r="W343" s="265">
        <f t="shared" si="169"/>
        <v>3.47</v>
      </c>
      <c r="X343" s="291">
        <f t="shared" si="173"/>
        <v>0</v>
      </c>
      <c r="Y343" s="170">
        <f t="shared" si="170"/>
        <v>10.6</v>
      </c>
      <c r="Z343" s="291">
        <f t="shared" si="171"/>
        <v>332.7</v>
      </c>
      <c r="AC343" s="276">
        <f>IF(AI343=1,IF(AC342=MiscData!$F$1,EOMONTH(AC342,-11),EOMONTH(AC342,1)),AC342)</f>
        <v>41790</v>
      </c>
      <c r="AD343" s="275" t="str">
        <f t="shared" si="153"/>
        <v>20140101LGUM_432</v>
      </c>
      <c r="AE343" s="294" t="str">
        <f t="shared" si="154"/>
        <v>20140101RLS</v>
      </c>
      <c r="AF343" s="618" t="str">
        <f t="shared" si="174"/>
        <v>432</v>
      </c>
      <c r="AH343" s="265">
        <f>MiscData!$X$5</f>
        <v>20140101</v>
      </c>
      <c r="AI343" s="265">
        <f>IF(AI342+1&gt;MiscData!$AC$77,1,AI342+1)</f>
        <v>48</v>
      </c>
      <c r="AJ343" s="265" t="str">
        <f>VLOOKUP(AI343,MiscData!$AC$5:$AD$77,2,FALSE)</f>
        <v>LGUM_432</v>
      </c>
      <c r="AK343" s="265" t="str">
        <f>VLOOKUP(AJ343,MiscData!$AD$5:$AE$77,2,FALSE)</f>
        <v>RLS</v>
      </c>
      <c r="AT343" s="265" t="s">
        <v>228</v>
      </c>
      <c r="AV343" s="265">
        <v>5.59</v>
      </c>
    </row>
    <row r="344" spans="1:48">
      <c r="A344" s="275">
        <f t="shared" si="175"/>
        <v>341</v>
      </c>
      <c r="B344" s="276" t="str">
        <f t="shared" si="149"/>
        <v>May 2014</v>
      </c>
      <c r="C344" s="277" t="str">
        <f t="shared" si="150"/>
        <v xml:space="preserve">LS </v>
      </c>
      <c r="D344" s="277" t="str">
        <f t="shared" si="151"/>
        <v>LGUM_433</v>
      </c>
      <c r="E344" s="614">
        <f t="shared" si="155"/>
        <v>195</v>
      </c>
      <c r="F344" s="615">
        <f t="shared" si="143"/>
        <v>0</v>
      </c>
      <c r="G344" s="614">
        <f t="shared" si="156"/>
        <v>6489</v>
      </c>
      <c r="H344" s="615">
        <v>0</v>
      </c>
      <c r="I344" s="283">
        <f t="shared" si="157"/>
        <v>34.99</v>
      </c>
      <c r="J344" s="283">
        <f t="shared" si="158"/>
        <v>1.0600000000000023</v>
      </c>
      <c r="K344" s="285">
        <f t="shared" si="159"/>
        <v>6823.05</v>
      </c>
      <c r="L344" s="286">
        <f t="shared" si="160"/>
        <v>0</v>
      </c>
      <c r="M344" s="286">
        <f t="shared" si="161"/>
        <v>0</v>
      </c>
      <c r="N344" s="285">
        <f t="shared" si="162"/>
        <v>6823.05</v>
      </c>
      <c r="O344" s="616">
        <f t="shared" si="144"/>
        <v>6823.0499999999993</v>
      </c>
      <c r="P344" s="289">
        <f t="shared" si="163"/>
        <v>0.99999999999999989</v>
      </c>
      <c r="Q344" s="290">
        <f t="shared" si="164"/>
        <v>10.36</v>
      </c>
      <c r="R344" s="290">
        <f t="shared" si="165"/>
        <v>180.24</v>
      </c>
      <c r="S344" s="290">
        <f t="shared" si="166"/>
        <v>0</v>
      </c>
      <c r="T344" s="290">
        <f t="shared" si="167"/>
        <v>7946.34</v>
      </c>
      <c r="U344" s="291">
        <f t="shared" si="168"/>
        <v>7013.65</v>
      </c>
      <c r="V344" s="291">
        <f t="shared" si="172"/>
        <v>932.69</v>
      </c>
      <c r="W344" s="265">
        <f t="shared" si="169"/>
        <v>932.69</v>
      </c>
      <c r="X344" s="291">
        <f t="shared" si="173"/>
        <v>0</v>
      </c>
      <c r="Y344" s="170">
        <f t="shared" si="170"/>
        <v>206.7</v>
      </c>
      <c r="Z344" s="291">
        <f t="shared" si="171"/>
        <v>6616.3499999999995</v>
      </c>
      <c r="AC344" s="276">
        <f>IF(AI344=1,IF(AC343=MiscData!$F$1,EOMONTH(AC343,-11),EOMONTH(AC343,1)),AC343)</f>
        <v>41790</v>
      </c>
      <c r="AD344" s="275" t="str">
        <f t="shared" si="153"/>
        <v>20140101LGUM_433</v>
      </c>
      <c r="AE344" s="294" t="str">
        <f t="shared" si="154"/>
        <v xml:space="preserve">20140101LS </v>
      </c>
      <c r="AF344" s="618" t="str">
        <f t="shared" si="174"/>
        <v>433</v>
      </c>
      <c r="AH344" s="265">
        <f>MiscData!$X$5</f>
        <v>20140101</v>
      </c>
      <c r="AI344" s="265">
        <f>IF(AI343+1&gt;MiscData!$AC$77,1,AI343+1)</f>
        <v>49</v>
      </c>
      <c r="AJ344" s="265" t="str">
        <f>VLOOKUP(AI344,MiscData!$AC$5:$AD$77,2,FALSE)</f>
        <v>LGUM_433</v>
      </c>
      <c r="AK344" s="265" t="str">
        <f>VLOOKUP(AJ344,MiscData!$AD$5:$AE$77,2,FALSE)</f>
        <v xml:space="preserve">LS </v>
      </c>
      <c r="AT344" s="265" t="s">
        <v>229</v>
      </c>
      <c r="AV344" s="265">
        <v>-406.22</v>
      </c>
    </row>
    <row r="345" spans="1:48">
      <c r="A345" s="275">
        <f t="shared" si="175"/>
        <v>342</v>
      </c>
      <c r="B345" s="276" t="str">
        <f t="shared" si="149"/>
        <v>May 2014</v>
      </c>
      <c r="C345" s="277" t="str">
        <f t="shared" si="150"/>
        <v xml:space="preserve">LS </v>
      </c>
      <c r="D345" s="277" t="str">
        <f t="shared" si="151"/>
        <v>LGUM_439</v>
      </c>
      <c r="E345" s="614">
        <f t="shared" si="155"/>
        <v>0</v>
      </c>
      <c r="F345" s="615">
        <f t="shared" si="143"/>
        <v>0</v>
      </c>
      <c r="G345" s="614">
        <f t="shared" si="156"/>
        <v>0</v>
      </c>
      <c r="H345" s="615">
        <v>0</v>
      </c>
      <c r="I345" s="283">
        <f t="shared" si="157"/>
        <v>16.459999999999997</v>
      </c>
      <c r="J345" s="283">
        <f t="shared" si="158"/>
        <v>1.6499999999999986</v>
      </c>
      <c r="K345" s="285">
        <f t="shared" si="159"/>
        <v>0</v>
      </c>
      <c r="L345" s="286">
        <f t="shared" si="160"/>
        <v>0</v>
      </c>
      <c r="M345" s="286">
        <f t="shared" si="161"/>
        <v>0</v>
      </c>
      <c r="N345" s="285">
        <f t="shared" si="162"/>
        <v>0</v>
      </c>
      <c r="O345" s="616">
        <f t="shared" si="144"/>
        <v>0</v>
      </c>
      <c r="P345" s="289">
        <f t="shared" si="163"/>
        <v>1</v>
      </c>
      <c r="Q345" s="290">
        <f t="shared" si="164"/>
        <v>0</v>
      </c>
      <c r="R345" s="290">
        <f t="shared" si="165"/>
        <v>0</v>
      </c>
      <c r="S345" s="290">
        <f t="shared" si="166"/>
        <v>0</v>
      </c>
      <c r="T345" s="290">
        <f t="shared" si="167"/>
        <v>0</v>
      </c>
      <c r="U345" s="291">
        <f t="shared" si="168"/>
        <v>0</v>
      </c>
      <c r="V345" s="291">
        <f t="shared" si="172"/>
        <v>0</v>
      </c>
      <c r="W345" s="265">
        <f t="shared" si="169"/>
        <v>0</v>
      </c>
      <c r="X345" s="291">
        <f t="shared" si="173"/>
        <v>0</v>
      </c>
      <c r="Y345" s="170">
        <f t="shared" si="170"/>
        <v>0</v>
      </c>
      <c r="Z345" s="291">
        <f t="shared" si="171"/>
        <v>0</v>
      </c>
      <c r="AC345" s="276">
        <f>IF(AI345=1,IF(AC344=MiscData!$F$1,EOMONTH(AC344,-11),EOMONTH(AC344,1)),AC344)</f>
        <v>41790</v>
      </c>
      <c r="AD345" s="275" t="str">
        <f t="shared" si="153"/>
        <v>20140101LGUM_439</v>
      </c>
      <c r="AE345" s="294" t="str">
        <f t="shared" si="154"/>
        <v xml:space="preserve">20140101LS </v>
      </c>
      <c r="AF345" s="618" t="str">
        <f t="shared" si="174"/>
        <v>439</v>
      </c>
      <c r="AH345" s="265">
        <f>MiscData!$X$5</f>
        <v>20140101</v>
      </c>
      <c r="AI345" s="265">
        <f>IF(AI344+1&gt;MiscData!$AC$77,1,AI344+1)</f>
        <v>50</v>
      </c>
      <c r="AJ345" s="265" t="str">
        <f>VLOOKUP(AI345,MiscData!$AC$5:$AD$77,2,FALSE)</f>
        <v>LGUM_439</v>
      </c>
      <c r="AK345" s="265" t="str">
        <f>VLOOKUP(AJ345,MiscData!$AD$5:$AE$77,2,FALSE)</f>
        <v xml:space="preserve">LS </v>
      </c>
      <c r="AT345" s="265" t="s">
        <v>230</v>
      </c>
      <c r="AV345" s="265">
        <v>0</v>
      </c>
    </row>
    <row r="346" spans="1:48">
      <c r="A346" s="275">
        <f t="shared" si="175"/>
        <v>343</v>
      </c>
      <c r="B346" s="276" t="str">
        <f t="shared" si="149"/>
        <v>May 2014</v>
      </c>
      <c r="C346" s="277" t="str">
        <f t="shared" si="150"/>
        <v xml:space="preserve">LS </v>
      </c>
      <c r="D346" s="277" t="str">
        <f t="shared" si="151"/>
        <v>LGUM_440</v>
      </c>
      <c r="E346" s="614">
        <f t="shared" si="155"/>
        <v>2</v>
      </c>
      <c r="F346" s="615">
        <f t="shared" si="143"/>
        <v>0</v>
      </c>
      <c r="G346" s="614">
        <f t="shared" si="156"/>
        <v>164</v>
      </c>
      <c r="H346" s="615">
        <v>0</v>
      </c>
      <c r="I346" s="283">
        <f t="shared" si="157"/>
        <v>18.279999999999998</v>
      </c>
      <c r="J346" s="283">
        <f t="shared" si="158"/>
        <v>2.67</v>
      </c>
      <c r="K346" s="285">
        <f t="shared" si="159"/>
        <v>36.56</v>
      </c>
      <c r="L346" s="286">
        <f t="shared" si="160"/>
        <v>0</v>
      </c>
      <c r="M346" s="286">
        <f t="shared" si="161"/>
        <v>0</v>
      </c>
      <c r="N346" s="285">
        <f t="shared" si="162"/>
        <v>36.56</v>
      </c>
      <c r="O346" s="616">
        <f t="shared" si="144"/>
        <v>36.56</v>
      </c>
      <c r="P346" s="289">
        <f t="shared" si="163"/>
        <v>1</v>
      </c>
      <c r="Q346" s="290">
        <f t="shared" si="164"/>
        <v>0.26</v>
      </c>
      <c r="R346" s="290">
        <f t="shared" si="165"/>
        <v>0.86</v>
      </c>
      <c r="S346" s="290">
        <f t="shared" si="166"/>
        <v>0</v>
      </c>
      <c r="T346" s="290">
        <f t="shared" si="167"/>
        <v>37.68</v>
      </c>
      <c r="U346" s="291">
        <f t="shared" si="168"/>
        <v>37.68</v>
      </c>
      <c r="V346" s="291">
        <f t="shared" si="172"/>
        <v>0</v>
      </c>
      <c r="W346" s="265">
        <f t="shared" si="169"/>
        <v>0</v>
      </c>
      <c r="X346" s="291">
        <f t="shared" si="173"/>
        <v>0</v>
      </c>
      <c r="Y346" s="170">
        <f t="shared" si="170"/>
        <v>5.34</v>
      </c>
      <c r="Z346" s="291">
        <f t="shared" si="171"/>
        <v>31.220000000000002</v>
      </c>
      <c r="AC346" s="276">
        <f>IF(AI346=1,IF(AC345=MiscData!$F$1,EOMONTH(AC345,-11),EOMONTH(AC345,1)),AC345)</f>
        <v>41790</v>
      </c>
      <c r="AD346" s="275" t="str">
        <f t="shared" si="153"/>
        <v>20140101LGUM_440</v>
      </c>
      <c r="AE346" s="294" t="str">
        <f t="shared" si="154"/>
        <v xml:space="preserve">20140101LS </v>
      </c>
      <c r="AF346" s="618" t="str">
        <f t="shared" si="174"/>
        <v>440</v>
      </c>
      <c r="AH346" s="265">
        <f>MiscData!$X$5</f>
        <v>20140101</v>
      </c>
      <c r="AI346" s="265">
        <f>IF(AI345+1&gt;MiscData!$AC$77,1,AI345+1)</f>
        <v>51</v>
      </c>
      <c r="AJ346" s="265" t="str">
        <f>VLOOKUP(AI346,MiscData!$AC$5:$AD$77,2,FALSE)</f>
        <v>LGUM_440</v>
      </c>
      <c r="AK346" s="265" t="str">
        <f>VLOOKUP(AJ346,MiscData!$AD$5:$AE$77,2,FALSE)</f>
        <v xml:space="preserve">LS </v>
      </c>
      <c r="AT346" s="265" t="s">
        <v>231</v>
      </c>
      <c r="AV346" s="265">
        <v>0</v>
      </c>
    </row>
    <row r="347" spans="1:48">
      <c r="A347" s="275">
        <f t="shared" si="175"/>
        <v>344</v>
      </c>
      <c r="B347" s="276" t="str">
        <f t="shared" si="149"/>
        <v>May 2014</v>
      </c>
      <c r="C347" s="277" t="str">
        <f t="shared" si="150"/>
        <v xml:space="preserve">LS </v>
      </c>
      <c r="D347" s="277" t="str">
        <f t="shared" si="151"/>
        <v>LGUM_441</v>
      </c>
      <c r="E347" s="614">
        <f t="shared" si="155"/>
        <v>15</v>
      </c>
      <c r="F347" s="615">
        <f t="shared" si="143"/>
        <v>0</v>
      </c>
      <c r="G347" s="614">
        <f t="shared" si="156"/>
        <v>2065</v>
      </c>
      <c r="H347" s="615">
        <v>0</v>
      </c>
      <c r="I347" s="283">
        <f t="shared" si="157"/>
        <v>22.32</v>
      </c>
      <c r="J347" s="283">
        <f t="shared" si="158"/>
        <v>4.2800000000000011</v>
      </c>
      <c r="K347" s="285">
        <f t="shared" si="159"/>
        <v>334.8</v>
      </c>
      <c r="L347" s="286">
        <f t="shared" si="160"/>
        <v>0</v>
      </c>
      <c r="M347" s="286">
        <f t="shared" si="161"/>
        <v>0</v>
      </c>
      <c r="N347" s="285">
        <f t="shared" si="162"/>
        <v>334.8</v>
      </c>
      <c r="O347" s="616">
        <f t="shared" si="144"/>
        <v>334.79999999999995</v>
      </c>
      <c r="P347" s="289">
        <f t="shared" si="163"/>
        <v>0.99999999999999978</v>
      </c>
      <c r="Q347" s="290">
        <f t="shared" si="164"/>
        <v>3.27</v>
      </c>
      <c r="R347" s="290">
        <f t="shared" si="165"/>
        <v>7.77</v>
      </c>
      <c r="S347" s="290">
        <f t="shared" si="166"/>
        <v>0</v>
      </c>
      <c r="T347" s="290">
        <f t="shared" si="167"/>
        <v>345.84</v>
      </c>
      <c r="U347" s="291">
        <f t="shared" si="168"/>
        <v>345.84</v>
      </c>
      <c r="V347" s="291">
        <f t="shared" si="172"/>
        <v>0</v>
      </c>
      <c r="W347" s="265">
        <f t="shared" si="169"/>
        <v>0</v>
      </c>
      <c r="X347" s="291">
        <f t="shared" si="173"/>
        <v>0</v>
      </c>
      <c r="Y347" s="170">
        <f t="shared" si="170"/>
        <v>64.2</v>
      </c>
      <c r="Z347" s="291">
        <f t="shared" si="171"/>
        <v>270.59999999999997</v>
      </c>
      <c r="AC347" s="276">
        <f>IF(AI347=1,IF(AC346=MiscData!$F$1,EOMONTH(AC346,-11),EOMONTH(AC346,1)),AC346)</f>
        <v>41790</v>
      </c>
      <c r="AD347" s="275" t="str">
        <f t="shared" si="153"/>
        <v>20140101LGUM_441</v>
      </c>
      <c r="AE347" s="294" t="str">
        <f t="shared" si="154"/>
        <v xml:space="preserve">20140101LS </v>
      </c>
      <c r="AF347" s="618" t="str">
        <f t="shared" si="174"/>
        <v>441</v>
      </c>
      <c r="AH347" s="265">
        <f>MiscData!$X$5</f>
        <v>20140101</v>
      </c>
      <c r="AI347" s="265">
        <f>IF(AI346+1&gt;MiscData!$AC$77,1,AI346+1)</f>
        <v>52</v>
      </c>
      <c r="AJ347" s="265" t="str">
        <f>VLOOKUP(AI347,MiscData!$AC$5:$AD$77,2,FALSE)</f>
        <v>LGUM_441</v>
      </c>
      <c r="AK347" s="265" t="str">
        <f>VLOOKUP(AJ347,MiscData!$AD$5:$AE$77,2,FALSE)</f>
        <v xml:space="preserve">LS </v>
      </c>
      <c r="AT347" s="265" t="s">
        <v>232</v>
      </c>
      <c r="AV347" s="265">
        <v>-48.93</v>
      </c>
    </row>
    <row r="348" spans="1:48">
      <c r="A348" s="275">
        <f t="shared" si="175"/>
        <v>345</v>
      </c>
      <c r="B348" s="276" t="str">
        <f t="shared" si="149"/>
        <v>May 2014</v>
      </c>
      <c r="C348" s="277" t="str">
        <f t="shared" si="150"/>
        <v xml:space="preserve">LS </v>
      </c>
      <c r="D348" s="277" t="str">
        <f t="shared" si="151"/>
        <v>LGUM_452</v>
      </c>
      <c r="E348" s="614">
        <f t="shared" si="155"/>
        <v>3412</v>
      </c>
      <c r="F348" s="615">
        <f t="shared" ref="F348:F411" si="176">SUMIFS(L_1055_Count_OutOfPeriod,L_1055_Revenue_Month,$B348,L_1055_RateCategory,$D348)</f>
        <v>0</v>
      </c>
      <c r="G348" s="614">
        <f t="shared" si="156"/>
        <v>179674</v>
      </c>
      <c r="H348" s="615">
        <v>0</v>
      </c>
      <c r="I348" s="283">
        <f t="shared" si="157"/>
        <v>12.82</v>
      </c>
      <c r="J348" s="283">
        <f t="shared" si="158"/>
        <v>1.6500000000000004</v>
      </c>
      <c r="K348" s="285">
        <f t="shared" si="159"/>
        <v>43741.84</v>
      </c>
      <c r="L348" s="286">
        <f t="shared" si="160"/>
        <v>-129.32999999999856</v>
      </c>
      <c r="M348" s="286">
        <f t="shared" si="161"/>
        <v>0</v>
      </c>
      <c r="N348" s="285">
        <f t="shared" si="162"/>
        <v>43612.509999999995</v>
      </c>
      <c r="O348" s="616">
        <f t="shared" ref="O348:O363" si="177">T348-SUM(Q348:S348)-W348</f>
        <v>43612.51</v>
      </c>
      <c r="P348" s="289">
        <f t="shared" si="163"/>
        <v>1.0000000000000002</v>
      </c>
      <c r="Q348" s="290">
        <f t="shared" si="164"/>
        <v>285.61</v>
      </c>
      <c r="R348" s="290">
        <f t="shared" si="165"/>
        <v>1037.31</v>
      </c>
      <c r="S348" s="290">
        <f t="shared" si="166"/>
        <v>0</v>
      </c>
      <c r="T348" s="290">
        <f t="shared" si="167"/>
        <v>46072.49</v>
      </c>
      <c r="U348" s="291">
        <f t="shared" si="168"/>
        <v>44935.429999999993</v>
      </c>
      <c r="V348" s="291">
        <f t="shared" si="172"/>
        <v>1137.06</v>
      </c>
      <c r="W348" s="265">
        <f t="shared" si="169"/>
        <v>1137.06</v>
      </c>
      <c r="X348" s="291">
        <f t="shared" si="173"/>
        <v>0</v>
      </c>
      <c r="Y348" s="170">
        <f t="shared" si="170"/>
        <v>5629.8</v>
      </c>
      <c r="Z348" s="291">
        <f t="shared" si="171"/>
        <v>37982.71</v>
      </c>
      <c r="AC348" s="276">
        <f>IF(AI348=1,IF(AC347=MiscData!$F$1,EOMONTH(AC347,-11),EOMONTH(AC347,1)),AC347)</f>
        <v>41790</v>
      </c>
      <c r="AD348" s="275" t="str">
        <f t="shared" si="153"/>
        <v>20140101LGUM_452</v>
      </c>
      <c r="AE348" s="294" t="str">
        <f t="shared" si="154"/>
        <v xml:space="preserve">20140101LS </v>
      </c>
      <c r="AF348" s="618" t="str">
        <f t="shared" si="174"/>
        <v>452</v>
      </c>
      <c r="AH348" s="265">
        <f>MiscData!$X$5</f>
        <v>20140101</v>
      </c>
      <c r="AI348" s="265">
        <f>IF(AI347+1&gt;MiscData!$AC$77,1,AI347+1)</f>
        <v>53</v>
      </c>
      <c r="AJ348" s="265" t="str">
        <f>VLOOKUP(AI348,MiscData!$AC$5:$AD$77,2,FALSE)</f>
        <v>LGUM_452</v>
      </c>
      <c r="AK348" s="265" t="str">
        <f>VLOOKUP(AJ348,MiscData!$AD$5:$AE$77,2,FALSE)</f>
        <v xml:space="preserve">LS </v>
      </c>
      <c r="AT348" s="265" t="s">
        <v>233</v>
      </c>
      <c r="AV348" s="265">
        <v>0</v>
      </c>
    </row>
    <row r="349" spans="1:48">
      <c r="A349" s="275">
        <f t="shared" si="175"/>
        <v>346</v>
      </c>
      <c r="B349" s="276" t="str">
        <f t="shared" si="149"/>
        <v>May 2014</v>
      </c>
      <c r="C349" s="277" t="str">
        <f t="shared" si="150"/>
        <v xml:space="preserve">LS </v>
      </c>
      <c r="D349" s="277" t="str">
        <f t="shared" si="151"/>
        <v>LGUM_453</v>
      </c>
      <c r="E349" s="614">
        <f t="shared" si="155"/>
        <v>2227</v>
      </c>
      <c r="F349" s="615">
        <f t="shared" si="176"/>
        <v>0</v>
      </c>
      <c r="G349" s="614">
        <f t="shared" si="156"/>
        <v>193689</v>
      </c>
      <c r="H349" s="615">
        <v>0</v>
      </c>
      <c r="I349" s="283">
        <f t="shared" si="157"/>
        <v>15.08</v>
      </c>
      <c r="J349" s="283">
        <f t="shared" si="158"/>
        <v>3.9800000000000004</v>
      </c>
      <c r="K349" s="285">
        <f t="shared" si="159"/>
        <v>33583.160000000003</v>
      </c>
      <c r="L349" s="286">
        <f t="shared" si="160"/>
        <v>15.280000000000655</v>
      </c>
      <c r="M349" s="286">
        <f t="shared" si="161"/>
        <v>0</v>
      </c>
      <c r="N349" s="285">
        <f t="shared" si="162"/>
        <v>33598.44</v>
      </c>
      <c r="O349" s="616">
        <f t="shared" si="177"/>
        <v>33598.439999999995</v>
      </c>
      <c r="P349" s="289">
        <f t="shared" si="163"/>
        <v>0.99999999999999978</v>
      </c>
      <c r="Q349" s="290">
        <f t="shared" si="164"/>
        <v>306.75</v>
      </c>
      <c r="R349" s="290">
        <f t="shared" si="165"/>
        <v>786.84</v>
      </c>
      <c r="S349" s="290">
        <f t="shared" si="166"/>
        <v>0</v>
      </c>
      <c r="T349" s="290">
        <f t="shared" si="167"/>
        <v>35814.07</v>
      </c>
      <c r="U349" s="291">
        <f t="shared" si="168"/>
        <v>34692.03</v>
      </c>
      <c r="V349" s="291">
        <f t="shared" si="172"/>
        <v>1122.04</v>
      </c>
      <c r="W349" s="265">
        <f t="shared" si="169"/>
        <v>1122.04</v>
      </c>
      <c r="X349" s="291">
        <f t="shared" si="173"/>
        <v>0</v>
      </c>
      <c r="Y349" s="170">
        <f t="shared" si="170"/>
        <v>8863.4599999999991</v>
      </c>
      <c r="Z349" s="291">
        <f t="shared" si="171"/>
        <v>24734.979999999996</v>
      </c>
      <c r="AC349" s="276">
        <f>IF(AI349=1,IF(AC348=MiscData!$F$1,EOMONTH(AC348,-11),EOMONTH(AC348,1)),AC348)</f>
        <v>41790</v>
      </c>
      <c r="AD349" s="275" t="str">
        <f t="shared" si="153"/>
        <v>20140101LGUM_453</v>
      </c>
      <c r="AE349" s="294" t="str">
        <f t="shared" si="154"/>
        <v xml:space="preserve">20140101LS </v>
      </c>
      <c r="AF349" s="618" t="str">
        <f t="shared" si="174"/>
        <v>453</v>
      </c>
      <c r="AH349" s="265">
        <f>MiscData!$X$5</f>
        <v>20140101</v>
      </c>
      <c r="AI349" s="265">
        <f>IF(AI348+1&gt;MiscData!$AC$77,1,AI348+1)</f>
        <v>54</v>
      </c>
      <c r="AJ349" s="265" t="str">
        <f>VLOOKUP(AI349,MiscData!$AC$5:$AD$77,2,FALSE)</f>
        <v>LGUM_453</v>
      </c>
      <c r="AK349" s="265" t="str">
        <f>VLOOKUP(AJ349,MiscData!$AD$5:$AE$77,2,FALSE)</f>
        <v xml:space="preserve">LS </v>
      </c>
      <c r="AT349" s="265" t="s">
        <v>234</v>
      </c>
      <c r="AV349" s="265">
        <v>0</v>
      </c>
    </row>
    <row r="350" spans="1:48">
      <c r="A350" s="275">
        <f t="shared" si="175"/>
        <v>347</v>
      </c>
      <c r="B350" s="276" t="str">
        <f t="shared" si="149"/>
        <v>May 2014</v>
      </c>
      <c r="C350" s="277" t="str">
        <f t="shared" si="150"/>
        <v xml:space="preserve">LS </v>
      </c>
      <c r="D350" s="277" t="str">
        <f t="shared" si="151"/>
        <v>LGUM_454</v>
      </c>
      <c r="E350" s="614">
        <f t="shared" si="155"/>
        <v>3492</v>
      </c>
      <c r="F350" s="615">
        <f t="shared" si="176"/>
        <v>0</v>
      </c>
      <c r="G350" s="614">
        <f t="shared" si="156"/>
        <v>477507</v>
      </c>
      <c r="H350" s="615">
        <v>0</v>
      </c>
      <c r="I350" s="283">
        <f t="shared" si="157"/>
        <v>17.38</v>
      </c>
      <c r="J350" s="283">
        <f t="shared" si="158"/>
        <v>4.2800000000000011</v>
      </c>
      <c r="K350" s="285">
        <f t="shared" si="159"/>
        <v>60690.96</v>
      </c>
      <c r="L350" s="286">
        <f t="shared" si="160"/>
        <v>-86.899999999999181</v>
      </c>
      <c r="M350" s="286">
        <f t="shared" si="161"/>
        <v>0</v>
      </c>
      <c r="N350" s="285">
        <f t="shared" si="162"/>
        <v>60604.06</v>
      </c>
      <c r="O350" s="616">
        <f t="shared" si="177"/>
        <v>60604.06</v>
      </c>
      <c r="P350" s="289">
        <f t="shared" si="163"/>
        <v>1</v>
      </c>
      <c r="Q350" s="290">
        <f t="shared" si="164"/>
        <v>761.62</v>
      </c>
      <c r="R350" s="290">
        <f t="shared" si="165"/>
        <v>1484.67</v>
      </c>
      <c r="S350" s="290">
        <f t="shared" si="166"/>
        <v>0</v>
      </c>
      <c r="T350" s="290">
        <f t="shared" si="167"/>
        <v>65693.95</v>
      </c>
      <c r="U350" s="291">
        <f t="shared" si="168"/>
        <v>62850.35</v>
      </c>
      <c r="V350" s="291">
        <f t="shared" si="172"/>
        <v>2843.6</v>
      </c>
      <c r="W350" s="265">
        <f t="shared" si="169"/>
        <v>2843.6</v>
      </c>
      <c r="X350" s="291">
        <f t="shared" si="173"/>
        <v>0</v>
      </c>
      <c r="Y350" s="170">
        <f t="shared" si="170"/>
        <v>14945.76</v>
      </c>
      <c r="Z350" s="291">
        <f t="shared" si="171"/>
        <v>45658.299999999996</v>
      </c>
      <c r="AC350" s="276">
        <f>IF(AI350=1,IF(AC349=MiscData!$F$1,EOMONTH(AC349,-11),EOMONTH(AC349,1)),AC349)</f>
        <v>41790</v>
      </c>
      <c r="AD350" s="275" t="str">
        <f t="shared" si="153"/>
        <v>20140101LGUM_454</v>
      </c>
      <c r="AE350" s="294" t="str">
        <f t="shared" si="154"/>
        <v xml:space="preserve">20140101LS </v>
      </c>
      <c r="AF350" s="618" t="str">
        <f t="shared" si="174"/>
        <v>454</v>
      </c>
      <c r="AH350" s="265">
        <f>MiscData!$X$5</f>
        <v>20140101</v>
      </c>
      <c r="AI350" s="265">
        <f>IF(AI349+1&gt;MiscData!$AC$77,1,AI349+1)</f>
        <v>55</v>
      </c>
      <c r="AJ350" s="265" t="str">
        <f>VLOOKUP(AI350,MiscData!$AC$5:$AD$77,2,FALSE)</f>
        <v>LGUM_454</v>
      </c>
      <c r="AK350" s="265" t="str">
        <f>VLOOKUP(AJ350,MiscData!$AD$5:$AE$77,2,FALSE)</f>
        <v xml:space="preserve">LS </v>
      </c>
      <c r="AT350" s="265" t="s">
        <v>235</v>
      </c>
      <c r="AV350" s="265">
        <v>0</v>
      </c>
    </row>
    <row r="351" spans="1:48">
      <c r="A351" s="275">
        <f t="shared" si="175"/>
        <v>348</v>
      </c>
      <c r="B351" s="276" t="str">
        <f t="shared" si="149"/>
        <v>May 2014</v>
      </c>
      <c r="C351" s="277" t="str">
        <f t="shared" si="150"/>
        <v xml:space="preserve">LS </v>
      </c>
      <c r="D351" s="277" t="str">
        <f t="shared" si="151"/>
        <v>LGUM_455</v>
      </c>
      <c r="E351" s="614">
        <f t="shared" si="155"/>
        <v>418</v>
      </c>
      <c r="F351" s="615">
        <f t="shared" si="176"/>
        <v>0</v>
      </c>
      <c r="G351" s="614">
        <f t="shared" si="156"/>
        <v>21893</v>
      </c>
      <c r="H351" s="615">
        <v>0</v>
      </c>
      <c r="I351" s="283">
        <f t="shared" si="157"/>
        <v>13.77</v>
      </c>
      <c r="J351" s="283">
        <f t="shared" si="158"/>
        <v>1.6499999999999986</v>
      </c>
      <c r="K351" s="285">
        <f t="shared" si="159"/>
        <v>5755.86</v>
      </c>
      <c r="L351" s="286">
        <f t="shared" si="160"/>
        <v>-11.470000000000255</v>
      </c>
      <c r="M351" s="286">
        <f t="shared" si="161"/>
        <v>0</v>
      </c>
      <c r="N351" s="285">
        <f t="shared" si="162"/>
        <v>5744.3899999999994</v>
      </c>
      <c r="O351" s="616">
        <f t="shared" si="177"/>
        <v>5744.39</v>
      </c>
      <c r="P351" s="289">
        <f t="shared" si="163"/>
        <v>1.0000000000000002</v>
      </c>
      <c r="Q351" s="290">
        <f t="shared" si="164"/>
        <v>34.79</v>
      </c>
      <c r="R351" s="290">
        <f t="shared" si="165"/>
        <v>138.63999999999999</v>
      </c>
      <c r="S351" s="290">
        <f t="shared" si="166"/>
        <v>0</v>
      </c>
      <c r="T351" s="290">
        <f t="shared" si="167"/>
        <v>6144.26</v>
      </c>
      <c r="U351" s="291">
        <f t="shared" si="168"/>
        <v>5917.82</v>
      </c>
      <c r="V351" s="291">
        <f t="shared" si="172"/>
        <v>226.44</v>
      </c>
      <c r="W351" s="265">
        <f t="shared" si="169"/>
        <v>226.44</v>
      </c>
      <c r="X351" s="291">
        <f t="shared" si="173"/>
        <v>0</v>
      </c>
      <c r="Y351" s="170">
        <f t="shared" si="170"/>
        <v>689.7</v>
      </c>
      <c r="Z351" s="291">
        <f t="shared" si="171"/>
        <v>5054.6900000000005</v>
      </c>
      <c r="AC351" s="276">
        <f>IF(AI351=1,IF(AC350=MiscData!$F$1,EOMONTH(AC350,-11),EOMONTH(AC350,1)),AC350)</f>
        <v>41790</v>
      </c>
      <c r="AD351" s="275" t="str">
        <f t="shared" si="153"/>
        <v>20140101LGUM_455</v>
      </c>
      <c r="AE351" s="294" t="str">
        <f t="shared" si="154"/>
        <v xml:space="preserve">20140101LS </v>
      </c>
      <c r="AF351" s="618" t="str">
        <f t="shared" si="174"/>
        <v>455</v>
      </c>
      <c r="AH351" s="265">
        <f>MiscData!$X$5</f>
        <v>20140101</v>
      </c>
      <c r="AI351" s="265">
        <f>IF(AI350+1&gt;MiscData!$AC$77,1,AI350+1)</f>
        <v>56</v>
      </c>
      <c r="AJ351" s="265" t="str">
        <f>VLOOKUP(AI351,MiscData!$AC$5:$AD$77,2,FALSE)</f>
        <v>LGUM_455</v>
      </c>
      <c r="AK351" s="265" t="str">
        <f>VLOOKUP(AJ351,MiscData!$AD$5:$AE$77,2,FALSE)</f>
        <v xml:space="preserve">LS </v>
      </c>
      <c r="AT351" s="265" t="s">
        <v>236</v>
      </c>
      <c r="AV351" s="265">
        <v>0</v>
      </c>
    </row>
    <row r="352" spans="1:48">
      <c r="A352" s="275">
        <f t="shared" si="175"/>
        <v>349</v>
      </c>
      <c r="B352" s="276" t="str">
        <f t="shared" si="149"/>
        <v>May 2014</v>
      </c>
      <c r="C352" s="277" t="str">
        <f t="shared" si="150"/>
        <v xml:space="preserve">LS </v>
      </c>
      <c r="D352" s="277" t="str">
        <f t="shared" si="151"/>
        <v>LGUM_456</v>
      </c>
      <c r="E352" s="614">
        <f t="shared" si="155"/>
        <v>13198</v>
      </c>
      <c r="F352" s="615">
        <f t="shared" si="176"/>
        <v>0</v>
      </c>
      <c r="G352" s="614">
        <f t="shared" si="156"/>
        <v>1803728</v>
      </c>
      <c r="H352" s="615">
        <v>0</v>
      </c>
      <c r="I352" s="283">
        <f t="shared" si="157"/>
        <v>18.21</v>
      </c>
      <c r="J352" s="283">
        <f t="shared" si="158"/>
        <v>4.2800000000000011</v>
      </c>
      <c r="K352" s="285">
        <f t="shared" si="159"/>
        <v>240335.58</v>
      </c>
      <c r="L352" s="286">
        <f t="shared" si="160"/>
        <v>-744.78000000000611</v>
      </c>
      <c r="M352" s="286">
        <f t="shared" si="161"/>
        <v>0</v>
      </c>
      <c r="N352" s="285">
        <f t="shared" si="162"/>
        <v>239590.8</v>
      </c>
      <c r="O352" s="616">
        <f t="shared" si="177"/>
        <v>239590.8</v>
      </c>
      <c r="P352" s="289">
        <f t="shared" si="163"/>
        <v>1</v>
      </c>
      <c r="Q352" s="290">
        <f t="shared" si="164"/>
        <v>2877.83</v>
      </c>
      <c r="R352" s="290">
        <f t="shared" si="165"/>
        <v>5800.39</v>
      </c>
      <c r="S352" s="290">
        <f t="shared" si="166"/>
        <v>0</v>
      </c>
      <c r="T352" s="290">
        <f t="shared" si="167"/>
        <v>256198.78</v>
      </c>
      <c r="U352" s="291">
        <f t="shared" si="168"/>
        <v>248269.02</v>
      </c>
      <c r="V352" s="291">
        <f t="shared" si="172"/>
        <v>7929.76</v>
      </c>
      <c r="W352" s="265">
        <f t="shared" si="169"/>
        <v>7929.76</v>
      </c>
      <c r="X352" s="291">
        <f t="shared" si="173"/>
        <v>0</v>
      </c>
      <c r="Y352" s="170">
        <f t="shared" si="170"/>
        <v>56487.44</v>
      </c>
      <c r="Z352" s="291">
        <f t="shared" si="171"/>
        <v>183103.35999999999</v>
      </c>
      <c r="AC352" s="276">
        <f>IF(AI352=1,IF(AC351=MiscData!$F$1,EOMONTH(AC351,-11),EOMONTH(AC351,1)),AC351)</f>
        <v>41790</v>
      </c>
      <c r="AD352" s="275" t="str">
        <f t="shared" si="153"/>
        <v>20140101LGUM_456</v>
      </c>
      <c r="AE352" s="294" t="str">
        <f t="shared" si="154"/>
        <v xml:space="preserve">20140101LS </v>
      </c>
      <c r="AF352" s="618" t="str">
        <f t="shared" si="174"/>
        <v>456</v>
      </c>
      <c r="AH352" s="265">
        <f>MiscData!$X$5</f>
        <v>20140101</v>
      </c>
      <c r="AI352" s="265">
        <f>IF(AI351+1&gt;MiscData!$AC$77,1,AI351+1)</f>
        <v>57</v>
      </c>
      <c r="AJ352" s="265" t="str">
        <f>VLOOKUP(AI352,MiscData!$AC$5:$AD$77,2,FALSE)</f>
        <v>LGUM_456</v>
      </c>
      <c r="AK352" s="265" t="str">
        <f>VLOOKUP(AJ352,MiscData!$AD$5:$AE$77,2,FALSE)</f>
        <v xml:space="preserve">LS </v>
      </c>
      <c r="AT352" s="265" t="s">
        <v>237</v>
      </c>
      <c r="AV352" s="265">
        <v>108</v>
      </c>
    </row>
    <row r="353" spans="1:48">
      <c r="A353" s="275">
        <f t="shared" si="175"/>
        <v>350</v>
      </c>
      <c r="B353" s="276" t="str">
        <f t="shared" si="149"/>
        <v>May 2014</v>
      </c>
      <c r="C353" s="277" t="str">
        <f t="shared" si="150"/>
        <v xml:space="preserve">LS </v>
      </c>
      <c r="D353" s="277" t="str">
        <f t="shared" si="151"/>
        <v>LGUM_457</v>
      </c>
      <c r="E353" s="614">
        <f t="shared" si="155"/>
        <v>3375</v>
      </c>
      <c r="F353" s="615">
        <f t="shared" si="176"/>
        <v>0</v>
      </c>
      <c r="G353" s="614">
        <f t="shared" si="156"/>
        <v>114937</v>
      </c>
      <c r="H353" s="615">
        <v>0</v>
      </c>
      <c r="I353" s="283">
        <f t="shared" si="157"/>
        <v>10.86</v>
      </c>
      <c r="J353" s="283">
        <f t="shared" si="158"/>
        <v>1.0599999999999987</v>
      </c>
      <c r="K353" s="285">
        <f t="shared" si="159"/>
        <v>36652.5</v>
      </c>
      <c r="L353" s="286">
        <f t="shared" si="160"/>
        <v>-133.91000000000412</v>
      </c>
      <c r="M353" s="286">
        <f t="shared" si="161"/>
        <v>0</v>
      </c>
      <c r="N353" s="285">
        <f t="shared" si="162"/>
        <v>36518.589999999997</v>
      </c>
      <c r="O353" s="616">
        <f t="shared" si="177"/>
        <v>36518.589999999997</v>
      </c>
      <c r="P353" s="289">
        <f t="shared" si="163"/>
        <v>1</v>
      </c>
      <c r="Q353" s="290">
        <f t="shared" si="164"/>
        <v>182.66</v>
      </c>
      <c r="R353" s="290">
        <f t="shared" si="165"/>
        <v>883.25</v>
      </c>
      <c r="S353" s="290">
        <f t="shared" si="166"/>
        <v>0</v>
      </c>
      <c r="T353" s="290">
        <f t="shared" si="167"/>
        <v>39241.75</v>
      </c>
      <c r="U353" s="291">
        <f t="shared" si="168"/>
        <v>37584.5</v>
      </c>
      <c r="V353" s="291">
        <f t="shared" si="172"/>
        <v>1657.25</v>
      </c>
      <c r="W353" s="265">
        <f t="shared" si="169"/>
        <v>1657.25</v>
      </c>
      <c r="X353" s="291">
        <f t="shared" si="173"/>
        <v>0</v>
      </c>
      <c r="Y353" s="170">
        <f t="shared" si="170"/>
        <v>3577.5</v>
      </c>
      <c r="Z353" s="291">
        <f t="shared" si="171"/>
        <v>32941.089999999997</v>
      </c>
      <c r="AC353" s="276">
        <f>IF(AI353=1,IF(AC352=MiscData!$F$1,EOMONTH(AC352,-11),EOMONTH(AC352,1)),AC352)</f>
        <v>41790</v>
      </c>
      <c r="AD353" s="275" t="str">
        <f t="shared" si="153"/>
        <v>20140101LGUM_457</v>
      </c>
      <c r="AE353" s="294" t="str">
        <f t="shared" si="154"/>
        <v xml:space="preserve">20140101LS </v>
      </c>
      <c r="AF353" s="618" t="str">
        <f t="shared" si="174"/>
        <v>457</v>
      </c>
      <c r="AH353" s="265">
        <f>MiscData!$X$5</f>
        <v>20140101</v>
      </c>
      <c r="AI353" s="265">
        <f>IF(AI352+1&gt;MiscData!$AC$77,1,AI352+1)</f>
        <v>58</v>
      </c>
      <c r="AJ353" s="265" t="str">
        <f>VLOOKUP(AI353,MiscData!$AC$5:$AD$77,2,FALSE)</f>
        <v>LGUM_457</v>
      </c>
      <c r="AK353" s="265" t="str">
        <f>VLOOKUP(AJ353,MiscData!$AD$5:$AE$77,2,FALSE)</f>
        <v xml:space="preserve">LS </v>
      </c>
      <c r="AT353" s="265" t="s">
        <v>238</v>
      </c>
      <c r="AV353" s="265">
        <v>-37.090000000000003</v>
      </c>
    </row>
    <row r="354" spans="1:48">
      <c r="A354" s="275">
        <f t="shared" si="175"/>
        <v>351</v>
      </c>
      <c r="B354" s="276" t="str">
        <f t="shared" si="149"/>
        <v>May 2014</v>
      </c>
      <c r="C354" s="277" t="str">
        <f t="shared" si="150"/>
        <v>RLS</v>
      </c>
      <c r="D354" s="277" t="str">
        <f t="shared" si="151"/>
        <v>LGUM_458</v>
      </c>
      <c r="E354" s="614">
        <f t="shared" si="155"/>
        <v>4</v>
      </c>
      <c r="F354" s="615">
        <f t="shared" si="176"/>
        <v>0</v>
      </c>
      <c r="G354" s="614">
        <f t="shared" si="156"/>
        <v>238</v>
      </c>
      <c r="H354" s="615">
        <v>0</v>
      </c>
      <c r="I354" s="283">
        <f t="shared" si="157"/>
        <v>11.13</v>
      </c>
      <c r="J354" s="283">
        <f t="shared" si="158"/>
        <v>3.7700000000000014</v>
      </c>
      <c r="K354" s="285">
        <f t="shared" si="159"/>
        <v>44.52</v>
      </c>
      <c r="L354" s="286">
        <f t="shared" si="160"/>
        <v>0</v>
      </c>
      <c r="M354" s="286">
        <f t="shared" si="161"/>
        <v>0</v>
      </c>
      <c r="N354" s="285">
        <f t="shared" si="162"/>
        <v>44.52</v>
      </c>
      <c r="O354" s="616">
        <f t="shared" si="177"/>
        <v>44.519999999999996</v>
      </c>
      <c r="P354" s="289">
        <f t="shared" si="163"/>
        <v>0.99999999999999989</v>
      </c>
      <c r="Q354" s="290">
        <f t="shared" si="164"/>
        <v>0.38</v>
      </c>
      <c r="R354" s="290">
        <f t="shared" si="165"/>
        <v>1.04</v>
      </c>
      <c r="S354" s="290">
        <f t="shared" si="166"/>
        <v>0</v>
      </c>
      <c r="T354" s="290">
        <f t="shared" si="167"/>
        <v>45.94</v>
      </c>
      <c r="U354" s="291">
        <f t="shared" si="168"/>
        <v>45.940000000000005</v>
      </c>
      <c r="V354" s="291">
        <f t="shared" si="172"/>
        <v>0</v>
      </c>
      <c r="W354" s="265">
        <f t="shared" si="169"/>
        <v>0</v>
      </c>
      <c r="X354" s="291">
        <f t="shared" si="173"/>
        <v>0</v>
      </c>
      <c r="Y354" s="170">
        <f t="shared" si="170"/>
        <v>15.08</v>
      </c>
      <c r="Z354" s="291">
        <f t="shared" si="171"/>
        <v>29.439999999999998</v>
      </c>
      <c r="AC354" s="276">
        <f>IF(AI354=1,IF(AC353=MiscData!$F$1,EOMONTH(AC353,-11),EOMONTH(AC353,1)),AC353)</f>
        <v>41790</v>
      </c>
      <c r="AD354" s="275" t="str">
        <f t="shared" si="153"/>
        <v>20140101LGUM_458</v>
      </c>
      <c r="AE354" s="294" t="str">
        <f t="shared" si="154"/>
        <v>20140101RLS</v>
      </c>
      <c r="AF354" s="618" t="str">
        <f t="shared" si="174"/>
        <v>458</v>
      </c>
      <c r="AH354" s="265">
        <f>MiscData!$X$5</f>
        <v>20140101</v>
      </c>
      <c r="AI354" s="265">
        <f>IF(AI353+1&gt;MiscData!$AC$77,1,AI353+1)</f>
        <v>59</v>
      </c>
      <c r="AJ354" s="265" t="str">
        <f>VLOOKUP(AI354,MiscData!$AC$5:$AD$77,2,FALSE)</f>
        <v>LGUM_458</v>
      </c>
      <c r="AK354" s="265" t="str">
        <f>VLOOKUP(AJ354,MiscData!$AD$5:$AE$77,2,FALSE)</f>
        <v>RLS</v>
      </c>
      <c r="AT354" s="265" t="s">
        <v>379</v>
      </c>
      <c r="AV354" s="265">
        <v>0</v>
      </c>
    </row>
    <row r="355" spans="1:48">
      <c r="A355" s="275">
        <f t="shared" si="175"/>
        <v>352</v>
      </c>
      <c r="B355" s="276" t="str">
        <f t="shared" si="149"/>
        <v>May 2014</v>
      </c>
      <c r="C355" s="277" t="str">
        <f t="shared" si="150"/>
        <v xml:space="preserve">LS </v>
      </c>
      <c r="D355" s="277" t="str">
        <f t="shared" si="151"/>
        <v>LGUM_470</v>
      </c>
      <c r="E355" s="614">
        <f t="shared" si="155"/>
        <v>24</v>
      </c>
      <c r="F355" s="615">
        <f t="shared" si="176"/>
        <v>0</v>
      </c>
      <c r="G355" s="614">
        <f t="shared" si="156"/>
        <v>1065</v>
      </c>
      <c r="H355" s="615">
        <v>0</v>
      </c>
      <c r="I355" s="283">
        <f t="shared" si="157"/>
        <v>12.79</v>
      </c>
      <c r="J355" s="283">
        <f t="shared" si="158"/>
        <v>1.3699999999999992</v>
      </c>
      <c r="K355" s="285">
        <f t="shared" si="159"/>
        <v>306.95999999999998</v>
      </c>
      <c r="L355" s="286">
        <f t="shared" si="160"/>
        <v>0</v>
      </c>
      <c r="M355" s="286">
        <f t="shared" si="161"/>
        <v>0</v>
      </c>
      <c r="N355" s="285">
        <f t="shared" si="162"/>
        <v>306.95999999999998</v>
      </c>
      <c r="O355" s="616">
        <f t="shared" si="177"/>
        <v>306.95999999999998</v>
      </c>
      <c r="P355" s="289">
        <f t="shared" si="163"/>
        <v>1</v>
      </c>
      <c r="Q355" s="290">
        <f t="shared" si="164"/>
        <v>1.71</v>
      </c>
      <c r="R355" s="290">
        <f t="shared" si="165"/>
        <v>7.3</v>
      </c>
      <c r="S355" s="290">
        <f t="shared" si="166"/>
        <v>0</v>
      </c>
      <c r="T355" s="290">
        <f t="shared" si="167"/>
        <v>320.08999999999997</v>
      </c>
      <c r="U355" s="291">
        <f t="shared" si="168"/>
        <v>315.96999999999997</v>
      </c>
      <c r="V355" s="291">
        <f t="shared" si="172"/>
        <v>4.12</v>
      </c>
      <c r="W355" s="265">
        <f t="shared" si="169"/>
        <v>4.12</v>
      </c>
      <c r="X355" s="291">
        <f t="shared" si="173"/>
        <v>0</v>
      </c>
      <c r="Y355" s="170">
        <f t="shared" si="170"/>
        <v>32.880000000000003</v>
      </c>
      <c r="Z355" s="291">
        <f t="shared" si="171"/>
        <v>274.08</v>
      </c>
      <c r="AC355" s="276">
        <f>IF(AI355=1,IF(AC354=MiscData!$F$1,EOMONTH(AC354,-11),EOMONTH(AC354,1)),AC354)</f>
        <v>41790</v>
      </c>
      <c r="AD355" s="275" t="str">
        <f t="shared" si="153"/>
        <v>20140101LGUM_470</v>
      </c>
      <c r="AE355" s="294" t="str">
        <f t="shared" si="154"/>
        <v xml:space="preserve">20140101LS </v>
      </c>
      <c r="AF355" s="618" t="str">
        <f t="shared" si="174"/>
        <v>470</v>
      </c>
      <c r="AH355" s="265">
        <f>MiscData!$X$5</f>
        <v>20140101</v>
      </c>
      <c r="AI355" s="265">
        <f>IF(AI354+1&gt;MiscData!$AC$77,1,AI354+1)</f>
        <v>60</v>
      </c>
      <c r="AJ355" s="265" t="str">
        <f>VLOOKUP(AI355,MiscData!$AC$5:$AD$77,2,FALSE)</f>
        <v>LGUM_470</v>
      </c>
      <c r="AK355" s="265" t="str">
        <f>VLOOKUP(AJ355,MiscData!$AD$5:$AE$77,2,FALSE)</f>
        <v xml:space="preserve">LS </v>
      </c>
      <c r="AT355" s="265" t="s">
        <v>239</v>
      </c>
      <c r="AV355" s="265">
        <v>-7.64</v>
      </c>
    </row>
    <row r="356" spans="1:48">
      <c r="A356" s="275">
        <f t="shared" si="175"/>
        <v>353</v>
      </c>
      <c r="B356" s="276" t="str">
        <f t="shared" ref="B356:B419" si="178">TEXT(AC356,"mmm yyyy")</f>
        <v>May 2014</v>
      </c>
      <c r="C356" s="277" t="str">
        <f t="shared" ref="C356:C419" si="179">AK356</f>
        <v>RLS</v>
      </c>
      <c r="D356" s="277" t="str">
        <f t="shared" ref="D356:D419" si="180">AJ356</f>
        <v>LGUM_471</v>
      </c>
      <c r="E356" s="614">
        <f t="shared" si="155"/>
        <v>2</v>
      </c>
      <c r="F356" s="615">
        <f t="shared" si="176"/>
        <v>0</v>
      </c>
      <c r="G356" s="614">
        <f t="shared" si="156"/>
        <v>90</v>
      </c>
      <c r="H356" s="615">
        <v>0</v>
      </c>
      <c r="I356" s="283">
        <f t="shared" si="157"/>
        <v>15.07</v>
      </c>
      <c r="J356" s="283">
        <f t="shared" si="158"/>
        <v>1.3699999999999992</v>
      </c>
      <c r="K356" s="285">
        <f t="shared" si="159"/>
        <v>30.14</v>
      </c>
      <c r="L356" s="286">
        <f t="shared" si="160"/>
        <v>0</v>
      </c>
      <c r="M356" s="286">
        <f t="shared" si="161"/>
        <v>0</v>
      </c>
      <c r="N356" s="285">
        <f t="shared" si="162"/>
        <v>30.14</v>
      </c>
      <c r="O356" s="616">
        <f t="shared" si="177"/>
        <v>30.139999999999997</v>
      </c>
      <c r="P356" s="289">
        <f t="shared" si="163"/>
        <v>0.99999999999999989</v>
      </c>
      <c r="Q356" s="290">
        <f t="shared" si="164"/>
        <v>0.15</v>
      </c>
      <c r="R356" s="290">
        <f t="shared" si="165"/>
        <v>0.7</v>
      </c>
      <c r="S356" s="290">
        <f t="shared" si="166"/>
        <v>0</v>
      </c>
      <c r="T356" s="290">
        <f t="shared" si="167"/>
        <v>30.99</v>
      </c>
      <c r="U356" s="291">
        <f t="shared" si="168"/>
        <v>30.99</v>
      </c>
      <c r="V356" s="291">
        <f t="shared" si="172"/>
        <v>0</v>
      </c>
      <c r="W356" s="265">
        <f t="shared" si="169"/>
        <v>0</v>
      </c>
      <c r="X356" s="291">
        <f t="shared" si="173"/>
        <v>0</v>
      </c>
      <c r="Y356" s="170">
        <f t="shared" si="170"/>
        <v>2.74</v>
      </c>
      <c r="Z356" s="291">
        <f t="shared" si="171"/>
        <v>27.4</v>
      </c>
      <c r="AC356" s="276">
        <f>IF(AI356=1,IF(AC355=MiscData!$F$1,EOMONTH(AC355,-11),EOMONTH(AC355,1)),AC355)</f>
        <v>41790</v>
      </c>
      <c r="AD356" s="275" t="str">
        <f t="shared" ref="AD356:AD419" si="181">CONCATENATE(AH356&amp;AJ356)</f>
        <v>20140101LGUM_471</v>
      </c>
      <c r="AE356" s="294" t="str">
        <f t="shared" ref="AE356:AE419" si="182">CONCATENATE(AH356&amp;AK356)</f>
        <v>20140101RLS</v>
      </c>
      <c r="AF356" s="618" t="str">
        <f t="shared" si="174"/>
        <v>471</v>
      </c>
      <c r="AH356" s="265">
        <f>MiscData!$X$5</f>
        <v>20140101</v>
      </c>
      <c r="AI356" s="265">
        <f>IF(AI355+1&gt;MiscData!$AC$77,1,AI355+1)</f>
        <v>61</v>
      </c>
      <c r="AJ356" s="265" t="str">
        <f>VLOOKUP(AI356,MiscData!$AC$5:$AD$77,2,FALSE)</f>
        <v>LGUM_471</v>
      </c>
      <c r="AK356" s="265" t="str">
        <f>VLOOKUP(AJ356,MiscData!$AD$5:$AE$77,2,FALSE)</f>
        <v>RLS</v>
      </c>
      <c r="AT356" s="265" t="s">
        <v>241</v>
      </c>
      <c r="AV356" s="265">
        <v>-13.91</v>
      </c>
    </row>
    <row r="357" spans="1:48">
      <c r="A357" s="275">
        <f t="shared" si="175"/>
        <v>354</v>
      </c>
      <c r="B357" s="276" t="str">
        <f t="shared" si="178"/>
        <v>May 2014</v>
      </c>
      <c r="C357" s="277" t="str">
        <f t="shared" si="179"/>
        <v xml:space="preserve">LS </v>
      </c>
      <c r="D357" s="277" t="str">
        <f t="shared" si="180"/>
        <v>LGUM_473</v>
      </c>
      <c r="E357" s="614">
        <f t="shared" si="155"/>
        <v>416</v>
      </c>
      <c r="F357" s="615">
        <f t="shared" si="176"/>
        <v>0</v>
      </c>
      <c r="G357" s="614">
        <f t="shared" si="156"/>
        <v>42195</v>
      </c>
      <c r="H357" s="615">
        <v>0</v>
      </c>
      <c r="I357" s="283">
        <f t="shared" si="157"/>
        <v>18.68</v>
      </c>
      <c r="J357" s="283">
        <f t="shared" si="158"/>
        <v>3.1799999999999979</v>
      </c>
      <c r="K357" s="285">
        <f t="shared" si="159"/>
        <v>7770.88</v>
      </c>
      <c r="L357" s="286">
        <f t="shared" si="160"/>
        <v>-136.83999999999972</v>
      </c>
      <c r="M357" s="286">
        <f t="shared" si="161"/>
        <v>0</v>
      </c>
      <c r="N357" s="285">
        <f t="shared" si="162"/>
        <v>7634.04</v>
      </c>
      <c r="O357" s="616">
        <f t="shared" si="177"/>
        <v>7634.0399999999991</v>
      </c>
      <c r="P357" s="289">
        <f t="shared" si="163"/>
        <v>0.99999999999999989</v>
      </c>
      <c r="Q357" s="290">
        <f t="shared" si="164"/>
        <v>64.739999999999995</v>
      </c>
      <c r="R357" s="290">
        <f t="shared" si="165"/>
        <v>182.11</v>
      </c>
      <c r="S357" s="290">
        <f t="shared" si="166"/>
        <v>0</v>
      </c>
      <c r="T357" s="290">
        <f t="shared" si="167"/>
        <v>7961.11</v>
      </c>
      <c r="U357" s="291">
        <f t="shared" si="168"/>
        <v>7880.8899999999994</v>
      </c>
      <c r="V357" s="291">
        <f t="shared" si="172"/>
        <v>80.22</v>
      </c>
      <c r="W357" s="265">
        <f t="shared" si="169"/>
        <v>80.22</v>
      </c>
      <c r="X357" s="291">
        <f t="shared" si="173"/>
        <v>0</v>
      </c>
      <c r="Y357" s="170">
        <f t="shared" si="170"/>
        <v>1322.88</v>
      </c>
      <c r="Z357" s="291">
        <f t="shared" si="171"/>
        <v>6311.1599999999989</v>
      </c>
      <c r="AC357" s="276">
        <f>IF(AI357=1,IF(AC356=MiscData!$F$1,EOMONTH(AC356,-11),EOMONTH(AC356,1)),AC356)</f>
        <v>41790</v>
      </c>
      <c r="AD357" s="275" t="str">
        <f t="shared" si="181"/>
        <v>20140101LGUM_473</v>
      </c>
      <c r="AE357" s="294" t="str">
        <f t="shared" si="182"/>
        <v xml:space="preserve">20140101LS </v>
      </c>
      <c r="AF357" s="618" t="str">
        <f t="shared" si="174"/>
        <v>473</v>
      </c>
      <c r="AH357" s="265">
        <f>MiscData!$X$5</f>
        <v>20140101</v>
      </c>
      <c r="AI357" s="265">
        <f>IF(AI356+1&gt;MiscData!$AC$77,1,AI356+1)</f>
        <v>62</v>
      </c>
      <c r="AJ357" s="265" t="str">
        <f>VLOOKUP(AI357,MiscData!$AC$5:$AD$77,2,FALSE)</f>
        <v>LGUM_473</v>
      </c>
      <c r="AK357" s="265" t="str">
        <f>VLOOKUP(AJ357,MiscData!$AD$5:$AE$77,2,FALSE)</f>
        <v xml:space="preserve">LS </v>
      </c>
      <c r="AT357" s="265" t="s">
        <v>242</v>
      </c>
      <c r="AV357" s="265">
        <v>-17.55</v>
      </c>
    </row>
    <row r="358" spans="1:48">
      <c r="A358" s="275">
        <f t="shared" si="175"/>
        <v>355</v>
      </c>
      <c r="B358" s="276" t="str">
        <f t="shared" si="178"/>
        <v>May 2014</v>
      </c>
      <c r="C358" s="277" t="str">
        <f t="shared" si="179"/>
        <v>RLS</v>
      </c>
      <c r="D358" s="277" t="str">
        <f t="shared" si="180"/>
        <v>LGUM_474</v>
      </c>
      <c r="E358" s="614">
        <f t="shared" si="155"/>
        <v>54</v>
      </c>
      <c r="F358" s="615">
        <f t="shared" si="176"/>
        <v>0</v>
      </c>
      <c r="G358" s="614">
        <f t="shared" si="156"/>
        <v>5362</v>
      </c>
      <c r="H358" s="615">
        <v>0</v>
      </c>
      <c r="I358" s="283">
        <f t="shared" si="157"/>
        <v>20.970000000000002</v>
      </c>
      <c r="J358" s="283">
        <f t="shared" si="158"/>
        <v>3.1799999999999997</v>
      </c>
      <c r="K358" s="285">
        <f t="shared" si="159"/>
        <v>1132.3800000000001</v>
      </c>
      <c r="L358" s="286">
        <f t="shared" si="160"/>
        <v>0</v>
      </c>
      <c r="M358" s="286">
        <f t="shared" si="161"/>
        <v>0</v>
      </c>
      <c r="N358" s="285">
        <f t="shared" si="162"/>
        <v>1132.3800000000001</v>
      </c>
      <c r="O358" s="616">
        <f t="shared" si="177"/>
        <v>1132.3799999999999</v>
      </c>
      <c r="P358" s="289">
        <f t="shared" si="163"/>
        <v>0.99999999999999978</v>
      </c>
      <c r="Q358" s="290">
        <f t="shared" si="164"/>
        <v>8.5500000000000007</v>
      </c>
      <c r="R358" s="290">
        <f t="shared" si="165"/>
        <v>27.17</v>
      </c>
      <c r="S358" s="290">
        <f t="shared" si="166"/>
        <v>0</v>
      </c>
      <c r="T358" s="290">
        <f t="shared" si="167"/>
        <v>1194.8399999999999</v>
      </c>
      <c r="U358" s="291">
        <f t="shared" si="168"/>
        <v>1168.1000000000001</v>
      </c>
      <c r="V358" s="291">
        <f t="shared" si="172"/>
        <v>26.74</v>
      </c>
      <c r="W358" s="265">
        <f t="shared" si="169"/>
        <v>26.74</v>
      </c>
      <c r="X358" s="291">
        <f t="shared" si="173"/>
        <v>0</v>
      </c>
      <c r="Y358" s="170">
        <f t="shared" si="170"/>
        <v>171.72</v>
      </c>
      <c r="Z358" s="291">
        <f t="shared" si="171"/>
        <v>960.65999999999985</v>
      </c>
      <c r="AC358" s="276">
        <f>IF(AI358=1,IF(AC357=MiscData!$F$1,EOMONTH(AC357,-11),EOMONTH(AC357,1)),AC357)</f>
        <v>41790</v>
      </c>
      <c r="AD358" s="275" t="str">
        <f t="shared" si="181"/>
        <v>20140101LGUM_474</v>
      </c>
      <c r="AE358" s="294" t="str">
        <f t="shared" si="182"/>
        <v>20140101RLS</v>
      </c>
      <c r="AF358" s="618" t="str">
        <f t="shared" si="174"/>
        <v>474</v>
      </c>
      <c r="AH358" s="265">
        <f>MiscData!$X$5</f>
        <v>20140101</v>
      </c>
      <c r="AI358" s="265">
        <f>IF(AI357+1&gt;MiscData!$AC$77,1,AI357+1)</f>
        <v>63</v>
      </c>
      <c r="AJ358" s="265" t="str">
        <f>VLOOKUP(AI358,MiscData!$AC$5:$AD$77,2,FALSE)</f>
        <v>LGUM_474</v>
      </c>
      <c r="AK358" s="265" t="str">
        <f>VLOOKUP(AJ358,MiscData!$AD$5:$AE$77,2,FALSE)</f>
        <v>RLS</v>
      </c>
      <c r="AT358" s="265" t="s">
        <v>380</v>
      </c>
      <c r="AV358" s="265">
        <v>0</v>
      </c>
    </row>
    <row r="359" spans="1:48">
      <c r="A359" s="275">
        <f t="shared" si="175"/>
        <v>356</v>
      </c>
      <c r="B359" s="276" t="str">
        <f t="shared" si="178"/>
        <v>May 2014</v>
      </c>
      <c r="C359" s="277" t="str">
        <f t="shared" si="179"/>
        <v>RLS</v>
      </c>
      <c r="D359" s="277" t="str">
        <f t="shared" si="180"/>
        <v>LGUM_475</v>
      </c>
      <c r="E359" s="614">
        <f t="shared" si="155"/>
        <v>2</v>
      </c>
      <c r="F359" s="615">
        <f t="shared" si="176"/>
        <v>0</v>
      </c>
      <c r="G359" s="614">
        <f t="shared" si="156"/>
        <v>194</v>
      </c>
      <c r="H359" s="615">
        <v>0</v>
      </c>
      <c r="I359" s="283">
        <f t="shared" si="157"/>
        <v>28.42</v>
      </c>
      <c r="J359" s="283">
        <f t="shared" si="158"/>
        <v>3.1800000000000033</v>
      </c>
      <c r="K359" s="285">
        <f t="shared" si="159"/>
        <v>56.84</v>
      </c>
      <c r="L359" s="286">
        <f t="shared" si="160"/>
        <v>0</v>
      </c>
      <c r="M359" s="286">
        <f t="shared" si="161"/>
        <v>0</v>
      </c>
      <c r="N359" s="285">
        <f t="shared" si="162"/>
        <v>56.84</v>
      </c>
      <c r="O359" s="616">
        <f t="shared" si="177"/>
        <v>56.84</v>
      </c>
      <c r="P359" s="289">
        <f t="shared" si="163"/>
        <v>1</v>
      </c>
      <c r="Q359" s="290">
        <f t="shared" si="164"/>
        <v>0.31</v>
      </c>
      <c r="R359" s="290">
        <f t="shared" si="165"/>
        <v>1.34</v>
      </c>
      <c r="S359" s="290">
        <f t="shared" si="166"/>
        <v>0</v>
      </c>
      <c r="T359" s="290">
        <f t="shared" si="167"/>
        <v>58.49</v>
      </c>
      <c r="U359" s="291">
        <f t="shared" si="168"/>
        <v>58.490000000000009</v>
      </c>
      <c r="V359" s="291">
        <f t="shared" si="172"/>
        <v>0</v>
      </c>
      <c r="W359" s="265">
        <f t="shared" si="169"/>
        <v>0</v>
      </c>
      <c r="X359" s="291">
        <f t="shared" si="173"/>
        <v>0</v>
      </c>
      <c r="Y359" s="170">
        <f t="shared" si="170"/>
        <v>6.36</v>
      </c>
      <c r="Z359" s="291">
        <f t="shared" si="171"/>
        <v>50.480000000000004</v>
      </c>
      <c r="AC359" s="276">
        <f>IF(AI359=1,IF(AC358=MiscData!$F$1,EOMONTH(AC358,-11),EOMONTH(AC358,1)),AC358)</f>
        <v>41790</v>
      </c>
      <c r="AD359" s="275" t="str">
        <f t="shared" si="181"/>
        <v>20140101LGUM_475</v>
      </c>
      <c r="AE359" s="294" t="str">
        <f t="shared" si="182"/>
        <v>20140101RLS</v>
      </c>
      <c r="AF359" s="618" t="str">
        <f t="shared" si="174"/>
        <v>475</v>
      </c>
      <c r="AH359" s="265">
        <f>MiscData!$X$5</f>
        <v>20140101</v>
      </c>
      <c r="AI359" s="265">
        <f>IF(AI358+1&gt;MiscData!$AC$77,1,AI358+1)</f>
        <v>64</v>
      </c>
      <c r="AJ359" s="265" t="str">
        <f>VLOOKUP(AI359,MiscData!$AC$5:$AD$77,2,FALSE)</f>
        <v>LGUM_475</v>
      </c>
      <c r="AK359" s="265" t="str">
        <f>VLOOKUP(AJ359,MiscData!$AD$5:$AE$77,2,FALSE)</f>
        <v>RLS</v>
      </c>
      <c r="AT359" s="265" t="s">
        <v>243</v>
      </c>
      <c r="AV359" s="265">
        <v>0</v>
      </c>
    </row>
    <row r="360" spans="1:48">
      <c r="A360" s="275">
        <f t="shared" si="175"/>
        <v>357</v>
      </c>
      <c r="B360" s="276" t="str">
        <f t="shared" si="178"/>
        <v>May 2014</v>
      </c>
      <c r="C360" s="277" t="str">
        <f t="shared" si="179"/>
        <v xml:space="preserve">LS </v>
      </c>
      <c r="D360" s="277" t="str">
        <f t="shared" si="180"/>
        <v>LGUM_476</v>
      </c>
      <c r="E360" s="614">
        <f t="shared" si="155"/>
        <v>451</v>
      </c>
      <c r="F360" s="615">
        <f t="shared" si="176"/>
        <v>0</v>
      </c>
      <c r="G360" s="614">
        <f t="shared" si="156"/>
        <v>145716</v>
      </c>
      <c r="H360" s="615">
        <v>0</v>
      </c>
      <c r="I360" s="283">
        <f t="shared" si="157"/>
        <v>39.6</v>
      </c>
      <c r="J360" s="283">
        <f t="shared" si="158"/>
        <v>9.8100000000000023</v>
      </c>
      <c r="K360" s="285">
        <f t="shared" si="159"/>
        <v>17859.599999999999</v>
      </c>
      <c r="L360" s="286">
        <f t="shared" si="160"/>
        <v>-21.630000000001161</v>
      </c>
      <c r="M360" s="286">
        <f t="shared" si="161"/>
        <v>0</v>
      </c>
      <c r="N360" s="285">
        <f t="shared" si="162"/>
        <v>17837.969999999998</v>
      </c>
      <c r="O360" s="616">
        <f t="shared" si="177"/>
        <v>17837.97</v>
      </c>
      <c r="P360" s="289">
        <f t="shared" si="163"/>
        <v>1.0000000000000002</v>
      </c>
      <c r="Q360" s="290">
        <f t="shared" si="164"/>
        <v>211.57</v>
      </c>
      <c r="R360" s="290">
        <f t="shared" si="165"/>
        <v>429.69</v>
      </c>
      <c r="S360" s="290">
        <f t="shared" si="166"/>
        <v>0</v>
      </c>
      <c r="T360" s="290">
        <f t="shared" si="167"/>
        <v>18598.509999999998</v>
      </c>
      <c r="U360" s="291">
        <f t="shared" si="168"/>
        <v>18479.229999999996</v>
      </c>
      <c r="V360" s="291">
        <f t="shared" si="172"/>
        <v>119.28</v>
      </c>
      <c r="W360" s="265">
        <f t="shared" si="169"/>
        <v>119.28</v>
      </c>
      <c r="X360" s="291">
        <f t="shared" si="173"/>
        <v>0</v>
      </c>
      <c r="Y360" s="170">
        <f t="shared" si="170"/>
        <v>4424.3100000000004</v>
      </c>
      <c r="Z360" s="291">
        <f t="shared" si="171"/>
        <v>13413.66</v>
      </c>
      <c r="AC360" s="276">
        <f>IF(AI360=1,IF(AC359=MiscData!$F$1,EOMONTH(AC359,-11),EOMONTH(AC359,1)),AC359)</f>
        <v>41790</v>
      </c>
      <c r="AD360" s="275" t="str">
        <f t="shared" si="181"/>
        <v>20140101LGUM_476</v>
      </c>
      <c r="AE360" s="294" t="str">
        <f t="shared" si="182"/>
        <v xml:space="preserve">20140101LS </v>
      </c>
      <c r="AF360" s="618" t="str">
        <f t="shared" si="174"/>
        <v>476</v>
      </c>
      <c r="AH360" s="265">
        <f>MiscData!$X$5</f>
        <v>20140101</v>
      </c>
      <c r="AI360" s="265">
        <f>IF(AI359+1&gt;MiscData!$AC$77,1,AI359+1)</f>
        <v>65</v>
      </c>
      <c r="AJ360" s="265" t="str">
        <f>VLOOKUP(AI360,MiscData!$AC$5:$AD$77,2,FALSE)</f>
        <v>LGUM_476</v>
      </c>
      <c r="AK360" s="265" t="str">
        <f>VLOOKUP(AJ360,MiscData!$AD$5:$AE$77,2,FALSE)</f>
        <v xml:space="preserve">LS </v>
      </c>
      <c r="AT360" s="265" t="s">
        <v>244</v>
      </c>
      <c r="AV360" s="265">
        <v>0</v>
      </c>
    </row>
    <row r="361" spans="1:48">
      <c r="A361" s="275">
        <f t="shared" si="175"/>
        <v>358</v>
      </c>
      <c r="B361" s="276" t="str">
        <f t="shared" si="178"/>
        <v>May 2014</v>
      </c>
      <c r="C361" s="277" t="str">
        <f t="shared" si="179"/>
        <v>RLS</v>
      </c>
      <c r="D361" s="277" t="str">
        <f t="shared" si="180"/>
        <v>LGUM_477</v>
      </c>
      <c r="E361" s="614">
        <f t="shared" si="155"/>
        <v>63</v>
      </c>
      <c r="F361" s="615">
        <f t="shared" si="176"/>
        <v>0</v>
      </c>
      <c r="G361" s="614">
        <f t="shared" si="156"/>
        <v>19632</v>
      </c>
      <c r="H361" s="615">
        <v>0</v>
      </c>
      <c r="I361" s="283">
        <f t="shared" si="157"/>
        <v>42.78</v>
      </c>
      <c r="J361" s="283">
        <f t="shared" si="158"/>
        <v>9.8100000000000023</v>
      </c>
      <c r="K361" s="285">
        <f t="shared" si="159"/>
        <v>2695.14</v>
      </c>
      <c r="L361" s="286">
        <f t="shared" si="160"/>
        <v>0</v>
      </c>
      <c r="M361" s="286">
        <f t="shared" si="161"/>
        <v>0</v>
      </c>
      <c r="N361" s="285">
        <f t="shared" si="162"/>
        <v>2695.14</v>
      </c>
      <c r="O361" s="616">
        <f t="shared" si="177"/>
        <v>2695.1400000000003</v>
      </c>
      <c r="P361" s="289">
        <f t="shared" si="163"/>
        <v>1.0000000000000002</v>
      </c>
      <c r="Q361" s="290">
        <f t="shared" si="164"/>
        <v>31.35</v>
      </c>
      <c r="R361" s="290">
        <f t="shared" si="165"/>
        <v>63.96</v>
      </c>
      <c r="S361" s="290">
        <f t="shared" si="166"/>
        <v>0</v>
      </c>
      <c r="T361" s="290">
        <f t="shared" si="167"/>
        <v>2824.38</v>
      </c>
      <c r="U361" s="291">
        <f t="shared" si="168"/>
        <v>2790.45</v>
      </c>
      <c r="V361" s="291">
        <f t="shared" si="172"/>
        <v>33.93</v>
      </c>
      <c r="W361" s="265">
        <f t="shared" si="169"/>
        <v>33.93</v>
      </c>
      <c r="X361" s="291">
        <f t="shared" si="173"/>
        <v>0</v>
      </c>
      <c r="Y361" s="170">
        <f t="shared" si="170"/>
        <v>618.03</v>
      </c>
      <c r="Z361" s="291">
        <f t="shared" si="171"/>
        <v>2077.1100000000006</v>
      </c>
      <c r="AC361" s="276">
        <f>IF(AI361=1,IF(AC360=MiscData!$F$1,EOMONTH(AC360,-11),EOMONTH(AC360,1)),AC360)</f>
        <v>41790</v>
      </c>
      <c r="AD361" s="275" t="str">
        <f t="shared" si="181"/>
        <v>20140101LGUM_477</v>
      </c>
      <c r="AE361" s="294" t="str">
        <f t="shared" si="182"/>
        <v>20140101RLS</v>
      </c>
      <c r="AF361" s="618" t="str">
        <f t="shared" si="174"/>
        <v>477</v>
      </c>
      <c r="AH361" s="265">
        <f>MiscData!$X$5</f>
        <v>20140101</v>
      </c>
      <c r="AI361" s="265">
        <f>IF(AI360+1&gt;MiscData!$AC$77,1,AI360+1)</f>
        <v>66</v>
      </c>
      <c r="AJ361" s="265" t="str">
        <f>VLOOKUP(AI361,MiscData!$AC$5:$AD$77,2,FALSE)</f>
        <v>LGUM_477</v>
      </c>
      <c r="AK361" s="265" t="str">
        <f>VLOOKUP(AJ361,MiscData!$AD$5:$AE$77,2,FALSE)</f>
        <v>RLS</v>
      </c>
      <c r="AT361" s="265" t="s">
        <v>245</v>
      </c>
      <c r="AV361" s="265">
        <v>-20.83</v>
      </c>
    </row>
    <row r="362" spans="1:48">
      <c r="A362" s="275">
        <f t="shared" si="175"/>
        <v>359</v>
      </c>
      <c r="B362" s="276" t="str">
        <f t="shared" si="178"/>
        <v>May 2014</v>
      </c>
      <c r="C362" s="277" t="str">
        <f t="shared" si="179"/>
        <v xml:space="preserve">LS </v>
      </c>
      <c r="D362" s="277" t="str">
        <f t="shared" si="180"/>
        <v>LGUM_479</v>
      </c>
      <c r="E362" s="614">
        <f t="shared" si="155"/>
        <v>0</v>
      </c>
      <c r="F362" s="615">
        <f t="shared" si="176"/>
        <v>0</v>
      </c>
      <c r="G362" s="614">
        <f t="shared" si="156"/>
        <v>0</v>
      </c>
      <c r="H362" s="615">
        <v>0</v>
      </c>
      <c r="I362" s="283">
        <f t="shared" si="157"/>
        <v>14.06</v>
      </c>
      <c r="J362" s="283">
        <f t="shared" si="158"/>
        <v>1.370000000000001</v>
      </c>
      <c r="K362" s="285">
        <f t="shared" si="159"/>
        <v>0</v>
      </c>
      <c r="L362" s="286">
        <f t="shared" si="160"/>
        <v>0</v>
      </c>
      <c r="M362" s="286">
        <f t="shared" si="161"/>
        <v>0</v>
      </c>
      <c r="N362" s="285">
        <f t="shared" si="162"/>
        <v>0</v>
      </c>
      <c r="O362" s="616">
        <f t="shared" si="177"/>
        <v>0</v>
      </c>
      <c r="P362" s="289">
        <f t="shared" si="163"/>
        <v>1</v>
      </c>
      <c r="Q362" s="290">
        <f t="shared" si="164"/>
        <v>0</v>
      </c>
      <c r="R362" s="290">
        <f t="shared" si="165"/>
        <v>0</v>
      </c>
      <c r="S362" s="290">
        <f t="shared" si="166"/>
        <v>0</v>
      </c>
      <c r="T362" s="290">
        <f t="shared" si="167"/>
        <v>0</v>
      </c>
      <c r="U362" s="291">
        <f t="shared" si="168"/>
        <v>0</v>
      </c>
      <c r="V362" s="291">
        <f t="shared" si="172"/>
        <v>0</v>
      </c>
      <c r="W362" s="265">
        <f t="shared" si="169"/>
        <v>0</v>
      </c>
      <c r="X362" s="291">
        <f t="shared" si="173"/>
        <v>0</v>
      </c>
      <c r="Y362" s="170">
        <f t="shared" si="170"/>
        <v>0</v>
      </c>
      <c r="Z362" s="291">
        <f t="shared" si="171"/>
        <v>0</v>
      </c>
      <c r="AC362" s="276">
        <f>IF(AI362=1,IF(AC361=MiscData!$F$1,EOMONTH(AC361,-11),EOMONTH(AC361,1)),AC361)</f>
        <v>41790</v>
      </c>
      <c r="AD362" s="275" t="str">
        <f t="shared" si="181"/>
        <v>20140101LGUM_479</v>
      </c>
      <c r="AE362" s="294" t="str">
        <f t="shared" si="182"/>
        <v xml:space="preserve">20140101LS </v>
      </c>
      <c r="AF362" s="618" t="str">
        <f t="shared" si="174"/>
        <v>479</v>
      </c>
      <c r="AH362" s="265">
        <f>MiscData!$X$5</f>
        <v>20140101</v>
      </c>
      <c r="AI362" s="265">
        <f>IF(AI361+1&gt;MiscData!$AC$77,1,AI361+1)</f>
        <v>67</v>
      </c>
      <c r="AJ362" s="265" t="str">
        <f>VLOOKUP(AI362,MiscData!$AC$5:$AD$77,2,FALSE)</f>
        <v>LGUM_479</v>
      </c>
      <c r="AK362" s="265" t="str">
        <f>VLOOKUP(AJ362,MiscData!$AD$5:$AE$77,2,FALSE)</f>
        <v xml:space="preserve">LS </v>
      </c>
      <c r="AT362" s="265" t="s">
        <v>381</v>
      </c>
      <c r="AV362" s="265">
        <v>0</v>
      </c>
    </row>
    <row r="363" spans="1:48">
      <c r="A363" s="275">
        <f t="shared" si="175"/>
        <v>360</v>
      </c>
      <c r="B363" s="276" t="str">
        <f t="shared" si="178"/>
        <v>May 2014</v>
      </c>
      <c r="C363" s="277" t="str">
        <f t="shared" si="179"/>
        <v xml:space="preserve">LS </v>
      </c>
      <c r="D363" s="277" t="str">
        <f t="shared" si="180"/>
        <v>LGUM_480</v>
      </c>
      <c r="E363" s="614">
        <f t="shared" si="155"/>
        <v>18</v>
      </c>
      <c r="F363" s="615">
        <f t="shared" si="176"/>
        <v>0</v>
      </c>
      <c r="G363" s="614">
        <f t="shared" si="156"/>
        <v>725</v>
      </c>
      <c r="H363" s="615">
        <v>0</v>
      </c>
      <c r="I363" s="283">
        <f t="shared" si="157"/>
        <v>23.83</v>
      </c>
      <c r="J363" s="283">
        <f t="shared" si="158"/>
        <v>1.370000000000001</v>
      </c>
      <c r="K363" s="285">
        <f t="shared" si="159"/>
        <v>428.94</v>
      </c>
      <c r="L363" s="286">
        <f t="shared" si="160"/>
        <v>0</v>
      </c>
      <c r="M363" s="286">
        <f t="shared" si="161"/>
        <v>0</v>
      </c>
      <c r="N363" s="285">
        <f t="shared" si="162"/>
        <v>428.94</v>
      </c>
      <c r="O363" s="616">
        <f t="shared" si="177"/>
        <v>428.94</v>
      </c>
      <c r="P363" s="289">
        <f t="shared" si="163"/>
        <v>1</v>
      </c>
      <c r="Q363" s="290">
        <f t="shared" si="164"/>
        <v>1.1599999999999999</v>
      </c>
      <c r="R363" s="290">
        <f t="shared" si="165"/>
        <v>10.02</v>
      </c>
      <c r="S363" s="290">
        <f t="shared" si="166"/>
        <v>0</v>
      </c>
      <c r="T363" s="290">
        <f t="shared" si="167"/>
        <v>440.12</v>
      </c>
      <c r="U363" s="291">
        <f t="shared" si="168"/>
        <v>440.12</v>
      </c>
      <c r="V363" s="291">
        <f t="shared" si="172"/>
        <v>0</v>
      </c>
      <c r="W363" s="265">
        <f t="shared" si="169"/>
        <v>0</v>
      </c>
      <c r="X363" s="291">
        <f t="shared" si="173"/>
        <v>0</v>
      </c>
      <c r="Y363" s="170">
        <f t="shared" si="170"/>
        <v>24.66</v>
      </c>
      <c r="Z363" s="291">
        <f t="shared" si="171"/>
        <v>404.28</v>
      </c>
      <c r="AC363" s="276">
        <f>IF(AI363=1,IF(AC362=MiscData!$F$1,EOMONTH(AC362,-11),EOMONTH(AC362,1)),AC362)</f>
        <v>41790</v>
      </c>
      <c r="AD363" s="275" t="str">
        <f t="shared" si="181"/>
        <v>20140101LGUM_480</v>
      </c>
      <c r="AE363" s="294" t="str">
        <f t="shared" si="182"/>
        <v xml:space="preserve">20140101LS </v>
      </c>
      <c r="AF363" s="618" t="str">
        <f t="shared" si="174"/>
        <v>480</v>
      </c>
      <c r="AH363" s="265">
        <f>MiscData!$X$5</f>
        <v>20140101</v>
      </c>
      <c r="AI363" s="265">
        <f>IF(AI362+1&gt;MiscData!$AC$77,1,AI362+1)</f>
        <v>68</v>
      </c>
      <c r="AJ363" s="265" t="str">
        <f>VLOOKUP(AI363,MiscData!$AC$5:$AD$77,2,FALSE)</f>
        <v>LGUM_480</v>
      </c>
      <c r="AK363" s="265" t="str">
        <f>VLOOKUP(AJ363,MiscData!$AD$5:$AE$77,2,FALSE)</f>
        <v xml:space="preserve">LS </v>
      </c>
      <c r="AT363" s="265" t="s">
        <v>246</v>
      </c>
      <c r="AV363" s="265">
        <v>0</v>
      </c>
    </row>
    <row r="364" spans="1:48">
      <c r="A364" s="275">
        <f t="shared" si="175"/>
        <v>361</v>
      </c>
      <c r="B364" s="276" t="str">
        <f t="shared" si="178"/>
        <v>May 2014</v>
      </c>
      <c r="C364" s="277" t="str">
        <f t="shared" si="179"/>
        <v xml:space="preserve">LS </v>
      </c>
      <c r="D364" s="277" t="str">
        <f t="shared" si="180"/>
        <v>LGUM_481</v>
      </c>
      <c r="E364" s="614">
        <f t="shared" si="155"/>
        <v>4</v>
      </c>
      <c r="F364" s="615">
        <f t="shared" si="176"/>
        <v>0</v>
      </c>
      <c r="G364" s="614">
        <f t="shared" si="156"/>
        <v>427</v>
      </c>
      <c r="H364" s="615">
        <v>0</v>
      </c>
      <c r="I364" s="283">
        <f t="shared" si="157"/>
        <v>20.46</v>
      </c>
      <c r="J364" s="283">
        <f t="shared" si="158"/>
        <v>3.1800000000000033</v>
      </c>
      <c r="K364" s="285">
        <f t="shared" si="159"/>
        <v>81.84</v>
      </c>
      <c r="L364" s="286">
        <f t="shared" si="160"/>
        <v>0</v>
      </c>
      <c r="M364" s="286">
        <f t="shared" si="161"/>
        <v>0</v>
      </c>
      <c r="N364" s="285">
        <f t="shared" si="162"/>
        <v>81.84</v>
      </c>
      <c r="O364" s="616">
        <f t="shared" ref="O364:O419" si="183">T364-SUM(Q364:S364)-SUMIFS(L_1055_Revenue_Poles_Test_Period,L_1055_RateCategory,$D364,L_1055_Revenue_Month,$B364)</f>
        <v>81.84</v>
      </c>
      <c r="P364" s="289">
        <f t="shared" si="163"/>
        <v>1</v>
      </c>
      <c r="Q364" s="290">
        <f t="shared" si="164"/>
        <v>0.68</v>
      </c>
      <c r="R364" s="290">
        <f t="shared" si="165"/>
        <v>1.92</v>
      </c>
      <c r="S364" s="290">
        <f t="shared" si="166"/>
        <v>0</v>
      </c>
      <c r="T364" s="290">
        <f t="shared" si="167"/>
        <v>84.44</v>
      </c>
      <c r="U364" s="291">
        <f t="shared" si="168"/>
        <v>84.440000000000012</v>
      </c>
      <c r="V364" s="291">
        <f t="shared" si="172"/>
        <v>0</v>
      </c>
      <c r="W364" s="265">
        <f t="shared" si="169"/>
        <v>0</v>
      </c>
      <c r="X364" s="291">
        <f t="shared" si="173"/>
        <v>0</v>
      </c>
      <c r="Y364" s="170">
        <f t="shared" si="170"/>
        <v>12.72</v>
      </c>
      <c r="Z364" s="291">
        <f t="shared" si="171"/>
        <v>69.12</v>
      </c>
      <c r="AC364" s="276">
        <f>IF(AI364=1,IF(AC363=MiscData!$F$1,EOMONTH(AC363,-11),EOMONTH(AC363,1)),AC363)</f>
        <v>41790</v>
      </c>
      <c r="AD364" s="275" t="str">
        <f t="shared" si="181"/>
        <v>20140101LGUM_481</v>
      </c>
      <c r="AE364" s="294" t="str">
        <f t="shared" si="182"/>
        <v xml:space="preserve">20140101LS </v>
      </c>
      <c r="AF364" s="618" t="str">
        <f t="shared" si="174"/>
        <v>481</v>
      </c>
      <c r="AH364" s="265">
        <f>MiscData!$X$5</f>
        <v>20140101</v>
      </c>
      <c r="AI364" s="265">
        <f>IF(AI363+1&gt;MiscData!$AC$77,1,AI363+1)</f>
        <v>69</v>
      </c>
      <c r="AJ364" s="265" t="str">
        <f>VLOOKUP(AI364,MiscData!$AC$5:$AD$77,2,FALSE)</f>
        <v>LGUM_481</v>
      </c>
      <c r="AK364" s="265" t="str">
        <f>VLOOKUP(AJ364,MiscData!$AD$5:$AE$77,2,FALSE)</f>
        <v xml:space="preserve">LS </v>
      </c>
      <c r="AT364" s="265" t="s">
        <v>247</v>
      </c>
      <c r="AV364" s="265">
        <v>0</v>
      </c>
    </row>
    <row r="365" spans="1:48">
      <c r="A365" s="275">
        <f t="shared" si="175"/>
        <v>362</v>
      </c>
      <c r="B365" s="276" t="str">
        <f t="shared" si="178"/>
        <v>May 2014</v>
      </c>
      <c r="C365" s="277" t="str">
        <f t="shared" si="179"/>
        <v xml:space="preserve">LS </v>
      </c>
      <c r="D365" s="277" t="str">
        <f t="shared" si="180"/>
        <v>LGUM_482</v>
      </c>
      <c r="E365" s="614">
        <f t="shared" si="155"/>
        <v>41</v>
      </c>
      <c r="F365" s="615">
        <f t="shared" si="176"/>
        <v>0</v>
      </c>
      <c r="G365" s="614">
        <f t="shared" si="156"/>
        <v>4281</v>
      </c>
      <c r="H365" s="615">
        <v>0</v>
      </c>
      <c r="I365" s="283">
        <f t="shared" si="157"/>
        <v>30.21</v>
      </c>
      <c r="J365" s="283">
        <f t="shared" si="158"/>
        <v>3.1800000000000033</v>
      </c>
      <c r="K365" s="285">
        <f t="shared" si="159"/>
        <v>1238.6099999999999</v>
      </c>
      <c r="L365" s="286">
        <f t="shared" si="160"/>
        <v>22.920000000000073</v>
      </c>
      <c r="M365" s="286">
        <f t="shared" si="161"/>
        <v>0</v>
      </c>
      <c r="N365" s="285">
        <f t="shared" si="162"/>
        <v>1261.53</v>
      </c>
      <c r="O365" s="616">
        <f t="shared" si="183"/>
        <v>1261.53</v>
      </c>
      <c r="P365" s="289">
        <f t="shared" si="163"/>
        <v>1</v>
      </c>
      <c r="Q365" s="290">
        <f t="shared" si="164"/>
        <v>6.83</v>
      </c>
      <c r="R365" s="290">
        <f t="shared" si="165"/>
        <v>29.57</v>
      </c>
      <c r="S365" s="290">
        <f t="shared" si="166"/>
        <v>0</v>
      </c>
      <c r="T365" s="290">
        <f t="shared" si="167"/>
        <v>1297.93</v>
      </c>
      <c r="U365" s="291">
        <f t="shared" si="168"/>
        <v>1297.9299999999998</v>
      </c>
      <c r="V365" s="291">
        <f t="shared" si="172"/>
        <v>0</v>
      </c>
      <c r="W365" s="265">
        <f t="shared" si="169"/>
        <v>0</v>
      </c>
      <c r="X365" s="291">
        <f t="shared" si="173"/>
        <v>0</v>
      </c>
      <c r="Y365" s="170">
        <f t="shared" si="170"/>
        <v>130.38</v>
      </c>
      <c r="Z365" s="291">
        <f t="shared" si="171"/>
        <v>1131.1500000000001</v>
      </c>
      <c r="AC365" s="276">
        <f>IF(AI365=1,IF(AC364=MiscData!$F$1,EOMONTH(AC364,-11),EOMONTH(AC364,1)),AC364)</f>
        <v>41790</v>
      </c>
      <c r="AD365" s="275" t="str">
        <f t="shared" si="181"/>
        <v>20140101LGUM_482</v>
      </c>
      <c r="AE365" s="294" t="str">
        <f t="shared" si="182"/>
        <v xml:space="preserve">20140101LS </v>
      </c>
      <c r="AF365" s="618" t="str">
        <f t="shared" si="174"/>
        <v>482</v>
      </c>
      <c r="AH365" s="265">
        <f>MiscData!$X$5</f>
        <v>20140101</v>
      </c>
      <c r="AI365" s="265">
        <f>IF(AI364+1&gt;MiscData!$AC$77,1,AI364+1)</f>
        <v>70</v>
      </c>
      <c r="AJ365" s="265" t="str">
        <f>VLOOKUP(AI365,MiscData!$AC$5:$AD$77,2,FALSE)</f>
        <v>LGUM_482</v>
      </c>
      <c r="AK365" s="265" t="str">
        <f>VLOOKUP(AJ365,MiscData!$AD$5:$AE$77,2,FALSE)</f>
        <v xml:space="preserve">LS </v>
      </c>
      <c r="AT365" s="265" t="s">
        <v>248</v>
      </c>
      <c r="AV365" s="265">
        <v>0</v>
      </c>
    </row>
    <row r="366" spans="1:48">
      <c r="A366" s="275">
        <f t="shared" si="175"/>
        <v>363</v>
      </c>
      <c r="B366" s="276" t="str">
        <f t="shared" si="178"/>
        <v>May 2014</v>
      </c>
      <c r="C366" s="277" t="str">
        <f t="shared" si="179"/>
        <v xml:space="preserve">LS </v>
      </c>
      <c r="D366" s="277" t="str">
        <f t="shared" si="180"/>
        <v>LGUM_483</v>
      </c>
      <c r="E366" s="614">
        <f t="shared" si="155"/>
        <v>2</v>
      </c>
      <c r="F366" s="615">
        <f t="shared" si="176"/>
        <v>0</v>
      </c>
      <c r="G366" s="614">
        <f t="shared" si="156"/>
        <v>666</v>
      </c>
      <c r="H366" s="615">
        <v>0</v>
      </c>
      <c r="I366" s="283">
        <f t="shared" si="157"/>
        <v>42.56</v>
      </c>
      <c r="J366" s="283">
        <f t="shared" si="158"/>
        <v>9.8100000000000023</v>
      </c>
      <c r="K366" s="285">
        <f t="shared" si="159"/>
        <v>85.12</v>
      </c>
      <c r="L366" s="286">
        <f t="shared" si="160"/>
        <v>0</v>
      </c>
      <c r="M366" s="286">
        <f t="shared" si="161"/>
        <v>0</v>
      </c>
      <c r="N366" s="285">
        <f t="shared" si="162"/>
        <v>85.12</v>
      </c>
      <c r="O366" s="616">
        <f t="shared" si="183"/>
        <v>85.12</v>
      </c>
      <c r="P366" s="289">
        <f t="shared" si="163"/>
        <v>1</v>
      </c>
      <c r="Q366" s="290">
        <f t="shared" si="164"/>
        <v>1.07</v>
      </c>
      <c r="R366" s="290">
        <f t="shared" si="165"/>
        <v>2.0099999999999998</v>
      </c>
      <c r="S366" s="290">
        <f t="shared" si="166"/>
        <v>0</v>
      </c>
      <c r="T366" s="290">
        <f t="shared" si="167"/>
        <v>88.2</v>
      </c>
      <c r="U366" s="291">
        <f t="shared" si="168"/>
        <v>88.2</v>
      </c>
      <c r="V366" s="291">
        <f t="shared" si="172"/>
        <v>0</v>
      </c>
      <c r="W366" s="265">
        <f t="shared" si="169"/>
        <v>0</v>
      </c>
      <c r="X366" s="291">
        <f t="shared" si="173"/>
        <v>0</v>
      </c>
      <c r="Y366" s="170">
        <f t="shared" si="170"/>
        <v>19.62</v>
      </c>
      <c r="Z366" s="291">
        <f t="shared" si="171"/>
        <v>65.5</v>
      </c>
      <c r="AC366" s="276">
        <f>IF(AI366=1,IF(AC365=MiscData!$F$1,EOMONTH(AC365,-11),EOMONTH(AC365,1)),AC365)</f>
        <v>41790</v>
      </c>
      <c r="AD366" s="275" t="str">
        <f t="shared" si="181"/>
        <v>20140101LGUM_483</v>
      </c>
      <c r="AE366" s="294" t="str">
        <f t="shared" si="182"/>
        <v xml:space="preserve">20140101LS </v>
      </c>
      <c r="AF366" s="618" t="str">
        <f t="shared" si="174"/>
        <v>483</v>
      </c>
      <c r="AH366" s="265">
        <f>MiscData!$X$5</f>
        <v>20140101</v>
      </c>
      <c r="AI366" s="265">
        <f>IF(AI365+1&gt;MiscData!$AC$77,1,AI365+1)</f>
        <v>71</v>
      </c>
      <c r="AJ366" s="265" t="str">
        <f>VLOOKUP(AI366,MiscData!$AC$5:$AD$77,2,FALSE)</f>
        <v>LGUM_483</v>
      </c>
      <c r="AK366" s="265" t="str">
        <f>VLOOKUP(AJ366,MiscData!$AD$5:$AE$77,2,FALSE)</f>
        <v xml:space="preserve">LS </v>
      </c>
      <c r="AT366" s="265" t="s">
        <v>382</v>
      </c>
      <c r="AV366" s="265">
        <v>0</v>
      </c>
    </row>
    <row r="367" spans="1:48">
      <c r="A367" s="275">
        <f t="shared" si="175"/>
        <v>364</v>
      </c>
      <c r="B367" s="276" t="str">
        <f t="shared" si="178"/>
        <v>May 2014</v>
      </c>
      <c r="C367" s="277" t="str">
        <f t="shared" si="179"/>
        <v xml:space="preserve">LS </v>
      </c>
      <c r="D367" s="277" t="str">
        <f t="shared" si="180"/>
        <v>LGUM_484</v>
      </c>
      <c r="E367" s="614">
        <f t="shared" si="155"/>
        <v>13</v>
      </c>
      <c r="F367" s="615">
        <f t="shared" si="176"/>
        <v>0</v>
      </c>
      <c r="G367" s="614">
        <f t="shared" si="156"/>
        <v>4248</v>
      </c>
      <c r="H367" s="615">
        <v>0</v>
      </c>
      <c r="I367" s="283">
        <f t="shared" si="157"/>
        <v>52.31</v>
      </c>
      <c r="J367" s="283">
        <f t="shared" si="158"/>
        <v>9.8100000000000023</v>
      </c>
      <c r="K367" s="285">
        <f t="shared" si="159"/>
        <v>680.03</v>
      </c>
      <c r="L367" s="286">
        <f t="shared" si="160"/>
        <v>0</v>
      </c>
      <c r="M367" s="286">
        <f t="shared" si="161"/>
        <v>0</v>
      </c>
      <c r="N367" s="285">
        <f t="shared" si="162"/>
        <v>680.03</v>
      </c>
      <c r="O367" s="616">
        <f t="shared" si="183"/>
        <v>680.03000000000009</v>
      </c>
      <c r="P367" s="289">
        <f t="shared" si="163"/>
        <v>1.0000000000000002</v>
      </c>
      <c r="Q367" s="290">
        <f t="shared" si="164"/>
        <v>6.79</v>
      </c>
      <c r="R367" s="290">
        <f t="shared" si="165"/>
        <v>16</v>
      </c>
      <c r="S367" s="290">
        <f t="shared" si="166"/>
        <v>0</v>
      </c>
      <c r="T367" s="290">
        <f t="shared" si="167"/>
        <v>702.82</v>
      </c>
      <c r="U367" s="291">
        <f t="shared" si="168"/>
        <v>702.81999999999994</v>
      </c>
      <c r="V367" s="291">
        <f t="shared" si="172"/>
        <v>0</v>
      </c>
      <c r="W367" s="265">
        <f t="shared" si="169"/>
        <v>0</v>
      </c>
      <c r="X367" s="291">
        <f t="shared" si="173"/>
        <v>0</v>
      </c>
      <c r="Y367" s="170">
        <f t="shared" si="170"/>
        <v>127.53</v>
      </c>
      <c r="Z367" s="291">
        <f t="shared" si="171"/>
        <v>552.50000000000011</v>
      </c>
      <c r="AC367" s="276">
        <f>IF(AI367=1,IF(AC366=MiscData!$F$1,EOMONTH(AC366,-11),EOMONTH(AC366,1)),AC366)</f>
        <v>41790</v>
      </c>
      <c r="AD367" s="275" t="str">
        <f t="shared" si="181"/>
        <v>20140101LGUM_484</v>
      </c>
      <c r="AE367" s="294" t="str">
        <f t="shared" si="182"/>
        <v xml:space="preserve">20140101LS </v>
      </c>
      <c r="AF367" s="618" t="str">
        <f t="shared" si="174"/>
        <v>484</v>
      </c>
      <c r="AH367" s="265">
        <f>MiscData!$X$5</f>
        <v>20140101</v>
      </c>
      <c r="AI367" s="265">
        <f>IF(AI366+1&gt;MiscData!$AC$77,1,AI366+1)</f>
        <v>72</v>
      </c>
      <c r="AJ367" s="265" t="str">
        <f>VLOOKUP(AI367,MiscData!$AC$5:$AD$77,2,FALSE)</f>
        <v>LGUM_484</v>
      </c>
      <c r="AK367" s="265" t="str">
        <f>VLOOKUP(AJ367,MiscData!$AD$5:$AE$77,2,FALSE)</f>
        <v xml:space="preserve">LS </v>
      </c>
      <c r="AT367" s="265" t="s">
        <v>384</v>
      </c>
      <c r="AV367" s="265">
        <v>0</v>
      </c>
    </row>
    <row r="368" spans="1:48">
      <c r="A368" s="275">
        <f t="shared" si="175"/>
        <v>365</v>
      </c>
      <c r="B368" s="276" t="str">
        <f t="shared" si="178"/>
        <v>May 2014</v>
      </c>
      <c r="C368" s="277" t="str">
        <f t="shared" si="179"/>
        <v>ODL</v>
      </c>
      <c r="D368" s="277" t="str">
        <f t="shared" si="180"/>
        <v>ODL</v>
      </c>
      <c r="E368" s="614">
        <f t="shared" si="155"/>
        <v>0</v>
      </c>
      <c r="F368" s="615">
        <f t="shared" si="176"/>
        <v>0</v>
      </c>
      <c r="G368" s="614">
        <f t="shared" si="156"/>
        <v>0</v>
      </c>
      <c r="H368" s="615">
        <v>0</v>
      </c>
      <c r="I368" s="283">
        <f t="shared" si="157"/>
        <v>0</v>
      </c>
      <c r="J368" s="283">
        <f t="shared" si="158"/>
        <v>0</v>
      </c>
      <c r="K368" s="285">
        <f t="shared" si="159"/>
        <v>0</v>
      </c>
      <c r="L368" s="286">
        <f t="shared" si="160"/>
        <v>0</v>
      </c>
      <c r="M368" s="286">
        <f t="shared" si="161"/>
        <v>0</v>
      </c>
      <c r="N368" s="285">
        <f t="shared" si="162"/>
        <v>0</v>
      </c>
      <c r="O368" s="616">
        <f t="shared" si="183"/>
        <v>0</v>
      </c>
      <c r="P368" s="289">
        <f t="shared" si="163"/>
        <v>1</v>
      </c>
      <c r="Q368" s="290">
        <f t="shared" si="164"/>
        <v>0</v>
      </c>
      <c r="R368" s="290">
        <f t="shared" si="165"/>
        <v>0</v>
      </c>
      <c r="S368" s="290">
        <f t="shared" si="166"/>
        <v>0</v>
      </c>
      <c r="T368" s="290">
        <f t="shared" si="167"/>
        <v>0</v>
      </c>
      <c r="U368" s="291">
        <f t="shared" si="168"/>
        <v>0</v>
      </c>
      <c r="V368" s="291">
        <f t="shared" si="172"/>
        <v>0</v>
      </c>
      <c r="W368" s="265">
        <f t="shared" si="169"/>
        <v>0</v>
      </c>
      <c r="X368" s="291">
        <f t="shared" si="173"/>
        <v>0</v>
      </c>
      <c r="Y368" s="170">
        <f t="shared" si="170"/>
        <v>0</v>
      </c>
      <c r="Z368" s="291">
        <f t="shared" si="171"/>
        <v>0</v>
      </c>
      <c r="AC368" s="276">
        <f>IF(AI368=1,IF(AC367=MiscData!$F$1,EOMONTH(AC367,-11),EOMONTH(AC367,1)),AC367)</f>
        <v>41790</v>
      </c>
      <c r="AD368" s="275" t="str">
        <f t="shared" si="181"/>
        <v>20140101ODL</v>
      </c>
      <c r="AE368" s="294" t="str">
        <f t="shared" si="182"/>
        <v>20140101ODL</v>
      </c>
      <c r="AF368" s="618" t="str">
        <f t="shared" si="174"/>
        <v>ODL</v>
      </c>
      <c r="AH368" s="265">
        <f>MiscData!$X$5</f>
        <v>20140101</v>
      </c>
      <c r="AI368" s="265">
        <f>IF(AI367+1&gt;MiscData!$AC$77,1,AI367+1)</f>
        <v>73</v>
      </c>
      <c r="AJ368" s="265" t="str">
        <f>VLOOKUP(AI368,MiscData!$AC$5:$AD$77,2,FALSE)</f>
        <v>ODL</v>
      </c>
      <c r="AK368" s="265" t="str">
        <f>VLOOKUP(AJ368,MiscData!$AD$5:$AE$77,2,FALSE)</f>
        <v>ODL</v>
      </c>
      <c r="AT368" s="265" t="s">
        <v>385</v>
      </c>
      <c r="AV368" s="265">
        <v>0</v>
      </c>
    </row>
    <row r="369" spans="1:48">
      <c r="A369" s="275">
        <f t="shared" si="175"/>
        <v>366</v>
      </c>
      <c r="B369" s="276" t="str">
        <f t="shared" si="178"/>
        <v>Jun 2014</v>
      </c>
      <c r="C369" s="277" t="str">
        <f t="shared" si="179"/>
        <v>RLS</v>
      </c>
      <c r="D369" s="277" t="str">
        <f t="shared" si="180"/>
        <v>LGUM_201</v>
      </c>
      <c r="E369" s="614">
        <f t="shared" si="155"/>
        <v>79</v>
      </c>
      <c r="F369" s="615">
        <f t="shared" si="176"/>
        <v>0</v>
      </c>
      <c r="G369" s="614">
        <f t="shared" si="156"/>
        <v>2580</v>
      </c>
      <c r="H369" s="615">
        <v>0</v>
      </c>
      <c r="I369" s="283">
        <f t="shared" si="157"/>
        <v>8.14</v>
      </c>
      <c r="J369" s="283">
        <f t="shared" si="158"/>
        <v>1.0899999999999999</v>
      </c>
      <c r="K369" s="285">
        <f t="shared" si="159"/>
        <v>643.05999999999995</v>
      </c>
      <c r="L369" s="286">
        <f t="shared" si="160"/>
        <v>-7.5999999999999091</v>
      </c>
      <c r="M369" s="286">
        <f t="shared" si="161"/>
        <v>0</v>
      </c>
      <c r="N369" s="285">
        <f t="shared" si="162"/>
        <v>635.46</v>
      </c>
      <c r="O369" s="616">
        <f t="shared" si="183"/>
        <v>635.45999999999992</v>
      </c>
      <c r="P369" s="289">
        <f t="shared" si="163"/>
        <v>0.99999999999999978</v>
      </c>
      <c r="Q369" s="290">
        <f t="shared" si="164"/>
        <v>8.1</v>
      </c>
      <c r="R369" s="290">
        <f t="shared" si="165"/>
        <v>20.36</v>
      </c>
      <c r="S369" s="290">
        <f t="shared" si="166"/>
        <v>0</v>
      </c>
      <c r="T369" s="290">
        <f t="shared" si="167"/>
        <v>696.88</v>
      </c>
      <c r="U369" s="291">
        <f t="shared" si="168"/>
        <v>663.92000000000007</v>
      </c>
      <c r="V369" s="291">
        <f t="shared" si="172"/>
        <v>32.96</v>
      </c>
      <c r="W369" s="265">
        <f t="shared" si="169"/>
        <v>32.96</v>
      </c>
      <c r="X369" s="291">
        <f t="shared" si="173"/>
        <v>0</v>
      </c>
      <c r="Y369" s="170">
        <f t="shared" si="170"/>
        <v>86.11</v>
      </c>
      <c r="Z369" s="291">
        <f t="shared" si="171"/>
        <v>549.34999999999991</v>
      </c>
      <c r="AC369" s="276">
        <f>IF(AI369=1,IF(AC368=MiscData!$F$1,EOMONTH(AC368,-11),EOMONTH(AC368,1)),AC368)</f>
        <v>41820</v>
      </c>
      <c r="AD369" s="275" t="str">
        <f t="shared" si="181"/>
        <v>20140101LGUM_201</v>
      </c>
      <c r="AE369" s="294" t="str">
        <f t="shared" si="182"/>
        <v>20140101RLS</v>
      </c>
      <c r="AF369" s="618" t="str">
        <f t="shared" si="174"/>
        <v>201</v>
      </c>
      <c r="AH369" s="265">
        <f>MiscData!$X$5</f>
        <v>20140101</v>
      </c>
      <c r="AI369" s="265">
        <f>IF(AI368+1&gt;MiscData!$AC$77,1,AI368+1)</f>
        <v>1</v>
      </c>
      <c r="AJ369" s="265" t="str">
        <f>VLOOKUP(AI369,MiscData!$AC$5:$AD$77,2,FALSE)</f>
        <v>LGUM_201</v>
      </c>
      <c r="AK369" s="265" t="str">
        <f>VLOOKUP(AJ369,MiscData!$AD$5:$AE$77,2,FALSE)</f>
        <v>RLS</v>
      </c>
      <c r="AT369" s="265" t="s">
        <v>250</v>
      </c>
      <c r="AV369" s="265">
        <v>0</v>
      </c>
    </row>
    <row r="370" spans="1:48">
      <c r="A370" s="275">
        <f t="shared" si="175"/>
        <v>367</v>
      </c>
      <c r="B370" s="276" t="str">
        <f t="shared" si="178"/>
        <v>Jun 2014</v>
      </c>
      <c r="C370" s="277" t="str">
        <f t="shared" si="179"/>
        <v>RLS</v>
      </c>
      <c r="D370" s="277" t="str">
        <f t="shared" si="180"/>
        <v>LGUM_203</v>
      </c>
      <c r="E370" s="614">
        <f t="shared" si="155"/>
        <v>5834</v>
      </c>
      <c r="F370" s="615">
        <f t="shared" si="176"/>
        <v>0</v>
      </c>
      <c r="G370" s="614">
        <f t="shared" si="156"/>
        <v>456740</v>
      </c>
      <c r="H370" s="615">
        <v>0</v>
      </c>
      <c r="I370" s="283">
        <f t="shared" si="157"/>
        <v>10.959999999999999</v>
      </c>
      <c r="J370" s="283">
        <f t="shared" si="158"/>
        <v>2.7099999999999991</v>
      </c>
      <c r="K370" s="285">
        <f t="shared" si="159"/>
        <v>63940.639999999999</v>
      </c>
      <c r="L370" s="286">
        <f t="shared" si="160"/>
        <v>-287.59999999999519</v>
      </c>
      <c r="M370" s="286">
        <f t="shared" si="161"/>
        <v>0</v>
      </c>
      <c r="N370" s="285">
        <f t="shared" si="162"/>
        <v>63653.04</v>
      </c>
      <c r="O370" s="616">
        <f t="shared" si="183"/>
        <v>63653.04</v>
      </c>
      <c r="P370" s="289">
        <f t="shared" si="163"/>
        <v>1</v>
      </c>
      <c r="Q370" s="290">
        <f t="shared" si="164"/>
        <v>1178.22</v>
      </c>
      <c r="R370" s="290">
        <f t="shared" si="165"/>
        <v>1806.15</v>
      </c>
      <c r="S370" s="290">
        <f t="shared" si="166"/>
        <v>0</v>
      </c>
      <c r="T370" s="290">
        <f t="shared" si="167"/>
        <v>67142.11</v>
      </c>
      <c r="U370" s="291">
        <f t="shared" si="168"/>
        <v>66637.41</v>
      </c>
      <c r="V370" s="291">
        <f t="shared" si="172"/>
        <v>504.7</v>
      </c>
      <c r="W370" s="265">
        <f t="shared" si="169"/>
        <v>504.7</v>
      </c>
      <c r="X370" s="291">
        <f t="shared" si="173"/>
        <v>0</v>
      </c>
      <c r="Y370" s="170">
        <f t="shared" si="170"/>
        <v>15810.14</v>
      </c>
      <c r="Z370" s="291">
        <f t="shared" si="171"/>
        <v>47842.9</v>
      </c>
      <c r="AC370" s="276">
        <f>IF(AI370=1,IF(AC369=MiscData!$F$1,EOMONTH(AC369,-11),EOMONTH(AC369,1)),AC369)</f>
        <v>41820</v>
      </c>
      <c r="AD370" s="275" t="str">
        <f t="shared" si="181"/>
        <v>20140101LGUM_203</v>
      </c>
      <c r="AE370" s="294" t="str">
        <f t="shared" si="182"/>
        <v>20140101RLS</v>
      </c>
      <c r="AF370" s="618" t="str">
        <f t="shared" si="174"/>
        <v>203</v>
      </c>
      <c r="AH370" s="265">
        <f>MiscData!$X$5</f>
        <v>20140101</v>
      </c>
      <c r="AI370" s="265">
        <f>IF(AI369+1&gt;MiscData!$AC$77,1,AI369+1)</f>
        <v>2</v>
      </c>
      <c r="AJ370" s="265" t="str">
        <f>VLOOKUP(AI370,MiscData!$AC$5:$AD$77,2,FALSE)</f>
        <v>LGUM_203</v>
      </c>
      <c r="AK370" s="265" t="str">
        <f>VLOOKUP(AJ370,MiscData!$AD$5:$AE$77,2,FALSE)</f>
        <v>RLS</v>
      </c>
      <c r="AT370" s="265" t="s">
        <v>386</v>
      </c>
      <c r="AV370" s="265">
        <v>0</v>
      </c>
    </row>
    <row r="371" spans="1:48">
      <c r="A371" s="275">
        <f t="shared" si="175"/>
        <v>368</v>
      </c>
      <c r="B371" s="276" t="str">
        <f t="shared" si="178"/>
        <v>Jun 2014</v>
      </c>
      <c r="C371" s="277" t="str">
        <f t="shared" si="179"/>
        <v>RLS</v>
      </c>
      <c r="D371" s="277" t="str">
        <f t="shared" si="180"/>
        <v>LGUM_204</v>
      </c>
      <c r="E371" s="614">
        <f t="shared" si="155"/>
        <v>6683</v>
      </c>
      <c r="F371" s="615">
        <f t="shared" si="176"/>
        <v>0</v>
      </c>
      <c r="G371" s="614">
        <f t="shared" si="156"/>
        <v>809575</v>
      </c>
      <c r="H371" s="615">
        <v>0</v>
      </c>
      <c r="I371" s="283">
        <f t="shared" si="157"/>
        <v>13.510000000000002</v>
      </c>
      <c r="J371" s="283">
        <f t="shared" si="158"/>
        <v>4.2000000000000011</v>
      </c>
      <c r="K371" s="285">
        <f t="shared" si="159"/>
        <v>90287.33</v>
      </c>
      <c r="L371" s="286">
        <f t="shared" si="160"/>
        <v>-180.83000000000175</v>
      </c>
      <c r="M371" s="286">
        <f t="shared" si="161"/>
        <v>0</v>
      </c>
      <c r="N371" s="285">
        <f t="shared" si="162"/>
        <v>90106.5</v>
      </c>
      <c r="O371" s="616">
        <f t="shared" si="183"/>
        <v>90106.5</v>
      </c>
      <c r="P371" s="289">
        <f t="shared" si="163"/>
        <v>1</v>
      </c>
      <c r="Q371" s="290">
        <f t="shared" si="164"/>
        <v>1990.21</v>
      </c>
      <c r="R371" s="290">
        <f t="shared" si="165"/>
        <v>2519.5100000000002</v>
      </c>
      <c r="S371" s="290">
        <f t="shared" si="166"/>
        <v>0</v>
      </c>
      <c r="T371" s="290">
        <f t="shared" si="167"/>
        <v>95387.86</v>
      </c>
      <c r="U371" s="291">
        <f t="shared" si="168"/>
        <v>94616.22</v>
      </c>
      <c r="V371" s="291">
        <f t="shared" si="172"/>
        <v>771.64</v>
      </c>
      <c r="W371" s="265">
        <f t="shared" si="169"/>
        <v>771.64</v>
      </c>
      <c r="X371" s="291">
        <f t="shared" si="173"/>
        <v>0</v>
      </c>
      <c r="Y371" s="170">
        <f t="shared" si="170"/>
        <v>28068.6</v>
      </c>
      <c r="Z371" s="291">
        <f t="shared" si="171"/>
        <v>62037.9</v>
      </c>
      <c r="AC371" s="276">
        <f>IF(AI371=1,IF(AC370=MiscData!$F$1,EOMONTH(AC370,-11),EOMONTH(AC370,1)),AC370)</f>
        <v>41820</v>
      </c>
      <c r="AD371" s="275" t="str">
        <f t="shared" si="181"/>
        <v>20140101LGUM_204</v>
      </c>
      <c r="AE371" s="294" t="str">
        <f t="shared" si="182"/>
        <v>20140101RLS</v>
      </c>
      <c r="AF371" s="618" t="str">
        <f t="shared" si="174"/>
        <v>204</v>
      </c>
      <c r="AH371" s="265">
        <f>MiscData!$X$5</f>
        <v>20140101</v>
      </c>
      <c r="AI371" s="265">
        <f>IF(AI370+1&gt;MiscData!$AC$77,1,AI370+1)</f>
        <v>3</v>
      </c>
      <c r="AJ371" s="265" t="str">
        <f>VLOOKUP(AI371,MiscData!$AC$5:$AD$77,2,FALSE)</f>
        <v>LGUM_204</v>
      </c>
      <c r="AK371" s="265" t="str">
        <f>VLOOKUP(AJ371,MiscData!$AD$5:$AE$77,2,FALSE)</f>
        <v>RLS</v>
      </c>
      <c r="AT371" s="265" t="s">
        <v>251</v>
      </c>
      <c r="AV371" s="265">
        <v>1459.08</v>
      </c>
    </row>
    <row r="372" spans="1:48">
      <c r="A372" s="275">
        <f t="shared" si="175"/>
        <v>369</v>
      </c>
      <c r="B372" s="276" t="str">
        <f t="shared" si="178"/>
        <v>Jun 2014</v>
      </c>
      <c r="C372" s="277" t="str">
        <f t="shared" si="179"/>
        <v>RLS</v>
      </c>
      <c r="D372" s="277" t="str">
        <f t="shared" si="180"/>
        <v>LGUM_206</v>
      </c>
      <c r="E372" s="614">
        <f t="shared" si="155"/>
        <v>95</v>
      </c>
      <c r="F372" s="615">
        <f t="shared" si="176"/>
        <v>0</v>
      </c>
      <c r="G372" s="614">
        <f t="shared" si="156"/>
        <v>3124</v>
      </c>
      <c r="H372" s="615">
        <v>0</v>
      </c>
      <c r="I372" s="283">
        <f t="shared" si="157"/>
        <v>12.450000000000001</v>
      </c>
      <c r="J372" s="283">
        <f t="shared" si="158"/>
        <v>1.0899999999999999</v>
      </c>
      <c r="K372" s="285">
        <f t="shared" si="159"/>
        <v>1182.75</v>
      </c>
      <c r="L372" s="286">
        <f t="shared" si="160"/>
        <v>-6.2200000000000273</v>
      </c>
      <c r="M372" s="286">
        <f t="shared" si="161"/>
        <v>0</v>
      </c>
      <c r="N372" s="285">
        <f t="shared" si="162"/>
        <v>1176.53</v>
      </c>
      <c r="O372" s="616">
        <f t="shared" si="183"/>
        <v>1176.53</v>
      </c>
      <c r="P372" s="289">
        <f t="shared" si="163"/>
        <v>1</v>
      </c>
      <c r="Q372" s="290">
        <f t="shared" si="164"/>
        <v>9.91</v>
      </c>
      <c r="R372" s="290">
        <f t="shared" si="165"/>
        <v>35.590000000000003</v>
      </c>
      <c r="S372" s="290">
        <f t="shared" si="166"/>
        <v>0</v>
      </c>
      <c r="T372" s="290">
        <f t="shared" si="167"/>
        <v>1222.03</v>
      </c>
      <c r="U372" s="291">
        <f t="shared" si="168"/>
        <v>1222.03</v>
      </c>
      <c r="V372" s="291">
        <f t="shared" si="172"/>
        <v>0</v>
      </c>
      <c r="W372" s="265">
        <f t="shared" si="169"/>
        <v>0</v>
      </c>
      <c r="X372" s="291">
        <f t="shared" si="173"/>
        <v>0</v>
      </c>
      <c r="Y372" s="170">
        <f t="shared" si="170"/>
        <v>103.55</v>
      </c>
      <c r="Z372" s="291">
        <f t="shared" si="171"/>
        <v>1072.98</v>
      </c>
      <c r="AC372" s="276">
        <f>IF(AI372=1,IF(AC371=MiscData!$F$1,EOMONTH(AC371,-11),EOMONTH(AC371,1)),AC371)</f>
        <v>41820</v>
      </c>
      <c r="AD372" s="275" t="str">
        <f t="shared" si="181"/>
        <v>20140101LGUM_206</v>
      </c>
      <c r="AE372" s="294" t="str">
        <f t="shared" si="182"/>
        <v>20140101RLS</v>
      </c>
      <c r="AF372" s="618" t="str">
        <f t="shared" si="174"/>
        <v>206</v>
      </c>
      <c r="AH372" s="265">
        <f>MiscData!$X$5</f>
        <v>20140101</v>
      </c>
      <c r="AI372" s="265">
        <f>IF(AI371+1&gt;MiscData!$AC$77,1,AI371+1)</f>
        <v>4</v>
      </c>
      <c r="AJ372" s="265" t="str">
        <f>VLOOKUP(AI372,MiscData!$AC$5:$AD$77,2,FALSE)</f>
        <v>LGUM_206</v>
      </c>
      <c r="AK372" s="265" t="str">
        <f>VLOOKUP(AJ372,MiscData!$AD$5:$AE$77,2,FALSE)</f>
        <v>RLS</v>
      </c>
      <c r="AT372" s="265" t="s">
        <v>523</v>
      </c>
      <c r="AV372" s="265">
        <v>0</v>
      </c>
    </row>
    <row r="373" spans="1:48">
      <c r="A373" s="275">
        <f t="shared" si="175"/>
        <v>370</v>
      </c>
      <c r="B373" s="276" t="str">
        <f t="shared" si="178"/>
        <v>Jun 2014</v>
      </c>
      <c r="C373" s="277" t="str">
        <f t="shared" si="179"/>
        <v>RLS</v>
      </c>
      <c r="D373" s="277" t="str">
        <f t="shared" si="180"/>
        <v>LGUM_207</v>
      </c>
      <c r="E373" s="614">
        <f t="shared" si="155"/>
        <v>783</v>
      </c>
      <c r="F373" s="615">
        <f t="shared" si="176"/>
        <v>0</v>
      </c>
      <c r="G373" s="614">
        <f t="shared" si="156"/>
        <v>98715</v>
      </c>
      <c r="H373" s="615">
        <v>0</v>
      </c>
      <c r="I373" s="283">
        <f t="shared" si="157"/>
        <v>15.54</v>
      </c>
      <c r="J373" s="283">
        <f t="shared" si="158"/>
        <v>4.2000000000000011</v>
      </c>
      <c r="K373" s="285">
        <f t="shared" si="159"/>
        <v>12167.82</v>
      </c>
      <c r="L373" s="286">
        <f t="shared" si="160"/>
        <v>-45.070000000000618</v>
      </c>
      <c r="M373" s="286">
        <f t="shared" si="161"/>
        <v>0</v>
      </c>
      <c r="N373" s="285">
        <f t="shared" si="162"/>
        <v>12122.75</v>
      </c>
      <c r="O373" s="616">
        <f t="shared" si="183"/>
        <v>12122.75</v>
      </c>
      <c r="P373" s="289">
        <f t="shared" si="163"/>
        <v>1</v>
      </c>
      <c r="Q373" s="290">
        <f t="shared" si="164"/>
        <v>301.72000000000003</v>
      </c>
      <c r="R373" s="290">
        <f t="shared" si="165"/>
        <v>383.95</v>
      </c>
      <c r="S373" s="290">
        <f t="shared" si="166"/>
        <v>0</v>
      </c>
      <c r="T373" s="290">
        <f t="shared" si="167"/>
        <v>13365.15</v>
      </c>
      <c r="U373" s="291">
        <f t="shared" si="168"/>
        <v>12808.42</v>
      </c>
      <c r="V373" s="291">
        <f t="shared" si="172"/>
        <v>556.73</v>
      </c>
      <c r="W373" s="265">
        <f t="shared" si="169"/>
        <v>556.73</v>
      </c>
      <c r="X373" s="291">
        <f t="shared" si="173"/>
        <v>0</v>
      </c>
      <c r="Y373" s="170">
        <f t="shared" si="170"/>
        <v>3288.6</v>
      </c>
      <c r="Z373" s="291">
        <f t="shared" si="171"/>
        <v>8834.15</v>
      </c>
      <c r="AC373" s="276">
        <f>IF(AI373=1,IF(AC372=MiscData!$F$1,EOMONTH(AC372,-11),EOMONTH(AC372,1)),AC372)</f>
        <v>41820</v>
      </c>
      <c r="AD373" s="275" t="str">
        <f t="shared" si="181"/>
        <v>20140101LGUM_207</v>
      </c>
      <c r="AE373" s="294" t="str">
        <f t="shared" si="182"/>
        <v>20140101RLS</v>
      </c>
      <c r="AF373" s="618" t="str">
        <f t="shared" si="174"/>
        <v>207</v>
      </c>
      <c r="AH373" s="265">
        <f>MiscData!$X$5</f>
        <v>20140101</v>
      </c>
      <c r="AI373" s="265">
        <f>IF(AI372+1&gt;MiscData!$AC$77,1,AI372+1)</f>
        <v>5</v>
      </c>
      <c r="AJ373" s="265" t="str">
        <f>VLOOKUP(AI373,MiscData!$AC$5:$AD$77,2,FALSE)</f>
        <v>LGUM_207</v>
      </c>
      <c r="AK373" s="265" t="str">
        <f>VLOOKUP(AJ373,MiscData!$AD$5:$AE$77,2,FALSE)</f>
        <v>RLS</v>
      </c>
      <c r="AT373" s="265" t="s">
        <v>527</v>
      </c>
      <c r="AV373" s="265">
        <v>0</v>
      </c>
    </row>
    <row r="374" spans="1:48">
      <c r="A374" s="275">
        <f t="shared" si="175"/>
        <v>371</v>
      </c>
      <c r="B374" s="276" t="str">
        <f t="shared" si="178"/>
        <v>Jun 2014</v>
      </c>
      <c r="C374" s="277" t="str">
        <f t="shared" si="179"/>
        <v>RLS</v>
      </c>
      <c r="D374" s="277" t="str">
        <f t="shared" si="180"/>
        <v>LGUM_208</v>
      </c>
      <c r="E374" s="614">
        <f t="shared" si="155"/>
        <v>1801</v>
      </c>
      <c r="F374" s="615">
        <f t="shared" si="176"/>
        <v>0</v>
      </c>
      <c r="G374" s="614">
        <f t="shared" si="156"/>
        <v>99596</v>
      </c>
      <c r="H374" s="615">
        <v>0</v>
      </c>
      <c r="I374" s="283">
        <f t="shared" si="157"/>
        <v>14.24</v>
      </c>
      <c r="J374" s="283">
        <f t="shared" si="158"/>
        <v>1.9100000000000001</v>
      </c>
      <c r="K374" s="285">
        <f t="shared" si="159"/>
        <v>25646.240000000002</v>
      </c>
      <c r="L374" s="286">
        <f t="shared" si="160"/>
        <v>-13.909999999999854</v>
      </c>
      <c r="M374" s="286">
        <f t="shared" si="161"/>
        <v>0</v>
      </c>
      <c r="N374" s="285">
        <f t="shared" si="162"/>
        <v>25632.33</v>
      </c>
      <c r="O374" s="616">
        <f t="shared" si="183"/>
        <v>25632.329999999998</v>
      </c>
      <c r="P374" s="289">
        <f t="shared" si="163"/>
        <v>0.99999999999999989</v>
      </c>
      <c r="Q374" s="290">
        <f t="shared" si="164"/>
        <v>281.27999999999997</v>
      </c>
      <c r="R374" s="290">
        <f t="shared" si="165"/>
        <v>740.46</v>
      </c>
      <c r="S374" s="290">
        <f t="shared" si="166"/>
        <v>0</v>
      </c>
      <c r="T374" s="290">
        <f t="shared" si="167"/>
        <v>26654.07</v>
      </c>
      <c r="U374" s="291">
        <f t="shared" si="168"/>
        <v>26654.07</v>
      </c>
      <c r="V374" s="291">
        <f t="shared" si="172"/>
        <v>0</v>
      </c>
      <c r="W374" s="265">
        <f t="shared" si="169"/>
        <v>0</v>
      </c>
      <c r="X374" s="291">
        <f t="shared" si="173"/>
        <v>0</v>
      </c>
      <c r="Y374" s="170">
        <f t="shared" si="170"/>
        <v>3439.91</v>
      </c>
      <c r="Z374" s="291">
        <f t="shared" si="171"/>
        <v>22192.42</v>
      </c>
      <c r="AC374" s="276">
        <f>IF(AI374=1,IF(AC373=MiscData!$F$1,EOMONTH(AC373,-11),EOMONTH(AC373,1)),AC373)</f>
        <v>41820</v>
      </c>
      <c r="AD374" s="275" t="str">
        <f t="shared" si="181"/>
        <v>20140101LGUM_208</v>
      </c>
      <c r="AE374" s="294" t="str">
        <f t="shared" si="182"/>
        <v>20140101RLS</v>
      </c>
      <c r="AF374" s="618" t="str">
        <f t="shared" si="174"/>
        <v>208</v>
      </c>
      <c r="AH374" s="265">
        <f>MiscData!$X$5</f>
        <v>20140101</v>
      </c>
      <c r="AI374" s="265">
        <f>IF(AI373+1&gt;MiscData!$AC$77,1,AI373+1)</f>
        <v>6</v>
      </c>
      <c r="AJ374" s="265" t="str">
        <f>VLOOKUP(AI374,MiscData!$AC$5:$AD$77,2,FALSE)</f>
        <v>LGUM_208</v>
      </c>
      <c r="AK374" s="265" t="str">
        <f>VLOOKUP(AJ374,MiscData!$AD$5:$AE$77,2,FALSE)</f>
        <v>RLS</v>
      </c>
      <c r="AT374" s="265" t="s">
        <v>528</v>
      </c>
      <c r="AV374" s="265">
        <v>0</v>
      </c>
    </row>
    <row r="375" spans="1:48">
      <c r="A375" s="275">
        <f t="shared" si="175"/>
        <v>372</v>
      </c>
      <c r="B375" s="276" t="str">
        <f t="shared" si="178"/>
        <v>Jun 2014</v>
      </c>
      <c r="C375" s="277" t="str">
        <f t="shared" si="179"/>
        <v>RLS</v>
      </c>
      <c r="D375" s="277" t="str">
        <f t="shared" si="180"/>
        <v>LGUM_209</v>
      </c>
      <c r="E375" s="614">
        <f t="shared" si="155"/>
        <v>45</v>
      </c>
      <c r="F375" s="615">
        <f t="shared" si="176"/>
        <v>0</v>
      </c>
      <c r="G375" s="614">
        <f t="shared" si="156"/>
        <v>13605</v>
      </c>
      <c r="H375" s="615">
        <v>0</v>
      </c>
      <c r="I375" s="283">
        <f t="shared" si="157"/>
        <v>27.69</v>
      </c>
      <c r="J375" s="283">
        <f t="shared" si="158"/>
        <v>10.170000000000002</v>
      </c>
      <c r="K375" s="285">
        <f t="shared" si="159"/>
        <v>1246.05</v>
      </c>
      <c r="L375" s="286">
        <f t="shared" si="160"/>
        <v>0</v>
      </c>
      <c r="M375" s="286">
        <f t="shared" si="161"/>
        <v>0</v>
      </c>
      <c r="N375" s="285">
        <f t="shared" si="162"/>
        <v>1246.05</v>
      </c>
      <c r="O375" s="616">
        <f t="shared" si="183"/>
        <v>1246.05</v>
      </c>
      <c r="P375" s="289">
        <f t="shared" si="163"/>
        <v>1</v>
      </c>
      <c r="Q375" s="290">
        <f t="shared" si="164"/>
        <v>42.16</v>
      </c>
      <c r="R375" s="290">
        <f t="shared" si="165"/>
        <v>39.75</v>
      </c>
      <c r="S375" s="290">
        <f t="shared" si="166"/>
        <v>0</v>
      </c>
      <c r="T375" s="290">
        <f t="shared" si="167"/>
        <v>1377.4</v>
      </c>
      <c r="U375" s="291">
        <f t="shared" si="168"/>
        <v>1327.96</v>
      </c>
      <c r="V375" s="291">
        <f t="shared" si="172"/>
        <v>49.44</v>
      </c>
      <c r="W375" s="265">
        <f t="shared" si="169"/>
        <v>49.44</v>
      </c>
      <c r="X375" s="291">
        <f t="shared" si="173"/>
        <v>0</v>
      </c>
      <c r="Y375" s="170">
        <f t="shared" si="170"/>
        <v>457.65</v>
      </c>
      <c r="Z375" s="291">
        <f t="shared" si="171"/>
        <v>788.4</v>
      </c>
      <c r="AC375" s="276">
        <f>IF(AI375=1,IF(AC374=MiscData!$F$1,EOMONTH(AC374,-11),EOMONTH(AC374,1)),AC374)</f>
        <v>41820</v>
      </c>
      <c r="AD375" s="275" t="str">
        <f t="shared" si="181"/>
        <v>20140101LGUM_209</v>
      </c>
      <c r="AE375" s="294" t="str">
        <f t="shared" si="182"/>
        <v>20140101RLS</v>
      </c>
      <c r="AF375" s="618" t="str">
        <f t="shared" si="174"/>
        <v>209</v>
      </c>
      <c r="AH375" s="265">
        <f>MiscData!$X$5</f>
        <v>20140101</v>
      </c>
      <c r="AI375" s="265">
        <f>IF(AI374+1&gt;MiscData!$AC$77,1,AI374+1)</f>
        <v>7</v>
      </c>
      <c r="AJ375" s="265" t="str">
        <f>VLOOKUP(AI375,MiscData!$AC$5:$AD$77,2,FALSE)</f>
        <v>LGUM_209</v>
      </c>
      <c r="AK375" s="265" t="str">
        <f>VLOOKUP(AJ375,MiscData!$AD$5:$AE$77,2,FALSE)</f>
        <v>RLS</v>
      </c>
      <c r="AT375" s="265" t="s">
        <v>252</v>
      </c>
      <c r="AV375" s="265">
        <v>0</v>
      </c>
    </row>
    <row r="376" spans="1:48">
      <c r="A376" s="275">
        <f t="shared" si="175"/>
        <v>373</v>
      </c>
      <c r="B376" s="276" t="str">
        <f t="shared" si="178"/>
        <v>Jun 2014</v>
      </c>
      <c r="C376" s="277" t="str">
        <f t="shared" si="179"/>
        <v>RLS</v>
      </c>
      <c r="D376" s="277" t="str">
        <f t="shared" si="180"/>
        <v>LGUM_210</v>
      </c>
      <c r="E376" s="614">
        <f t="shared" si="155"/>
        <v>352</v>
      </c>
      <c r="F376" s="615">
        <f t="shared" si="176"/>
        <v>0</v>
      </c>
      <c r="G376" s="614">
        <f t="shared" si="156"/>
        <v>106324</v>
      </c>
      <c r="H376" s="615">
        <v>0</v>
      </c>
      <c r="I376" s="283">
        <f t="shared" si="157"/>
        <v>28.89</v>
      </c>
      <c r="J376" s="283">
        <f t="shared" si="158"/>
        <v>10.170000000000002</v>
      </c>
      <c r="K376" s="285">
        <f t="shared" si="159"/>
        <v>10169.280000000001</v>
      </c>
      <c r="L376" s="286">
        <f t="shared" si="160"/>
        <v>0</v>
      </c>
      <c r="M376" s="286">
        <f t="shared" si="161"/>
        <v>0</v>
      </c>
      <c r="N376" s="285">
        <f t="shared" si="162"/>
        <v>10169.280000000001</v>
      </c>
      <c r="O376" s="616">
        <f t="shared" si="183"/>
        <v>10169.280000000001</v>
      </c>
      <c r="P376" s="289">
        <f t="shared" si="163"/>
        <v>1</v>
      </c>
      <c r="Q376" s="290">
        <f t="shared" si="164"/>
        <v>330.83</v>
      </c>
      <c r="R376" s="290">
        <f t="shared" si="165"/>
        <v>318.3</v>
      </c>
      <c r="S376" s="290">
        <f t="shared" si="166"/>
        <v>0</v>
      </c>
      <c r="T376" s="290">
        <f t="shared" si="167"/>
        <v>11016.17</v>
      </c>
      <c r="U376" s="291">
        <f t="shared" si="168"/>
        <v>10818.41</v>
      </c>
      <c r="V376" s="291">
        <f t="shared" si="172"/>
        <v>197.76</v>
      </c>
      <c r="W376" s="265">
        <f t="shared" si="169"/>
        <v>197.76</v>
      </c>
      <c r="X376" s="291">
        <f t="shared" si="173"/>
        <v>0</v>
      </c>
      <c r="Y376" s="170">
        <f t="shared" si="170"/>
        <v>3579.84</v>
      </c>
      <c r="Z376" s="291">
        <f t="shared" si="171"/>
        <v>6589.4400000000005</v>
      </c>
      <c r="AC376" s="276">
        <f>IF(AI376=1,IF(AC375=MiscData!$F$1,EOMONTH(AC375,-11),EOMONTH(AC375,1)),AC375)</f>
        <v>41820</v>
      </c>
      <c r="AD376" s="275" t="str">
        <f t="shared" si="181"/>
        <v>20140101LGUM_210</v>
      </c>
      <c r="AE376" s="294" t="str">
        <f t="shared" si="182"/>
        <v>20140101RLS</v>
      </c>
      <c r="AF376" s="618" t="str">
        <f t="shared" si="174"/>
        <v>210</v>
      </c>
      <c r="AH376" s="265">
        <f>MiscData!$X$5</f>
        <v>20140101</v>
      </c>
      <c r="AI376" s="265">
        <f>IF(AI375+1&gt;MiscData!$AC$77,1,AI375+1)</f>
        <v>8</v>
      </c>
      <c r="AJ376" s="265" t="str">
        <f>VLOOKUP(AI376,MiscData!$AC$5:$AD$77,2,FALSE)</f>
        <v>LGUM_210</v>
      </c>
      <c r="AK376" s="265" t="str">
        <f>VLOOKUP(AJ376,MiscData!$AD$5:$AE$77,2,FALSE)</f>
        <v>RLS</v>
      </c>
      <c r="AT376" s="265" t="s">
        <v>253</v>
      </c>
      <c r="AV376" s="265">
        <v>0</v>
      </c>
    </row>
    <row r="377" spans="1:48">
      <c r="A377" s="275">
        <f t="shared" si="175"/>
        <v>374</v>
      </c>
      <c r="B377" s="276" t="str">
        <f t="shared" si="178"/>
        <v>Jun 2014</v>
      </c>
      <c r="C377" s="277" t="str">
        <f t="shared" si="179"/>
        <v>RLS</v>
      </c>
      <c r="D377" s="277" t="str">
        <f t="shared" si="180"/>
        <v>LGUM_252</v>
      </c>
      <c r="E377" s="614">
        <f t="shared" si="155"/>
        <v>5100</v>
      </c>
      <c r="F377" s="615">
        <f t="shared" si="176"/>
        <v>0</v>
      </c>
      <c r="G377" s="614">
        <f t="shared" si="156"/>
        <v>285968</v>
      </c>
      <c r="H377" s="615">
        <v>0</v>
      </c>
      <c r="I377" s="283">
        <f t="shared" si="157"/>
        <v>9.57</v>
      </c>
      <c r="J377" s="283">
        <f t="shared" si="158"/>
        <v>1.9099999999999993</v>
      </c>
      <c r="K377" s="285">
        <f t="shared" si="159"/>
        <v>48807</v>
      </c>
      <c r="L377" s="286">
        <f t="shared" si="160"/>
        <v>-238.98999999999847</v>
      </c>
      <c r="M377" s="286">
        <f t="shared" si="161"/>
        <v>0</v>
      </c>
      <c r="N377" s="285">
        <f t="shared" si="162"/>
        <v>48568.01</v>
      </c>
      <c r="O377" s="616">
        <f t="shared" si="183"/>
        <v>48568.01</v>
      </c>
      <c r="P377" s="289">
        <f t="shared" si="163"/>
        <v>1</v>
      </c>
      <c r="Q377" s="290">
        <f t="shared" si="164"/>
        <v>766.67</v>
      </c>
      <c r="R377" s="290">
        <f t="shared" si="165"/>
        <v>1423.37</v>
      </c>
      <c r="S377" s="290">
        <f t="shared" si="166"/>
        <v>0</v>
      </c>
      <c r="T377" s="290">
        <f t="shared" si="167"/>
        <v>52296.26</v>
      </c>
      <c r="U377" s="291">
        <f t="shared" si="168"/>
        <v>50758.05</v>
      </c>
      <c r="V377" s="291">
        <f t="shared" si="172"/>
        <v>1538.21</v>
      </c>
      <c r="W377" s="265">
        <f t="shared" si="169"/>
        <v>1538.21</v>
      </c>
      <c r="X377" s="291">
        <f t="shared" si="173"/>
        <v>0</v>
      </c>
      <c r="Y377" s="170">
        <f t="shared" si="170"/>
        <v>9741</v>
      </c>
      <c r="Z377" s="291">
        <f t="shared" si="171"/>
        <v>38827.01</v>
      </c>
      <c r="AC377" s="276">
        <f>IF(AI377=1,IF(AC376=MiscData!$F$1,EOMONTH(AC376,-11),EOMONTH(AC376,1)),AC376)</f>
        <v>41820</v>
      </c>
      <c r="AD377" s="275" t="str">
        <f t="shared" si="181"/>
        <v>20140101LGUM_252</v>
      </c>
      <c r="AE377" s="294" t="str">
        <f t="shared" si="182"/>
        <v>20140101RLS</v>
      </c>
      <c r="AF377" s="618" t="str">
        <f t="shared" si="174"/>
        <v>252</v>
      </c>
      <c r="AH377" s="265">
        <f>MiscData!$X$5</f>
        <v>20140101</v>
      </c>
      <c r="AI377" s="265">
        <f>IF(AI376+1&gt;MiscData!$AC$77,1,AI376+1)</f>
        <v>9</v>
      </c>
      <c r="AJ377" s="265" t="str">
        <f>VLOOKUP(AI377,MiscData!$AC$5:$AD$77,2,FALSE)</f>
        <v>LGUM_252</v>
      </c>
      <c r="AK377" s="265" t="str">
        <f>VLOOKUP(AJ377,MiscData!$AD$5:$AE$77,2,FALSE)</f>
        <v>RLS</v>
      </c>
      <c r="AT377" s="265" t="s">
        <v>387</v>
      </c>
      <c r="AV377" s="265">
        <v>0</v>
      </c>
    </row>
    <row r="378" spans="1:48">
      <c r="A378" s="275">
        <f t="shared" si="175"/>
        <v>375</v>
      </c>
      <c r="B378" s="276" t="str">
        <f t="shared" si="178"/>
        <v>Jun 2014</v>
      </c>
      <c r="C378" s="277" t="str">
        <f t="shared" si="179"/>
        <v>RLS</v>
      </c>
      <c r="D378" s="277" t="str">
        <f t="shared" si="180"/>
        <v>LGUM_266</v>
      </c>
      <c r="E378" s="614">
        <f t="shared" si="155"/>
        <v>3395</v>
      </c>
      <c r="F378" s="615">
        <f t="shared" si="176"/>
        <v>0</v>
      </c>
      <c r="G378" s="614">
        <f t="shared" si="156"/>
        <v>278047</v>
      </c>
      <c r="H378" s="615">
        <v>0</v>
      </c>
      <c r="I378" s="283">
        <f t="shared" si="157"/>
        <v>27.34</v>
      </c>
      <c r="J378" s="283">
        <f t="shared" si="158"/>
        <v>2.8000000000000007</v>
      </c>
      <c r="K378" s="285">
        <f t="shared" si="159"/>
        <v>92819.3</v>
      </c>
      <c r="L378" s="286">
        <f t="shared" si="160"/>
        <v>-54.680000000000291</v>
      </c>
      <c r="M378" s="286">
        <f t="shared" si="161"/>
        <v>0</v>
      </c>
      <c r="N378" s="285">
        <f t="shared" si="162"/>
        <v>92764.62</v>
      </c>
      <c r="O378" s="616">
        <f t="shared" si="183"/>
        <v>92764.62</v>
      </c>
      <c r="P378" s="289">
        <f t="shared" si="163"/>
        <v>1</v>
      </c>
      <c r="Q378" s="290">
        <f t="shared" si="164"/>
        <v>689.59</v>
      </c>
      <c r="R378" s="290">
        <f t="shared" si="165"/>
        <v>2539.44</v>
      </c>
      <c r="S378" s="290">
        <f t="shared" si="166"/>
        <v>0</v>
      </c>
      <c r="T378" s="290">
        <f t="shared" si="167"/>
        <v>95993.65</v>
      </c>
      <c r="U378" s="291">
        <f t="shared" si="168"/>
        <v>95993.65</v>
      </c>
      <c r="V378" s="291">
        <f t="shared" si="172"/>
        <v>0</v>
      </c>
      <c r="W378" s="265">
        <f t="shared" si="169"/>
        <v>0</v>
      </c>
      <c r="X378" s="291">
        <f t="shared" si="173"/>
        <v>0</v>
      </c>
      <c r="Y378" s="170">
        <f t="shared" si="170"/>
        <v>9506</v>
      </c>
      <c r="Z378" s="291">
        <f t="shared" si="171"/>
        <v>83258.62</v>
      </c>
      <c r="AC378" s="276">
        <f>IF(AI378=1,IF(AC377=MiscData!$F$1,EOMONTH(AC377,-11),EOMONTH(AC377,1)),AC377)</f>
        <v>41820</v>
      </c>
      <c r="AD378" s="275" t="str">
        <f t="shared" si="181"/>
        <v>20140101LGUM_266</v>
      </c>
      <c r="AE378" s="294" t="str">
        <f t="shared" si="182"/>
        <v>20140101RLS</v>
      </c>
      <c r="AF378" s="618" t="str">
        <f t="shared" si="174"/>
        <v>266</v>
      </c>
      <c r="AH378" s="265">
        <f>MiscData!$X$5</f>
        <v>20140101</v>
      </c>
      <c r="AI378" s="265">
        <f>IF(AI377+1&gt;MiscData!$AC$77,1,AI377+1)</f>
        <v>10</v>
      </c>
      <c r="AJ378" s="265" t="str">
        <f>VLOOKUP(AI378,MiscData!$AC$5:$AD$77,2,FALSE)</f>
        <v>LGUM_266</v>
      </c>
      <c r="AK378" s="265" t="str">
        <f>VLOOKUP(AJ378,MiscData!$AD$5:$AE$77,2,FALSE)</f>
        <v>RLS</v>
      </c>
      <c r="AT378" s="265" t="s">
        <v>254</v>
      </c>
      <c r="AV378" s="265">
        <v>0</v>
      </c>
    </row>
    <row r="379" spans="1:48">
      <c r="A379" s="275">
        <f t="shared" si="175"/>
        <v>376</v>
      </c>
      <c r="B379" s="276" t="str">
        <f t="shared" si="178"/>
        <v>Jun 2014</v>
      </c>
      <c r="C379" s="277" t="str">
        <f t="shared" si="179"/>
        <v>RLS</v>
      </c>
      <c r="D379" s="277" t="str">
        <f t="shared" si="180"/>
        <v>LGUM_267</v>
      </c>
      <c r="E379" s="614">
        <f t="shared" si="155"/>
        <v>2769</v>
      </c>
      <c r="F379" s="615">
        <f t="shared" si="176"/>
        <v>0</v>
      </c>
      <c r="G379" s="614">
        <f t="shared" si="156"/>
        <v>364700</v>
      </c>
      <c r="H379" s="615">
        <v>0</v>
      </c>
      <c r="I379" s="283">
        <f t="shared" si="157"/>
        <v>31.4</v>
      </c>
      <c r="J379" s="283">
        <f t="shared" si="158"/>
        <v>4.4499999999999993</v>
      </c>
      <c r="K379" s="285">
        <f t="shared" si="159"/>
        <v>86946.6</v>
      </c>
      <c r="L379" s="286">
        <f t="shared" si="160"/>
        <v>-24.910000000003492</v>
      </c>
      <c r="M379" s="286">
        <f t="shared" si="161"/>
        <v>0</v>
      </c>
      <c r="N379" s="285">
        <f t="shared" si="162"/>
        <v>86921.69</v>
      </c>
      <c r="O379" s="616">
        <f t="shared" si="183"/>
        <v>86921.69</v>
      </c>
      <c r="P379" s="289">
        <f t="shared" si="163"/>
        <v>1</v>
      </c>
      <c r="Q379" s="290">
        <f t="shared" si="164"/>
        <v>1048.1600000000001</v>
      </c>
      <c r="R379" s="290">
        <f t="shared" si="165"/>
        <v>2531.62</v>
      </c>
      <c r="S379" s="290">
        <f t="shared" si="166"/>
        <v>0</v>
      </c>
      <c r="T379" s="290">
        <f t="shared" si="167"/>
        <v>90501.47</v>
      </c>
      <c r="U379" s="291">
        <f t="shared" si="168"/>
        <v>90501.47</v>
      </c>
      <c r="V379" s="291">
        <f t="shared" si="172"/>
        <v>0</v>
      </c>
      <c r="W379" s="265">
        <f t="shared" si="169"/>
        <v>0</v>
      </c>
      <c r="X379" s="291">
        <f t="shared" si="173"/>
        <v>0</v>
      </c>
      <c r="Y379" s="170">
        <f t="shared" si="170"/>
        <v>12322.05</v>
      </c>
      <c r="Z379" s="291">
        <f t="shared" si="171"/>
        <v>74599.64</v>
      </c>
      <c r="AC379" s="276">
        <f>IF(AI379=1,IF(AC378=MiscData!$F$1,EOMONTH(AC378,-11),EOMONTH(AC378,1)),AC378)</f>
        <v>41820</v>
      </c>
      <c r="AD379" s="275" t="str">
        <f t="shared" si="181"/>
        <v>20140101LGUM_267</v>
      </c>
      <c r="AE379" s="294" t="str">
        <f t="shared" si="182"/>
        <v>20140101RLS</v>
      </c>
      <c r="AF379" s="618" t="str">
        <f t="shared" si="174"/>
        <v>267</v>
      </c>
      <c r="AH379" s="265">
        <f>MiscData!$X$5</f>
        <v>20140101</v>
      </c>
      <c r="AI379" s="265">
        <f>IF(AI378+1&gt;MiscData!$AC$77,1,AI378+1)</f>
        <v>11</v>
      </c>
      <c r="AJ379" s="265" t="str">
        <f>VLOOKUP(AI379,MiscData!$AC$5:$AD$77,2,FALSE)</f>
        <v>LGUM_267</v>
      </c>
      <c r="AK379" s="265" t="str">
        <f>VLOOKUP(AJ379,MiscData!$AD$5:$AE$77,2,FALSE)</f>
        <v>RLS</v>
      </c>
      <c r="AT379" s="265" t="s">
        <v>537</v>
      </c>
      <c r="AV379" s="265">
        <v>0</v>
      </c>
    </row>
    <row r="380" spans="1:48">
      <c r="A380" s="275">
        <f t="shared" si="175"/>
        <v>377</v>
      </c>
      <c r="B380" s="276" t="str">
        <f t="shared" si="178"/>
        <v>Jun 2014</v>
      </c>
      <c r="C380" s="277" t="str">
        <f t="shared" si="179"/>
        <v>RLS</v>
      </c>
      <c r="D380" s="277" t="str">
        <f t="shared" si="180"/>
        <v>LGUM_274</v>
      </c>
      <c r="E380" s="614">
        <f t="shared" si="155"/>
        <v>17705</v>
      </c>
      <c r="F380" s="615">
        <f t="shared" si="176"/>
        <v>0</v>
      </c>
      <c r="G380" s="614">
        <f t="shared" si="156"/>
        <v>682605</v>
      </c>
      <c r="H380" s="615">
        <v>0</v>
      </c>
      <c r="I380" s="283">
        <f t="shared" si="157"/>
        <v>17.189999999999998</v>
      </c>
      <c r="J380" s="283">
        <f t="shared" si="158"/>
        <v>1.2699999999999996</v>
      </c>
      <c r="K380" s="285">
        <f t="shared" si="159"/>
        <v>304348.95</v>
      </c>
      <c r="L380" s="286">
        <f t="shared" si="160"/>
        <v>-343.88000000003672</v>
      </c>
      <c r="M380" s="286">
        <f t="shared" si="161"/>
        <v>0</v>
      </c>
      <c r="N380" s="285">
        <f t="shared" si="162"/>
        <v>304005.06999999995</v>
      </c>
      <c r="O380" s="616">
        <f t="shared" si="183"/>
        <v>304005.07</v>
      </c>
      <c r="P380" s="289">
        <f t="shared" si="163"/>
        <v>1.0000000000000002</v>
      </c>
      <c r="Q380" s="290">
        <f t="shared" si="164"/>
        <v>2106.9</v>
      </c>
      <c r="R380" s="290">
        <f t="shared" si="165"/>
        <v>9082.81</v>
      </c>
      <c r="S380" s="290">
        <f t="shared" si="166"/>
        <v>0</v>
      </c>
      <c r="T380" s="290">
        <f t="shared" si="167"/>
        <v>315196.84000000003</v>
      </c>
      <c r="U380" s="291">
        <f t="shared" si="168"/>
        <v>315194.77999999997</v>
      </c>
      <c r="V380" s="291">
        <f t="shared" si="172"/>
        <v>2.06</v>
      </c>
      <c r="W380" s="265">
        <f t="shared" si="169"/>
        <v>2.06</v>
      </c>
      <c r="X380" s="291">
        <f t="shared" si="173"/>
        <v>0</v>
      </c>
      <c r="Y380" s="170">
        <f t="shared" si="170"/>
        <v>22485.35</v>
      </c>
      <c r="Z380" s="291">
        <f t="shared" si="171"/>
        <v>281519.72000000003</v>
      </c>
      <c r="AC380" s="276">
        <f>IF(AI380=1,IF(AC379=MiscData!$F$1,EOMONTH(AC379,-11),EOMONTH(AC379,1)),AC379)</f>
        <v>41820</v>
      </c>
      <c r="AD380" s="275" t="str">
        <f t="shared" si="181"/>
        <v>20140101LGUM_274</v>
      </c>
      <c r="AE380" s="294" t="str">
        <f t="shared" si="182"/>
        <v>20140101RLS</v>
      </c>
      <c r="AF380" s="618" t="str">
        <f t="shared" si="174"/>
        <v>274</v>
      </c>
      <c r="AH380" s="265">
        <f>MiscData!$X$5</f>
        <v>20140101</v>
      </c>
      <c r="AI380" s="265">
        <f>IF(AI379+1&gt;MiscData!$AC$77,1,AI379+1)</f>
        <v>12</v>
      </c>
      <c r="AJ380" s="265" t="str">
        <f>VLOOKUP(AI380,MiscData!$AC$5:$AD$77,2,FALSE)</f>
        <v>LGUM_274</v>
      </c>
      <c r="AK380" s="265" t="str">
        <f>VLOOKUP(AJ380,MiscData!$AD$5:$AE$77,2,FALSE)</f>
        <v>RLS</v>
      </c>
      <c r="AT380" s="265" t="s">
        <v>388</v>
      </c>
      <c r="AV380" s="265">
        <v>0</v>
      </c>
    </row>
    <row r="381" spans="1:48">
      <c r="A381" s="275">
        <f t="shared" si="175"/>
        <v>378</v>
      </c>
      <c r="B381" s="276" t="str">
        <f t="shared" si="178"/>
        <v>Jun 2014</v>
      </c>
      <c r="C381" s="277" t="str">
        <f t="shared" si="179"/>
        <v>RLS</v>
      </c>
      <c r="D381" s="277" t="str">
        <f t="shared" si="180"/>
        <v>LGUM_275</v>
      </c>
      <c r="E381" s="614">
        <f t="shared" si="155"/>
        <v>605</v>
      </c>
      <c r="F381" s="615">
        <f t="shared" si="176"/>
        <v>0</v>
      </c>
      <c r="G381" s="614">
        <f t="shared" si="156"/>
        <v>33140</v>
      </c>
      <c r="H381" s="615">
        <v>0</v>
      </c>
      <c r="I381" s="283">
        <f t="shared" si="157"/>
        <v>24.89</v>
      </c>
      <c r="J381" s="283">
        <f t="shared" si="158"/>
        <v>1.7899999999999991</v>
      </c>
      <c r="K381" s="285">
        <f t="shared" si="159"/>
        <v>15058.45</v>
      </c>
      <c r="L381" s="286">
        <f t="shared" si="160"/>
        <v>0</v>
      </c>
      <c r="M381" s="286">
        <f t="shared" si="161"/>
        <v>0</v>
      </c>
      <c r="N381" s="285">
        <f t="shared" si="162"/>
        <v>15058.45</v>
      </c>
      <c r="O381" s="616">
        <f t="shared" si="183"/>
        <v>15058.449999999999</v>
      </c>
      <c r="P381" s="289">
        <f t="shared" si="163"/>
        <v>0.99999999999999989</v>
      </c>
      <c r="Q381" s="290">
        <f t="shared" si="164"/>
        <v>90.31</v>
      </c>
      <c r="R381" s="290">
        <f t="shared" si="165"/>
        <v>426.12</v>
      </c>
      <c r="S381" s="290">
        <f t="shared" si="166"/>
        <v>0</v>
      </c>
      <c r="T381" s="290">
        <f t="shared" si="167"/>
        <v>15574.88</v>
      </c>
      <c r="U381" s="291">
        <f t="shared" si="168"/>
        <v>15574.880000000001</v>
      </c>
      <c r="V381" s="291">
        <f t="shared" si="172"/>
        <v>0</v>
      </c>
      <c r="W381" s="265">
        <f t="shared" si="169"/>
        <v>0</v>
      </c>
      <c r="X381" s="291">
        <f t="shared" si="173"/>
        <v>0</v>
      </c>
      <c r="Y381" s="170">
        <f t="shared" si="170"/>
        <v>1082.95</v>
      </c>
      <c r="Z381" s="291">
        <f t="shared" si="171"/>
        <v>13975.499999999998</v>
      </c>
      <c r="AC381" s="276">
        <f>IF(AI381=1,IF(AC380=MiscData!$F$1,EOMONTH(AC380,-11),EOMONTH(AC380,1)),AC380)</f>
        <v>41820</v>
      </c>
      <c r="AD381" s="275" t="str">
        <f t="shared" si="181"/>
        <v>20140101LGUM_275</v>
      </c>
      <c r="AE381" s="294" t="str">
        <f t="shared" si="182"/>
        <v>20140101RLS</v>
      </c>
      <c r="AF381" s="618" t="str">
        <f t="shared" si="174"/>
        <v>275</v>
      </c>
      <c r="AH381" s="265">
        <f>MiscData!$X$5</f>
        <v>20140101</v>
      </c>
      <c r="AI381" s="265">
        <f>IF(AI380+1&gt;MiscData!$AC$77,1,AI380+1)</f>
        <v>13</v>
      </c>
      <c r="AJ381" s="265" t="str">
        <f>VLOOKUP(AI381,MiscData!$AC$5:$AD$77,2,FALSE)</f>
        <v>LGUM_275</v>
      </c>
      <c r="AK381" s="265" t="str">
        <f>VLOOKUP(AJ381,MiscData!$AD$5:$AE$77,2,FALSE)</f>
        <v>RLS</v>
      </c>
      <c r="AT381" s="265" t="s">
        <v>256</v>
      </c>
      <c r="AV381" s="265">
        <v>0</v>
      </c>
    </row>
    <row r="382" spans="1:48">
      <c r="A382" s="275">
        <f t="shared" si="175"/>
        <v>379</v>
      </c>
      <c r="B382" s="276" t="str">
        <f t="shared" si="178"/>
        <v>Jun 2014</v>
      </c>
      <c r="C382" s="277" t="str">
        <f t="shared" si="179"/>
        <v>RLS</v>
      </c>
      <c r="D382" s="277" t="str">
        <f t="shared" si="180"/>
        <v>LGUM_276</v>
      </c>
      <c r="E382" s="614">
        <f t="shared" si="155"/>
        <v>1370</v>
      </c>
      <c r="F382" s="615">
        <f t="shared" si="176"/>
        <v>0</v>
      </c>
      <c r="G382" s="614">
        <f t="shared" si="156"/>
        <v>39634</v>
      </c>
      <c r="H382" s="615">
        <v>0</v>
      </c>
      <c r="I382" s="283">
        <f t="shared" si="157"/>
        <v>14.17</v>
      </c>
      <c r="J382" s="283">
        <f t="shared" si="158"/>
        <v>0.88000000000000078</v>
      </c>
      <c r="K382" s="285">
        <f t="shared" si="159"/>
        <v>19412.900000000001</v>
      </c>
      <c r="L382" s="286">
        <f t="shared" si="160"/>
        <v>-188.08000000000175</v>
      </c>
      <c r="M382" s="286">
        <f t="shared" si="161"/>
        <v>0</v>
      </c>
      <c r="N382" s="285">
        <f t="shared" si="162"/>
        <v>19224.82</v>
      </c>
      <c r="O382" s="616">
        <f t="shared" si="183"/>
        <v>19224.82</v>
      </c>
      <c r="P382" s="289">
        <f t="shared" si="163"/>
        <v>1</v>
      </c>
      <c r="Q382" s="290">
        <f t="shared" si="164"/>
        <v>124.56</v>
      </c>
      <c r="R382" s="290">
        <f t="shared" si="165"/>
        <v>578.85</v>
      </c>
      <c r="S382" s="290">
        <f t="shared" si="166"/>
        <v>0</v>
      </c>
      <c r="T382" s="290">
        <f t="shared" si="167"/>
        <v>19928.23</v>
      </c>
      <c r="U382" s="291">
        <f t="shared" si="168"/>
        <v>19928.23</v>
      </c>
      <c r="V382" s="291">
        <f t="shared" si="172"/>
        <v>0</v>
      </c>
      <c r="W382" s="265">
        <f t="shared" si="169"/>
        <v>0</v>
      </c>
      <c r="X382" s="291">
        <f t="shared" si="173"/>
        <v>0</v>
      </c>
      <c r="Y382" s="170">
        <f t="shared" si="170"/>
        <v>1205.5999999999999</v>
      </c>
      <c r="Z382" s="291">
        <f t="shared" si="171"/>
        <v>18019.22</v>
      </c>
      <c r="AC382" s="276">
        <f>IF(AI382=1,IF(AC381=MiscData!$F$1,EOMONTH(AC381,-11),EOMONTH(AC381,1)),AC381)</f>
        <v>41820</v>
      </c>
      <c r="AD382" s="275" t="str">
        <f t="shared" si="181"/>
        <v>20140101LGUM_276</v>
      </c>
      <c r="AE382" s="294" t="str">
        <f t="shared" si="182"/>
        <v>20140101RLS</v>
      </c>
      <c r="AF382" s="618" t="str">
        <f t="shared" si="174"/>
        <v>276</v>
      </c>
      <c r="AH382" s="265">
        <f>MiscData!$X$5</f>
        <v>20140101</v>
      </c>
      <c r="AI382" s="265">
        <f>IF(AI381+1&gt;MiscData!$AC$77,1,AI381+1)</f>
        <v>14</v>
      </c>
      <c r="AJ382" s="265" t="str">
        <f>VLOOKUP(AI382,MiscData!$AC$5:$AD$77,2,FALSE)</f>
        <v>LGUM_276</v>
      </c>
      <c r="AK382" s="265" t="str">
        <f>VLOOKUP(AJ382,MiscData!$AD$5:$AE$77,2,FALSE)</f>
        <v>RLS</v>
      </c>
      <c r="AT382" s="265" t="s">
        <v>257</v>
      </c>
      <c r="AV382" s="265">
        <v>0</v>
      </c>
    </row>
    <row r="383" spans="1:48">
      <c r="A383" s="275">
        <f t="shared" si="175"/>
        <v>380</v>
      </c>
      <c r="B383" s="276" t="str">
        <f t="shared" si="178"/>
        <v>Jun 2014</v>
      </c>
      <c r="C383" s="277" t="str">
        <f t="shared" si="179"/>
        <v>RLS</v>
      </c>
      <c r="D383" s="277" t="str">
        <f t="shared" si="180"/>
        <v>LGUM_277</v>
      </c>
      <c r="E383" s="614">
        <f t="shared" si="155"/>
        <v>2549</v>
      </c>
      <c r="F383" s="615">
        <f t="shared" si="176"/>
        <v>0</v>
      </c>
      <c r="G383" s="614">
        <f t="shared" si="156"/>
        <v>135188</v>
      </c>
      <c r="H383" s="615">
        <v>0</v>
      </c>
      <c r="I383" s="283">
        <f t="shared" si="157"/>
        <v>22.15</v>
      </c>
      <c r="J383" s="283">
        <f t="shared" si="158"/>
        <v>1.7900000000000027</v>
      </c>
      <c r="K383" s="285">
        <f t="shared" si="159"/>
        <v>56460.35</v>
      </c>
      <c r="L383" s="286">
        <f t="shared" si="160"/>
        <v>-149.14000000000553</v>
      </c>
      <c r="M383" s="286">
        <f t="shared" si="161"/>
        <v>0</v>
      </c>
      <c r="N383" s="285">
        <f t="shared" si="162"/>
        <v>56311.209999999992</v>
      </c>
      <c r="O383" s="616">
        <f t="shared" si="183"/>
        <v>56311.21</v>
      </c>
      <c r="P383" s="289">
        <f t="shared" si="163"/>
        <v>1.0000000000000002</v>
      </c>
      <c r="Q383" s="290">
        <f t="shared" si="164"/>
        <v>407.1</v>
      </c>
      <c r="R383" s="290">
        <f t="shared" si="165"/>
        <v>1666.24</v>
      </c>
      <c r="S383" s="290">
        <f t="shared" si="166"/>
        <v>0</v>
      </c>
      <c r="T383" s="290">
        <f t="shared" si="167"/>
        <v>58443.67</v>
      </c>
      <c r="U383" s="291">
        <f t="shared" si="168"/>
        <v>58384.549999999988</v>
      </c>
      <c r="V383" s="291">
        <f t="shared" si="172"/>
        <v>59.12</v>
      </c>
      <c r="W383" s="265">
        <f t="shared" si="169"/>
        <v>59.12</v>
      </c>
      <c r="X383" s="291">
        <f t="shared" si="173"/>
        <v>0</v>
      </c>
      <c r="Y383" s="170">
        <f t="shared" si="170"/>
        <v>4562.71</v>
      </c>
      <c r="Z383" s="291">
        <f t="shared" si="171"/>
        <v>51748.5</v>
      </c>
      <c r="AC383" s="276">
        <f>IF(AI383=1,IF(AC382=MiscData!$F$1,EOMONTH(AC382,-11),EOMONTH(AC382,1)),AC382)</f>
        <v>41820</v>
      </c>
      <c r="AD383" s="275" t="str">
        <f t="shared" si="181"/>
        <v>20140101LGUM_277</v>
      </c>
      <c r="AE383" s="294" t="str">
        <f t="shared" si="182"/>
        <v>20140101RLS</v>
      </c>
      <c r="AF383" s="618" t="str">
        <f t="shared" si="174"/>
        <v>277</v>
      </c>
      <c r="AH383" s="265">
        <f>MiscData!$X$5</f>
        <v>20140101</v>
      </c>
      <c r="AI383" s="265">
        <f>IF(AI382+1&gt;MiscData!$AC$77,1,AI382+1)</f>
        <v>15</v>
      </c>
      <c r="AJ383" s="265" t="str">
        <f>VLOOKUP(AI383,MiscData!$AC$5:$AD$77,2,FALSE)</f>
        <v>LGUM_277</v>
      </c>
      <c r="AK383" s="265" t="str">
        <f>VLOOKUP(AJ383,MiscData!$AD$5:$AE$77,2,FALSE)</f>
        <v>RLS</v>
      </c>
      <c r="AT383" s="265" t="s">
        <v>390</v>
      </c>
      <c r="AV383" s="265">
        <v>0</v>
      </c>
    </row>
    <row r="384" spans="1:48">
      <c r="A384" s="275">
        <f t="shared" si="175"/>
        <v>381</v>
      </c>
      <c r="B384" s="276" t="str">
        <f t="shared" si="178"/>
        <v>Jun 2014</v>
      </c>
      <c r="C384" s="277" t="str">
        <f t="shared" si="179"/>
        <v>RLS</v>
      </c>
      <c r="D384" s="277" t="str">
        <f t="shared" si="180"/>
        <v>LGUM_278</v>
      </c>
      <c r="E384" s="614">
        <f t="shared" si="155"/>
        <v>17</v>
      </c>
      <c r="F384" s="615">
        <f t="shared" si="176"/>
        <v>0</v>
      </c>
      <c r="G384" s="614">
        <f t="shared" si="156"/>
        <v>5191</v>
      </c>
      <c r="H384" s="615">
        <v>0</v>
      </c>
      <c r="I384" s="283">
        <f t="shared" si="157"/>
        <v>72.550000000000011</v>
      </c>
      <c r="J384" s="283">
        <f t="shared" si="158"/>
        <v>9.8400000000000034</v>
      </c>
      <c r="K384" s="285">
        <f t="shared" si="159"/>
        <v>1233.3499999999999</v>
      </c>
      <c r="L384" s="286">
        <f t="shared" si="160"/>
        <v>0</v>
      </c>
      <c r="M384" s="286">
        <f t="shared" si="161"/>
        <v>0</v>
      </c>
      <c r="N384" s="285">
        <f t="shared" si="162"/>
        <v>1233.3499999999999</v>
      </c>
      <c r="O384" s="616">
        <f t="shared" si="183"/>
        <v>1233.3499999999999</v>
      </c>
      <c r="P384" s="289">
        <f t="shared" si="163"/>
        <v>1</v>
      </c>
      <c r="Q384" s="290">
        <f t="shared" si="164"/>
        <v>16.45</v>
      </c>
      <c r="R384" s="290">
        <f t="shared" si="165"/>
        <v>37.49</v>
      </c>
      <c r="S384" s="290">
        <f t="shared" si="166"/>
        <v>0</v>
      </c>
      <c r="T384" s="290">
        <f t="shared" si="167"/>
        <v>1287.29</v>
      </c>
      <c r="U384" s="291">
        <f t="shared" si="168"/>
        <v>1287.29</v>
      </c>
      <c r="V384" s="291">
        <f t="shared" si="172"/>
        <v>0</v>
      </c>
      <c r="W384" s="265">
        <f t="shared" si="169"/>
        <v>0</v>
      </c>
      <c r="X384" s="291">
        <f t="shared" si="173"/>
        <v>0</v>
      </c>
      <c r="Y384" s="170">
        <f t="shared" si="170"/>
        <v>167.28</v>
      </c>
      <c r="Z384" s="291">
        <f t="shared" si="171"/>
        <v>1066.07</v>
      </c>
      <c r="AC384" s="276">
        <f>IF(AI384=1,IF(AC383=MiscData!$F$1,EOMONTH(AC383,-11),EOMONTH(AC383,1)),AC383)</f>
        <v>41820</v>
      </c>
      <c r="AD384" s="275" t="str">
        <f t="shared" si="181"/>
        <v>20140101LGUM_278</v>
      </c>
      <c r="AE384" s="294" t="str">
        <f t="shared" si="182"/>
        <v>20140101RLS</v>
      </c>
      <c r="AF384" s="618" t="str">
        <f t="shared" si="174"/>
        <v>278</v>
      </c>
      <c r="AH384" s="265">
        <f>MiscData!$X$5</f>
        <v>20140101</v>
      </c>
      <c r="AI384" s="265">
        <f>IF(AI383+1&gt;MiscData!$AC$77,1,AI383+1)</f>
        <v>16</v>
      </c>
      <c r="AJ384" s="265" t="str">
        <f>VLOOKUP(AI384,MiscData!$AC$5:$AD$77,2,FALSE)</f>
        <v>LGUM_278</v>
      </c>
      <c r="AK384" s="265" t="str">
        <f>VLOOKUP(AJ384,MiscData!$AD$5:$AE$77,2,FALSE)</f>
        <v>RLS</v>
      </c>
      <c r="AT384" s="265" t="s">
        <v>258</v>
      </c>
      <c r="AV384" s="265">
        <v>0</v>
      </c>
    </row>
    <row r="385" spans="1:48">
      <c r="A385" s="275">
        <f t="shared" si="175"/>
        <v>382</v>
      </c>
      <c r="B385" s="276" t="str">
        <f t="shared" si="178"/>
        <v>Jun 2014</v>
      </c>
      <c r="C385" s="277" t="str">
        <f t="shared" si="179"/>
        <v>RLS</v>
      </c>
      <c r="D385" s="277" t="str">
        <f t="shared" si="180"/>
        <v>LGUM_279</v>
      </c>
      <c r="E385" s="614">
        <f t="shared" si="155"/>
        <v>11</v>
      </c>
      <c r="F385" s="615">
        <f t="shared" si="176"/>
        <v>0</v>
      </c>
      <c r="G385" s="614">
        <f t="shared" si="156"/>
        <v>3390</v>
      </c>
      <c r="H385" s="615">
        <v>0</v>
      </c>
      <c r="I385" s="283">
        <f t="shared" si="157"/>
        <v>41.43</v>
      </c>
      <c r="J385" s="283">
        <f t="shared" si="158"/>
        <v>9.8399999999999963</v>
      </c>
      <c r="K385" s="285">
        <f t="shared" si="159"/>
        <v>455.73</v>
      </c>
      <c r="L385" s="286">
        <f t="shared" si="160"/>
        <v>0</v>
      </c>
      <c r="M385" s="286">
        <f t="shared" si="161"/>
        <v>0</v>
      </c>
      <c r="N385" s="285">
        <f t="shared" si="162"/>
        <v>455.73</v>
      </c>
      <c r="O385" s="616">
        <f t="shared" si="183"/>
        <v>455.73</v>
      </c>
      <c r="P385" s="289">
        <f t="shared" si="163"/>
        <v>1</v>
      </c>
      <c r="Q385" s="290">
        <f t="shared" si="164"/>
        <v>10.74</v>
      </c>
      <c r="R385" s="290">
        <f t="shared" si="165"/>
        <v>14.01</v>
      </c>
      <c r="S385" s="290">
        <f t="shared" si="166"/>
        <v>0</v>
      </c>
      <c r="T385" s="290">
        <f t="shared" si="167"/>
        <v>480.48</v>
      </c>
      <c r="U385" s="291">
        <f t="shared" si="168"/>
        <v>480.48</v>
      </c>
      <c r="V385" s="291">
        <f t="shared" si="172"/>
        <v>0</v>
      </c>
      <c r="W385" s="265">
        <f t="shared" si="169"/>
        <v>0</v>
      </c>
      <c r="X385" s="291">
        <f t="shared" si="173"/>
        <v>0</v>
      </c>
      <c r="Y385" s="170">
        <f t="shared" si="170"/>
        <v>108.24</v>
      </c>
      <c r="Z385" s="291">
        <f t="shared" si="171"/>
        <v>347.49</v>
      </c>
      <c r="AC385" s="276">
        <f>IF(AI385=1,IF(AC384=MiscData!$F$1,EOMONTH(AC384,-11),EOMONTH(AC384,1)),AC384)</f>
        <v>41820</v>
      </c>
      <c r="AD385" s="275" t="str">
        <f t="shared" si="181"/>
        <v>20140101LGUM_279</v>
      </c>
      <c r="AE385" s="294" t="str">
        <f t="shared" si="182"/>
        <v>20140101RLS</v>
      </c>
      <c r="AF385" s="618" t="str">
        <f t="shared" si="174"/>
        <v>279</v>
      </c>
      <c r="AH385" s="265">
        <f>MiscData!$X$5</f>
        <v>20140101</v>
      </c>
      <c r="AI385" s="265">
        <f>IF(AI384+1&gt;MiscData!$AC$77,1,AI384+1)</f>
        <v>17</v>
      </c>
      <c r="AJ385" s="265" t="str">
        <f>VLOOKUP(AI385,MiscData!$AC$5:$AD$77,2,FALSE)</f>
        <v>LGUM_279</v>
      </c>
      <c r="AK385" s="265" t="str">
        <f>VLOOKUP(AJ385,MiscData!$AD$5:$AE$77,2,FALSE)</f>
        <v>RLS</v>
      </c>
      <c r="AT385" s="265" t="s">
        <v>259</v>
      </c>
      <c r="AV385" s="265">
        <v>0</v>
      </c>
    </row>
    <row r="386" spans="1:48">
      <c r="A386" s="275">
        <f t="shared" si="175"/>
        <v>383</v>
      </c>
      <c r="B386" s="276" t="str">
        <f t="shared" si="178"/>
        <v>Jun 2014</v>
      </c>
      <c r="C386" s="277" t="str">
        <f t="shared" si="179"/>
        <v>RLS</v>
      </c>
      <c r="D386" s="277" t="str">
        <f t="shared" si="180"/>
        <v>LGUM_280</v>
      </c>
      <c r="E386" s="614">
        <f t="shared" si="155"/>
        <v>46</v>
      </c>
      <c r="F386" s="615">
        <f t="shared" si="176"/>
        <v>0</v>
      </c>
      <c r="G386" s="614">
        <f t="shared" si="156"/>
        <v>1372</v>
      </c>
      <c r="H386" s="615">
        <v>0</v>
      </c>
      <c r="I386" s="283">
        <f t="shared" si="157"/>
        <v>19.38</v>
      </c>
      <c r="J386" s="283">
        <f t="shared" si="158"/>
        <v>0.87999999999999901</v>
      </c>
      <c r="K386" s="285">
        <f t="shared" si="159"/>
        <v>891.48</v>
      </c>
      <c r="L386" s="286">
        <f t="shared" si="160"/>
        <v>0</v>
      </c>
      <c r="M386" s="286">
        <f t="shared" si="161"/>
        <v>0</v>
      </c>
      <c r="N386" s="285">
        <f t="shared" si="162"/>
        <v>891.48</v>
      </c>
      <c r="O386" s="616">
        <f t="shared" si="183"/>
        <v>891.4799999999999</v>
      </c>
      <c r="P386" s="289">
        <f t="shared" si="163"/>
        <v>0.99999999999999989</v>
      </c>
      <c r="Q386" s="290">
        <f t="shared" si="164"/>
        <v>4.3600000000000003</v>
      </c>
      <c r="R386" s="290">
        <f t="shared" si="165"/>
        <v>48.94</v>
      </c>
      <c r="S386" s="290">
        <f t="shared" si="166"/>
        <v>0</v>
      </c>
      <c r="T386" s="290">
        <f t="shared" si="167"/>
        <v>1679.84</v>
      </c>
      <c r="U386" s="291">
        <f t="shared" si="168"/>
        <v>944.78</v>
      </c>
      <c r="V386" s="291">
        <f t="shared" si="172"/>
        <v>735.06</v>
      </c>
      <c r="W386" s="265">
        <f t="shared" si="169"/>
        <v>735.06</v>
      </c>
      <c r="X386" s="291">
        <f t="shared" si="173"/>
        <v>0</v>
      </c>
      <c r="Y386" s="170">
        <f t="shared" si="170"/>
        <v>40.479999999999997</v>
      </c>
      <c r="Z386" s="291">
        <f t="shared" si="171"/>
        <v>850.99999999999989</v>
      </c>
      <c r="AC386" s="276">
        <f>IF(AI386=1,IF(AC385=MiscData!$F$1,EOMONTH(AC385,-11),EOMONTH(AC385,1)),AC385)</f>
        <v>41820</v>
      </c>
      <c r="AD386" s="275" t="str">
        <f t="shared" si="181"/>
        <v>20140101LGUM_280</v>
      </c>
      <c r="AE386" s="294" t="str">
        <f t="shared" si="182"/>
        <v>20140101RLS</v>
      </c>
      <c r="AF386" s="618" t="str">
        <f t="shared" si="174"/>
        <v>280</v>
      </c>
      <c r="AH386" s="265">
        <f>MiscData!$X$5</f>
        <v>20140101</v>
      </c>
      <c r="AI386" s="265">
        <f>IF(AI385+1&gt;MiscData!$AC$77,1,AI385+1)</f>
        <v>18</v>
      </c>
      <c r="AJ386" s="265" t="str">
        <f>VLOOKUP(AI386,MiscData!$AC$5:$AD$77,2,FALSE)</f>
        <v>LGUM_280</v>
      </c>
      <c r="AK386" s="265" t="str">
        <f>VLOOKUP(AJ386,MiscData!$AD$5:$AE$77,2,FALSE)</f>
        <v>RLS</v>
      </c>
      <c r="AT386" s="265" t="s">
        <v>261</v>
      </c>
      <c r="AV386" s="265">
        <v>-16.45</v>
      </c>
    </row>
    <row r="387" spans="1:48">
      <c r="A387" s="275">
        <f t="shared" si="175"/>
        <v>384</v>
      </c>
      <c r="B387" s="276" t="str">
        <f t="shared" si="178"/>
        <v>Jun 2014</v>
      </c>
      <c r="C387" s="277" t="str">
        <f t="shared" si="179"/>
        <v>RLS</v>
      </c>
      <c r="D387" s="277" t="str">
        <f t="shared" si="180"/>
        <v>LGUM_281</v>
      </c>
      <c r="E387" s="614">
        <f t="shared" si="155"/>
        <v>245</v>
      </c>
      <c r="F387" s="615">
        <f t="shared" si="176"/>
        <v>0</v>
      </c>
      <c r="G387" s="614">
        <f t="shared" si="156"/>
        <v>9535</v>
      </c>
      <c r="H387" s="615">
        <v>0</v>
      </c>
      <c r="I387" s="283">
        <f t="shared" si="157"/>
        <v>20.349999999999998</v>
      </c>
      <c r="J387" s="283">
        <f t="shared" si="158"/>
        <v>1.2699999999999996</v>
      </c>
      <c r="K387" s="285">
        <f t="shared" si="159"/>
        <v>4985.75</v>
      </c>
      <c r="L387" s="286">
        <f t="shared" si="160"/>
        <v>0</v>
      </c>
      <c r="M387" s="286">
        <f t="shared" si="161"/>
        <v>0</v>
      </c>
      <c r="N387" s="285">
        <f t="shared" si="162"/>
        <v>4985.75</v>
      </c>
      <c r="O387" s="616">
        <f t="shared" si="183"/>
        <v>4985.7500000000018</v>
      </c>
      <c r="P387" s="289">
        <f t="shared" si="163"/>
        <v>1.0000000000000004</v>
      </c>
      <c r="Q387" s="290">
        <f t="shared" si="164"/>
        <v>30.25</v>
      </c>
      <c r="R387" s="290">
        <f t="shared" si="165"/>
        <v>263.8</v>
      </c>
      <c r="S387" s="290">
        <f t="shared" si="166"/>
        <v>0</v>
      </c>
      <c r="T387" s="290">
        <f t="shared" si="167"/>
        <v>9056.6200000000008</v>
      </c>
      <c r="U387" s="291">
        <f t="shared" si="168"/>
        <v>5279.8</v>
      </c>
      <c r="V387" s="291">
        <f t="shared" si="172"/>
        <v>3776.82</v>
      </c>
      <c r="W387" s="265">
        <f t="shared" si="169"/>
        <v>3776.82</v>
      </c>
      <c r="X387" s="291">
        <f t="shared" si="173"/>
        <v>0</v>
      </c>
      <c r="Y387" s="170">
        <f t="shared" si="170"/>
        <v>311.14999999999998</v>
      </c>
      <c r="Z387" s="291">
        <f t="shared" si="171"/>
        <v>4674.6000000000022</v>
      </c>
      <c r="AC387" s="276">
        <f>IF(AI387=1,IF(AC386=MiscData!$F$1,EOMONTH(AC386,-11),EOMONTH(AC386,1)),AC386)</f>
        <v>41820</v>
      </c>
      <c r="AD387" s="275" t="str">
        <f t="shared" si="181"/>
        <v>20140101LGUM_281</v>
      </c>
      <c r="AE387" s="294" t="str">
        <f t="shared" si="182"/>
        <v>20140101RLS</v>
      </c>
      <c r="AF387" s="618" t="str">
        <f t="shared" si="174"/>
        <v>281</v>
      </c>
      <c r="AH387" s="265">
        <f>MiscData!$X$5</f>
        <v>20140101</v>
      </c>
      <c r="AI387" s="265">
        <f>IF(AI386+1&gt;MiscData!$AC$77,1,AI386+1)</f>
        <v>19</v>
      </c>
      <c r="AJ387" s="265" t="str">
        <f>VLOOKUP(AI387,MiscData!$AC$5:$AD$77,2,FALSE)</f>
        <v>LGUM_281</v>
      </c>
      <c r="AK387" s="265" t="str">
        <f>VLOOKUP(AJ387,MiscData!$AD$5:$AE$77,2,FALSE)</f>
        <v>RLS</v>
      </c>
      <c r="AT387" s="265" t="s">
        <v>263</v>
      </c>
      <c r="AV387" s="265">
        <v>0</v>
      </c>
    </row>
    <row r="388" spans="1:48">
      <c r="A388" s="275">
        <f t="shared" si="175"/>
        <v>385</v>
      </c>
      <c r="B388" s="276" t="str">
        <f t="shared" si="178"/>
        <v>Jun 2014</v>
      </c>
      <c r="C388" s="277" t="str">
        <f t="shared" si="179"/>
        <v>RLS</v>
      </c>
      <c r="D388" s="277" t="str">
        <f t="shared" si="180"/>
        <v>LGUM_282</v>
      </c>
      <c r="E388" s="614">
        <f t="shared" ref="E388:E451" si="184">SUMIFS(L_1055_Count_Total,L_1055_Revenue_Month,$B388,L_1055_RateCategory,$D388)</f>
        <v>106</v>
      </c>
      <c r="F388" s="615">
        <f t="shared" si="176"/>
        <v>0</v>
      </c>
      <c r="G388" s="614">
        <f t="shared" ref="G388:G451" si="185">SUMIFS(L_SBR_KWH,L_SBR_Revenue_Month,$B388,L_SBR_Rate_Category,$D388)</f>
        <v>3154</v>
      </c>
      <c r="H388" s="615">
        <v>0</v>
      </c>
      <c r="I388" s="283">
        <f t="shared" ref="I388:I451" si="186">SUMIF(L_LightingRates_Tariff_Rate_Category,$AD388,L_LightingRates_UnitCharge)</f>
        <v>19.53</v>
      </c>
      <c r="J388" s="283">
        <f t="shared" ref="J388:J451" si="187">SUMIF(L_LightingRates_Tariff_Rate_Category,$AD388,L_LightingRates_FAC_Rate)</f>
        <v>0.87999999999999901</v>
      </c>
      <c r="K388" s="285">
        <f t="shared" ref="K388:K451" si="188">ROUND(($E388+$F388)*$I388,2)</f>
        <v>2070.1799999999998</v>
      </c>
      <c r="L388" s="286">
        <f t="shared" ref="L388:L451" si="189">SUMIFS(L_1055_Revenue_Test_Period_Adj,L_1055_RateCategory,$D388,L_1055_Revenue_Month,$B388)+SUMIFS(L_1055_Revenue_OutOfPeriod,L_1055_RateCategory,$D388,L_1055_Revenue_Month,$B388)</f>
        <v>0</v>
      </c>
      <c r="M388" s="286">
        <f t="shared" ref="M388:M436" si="190">SUMIFS(L_1055_Revenue_OutOfPeriod,L_1055_RateCategory,$D388,L_1055_Revenue_Month,$B388)</f>
        <v>0</v>
      </c>
      <c r="N388" s="285">
        <f t="shared" ref="N388:N451" si="191">SUM(K388:M388)</f>
        <v>2070.1799999999998</v>
      </c>
      <c r="O388" s="616">
        <f t="shared" si="183"/>
        <v>2070.1800000000003</v>
      </c>
      <c r="P388" s="289">
        <f t="shared" ref="P388:P451" si="192">IF(AND(N388=0,O388=0),1,IF(N388=0,0,O388/N388))</f>
        <v>1.0000000000000002</v>
      </c>
      <c r="Q388" s="290">
        <f t="shared" ref="Q388:Q451" si="193">SUMIFS(L_SBR_FAC,L_SBR_Revenue_Month,$B388,L_SBR_Rate_Category,$D388)</f>
        <v>9.99</v>
      </c>
      <c r="R388" s="290">
        <f t="shared" ref="R388:R451" si="194">SUMIFS(L_SBR_ECR,L_SBR_Revenue_Month,$B388,L_SBR_Rate_Category,$D388)</f>
        <v>92.08</v>
      </c>
      <c r="S388" s="290">
        <f t="shared" ref="S388:S451" si="195">SUMIFS(L_SBR_MSR,L_SBR_Revenue_Month,$B388,L_SBR_Rate_Category,$D388)</f>
        <v>0</v>
      </c>
      <c r="T388" s="290">
        <f t="shared" ref="T388:T451" si="196">SUMIFS(L_SBR_Revenue_Total,L_SBR_Revenue_Month,$B388,L_SBR_Rate_Category,$D388)</f>
        <v>3161.86</v>
      </c>
      <c r="U388" s="291">
        <f t="shared" ref="U388:U451" si="197">SUM(N388,Q388:S388)</f>
        <v>2172.2499999999995</v>
      </c>
      <c r="V388" s="291">
        <f t="shared" si="172"/>
        <v>989.61</v>
      </c>
      <c r="W388" s="265">
        <f t="shared" ref="W388:W451" si="198">ROUND(SUMIFS(L_1055_Revenue_Poles_Test_Period,L_1055_Revenue_Month,$B388,L_1055_RateCategory,$D388),2)</f>
        <v>989.61</v>
      </c>
      <c r="X388" s="291">
        <f t="shared" si="173"/>
        <v>0</v>
      </c>
      <c r="Y388" s="170">
        <f t="shared" ref="Y388:Y451" si="199">ROUND(E388*J388,2)</f>
        <v>93.28</v>
      </c>
      <c r="Z388" s="291">
        <f t="shared" ref="Z388:Z451" si="200">O388-Y388</f>
        <v>1976.9000000000003</v>
      </c>
      <c r="AC388" s="276">
        <f>IF(AI388=1,IF(AC387=MiscData!$F$1,EOMONTH(AC387,-11),EOMONTH(AC387,1)),AC387)</f>
        <v>41820</v>
      </c>
      <c r="AD388" s="275" t="str">
        <f t="shared" si="181"/>
        <v>20140101LGUM_282</v>
      </c>
      <c r="AE388" s="294" t="str">
        <f t="shared" si="182"/>
        <v>20140101RLS</v>
      </c>
      <c r="AF388" s="618" t="str">
        <f t="shared" si="174"/>
        <v>282</v>
      </c>
      <c r="AH388" s="265">
        <f>MiscData!$X$5</f>
        <v>20140101</v>
      </c>
      <c r="AI388" s="265">
        <f>IF(AI387+1&gt;MiscData!$AC$77,1,AI387+1)</f>
        <v>20</v>
      </c>
      <c r="AJ388" s="265" t="str">
        <f>VLOOKUP(AI388,MiscData!$AC$5:$AD$77,2,FALSE)</f>
        <v>LGUM_282</v>
      </c>
      <c r="AK388" s="265" t="str">
        <f>VLOOKUP(AJ388,MiscData!$AD$5:$AE$77,2,FALSE)</f>
        <v>RLS</v>
      </c>
      <c r="AT388" s="265" t="s">
        <v>264</v>
      </c>
      <c r="AV388" s="265">
        <v>0</v>
      </c>
    </row>
    <row r="389" spans="1:48">
      <c r="A389" s="275">
        <f t="shared" si="175"/>
        <v>386</v>
      </c>
      <c r="B389" s="276" t="str">
        <f t="shared" si="178"/>
        <v>Jun 2014</v>
      </c>
      <c r="C389" s="277" t="str">
        <f t="shared" si="179"/>
        <v>RLS</v>
      </c>
      <c r="D389" s="277" t="str">
        <f t="shared" si="180"/>
        <v>LGUM_283</v>
      </c>
      <c r="E389" s="614">
        <f t="shared" si="184"/>
        <v>82</v>
      </c>
      <c r="F389" s="615">
        <f t="shared" si="176"/>
        <v>0</v>
      </c>
      <c r="G389" s="614">
        <f t="shared" si="185"/>
        <v>3038</v>
      </c>
      <c r="H389" s="615">
        <v>0</v>
      </c>
      <c r="I389" s="283">
        <f t="shared" si="186"/>
        <v>20.819999999999997</v>
      </c>
      <c r="J389" s="283">
        <f t="shared" si="187"/>
        <v>1.2699999999999996</v>
      </c>
      <c r="K389" s="285">
        <f t="shared" si="188"/>
        <v>1707.24</v>
      </c>
      <c r="L389" s="286">
        <f t="shared" si="189"/>
        <v>0</v>
      </c>
      <c r="M389" s="286">
        <f t="shared" si="190"/>
        <v>0</v>
      </c>
      <c r="N389" s="285">
        <f t="shared" si="191"/>
        <v>1707.24</v>
      </c>
      <c r="O389" s="616">
        <f t="shared" si="183"/>
        <v>1707.2399999999996</v>
      </c>
      <c r="P389" s="289">
        <f t="shared" si="192"/>
        <v>0.99999999999999978</v>
      </c>
      <c r="Q389" s="290">
        <f t="shared" si="193"/>
        <v>9.6199999999999992</v>
      </c>
      <c r="R389" s="290">
        <f t="shared" si="194"/>
        <v>90.16</v>
      </c>
      <c r="S389" s="290">
        <f t="shared" si="195"/>
        <v>0</v>
      </c>
      <c r="T389" s="290">
        <f t="shared" si="196"/>
        <v>3094.79</v>
      </c>
      <c r="U389" s="291">
        <f t="shared" si="197"/>
        <v>1807.02</v>
      </c>
      <c r="V389" s="291">
        <f t="shared" ref="V389:V452" si="201">ROUND(T389-U389,2)</f>
        <v>1287.77</v>
      </c>
      <c r="W389" s="265">
        <f t="shared" si="198"/>
        <v>1287.77</v>
      </c>
      <c r="X389" s="291">
        <f t="shared" ref="X389:X452" si="202">V389-W389</f>
        <v>0</v>
      </c>
      <c r="Y389" s="170">
        <f t="shared" si="199"/>
        <v>104.14</v>
      </c>
      <c r="Z389" s="291">
        <f t="shared" si="200"/>
        <v>1603.0999999999995</v>
      </c>
      <c r="AC389" s="276">
        <f>IF(AI389=1,IF(AC388=MiscData!$F$1,EOMONTH(AC388,-11),EOMONTH(AC388,1)),AC388)</f>
        <v>41820</v>
      </c>
      <c r="AD389" s="275" t="str">
        <f t="shared" si="181"/>
        <v>20140101LGUM_283</v>
      </c>
      <c r="AE389" s="294" t="str">
        <f t="shared" si="182"/>
        <v>20140101RLS</v>
      </c>
      <c r="AF389" s="618" t="str">
        <f t="shared" ref="AF389:AF452" si="203">RIGHT(AJ389,3)</f>
        <v>283</v>
      </c>
      <c r="AH389" s="265">
        <f>MiscData!$X$5</f>
        <v>20140101</v>
      </c>
      <c r="AI389" s="265">
        <f>IF(AI388+1&gt;MiscData!$AC$77,1,AI388+1)</f>
        <v>21</v>
      </c>
      <c r="AJ389" s="265" t="str">
        <f>VLOOKUP(AI389,MiscData!$AC$5:$AD$77,2,FALSE)</f>
        <v>LGUM_283</v>
      </c>
      <c r="AK389" s="265" t="str">
        <f>VLOOKUP(AJ389,MiscData!$AD$5:$AE$77,2,FALSE)</f>
        <v>RLS</v>
      </c>
      <c r="AT389" s="265" t="s">
        <v>265</v>
      </c>
      <c r="AV389" s="265">
        <v>0</v>
      </c>
    </row>
    <row r="390" spans="1:48">
      <c r="A390" s="275">
        <f t="shared" si="175"/>
        <v>387</v>
      </c>
      <c r="B390" s="276" t="str">
        <f t="shared" si="178"/>
        <v>Jun 2014</v>
      </c>
      <c r="C390" s="277" t="str">
        <f t="shared" si="179"/>
        <v>RLS</v>
      </c>
      <c r="D390" s="277" t="str">
        <f t="shared" si="180"/>
        <v>LGUM_314</v>
      </c>
      <c r="E390" s="614">
        <f t="shared" si="184"/>
        <v>998</v>
      </c>
      <c r="F390" s="615">
        <f t="shared" si="176"/>
        <v>0</v>
      </c>
      <c r="G390" s="614">
        <f t="shared" si="185"/>
        <v>77991</v>
      </c>
      <c r="H390" s="615">
        <v>0</v>
      </c>
      <c r="I390" s="283">
        <f t="shared" si="186"/>
        <v>19.2</v>
      </c>
      <c r="J390" s="283">
        <f t="shared" si="187"/>
        <v>2.7100000000000009</v>
      </c>
      <c r="K390" s="285">
        <f t="shared" si="188"/>
        <v>19161.599999999999</v>
      </c>
      <c r="L390" s="286">
        <f t="shared" si="189"/>
        <v>-35.599999999998545</v>
      </c>
      <c r="M390" s="286">
        <f t="shared" si="190"/>
        <v>0</v>
      </c>
      <c r="N390" s="285">
        <f t="shared" si="191"/>
        <v>19126</v>
      </c>
      <c r="O390" s="616">
        <f t="shared" si="183"/>
        <v>19126</v>
      </c>
      <c r="P390" s="289">
        <f t="shared" si="192"/>
        <v>1</v>
      </c>
      <c r="Q390" s="290">
        <f t="shared" si="193"/>
        <v>184.05</v>
      </c>
      <c r="R390" s="290">
        <f t="shared" si="194"/>
        <v>515.45000000000005</v>
      </c>
      <c r="S390" s="290">
        <f t="shared" si="195"/>
        <v>0</v>
      </c>
      <c r="T390" s="290">
        <f t="shared" si="196"/>
        <v>19825.5</v>
      </c>
      <c r="U390" s="291">
        <f t="shared" si="197"/>
        <v>19825.5</v>
      </c>
      <c r="V390" s="291">
        <f t="shared" si="201"/>
        <v>0</v>
      </c>
      <c r="W390" s="265">
        <f t="shared" si="198"/>
        <v>0</v>
      </c>
      <c r="X390" s="291">
        <f t="shared" si="202"/>
        <v>0</v>
      </c>
      <c r="Y390" s="170">
        <f t="shared" si="199"/>
        <v>2704.58</v>
      </c>
      <c r="Z390" s="291">
        <f t="shared" si="200"/>
        <v>16421.419999999998</v>
      </c>
      <c r="AC390" s="276">
        <f>IF(AI390=1,IF(AC389=MiscData!$F$1,EOMONTH(AC389,-11),EOMONTH(AC389,1)),AC389)</f>
        <v>41820</v>
      </c>
      <c r="AD390" s="275" t="str">
        <f t="shared" si="181"/>
        <v>20140101LGUM_314</v>
      </c>
      <c r="AE390" s="294" t="str">
        <f t="shared" si="182"/>
        <v>20140101RLS</v>
      </c>
      <c r="AF390" s="618" t="str">
        <f t="shared" si="203"/>
        <v>314</v>
      </c>
      <c r="AH390" s="265">
        <f>MiscData!$X$5</f>
        <v>20140101</v>
      </c>
      <c r="AI390" s="265">
        <f>IF(AI389+1&gt;MiscData!$AC$77,1,AI389+1)</f>
        <v>22</v>
      </c>
      <c r="AJ390" s="265" t="str">
        <f>VLOOKUP(AI390,MiscData!$AC$5:$AD$77,2,FALSE)</f>
        <v>LGUM_314</v>
      </c>
      <c r="AK390" s="265" t="str">
        <f>VLOOKUP(AJ390,MiscData!$AD$5:$AE$77,2,FALSE)</f>
        <v>RLS</v>
      </c>
      <c r="AT390" s="265" t="s">
        <v>391</v>
      </c>
      <c r="AV390" s="265">
        <v>0</v>
      </c>
    </row>
    <row r="391" spans="1:48">
      <c r="A391" s="275">
        <f t="shared" ref="A391:A454" si="204">A390+1</f>
        <v>388</v>
      </c>
      <c r="B391" s="276" t="str">
        <f t="shared" si="178"/>
        <v>Jun 2014</v>
      </c>
      <c r="C391" s="277" t="str">
        <f t="shared" si="179"/>
        <v>RLS</v>
      </c>
      <c r="D391" s="277" t="str">
        <f t="shared" si="180"/>
        <v>LGUM_315</v>
      </c>
      <c r="E391" s="614">
        <f t="shared" si="184"/>
        <v>997</v>
      </c>
      <c r="F391" s="615">
        <f t="shared" si="176"/>
        <v>0</v>
      </c>
      <c r="G391" s="614">
        <f t="shared" si="185"/>
        <v>120284</v>
      </c>
      <c r="H391" s="615">
        <v>0</v>
      </c>
      <c r="I391" s="283">
        <f t="shared" si="186"/>
        <v>22.949999999999996</v>
      </c>
      <c r="J391" s="283">
        <f t="shared" si="187"/>
        <v>4.1999999999999993</v>
      </c>
      <c r="K391" s="285">
        <f t="shared" si="188"/>
        <v>22881.15</v>
      </c>
      <c r="L391" s="286">
        <f t="shared" si="189"/>
        <v>0</v>
      </c>
      <c r="M391" s="286">
        <f t="shared" si="190"/>
        <v>0</v>
      </c>
      <c r="N391" s="285">
        <f t="shared" si="191"/>
        <v>22881.15</v>
      </c>
      <c r="O391" s="616">
        <f t="shared" si="183"/>
        <v>22881.149999999998</v>
      </c>
      <c r="P391" s="289">
        <f t="shared" si="192"/>
        <v>0.99999999999999989</v>
      </c>
      <c r="Q391" s="290">
        <f t="shared" si="193"/>
        <v>284.86</v>
      </c>
      <c r="R391" s="290">
        <f t="shared" si="194"/>
        <v>619.47</v>
      </c>
      <c r="S391" s="290">
        <f t="shared" si="195"/>
        <v>0</v>
      </c>
      <c r="T391" s="290">
        <f t="shared" si="196"/>
        <v>23785.48</v>
      </c>
      <c r="U391" s="291">
        <f t="shared" si="197"/>
        <v>23785.480000000003</v>
      </c>
      <c r="V391" s="291">
        <f t="shared" si="201"/>
        <v>0</v>
      </c>
      <c r="W391" s="265">
        <f t="shared" si="198"/>
        <v>0</v>
      </c>
      <c r="X391" s="291">
        <f t="shared" si="202"/>
        <v>0</v>
      </c>
      <c r="Y391" s="170">
        <f t="shared" si="199"/>
        <v>4187.3999999999996</v>
      </c>
      <c r="Z391" s="291">
        <f t="shared" si="200"/>
        <v>18693.75</v>
      </c>
      <c r="AC391" s="276">
        <f>IF(AI391=1,IF(AC390=MiscData!$F$1,EOMONTH(AC390,-11),EOMONTH(AC390,1)),AC390)</f>
        <v>41820</v>
      </c>
      <c r="AD391" s="275" t="str">
        <f t="shared" si="181"/>
        <v>20140101LGUM_315</v>
      </c>
      <c r="AE391" s="294" t="str">
        <f t="shared" si="182"/>
        <v>20140101RLS</v>
      </c>
      <c r="AF391" s="618" t="str">
        <f t="shared" si="203"/>
        <v>315</v>
      </c>
      <c r="AH391" s="265">
        <f>MiscData!$X$5</f>
        <v>20140101</v>
      </c>
      <c r="AI391" s="265">
        <f>IF(AI390+1&gt;MiscData!$AC$77,1,AI390+1)</f>
        <v>23</v>
      </c>
      <c r="AJ391" s="265" t="str">
        <f>VLOOKUP(AI391,MiscData!$AC$5:$AD$77,2,FALSE)</f>
        <v>LGUM_315</v>
      </c>
      <c r="AK391" s="265" t="str">
        <f>VLOOKUP(AJ391,MiscData!$AD$5:$AE$77,2,FALSE)</f>
        <v>RLS</v>
      </c>
      <c r="AT391" s="265" t="s">
        <v>267</v>
      </c>
      <c r="AV391" s="265">
        <v>140.47999999999999</v>
      </c>
    </row>
    <row r="392" spans="1:48">
      <c r="A392" s="275">
        <f t="shared" si="204"/>
        <v>389</v>
      </c>
      <c r="B392" s="276" t="str">
        <f t="shared" si="178"/>
        <v>Jun 2014</v>
      </c>
      <c r="C392" s="277" t="str">
        <f t="shared" si="179"/>
        <v>RLS</v>
      </c>
      <c r="D392" s="277" t="str">
        <f t="shared" si="180"/>
        <v>LGUM_318</v>
      </c>
      <c r="E392" s="614">
        <f t="shared" si="184"/>
        <v>108</v>
      </c>
      <c r="F392" s="615">
        <f t="shared" si="176"/>
        <v>0</v>
      </c>
      <c r="G392" s="614">
        <f t="shared" si="185"/>
        <v>5922</v>
      </c>
      <c r="H392" s="615">
        <v>0</v>
      </c>
      <c r="I392" s="283">
        <f t="shared" si="186"/>
        <v>17.419999999999998</v>
      </c>
      <c r="J392" s="283">
        <f t="shared" si="187"/>
        <v>1.9100000000000001</v>
      </c>
      <c r="K392" s="285">
        <f t="shared" si="188"/>
        <v>1881.36</v>
      </c>
      <c r="L392" s="286">
        <f t="shared" si="189"/>
        <v>0</v>
      </c>
      <c r="M392" s="286">
        <f t="shared" si="190"/>
        <v>0</v>
      </c>
      <c r="N392" s="285">
        <f t="shared" si="191"/>
        <v>1881.36</v>
      </c>
      <c r="O392" s="616">
        <f t="shared" si="183"/>
        <v>1881.36</v>
      </c>
      <c r="P392" s="289">
        <f t="shared" si="192"/>
        <v>1</v>
      </c>
      <c r="Q392" s="290">
        <f t="shared" si="193"/>
        <v>13.88</v>
      </c>
      <c r="R392" s="290">
        <f t="shared" si="194"/>
        <v>50.56</v>
      </c>
      <c r="S392" s="290">
        <f t="shared" si="195"/>
        <v>0</v>
      </c>
      <c r="T392" s="290">
        <f t="shared" si="196"/>
        <v>1945.8</v>
      </c>
      <c r="U392" s="291">
        <f t="shared" si="197"/>
        <v>1945.8</v>
      </c>
      <c r="V392" s="291">
        <f t="shared" si="201"/>
        <v>0</v>
      </c>
      <c r="W392" s="265">
        <f t="shared" si="198"/>
        <v>0</v>
      </c>
      <c r="X392" s="291">
        <f t="shared" si="202"/>
        <v>0</v>
      </c>
      <c r="Y392" s="170">
        <f t="shared" si="199"/>
        <v>206.28</v>
      </c>
      <c r="Z392" s="291">
        <f t="shared" si="200"/>
        <v>1675.08</v>
      </c>
      <c r="AC392" s="276">
        <f>IF(AI392=1,IF(AC391=MiscData!$F$1,EOMONTH(AC391,-11),EOMONTH(AC391,1)),AC391)</f>
        <v>41820</v>
      </c>
      <c r="AD392" s="275" t="str">
        <f t="shared" si="181"/>
        <v>20140101LGUM_318</v>
      </c>
      <c r="AE392" s="294" t="str">
        <f t="shared" si="182"/>
        <v>20140101RLS</v>
      </c>
      <c r="AF392" s="618" t="str">
        <f t="shared" si="203"/>
        <v>318</v>
      </c>
      <c r="AH392" s="265">
        <f>MiscData!$X$5</f>
        <v>20140101</v>
      </c>
      <c r="AI392" s="265">
        <f>IF(AI391+1&gt;MiscData!$AC$77,1,AI391+1)</f>
        <v>24</v>
      </c>
      <c r="AJ392" s="265" t="str">
        <f>VLOOKUP(AI392,MiscData!$AC$5:$AD$77,2,FALSE)</f>
        <v>LGUM_318</v>
      </c>
      <c r="AK392" s="265" t="str">
        <f>VLOOKUP(AJ392,MiscData!$AD$5:$AE$77,2,FALSE)</f>
        <v>RLS</v>
      </c>
      <c r="AT392" s="265" t="s">
        <v>392</v>
      </c>
      <c r="AV392" s="265">
        <v>0</v>
      </c>
    </row>
    <row r="393" spans="1:48">
      <c r="A393" s="275">
        <f t="shared" si="204"/>
        <v>390</v>
      </c>
      <c r="B393" s="276" t="str">
        <f t="shared" si="178"/>
        <v>Jun 2014</v>
      </c>
      <c r="C393" s="277" t="str">
        <f t="shared" si="179"/>
        <v>RLS</v>
      </c>
      <c r="D393" s="277" t="str">
        <f t="shared" si="180"/>
        <v>LGUM_347</v>
      </c>
      <c r="E393" s="614">
        <f t="shared" si="184"/>
        <v>0</v>
      </c>
      <c r="F393" s="615">
        <f t="shared" si="176"/>
        <v>0</v>
      </c>
      <c r="G393" s="614">
        <f t="shared" si="185"/>
        <v>0</v>
      </c>
      <c r="H393" s="615">
        <v>0</v>
      </c>
      <c r="I393" s="283">
        <f t="shared" si="186"/>
        <v>22.939999999999998</v>
      </c>
      <c r="J393" s="283">
        <f t="shared" si="187"/>
        <v>26.14</v>
      </c>
      <c r="K393" s="285">
        <f t="shared" si="188"/>
        <v>0</v>
      </c>
      <c r="L393" s="286">
        <f t="shared" si="189"/>
        <v>0</v>
      </c>
      <c r="M393" s="286">
        <f t="shared" si="190"/>
        <v>0</v>
      </c>
      <c r="N393" s="285">
        <f t="shared" si="191"/>
        <v>0</v>
      </c>
      <c r="O393" s="616">
        <f t="shared" si="183"/>
        <v>0</v>
      </c>
      <c r="P393" s="289">
        <f t="shared" si="192"/>
        <v>1</v>
      </c>
      <c r="Q393" s="290">
        <f t="shared" si="193"/>
        <v>0</v>
      </c>
      <c r="R393" s="290">
        <f t="shared" si="194"/>
        <v>0</v>
      </c>
      <c r="S393" s="290">
        <f t="shared" si="195"/>
        <v>0</v>
      </c>
      <c r="T393" s="290">
        <f t="shared" si="196"/>
        <v>0</v>
      </c>
      <c r="U393" s="291">
        <f t="shared" si="197"/>
        <v>0</v>
      </c>
      <c r="V393" s="291">
        <f t="shared" si="201"/>
        <v>0</v>
      </c>
      <c r="W393" s="265">
        <f t="shared" si="198"/>
        <v>0</v>
      </c>
      <c r="X393" s="291">
        <f t="shared" si="202"/>
        <v>0</v>
      </c>
      <c r="Y393" s="170">
        <f t="shared" si="199"/>
        <v>0</v>
      </c>
      <c r="Z393" s="291">
        <f t="shared" si="200"/>
        <v>0</v>
      </c>
      <c r="AC393" s="276">
        <f>IF(AI393=1,IF(AC392=MiscData!$F$1,EOMONTH(AC392,-11),EOMONTH(AC392,1)),AC392)</f>
        <v>41820</v>
      </c>
      <c r="AD393" s="275" t="str">
        <f t="shared" si="181"/>
        <v>20140101LGUM_347</v>
      </c>
      <c r="AE393" s="294" t="str">
        <f t="shared" si="182"/>
        <v>20140101RLS</v>
      </c>
      <c r="AF393" s="618" t="str">
        <f t="shared" si="203"/>
        <v>347</v>
      </c>
      <c r="AH393" s="265">
        <f>MiscData!$X$5</f>
        <v>20140101</v>
      </c>
      <c r="AI393" s="265">
        <f>IF(AI392+1&gt;MiscData!$AC$77,1,AI392+1)</f>
        <v>25</v>
      </c>
      <c r="AJ393" s="265" t="str">
        <f>VLOOKUP(AI393,MiscData!$AC$5:$AD$77,2,FALSE)</f>
        <v>LGUM_347</v>
      </c>
      <c r="AK393" s="265" t="str">
        <f>VLOOKUP(AJ393,MiscData!$AD$5:$AE$77,2,FALSE)</f>
        <v>RLS</v>
      </c>
      <c r="AT393" s="265" t="s">
        <v>268</v>
      </c>
      <c r="AV393" s="265">
        <v>0</v>
      </c>
    </row>
    <row r="394" spans="1:48">
      <c r="A394" s="275">
        <f t="shared" si="204"/>
        <v>391</v>
      </c>
      <c r="B394" s="276" t="str">
        <f t="shared" si="178"/>
        <v>Jun 2014</v>
      </c>
      <c r="C394" s="277" t="str">
        <f t="shared" si="179"/>
        <v>RLS</v>
      </c>
      <c r="D394" s="277" t="str">
        <f t="shared" si="180"/>
        <v>LGUM_348</v>
      </c>
      <c r="E394" s="614">
        <f t="shared" si="184"/>
        <v>80</v>
      </c>
      <c r="F394" s="615">
        <f t="shared" si="176"/>
        <v>0</v>
      </c>
      <c r="G394" s="614">
        <f t="shared" si="185"/>
        <v>6269</v>
      </c>
      <c r="H394" s="615">
        <v>0</v>
      </c>
      <c r="I394" s="283">
        <f t="shared" si="186"/>
        <v>13.12</v>
      </c>
      <c r="J394" s="283">
        <f t="shared" si="187"/>
        <v>2.9800000000000004</v>
      </c>
      <c r="K394" s="285">
        <f t="shared" si="188"/>
        <v>1049.5999999999999</v>
      </c>
      <c r="L394" s="286">
        <f t="shared" si="189"/>
        <v>0</v>
      </c>
      <c r="M394" s="286">
        <f t="shared" si="190"/>
        <v>0</v>
      </c>
      <c r="N394" s="285">
        <f t="shared" si="191"/>
        <v>1049.5999999999999</v>
      </c>
      <c r="O394" s="616">
        <f t="shared" si="183"/>
        <v>1049.6000000000001</v>
      </c>
      <c r="P394" s="289">
        <f t="shared" si="192"/>
        <v>1.0000000000000002</v>
      </c>
      <c r="Q394" s="290">
        <f t="shared" si="193"/>
        <v>14.74</v>
      </c>
      <c r="R394" s="290">
        <f t="shared" si="194"/>
        <v>28.37</v>
      </c>
      <c r="S394" s="290">
        <f t="shared" si="195"/>
        <v>0</v>
      </c>
      <c r="T394" s="290">
        <f t="shared" si="196"/>
        <v>1092.71</v>
      </c>
      <c r="U394" s="291">
        <f t="shared" si="197"/>
        <v>1092.7099999999998</v>
      </c>
      <c r="V394" s="291">
        <f t="shared" si="201"/>
        <v>0</v>
      </c>
      <c r="W394" s="265">
        <f t="shared" si="198"/>
        <v>0</v>
      </c>
      <c r="X394" s="291">
        <f t="shared" si="202"/>
        <v>0</v>
      </c>
      <c r="Y394" s="170">
        <f t="shared" si="199"/>
        <v>238.4</v>
      </c>
      <c r="Z394" s="291">
        <f t="shared" si="200"/>
        <v>811.20000000000016</v>
      </c>
      <c r="AC394" s="276">
        <f>IF(AI394=1,IF(AC393=MiscData!$F$1,EOMONTH(AC393,-11),EOMONTH(AC393,1)),AC393)</f>
        <v>41820</v>
      </c>
      <c r="AD394" s="275" t="str">
        <f t="shared" si="181"/>
        <v>20140101LGUM_348</v>
      </c>
      <c r="AE394" s="294" t="str">
        <f t="shared" si="182"/>
        <v>20140101RLS</v>
      </c>
      <c r="AF394" s="618" t="str">
        <f t="shared" si="203"/>
        <v>348</v>
      </c>
      <c r="AH394" s="265">
        <f>MiscData!$X$5</f>
        <v>20140101</v>
      </c>
      <c r="AI394" s="265">
        <f>IF(AI393+1&gt;MiscData!$AC$77,1,AI393+1)</f>
        <v>26</v>
      </c>
      <c r="AJ394" s="265" t="str">
        <f>VLOOKUP(AI394,MiscData!$AC$5:$AD$77,2,FALSE)</f>
        <v>LGUM_348</v>
      </c>
      <c r="AK394" s="265" t="str">
        <f>VLOOKUP(AJ394,MiscData!$AD$5:$AE$77,2,FALSE)</f>
        <v>RLS</v>
      </c>
      <c r="AT394" s="265" t="s">
        <v>269</v>
      </c>
      <c r="AV394" s="265">
        <v>0</v>
      </c>
    </row>
    <row r="395" spans="1:48">
      <c r="A395" s="275">
        <f t="shared" si="204"/>
        <v>392</v>
      </c>
      <c r="B395" s="276" t="str">
        <f t="shared" si="178"/>
        <v>Jun 2014</v>
      </c>
      <c r="C395" s="277" t="str">
        <f t="shared" si="179"/>
        <v>RLS</v>
      </c>
      <c r="D395" s="277" t="str">
        <f t="shared" si="180"/>
        <v>LGUM_349</v>
      </c>
      <c r="E395" s="614">
        <f t="shared" si="184"/>
        <v>34</v>
      </c>
      <c r="F395" s="615">
        <f t="shared" si="176"/>
        <v>0</v>
      </c>
      <c r="G395" s="614">
        <f t="shared" si="185"/>
        <v>888</v>
      </c>
      <c r="H395" s="615">
        <v>0</v>
      </c>
      <c r="I395" s="283">
        <f t="shared" si="186"/>
        <v>9.0200000000000014</v>
      </c>
      <c r="J395" s="283">
        <f t="shared" si="187"/>
        <v>0.91000000000000014</v>
      </c>
      <c r="K395" s="285">
        <f t="shared" si="188"/>
        <v>306.68</v>
      </c>
      <c r="L395" s="286">
        <f t="shared" si="189"/>
        <v>0</v>
      </c>
      <c r="M395" s="286">
        <f t="shared" si="190"/>
        <v>0</v>
      </c>
      <c r="N395" s="285">
        <f t="shared" si="191"/>
        <v>306.68</v>
      </c>
      <c r="O395" s="616">
        <f t="shared" si="183"/>
        <v>306.68</v>
      </c>
      <c r="P395" s="289">
        <f t="shared" si="192"/>
        <v>1</v>
      </c>
      <c r="Q395" s="290">
        <f t="shared" si="193"/>
        <v>2.08</v>
      </c>
      <c r="R395" s="290">
        <f t="shared" si="194"/>
        <v>8.23</v>
      </c>
      <c r="S395" s="290">
        <f t="shared" si="195"/>
        <v>0</v>
      </c>
      <c r="T395" s="290">
        <f t="shared" si="196"/>
        <v>316.99</v>
      </c>
      <c r="U395" s="291">
        <f t="shared" si="197"/>
        <v>316.99</v>
      </c>
      <c r="V395" s="291">
        <f t="shared" si="201"/>
        <v>0</v>
      </c>
      <c r="W395" s="265">
        <f t="shared" si="198"/>
        <v>0</v>
      </c>
      <c r="X395" s="291">
        <f t="shared" si="202"/>
        <v>0</v>
      </c>
      <c r="Y395" s="170">
        <f t="shared" si="199"/>
        <v>30.94</v>
      </c>
      <c r="Z395" s="291">
        <f t="shared" si="200"/>
        <v>275.74</v>
      </c>
      <c r="AC395" s="276">
        <f>IF(AI395=1,IF(AC394=MiscData!$F$1,EOMONTH(AC394,-11),EOMONTH(AC394,1)),AC394)</f>
        <v>41820</v>
      </c>
      <c r="AD395" s="275" t="str">
        <f t="shared" si="181"/>
        <v>20140101LGUM_349</v>
      </c>
      <c r="AE395" s="294" t="str">
        <f t="shared" si="182"/>
        <v>20140101RLS</v>
      </c>
      <c r="AF395" s="618" t="str">
        <f t="shared" si="203"/>
        <v>349</v>
      </c>
      <c r="AH395" s="265">
        <f>MiscData!$X$5</f>
        <v>20140101</v>
      </c>
      <c r="AI395" s="265">
        <f>IF(AI394+1&gt;MiscData!$AC$77,1,AI394+1)</f>
        <v>27</v>
      </c>
      <c r="AJ395" s="265" t="str">
        <f>VLOOKUP(AI395,MiscData!$AC$5:$AD$77,2,FALSE)</f>
        <v>LGUM_349</v>
      </c>
      <c r="AK395" s="265" t="str">
        <f>VLOOKUP(AJ395,MiscData!$AD$5:$AE$77,2,FALSE)</f>
        <v>RLS</v>
      </c>
      <c r="AT395" s="265" t="s">
        <v>393</v>
      </c>
      <c r="AV395" s="265">
        <v>0</v>
      </c>
    </row>
    <row r="396" spans="1:48">
      <c r="A396" s="275">
        <f t="shared" si="204"/>
        <v>393</v>
      </c>
      <c r="B396" s="276" t="str">
        <f t="shared" si="178"/>
        <v>Jun 2014</v>
      </c>
      <c r="C396" s="277" t="str">
        <f t="shared" si="179"/>
        <v xml:space="preserve">LS </v>
      </c>
      <c r="D396" s="277" t="str">
        <f t="shared" si="180"/>
        <v>LGUM_400</v>
      </c>
      <c r="E396" s="614">
        <f t="shared" si="184"/>
        <v>36</v>
      </c>
      <c r="F396" s="615">
        <f t="shared" si="176"/>
        <v>0</v>
      </c>
      <c r="G396" s="614">
        <f t="shared" si="185"/>
        <v>479</v>
      </c>
      <c r="H396" s="615">
        <v>0</v>
      </c>
      <c r="I396" s="283">
        <f t="shared" si="186"/>
        <v>23.89</v>
      </c>
      <c r="J396" s="283">
        <f t="shared" si="187"/>
        <v>1.0199999999999996</v>
      </c>
      <c r="K396" s="285">
        <f t="shared" si="188"/>
        <v>860.04</v>
      </c>
      <c r="L396" s="286">
        <f t="shared" si="189"/>
        <v>0</v>
      </c>
      <c r="M396" s="286">
        <f t="shared" si="190"/>
        <v>0</v>
      </c>
      <c r="N396" s="285">
        <f t="shared" si="191"/>
        <v>860.04</v>
      </c>
      <c r="O396" s="616">
        <f t="shared" si="183"/>
        <v>860.04</v>
      </c>
      <c r="P396" s="289">
        <f t="shared" si="192"/>
        <v>1</v>
      </c>
      <c r="Q396" s="290">
        <f t="shared" si="193"/>
        <v>1.51</v>
      </c>
      <c r="R396" s="290">
        <f t="shared" si="194"/>
        <v>27.45</v>
      </c>
      <c r="S396" s="290">
        <f t="shared" si="195"/>
        <v>0</v>
      </c>
      <c r="T396" s="290">
        <f t="shared" si="196"/>
        <v>942.4</v>
      </c>
      <c r="U396" s="291">
        <f t="shared" si="197"/>
        <v>889</v>
      </c>
      <c r="V396" s="291">
        <f t="shared" si="201"/>
        <v>53.4</v>
      </c>
      <c r="W396" s="265">
        <f t="shared" si="198"/>
        <v>53.4</v>
      </c>
      <c r="X396" s="291">
        <f t="shared" si="202"/>
        <v>0</v>
      </c>
      <c r="Y396" s="170">
        <f t="shared" si="199"/>
        <v>36.72</v>
      </c>
      <c r="Z396" s="291">
        <f t="shared" si="200"/>
        <v>823.31999999999994</v>
      </c>
      <c r="AC396" s="276">
        <f>IF(AI396=1,IF(AC395=MiscData!$F$1,EOMONTH(AC395,-11),EOMONTH(AC395,1)),AC395)</f>
        <v>41820</v>
      </c>
      <c r="AD396" s="275" t="str">
        <f t="shared" si="181"/>
        <v>20140101LGUM_400</v>
      </c>
      <c r="AE396" s="294" t="str">
        <f t="shared" si="182"/>
        <v xml:space="preserve">20140101LS </v>
      </c>
      <c r="AF396" s="618" t="str">
        <f t="shared" si="203"/>
        <v>400</v>
      </c>
      <c r="AH396" s="265">
        <f>MiscData!$X$5</f>
        <v>20140101</v>
      </c>
      <c r="AI396" s="265">
        <f>IF(AI395+1&gt;MiscData!$AC$77,1,AI395+1)</f>
        <v>28</v>
      </c>
      <c r="AJ396" s="265" t="str">
        <f>VLOOKUP(AI396,MiscData!$AC$5:$AD$77,2,FALSE)</f>
        <v>LGUM_400</v>
      </c>
      <c r="AK396" s="265" t="str">
        <f>VLOOKUP(AJ396,MiscData!$AD$5:$AE$77,2,FALSE)</f>
        <v xml:space="preserve">LS </v>
      </c>
      <c r="AT396" s="265" t="s">
        <v>394</v>
      </c>
      <c r="AV396" s="265">
        <v>0</v>
      </c>
    </row>
    <row r="397" spans="1:48">
      <c r="A397" s="275">
        <f t="shared" si="204"/>
        <v>394</v>
      </c>
      <c r="B397" s="276" t="str">
        <f t="shared" si="178"/>
        <v>Jun 2014</v>
      </c>
      <c r="C397" s="277" t="str">
        <f t="shared" si="179"/>
        <v xml:space="preserve">LS </v>
      </c>
      <c r="D397" s="277" t="str">
        <f t="shared" si="180"/>
        <v>LGUM_401</v>
      </c>
      <c r="E397" s="614">
        <f t="shared" si="184"/>
        <v>4</v>
      </c>
      <c r="F397" s="615">
        <f t="shared" si="176"/>
        <v>0</v>
      </c>
      <c r="G397" s="614">
        <f t="shared" si="185"/>
        <v>106</v>
      </c>
      <c r="H397" s="615">
        <v>0</v>
      </c>
      <c r="I397" s="283">
        <f t="shared" si="186"/>
        <v>24.9</v>
      </c>
      <c r="J397" s="283">
        <f t="shared" si="187"/>
        <v>1.0599999999999987</v>
      </c>
      <c r="K397" s="285">
        <f t="shared" si="188"/>
        <v>99.6</v>
      </c>
      <c r="L397" s="286">
        <f t="shared" si="189"/>
        <v>0</v>
      </c>
      <c r="M397" s="286">
        <f t="shared" si="190"/>
        <v>0</v>
      </c>
      <c r="N397" s="285">
        <f t="shared" si="191"/>
        <v>99.6</v>
      </c>
      <c r="O397" s="616">
        <f t="shared" si="183"/>
        <v>99.6</v>
      </c>
      <c r="P397" s="289">
        <f t="shared" si="192"/>
        <v>1</v>
      </c>
      <c r="Q397" s="290">
        <f t="shared" si="193"/>
        <v>0.34</v>
      </c>
      <c r="R397" s="290">
        <f t="shared" si="194"/>
        <v>3</v>
      </c>
      <c r="S397" s="290">
        <f t="shared" si="195"/>
        <v>0</v>
      </c>
      <c r="T397" s="290">
        <f t="shared" si="196"/>
        <v>102.94</v>
      </c>
      <c r="U397" s="291">
        <f t="shared" si="197"/>
        <v>102.94</v>
      </c>
      <c r="V397" s="291">
        <f t="shared" si="201"/>
        <v>0</v>
      </c>
      <c r="W397" s="265">
        <f t="shared" si="198"/>
        <v>0</v>
      </c>
      <c r="X397" s="291">
        <f t="shared" si="202"/>
        <v>0</v>
      </c>
      <c r="Y397" s="170">
        <f t="shared" si="199"/>
        <v>4.24</v>
      </c>
      <c r="Z397" s="291">
        <f t="shared" si="200"/>
        <v>95.36</v>
      </c>
      <c r="AC397" s="276">
        <f>IF(AI397=1,IF(AC396=MiscData!$F$1,EOMONTH(AC396,-11),EOMONTH(AC396,1)),AC396)</f>
        <v>41820</v>
      </c>
      <c r="AD397" s="275" t="str">
        <f t="shared" si="181"/>
        <v>20140101LGUM_401</v>
      </c>
      <c r="AE397" s="294" t="str">
        <f t="shared" si="182"/>
        <v xml:space="preserve">20140101LS </v>
      </c>
      <c r="AF397" s="618" t="str">
        <f t="shared" si="203"/>
        <v>401</v>
      </c>
      <c r="AH397" s="265">
        <f>MiscData!$X$5</f>
        <v>20140101</v>
      </c>
      <c r="AI397" s="265">
        <f>IF(AI396+1&gt;MiscData!$AC$77,1,AI396+1)</f>
        <v>29</v>
      </c>
      <c r="AJ397" s="265" t="str">
        <f>VLOOKUP(AI397,MiscData!$AC$5:$AD$77,2,FALSE)</f>
        <v>LGUM_401</v>
      </c>
      <c r="AK397" s="265" t="str">
        <f>VLOOKUP(AJ397,MiscData!$AD$5:$AE$77,2,FALSE)</f>
        <v xml:space="preserve">LS </v>
      </c>
      <c r="AT397" s="265" t="s">
        <v>398</v>
      </c>
      <c r="AV397" s="265">
        <v>0</v>
      </c>
    </row>
    <row r="398" spans="1:48">
      <c r="A398" s="275">
        <f t="shared" si="204"/>
        <v>395</v>
      </c>
      <c r="B398" s="276" t="str">
        <f t="shared" si="178"/>
        <v>Jun 2014</v>
      </c>
      <c r="C398" s="277" t="str">
        <f t="shared" si="179"/>
        <v xml:space="preserve">LS </v>
      </c>
      <c r="D398" s="277" t="str">
        <f t="shared" si="180"/>
        <v>LGUM_412</v>
      </c>
      <c r="E398" s="614">
        <f t="shared" si="184"/>
        <v>223</v>
      </c>
      <c r="F398" s="615">
        <f t="shared" si="176"/>
        <v>0</v>
      </c>
      <c r="G398" s="614">
        <f t="shared" si="185"/>
        <v>4981</v>
      </c>
      <c r="H398" s="615">
        <v>0</v>
      </c>
      <c r="I398" s="283">
        <f t="shared" si="186"/>
        <v>19.79</v>
      </c>
      <c r="J398" s="283">
        <f t="shared" si="187"/>
        <v>0.74999999999999645</v>
      </c>
      <c r="K398" s="285">
        <f t="shared" si="188"/>
        <v>4413.17</v>
      </c>
      <c r="L398" s="286">
        <f t="shared" si="189"/>
        <v>-52.109999999999779</v>
      </c>
      <c r="M398" s="286">
        <f t="shared" si="190"/>
        <v>0</v>
      </c>
      <c r="N398" s="285">
        <f t="shared" si="191"/>
        <v>4361.0600000000004</v>
      </c>
      <c r="O398" s="616">
        <f t="shared" si="183"/>
        <v>4361.0600000000004</v>
      </c>
      <c r="P398" s="289">
        <f t="shared" si="192"/>
        <v>1</v>
      </c>
      <c r="Q398" s="290">
        <f t="shared" si="193"/>
        <v>15.89</v>
      </c>
      <c r="R398" s="290">
        <f t="shared" si="194"/>
        <v>131.63999999999999</v>
      </c>
      <c r="S398" s="290">
        <f t="shared" si="195"/>
        <v>0</v>
      </c>
      <c r="T398" s="290">
        <f t="shared" si="196"/>
        <v>4508.59</v>
      </c>
      <c r="U398" s="291">
        <f t="shared" si="197"/>
        <v>4508.5900000000011</v>
      </c>
      <c r="V398" s="291">
        <f t="shared" si="201"/>
        <v>0</v>
      </c>
      <c r="W398" s="265">
        <f t="shared" si="198"/>
        <v>0</v>
      </c>
      <c r="X398" s="291">
        <f t="shared" si="202"/>
        <v>0</v>
      </c>
      <c r="Y398" s="170">
        <f t="shared" si="199"/>
        <v>167.25</v>
      </c>
      <c r="Z398" s="291">
        <f t="shared" si="200"/>
        <v>4193.8100000000004</v>
      </c>
      <c r="AC398" s="276">
        <f>IF(AI398=1,IF(AC397=MiscData!$F$1,EOMONTH(AC397,-11),EOMONTH(AC397,1)),AC397)</f>
        <v>41820</v>
      </c>
      <c r="AD398" s="275" t="str">
        <f t="shared" si="181"/>
        <v>20140101LGUM_412</v>
      </c>
      <c r="AE398" s="294" t="str">
        <f t="shared" si="182"/>
        <v xml:space="preserve">20140101LS </v>
      </c>
      <c r="AF398" s="618" t="str">
        <f t="shared" si="203"/>
        <v>412</v>
      </c>
      <c r="AH398" s="265">
        <f>MiscData!$X$5</f>
        <v>20140101</v>
      </c>
      <c r="AI398" s="265">
        <f>IF(AI397+1&gt;MiscData!$AC$77,1,AI397+1)</f>
        <v>30</v>
      </c>
      <c r="AJ398" s="265" t="str">
        <f>VLOOKUP(AI398,MiscData!$AC$5:$AD$77,2,FALSE)</f>
        <v>LGUM_412</v>
      </c>
      <c r="AK398" s="265" t="str">
        <f>VLOOKUP(AJ398,MiscData!$AD$5:$AE$77,2,FALSE)</f>
        <v xml:space="preserve">LS </v>
      </c>
      <c r="AT398" s="265" t="s">
        <v>395</v>
      </c>
      <c r="AV398" s="265">
        <v>0</v>
      </c>
    </row>
    <row r="399" spans="1:48">
      <c r="A399" s="275">
        <f t="shared" si="204"/>
        <v>396</v>
      </c>
      <c r="B399" s="276" t="str">
        <f t="shared" si="178"/>
        <v>Jun 2014</v>
      </c>
      <c r="C399" s="277" t="str">
        <f t="shared" si="179"/>
        <v xml:space="preserve">LS </v>
      </c>
      <c r="D399" s="277" t="str">
        <f t="shared" si="180"/>
        <v>LGUM_413</v>
      </c>
      <c r="E399" s="614">
        <f t="shared" si="184"/>
        <v>2190</v>
      </c>
      <c r="F399" s="615">
        <f t="shared" si="176"/>
        <v>0</v>
      </c>
      <c r="G399" s="614">
        <f t="shared" si="185"/>
        <v>67690</v>
      </c>
      <c r="H399" s="615">
        <v>0</v>
      </c>
      <c r="I399" s="283">
        <f t="shared" si="186"/>
        <v>20.49</v>
      </c>
      <c r="J399" s="283">
        <f t="shared" si="187"/>
        <v>1.0599999999999987</v>
      </c>
      <c r="K399" s="285">
        <f t="shared" si="188"/>
        <v>44873.1</v>
      </c>
      <c r="L399" s="286">
        <f t="shared" si="189"/>
        <v>-384.40999999999485</v>
      </c>
      <c r="M399" s="286">
        <f t="shared" si="190"/>
        <v>0</v>
      </c>
      <c r="N399" s="285">
        <f t="shared" si="191"/>
        <v>44488.69</v>
      </c>
      <c r="O399" s="616">
        <f t="shared" si="183"/>
        <v>44488.69</v>
      </c>
      <c r="P399" s="289">
        <f t="shared" si="192"/>
        <v>1</v>
      </c>
      <c r="Q399" s="290">
        <f t="shared" si="193"/>
        <v>211.37</v>
      </c>
      <c r="R399" s="290">
        <f t="shared" si="194"/>
        <v>1333.32</v>
      </c>
      <c r="S399" s="290">
        <f t="shared" si="195"/>
        <v>0</v>
      </c>
      <c r="T399" s="290">
        <f t="shared" si="196"/>
        <v>46044.69</v>
      </c>
      <c r="U399" s="291">
        <f t="shared" si="197"/>
        <v>46033.380000000005</v>
      </c>
      <c r="V399" s="291">
        <f t="shared" si="201"/>
        <v>11.31</v>
      </c>
      <c r="W399" s="265">
        <f t="shared" si="198"/>
        <v>11.31</v>
      </c>
      <c r="X399" s="291">
        <f t="shared" si="202"/>
        <v>0</v>
      </c>
      <c r="Y399" s="170">
        <f t="shared" si="199"/>
        <v>2321.4</v>
      </c>
      <c r="Z399" s="291">
        <f t="shared" si="200"/>
        <v>42167.29</v>
      </c>
      <c r="AC399" s="276">
        <f>IF(AI399=1,IF(AC398=MiscData!$F$1,EOMONTH(AC398,-11),EOMONTH(AC398,1)),AC398)</f>
        <v>41820</v>
      </c>
      <c r="AD399" s="275" t="str">
        <f t="shared" si="181"/>
        <v>20140101LGUM_413</v>
      </c>
      <c r="AE399" s="294" t="str">
        <f t="shared" si="182"/>
        <v xml:space="preserve">20140101LS </v>
      </c>
      <c r="AF399" s="618" t="str">
        <f t="shared" si="203"/>
        <v>413</v>
      </c>
      <c r="AH399" s="265">
        <f>MiscData!$X$5</f>
        <v>20140101</v>
      </c>
      <c r="AI399" s="265">
        <f>IF(AI398+1&gt;MiscData!$AC$77,1,AI398+1)</f>
        <v>31</v>
      </c>
      <c r="AJ399" s="265" t="str">
        <f>VLOOKUP(AI399,MiscData!$AC$5:$AD$77,2,FALSE)</f>
        <v>LGUM_413</v>
      </c>
      <c r="AK399" s="265" t="str">
        <f>VLOOKUP(AJ399,MiscData!$AD$5:$AE$77,2,FALSE)</f>
        <v xml:space="preserve">LS </v>
      </c>
      <c r="AT399" s="265" t="s">
        <v>396</v>
      </c>
      <c r="AV399" s="265">
        <v>0</v>
      </c>
    </row>
    <row r="400" spans="1:48">
      <c r="A400" s="275">
        <f t="shared" si="204"/>
        <v>397</v>
      </c>
      <c r="B400" s="276" t="str">
        <f t="shared" si="178"/>
        <v>Jun 2014</v>
      </c>
      <c r="C400" s="277" t="str">
        <f t="shared" si="179"/>
        <v xml:space="preserve">LS </v>
      </c>
      <c r="D400" s="277" t="str">
        <f t="shared" si="180"/>
        <v>LGUM_415</v>
      </c>
      <c r="E400" s="614">
        <f t="shared" si="184"/>
        <v>39</v>
      </c>
      <c r="F400" s="615">
        <f t="shared" si="176"/>
        <v>0</v>
      </c>
      <c r="G400" s="614">
        <f t="shared" si="185"/>
        <v>830</v>
      </c>
      <c r="H400" s="615">
        <v>0</v>
      </c>
      <c r="I400" s="283">
        <f t="shared" si="186"/>
        <v>20.18</v>
      </c>
      <c r="J400" s="283">
        <f t="shared" si="187"/>
        <v>0.75</v>
      </c>
      <c r="K400" s="285">
        <f t="shared" si="188"/>
        <v>787.02</v>
      </c>
      <c r="L400" s="286">
        <f t="shared" si="189"/>
        <v>-26.909999999999968</v>
      </c>
      <c r="M400" s="286">
        <f t="shared" si="190"/>
        <v>0</v>
      </c>
      <c r="N400" s="285">
        <f t="shared" si="191"/>
        <v>760.11</v>
      </c>
      <c r="O400" s="616">
        <f t="shared" si="183"/>
        <v>760.11</v>
      </c>
      <c r="P400" s="289">
        <f t="shared" si="192"/>
        <v>1</v>
      </c>
      <c r="Q400" s="290">
        <f t="shared" si="193"/>
        <v>2.62</v>
      </c>
      <c r="R400" s="290">
        <f t="shared" si="194"/>
        <v>22.9</v>
      </c>
      <c r="S400" s="290">
        <f t="shared" si="195"/>
        <v>0</v>
      </c>
      <c r="T400" s="290">
        <f t="shared" si="196"/>
        <v>785.63</v>
      </c>
      <c r="U400" s="291">
        <f t="shared" si="197"/>
        <v>785.63</v>
      </c>
      <c r="V400" s="291">
        <f t="shared" si="201"/>
        <v>0</v>
      </c>
      <c r="W400" s="265">
        <f t="shared" si="198"/>
        <v>0</v>
      </c>
      <c r="X400" s="291">
        <f t="shared" si="202"/>
        <v>0</v>
      </c>
      <c r="Y400" s="170">
        <f t="shared" si="199"/>
        <v>29.25</v>
      </c>
      <c r="Z400" s="291">
        <f t="shared" si="200"/>
        <v>730.86</v>
      </c>
      <c r="AC400" s="276">
        <f>IF(AI400=1,IF(AC399=MiscData!$F$1,EOMONTH(AC399,-11),EOMONTH(AC399,1)),AC399)</f>
        <v>41820</v>
      </c>
      <c r="AD400" s="275" t="str">
        <f t="shared" si="181"/>
        <v>20140101LGUM_415</v>
      </c>
      <c r="AE400" s="294" t="str">
        <f t="shared" si="182"/>
        <v xml:space="preserve">20140101LS </v>
      </c>
      <c r="AF400" s="618" t="str">
        <f t="shared" si="203"/>
        <v>415</v>
      </c>
      <c r="AH400" s="265">
        <f>MiscData!$X$5</f>
        <v>20140101</v>
      </c>
      <c r="AI400" s="265">
        <f>IF(AI399+1&gt;MiscData!$AC$77,1,AI399+1)</f>
        <v>32</v>
      </c>
      <c r="AJ400" s="265" t="str">
        <f>VLOOKUP(AI400,MiscData!$AC$5:$AD$77,2,FALSE)</f>
        <v>LGUM_415</v>
      </c>
      <c r="AK400" s="265" t="str">
        <f>VLOOKUP(AJ400,MiscData!$AD$5:$AE$77,2,FALSE)</f>
        <v xml:space="preserve">LS </v>
      </c>
      <c r="AT400" s="265" t="s">
        <v>397</v>
      </c>
      <c r="AV400" s="265">
        <v>0</v>
      </c>
    </row>
    <row r="401" spans="1:48">
      <c r="A401" s="275">
        <f t="shared" si="204"/>
        <v>398</v>
      </c>
      <c r="B401" s="276" t="str">
        <f t="shared" si="178"/>
        <v>Jun 2014</v>
      </c>
      <c r="C401" s="277" t="str">
        <f t="shared" si="179"/>
        <v xml:space="preserve">LS </v>
      </c>
      <c r="D401" s="277" t="str">
        <f t="shared" si="180"/>
        <v>LGUM_416</v>
      </c>
      <c r="E401" s="614">
        <f t="shared" si="184"/>
        <v>1837</v>
      </c>
      <c r="F401" s="615">
        <f t="shared" si="176"/>
        <v>0</v>
      </c>
      <c r="G401" s="614">
        <f t="shared" si="185"/>
        <v>60238</v>
      </c>
      <c r="H401" s="615">
        <v>0</v>
      </c>
      <c r="I401" s="283">
        <f t="shared" si="186"/>
        <v>22.56</v>
      </c>
      <c r="J401" s="283">
        <f t="shared" si="187"/>
        <v>1.0599999999999987</v>
      </c>
      <c r="K401" s="285">
        <f t="shared" si="188"/>
        <v>41442.720000000001</v>
      </c>
      <c r="L401" s="286">
        <f t="shared" si="189"/>
        <v>1500.6100000000029</v>
      </c>
      <c r="M401" s="286">
        <f t="shared" si="190"/>
        <v>0</v>
      </c>
      <c r="N401" s="285">
        <f t="shared" si="191"/>
        <v>42943.33</v>
      </c>
      <c r="O401" s="616">
        <f t="shared" si="183"/>
        <v>42943.33</v>
      </c>
      <c r="P401" s="289">
        <f t="shared" si="192"/>
        <v>1</v>
      </c>
      <c r="Q401" s="290">
        <f t="shared" si="193"/>
        <v>188.51</v>
      </c>
      <c r="R401" s="290">
        <f t="shared" si="194"/>
        <v>1289.48</v>
      </c>
      <c r="S401" s="290">
        <f t="shared" si="195"/>
        <v>0</v>
      </c>
      <c r="T401" s="290">
        <f t="shared" si="196"/>
        <v>44440.87</v>
      </c>
      <c r="U401" s="291">
        <f t="shared" si="197"/>
        <v>44421.320000000007</v>
      </c>
      <c r="V401" s="291">
        <f t="shared" si="201"/>
        <v>19.55</v>
      </c>
      <c r="W401" s="265">
        <f t="shared" si="198"/>
        <v>19.55</v>
      </c>
      <c r="X401" s="291">
        <f t="shared" si="202"/>
        <v>0</v>
      </c>
      <c r="Y401" s="170">
        <f t="shared" si="199"/>
        <v>1947.22</v>
      </c>
      <c r="Z401" s="291">
        <f t="shared" si="200"/>
        <v>40996.11</v>
      </c>
      <c r="AC401" s="276">
        <f>IF(AI401=1,IF(AC400=MiscData!$F$1,EOMONTH(AC400,-11),EOMONTH(AC400,1)),AC400)</f>
        <v>41820</v>
      </c>
      <c r="AD401" s="275" t="str">
        <f t="shared" si="181"/>
        <v>20140101LGUM_416</v>
      </c>
      <c r="AE401" s="294" t="str">
        <f t="shared" si="182"/>
        <v xml:space="preserve">20140101LS </v>
      </c>
      <c r="AF401" s="618" t="str">
        <f t="shared" si="203"/>
        <v>416</v>
      </c>
      <c r="AH401" s="265">
        <f>MiscData!$X$5</f>
        <v>20140101</v>
      </c>
      <c r="AI401" s="265">
        <f>IF(AI400+1&gt;MiscData!$AC$77,1,AI400+1)</f>
        <v>33</v>
      </c>
      <c r="AJ401" s="265" t="str">
        <f>VLOOKUP(AI401,MiscData!$AC$5:$AD$77,2,FALSE)</f>
        <v>LGUM_416</v>
      </c>
      <c r="AK401" s="265" t="str">
        <f>VLOOKUP(AJ401,MiscData!$AD$5:$AE$77,2,FALSE)</f>
        <v xml:space="preserve">LS </v>
      </c>
      <c r="AT401" s="265" t="s">
        <v>270</v>
      </c>
      <c r="AV401" s="265">
        <v>0</v>
      </c>
    </row>
    <row r="402" spans="1:48">
      <c r="A402" s="275">
        <f t="shared" si="204"/>
        <v>399</v>
      </c>
      <c r="B402" s="276" t="str">
        <f t="shared" si="178"/>
        <v>Jun 2014</v>
      </c>
      <c r="C402" s="277" t="str">
        <f t="shared" si="179"/>
        <v>RLS</v>
      </c>
      <c r="D402" s="277" t="str">
        <f t="shared" si="180"/>
        <v>LGUM_417</v>
      </c>
      <c r="E402" s="614">
        <f t="shared" si="184"/>
        <v>40</v>
      </c>
      <c r="F402" s="615">
        <f t="shared" si="176"/>
        <v>0</v>
      </c>
      <c r="G402" s="614">
        <f t="shared" si="185"/>
        <v>1238</v>
      </c>
      <c r="H402" s="615">
        <v>0</v>
      </c>
      <c r="I402" s="283">
        <f t="shared" si="186"/>
        <v>23.68</v>
      </c>
      <c r="J402" s="283">
        <f t="shared" si="187"/>
        <v>1.0300000000000011</v>
      </c>
      <c r="K402" s="285">
        <f t="shared" si="188"/>
        <v>947.2</v>
      </c>
      <c r="L402" s="286">
        <f t="shared" si="189"/>
        <v>0</v>
      </c>
      <c r="M402" s="286">
        <f t="shared" si="190"/>
        <v>0</v>
      </c>
      <c r="N402" s="285">
        <f t="shared" si="191"/>
        <v>947.2</v>
      </c>
      <c r="O402" s="616">
        <f t="shared" si="183"/>
        <v>947.19999999999993</v>
      </c>
      <c r="P402" s="289">
        <f t="shared" si="192"/>
        <v>0.99999999999999989</v>
      </c>
      <c r="Q402" s="290">
        <f t="shared" si="193"/>
        <v>3.94</v>
      </c>
      <c r="R402" s="290">
        <f t="shared" si="194"/>
        <v>28.54</v>
      </c>
      <c r="S402" s="290">
        <f t="shared" si="195"/>
        <v>0</v>
      </c>
      <c r="T402" s="290">
        <f t="shared" si="196"/>
        <v>979.68</v>
      </c>
      <c r="U402" s="291">
        <f t="shared" si="197"/>
        <v>979.68000000000006</v>
      </c>
      <c r="V402" s="291">
        <f t="shared" si="201"/>
        <v>0</v>
      </c>
      <c r="W402" s="265">
        <f t="shared" si="198"/>
        <v>0</v>
      </c>
      <c r="X402" s="291">
        <f t="shared" si="202"/>
        <v>0</v>
      </c>
      <c r="Y402" s="170">
        <f t="shared" si="199"/>
        <v>41.2</v>
      </c>
      <c r="Z402" s="291">
        <f t="shared" si="200"/>
        <v>905.99999999999989</v>
      </c>
      <c r="AC402" s="276">
        <f>IF(AI402=1,IF(AC401=MiscData!$F$1,EOMONTH(AC401,-11),EOMONTH(AC401,1)),AC401)</f>
        <v>41820</v>
      </c>
      <c r="AD402" s="275" t="str">
        <f t="shared" si="181"/>
        <v>20140101LGUM_417</v>
      </c>
      <c r="AE402" s="294" t="str">
        <f t="shared" si="182"/>
        <v>20140101RLS</v>
      </c>
      <c r="AF402" s="618" t="str">
        <f t="shared" si="203"/>
        <v>417</v>
      </c>
      <c r="AH402" s="265">
        <f>MiscData!$X$5</f>
        <v>20140101</v>
      </c>
      <c r="AI402" s="265">
        <f>IF(AI401+1&gt;MiscData!$AC$77,1,AI401+1)</f>
        <v>34</v>
      </c>
      <c r="AJ402" s="265" t="str">
        <f>VLOOKUP(AI402,MiscData!$AC$5:$AD$77,2,FALSE)</f>
        <v>LGUM_417</v>
      </c>
      <c r="AK402" s="265" t="str">
        <f>VLOOKUP(AJ402,MiscData!$AD$5:$AE$77,2,FALSE)</f>
        <v>RLS</v>
      </c>
      <c r="AT402" s="265" t="s">
        <v>271</v>
      </c>
      <c r="AV402" s="265">
        <v>-3.4</v>
      </c>
    </row>
    <row r="403" spans="1:48">
      <c r="A403" s="275">
        <f t="shared" si="204"/>
        <v>400</v>
      </c>
      <c r="B403" s="276" t="str">
        <f t="shared" si="178"/>
        <v>Jun 2014</v>
      </c>
      <c r="C403" s="277" t="str">
        <f t="shared" si="179"/>
        <v>RLS</v>
      </c>
      <c r="D403" s="277" t="str">
        <f t="shared" si="180"/>
        <v>LGUM_419</v>
      </c>
      <c r="E403" s="614">
        <f t="shared" si="184"/>
        <v>113</v>
      </c>
      <c r="F403" s="615">
        <f t="shared" si="176"/>
        <v>0</v>
      </c>
      <c r="G403" s="614">
        <f t="shared" si="185"/>
        <v>5634</v>
      </c>
      <c r="H403" s="615">
        <v>0</v>
      </c>
      <c r="I403" s="283">
        <f t="shared" si="186"/>
        <v>24.77</v>
      </c>
      <c r="J403" s="283">
        <f t="shared" si="187"/>
        <v>1.6499999999999986</v>
      </c>
      <c r="K403" s="285">
        <f t="shared" si="188"/>
        <v>2799.01</v>
      </c>
      <c r="L403" s="286">
        <f t="shared" si="189"/>
        <v>0</v>
      </c>
      <c r="M403" s="286">
        <f t="shared" si="190"/>
        <v>0</v>
      </c>
      <c r="N403" s="285">
        <f t="shared" si="191"/>
        <v>2799.01</v>
      </c>
      <c r="O403" s="616">
        <f t="shared" si="183"/>
        <v>2799.01</v>
      </c>
      <c r="P403" s="289">
        <f t="shared" si="192"/>
        <v>1</v>
      </c>
      <c r="Q403" s="290">
        <f t="shared" si="193"/>
        <v>17.86</v>
      </c>
      <c r="R403" s="290">
        <f t="shared" si="194"/>
        <v>84.51</v>
      </c>
      <c r="S403" s="290">
        <f t="shared" si="195"/>
        <v>0</v>
      </c>
      <c r="T403" s="290">
        <f t="shared" si="196"/>
        <v>2901.38</v>
      </c>
      <c r="U403" s="291">
        <f t="shared" si="197"/>
        <v>2901.3800000000006</v>
      </c>
      <c r="V403" s="291">
        <f t="shared" si="201"/>
        <v>0</v>
      </c>
      <c r="W403" s="265">
        <f t="shared" si="198"/>
        <v>0</v>
      </c>
      <c r="X403" s="291">
        <f t="shared" si="202"/>
        <v>0</v>
      </c>
      <c r="Y403" s="170">
        <f t="shared" si="199"/>
        <v>186.45</v>
      </c>
      <c r="Z403" s="291">
        <f t="shared" si="200"/>
        <v>2612.5600000000004</v>
      </c>
      <c r="AC403" s="276">
        <f>IF(AI403=1,IF(AC402=MiscData!$F$1,EOMONTH(AC402,-11),EOMONTH(AC402,1)),AC402)</f>
        <v>41820</v>
      </c>
      <c r="AD403" s="275" t="str">
        <f t="shared" si="181"/>
        <v>20140101LGUM_419</v>
      </c>
      <c r="AE403" s="294" t="str">
        <f t="shared" si="182"/>
        <v>20140101RLS</v>
      </c>
      <c r="AF403" s="618" t="str">
        <f t="shared" si="203"/>
        <v>419</v>
      </c>
      <c r="AH403" s="265">
        <f>MiscData!$X$5</f>
        <v>20140101</v>
      </c>
      <c r="AI403" s="265">
        <f>IF(AI402+1&gt;MiscData!$AC$77,1,AI402+1)</f>
        <v>35</v>
      </c>
      <c r="AJ403" s="265" t="str">
        <f>VLOOKUP(AI403,MiscData!$AC$5:$AD$77,2,FALSE)</f>
        <v>LGUM_419</v>
      </c>
      <c r="AK403" s="265" t="str">
        <f>VLOOKUP(AJ403,MiscData!$AD$5:$AE$77,2,FALSE)</f>
        <v>RLS</v>
      </c>
      <c r="AT403" s="265" t="s">
        <v>272</v>
      </c>
      <c r="AV403" s="265">
        <v>0</v>
      </c>
    </row>
    <row r="404" spans="1:48">
      <c r="A404" s="275">
        <f t="shared" si="204"/>
        <v>401</v>
      </c>
      <c r="B404" s="276" t="str">
        <f t="shared" si="178"/>
        <v>Jun 2014</v>
      </c>
      <c r="C404" s="277" t="str">
        <f t="shared" si="179"/>
        <v xml:space="preserve">LS </v>
      </c>
      <c r="D404" s="277" t="str">
        <f t="shared" si="180"/>
        <v>LGUM_420</v>
      </c>
      <c r="E404" s="614">
        <f t="shared" si="184"/>
        <v>54</v>
      </c>
      <c r="F404" s="615">
        <f t="shared" si="176"/>
        <v>0</v>
      </c>
      <c r="G404" s="614">
        <f t="shared" si="185"/>
        <v>2739</v>
      </c>
      <c r="H404" s="615">
        <v>0</v>
      </c>
      <c r="I404" s="283">
        <f t="shared" si="186"/>
        <v>29.889999999999997</v>
      </c>
      <c r="J404" s="283">
        <f t="shared" si="187"/>
        <v>1.6499999999999986</v>
      </c>
      <c r="K404" s="285">
        <f t="shared" si="188"/>
        <v>1614.06</v>
      </c>
      <c r="L404" s="286">
        <f t="shared" si="189"/>
        <v>0</v>
      </c>
      <c r="M404" s="286">
        <f t="shared" si="190"/>
        <v>0</v>
      </c>
      <c r="N404" s="285">
        <f t="shared" si="191"/>
        <v>1614.06</v>
      </c>
      <c r="O404" s="616">
        <f t="shared" si="183"/>
        <v>1614.0600000000002</v>
      </c>
      <c r="P404" s="289">
        <f t="shared" si="192"/>
        <v>1.0000000000000002</v>
      </c>
      <c r="Q404" s="290">
        <f t="shared" si="193"/>
        <v>8.68</v>
      </c>
      <c r="R404" s="290">
        <f t="shared" si="194"/>
        <v>48.66</v>
      </c>
      <c r="S404" s="290">
        <f t="shared" si="195"/>
        <v>0</v>
      </c>
      <c r="T404" s="290">
        <f t="shared" si="196"/>
        <v>1671.4</v>
      </c>
      <c r="U404" s="291">
        <f t="shared" si="197"/>
        <v>1671.4</v>
      </c>
      <c r="V404" s="291">
        <f t="shared" si="201"/>
        <v>0</v>
      </c>
      <c r="W404" s="265">
        <f t="shared" si="198"/>
        <v>0</v>
      </c>
      <c r="X404" s="291">
        <f t="shared" si="202"/>
        <v>0</v>
      </c>
      <c r="Y404" s="170">
        <f t="shared" si="199"/>
        <v>89.1</v>
      </c>
      <c r="Z404" s="291">
        <f t="shared" si="200"/>
        <v>1524.9600000000003</v>
      </c>
      <c r="AC404" s="276">
        <f>IF(AI404=1,IF(AC403=MiscData!$F$1,EOMONTH(AC403,-11),EOMONTH(AC403,1)),AC403)</f>
        <v>41820</v>
      </c>
      <c r="AD404" s="275" t="str">
        <f t="shared" si="181"/>
        <v>20140101LGUM_420</v>
      </c>
      <c r="AE404" s="294" t="str">
        <f t="shared" si="182"/>
        <v xml:space="preserve">20140101LS </v>
      </c>
      <c r="AF404" s="618" t="str">
        <f t="shared" si="203"/>
        <v>420</v>
      </c>
      <c r="AH404" s="265">
        <f>MiscData!$X$5</f>
        <v>20140101</v>
      </c>
      <c r="AI404" s="265">
        <f>IF(AI403+1&gt;MiscData!$AC$77,1,AI403+1)</f>
        <v>36</v>
      </c>
      <c r="AJ404" s="265" t="str">
        <f>VLOOKUP(AI404,MiscData!$AC$5:$AD$77,2,FALSE)</f>
        <v>LGUM_420</v>
      </c>
      <c r="AK404" s="265" t="str">
        <f>VLOOKUP(AJ404,MiscData!$AD$5:$AE$77,2,FALSE)</f>
        <v xml:space="preserve">LS </v>
      </c>
      <c r="AT404" s="265" t="s">
        <v>273</v>
      </c>
      <c r="AV404" s="265">
        <v>0</v>
      </c>
    </row>
    <row r="405" spans="1:48">
      <c r="A405" s="275">
        <f t="shared" si="204"/>
        <v>402</v>
      </c>
      <c r="B405" s="276" t="str">
        <f t="shared" si="178"/>
        <v>Jun 2014</v>
      </c>
      <c r="C405" s="277" t="str">
        <f t="shared" si="179"/>
        <v xml:space="preserve">LS </v>
      </c>
      <c r="D405" s="277" t="str">
        <f t="shared" si="180"/>
        <v>LGUM_421</v>
      </c>
      <c r="E405" s="614">
        <f t="shared" si="184"/>
        <v>186</v>
      </c>
      <c r="F405" s="615">
        <f t="shared" si="176"/>
        <v>0</v>
      </c>
      <c r="G405" s="614">
        <f t="shared" si="185"/>
        <v>14564</v>
      </c>
      <c r="H405" s="615">
        <v>0</v>
      </c>
      <c r="I405" s="283">
        <f t="shared" si="186"/>
        <v>32.860000000000007</v>
      </c>
      <c r="J405" s="283">
        <f t="shared" si="187"/>
        <v>2.6700000000000017</v>
      </c>
      <c r="K405" s="285">
        <f t="shared" si="188"/>
        <v>6111.96</v>
      </c>
      <c r="L405" s="286">
        <f t="shared" si="189"/>
        <v>0</v>
      </c>
      <c r="M405" s="286">
        <f t="shared" si="190"/>
        <v>0</v>
      </c>
      <c r="N405" s="285">
        <f t="shared" si="191"/>
        <v>6111.96</v>
      </c>
      <c r="O405" s="616">
        <f t="shared" si="183"/>
        <v>6111.96</v>
      </c>
      <c r="P405" s="289">
        <f t="shared" si="192"/>
        <v>1</v>
      </c>
      <c r="Q405" s="290">
        <f t="shared" si="193"/>
        <v>45.39</v>
      </c>
      <c r="R405" s="290">
        <f t="shared" si="194"/>
        <v>183.4</v>
      </c>
      <c r="S405" s="290">
        <f t="shared" si="195"/>
        <v>0</v>
      </c>
      <c r="T405" s="290">
        <f t="shared" si="196"/>
        <v>6340.75</v>
      </c>
      <c r="U405" s="291">
        <f t="shared" si="197"/>
        <v>6340.75</v>
      </c>
      <c r="V405" s="291">
        <f t="shared" si="201"/>
        <v>0</v>
      </c>
      <c r="W405" s="265">
        <f t="shared" si="198"/>
        <v>0</v>
      </c>
      <c r="X405" s="291">
        <f t="shared" si="202"/>
        <v>0</v>
      </c>
      <c r="Y405" s="170">
        <f t="shared" si="199"/>
        <v>496.62</v>
      </c>
      <c r="Z405" s="291">
        <f t="shared" si="200"/>
        <v>5615.34</v>
      </c>
      <c r="AC405" s="276">
        <f>IF(AI405=1,IF(AC404=MiscData!$F$1,EOMONTH(AC404,-11),EOMONTH(AC404,1)),AC404)</f>
        <v>41820</v>
      </c>
      <c r="AD405" s="275" t="str">
        <f t="shared" si="181"/>
        <v>20140101LGUM_421</v>
      </c>
      <c r="AE405" s="294" t="str">
        <f t="shared" si="182"/>
        <v xml:space="preserve">20140101LS </v>
      </c>
      <c r="AF405" s="618" t="str">
        <f t="shared" si="203"/>
        <v>421</v>
      </c>
      <c r="AH405" s="265">
        <f>MiscData!$X$5</f>
        <v>20140101</v>
      </c>
      <c r="AI405" s="265">
        <f>IF(AI404+1&gt;MiscData!$AC$77,1,AI404+1)</f>
        <v>37</v>
      </c>
      <c r="AJ405" s="265" t="str">
        <f>VLOOKUP(AI405,MiscData!$AC$5:$AD$77,2,FALSE)</f>
        <v>LGUM_421</v>
      </c>
      <c r="AK405" s="265" t="str">
        <f>VLOOKUP(AJ405,MiscData!$AD$5:$AE$77,2,FALSE)</f>
        <v xml:space="preserve">LS </v>
      </c>
      <c r="AT405" s="265" t="s">
        <v>275</v>
      </c>
      <c r="AV405" s="265">
        <v>0</v>
      </c>
    </row>
    <row r="406" spans="1:48">
      <c r="A406" s="275">
        <f t="shared" si="204"/>
        <v>403</v>
      </c>
      <c r="B406" s="276" t="str">
        <f t="shared" si="178"/>
        <v>Jun 2014</v>
      </c>
      <c r="C406" s="277" t="str">
        <f t="shared" si="179"/>
        <v xml:space="preserve">LS </v>
      </c>
      <c r="D406" s="277" t="str">
        <f t="shared" si="180"/>
        <v>LGUM_422</v>
      </c>
      <c r="E406" s="614">
        <f t="shared" si="184"/>
        <v>380</v>
      </c>
      <c r="F406" s="615">
        <f t="shared" si="176"/>
        <v>0</v>
      </c>
      <c r="G406" s="614">
        <f t="shared" si="185"/>
        <v>48288</v>
      </c>
      <c r="H406" s="615">
        <v>0</v>
      </c>
      <c r="I406" s="283">
        <f t="shared" si="186"/>
        <v>38.389999999999993</v>
      </c>
      <c r="J406" s="283">
        <f t="shared" si="187"/>
        <v>4.279999999999994</v>
      </c>
      <c r="K406" s="285">
        <f t="shared" si="188"/>
        <v>14588.2</v>
      </c>
      <c r="L406" s="286">
        <f t="shared" si="189"/>
        <v>0</v>
      </c>
      <c r="M406" s="286">
        <f t="shared" si="190"/>
        <v>0</v>
      </c>
      <c r="N406" s="285">
        <f t="shared" si="191"/>
        <v>14588.2</v>
      </c>
      <c r="O406" s="616">
        <f t="shared" si="183"/>
        <v>14588.2</v>
      </c>
      <c r="P406" s="289">
        <f t="shared" si="192"/>
        <v>1</v>
      </c>
      <c r="Q406" s="290">
        <f t="shared" si="193"/>
        <v>151.01</v>
      </c>
      <c r="R406" s="290">
        <f t="shared" si="194"/>
        <v>439.48</v>
      </c>
      <c r="S406" s="290">
        <f t="shared" si="195"/>
        <v>0</v>
      </c>
      <c r="T406" s="290">
        <f t="shared" si="196"/>
        <v>15178.69</v>
      </c>
      <c r="U406" s="291">
        <f t="shared" si="197"/>
        <v>15178.69</v>
      </c>
      <c r="V406" s="291">
        <f t="shared" si="201"/>
        <v>0</v>
      </c>
      <c r="W406" s="265">
        <f t="shared" si="198"/>
        <v>0</v>
      </c>
      <c r="X406" s="291">
        <f t="shared" si="202"/>
        <v>0</v>
      </c>
      <c r="Y406" s="170">
        <f t="shared" si="199"/>
        <v>1626.4</v>
      </c>
      <c r="Z406" s="291">
        <f t="shared" si="200"/>
        <v>12961.800000000001</v>
      </c>
      <c r="AC406" s="276">
        <f>IF(AI406=1,IF(AC405=MiscData!$F$1,EOMONTH(AC405,-11),EOMONTH(AC405,1)),AC405)</f>
        <v>41820</v>
      </c>
      <c r="AD406" s="275" t="str">
        <f t="shared" si="181"/>
        <v>20140101LGUM_422</v>
      </c>
      <c r="AE406" s="294" t="str">
        <f t="shared" si="182"/>
        <v xml:space="preserve">20140101LS </v>
      </c>
      <c r="AF406" s="618" t="str">
        <f t="shared" si="203"/>
        <v>422</v>
      </c>
      <c r="AH406" s="265">
        <f>MiscData!$X$5</f>
        <v>20140101</v>
      </c>
      <c r="AI406" s="265">
        <f>IF(AI405+1&gt;MiscData!$AC$77,1,AI405+1)</f>
        <v>38</v>
      </c>
      <c r="AJ406" s="265" t="str">
        <f>VLOOKUP(AI406,MiscData!$AC$5:$AD$77,2,FALSE)</f>
        <v>LGUM_422</v>
      </c>
      <c r="AK406" s="265" t="str">
        <f>VLOOKUP(AJ406,MiscData!$AD$5:$AE$77,2,FALSE)</f>
        <v xml:space="preserve">LS </v>
      </c>
      <c r="AT406" s="265" t="s">
        <v>276</v>
      </c>
      <c r="AV406" s="265">
        <v>0</v>
      </c>
    </row>
    <row r="407" spans="1:48">
      <c r="A407" s="275">
        <f t="shared" si="204"/>
        <v>404</v>
      </c>
      <c r="B407" s="276" t="str">
        <f t="shared" si="178"/>
        <v>Jun 2014</v>
      </c>
      <c r="C407" s="277" t="str">
        <f t="shared" si="179"/>
        <v xml:space="preserve">LS </v>
      </c>
      <c r="D407" s="277" t="str">
        <f t="shared" si="180"/>
        <v>LGUM_423</v>
      </c>
      <c r="E407" s="614">
        <f t="shared" si="184"/>
        <v>29</v>
      </c>
      <c r="F407" s="615">
        <f t="shared" si="176"/>
        <v>0</v>
      </c>
      <c r="G407" s="614">
        <f t="shared" si="185"/>
        <v>1397</v>
      </c>
      <c r="H407" s="615">
        <v>0</v>
      </c>
      <c r="I407" s="283">
        <f t="shared" si="186"/>
        <v>26.349999999999998</v>
      </c>
      <c r="J407" s="283">
        <f t="shared" si="187"/>
        <v>1.6500000000000021</v>
      </c>
      <c r="K407" s="285">
        <f t="shared" si="188"/>
        <v>764.15</v>
      </c>
      <c r="L407" s="286">
        <f t="shared" si="189"/>
        <v>0</v>
      </c>
      <c r="M407" s="286">
        <f t="shared" si="190"/>
        <v>0</v>
      </c>
      <c r="N407" s="285">
        <f t="shared" si="191"/>
        <v>764.15</v>
      </c>
      <c r="O407" s="616">
        <f t="shared" si="183"/>
        <v>764.15</v>
      </c>
      <c r="P407" s="289">
        <f t="shared" si="192"/>
        <v>1</v>
      </c>
      <c r="Q407" s="290">
        <f t="shared" si="193"/>
        <v>3.79</v>
      </c>
      <c r="R407" s="290">
        <f t="shared" si="194"/>
        <v>21.66</v>
      </c>
      <c r="S407" s="290">
        <f t="shared" si="195"/>
        <v>0</v>
      </c>
      <c r="T407" s="290">
        <f t="shared" si="196"/>
        <v>789.6</v>
      </c>
      <c r="U407" s="291">
        <f t="shared" si="197"/>
        <v>789.59999999999991</v>
      </c>
      <c r="V407" s="291">
        <f t="shared" si="201"/>
        <v>0</v>
      </c>
      <c r="W407" s="265">
        <f t="shared" si="198"/>
        <v>0</v>
      </c>
      <c r="X407" s="291">
        <f t="shared" si="202"/>
        <v>0</v>
      </c>
      <c r="Y407" s="170">
        <f t="shared" si="199"/>
        <v>47.85</v>
      </c>
      <c r="Z407" s="291">
        <f t="shared" si="200"/>
        <v>716.3</v>
      </c>
      <c r="AC407" s="276">
        <f>IF(AI407=1,IF(AC406=MiscData!$F$1,EOMONTH(AC406,-11),EOMONTH(AC406,1)),AC406)</f>
        <v>41820</v>
      </c>
      <c r="AD407" s="275" t="str">
        <f t="shared" si="181"/>
        <v>20140101LGUM_423</v>
      </c>
      <c r="AE407" s="294" t="str">
        <f t="shared" si="182"/>
        <v xml:space="preserve">20140101LS </v>
      </c>
      <c r="AF407" s="618" t="str">
        <f t="shared" si="203"/>
        <v>423</v>
      </c>
      <c r="AH407" s="265">
        <f>MiscData!$X$5</f>
        <v>20140101</v>
      </c>
      <c r="AI407" s="265">
        <f>IF(AI406+1&gt;MiscData!$AC$77,1,AI406+1)</f>
        <v>39</v>
      </c>
      <c r="AJ407" s="265" t="str">
        <f>VLOOKUP(AI407,MiscData!$AC$5:$AD$77,2,FALSE)</f>
        <v>LGUM_423</v>
      </c>
      <c r="AK407" s="265" t="str">
        <f>VLOOKUP(AJ407,MiscData!$AD$5:$AE$77,2,FALSE)</f>
        <v xml:space="preserve">LS </v>
      </c>
      <c r="AT407" s="265" t="s">
        <v>277</v>
      </c>
      <c r="AV407" s="265">
        <v>0</v>
      </c>
    </row>
    <row r="408" spans="1:48">
      <c r="A408" s="275">
        <f t="shared" si="204"/>
        <v>405</v>
      </c>
      <c r="B408" s="276" t="str">
        <f t="shared" si="178"/>
        <v>Jun 2014</v>
      </c>
      <c r="C408" s="277" t="str">
        <f t="shared" si="179"/>
        <v xml:space="preserve">LS </v>
      </c>
      <c r="D408" s="277" t="str">
        <f t="shared" si="180"/>
        <v>LGUM_424</v>
      </c>
      <c r="E408" s="614">
        <f t="shared" si="184"/>
        <v>895</v>
      </c>
      <c r="F408" s="615">
        <f t="shared" si="176"/>
        <v>0</v>
      </c>
      <c r="G408" s="614">
        <f t="shared" si="185"/>
        <v>68962</v>
      </c>
      <c r="H408" s="615">
        <v>0</v>
      </c>
      <c r="I408" s="283">
        <f t="shared" si="186"/>
        <v>28.45</v>
      </c>
      <c r="J408" s="283">
        <f t="shared" si="187"/>
        <v>3.9800000000000004</v>
      </c>
      <c r="K408" s="285">
        <f t="shared" si="188"/>
        <v>25462.75</v>
      </c>
      <c r="L408" s="286">
        <f t="shared" si="189"/>
        <v>75.309999999999491</v>
      </c>
      <c r="M408" s="286">
        <f t="shared" si="190"/>
        <v>0</v>
      </c>
      <c r="N408" s="285">
        <f t="shared" si="191"/>
        <v>25538.059999999998</v>
      </c>
      <c r="O408" s="616">
        <f t="shared" si="183"/>
        <v>25538.059999999998</v>
      </c>
      <c r="P408" s="289">
        <f t="shared" si="192"/>
        <v>1</v>
      </c>
      <c r="Q408" s="290">
        <f t="shared" si="193"/>
        <v>163.18</v>
      </c>
      <c r="R408" s="290">
        <f t="shared" si="194"/>
        <v>686.72</v>
      </c>
      <c r="S408" s="290">
        <f t="shared" si="195"/>
        <v>0</v>
      </c>
      <c r="T408" s="290">
        <f t="shared" si="196"/>
        <v>26387.96</v>
      </c>
      <c r="U408" s="291">
        <f t="shared" si="197"/>
        <v>26387.96</v>
      </c>
      <c r="V408" s="291">
        <f t="shared" si="201"/>
        <v>0</v>
      </c>
      <c r="W408" s="265">
        <f t="shared" si="198"/>
        <v>0</v>
      </c>
      <c r="X408" s="291">
        <f t="shared" si="202"/>
        <v>0</v>
      </c>
      <c r="Y408" s="170">
        <f t="shared" si="199"/>
        <v>3562.1</v>
      </c>
      <c r="Z408" s="291">
        <f t="shared" si="200"/>
        <v>21975.96</v>
      </c>
      <c r="AC408" s="276">
        <f>IF(AI408=1,IF(AC407=MiscData!$F$1,EOMONTH(AC407,-11),EOMONTH(AC407,1)),AC407)</f>
        <v>41820</v>
      </c>
      <c r="AD408" s="275" t="str">
        <f t="shared" si="181"/>
        <v>20140101LGUM_424</v>
      </c>
      <c r="AE408" s="294" t="str">
        <f t="shared" si="182"/>
        <v xml:space="preserve">20140101LS </v>
      </c>
      <c r="AF408" s="618" t="str">
        <f t="shared" si="203"/>
        <v>424</v>
      </c>
      <c r="AH408" s="265">
        <f>MiscData!$X$5</f>
        <v>20140101</v>
      </c>
      <c r="AI408" s="265">
        <f>IF(AI407+1&gt;MiscData!$AC$77,1,AI407+1)</f>
        <v>40</v>
      </c>
      <c r="AJ408" s="265" t="str">
        <f>VLOOKUP(AI408,MiscData!$AC$5:$AD$77,2,FALSE)</f>
        <v>LGUM_424</v>
      </c>
      <c r="AK408" s="265" t="str">
        <f>VLOOKUP(AJ408,MiscData!$AD$5:$AE$77,2,FALSE)</f>
        <v xml:space="preserve">LS </v>
      </c>
      <c r="AT408" s="265" t="s">
        <v>278</v>
      </c>
      <c r="AV408" s="265">
        <v>-28.06</v>
      </c>
    </row>
    <row r="409" spans="1:48">
      <c r="A409" s="275">
        <f t="shared" si="204"/>
        <v>406</v>
      </c>
      <c r="B409" s="276" t="str">
        <f t="shared" si="178"/>
        <v>Jun 2014</v>
      </c>
      <c r="C409" s="277" t="str">
        <f t="shared" si="179"/>
        <v xml:space="preserve">LS </v>
      </c>
      <c r="D409" s="277" t="str">
        <f t="shared" si="180"/>
        <v>LGUM_425</v>
      </c>
      <c r="E409" s="614">
        <f t="shared" si="184"/>
        <v>43</v>
      </c>
      <c r="F409" s="615">
        <f t="shared" si="176"/>
        <v>0</v>
      </c>
      <c r="G409" s="614">
        <f t="shared" si="185"/>
        <v>5407</v>
      </c>
      <c r="H409" s="615">
        <v>0</v>
      </c>
      <c r="I409" s="283">
        <f t="shared" si="186"/>
        <v>34.029999999999994</v>
      </c>
      <c r="J409" s="283">
        <f t="shared" si="187"/>
        <v>4.2799999999999976</v>
      </c>
      <c r="K409" s="285">
        <f t="shared" si="188"/>
        <v>1463.29</v>
      </c>
      <c r="L409" s="286">
        <f t="shared" si="189"/>
        <v>0</v>
      </c>
      <c r="M409" s="286">
        <f t="shared" si="190"/>
        <v>0</v>
      </c>
      <c r="N409" s="285">
        <f t="shared" si="191"/>
        <v>1463.29</v>
      </c>
      <c r="O409" s="616">
        <f t="shared" si="183"/>
        <v>1463.29</v>
      </c>
      <c r="P409" s="289">
        <f t="shared" si="192"/>
        <v>1</v>
      </c>
      <c r="Q409" s="290">
        <f t="shared" si="193"/>
        <v>14.91</v>
      </c>
      <c r="R409" s="290">
        <f t="shared" si="194"/>
        <v>41.82</v>
      </c>
      <c r="S409" s="290">
        <f t="shared" si="195"/>
        <v>0</v>
      </c>
      <c r="T409" s="290">
        <f t="shared" si="196"/>
        <v>1520.02</v>
      </c>
      <c r="U409" s="291">
        <f t="shared" si="197"/>
        <v>1520.02</v>
      </c>
      <c r="V409" s="291">
        <f t="shared" si="201"/>
        <v>0</v>
      </c>
      <c r="W409" s="265">
        <f t="shared" si="198"/>
        <v>0</v>
      </c>
      <c r="X409" s="291">
        <f t="shared" si="202"/>
        <v>0</v>
      </c>
      <c r="Y409" s="170">
        <f t="shared" si="199"/>
        <v>184.04</v>
      </c>
      <c r="Z409" s="291">
        <f t="shared" si="200"/>
        <v>1279.25</v>
      </c>
      <c r="AC409" s="276">
        <f>IF(AI409=1,IF(AC408=MiscData!$F$1,EOMONTH(AC408,-11),EOMONTH(AC408,1)),AC408)</f>
        <v>41820</v>
      </c>
      <c r="AD409" s="275" t="str">
        <f t="shared" si="181"/>
        <v>20140101LGUM_425</v>
      </c>
      <c r="AE409" s="294" t="str">
        <f t="shared" si="182"/>
        <v xml:space="preserve">20140101LS </v>
      </c>
      <c r="AF409" s="618" t="str">
        <f t="shared" si="203"/>
        <v>425</v>
      </c>
      <c r="AH409" s="265">
        <f>MiscData!$X$5</f>
        <v>20140101</v>
      </c>
      <c r="AI409" s="265">
        <f>IF(AI408+1&gt;MiscData!$AC$77,1,AI408+1)</f>
        <v>41</v>
      </c>
      <c r="AJ409" s="265" t="str">
        <f>VLOOKUP(AI409,MiscData!$AC$5:$AD$77,2,FALSE)</f>
        <v>LGUM_425</v>
      </c>
      <c r="AK409" s="265" t="str">
        <f>VLOOKUP(AJ409,MiscData!$AD$5:$AE$77,2,FALSE)</f>
        <v xml:space="preserve">LS </v>
      </c>
      <c r="AT409" s="265" t="s">
        <v>279</v>
      </c>
      <c r="AV409" s="265">
        <v>0</v>
      </c>
    </row>
    <row r="410" spans="1:48">
      <c r="A410" s="275">
        <f t="shared" si="204"/>
        <v>407</v>
      </c>
      <c r="B410" s="276" t="str">
        <f t="shared" si="178"/>
        <v>Jun 2014</v>
      </c>
      <c r="C410" s="277" t="str">
        <f t="shared" si="179"/>
        <v>RLS</v>
      </c>
      <c r="D410" s="277" t="str">
        <f t="shared" si="180"/>
        <v>LGUM_426</v>
      </c>
      <c r="E410" s="614">
        <f t="shared" si="184"/>
        <v>41</v>
      </c>
      <c r="F410" s="615">
        <f t="shared" si="176"/>
        <v>0</v>
      </c>
      <c r="G410" s="614">
        <f t="shared" si="185"/>
        <v>907</v>
      </c>
      <c r="H410" s="615">
        <v>0</v>
      </c>
      <c r="I410" s="283">
        <f t="shared" si="186"/>
        <v>33.22</v>
      </c>
      <c r="J410" s="283">
        <f t="shared" si="187"/>
        <v>0.75</v>
      </c>
      <c r="K410" s="285">
        <f t="shared" si="188"/>
        <v>1362.02</v>
      </c>
      <c r="L410" s="286">
        <f t="shared" si="189"/>
        <v>0</v>
      </c>
      <c r="M410" s="286">
        <f t="shared" si="190"/>
        <v>0</v>
      </c>
      <c r="N410" s="285">
        <f t="shared" si="191"/>
        <v>1362.02</v>
      </c>
      <c r="O410" s="616">
        <f t="shared" si="183"/>
        <v>1362.02</v>
      </c>
      <c r="P410" s="289">
        <f t="shared" si="192"/>
        <v>1</v>
      </c>
      <c r="Q410" s="290">
        <f t="shared" si="193"/>
        <v>2.87</v>
      </c>
      <c r="R410" s="290">
        <f t="shared" si="194"/>
        <v>41.58</v>
      </c>
      <c r="S410" s="290">
        <f t="shared" si="195"/>
        <v>0</v>
      </c>
      <c r="T410" s="290">
        <f t="shared" si="196"/>
        <v>1427.83</v>
      </c>
      <c r="U410" s="291">
        <f t="shared" si="197"/>
        <v>1406.4699999999998</v>
      </c>
      <c r="V410" s="291">
        <f t="shared" si="201"/>
        <v>21.36</v>
      </c>
      <c r="W410" s="265">
        <f t="shared" si="198"/>
        <v>21.36</v>
      </c>
      <c r="X410" s="291">
        <f t="shared" si="202"/>
        <v>0</v>
      </c>
      <c r="Y410" s="170">
        <f t="shared" si="199"/>
        <v>30.75</v>
      </c>
      <c r="Z410" s="291">
        <f t="shared" si="200"/>
        <v>1331.27</v>
      </c>
      <c r="AC410" s="276">
        <f>IF(AI410=1,IF(AC409=MiscData!$F$1,EOMONTH(AC409,-11),EOMONTH(AC409,1)),AC409)</f>
        <v>41820</v>
      </c>
      <c r="AD410" s="275" t="str">
        <f t="shared" si="181"/>
        <v>20140101LGUM_426</v>
      </c>
      <c r="AE410" s="294" t="str">
        <f t="shared" si="182"/>
        <v>20140101RLS</v>
      </c>
      <c r="AF410" s="618" t="str">
        <f t="shared" si="203"/>
        <v>426</v>
      </c>
      <c r="AH410" s="265">
        <f>MiscData!$X$5</f>
        <v>20140101</v>
      </c>
      <c r="AI410" s="265">
        <f>IF(AI409+1&gt;MiscData!$AC$77,1,AI409+1)</f>
        <v>42</v>
      </c>
      <c r="AJ410" s="265" t="str">
        <f>VLOOKUP(AI410,MiscData!$AC$5:$AD$77,2,FALSE)</f>
        <v>LGUM_426</v>
      </c>
      <c r="AK410" s="265" t="str">
        <f>VLOOKUP(AJ410,MiscData!$AD$5:$AE$77,2,FALSE)</f>
        <v>RLS</v>
      </c>
      <c r="AT410" s="265" t="s">
        <v>280</v>
      </c>
      <c r="AV410" s="265">
        <v>0</v>
      </c>
    </row>
    <row r="411" spans="1:48">
      <c r="A411" s="275">
        <f t="shared" si="204"/>
        <v>408</v>
      </c>
      <c r="B411" s="276" t="str">
        <f t="shared" si="178"/>
        <v>Jun 2014</v>
      </c>
      <c r="C411" s="277" t="str">
        <f t="shared" si="179"/>
        <v xml:space="preserve">LS </v>
      </c>
      <c r="D411" s="277" t="str">
        <f t="shared" si="180"/>
        <v>LGUM_427</v>
      </c>
      <c r="E411" s="614">
        <f t="shared" si="184"/>
        <v>55</v>
      </c>
      <c r="F411" s="615">
        <f t="shared" si="176"/>
        <v>0</v>
      </c>
      <c r="G411" s="614">
        <f t="shared" si="185"/>
        <v>1222</v>
      </c>
      <c r="H411" s="615">
        <v>0</v>
      </c>
      <c r="I411" s="283">
        <f t="shared" si="186"/>
        <v>35.199999999999996</v>
      </c>
      <c r="J411" s="283">
        <f t="shared" si="187"/>
        <v>0.75</v>
      </c>
      <c r="K411" s="285">
        <f t="shared" si="188"/>
        <v>1936</v>
      </c>
      <c r="L411" s="286">
        <f t="shared" si="189"/>
        <v>0</v>
      </c>
      <c r="M411" s="286">
        <f t="shared" si="190"/>
        <v>0</v>
      </c>
      <c r="N411" s="285">
        <f t="shared" si="191"/>
        <v>1936</v>
      </c>
      <c r="O411" s="616">
        <f t="shared" si="183"/>
        <v>1936.0000000000002</v>
      </c>
      <c r="P411" s="289">
        <f t="shared" si="192"/>
        <v>1.0000000000000002</v>
      </c>
      <c r="Q411" s="290">
        <f t="shared" si="193"/>
        <v>3.8</v>
      </c>
      <c r="R411" s="290">
        <f t="shared" si="194"/>
        <v>59.43</v>
      </c>
      <c r="S411" s="290">
        <f t="shared" si="195"/>
        <v>0</v>
      </c>
      <c r="T411" s="290">
        <f t="shared" si="196"/>
        <v>2057.5500000000002</v>
      </c>
      <c r="U411" s="291">
        <f t="shared" si="197"/>
        <v>1999.23</v>
      </c>
      <c r="V411" s="291">
        <f t="shared" si="201"/>
        <v>58.32</v>
      </c>
      <c r="W411" s="265">
        <f t="shared" si="198"/>
        <v>58.32</v>
      </c>
      <c r="X411" s="291">
        <f t="shared" si="202"/>
        <v>0</v>
      </c>
      <c r="Y411" s="170">
        <f t="shared" si="199"/>
        <v>41.25</v>
      </c>
      <c r="Z411" s="291">
        <f t="shared" si="200"/>
        <v>1894.7500000000002</v>
      </c>
      <c r="AC411" s="276">
        <f>IF(AI411=1,IF(AC410=MiscData!$F$1,EOMONTH(AC410,-11),EOMONTH(AC410,1)),AC410)</f>
        <v>41820</v>
      </c>
      <c r="AD411" s="275" t="str">
        <f t="shared" si="181"/>
        <v>20140101LGUM_427</v>
      </c>
      <c r="AE411" s="294" t="str">
        <f t="shared" si="182"/>
        <v xml:space="preserve">20140101LS </v>
      </c>
      <c r="AF411" s="618" t="str">
        <f t="shared" si="203"/>
        <v>427</v>
      </c>
      <c r="AH411" s="265">
        <f>MiscData!$X$5</f>
        <v>20140101</v>
      </c>
      <c r="AI411" s="265">
        <f>IF(AI410+1&gt;MiscData!$AC$77,1,AI410+1)</f>
        <v>43</v>
      </c>
      <c r="AJ411" s="265" t="str">
        <f>VLOOKUP(AI411,MiscData!$AC$5:$AD$77,2,FALSE)</f>
        <v>LGUM_427</v>
      </c>
      <c r="AK411" s="265" t="str">
        <f>VLOOKUP(AJ411,MiscData!$AD$5:$AE$77,2,FALSE)</f>
        <v xml:space="preserve">LS </v>
      </c>
      <c r="AT411" s="265" t="s">
        <v>281</v>
      </c>
      <c r="AV411" s="265">
        <v>0</v>
      </c>
    </row>
    <row r="412" spans="1:48">
      <c r="A412" s="275">
        <f t="shared" si="204"/>
        <v>409</v>
      </c>
      <c r="B412" s="276" t="str">
        <f t="shared" si="178"/>
        <v>Jun 2014</v>
      </c>
      <c r="C412" s="277" t="str">
        <f t="shared" si="179"/>
        <v>RLS</v>
      </c>
      <c r="D412" s="277" t="str">
        <f t="shared" si="180"/>
        <v>LGUM_428</v>
      </c>
      <c r="E412" s="614">
        <f t="shared" si="184"/>
        <v>294</v>
      </c>
      <c r="F412" s="615">
        <f t="shared" ref="F412:F475" si="205">SUMIFS(L_1055_Count_OutOfPeriod,L_1055_Revenue_Month,$B412,L_1055_RateCategory,$D412)</f>
        <v>0</v>
      </c>
      <c r="G412" s="614">
        <f t="shared" si="185"/>
        <v>10107</v>
      </c>
      <c r="H412" s="615">
        <v>0</v>
      </c>
      <c r="I412" s="283">
        <f t="shared" si="186"/>
        <v>34.090000000000003</v>
      </c>
      <c r="J412" s="283">
        <f t="shared" si="187"/>
        <v>1.0600000000000023</v>
      </c>
      <c r="K412" s="285">
        <f t="shared" si="188"/>
        <v>10022.459999999999</v>
      </c>
      <c r="L412" s="286">
        <f t="shared" si="189"/>
        <v>79.16</v>
      </c>
      <c r="M412" s="286">
        <f t="shared" si="190"/>
        <v>0</v>
      </c>
      <c r="N412" s="285">
        <f t="shared" si="191"/>
        <v>10101.619999999999</v>
      </c>
      <c r="O412" s="616">
        <f t="shared" si="183"/>
        <v>10101.620000000001</v>
      </c>
      <c r="P412" s="289">
        <f t="shared" si="192"/>
        <v>1.0000000000000002</v>
      </c>
      <c r="Q412" s="290">
        <f t="shared" si="193"/>
        <v>25.15</v>
      </c>
      <c r="R412" s="290">
        <f t="shared" si="194"/>
        <v>302</v>
      </c>
      <c r="S412" s="290">
        <f t="shared" si="195"/>
        <v>0</v>
      </c>
      <c r="T412" s="290">
        <f t="shared" si="196"/>
        <v>10695.04</v>
      </c>
      <c r="U412" s="291">
        <f t="shared" si="197"/>
        <v>10428.769999999999</v>
      </c>
      <c r="V412" s="291">
        <f t="shared" si="201"/>
        <v>266.27</v>
      </c>
      <c r="W412" s="265">
        <f t="shared" si="198"/>
        <v>266.27</v>
      </c>
      <c r="X412" s="291">
        <f t="shared" si="202"/>
        <v>0</v>
      </c>
      <c r="Y412" s="170">
        <f t="shared" si="199"/>
        <v>311.64</v>
      </c>
      <c r="Z412" s="291">
        <f t="shared" si="200"/>
        <v>9789.9800000000014</v>
      </c>
      <c r="AC412" s="276">
        <f>IF(AI412=1,IF(AC411=MiscData!$F$1,EOMONTH(AC411,-11),EOMONTH(AC411,1)),AC411)</f>
        <v>41820</v>
      </c>
      <c r="AD412" s="275" t="str">
        <f t="shared" si="181"/>
        <v>20140101LGUM_428</v>
      </c>
      <c r="AE412" s="294" t="str">
        <f t="shared" si="182"/>
        <v>20140101RLS</v>
      </c>
      <c r="AF412" s="618" t="str">
        <f t="shared" si="203"/>
        <v>428</v>
      </c>
      <c r="AH412" s="265">
        <f>MiscData!$X$5</f>
        <v>20140101</v>
      </c>
      <c r="AI412" s="265">
        <f>IF(AI411+1&gt;MiscData!$AC$77,1,AI411+1)</f>
        <v>44</v>
      </c>
      <c r="AJ412" s="265" t="str">
        <f>VLOOKUP(AI412,MiscData!$AC$5:$AD$77,2,FALSE)</f>
        <v>LGUM_428</v>
      </c>
      <c r="AK412" s="265" t="str">
        <f>VLOOKUP(AJ412,MiscData!$AD$5:$AE$77,2,FALSE)</f>
        <v>RLS</v>
      </c>
      <c r="AT412" s="265" t="s">
        <v>283</v>
      </c>
      <c r="AV412" s="265">
        <v>0</v>
      </c>
    </row>
    <row r="413" spans="1:48">
      <c r="A413" s="275">
        <f t="shared" si="204"/>
        <v>410</v>
      </c>
      <c r="B413" s="276" t="str">
        <f t="shared" si="178"/>
        <v>Jun 2014</v>
      </c>
      <c r="C413" s="277" t="str">
        <f t="shared" si="179"/>
        <v xml:space="preserve">LS </v>
      </c>
      <c r="D413" s="277" t="str">
        <f t="shared" si="180"/>
        <v>LGUM_429</v>
      </c>
      <c r="E413" s="614">
        <f t="shared" si="184"/>
        <v>197</v>
      </c>
      <c r="F413" s="615">
        <f t="shared" si="205"/>
        <v>0</v>
      </c>
      <c r="G413" s="614">
        <f t="shared" si="185"/>
        <v>6028</v>
      </c>
      <c r="H413" s="615">
        <v>0</v>
      </c>
      <c r="I413" s="283">
        <f t="shared" si="186"/>
        <v>36.07</v>
      </c>
      <c r="J413" s="283">
        <f t="shared" si="187"/>
        <v>1.0599999999999952</v>
      </c>
      <c r="K413" s="285">
        <f t="shared" si="188"/>
        <v>7105.79</v>
      </c>
      <c r="L413" s="286">
        <f t="shared" si="189"/>
        <v>0</v>
      </c>
      <c r="M413" s="286">
        <f t="shared" si="190"/>
        <v>0</v>
      </c>
      <c r="N413" s="285">
        <f t="shared" si="191"/>
        <v>7105.79</v>
      </c>
      <c r="O413" s="616">
        <f t="shared" si="183"/>
        <v>7105.7900000000009</v>
      </c>
      <c r="P413" s="289">
        <f t="shared" si="192"/>
        <v>1.0000000000000002</v>
      </c>
      <c r="Q413" s="290">
        <f t="shared" si="193"/>
        <v>16.5</v>
      </c>
      <c r="R413" s="290">
        <f t="shared" si="194"/>
        <v>219.23</v>
      </c>
      <c r="S413" s="290">
        <f t="shared" si="195"/>
        <v>0</v>
      </c>
      <c r="T413" s="290">
        <f t="shared" si="196"/>
        <v>7977.09</v>
      </c>
      <c r="U413" s="291">
        <f t="shared" si="197"/>
        <v>7341.5199999999995</v>
      </c>
      <c r="V413" s="291">
        <f t="shared" si="201"/>
        <v>635.57000000000005</v>
      </c>
      <c r="W413" s="265">
        <f t="shared" si="198"/>
        <v>635.57000000000005</v>
      </c>
      <c r="X413" s="291">
        <f t="shared" si="202"/>
        <v>0</v>
      </c>
      <c r="Y413" s="170">
        <f t="shared" si="199"/>
        <v>208.82</v>
      </c>
      <c r="Z413" s="291">
        <f t="shared" si="200"/>
        <v>6896.9700000000012</v>
      </c>
      <c r="AC413" s="276">
        <f>IF(AI413=1,IF(AC412=MiscData!$F$1,EOMONTH(AC412,-11),EOMONTH(AC412,1)),AC412)</f>
        <v>41820</v>
      </c>
      <c r="AD413" s="275" t="str">
        <f t="shared" si="181"/>
        <v>20140101LGUM_429</v>
      </c>
      <c r="AE413" s="294" t="str">
        <f t="shared" si="182"/>
        <v xml:space="preserve">20140101LS </v>
      </c>
      <c r="AF413" s="618" t="str">
        <f t="shared" si="203"/>
        <v>429</v>
      </c>
      <c r="AH413" s="265">
        <f>MiscData!$X$5</f>
        <v>20140101</v>
      </c>
      <c r="AI413" s="265">
        <f>IF(AI412+1&gt;MiscData!$AC$77,1,AI412+1)</f>
        <v>45</v>
      </c>
      <c r="AJ413" s="265" t="str">
        <f>VLOOKUP(AI413,MiscData!$AC$5:$AD$77,2,FALSE)</f>
        <v>LGUM_429</v>
      </c>
      <c r="AK413" s="265" t="str">
        <f>VLOOKUP(AJ413,MiscData!$AD$5:$AE$77,2,FALSE)</f>
        <v xml:space="preserve">LS </v>
      </c>
      <c r="AT413" s="265" t="s">
        <v>285</v>
      </c>
      <c r="AV413" s="265">
        <v>0</v>
      </c>
    </row>
    <row r="414" spans="1:48">
      <c r="A414" s="275">
        <f t="shared" si="204"/>
        <v>411</v>
      </c>
      <c r="B414" s="276" t="str">
        <f t="shared" si="178"/>
        <v>Jun 2014</v>
      </c>
      <c r="C414" s="277" t="str">
        <f t="shared" si="179"/>
        <v>RLS</v>
      </c>
      <c r="D414" s="277" t="str">
        <f t="shared" si="180"/>
        <v>LGUM_430</v>
      </c>
      <c r="E414" s="614">
        <f t="shared" si="184"/>
        <v>25</v>
      </c>
      <c r="F414" s="615">
        <f t="shared" si="205"/>
        <v>0</v>
      </c>
      <c r="G414" s="614">
        <f t="shared" si="185"/>
        <v>544</v>
      </c>
      <c r="H414" s="615">
        <v>0</v>
      </c>
      <c r="I414" s="283">
        <f t="shared" si="186"/>
        <v>32.26</v>
      </c>
      <c r="J414" s="283">
        <f t="shared" si="187"/>
        <v>0.75</v>
      </c>
      <c r="K414" s="285">
        <f t="shared" si="188"/>
        <v>806.5</v>
      </c>
      <c r="L414" s="286">
        <f t="shared" si="189"/>
        <v>0</v>
      </c>
      <c r="M414" s="286">
        <f t="shared" si="190"/>
        <v>0</v>
      </c>
      <c r="N414" s="285">
        <f t="shared" si="191"/>
        <v>806.5</v>
      </c>
      <c r="O414" s="616">
        <f t="shared" si="183"/>
        <v>806.5</v>
      </c>
      <c r="P414" s="289">
        <f t="shared" si="192"/>
        <v>1</v>
      </c>
      <c r="Q414" s="290">
        <f t="shared" si="193"/>
        <v>1.31</v>
      </c>
      <c r="R414" s="290">
        <f t="shared" si="194"/>
        <v>21.64</v>
      </c>
      <c r="S414" s="290">
        <f t="shared" si="195"/>
        <v>0</v>
      </c>
      <c r="T414" s="290">
        <f t="shared" si="196"/>
        <v>829.45</v>
      </c>
      <c r="U414" s="291">
        <f t="shared" si="197"/>
        <v>829.44999999999993</v>
      </c>
      <c r="V414" s="291">
        <f t="shared" si="201"/>
        <v>0</v>
      </c>
      <c r="W414" s="265">
        <f t="shared" si="198"/>
        <v>0</v>
      </c>
      <c r="X414" s="291">
        <f t="shared" si="202"/>
        <v>0</v>
      </c>
      <c r="Y414" s="170">
        <f t="shared" si="199"/>
        <v>18.75</v>
      </c>
      <c r="Z414" s="291">
        <f t="shared" si="200"/>
        <v>787.75</v>
      </c>
      <c r="AC414" s="276">
        <f>IF(AI414=1,IF(AC413=MiscData!$F$1,EOMONTH(AC413,-11),EOMONTH(AC413,1)),AC413)</f>
        <v>41820</v>
      </c>
      <c r="AD414" s="275" t="str">
        <f t="shared" si="181"/>
        <v>20140101LGUM_430</v>
      </c>
      <c r="AE414" s="294" t="str">
        <f t="shared" si="182"/>
        <v>20140101RLS</v>
      </c>
      <c r="AF414" s="618" t="str">
        <f t="shared" si="203"/>
        <v>430</v>
      </c>
      <c r="AH414" s="265">
        <f>MiscData!$X$5</f>
        <v>20140101</v>
      </c>
      <c r="AI414" s="265">
        <f>IF(AI413+1&gt;MiscData!$AC$77,1,AI413+1)</f>
        <v>46</v>
      </c>
      <c r="AJ414" s="265" t="str">
        <f>VLOOKUP(AI414,MiscData!$AC$5:$AD$77,2,FALSE)</f>
        <v>LGUM_430</v>
      </c>
      <c r="AK414" s="265" t="str">
        <f>VLOOKUP(AJ414,MiscData!$AD$5:$AE$77,2,FALSE)</f>
        <v>RLS</v>
      </c>
      <c r="AT414" s="265" t="s">
        <v>287</v>
      </c>
      <c r="AV414" s="265">
        <v>0</v>
      </c>
    </row>
    <row r="415" spans="1:48">
      <c r="A415" s="275">
        <f t="shared" si="204"/>
        <v>412</v>
      </c>
      <c r="B415" s="276" t="str">
        <f t="shared" si="178"/>
        <v>Jun 2014</v>
      </c>
      <c r="C415" s="277" t="str">
        <f t="shared" si="179"/>
        <v xml:space="preserve">LS </v>
      </c>
      <c r="D415" s="277" t="str">
        <f t="shared" si="180"/>
        <v>LGUM_431</v>
      </c>
      <c r="E415" s="614">
        <f t="shared" si="184"/>
        <v>45</v>
      </c>
      <c r="F415" s="615">
        <f t="shared" si="205"/>
        <v>0</v>
      </c>
      <c r="G415" s="614">
        <f t="shared" si="185"/>
        <v>1010</v>
      </c>
      <c r="H415" s="615">
        <v>0</v>
      </c>
      <c r="I415" s="283">
        <f t="shared" si="186"/>
        <v>32.93</v>
      </c>
      <c r="J415" s="283">
        <f t="shared" si="187"/>
        <v>0.75</v>
      </c>
      <c r="K415" s="285">
        <f t="shared" si="188"/>
        <v>1481.85</v>
      </c>
      <c r="L415" s="286">
        <f t="shared" si="189"/>
        <v>0</v>
      </c>
      <c r="M415" s="286">
        <f t="shared" si="190"/>
        <v>0</v>
      </c>
      <c r="N415" s="285">
        <f t="shared" si="191"/>
        <v>1481.85</v>
      </c>
      <c r="O415" s="616">
        <f t="shared" si="183"/>
        <v>1481.85</v>
      </c>
      <c r="P415" s="289">
        <f t="shared" si="192"/>
        <v>1</v>
      </c>
      <c r="Q415" s="290">
        <f t="shared" si="193"/>
        <v>3.2</v>
      </c>
      <c r="R415" s="290">
        <f t="shared" si="194"/>
        <v>49.52</v>
      </c>
      <c r="S415" s="290">
        <f t="shared" si="195"/>
        <v>0</v>
      </c>
      <c r="T415" s="290">
        <f t="shared" si="196"/>
        <v>1700.55</v>
      </c>
      <c r="U415" s="291">
        <f t="shared" si="197"/>
        <v>1534.57</v>
      </c>
      <c r="V415" s="291">
        <f t="shared" si="201"/>
        <v>165.98</v>
      </c>
      <c r="W415" s="265">
        <f t="shared" si="198"/>
        <v>165.98</v>
      </c>
      <c r="X415" s="291">
        <f t="shared" si="202"/>
        <v>0</v>
      </c>
      <c r="Y415" s="170">
        <f t="shared" si="199"/>
        <v>33.75</v>
      </c>
      <c r="Z415" s="291">
        <f t="shared" si="200"/>
        <v>1448.1</v>
      </c>
      <c r="AC415" s="276">
        <f>IF(AI415=1,IF(AC414=MiscData!$F$1,EOMONTH(AC414,-11),EOMONTH(AC414,1)),AC414)</f>
        <v>41820</v>
      </c>
      <c r="AD415" s="275" t="str">
        <f t="shared" si="181"/>
        <v>20140101LGUM_431</v>
      </c>
      <c r="AE415" s="294" t="str">
        <f t="shared" si="182"/>
        <v xml:space="preserve">20140101LS </v>
      </c>
      <c r="AF415" s="618" t="str">
        <f t="shared" si="203"/>
        <v>431</v>
      </c>
      <c r="AH415" s="265">
        <f>MiscData!$X$5</f>
        <v>20140101</v>
      </c>
      <c r="AI415" s="265">
        <f>IF(AI414+1&gt;MiscData!$AC$77,1,AI414+1)</f>
        <v>47</v>
      </c>
      <c r="AJ415" s="265" t="str">
        <f>VLOOKUP(AI415,MiscData!$AC$5:$AD$77,2,FALSE)</f>
        <v>LGUM_431</v>
      </c>
      <c r="AK415" s="265" t="str">
        <f>VLOOKUP(AJ415,MiscData!$AD$5:$AE$77,2,FALSE)</f>
        <v xml:space="preserve">LS </v>
      </c>
      <c r="AT415" s="265" t="s">
        <v>288</v>
      </c>
      <c r="AV415" s="265">
        <v>0</v>
      </c>
    </row>
    <row r="416" spans="1:48">
      <c r="A416" s="275">
        <f t="shared" si="204"/>
        <v>413</v>
      </c>
      <c r="B416" s="276" t="str">
        <f t="shared" si="178"/>
        <v>Jun 2014</v>
      </c>
      <c r="C416" s="277" t="str">
        <f t="shared" si="179"/>
        <v>RLS</v>
      </c>
      <c r="D416" s="277" t="str">
        <f t="shared" si="180"/>
        <v>LGUM_432</v>
      </c>
      <c r="E416" s="614">
        <f t="shared" si="184"/>
        <v>10</v>
      </c>
      <c r="F416" s="615">
        <f t="shared" si="205"/>
        <v>0</v>
      </c>
      <c r="G416" s="614">
        <f t="shared" si="185"/>
        <v>332</v>
      </c>
      <c r="H416" s="615">
        <v>0</v>
      </c>
      <c r="I416" s="283">
        <f t="shared" si="186"/>
        <v>34.330000000000005</v>
      </c>
      <c r="J416" s="283">
        <f t="shared" si="187"/>
        <v>1.0600000000000023</v>
      </c>
      <c r="K416" s="285">
        <f t="shared" si="188"/>
        <v>343.3</v>
      </c>
      <c r="L416" s="286">
        <f t="shared" si="189"/>
        <v>0</v>
      </c>
      <c r="M416" s="286">
        <f t="shared" si="190"/>
        <v>0</v>
      </c>
      <c r="N416" s="285">
        <f t="shared" si="191"/>
        <v>343.3</v>
      </c>
      <c r="O416" s="616">
        <f t="shared" si="183"/>
        <v>343.29999999999995</v>
      </c>
      <c r="P416" s="289">
        <f t="shared" si="192"/>
        <v>0.99999999999999989</v>
      </c>
      <c r="Q416" s="290">
        <f t="shared" si="193"/>
        <v>1.05</v>
      </c>
      <c r="R416" s="290">
        <f t="shared" si="194"/>
        <v>10.44</v>
      </c>
      <c r="S416" s="290">
        <f t="shared" si="195"/>
        <v>0</v>
      </c>
      <c r="T416" s="290">
        <f t="shared" si="196"/>
        <v>358.26</v>
      </c>
      <c r="U416" s="291">
        <f t="shared" si="197"/>
        <v>354.79</v>
      </c>
      <c r="V416" s="291">
        <f t="shared" si="201"/>
        <v>3.47</v>
      </c>
      <c r="W416" s="265">
        <f t="shared" si="198"/>
        <v>3.47</v>
      </c>
      <c r="X416" s="291">
        <f t="shared" si="202"/>
        <v>0</v>
      </c>
      <c r="Y416" s="170">
        <f t="shared" si="199"/>
        <v>10.6</v>
      </c>
      <c r="Z416" s="291">
        <f t="shared" si="200"/>
        <v>332.69999999999993</v>
      </c>
      <c r="AC416" s="276">
        <f>IF(AI416=1,IF(AC415=MiscData!$F$1,EOMONTH(AC415,-11),EOMONTH(AC415,1)),AC415)</f>
        <v>41820</v>
      </c>
      <c r="AD416" s="275" t="str">
        <f t="shared" si="181"/>
        <v>20140101LGUM_432</v>
      </c>
      <c r="AE416" s="294" t="str">
        <f t="shared" si="182"/>
        <v>20140101RLS</v>
      </c>
      <c r="AF416" s="618" t="str">
        <f t="shared" si="203"/>
        <v>432</v>
      </c>
      <c r="AH416" s="265">
        <f>MiscData!$X$5</f>
        <v>20140101</v>
      </c>
      <c r="AI416" s="265">
        <f>IF(AI415+1&gt;MiscData!$AC$77,1,AI415+1)</f>
        <v>48</v>
      </c>
      <c r="AJ416" s="265" t="str">
        <f>VLOOKUP(AI416,MiscData!$AC$5:$AD$77,2,FALSE)</f>
        <v>LGUM_432</v>
      </c>
      <c r="AK416" s="265" t="str">
        <f>VLOOKUP(AJ416,MiscData!$AD$5:$AE$77,2,FALSE)</f>
        <v>RLS</v>
      </c>
      <c r="AT416" s="265" t="s">
        <v>289</v>
      </c>
      <c r="AV416" s="265">
        <v>0</v>
      </c>
    </row>
    <row r="417" spans="1:48">
      <c r="A417" s="275">
        <f t="shared" si="204"/>
        <v>414</v>
      </c>
      <c r="B417" s="276" t="str">
        <f t="shared" si="178"/>
        <v>Jun 2014</v>
      </c>
      <c r="C417" s="277" t="str">
        <f t="shared" si="179"/>
        <v xml:space="preserve">LS </v>
      </c>
      <c r="D417" s="277" t="str">
        <f t="shared" si="180"/>
        <v>LGUM_433</v>
      </c>
      <c r="E417" s="614">
        <f t="shared" si="184"/>
        <v>195</v>
      </c>
      <c r="F417" s="615">
        <f t="shared" si="205"/>
        <v>0</v>
      </c>
      <c r="G417" s="614">
        <f t="shared" si="185"/>
        <v>5826</v>
      </c>
      <c r="H417" s="615">
        <v>0</v>
      </c>
      <c r="I417" s="283">
        <f t="shared" si="186"/>
        <v>34.99</v>
      </c>
      <c r="J417" s="283">
        <f t="shared" si="187"/>
        <v>1.0600000000000023</v>
      </c>
      <c r="K417" s="285">
        <f t="shared" si="188"/>
        <v>6823.05</v>
      </c>
      <c r="L417" s="286">
        <f t="shared" si="189"/>
        <v>0</v>
      </c>
      <c r="M417" s="286">
        <f t="shared" si="190"/>
        <v>0</v>
      </c>
      <c r="N417" s="285">
        <f t="shared" si="191"/>
        <v>6823.05</v>
      </c>
      <c r="O417" s="616">
        <f t="shared" si="183"/>
        <v>6823.0500000000011</v>
      </c>
      <c r="P417" s="289">
        <f t="shared" si="192"/>
        <v>1.0000000000000002</v>
      </c>
      <c r="Q417" s="290">
        <f t="shared" si="193"/>
        <v>18.260000000000002</v>
      </c>
      <c r="R417" s="290">
        <f t="shared" si="194"/>
        <v>232.18</v>
      </c>
      <c r="S417" s="290">
        <f t="shared" si="195"/>
        <v>0</v>
      </c>
      <c r="T417" s="290">
        <f t="shared" si="196"/>
        <v>8006.18</v>
      </c>
      <c r="U417" s="291">
        <f t="shared" si="197"/>
        <v>7073.4900000000007</v>
      </c>
      <c r="V417" s="291">
        <f t="shared" si="201"/>
        <v>932.69</v>
      </c>
      <c r="W417" s="265">
        <f t="shared" si="198"/>
        <v>932.69</v>
      </c>
      <c r="X417" s="291">
        <f t="shared" si="202"/>
        <v>0</v>
      </c>
      <c r="Y417" s="170">
        <f t="shared" si="199"/>
        <v>206.7</v>
      </c>
      <c r="Z417" s="291">
        <f t="shared" si="200"/>
        <v>6616.3500000000013</v>
      </c>
      <c r="AC417" s="276">
        <f>IF(AI417=1,IF(AC416=MiscData!$F$1,EOMONTH(AC416,-11),EOMONTH(AC416,1)),AC416)</f>
        <v>41820</v>
      </c>
      <c r="AD417" s="275" t="str">
        <f t="shared" si="181"/>
        <v>20140101LGUM_433</v>
      </c>
      <c r="AE417" s="294" t="str">
        <f t="shared" si="182"/>
        <v xml:space="preserve">20140101LS </v>
      </c>
      <c r="AF417" s="618" t="str">
        <f t="shared" si="203"/>
        <v>433</v>
      </c>
      <c r="AH417" s="265">
        <f>MiscData!$X$5</f>
        <v>20140101</v>
      </c>
      <c r="AI417" s="265">
        <f>IF(AI416+1&gt;MiscData!$AC$77,1,AI416+1)</f>
        <v>49</v>
      </c>
      <c r="AJ417" s="265" t="str">
        <f>VLOOKUP(AI417,MiscData!$AC$5:$AD$77,2,FALSE)</f>
        <v>LGUM_433</v>
      </c>
      <c r="AK417" s="265" t="str">
        <f>VLOOKUP(AJ417,MiscData!$AD$5:$AE$77,2,FALSE)</f>
        <v xml:space="preserve">LS </v>
      </c>
      <c r="AT417" s="265" t="s">
        <v>290</v>
      </c>
      <c r="AV417" s="265">
        <v>0</v>
      </c>
    </row>
    <row r="418" spans="1:48">
      <c r="A418" s="275">
        <f t="shared" si="204"/>
        <v>415</v>
      </c>
      <c r="B418" s="276" t="str">
        <f t="shared" si="178"/>
        <v>Jun 2014</v>
      </c>
      <c r="C418" s="277" t="str">
        <f t="shared" si="179"/>
        <v xml:space="preserve">LS </v>
      </c>
      <c r="D418" s="277" t="str">
        <f t="shared" si="180"/>
        <v>LGUM_439</v>
      </c>
      <c r="E418" s="614">
        <f t="shared" si="184"/>
        <v>0</v>
      </c>
      <c r="F418" s="615">
        <f t="shared" si="205"/>
        <v>0</v>
      </c>
      <c r="G418" s="614">
        <f t="shared" si="185"/>
        <v>0</v>
      </c>
      <c r="H418" s="615">
        <v>0</v>
      </c>
      <c r="I418" s="283">
        <f t="shared" si="186"/>
        <v>16.459999999999997</v>
      </c>
      <c r="J418" s="283">
        <f t="shared" si="187"/>
        <v>1.6499999999999986</v>
      </c>
      <c r="K418" s="285">
        <f t="shared" si="188"/>
        <v>0</v>
      </c>
      <c r="L418" s="286">
        <f t="shared" si="189"/>
        <v>0</v>
      </c>
      <c r="M418" s="286">
        <f t="shared" si="190"/>
        <v>0</v>
      </c>
      <c r="N418" s="285">
        <f t="shared" si="191"/>
        <v>0</v>
      </c>
      <c r="O418" s="616">
        <f t="shared" si="183"/>
        <v>0</v>
      </c>
      <c r="P418" s="289">
        <f t="shared" si="192"/>
        <v>1</v>
      </c>
      <c r="Q418" s="290">
        <f t="shared" si="193"/>
        <v>0</v>
      </c>
      <c r="R418" s="290">
        <f t="shared" si="194"/>
        <v>0</v>
      </c>
      <c r="S418" s="290">
        <f t="shared" si="195"/>
        <v>0</v>
      </c>
      <c r="T418" s="290">
        <f t="shared" si="196"/>
        <v>0</v>
      </c>
      <c r="U418" s="291">
        <f t="shared" si="197"/>
        <v>0</v>
      </c>
      <c r="V418" s="291">
        <f t="shared" si="201"/>
        <v>0</v>
      </c>
      <c r="W418" s="265">
        <f t="shared" si="198"/>
        <v>0</v>
      </c>
      <c r="X418" s="291">
        <f t="shared" si="202"/>
        <v>0</v>
      </c>
      <c r="Y418" s="170">
        <f t="shared" si="199"/>
        <v>0</v>
      </c>
      <c r="Z418" s="291">
        <f t="shared" si="200"/>
        <v>0</v>
      </c>
      <c r="AC418" s="276">
        <f>IF(AI418=1,IF(AC417=MiscData!$F$1,EOMONTH(AC417,-11),EOMONTH(AC417,1)),AC417)</f>
        <v>41820</v>
      </c>
      <c r="AD418" s="275" t="str">
        <f t="shared" si="181"/>
        <v>20140101LGUM_439</v>
      </c>
      <c r="AE418" s="294" t="str">
        <f t="shared" si="182"/>
        <v xml:space="preserve">20140101LS </v>
      </c>
      <c r="AF418" s="618" t="str">
        <f t="shared" si="203"/>
        <v>439</v>
      </c>
      <c r="AH418" s="265">
        <f>MiscData!$X$5</f>
        <v>20140101</v>
      </c>
      <c r="AI418" s="265">
        <f>IF(AI417+1&gt;MiscData!$AC$77,1,AI417+1)</f>
        <v>50</v>
      </c>
      <c r="AJ418" s="265" t="str">
        <f>VLOOKUP(AI418,MiscData!$AC$5:$AD$77,2,FALSE)</f>
        <v>LGUM_439</v>
      </c>
      <c r="AK418" s="265" t="str">
        <f>VLOOKUP(AJ418,MiscData!$AD$5:$AE$77,2,FALSE)</f>
        <v xml:space="preserve">LS </v>
      </c>
      <c r="AT418" s="265" t="s">
        <v>291</v>
      </c>
      <c r="AV418" s="265">
        <v>0</v>
      </c>
    </row>
    <row r="419" spans="1:48">
      <c r="A419" s="275">
        <f t="shared" si="204"/>
        <v>416</v>
      </c>
      <c r="B419" s="276" t="str">
        <f t="shared" si="178"/>
        <v>Jun 2014</v>
      </c>
      <c r="C419" s="277" t="str">
        <f t="shared" si="179"/>
        <v xml:space="preserve">LS </v>
      </c>
      <c r="D419" s="277" t="str">
        <f t="shared" si="180"/>
        <v>LGUM_440</v>
      </c>
      <c r="E419" s="614">
        <f t="shared" si="184"/>
        <v>2</v>
      </c>
      <c r="F419" s="615">
        <f t="shared" si="205"/>
        <v>0</v>
      </c>
      <c r="G419" s="614">
        <f t="shared" si="185"/>
        <v>160</v>
      </c>
      <c r="H419" s="615">
        <v>0</v>
      </c>
      <c r="I419" s="283">
        <f t="shared" si="186"/>
        <v>18.279999999999998</v>
      </c>
      <c r="J419" s="283">
        <f t="shared" si="187"/>
        <v>2.67</v>
      </c>
      <c r="K419" s="285">
        <f t="shared" si="188"/>
        <v>36.56</v>
      </c>
      <c r="L419" s="286">
        <f t="shared" si="189"/>
        <v>0</v>
      </c>
      <c r="M419" s="286">
        <f t="shared" si="190"/>
        <v>0</v>
      </c>
      <c r="N419" s="285">
        <f t="shared" si="191"/>
        <v>36.56</v>
      </c>
      <c r="O419" s="616">
        <f t="shared" si="183"/>
        <v>36.56</v>
      </c>
      <c r="P419" s="289">
        <f t="shared" si="192"/>
        <v>1</v>
      </c>
      <c r="Q419" s="290">
        <f t="shared" si="193"/>
        <v>0.5</v>
      </c>
      <c r="R419" s="290">
        <f t="shared" si="194"/>
        <v>1.1200000000000001</v>
      </c>
      <c r="S419" s="290">
        <f t="shared" si="195"/>
        <v>0</v>
      </c>
      <c r="T419" s="290">
        <f t="shared" si="196"/>
        <v>38.18</v>
      </c>
      <c r="U419" s="291">
        <f t="shared" si="197"/>
        <v>38.18</v>
      </c>
      <c r="V419" s="291">
        <f t="shared" si="201"/>
        <v>0</v>
      </c>
      <c r="W419" s="265">
        <f t="shared" si="198"/>
        <v>0</v>
      </c>
      <c r="X419" s="291">
        <f t="shared" si="202"/>
        <v>0</v>
      </c>
      <c r="Y419" s="170">
        <f t="shared" si="199"/>
        <v>5.34</v>
      </c>
      <c r="Z419" s="291">
        <f t="shared" si="200"/>
        <v>31.220000000000002</v>
      </c>
      <c r="AC419" s="276">
        <f>IF(AI419=1,IF(AC418=MiscData!$F$1,EOMONTH(AC418,-11),EOMONTH(AC418,1)),AC418)</f>
        <v>41820</v>
      </c>
      <c r="AD419" s="275" t="str">
        <f t="shared" si="181"/>
        <v>20140101LGUM_440</v>
      </c>
      <c r="AE419" s="294" t="str">
        <f t="shared" si="182"/>
        <v xml:space="preserve">20140101LS </v>
      </c>
      <c r="AF419" s="618" t="str">
        <f t="shared" si="203"/>
        <v>440</v>
      </c>
      <c r="AH419" s="265">
        <f>MiscData!$X$5</f>
        <v>20140101</v>
      </c>
      <c r="AI419" s="265">
        <f>IF(AI418+1&gt;MiscData!$AC$77,1,AI418+1)</f>
        <v>51</v>
      </c>
      <c r="AJ419" s="265" t="str">
        <f>VLOOKUP(AI419,MiscData!$AC$5:$AD$77,2,FALSE)</f>
        <v>LGUM_440</v>
      </c>
      <c r="AK419" s="265" t="str">
        <f>VLOOKUP(AJ419,MiscData!$AD$5:$AE$77,2,FALSE)</f>
        <v xml:space="preserve">LS </v>
      </c>
      <c r="AT419" s="265" t="s">
        <v>571</v>
      </c>
      <c r="AV419" s="265">
        <v>0</v>
      </c>
    </row>
    <row r="420" spans="1:48">
      <c r="A420" s="275">
        <f t="shared" si="204"/>
        <v>417</v>
      </c>
      <c r="B420" s="276" t="str">
        <f t="shared" ref="B420:B483" si="206">TEXT(AC420,"mmm yyyy")</f>
        <v>Jun 2014</v>
      </c>
      <c r="C420" s="277" t="str">
        <f t="shared" ref="C420:C483" si="207">AK420</f>
        <v xml:space="preserve">LS </v>
      </c>
      <c r="D420" s="277" t="str">
        <f t="shared" ref="D420:D483" si="208">AJ420</f>
        <v>LGUM_441</v>
      </c>
      <c r="E420" s="614">
        <f t="shared" si="184"/>
        <v>18</v>
      </c>
      <c r="F420" s="615">
        <f t="shared" si="205"/>
        <v>0</v>
      </c>
      <c r="G420" s="614">
        <f t="shared" si="185"/>
        <v>2228</v>
      </c>
      <c r="H420" s="615">
        <v>0</v>
      </c>
      <c r="I420" s="283">
        <f t="shared" si="186"/>
        <v>22.32</v>
      </c>
      <c r="J420" s="283">
        <f t="shared" si="187"/>
        <v>4.2800000000000011</v>
      </c>
      <c r="K420" s="285">
        <f t="shared" si="188"/>
        <v>401.76</v>
      </c>
      <c r="L420" s="286">
        <f t="shared" si="189"/>
        <v>0</v>
      </c>
      <c r="M420" s="286">
        <f t="shared" si="190"/>
        <v>0</v>
      </c>
      <c r="N420" s="285">
        <f t="shared" si="191"/>
        <v>401.76</v>
      </c>
      <c r="O420" s="616">
        <f t="shared" ref="O420:O483" si="209">T420-SUM(Q420:S420)-SUMIFS(L_1055_Revenue_Poles_Test_Period,L_1055_RateCategory,$D420,L_1055_Revenue_Month,$B420)</f>
        <v>401.76</v>
      </c>
      <c r="P420" s="289">
        <f t="shared" si="192"/>
        <v>1</v>
      </c>
      <c r="Q420" s="290">
        <f t="shared" si="193"/>
        <v>7.06</v>
      </c>
      <c r="R420" s="290">
        <f t="shared" si="194"/>
        <v>12.24</v>
      </c>
      <c r="S420" s="290">
        <f t="shared" si="195"/>
        <v>0</v>
      </c>
      <c r="T420" s="290">
        <f t="shared" si="196"/>
        <v>421.06</v>
      </c>
      <c r="U420" s="291">
        <f t="shared" si="197"/>
        <v>421.06</v>
      </c>
      <c r="V420" s="291">
        <f t="shared" si="201"/>
        <v>0</v>
      </c>
      <c r="W420" s="265">
        <f t="shared" si="198"/>
        <v>0</v>
      </c>
      <c r="X420" s="291">
        <f t="shared" si="202"/>
        <v>0</v>
      </c>
      <c r="Y420" s="170">
        <f t="shared" si="199"/>
        <v>77.040000000000006</v>
      </c>
      <c r="Z420" s="291">
        <f t="shared" si="200"/>
        <v>324.71999999999997</v>
      </c>
      <c r="AC420" s="276">
        <f>IF(AI420=1,IF(AC419=MiscData!$F$1,EOMONTH(AC419,-11),EOMONTH(AC419,1)),AC419)</f>
        <v>41820</v>
      </c>
      <c r="AD420" s="275" t="str">
        <f t="shared" ref="AD420:AD483" si="210">CONCATENATE(AH420&amp;AJ420)</f>
        <v>20140101LGUM_441</v>
      </c>
      <c r="AE420" s="294" t="str">
        <f t="shared" ref="AE420:AE483" si="211">CONCATENATE(AH420&amp;AK420)</f>
        <v xml:space="preserve">20140101LS </v>
      </c>
      <c r="AF420" s="618" t="str">
        <f t="shared" si="203"/>
        <v>441</v>
      </c>
      <c r="AH420" s="265">
        <f>MiscData!$X$5</f>
        <v>20140101</v>
      </c>
      <c r="AI420" s="265">
        <f>IF(AI419+1&gt;MiscData!$AC$77,1,AI419+1)</f>
        <v>52</v>
      </c>
      <c r="AJ420" s="265" t="str">
        <f>VLOOKUP(AI420,MiscData!$AC$5:$AD$77,2,FALSE)</f>
        <v>LGUM_441</v>
      </c>
      <c r="AK420" s="265" t="str">
        <f>VLOOKUP(AJ420,MiscData!$AD$5:$AE$77,2,FALSE)</f>
        <v xml:space="preserve">LS </v>
      </c>
      <c r="AT420" s="265" t="s">
        <v>573</v>
      </c>
      <c r="AV420" s="265">
        <v>0</v>
      </c>
    </row>
    <row r="421" spans="1:48">
      <c r="A421" s="275">
        <f t="shared" si="204"/>
        <v>418</v>
      </c>
      <c r="B421" s="276" t="str">
        <f t="shared" si="206"/>
        <v>Jun 2014</v>
      </c>
      <c r="C421" s="277" t="str">
        <f t="shared" si="207"/>
        <v xml:space="preserve">LS </v>
      </c>
      <c r="D421" s="277" t="str">
        <f t="shared" si="208"/>
        <v>LGUM_452</v>
      </c>
      <c r="E421" s="614">
        <f t="shared" si="184"/>
        <v>9881</v>
      </c>
      <c r="F421" s="615">
        <f t="shared" si="205"/>
        <v>0</v>
      </c>
      <c r="G421" s="614">
        <f t="shared" si="185"/>
        <v>473559</v>
      </c>
      <c r="H421" s="615">
        <v>0</v>
      </c>
      <c r="I421" s="283">
        <f t="shared" si="186"/>
        <v>12.82</v>
      </c>
      <c r="J421" s="283">
        <f t="shared" si="187"/>
        <v>1.6500000000000004</v>
      </c>
      <c r="K421" s="285">
        <f t="shared" si="188"/>
        <v>126674.42</v>
      </c>
      <c r="L421" s="286">
        <f t="shared" si="189"/>
        <v>-56.060000000004948</v>
      </c>
      <c r="M421" s="286">
        <f t="shared" si="190"/>
        <v>0</v>
      </c>
      <c r="N421" s="285">
        <f t="shared" si="191"/>
        <v>126618.35999999999</v>
      </c>
      <c r="O421" s="616">
        <f t="shared" si="209"/>
        <v>126618.35999999999</v>
      </c>
      <c r="P421" s="289">
        <f t="shared" si="192"/>
        <v>1</v>
      </c>
      <c r="Q421" s="290">
        <f t="shared" si="193"/>
        <v>1241.24</v>
      </c>
      <c r="R421" s="290">
        <f t="shared" si="194"/>
        <v>3582.22</v>
      </c>
      <c r="S421" s="290">
        <f t="shared" si="195"/>
        <v>0</v>
      </c>
      <c r="T421" s="290">
        <f t="shared" si="196"/>
        <v>132566.68</v>
      </c>
      <c r="U421" s="291">
        <f t="shared" si="197"/>
        <v>131441.81999999998</v>
      </c>
      <c r="V421" s="291">
        <f t="shared" si="201"/>
        <v>1124.8599999999999</v>
      </c>
      <c r="W421" s="265">
        <f t="shared" si="198"/>
        <v>1124.8599999999999</v>
      </c>
      <c r="X421" s="291">
        <f t="shared" si="202"/>
        <v>0</v>
      </c>
      <c r="Y421" s="170">
        <f t="shared" si="199"/>
        <v>16303.65</v>
      </c>
      <c r="Z421" s="291">
        <f t="shared" si="200"/>
        <v>110314.70999999999</v>
      </c>
      <c r="AC421" s="276">
        <f>IF(AI421=1,IF(AC420=MiscData!$F$1,EOMONTH(AC420,-11),EOMONTH(AC420,1)),AC420)</f>
        <v>41820</v>
      </c>
      <c r="AD421" s="275" t="str">
        <f t="shared" si="210"/>
        <v>20140101LGUM_452</v>
      </c>
      <c r="AE421" s="294" t="str">
        <f t="shared" si="211"/>
        <v xml:space="preserve">20140101LS </v>
      </c>
      <c r="AF421" s="618" t="str">
        <f t="shared" si="203"/>
        <v>452</v>
      </c>
      <c r="AH421" s="265">
        <f>MiscData!$X$5</f>
        <v>20140101</v>
      </c>
      <c r="AI421" s="265">
        <f>IF(AI420+1&gt;MiscData!$AC$77,1,AI420+1)</f>
        <v>53</v>
      </c>
      <c r="AJ421" s="265" t="str">
        <f>VLOOKUP(AI421,MiscData!$AC$5:$AD$77,2,FALSE)</f>
        <v>LGUM_452</v>
      </c>
      <c r="AK421" s="265" t="str">
        <f>VLOOKUP(AJ421,MiscData!$AD$5:$AE$77,2,FALSE)</f>
        <v xml:space="preserve">LS </v>
      </c>
      <c r="AT421" s="265" t="s">
        <v>292</v>
      </c>
      <c r="AV421" s="265">
        <v>0</v>
      </c>
    </row>
    <row r="422" spans="1:48">
      <c r="A422" s="275">
        <f t="shared" si="204"/>
        <v>419</v>
      </c>
      <c r="B422" s="276" t="str">
        <f t="shared" si="206"/>
        <v>Jun 2014</v>
      </c>
      <c r="C422" s="277" t="str">
        <f t="shared" si="207"/>
        <v xml:space="preserve">LS </v>
      </c>
      <c r="D422" s="277" t="str">
        <f t="shared" si="208"/>
        <v>LGUM_453</v>
      </c>
      <c r="E422" s="614">
        <f t="shared" si="184"/>
        <v>16840</v>
      </c>
      <c r="F422" s="615">
        <f t="shared" si="205"/>
        <v>0</v>
      </c>
      <c r="G422" s="614">
        <f t="shared" si="185"/>
        <v>1298842</v>
      </c>
      <c r="H422" s="615">
        <v>0</v>
      </c>
      <c r="I422" s="283">
        <f t="shared" si="186"/>
        <v>15.08</v>
      </c>
      <c r="J422" s="283">
        <f t="shared" si="187"/>
        <v>3.9800000000000004</v>
      </c>
      <c r="K422" s="285">
        <f t="shared" si="188"/>
        <v>253947.2</v>
      </c>
      <c r="L422" s="286">
        <f t="shared" si="189"/>
        <v>119.52999999998836</v>
      </c>
      <c r="M422" s="286">
        <f t="shared" si="190"/>
        <v>0</v>
      </c>
      <c r="N422" s="285">
        <f t="shared" si="191"/>
        <v>254066.73</v>
      </c>
      <c r="O422" s="616">
        <f t="shared" si="209"/>
        <v>254066.73000000004</v>
      </c>
      <c r="P422" s="289">
        <f t="shared" si="192"/>
        <v>1.0000000000000002</v>
      </c>
      <c r="Q422" s="290">
        <f t="shared" si="193"/>
        <v>3172.07</v>
      </c>
      <c r="R422" s="290">
        <f t="shared" si="194"/>
        <v>6986.42</v>
      </c>
      <c r="S422" s="290">
        <f t="shared" si="195"/>
        <v>0</v>
      </c>
      <c r="T422" s="290">
        <f t="shared" si="196"/>
        <v>265353.52</v>
      </c>
      <c r="U422" s="291">
        <f t="shared" si="197"/>
        <v>264225.22000000003</v>
      </c>
      <c r="V422" s="291">
        <f t="shared" si="201"/>
        <v>1128.3</v>
      </c>
      <c r="W422" s="265">
        <f t="shared" si="198"/>
        <v>1128.3</v>
      </c>
      <c r="X422" s="291">
        <f t="shared" si="202"/>
        <v>0</v>
      </c>
      <c r="Y422" s="170">
        <f t="shared" si="199"/>
        <v>67023.199999999997</v>
      </c>
      <c r="Z422" s="291">
        <f t="shared" si="200"/>
        <v>187043.53000000003</v>
      </c>
      <c r="AC422" s="276">
        <f>IF(AI422=1,IF(AC421=MiscData!$F$1,EOMONTH(AC421,-11),EOMONTH(AC421,1)),AC421)</f>
        <v>41820</v>
      </c>
      <c r="AD422" s="275" t="str">
        <f t="shared" si="210"/>
        <v>20140101LGUM_453</v>
      </c>
      <c r="AE422" s="294" t="str">
        <f t="shared" si="211"/>
        <v xml:space="preserve">20140101LS </v>
      </c>
      <c r="AF422" s="618" t="str">
        <f t="shared" si="203"/>
        <v>453</v>
      </c>
      <c r="AH422" s="265">
        <f>MiscData!$X$5</f>
        <v>20140101</v>
      </c>
      <c r="AI422" s="265">
        <f>IF(AI421+1&gt;MiscData!$AC$77,1,AI421+1)</f>
        <v>54</v>
      </c>
      <c r="AJ422" s="265" t="str">
        <f>VLOOKUP(AI422,MiscData!$AC$5:$AD$77,2,FALSE)</f>
        <v>LGUM_453</v>
      </c>
      <c r="AK422" s="265" t="str">
        <f>VLOOKUP(AJ422,MiscData!$AD$5:$AE$77,2,FALSE)</f>
        <v xml:space="preserve">LS </v>
      </c>
      <c r="AT422" s="265" t="s">
        <v>293</v>
      </c>
      <c r="AV422" s="265">
        <v>0</v>
      </c>
    </row>
    <row r="423" spans="1:48">
      <c r="A423" s="275">
        <f t="shared" si="204"/>
        <v>420</v>
      </c>
      <c r="B423" s="276" t="str">
        <f t="shared" si="206"/>
        <v>Jun 2014</v>
      </c>
      <c r="C423" s="277" t="str">
        <f t="shared" si="207"/>
        <v xml:space="preserve">LS </v>
      </c>
      <c r="D423" s="277" t="str">
        <f t="shared" si="208"/>
        <v>LGUM_454</v>
      </c>
      <c r="E423" s="614">
        <f t="shared" si="184"/>
        <v>7802</v>
      </c>
      <c r="F423" s="615">
        <f t="shared" si="205"/>
        <v>0</v>
      </c>
      <c r="G423" s="614">
        <f t="shared" si="185"/>
        <v>973031</v>
      </c>
      <c r="H423" s="615">
        <v>0</v>
      </c>
      <c r="I423" s="283">
        <f t="shared" si="186"/>
        <v>17.38</v>
      </c>
      <c r="J423" s="283">
        <f t="shared" si="187"/>
        <v>4.2800000000000011</v>
      </c>
      <c r="K423" s="285">
        <f t="shared" si="188"/>
        <v>135598.76</v>
      </c>
      <c r="L423" s="286">
        <f t="shared" si="189"/>
        <v>-201.92999999999302</v>
      </c>
      <c r="M423" s="286">
        <f t="shared" si="190"/>
        <v>0</v>
      </c>
      <c r="N423" s="285">
        <f t="shared" si="191"/>
        <v>135396.83000000002</v>
      </c>
      <c r="O423" s="616">
        <f t="shared" si="209"/>
        <v>135396.82999999999</v>
      </c>
      <c r="P423" s="289">
        <f t="shared" si="192"/>
        <v>0.99999999999999978</v>
      </c>
      <c r="Q423" s="290">
        <f t="shared" si="193"/>
        <v>2624.14</v>
      </c>
      <c r="R423" s="290">
        <f t="shared" si="194"/>
        <v>3956.24</v>
      </c>
      <c r="S423" s="290">
        <f t="shared" si="195"/>
        <v>0</v>
      </c>
      <c r="T423" s="290">
        <f t="shared" si="196"/>
        <v>144803.79999999999</v>
      </c>
      <c r="U423" s="291">
        <f t="shared" si="197"/>
        <v>141977.21000000002</v>
      </c>
      <c r="V423" s="291">
        <f t="shared" si="201"/>
        <v>2826.59</v>
      </c>
      <c r="W423" s="265">
        <f t="shared" si="198"/>
        <v>2826.59</v>
      </c>
      <c r="X423" s="291">
        <f t="shared" si="202"/>
        <v>0</v>
      </c>
      <c r="Y423" s="170">
        <f t="shared" si="199"/>
        <v>33392.559999999998</v>
      </c>
      <c r="Z423" s="291">
        <f t="shared" si="200"/>
        <v>102004.26999999999</v>
      </c>
      <c r="AC423" s="276">
        <f>IF(AI423=1,IF(AC422=MiscData!$F$1,EOMONTH(AC422,-11),EOMONTH(AC422,1)),AC422)</f>
        <v>41820</v>
      </c>
      <c r="AD423" s="275" t="str">
        <f t="shared" si="210"/>
        <v>20140101LGUM_454</v>
      </c>
      <c r="AE423" s="294" t="str">
        <f t="shared" si="211"/>
        <v xml:space="preserve">20140101LS </v>
      </c>
      <c r="AF423" s="618" t="str">
        <f t="shared" si="203"/>
        <v>454</v>
      </c>
      <c r="AH423" s="265">
        <f>MiscData!$X$5</f>
        <v>20140101</v>
      </c>
      <c r="AI423" s="265">
        <f>IF(AI422+1&gt;MiscData!$AC$77,1,AI422+1)</f>
        <v>55</v>
      </c>
      <c r="AJ423" s="265" t="str">
        <f>VLOOKUP(AI423,MiscData!$AC$5:$AD$77,2,FALSE)</f>
        <v>LGUM_454</v>
      </c>
      <c r="AK423" s="265" t="str">
        <f>VLOOKUP(AJ423,MiscData!$AD$5:$AE$77,2,FALSE)</f>
        <v xml:space="preserve">LS </v>
      </c>
      <c r="AT423" s="265" t="s">
        <v>294</v>
      </c>
      <c r="AV423" s="265">
        <v>0</v>
      </c>
    </row>
    <row r="424" spans="1:48">
      <c r="A424" s="275">
        <f t="shared" si="204"/>
        <v>421</v>
      </c>
      <c r="B424" s="276" t="str">
        <f t="shared" si="206"/>
        <v>Jun 2014</v>
      </c>
      <c r="C424" s="277" t="str">
        <f t="shared" si="207"/>
        <v xml:space="preserve">LS </v>
      </c>
      <c r="D424" s="277" t="str">
        <f t="shared" si="208"/>
        <v>LGUM_455</v>
      </c>
      <c r="E424" s="614">
        <f t="shared" si="184"/>
        <v>415</v>
      </c>
      <c r="F424" s="615">
        <f t="shared" si="205"/>
        <v>0</v>
      </c>
      <c r="G424" s="614">
        <f t="shared" si="185"/>
        <v>20372</v>
      </c>
      <c r="H424" s="615">
        <v>0</v>
      </c>
      <c r="I424" s="283">
        <f t="shared" si="186"/>
        <v>13.77</v>
      </c>
      <c r="J424" s="283">
        <f t="shared" si="187"/>
        <v>1.6499999999999986</v>
      </c>
      <c r="K424" s="285">
        <f t="shared" si="188"/>
        <v>5714.55</v>
      </c>
      <c r="L424" s="286">
        <f t="shared" si="189"/>
        <v>-11.019999999999996</v>
      </c>
      <c r="M424" s="286">
        <f t="shared" si="190"/>
        <v>0</v>
      </c>
      <c r="N424" s="285">
        <f t="shared" si="191"/>
        <v>5703.53</v>
      </c>
      <c r="O424" s="616">
        <f t="shared" si="209"/>
        <v>5703.53</v>
      </c>
      <c r="P424" s="289">
        <f t="shared" si="192"/>
        <v>1</v>
      </c>
      <c r="Q424" s="290">
        <f t="shared" si="193"/>
        <v>63.65</v>
      </c>
      <c r="R424" s="290">
        <f t="shared" si="194"/>
        <v>179.52</v>
      </c>
      <c r="S424" s="290">
        <f t="shared" si="195"/>
        <v>0</v>
      </c>
      <c r="T424" s="290">
        <f t="shared" si="196"/>
        <v>6164.9</v>
      </c>
      <c r="U424" s="291">
        <f t="shared" si="197"/>
        <v>5946.7</v>
      </c>
      <c r="V424" s="291">
        <f t="shared" si="201"/>
        <v>218.2</v>
      </c>
      <c r="W424" s="265">
        <f t="shared" si="198"/>
        <v>218.2</v>
      </c>
      <c r="X424" s="291">
        <f t="shared" si="202"/>
        <v>0</v>
      </c>
      <c r="Y424" s="170">
        <f t="shared" si="199"/>
        <v>684.75</v>
      </c>
      <c r="Z424" s="291">
        <f t="shared" si="200"/>
        <v>5018.78</v>
      </c>
      <c r="AC424" s="276">
        <f>IF(AI424=1,IF(AC423=MiscData!$F$1,EOMONTH(AC423,-11),EOMONTH(AC423,1)),AC423)</f>
        <v>41820</v>
      </c>
      <c r="AD424" s="275" t="str">
        <f t="shared" si="210"/>
        <v>20140101LGUM_455</v>
      </c>
      <c r="AE424" s="294" t="str">
        <f t="shared" si="211"/>
        <v xml:space="preserve">20140101LS </v>
      </c>
      <c r="AF424" s="618" t="str">
        <f t="shared" si="203"/>
        <v>455</v>
      </c>
      <c r="AH424" s="265">
        <f>MiscData!$X$5</f>
        <v>20140101</v>
      </c>
      <c r="AI424" s="265">
        <f>IF(AI423+1&gt;MiscData!$AC$77,1,AI423+1)</f>
        <v>56</v>
      </c>
      <c r="AJ424" s="265" t="str">
        <f>VLOOKUP(AI424,MiscData!$AC$5:$AD$77,2,FALSE)</f>
        <v>LGUM_455</v>
      </c>
      <c r="AK424" s="265" t="str">
        <f>VLOOKUP(AJ424,MiscData!$AD$5:$AE$77,2,FALSE)</f>
        <v xml:space="preserve">LS </v>
      </c>
      <c r="AT424" s="265" t="s">
        <v>295</v>
      </c>
      <c r="AV424" s="265">
        <v>0</v>
      </c>
    </row>
    <row r="425" spans="1:48">
      <c r="A425" s="275">
        <f t="shared" si="204"/>
        <v>422</v>
      </c>
      <c r="B425" s="276" t="str">
        <f t="shared" si="206"/>
        <v>Jun 2014</v>
      </c>
      <c r="C425" s="277" t="str">
        <f t="shared" si="207"/>
        <v xml:space="preserve">LS </v>
      </c>
      <c r="D425" s="277" t="str">
        <f t="shared" si="208"/>
        <v>LGUM_456</v>
      </c>
      <c r="E425" s="614">
        <f t="shared" si="184"/>
        <v>13175</v>
      </c>
      <c r="F425" s="615">
        <f t="shared" si="205"/>
        <v>0</v>
      </c>
      <c r="G425" s="614">
        <f t="shared" si="185"/>
        <v>1691043</v>
      </c>
      <c r="H425" s="615">
        <v>0</v>
      </c>
      <c r="I425" s="283">
        <f t="shared" si="186"/>
        <v>18.21</v>
      </c>
      <c r="J425" s="283">
        <f t="shared" si="187"/>
        <v>4.2800000000000011</v>
      </c>
      <c r="K425" s="285">
        <f t="shared" si="188"/>
        <v>239916.75</v>
      </c>
      <c r="L425" s="286">
        <f t="shared" si="189"/>
        <v>-345.13000000000375</v>
      </c>
      <c r="M425" s="286">
        <f t="shared" si="190"/>
        <v>0</v>
      </c>
      <c r="N425" s="285">
        <f t="shared" si="191"/>
        <v>239571.62</v>
      </c>
      <c r="O425" s="616">
        <f t="shared" si="209"/>
        <v>239571.62</v>
      </c>
      <c r="P425" s="289">
        <f t="shared" si="192"/>
        <v>1</v>
      </c>
      <c r="Q425" s="290">
        <f t="shared" si="193"/>
        <v>5279.56</v>
      </c>
      <c r="R425" s="290">
        <f t="shared" si="194"/>
        <v>7538.95</v>
      </c>
      <c r="S425" s="290">
        <f t="shared" si="195"/>
        <v>0</v>
      </c>
      <c r="T425" s="290">
        <f t="shared" si="196"/>
        <v>260245.91</v>
      </c>
      <c r="U425" s="291">
        <f t="shared" si="197"/>
        <v>252390.13</v>
      </c>
      <c r="V425" s="291">
        <f t="shared" si="201"/>
        <v>7855.78</v>
      </c>
      <c r="W425" s="265">
        <f t="shared" si="198"/>
        <v>7855.78</v>
      </c>
      <c r="X425" s="291">
        <f t="shared" si="202"/>
        <v>0</v>
      </c>
      <c r="Y425" s="170">
        <f t="shared" si="199"/>
        <v>56389</v>
      </c>
      <c r="Z425" s="291">
        <f t="shared" si="200"/>
        <v>183182.62</v>
      </c>
      <c r="AC425" s="276">
        <f>IF(AI425=1,IF(AC424=MiscData!$F$1,EOMONTH(AC424,-11),EOMONTH(AC424,1)),AC424)</f>
        <v>41820</v>
      </c>
      <c r="AD425" s="275" t="str">
        <f t="shared" si="210"/>
        <v>20140101LGUM_456</v>
      </c>
      <c r="AE425" s="294" t="str">
        <f t="shared" si="211"/>
        <v xml:space="preserve">20140101LS </v>
      </c>
      <c r="AF425" s="618" t="str">
        <f t="shared" si="203"/>
        <v>456</v>
      </c>
      <c r="AH425" s="265">
        <f>MiscData!$X$5</f>
        <v>20140101</v>
      </c>
      <c r="AI425" s="265">
        <f>IF(AI424+1&gt;MiscData!$AC$77,1,AI424+1)</f>
        <v>57</v>
      </c>
      <c r="AJ425" s="265" t="str">
        <f>VLOOKUP(AI425,MiscData!$AC$5:$AD$77,2,FALSE)</f>
        <v>LGUM_456</v>
      </c>
      <c r="AK425" s="265" t="str">
        <f>VLOOKUP(AJ425,MiscData!$AD$5:$AE$77,2,FALSE)</f>
        <v xml:space="preserve">LS </v>
      </c>
      <c r="AT425" s="265" t="s">
        <v>296</v>
      </c>
      <c r="AV425" s="265">
        <v>0</v>
      </c>
    </row>
    <row r="426" spans="1:48">
      <c r="A426" s="275">
        <f t="shared" si="204"/>
        <v>423</v>
      </c>
      <c r="B426" s="276" t="str">
        <f t="shared" si="206"/>
        <v>Jun 2014</v>
      </c>
      <c r="C426" s="277" t="str">
        <f t="shared" si="207"/>
        <v xml:space="preserve">LS </v>
      </c>
      <c r="D426" s="277" t="str">
        <f t="shared" si="208"/>
        <v>LGUM_457</v>
      </c>
      <c r="E426" s="614">
        <f t="shared" si="184"/>
        <v>3419</v>
      </c>
      <c r="F426" s="615">
        <f t="shared" si="205"/>
        <v>0</v>
      </c>
      <c r="G426" s="614">
        <f t="shared" si="185"/>
        <v>107771</v>
      </c>
      <c r="H426" s="615">
        <v>0</v>
      </c>
      <c r="I426" s="283">
        <f t="shared" si="186"/>
        <v>10.86</v>
      </c>
      <c r="J426" s="283">
        <f t="shared" si="187"/>
        <v>1.0599999999999987</v>
      </c>
      <c r="K426" s="285">
        <f t="shared" si="188"/>
        <v>37130.339999999997</v>
      </c>
      <c r="L426" s="286">
        <f t="shared" si="189"/>
        <v>-267.02999999999975</v>
      </c>
      <c r="M426" s="286">
        <f t="shared" si="190"/>
        <v>0</v>
      </c>
      <c r="N426" s="285">
        <f t="shared" si="191"/>
        <v>36863.31</v>
      </c>
      <c r="O426" s="616">
        <f t="shared" si="209"/>
        <v>36863.31</v>
      </c>
      <c r="P426" s="289">
        <f t="shared" si="192"/>
        <v>1</v>
      </c>
      <c r="Q426" s="290">
        <f t="shared" si="193"/>
        <v>336.8</v>
      </c>
      <c r="R426" s="290">
        <f t="shared" si="194"/>
        <v>1164.8</v>
      </c>
      <c r="S426" s="290">
        <f t="shared" si="195"/>
        <v>0</v>
      </c>
      <c r="T426" s="290">
        <f t="shared" si="196"/>
        <v>40028.78</v>
      </c>
      <c r="U426" s="291">
        <f t="shared" si="197"/>
        <v>38364.910000000003</v>
      </c>
      <c r="V426" s="291">
        <f t="shared" si="201"/>
        <v>1663.87</v>
      </c>
      <c r="W426" s="265">
        <f t="shared" si="198"/>
        <v>1663.87</v>
      </c>
      <c r="X426" s="291">
        <f t="shared" si="202"/>
        <v>0</v>
      </c>
      <c r="Y426" s="170">
        <f t="shared" si="199"/>
        <v>3624.14</v>
      </c>
      <c r="Z426" s="291">
        <f t="shared" si="200"/>
        <v>33239.17</v>
      </c>
      <c r="AC426" s="276">
        <f>IF(AI426=1,IF(AC425=MiscData!$F$1,EOMONTH(AC425,-11),EOMONTH(AC425,1)),AC425)</f>
        <v>41820</v>
      </c>
      <c r="AD426" s="275" t="str">
        <f t="shared" si="210"/>
        <v>20140101LGUM_457</v>
      </c>
      <c r="AE426" s="294" t="str">
        <f t="shared" si="211"/>
        <v xml:space="preserve">20140101LS </v>
      </c>
      <c r="AF426" s="618" t="str">
        <f t="shared" si="203"/>
        <v>457</v>
      </c>
      <c r="AH426" s="265">
        <f>MiscData!$X$5</f>
        <v>20140101</v>
      </c>
      <c r="AI426" s="265">
        <f>IF(AI425+1&gt;MiscData!$AC$77,1,AI425+1)</f>
        <v>58</v>
      </c>
      <c r="AJ426" s="265" t="str">
        <f>VLOOKUP(AI426,MiscData!$AC$5:$AD$77,2,FALSE)</f>
        <v>LGUM_457</v>
      </c>
      <c r="AK426" s="265" t="str">
        <f>VLOOKUP(AJ426,MiscData!$AD$5:$AE$77,2,FALSE)</f>
        <v xml:space="preserve">LS </v>
      </c>
      <c r="AT426" s="265" t="s">
        <v>577</v>
      </c>
      <c r="AV426" s="265">
        <v>0</v>
      </c>
    </row>
    <row r="427" spans="1:48">
      <c r="A427" s="275">
        <f t="shared" si="204"/>
        <v>424</v>
      </c>
      <c r="B427" s="276" t="str">
        <f t="shared" si="206"/>
        <v>Jun 2014</v>
      </c>
      <c r="C427" s="277" t="str">
        <f t="shared" si="207"/>
        <v>RLS</v>
      </c>
      <c r="D427" s="277" t="str">
        <f t="shared" si="208"/>
        <v>LGUM_458</v>
      </c>
      <c r="E427" s="614">
        <f t="shared" si="184"/>
        <v>6</v>
      </c>
      <c r="F427" s="615">
        <f t="shared" si="205"/>
        <v>0</v>
      </c>
      <c r="G427" s="614">
        <f t="shared" si="185"/>
        <v>332</v>
      </c>
      <c r="H427" s="615">
        <v>0</v>
      </c>
      <c r="I427" s="283">
        <f t="shared" si="186"/>
        <v>11.13</v>
      </c>
      <c r="J427" s="283">
        <f t="shared" si="187"/>
        <v>3.7700000000000014</v>
      </c>
      <c r="K427" s="285">
        <f t="shared" si="188"/>
        <v>66.78</v>
      </c>
      <c r="L427" s="286">
        <f t="shared" si="189"/>
        <v>0</v>
      </c>
      <c r="M427" s="286">
        <f t="shared" si="190"/>
        <v>0</v>
      </c>
      <c r="N427" s="285">
        <f t="shared" si="191"/>
        <v>66.78</v>
      </c>
      <c r="O427" s="616">
        <f t="shared" si="209"/>
        <v>66.78</v>
      </c>
      <c r="P427" s="289">
        <f t="shared" si="192"/>
        <v>1</v>
      </c>
      <c r="Q427" s="290">
        <f t="shared" si="193"/>
        <v>0.95</v>
      </c>
      <c r="R427" s="290">
        <f t="shared" si="194"/>
        <v>1.96</v>
      </c>
      <c r="S427" s="290">
        <f t="shared" si="195"/>
        <v>0</v>
      </c>
      <c r="T427" s="290">
        <f t="shared" si="196"/>
        <v>69.69</v>
      </c>
      <c r="U427" s="291">
        <f t="shared" si="197"/>
        <v>69.69</v>
      </c>
      <c r="V427" s="291">
        <f t="shared" si="201"/>
        <v>0</v>
      </c>
      <c r="W427" s="265">
        <f t="shared" si="198"/>
        <v>0</v>
      </c>
      <c r="X427" s="291">
        <f t="shared" si="202"/>
        <v>0</v>
      </c>
      <c r="Y427" s="170">
        <f t="shared" si="199"/>
        <v>22.62</v>
      </c>
      <c r="Z427" s="291">
        <f t="shared" si="200"/>
        <v>44.16</v>
      </c>
      <c r="AC427" s="276">
        <f>IF(AI427=1,IF(AC426=MiscData!$F$1,EOMONTH(AC426,-11),EOMONTH(AC426,1)),AC426)</f>
        <v>41820</v>
      </c>
      <c r="AD427" s="275" t="str">
        <f t="shared" si="210"/>
        <v>20140101LGUM_458</v>
      </c>
      <c r="AE427" s="294" t="str">
        <f t="shared" si="211"/>
        <v>20140101RLS</v>
      </c>
      <c r="AF427" s="618" t="str">
        <f t="shared" si="203"/>
        <v>458</v>
      </c>
      <c r="AH427" s="265">
        <f>MiscData!$X$5</f>
        <v>20140101</v>
      </c>
      <c r="AI427" s="265">
        <f>IF(AI426+1&gt;MiscData!$AC$77,1,AI426+1)</f>
        <v>59</v>
      </c>
      <c r="AJ427" s="265" t="str">
        <f>VLOOKUP(AI427,MiscData!$AC$5:$AD$77,2,FALSE)</f>
        <v>LGUM_458</v>
      </c>
      <c r="AK427" s="265" t="str">
        <f>VLOOKUP(AJ427,MiscData!$AD$5:$AE$77,2,FALSE)</f>
        <v>RLS</v>
      </c>
      <c r="AT427" s="265" t="s">
        <v>579</v>
      </c>
      <c r="AV427" s="265">
        <v>0</v>
      </c>
    </row>
    <row r="428" spans="1:48">
      <c r="A428" s="275">
        <f t="shared" si="204"/>
        <v>425</v>
      </c>
      <c r="B428" s="276" t="str">
        <f t="shared" si="206"/>
        <v>Jun 2014</v>
      </c>
      <c r="C428" s="277" t="str">
        <f t="shared" si="207"/>
        <v xml:space="preserve">LS </v>
      </c>
      <c r="D428" s="277" t="str">
        <f t="shared" si="208"/>
        <v>LGUM_470</v>
      </c>
      <c r="E428" s="614">
        <f t="shared" si="184"/>
        <v>24</v>
      </c>
      <c r="F428" s="615">
        <f t="shared" si="205"/>
        <v>0</v>
      </c>
      <c r="G428" s="614">
        <f t="shared" si="185"/>
        <v>991</v>
      </c>
      <c r="H428" s="615">
        <v>0</v>
      </c>
      <c r="I428" s="283">
        <f t="shared" si="186"/>
        <v>12.79</v>
      </c>
      <c r="J428" s="283">
        <f t="shared" si="187"/>
        <v>1.3699999999999992</v>
      </c>
      <c r="K428" s="285">
        <f t="shared" si="188"/>
        <v>306.95999999999998</v>
      </c>
      <c r="L428" s="286">
        <f t="shared" si="189"/>
        <v>0</v>
      </c>
      <c r="M428" s="286">
        <f t="shared" si="190"/>
        <v>0</v>
      </c>
      <c r="N428" s="285">
        <f t="shared" si="191"/>
        <v>306.95999999999998</v>
      </c>
      <c r="O428" s="616">
        <f t="shared" si="209"/>
        <v>306.95999999999998</v>
      </c>
      <c r="P428" s="289">
        <f t="shared" si="192"/>
        <v>1</v>
      </c>
      <c r="Q428" s="290">
        <f t="shared" si="193"/>
        <v>3.15</v>
      </c>
      <c r="R428" s="290">
        <f t="shared" si="194"/>
        <v>9.4700000000000006</v>
      </c>
      <c r="S428" s="290">
        <f t="shared" si="195"/>
        <v>0</v>
      </c>
      <c r="T428" s="290">
        <f t="shared" si="196"/>
        <v>323.7</v>
      </c>
      <c r="U428" s="291">
        <f t="shared" si="197"/>
        <v>319.58</v>
      </c>
      <c r="V428" s="291">
        <f t="shared" si="201"/>
        <v>4.12</v>
      </c>
      <c r="W428" s="265">
        <f t="shared" si="198"/>
        <v>4.12</v>
      </c>
      <c r="X428" s="291">
        <f t="shared" si="202"/>
        <v>0</v>
      </c>
      <c r="Y428" s="170">
        <f t="shared" si="199"/>
        <v>32.880000000000003</v>
      </c>
      <c r="Z428" s="291">
        <f t="shared" si="200"/>
        <v>274.08</v>
      </c>
      <c r="AC428" s="276">
        <f>IF(AI428=1,IF(AC427=MiscData!$F$1,EOMONTH(AC427,-11),EOMONTH(AC427,1)),AC427)</f>
        <v>41820</v>
      </c>
      <c r="AD428" s="275" t="str">
        <f t="shared" si="210"/>
        <v>20140101LGUM_470</v>
      </c>
      <c r="AE428" s="294" t="str">
        <f t="shared" si="211"/>
        <v xml:space="preserve">20140101LS </v>
      </c>
      <c r="AF428" s="618" t="str">
        <f t="shared" si="203"/>
        <v>470</v>
      </c>
      <c r="AH428" s="265">
        <f>MiscData!$X$5</f>
        <v>20140101</v>
      </c>
      <c r="AI428" s="265">
        <f>IF(AI427+1&gt;MiscData!$AC$77,1,AI427+1)</f>
        <v>60</v>
      </c>
      <c r="AJ428" s="265" t="str">
        <f>VLOOKUP(AI428,MiscData!$AC$5:$AD$77,2,FALSE)</f>
        <v>LGUM_470</v>
      </c>
      <c r="AK428" s="265" t="str">
        <f>VLOOKUP(AJ428,MiscData!$AD$5:$AE$77,2,FALSE)</f>
        <v xml:space="preserve">LS </v>
      </c>
      <c r="AT428" s="265" t="s">
        <v>581</v>
      </c>
      <c r="AV428" s="265">
        <v>0</v>
      </c>
    </row>
    <row r="429" spans="1:48">
      <c r="A429" s="275">
        <f t="shared" si="204"/>
        <v>426</v>
      </c>
      <c r="B429" s="276" t="str">
        <f t="shared" si="206"/>
        <v>Jun 2014</v>
      </c>
      <c r="C429" s="277" t="str">
        <f t="shared" si="207"/>
        <v>RLS</v>
      </c>
      <c r="D429" s="277" t="str">
        <f t="shared" si="208"/>
        <v>LGUM_471</v>
      </c>
      <c r="E429" s="614">
        <f t="shared" si="184"/>
        <v>2</v>
      </c>
      <c r="F429" s="615">
        <f t="shared" si="205"/>
        <v>0</v>
      </c>
      <c r="G429" s="614">
        <f t="shared" si="185"/>
        <v>81</v>
      </c>
      <c r="H429" s="615">
        <v>0</v>
      </c>
      <c r="I429" s="283">
        <f t="shared" si="186"/>
        <v>15.07</v>
      </c>
      <c r="J429" s="283">
        <f t="shared" si="187"/>
        <v>1.3699999999999992</v>
      </c>
      <c r="K429" s="285">
        <f t="shared" si="188"/>
        <v>30.14</v>
      </c>
      <c r="L429" s="286">
        <f t="shared" si="189"/>
        <v>0</v>
      </c>
      <c r="M429" s="286">
        <f t="shared" si="190"/>
        <v>0</v>
      </c>
      <c r="N429" s="285">
        <f t="shared" si="191"/>
        <v>30.14</v>
      </c>
      <c r="O429" s="616">
        <f t="shared" si="209"/>
        <v>30.14</v>
      </c>
      <c r="P429" s="289">
        <f t="shared" si="192"/>
        <v>1</v>
      </c>
      <c r="Q429" s="290">
        <f t="shared" si="193"/>
        <v>0.26</v>
      </c>
      <c r="R429" s="290">
        <f t="shared" si="194"/>
        <v>0.92</v>
      </c>
      <c r="S429" s="290">
        <f t="shared" si="195"/>
        <v>0</v>
      </c>
      <c r="T429" s="290">
        <f t="shared" si="196"/>
        <v>31.32</v>
      </c>
      <c r="U429" s="291">
        <f t="shared" si="197"/>
        <v>31.320000000000004</v>
      </c>
      <c r="V429" s="291">
        <f t="shared" si="201"/>
        <v>0</v>
      </c>
      <c r="W429" s="265">
        <f t="shared" si="198"/>
        <v>0</v>
      </c>
      <c r="X429" s="291">
        <f t="shared" si="202"/>
        <v>0</v>
      </c>
      <c r="Y429" s="170">
        <f t="shared" si="199"/>
        <v>2.74</v>
      </c>
      <c r="Z429" s="291">
        <f t="shared" si="200"/>
        <v>27.4</v>
      </c>
      <c r="AC429" s="276">
        <f>IF(AI429=1,IF(AC428=MiscData!$F$1,EOMONTH(AC428,-11),EOMONTH(AC428,1)),AC428)</f>
        <v>41820</v>
      </c>
      <c r="AD429" s="275" t="str">
        <f t="shared" si="210"/>
        <v>20140101LGUM_471</v>
      </c>
      <c r="AE429" s="294" t="str">
        <f t="shared" si="211"/>
        <v>20140101RLS</v>
      </c>
      <c r="AF429" s="618" t="str">
        <f t="shared" si="203"/>
        <v>471</v>
      </c>
      <c r="AH429" s="265">
        <f>MiscData!$X$5</f>
        <v>20140101</v>
      </c>
      <c r="AI429" s="265">
        <f>IF(AI428+1&gt;MiscData!$AC$77,1,AI428+1)</f>
        <v>61</v>
      </c>
      <c r="AJ429" s="265" t="str">
        <f>VLOOKUP(AI429,MiscData!$AC$5:$AD$77,2,FALSE)</f>
        <v>LGUM_471</v>
      </c>
      <c r="AK429" s="265" t="str">
        <f>VLOOKUP(AJ429,MiscData!$AD$5:$AE$77,2,FALSE)</f>
        <v>RLS</v>
      </c>
      <c r="AT429" s="265" t="s">
        <v>297</v>
      </c>
      <c r="AV429" s="265">
        <v>-4.76</v>
      </c>
    </row>
    <row r="430" spans="1:48">
      <c r="A430" s="275">
        <f t="shared" si="204"/>
        <v>427</v>
      </c>
      <c r="B430" s="276" t="str">
        <f t="shared" si="206"/>
        <v>Jun 2014</v>
      </c>
      <c r="C430" s="277" t="str">
        <f t="shared" si="207"/>
        <v xml:space="preserve">LS </v>
      </c>
      <c r="D430" s="277" t="str">
        <f t="shared" si="208"/>
        <v>LGUM_473</v>
      </c>
      <c r="E430" s="614">
        <f t="shared" si="184"/>
        <v>414</v>
      </c>
      <c r="F430" s="615">
        <f t="shared" si="205"/>
        <v>0</v>
      </c>
      <c r="G430" s="614">
        <f t="shared" si="185"/>
        <v>40343</v>
      </c>
      <c r="H430" s="615">
        <v>0</v>
      </c>
      <c r="I430" s="283">
        <f t="shared" si="186"/>
        <v>18.68</v>
      </c>
      <c r="J430" s="283">
        <f t="shared" si="187"/>
        <v>3.1799999999999979</v>
      </c>
      <c r="K430" s="285">
        <f t="shared" si="188"/>
        <v>7733.52</v>
      </c>
      <c r="L430" s="286">
        <f t="shared" si="189"/>
        <v>146.94999999999968</v>
      </c>
      <c r="M430" s="286">
        <f t="shared" si="190"/>
        <v>0</v>
      </c>
      <c r="N430" s="285">
        <f t="shared" si="191"/>
        <v>7880.47</v>
      </c>
      <c r="O430" s="616">
        <f t="shared" si="209"/>
        <v>7880.4699999999993</v>
      </c>
      <c r="P430" s="289">
        <f t="shared" si="192"/>
        <v>0.99999999999999989</v>
      </c>
      <c r="Q430" s="290">
        <f t="shared" si="193"/>
        <v>125.9</v>
      </c>
      <c r="R430" s="290">
        <f t="shared" si="194"/>
        <v>241.21</v>
      </c>
      <c r="S430" s="290">
        <f t="shared" si="195"/>
        <v>0</v>
      </c>
      <c r="T430" s="290">
        <f t="shared" si="196"/>
        <v>8327.7999999999993</v>
      </c>
      <c r="U430" s="291">
        <f t="shared" si="197"/>
        <v>8247.58</v>
      </c>
      <c r="V430" s="291">
        <f t="shared" si="201"/>
        <v>80.22</v>
      </c>
      <c r="W430" s="265">
        <f t="shared" si="198"/>
        <v>80.22</v>
      </c>
      <c r="X430" s="291">
        <f t="shared" si="202"/>
        <v>0</v>
      </c>
      <c r="Y430" s="170">
        <f t="shared" si="199"/>
        <v>1316.52</v>
      </c>
      <c r="Z430" s="291">
        <f t="shared" si="200"/>
        <v>6563.9499999999989</v>
      </c>
      <c r="AC430" s="276">
        <f>IF(AI430=1,IF(AC429=MiscData!$F$1,EOMONTH(AC429,-11),EOMONTH(AC429,1)),AC429)</f>
        <v>41820</v>
      </c>
      <c r="AD430" s="275" t="str">
        <f t="shared" si="210"/>
        <v>20140101LGUM_473</v>
      </c>
      <c r="AE430" s="294" t="str">
        <f t="shared" si="211"/>
        <v xml:space="preserve">20140101LS </v>
      </c>
      <c r="AF430" s="618" t="str">
        <f t="shared" si="203"/>
        <v>473</v>
      </c>
      <c r="AH430" s="265">
        <f>MiscData!$X$5</f>
        <v>20140101</v>
      </c>
      <c r="AI430" s="265">
        <f>IF(AI429+1&gt;MiscData!$AC$77,1,AI429+1)</f>
        <v>62</v>
      </c>
      <c r="AJ430" s="265" t="str">
        <f>VLOOKUP(AI430,MiscData!$AC$5:$AD$77,2,FALSE)</f>
        <v>LGUM_473</v>
      </c>
      <c r="AK430" s="265" t="str">
        <f>VLOOKUP(AJ430,MiscData!$AD$5:$AE$77,2,FALSE)</f>
        <v xml:space="preserve">LS </v>
      </c>
      <c r="AT430" s="265" t="s">
        <v>299</v>
      </c>
      <c r="AV430" s="265">
        <v>0</v>
      </c>
    </row>
    <row r="431" spans="1:48">
      <c r="A431" s="275">
        <f t="shared" si="204"/>
        <v>428</v>
      </c>
      <c r="B431" s="276" t="str">
        <f t="shared" si="206"/>
        <v>Jun 2014</v>
      </c>
      <c r="C431" s="277" t="str">
        <f t="shared" si="207"/>
        <v>RLS</v>
      </c>
      <c r="D431" s="277" t="str">
        <f t="shared" si="208"/>
        <v>LGUM_474</v>
      </c>
      <c r="E431" s="614">
        <f t="shared" si="184"/>
        <v>54</v>
      </c>
      <c r="F431" s="615">
        <f t="shared" si="205"/>
        <v>0</v>
      </c>
      <c r="G431" s="614">
        <f t="shared" si="185"/>
        <v>5224</v>
      </c>
      <c r="H431" s="615">
        <v>0</v>
      </c>
      <c r="I431" s="283">
        <f t="shared" si="186"/>
        <v>20.970000000000002</v>
      </c>
      <c r="J431" s="283">
        <f t="shared" si="187"/>
        <v>3.1799999999999997</v>
      </c>
      <c r="K431" s="285">
        <f t="shared" si="188"/>
        <v>1132.3800000000001</v>
      </c>
      <c r="L431" s="286">
        <f t="shared" si="189"/>
        <v>0</v>
      </c>
      <c r="M431" s="286">
        <f t="shared" si="190"/>
        <v>0</v>
      </c>
      <c r="N431" s="285">
        <f t="shared" si="191"/>
        <v>1132.3800000000001</v>
      </c>
      <c r="O431" s="616">
        <f t="shared" si="209"/>
        <v>1132.3799999999999</v>
      </c>
      <c r="P431" s="289">
        <f t="shared" si="192"/>
        <v>0.99999999999999978</v>
      </c>
      <c r="Q431" s="290">
        <f t="shared" si="193"/>
        <v>16.57</v>
      </c>
      <c r="R431" s="290">
        <f t="shared" si="194"/>
        <v>35.31</v>
      </c>
      <c r="S431" s="290">
        <f t="shared" si="195"/>
        <v>0</v>
      </c>
      <c r="T431" s="290">
        <f t="shared" si="196"/>
        <v>1211</v>
      </c>
      <c r="U431" s="291">
        <f t="shared" si="197"/>
        <v>1184.26</v>
      </c>
      <c r="V431" s="291">
        <f t="shared" si="201"/>
        <v>26.74</v>
      </c>
      <c r="W431" s="265">
        <f t="shared" si="198"/>
        <v>26.74</v>
      </c>
      <c r="X431" s="291">
        <f t="shared" si="202"/>
        <v>0</v>
      </c>
      <c r="Y431" s="170">
        <f t="shared" si="199"/>
        <v>171.72</v>
      </c>
      <c r="Z431" s="291">
        <f t="shared" si="200"/>
        <v>960.65999999999985</v>
      </c>
      <c r="AC431" s="276">
        <f>IF(AI431=1,IF(AC430=MiscData!$F$1,EOMONTH(AC430,-11),EOMONTH(AC430,1)),AC430)</f>
        <v>41820</v>
      </c>
      <c r="AD431" s="275" t="str">
        <f t="shared" si="210"/>
        <v>20140101LGUM_474</v>
      </c>
      <c r="AE431" s="294" t="str">
        <f t="shared" si="211"/>
        <v>20140101RLS</v>
      </c>
      <c r="AF431" s="618" t="str">
        <f t="shared" si="203"/>
        <v>474</v>
      </c>
      <c r="AH431" s="265">
        <f>MiscData!$X$5</f>
        <v>20140101</v>
      </c>
      <c r="AI431" s="265">
        <f>IF(AI430+1&gt;MiscData!$AC$77,1,AI430+1)</f>
        <v>63</v>
      </c>
      <c r="AJ431" s="265" t="str">
        <f>VLOOKUP(AI431,MiscData!$AC$5:$AD$77,2,FALSE)</f>
        <v>LGUM_474</v>
      </c>
      <c r="AK431" s="265" t="str">
        <f>VLOOKUP(AJ431,MiscData!$AD$5:$AE$77,2,FALSE)</f>
        <v>RLS</v>
      </c>
      <c r="AT431" s="265" t="s">
        <v>301</v>
      </c>
      <c r="AV431" s="265">
        <v>0</v>
      </c>
    </row>
    <row r="432" spans="1:48">
      <c r="A432" s="275">
        <f t="shared" si="204"/>
        <v>429</v>
      </c>
      <c r="B432" s="276" t="str">
        <f t="shared" si="206"/>
        <v>Jun 2014</v>
      </c>
      <c r="C432" s="277" t="str">
        <f t="shared" si="207"/>
        <v>RLS</v>
      </c>
      <c r="D432" s="277" t="str">
        <f t="shared" si="208"/>
        <v>LGUM_475</v>
      </c>
      <c r="E432" s="614">
        <f t="shared" si="184"/>
        <v>2</v>
      </c>
      <c r="F432" s="615">
        <f t="shared" si="205"/>
        <v>0</v>
      </c>
      <c r="G432" s="614">
        <f t="shared" si="185"/>
        <v>196</v>
      </c>
      <c r="H432" s="615">
        <v>0</v>
      </c>
      <c r="I432" s="283">
        <f t="shared" si="186"/>
        <v>28.42</v>
      </c>
      <c r="J432" s="283">
        <f t="shared" si="187"/>
        <v>3.1800000000000033</v>
      </c>
      <c r="K432" s="285">
        <f t="shared" si="188"/>
        <v>56.84</v>
      </c>
      <c r="L432" s="286">
        <f t="shared" si="189"/>
        <v>0</v>
      </c>
      <c r="M432" s="286">
        <f t="shared" si="190"/>
        <v>0</v>
      </c>
      <c r="N432" s="285">
        <f t="shared" si="191"/>
        <v>56.84</v>
      </c>
      <c r="O432" s="616">
        <f t="shared" si="209"/>
        <v>56.84</v>
      </c>
      <c r="P432" s="289">
        <f t="shared" si="192"/>
        <v>1</v>
      </c>
      <c r="Q432" s="290">
        <f t="shared" si="193"/>
        <v>0.62</v>
      </c>
      <c r="R432" s="290">
        <f t="shared" si="194"/>
        <v>1.72</v>
      </c>
      <c r="S432" s="290">
        <f t="shared" si="195"/>
        <v>0</v>
      </c>
      <c r="T432" s="290">
        <f t="shared" si="196"/>
        <v>59.18</v>
      </c>
      <c r="U432" s="291">
        <f t="shared" si="197"/>
        <v>59.18</v>
      </c>
      <c r="V432" s="291">
        <f t="shared" si="201"/>
        <v>0</v>
      </c>
      <c r="W432" s="265">
        <f t="shared" si="198"/>
        <v>0</v>
      </c>
      <c r="X432" s="291">
        <f t="shared" si="202"/>
        <v>0</v>
      </c>
      <c r="Y432" s="170">
        <f t="shared" si="199"/>
        <v>6.36</v>
      </c>
      <c r="Z432" s="291">
        <f t="shared" si="200"/>
        <v>50.480000000000004</v>
      </c>
      <c r="AC432" s="276">
        <f>IF(AI432=1,IF(AC431=MiscData!$F$1,EOMONTH(AC431,-11),EOMONTH(AC431,1)),AC431)</f>
        <v>41820</v>
      </c>
      <c r="AD432" s="275" t="str">
        <f t="shared" si="210"/>
        <v>20140101LGUM_475</v>
      </c>
      <c r="AE432" s="294" t="str">
        <f t="shared" si="211"/>
        <v>20140101RLS</v>
      </c>
      <c r="AF432" s="618" t="str">
        <f t="shared" si="203"/>
        <v>475</v>
      </c>
      <c r="AH432" s="265">
        <f>MiscData!$X$5</f>
        <v>20140101</v>
      </c>
      <c r="AI432" s="265">
        <f>IF(AI431+1&gt;MiscData!$AC$77,1,AI431+1)</f>
        <v>64</v>
      </c>
      <c r="AJ432" s="265" t="str">
        <f>VLOOKUP(AI432,MiscData!$AC$5:$AD$77,2,FALSE)</f>
        <v>LGUM_475</v>
      </c>
      <c r="AK432" s="265" t="str">
        <f>VLOOKUP(AJ432,MiscData!$AD$5:$AE$77,2,FALSE)</f>
        <v>RLS</v>
      </c>
      <c r="AT432" s="265" t="s">
        <v>302</v>
      </c>
      <c r="AV432" s="265">
        <v>0</v>
      </c>
    </row>
    <row r="433" spans="1:48">
      <c r="A433" s="275">
        <f t="shared" si="204"/>
        <v>430</v>
      </c>
      <c r="B433" s="276" t="str">
        <f t="shared" si="206"/>
        <v>Jun 2014</v>
      </c>
      <c r="C433" s="277" t="str">
        <f t="shared" si="207"/>
        <v xml:space="preserve">LS </v>
      </c>
      <c r="D433" s="277" t="str">
        <f t="shared" si="208"/>
        <v>LGUM_476</v>
      </c>
      <c r="E433" s="614">
        <f t="shared" si="184"/>
        <v>405</v>
      </c>
      <c r="F433" s="615">
        <f t="shared" si="205"/>
        <v>0</v>
      </c>
      <c r="G433" s="614">
        <f t="shared" si="185"/>
        <v>118301</v>
      </c>
      <c r="H433" s="615">
        <v>0</v>
      </c>
      <c r="I433" s="283">
        <f t="shared" si="186"/>
        <v>39.6</v>
      </c>
      <c r="J433" s="283">
        <f t="shared" si="187"/>
        <v>9.8100000000000023</v>
      </c>
      <c r="K433" s="285">
        <f t="shared" si="188"/>
        <v>16038</v>
      </c>
      <c r="L433" s="286">
        <f t="shared" si="189"/>
        <v>0</v>
      </c>
      <c r="M433" s="286">
        <f t="shared" si="190"/>
        <v>0</v>
      </c>
      <c r="N433" s="285">
        <f t="shared" si="191"/>
        <v>16038</v>
      </c>
      <c r="O433" s="616">
        <f t="shared" si="209"/>
        <v>16038.000000000002</v>
      </c>
      <c r="P433" s="289">
        <f t="shared" si="192"/>
        <v>1.0000000000000002</v>
      </c>
      <c r="Q433" s="290">
        <f t="shared" si="193"/>
        <v>371.35</v>
      </c>
      <c r="R433" s="290">
        <f t="shared" si="194"/>
        <v>494</v>
      </c>
      <c r="S433" s="290">
        <f t="shared" si="195"/>
        <v>0</v>
      </c>
      <c r="T433" s="290">
        <f t="shared" si="196"/>
        <v>17028.810000000001</v>
      </c>
      <c r="U433" s="291">
        <f t="shared" si="197"/>
        <v>16903.349999999999</v>
      </c>
      <c r="V433" s="291">
        <f t="shared" si="201"/>
        <v>125.46</v>
      </c>
      <c r="W433" s="265">
        <f t="shared" si="198"/>
        <v>125.46</v>
      </c>
      <c r="X433" s="291">
        <f t="shared" si="202"/>
        <v>0</v>
      </c>
      <c r="Y433" s="170">
        <f t="shared" si="199"/>
        <v>3973.05</v>
      </c>
      <c r="Z433" s="291">
        <f t="shared" si="200"/>
        <v>12064.95</v>
      </c>
      <c r="AC433" s="276">
        <f>IF(AI433=1,IF(AC432=MiscData!$F$1,EOMONTH(AC432,-11),EOMONTH(AC432,1)),AC432)</f>
        <v>41820</v>
      </c>
      <c r="AD433" s="275" t="str">
        <f t="shared" si="210"/>
        <v>20140101LGUM_476</v>
      </c>
      <c r="AE433" s="294" t="str">
        <f t="shared" si="211"/>
        <v xml:space="preserve">20140101LS </v>
      </c>
      <c r="AF433" s="618" t="str">
        <f t="shared" si="203"/>
        <v>476</v>
      </c>
      <c r="AH433" s="265">
        <f>MiscData!$X$5</f>
        <v>20140101</v>
      </c>
      <c r="AI433" s="265">
        <f>IF(AI432+1&gt;MiscData!$AC$77,1,AI432+1)</f>
        <v>65</v>
      </c>
      <c r="AJ433" s="265" t="str">
        <f>VLOOKUP(AI433,MiscData!$AC$5:$AD$77,2,FALSE)</f>
        <v>LGUM_476</v>
      </c>
      <c r="AK433" s="265" t="str">
        <f>VLOOKUP(AJ433,MiscData!$AD$5:$AE$77,2,FALSE)</f>
        <v xml:space="preserve">LS </v>
      </c>
      <c r="AT433" s="265" t="s">
        <v>303</v>
      </c>
      <c r="AV433" s="265">
        <v>0</v>
      </c>
    </row>
    <row r="434" spans="1:48">
      <c r="A434" s="275">
        <f t="shared" si="204"/>
        <v>431</v>
      </c>
      <c r="B434" s="276" t="str">
        <f t="shared" si="206"/>
        <v>Jun 2014</v>
      </c>
      <c r="C434" s="277" t="str">
        <f t="shared" si="207"/>
        <v>RLS</v>
      </c>
      <c r="D434" s="277" t="str">
        <f t="shared" si="208"/>
        <v>LGUM_477</v>
      </c>
      <c r="E434" s="614">
        <f t="shared" si="184"/>
        <v>61</v>
      </c>
      <c r="F434" s="615">
        <f t="shared" si="205"/>
        <v>0</v>
      </c>
      <c r="G434" s="614">
        <f t="shared" si="185"/>
        <v>17788</v>
      </c>
      <c r="H434" s="615">
        <v>0</v>
      </c>
      <c r="I434" s="283">
        <f t="shared" si="186"/>
        <v>42.78</v>
      </c>
      <c r="J434" s="283">
        <f t="shared" si="187"/>
        <v>9.8100000000000023</v>
      </c>
      <c r="K434" s="285">
        <f t="shared" si="188"/>
        <v>2609.58</v>
      </c>
      <c r="L434" s="286">
        <f t="shared" si="189"/>
        <v>0</v>
      </c>
      <c r="M434" s="286">
        <f t="shared" si="190"/>
        <v>0</v>
      </c>
      <c r="N434" s="285">
        <f t="shared" si="191"/>
        <v>2609.58</v>
      </c>
      <c r="O434" s="616">
        <f t="shared" si="209"/>
        <v>2609.58</v>
      </c>
      <c r="P434" s="289">
        <f t="shared" si="192"/>
        <v>1</v>
      </c>
      <c r="Q434" s="290">
        <f t="shared" si="193"/>
        <v>56.4</v>
      </c>
      <c r="R434" s="290">
        <f t="shared" si="194"/>
        <v>80.959999999999994</v>
      </c>
      <c r="S434" s="290">
        <f t="shared" si="195"/>
        <v>0</v>
      </c>
      <c r="T434" s="290">
        <f t="shared" si="196"/>
        <v>2780.87</v>
      </c>
      <c r="U434" s="291">
        <f t="shared" si="197"/>
        <v>2746.94</v>
      </c>
      <c r="V434" s="291">
        <f t="shared" si="201"/>
        <v>33.93</v>
      </c>
      <c r="W434" s="265">
        <f t="shared" si="198"/>
        <v>33.93</v>
      </c>
      <c r="X434" s="291">
        <f t="shared" si="202"/>
        <v>0</v>
      </c>
      <c r="Y434" s="170">
        <f t="shared" si="199"/>
        <v>598.41</v>
      </c>
      <c r="Z434" s="291">
        <f t="shared" si="200"/>
        <v>2011.17</v>
      </c>
      <c r="AC434" s="276">
        <f>IF(AI434=1,IF(AC433=MiscData!$F$1,EOMONTH(AC433,-11),EOMONTH(AC433,1)),AC433)</f>
        <v>41820</v>
      </c>
      <c r="AD434" s="275" t="str">
        <f t="shared" si="210"/>
        <v>20140101LGUM_477</v>
      </c>
      <c r="AE434" s="294" t="str">
        <f t="shared" si="211"/>
        <v>20140101RLS</v>
      </c>
      <c r="AF434" s="618" t="str">
        <f t="shared" si="203"/>
        <v>477</v>
      </c>
      <c r="AH434" s="265">
        <f>MiscData!$X$5</f>
        <v>20140101</v>
      </c>
      <c r="AI434" s="265">
        <f>IF(AI433+1&gt;MiscData!$AC$77,1,AI433+1)</f>
        <v>66</v>
      </c>
      <c r="AJ434" s="265" t="str">
        <f>VLOOKUP(AI434,MiscData!$AC$5:$AD$77,2,FALSE)</f>
        <v>LGUM_477</v>
      </c>
      <c r="AK434" s="265" t="str">
        <f>VLOOKUP(AJ434,MiscData!$AD$5:$AE$77,2,FALSE)</f>
        <v>RLS</v>
      </c>
      <c r="AT434" s="265" t="s">
        <v>304</v>
      </c>
      <c r="AV434" s="265">
        <v>0</v>
      </c>
    </row>
    <row r="435" spans="1:48">
      <c r="A435" s="275">
        <f t="shared" si="204"/>
        <v>432</v>
      </c>
      <c r="B435" s="276" t="str">
        <f t="shared" si="206"/>
        <v>Jun 2014</v>
      </c>
      <c r="C435" s="277" t="str">
        <f t="shared" si="207"/>
        <v xml:space="preserve">LS </v>
      </c>
      <c r="D435" s="277" t="str">
        <f t="shared" si="208"/>
        <v>LGUM_479</v>
      </c>
      <c r="E435" s="614">
        <f t="shared" si="184"/>
        <v>0</v>
      </c>
      <c r="F435" s="615">
        <f t="shared" si="205"/>
        <v>0</v>
      </c>
      <c r="G435" s="614">
        <f t="shared" si="185"/>
        <v>0</v>
      </c>
      <c r="H435" s="615">
        <v>0</v>
      </c>
      <c r="I435" s="283">
        <f t="shared" si="186"/>
        <v>14.06</v>
      </c>
      <c r="J435" s="283">
        <f t="shared" si="187"/>
        <v>1.370000000000001</v>
      </c>
      <c r="K435" s="285">
        <f t="shared" si="188"/>
        <v>0</v>
      </c>
      <c r="L435" s="286">
        <f t="shared" si="189"/>
        <v>0</v>
      </c>
      <c r="M435" s="286">
        <f t="shared" si="190"/>
        <v>0</v>
      </c>
      <c r="N435" s="285">
        <f t="shared" si="191"/>
        <v>0</v>
      </c>
      <c r="O435" s="616">
        <f t="shared" si="209"/>
        <v>0</v>
      </c>
      <c r="P435" s="289">
        <f t="shared" si="192"/>
        <v>1</v>
      </c>
      <c r="Q435" s="290">
        <f t="shared" si="193"/>
        <v>0</v>
      </c>
      <c r="R435" s="290">
        <f t="shared" si="194"/>
        <v>0</v>
      </c>
      <c r="S435" s="290">
        <f t="shared" si="195"/>
        <v>0</v>
      </c>
      <c r="T435" s="290">
        <f t="shared" si="196"/>
        <v>0</v>
      </c>
      <c r="U435" s="291">
        <f t="shared" si="197"/>
        <v>0</v>
      </c>
      <c r="V435" s="291">
        <f t="shared" si="201"/>
        <v>0</v>
      </c>
      <c r="W435" s="265">
        <f t="shared" si="198"/>
        <v>0</v>
      </c>
      <c r="X435" s="291">
        <f t="shared" si="202"/>
        <v>0</v>
      </c>
      <c r="Y435" s="170">
        <f t="shared" si="199"/>
        <v>0</v>
      </c>
      <c r="Z435" s="291">
        <f t="shared" si="200"/>
        <v>0</v>
      </c>
      <c r="AC435" s="276">
        <f>IF(AI435=1,IF(AC434=MiscData!$F$1,EOMONTH(AC434,-11),EOMONTH(AC434,1)),AC434)</f>
        <v>41820</v>
      </c>
      <c r="AD435" s="275" t="str">
        <f t="shared" si="210"/>
        <v>20140101LGUM_479</v>
      </c>
      <c r="AE435" s="294" t="str">
        <f t="shared" si="211"/>
        <v xml:space="preserve">20140101LS </v>
      </c>
      <c r="AF435" s="618" t="str">
        <f t="shared" si="203"/>
        <v>479</v>
      </c>
      <c r="AH435" s="265">
        <f>MiscData!$X$5</f>
        <v>20140101</v>
      </c>
      <c r="AI435" s="265">
        <f>IF(AI434+1&gt;MiscData!$AC$77,1,AI434+1)</f>
        <v>67</v>
      </c>
      <c r="AJ435" s="265" t="str">
        <f>VLOOKUP(AI435,MiscData!$AC$5:$AD$77,2,FALSE)</f>
        <v>LGUM_479</v>
      </c>
      <c r="AK435" s="265" t="str">
        <f>VLOOKUP(AJ435,MiscData!$AD$5:$AE$77,2,FALSE)</f>
        <v xml:space="preserve">LS </v>
      </c>
      <c r="AT435" s="265" t="s">
        <v>585</v>
      </c>
      <c r="AV435" s="265">
        <v>0</v>
      </c>
    </row>
    <row r="436" spans="1:48">
      <c r="A436" s="275">
        <f t="shared" si="204"/>
        <v>433</v>
      </c>
      <c r="B436" s="276" t="str">
        <f t="shared" si="206"/>
        <v>Jun 2014</v>
      </c>
      <c r="C436" s="277" t="str">
        <f t="shared" si="207"/>
        <v xml:space="preserve">LS </v>
      </c>
      <c r="D436" s="277" t="str">
        <f t="shared" si="208"/>
        <v>LGUM_480</v>
      </c>
      <c r="E436" s="614">
        <f t="shared" si="184"/>
        <v>18</v>
      </c>
      <c r="F436" s="615">
        <f t="shared" si="205"/>
        <v>0</v>
      </c>
      <c r="G436" s="614">
        <f t="shared" si="185"/>
        <v>751</v>
      </c>
      <c r="H436" s="615">
        <v>0</v>
      </c>
      <c r="I436" s="283">
        <f t="shared" si="186"/>
        <v>23.83</v>
      </c>
      <c r="J436" s="283">
        <f t="shared" si="187"/>
        <v>1.370000000000001</v>
      </c>
      <c r="K436" s="285">
        <f t="shared" si="188"/>
        <v>428.94</v>
      </c>
      <c r="L436" s="286">
        <f t="shared" si="189"/>
        <v>0</v>
      </c>
      <c r="M436" s="286">
        <f t="shared" si="190"/>
        <v>0</v>
      </c>
      <c r="N436" s="285">
        <f t="shared" si="191"/>
        <v>428.94</v>
      </c>
      <c r="O436" s="616">
        <f t="shared" si="209"/>
        <v>428.94</v>
      </c>
      <c r="P436" s="289">
        <f t="shared" si="192"/>
        <v>1</v>
      </c>
      <c r="Q436" s="290">
        <f t="shared" si="193"/>
        <v>2.38</v>
      </c>
      <c r="R436" s="290">
        <f t="shared" si="194"/>
        <v>12.94</v>
      </c>
      <c r="S436" s="290">
        <f t="shared" si="195"/>
        <v>0</v>
      </c>
      <c r="T436" s="290">
        <f t="shared" si="196"/>
        <v>444.26</v>
      </c>
      <c r="U436" s="291">
        <f t="shared" si="197"/>
        <v>444.26</v>
      </c>
      <c r="V436" s="291">
        <f t="shared" si="201"/>
        <v>0</v>
      </c>
      <c r="W436" s="265">
        <f t="shared" si="198"/>
        <v>0</v>
      </c>
      <c r="X436" s="291">
        <f t="shared" si="202"/>
        <v>0</v>
      </c>
      <c r="Y436" s="170">
        <f t="shared" si="199"/>
        <v>24.66</v>
      </c>
      <c r="Z436" s="291">
        <f t="shared" si="200"/>
        <v>404.28</v>
      </c>
      <c r="AC436" s="276">
        <f>IF(AI436=1,IF(AC435=MiscData!$F$1,EOMONTH(AC435,-11),EOMONTH(AC435,1)),AC435)</f>
        <v>41820</v>
      </c>
      <c r="AD436" s="275" t="str">
        <f t="shared" si="210"/>
        <v>20140101LGUM_480</v>
      </c>
      <c r="AE436" s="294" t="str">
        <f t="shared" si="211"/>
        <v xml:space="preserve">20140101LS </v>
      </c>
      <c r="AF436" s="618" t="str">
        <f t="shared" si="203"/>
        <v>480</v>
      </c>
      <c r="AH436" s="265">
        <f>MiscData!$X$5</f>
        <v>20140101</v>
      </c>
      <c r="AI436" s="265">
        <f>IF(AI435+1&gt;MiscData!$AC$77,1,AI435+1)</f>
        <v>68</v>
      </c>
      <c r="AJ436" s="265" t="str">
        <f>VLOOKUP(AI436,MiscData!$AC$5:$AD$77,2,FALSE)</f>
        <v>LGUM_480</v>
      </c>
      <c r="AK436" s="265" t="str">
        <f>VLOOKUP(AJ436,MiscData!$AD$5:$AE$77,2,FALSE)</f>
        <v xml:space="preserve">LS </v>
      </c>
      <c r="AT436" s="265" t="s">
        <v>305</v>
      </c>
      <c r="AV436" s="265">
        <v>0</v>
      </c>
    </row>
    <row r="437" spans="1:48">
      <c r="A437" s="275">
        <f t="shared" si="204"/>
        <v>434</v>
      </c>
      <c r="B437" s="276" t="str">
        <f t="shared" si="206"/>
        <v>Jun 2014</v>
      </c>
      <c r="C437" s="277" t="str">
        <f t="shared" si="207"/>
        <v xml:space="preserve">LS </v>
      </c>
      <c r="D437" s="277" t="str">
        <f t="shared" si="208"/>
        <v>LGUM_481</v>
      </c>
      <c r="E437" s="614">
        <f t="shared" si="184"/>
        <v>4</v>
      </c>
      <c r="F437" s="615">
        <f t="shared" si="205"/>
        <v>0</v>
      </c>
      <c r="G437" s="614">
        <f t="shared" si="185"/>
        <v>377</v>
      </c>
      <c r="H437" s="615">
        <v>0</v>
      </c>
      <c r="I437" s="283">
        <f t="shared" si="186"/>
        <v>20.46</v>
      </c>
      <c r="J437" s="283">
        <f t="shared" si="187"/>
        <v>3.1800000000000033</v>
      </c>
      <c r="K437" s="285">
        <f t="shared" si="188"/>
        <v>81.84</v>
      </c>
      <c r="L437" s="286">
        <f t="shared" si="189"/>
        <v>0</v>
      </c>
      <c r="M437" s="286">
        <v>0</v>
      </c>
      <c r="N437" s="285">
        <f t="shared" si="191"/>
        <v>81.84</v>
      </c>
      <c r="O437" s="616">
        <f t="shared" si="209"/>
        <v>81.84</v>
      </c>
      <c r="P437" s="289">
        <f t="shared" si="192"/>
        <v>1</v>
      </c>
      <c r="Q437" s="290">
        <f t="shared" si="193"/>
        <v>1.2</v>
      </c>
      <c r="R437" s="290">
        <f t="shared" si="194"/>
        <v>2.5</v>
      </c>
      <c r="S437" s="290">
        <f t="shared" si="195"/>
        <v>0</v>
      </c>
      <c r="T437" s="290">
        <f t="shared" si="196"/>
        <v>85.54</v>
      </c>
      <c r="U437" s="291">
        <f t="shared" si="197"/>
        <v>85.54</v>
      </c>
      <c r="V437" s="291">
        <f t="shared" si="201"/>
        <v>0</v>
      </c>
      <c r="W437" s="265">
        <f t="shared" si="198"/>
        <v>0</v>
      </c>
      <c r="X437" s="291">
        <f t="shared" si="202"/>
        <v>0</v>
      </c>
      <c r="Y437" s="170">
        <f t="shared" si="199"/>
        <v>12.72</v>
      </c>
      <c r="Z437" s="291">
        <f t="shared" si="200"/>
        <v>69.12</v>
      </c>
      <c r="AC437" s="276">
        <f>IF(AI437=1,IF(AC436=MiscData!$F$1,EOMONTH(AC436,-11),EOMONTH(AC436,1)),AC436)</f>
        <v>41820</v>
      </c>
      <c r="AD437" s="275" t="str">
        <f t="shared" si="210"/>
        <v>20140101LGUM_481</v>
      </c>
      <c r="AE437" s="294" t="str">
        <f t="shared" si="211"/>
        <v xml:space="preserve">20140101LS </v>
      </c>
      <c r="AF437" s="618" t="str">
        <f t="shared" si="203"/>
        <v>481</v>
      </c>
      <c r="AH437" s="265">
        <f>MiscData!$X$5</f>
        <v>20140101</v>
      </c>
      <c r="AI437" s="265">
        <f>IF(AI436+1&gt;MiscData!$AC$77,1,AI436+1)</f>
        <v>69</v>
      </c>
      <c r="AJ437" s="265" t="str">
        <f>VLOOKUP(AI437,MiscData!$AC$5:$AD$77,2,FALSE)</f>
        <v>LGUM_481</v>
      </c>
      <c r="AK437" s="265" t="str">
        <f>VLOOKUP(AJ437,MiscData!$AD$5:$AE$77,2,FALSE)</f>
        <v xml:space="preserve">LS </v>
      </c>
      <c r="AT437" s="265" t="s">
        <v>306</v>
      </c>
      <c r="AV437" s="265">
        <v>0</v>
      </c>
    </row>
    <row r="438" spans="1:48">
      <c r="A438" s="275">
        <f t="shared" si="204"/>
        <v>435</v>
      </c>
      <c r="B438" s="276" t="str">
        <f t="shared" si="206"/>
        <v>Jun 2014</v>
      </c>
      <c r="C438" s="277" t="str">
        <f t="shared" si="207"/>
        <v xml:space="preserve">LS </v>
      </c>
      <c r="D438" s="277" t="str">
        <f t="shared" si="208"/>
        <v>LGUM_482</v>
      </c>
      <c r="E438" s="614">
        <f t="shared" si="184"/>
        <v>46</v>
      </c>
      <c r="F438" s="615">
        <f t="shared" si="205"/>
        <v>0</v>
      </c>
      <c r="G438" s="614">
        <f t="shared" si="185"/>
        <v>4188</v>
      </c>
      <c r="H438" s="615">
        <v>0</v>
      </c>
      <c r="I438" s="283">
        <f t="shared" si="186"/>
        <v>30.21</v>
      </c>
      <c r="J438" s="283">
        <f t="shared" si="187"/>
        <v>3.1800000000000033</v>
      </c>
      <c r="K438" s="285">
        <f t="shared" si="188"/>
        <v>1389.66</v>
      </c>
      <c r="L438" s="286">
        <f t="shared" si="189"/>
        <v>-60.419999999999987</v>
      </c>
      <c r="M438" s="286">
        <v>0</v>
      </c>
      <c r="N438" s="285">
        <f t="shared" si="191"/>
        <v>1329.24</v>
      </c>
      <c r="O438" s="616">
        <f t="shared" si="209"/>
        <v>1329.24</v>
      </c>
      <c r="P438" s="289">
        <f t="shared" si="192"/>
        <v>1</v>
      </c>
      <c r="Q438" s="290">
        <f t="shared" si="193"/>
        <v>13.25</v>
      </c>
      <c r="R438" s="290">
        <f t="shared" si="194"/>
        <v>40.24</v>
      </c>
      <c r="S438" s="290">
        <f t="shared" si="195"/>
        <v>0</v>
      </c>
      <c r="T438" s="290">
        <f t="shared" si="196"/>
        <v>1382.73</v>
      </c>
      <c r="U438" s="291">
        <f t="shared" si="197"/>
        <v>1382.73</v>
      </c>
      <c r="V438" s="291">
        <f t="shared" si="201"/>
        <v>0</v>
      </c>
      <c r="W438" s="265">
        <f t="shared" si="198"/>
        <v>0</v>
      </c>
      <c r="X438" s="291">
        <f t="shared" si="202"/>
        <v>0</v>
      </c>
      <c r="Y438" s="170">
        <f t="shared" si="199"/>
        <v>146.28</v>
      </c>
      <c r="Z438" s="291">
        <f t="shared" si="200"/>
        <v>1182.96</v>
      </c>
      <c r="AC438" s="276">
        <f>IF(AI438=1,IF(AC437=MiscData!$F$1,EOMONTH(AC437,-11),EOMONTH(AC437,1)),AC437)</f>
        <v>41820</v>
      </c>
      <c r="AD438" s="275" t="str">
        <f t="shared" si="210"/>
        <v>20140101LGUM_482</v>
      </c>
      <c r="AE438" s="294" t="str">
        <f t="shared" si="211"/>
        <v xml:space="preserve">20140101LS </v>
      </c>
      <c r="AF438" s="618" t="str">
        <f t="shared" si="203"/>
        <v>482</v>
      </c>
      <c r="AH438" s="265">
        <f>MiscData!$X$5</f>
        <v>20140101</v>
      </c>
      <c r="AI438" s="265">
        <f>IF(AI437+1&gt;MiscData!$AC$77,1,AI437+1)</f>
        <v>70</v>
      </c>
      <c r="AJ438" s="265" t="str">
        <f>VLOOKUP(AI438,MiscData!$AC$5:$AD$77,2,FALSE)</f>
        <v>LGUM_482</v>
      </c>
      <c r="AK438" s="265" t="str">
        <f>VLOOKUP(AJ438,MiscData!$AD$5:$AE$77,2,FALSE)</f>
        <v xml:space="preserve">LS </v>
      </c>
      <c r="AT438" s="265" t="s">
        <v>307</v>
      </c>
      <c r="AV438" s="265">
        <v>0</v>
      </c>
    </row>
    <row r="439" spans="1:48">
      <c r="A439" s="275">
        <f t="shared" si="204"/>
        <v>436</v>
      </c>
      <c r="B439" s="276" t="str">
        <f t="shared" si="206"/>
        <v>Jun 2014</v>
      </c>
      <c r="C439" s="277" t="str">
        <f t="shared" si="207"/>
        <v xml:space="preserve">LS </v>
      </c>
      <c r="D439" s="277" t="str">
        <f t="shared" si="208"/>
        <v>LGUM_483</v>
      </c>
      <c r="E439" s="614">
        <f t="shared" si="184"/>
        <v>2</v>
      </c>
      <c r="F439" s="615">
        <f t="shared" si="205"/>
        <v>0</v>
      </c>
      <c r="G439" s="614">
        <f t="shared" si="185"/>
        <v>575</v>
      </c>
      <c r="H439" s="615">
        <v>0</v>
      </c>
      <c r="I439" s="283">
        <f t="shared" si="186"/>
        <v>42.56</v>
      </c>
      <c r="J439" s="283">
        <f t="shared" si="187"/>
        <v>9.8100000000000023</v>
      </c>
      <c r="K439" s="285">
        <f t="shared" si="188"/>
        <v>85.12</v>
      </c>
      <c r="L439" s="286">
        <f t="shared" si="189"/>
        <v>0</v>
      </c>
      <c r="M439" s="286">
        <f t="shared" ref="M439" si="212">SUMIFS(L_1055_Revenue_OutOfPeriod,L_1055_RateCategory,$D439,L_1055_Revenue_Month,$B439)</f>
        <v>0</v>
      </c>
      <c r="N439" s="285">
        <f t="shared" si="191"/>
        <v>85.12</v>
      </c>
      <c r="O439" s="616">
        <f t="shared" si="209"/>
        <v>85.12</v>
      </c>
      <c r="P439" s="289">
        <f t="shared" si="192"/>
        <v>1</v>
      </c>
      <c r="Q439" s="290">
        <f t="shared" si="193"/>
        <v>1.82</v>
      </c>
      <c r="R439" s="290">
        <f t="shared" si="194"/>
        <v>2.61</v>
      </c>
      <c r="S439" s="290">
        <f t="shared" si="195"/>
        <v>0</v>
      </c>
      <c r="T439" s="290">
        <f t="shared" si="196"/>
        <v>89.55</v>
      </c>
      <c r="U439" s="291">
        <f t="shared" si="197"/>
        <v>89.55</v>
      </c>
      <c r="V439" s="291">
        <f t="shared" si="201"/>
        <v>0</v>
      </c>
      <c r="W439" s="265">
        <f t="shared" si="198"/>
        <v>0</v>
      </c>
      <c r="X439" s="291">
        <f t="shared" si="202"/>
        <v>0</v>
      </c>
      <c r="Y439" s="170">
        <f t="shared" si="199"/>
        <v>19.62</v>
      </c>
      <c r="Z439" s="291">
        <f t="shared" si="200"/>
        <v>65.5</v>
      </c>
      <c r="AC439" s="276">
        <f>IF(AI439=1,IF(AC438=MiscData!$F$1,EOMONTH(AC438,-11),EOMONTH(AC438,1)),AC438)</f>
        <v>41820</v>
      </c>
      <c r="AD439" s="275" t="str">
        <f t="shared" si="210"/>
        <v>20140101LGUM_483</v>
      </c>
      <c r="AE439" s="294" t="str">
        <f t="shared" si="211"/>
        <v xml:space="preserve">20140101LS </v>
      </c>
      <c r="AF439" s="618" t="str">
        <f t="shared" si="203"/>
        <v>483</v>
      </c>
      <c r="AH439" s="265">
        <f>MiscData!$X$5</f>
        <v>20140101</v>
      </c>
      <c r="AI439" s="265">
        <f>IF(AI438+1&gt;MiscData!$AC$77,1,AI438+1)</f>
        <v>71</v>
      </c>
      <c r="AJ439" s="265" t="str">
        <f>VLOOKUP(AI439,MiscData!$AC$5:$AD$77,2,FALSE)</f>
        <v>LGUM_483</v>
      </c>
      <c r="AK439" s="265" t="str">
        <f>VLOOKUP(AJ439,MiscData!$AD$5:$AE$77,2,FALSE)</f>
        <v xml:space="preserve">LS </v>
      </c>
      <c r="AT439" s="265" t="s">
        <v>308</v>
      </c>
      <c r="AV439" s="265">
        <v>0</v>
      </c>
    </row>
    <row r="440" spans="1:48">
      <c r="A440" s="275">
        <f t="shared" si="204"/>
        <v>437</v>
      </c>
      <c r="B440" s="276" t="str">
        <f t="shared" si="206"/>
        <v>Jun 2014</v>
      </c>
      <c r="C440" s="277" t="str">
        <f t="shared" si="207"/>
        <v xml:space="preserve">LS </v>
      </c>
      <c r="D440" s="277" t="str">
        <f t="shared" si="208"/>
        <v>LGUM_484</v>
      </c>
      <c r="E440" s="614">
        <f t="shared" si="184"/>
        <v>13</v>
      </c>
      <c r="F440" s="615">
        <f t="shared" si="205"/>
        <v>0</v>
      </c>
      <c r="G440" s="614">
        <f t="shared" si="185"/>
        <v>3726</v>
      </c>
      <c r="H440" s="615">
        <v>0</v>
      </c>
      <c r="I440" s="283">
        <f t="shared" si="186"/>
        <v>52.31</v>
      </c>
      <c r="J440" s="283">
        <f t="shared" si="187"/>
        <v>9.8100000000000023</v>
      </c>
      <c r="K440" s="285">
        <f t="shared" si="188"/>
        <v>680.03</v>
      </c>
      <c r="L440" s="286">
        <f t="shared" si="189"/>
        <v>0</v>
      </c>
      <c r="M440" s="286">
        <v>0</v>
      </c>
      <c r="N440" s="285">
        <f t="shared" si="191"/>
        <v>680.03</v>
      </c>
      <c r="O440" s="616">
        <f t="shared" si="209"/>
        <v>680.03</v>
      </c>
      <c r="P440" s="289">
        <f t="shared" si="192"/>
        <v>1</v>
      </c>
      <c r="Q440" s="290">
        <f t="shared" si="193"/>
        <v>11.81</v>
      </c>
      <c r="R440" s="290">
        <f t="shared" si="194"/>
        <v>20.75</v>
      </c>
      <c r="S440" s="290">
        <f t="shared" si="195"/>
        <v>0</v>
      </c>
      <c r="T440" s="290">
        <f t="shared" si="196"/>
        <v>712.59</v>
      </c>
      <c r="U440" s="291">
        <f t="shared" si="197"/>
        <v>712.58999999999992</v>
      </c>
      <c r="V440" s="291">
        <f t="shared" si="201"/>
        <v>0</v>
      </c>
      <c r="W440" s="265">
        <f t="shared" si="198"/>
        <v>0</v>
      </c>
      <c r="X440" s="291">
        <f t="shared" si="202"/>
        <v>0</v>
      </c>
      <c r="Y440" s="170">
        <f t="shared" si="199"/>
        <v>127.53</v>
      </c>
      <c r="Z440" s="291">
        <f t="shared" si="200"/>
        <v>552.5</v>
      </c>
      <c r="AC440" s="276">
        <f>IF(AI440=1,IF(AC439=MiscData!$F$1,EOMONTH(AC439,-11),EOMONTH(AC439,1)),AC439)</f>
        <v>41820</v>
      </c>
      <c r="AD440" s="275" t="str">
        <f t="shared" si="210"/>
        <v>20140101LGUM_484</v>
      </c>
      <c r="AE440" s="294" t="str">
        <f t="shared" si="211"/>
        <v xml:space="preserve">20140101LS </v>
      </c>
      <c r="AF440" s="618" t="str">
        <f t="shared" si="203"/>
        <v>484</v>
      </c>
      <c r="AH440" s="265">
        <f>MiscData!$X$5</f>
        <v>20140101</v>
      </c>
      <c r="AI440" s="265">
        <f>IF(AI439+1&gt;MiscData!$AC$77,1,AI439+1)</f>
        <v>72</v>
      </c>
      <c r="AJ440" s="265" t="str">
        <f>VLOOKUP(AI440,MiscData!$AC$5:$AD$77,2,FALSE)</f>
        <v>LGUM_484</v>
      </c>
      <c r="AK440" s="265" t="str">
        <f>VLOOKUP(AJ440,MiscData!$AD$5:$AE$77,2,FALSE)</f>
        <v xml:space="preserve">LS </v>
      </c>
      <c r="AT440" s="265" t="s">
        <v>309</v>
      </c>
      <c r="AV440" s="265">
        <v>10.57</v>
      </c>
    </row>
    <row r="441" spans="1:48">
      <c r="A441" s="275">
        <f t="shared" si="204"/>
        <v>438</v>
      </c>
      <c r="B441" s="276" t="str">
        <f t="shared" si="206"/>
        <v>Jun 2014</v>
      </c>
      <c r="C441" s="277" t="str">
        <f t="shared" si="207"/>
        <v>ODL</v>
      </c>
      <c r="D441" s="277" t="str">
        <f t="shared" si="208"/>
        <v>ODL</v>
      </c>
      <c r="E441" s="614">
        <f t="shared" si="184"/>
        <v>0</v>
      </c>
      <c r="F441" s="615">
        <f t="shared" si="205"/>
        <v>0</v>
      </c>
      <c r="G441" s="614">
        <f t="shared" si="185"/>
        <v>0</v>
      </c>
      <c r="H441" s="615">
        <v>0</v>
      </c>
      <c r="I441" s="283">
        <f t="shared" si="186"/>
        <v>0</v>
      </c>
      <c r="J441" s="283">
        <f t="shared" si="187"/>
        <v>0</v>
      </c>
      <c r="K441" s="285">
        <f t="shared" si="188"/>
        <v>0</v>
      </c>
      <c r="L441" s="286">
        <f t="shared" si="189"/>
        <v>0</v>
      </c>
      <c r="M441" s="286">
        <v>0</v>
      </c>
      <c r="N441" s="285">
        <f t="shared" si="191"/>
        <v>0</v>
      </c>
      <c r="O441" s="616">
        <f t="shared" si="209"/>
        <v>0</v>
      </c>
      <c r="P441" s="289">
        <f t="shared" si="192"/>
        <v>1</v>
      </c>
      <c r="Q441" s="290">
        <f t="shared" si="193"/>
        <v>0</v>
      </c>
      <c r="R441" s="290">
        <f t="shared" si="194"/>
        <v>0</v>
      </c>
      <c r="S441" s="290">
        <f t="shared" si="195"/>
        <v>0</v>
      </c>
      <c r="T441" s="290">
        <f t="shared" si="196"/>
        <v>0</v>
      </c>
      <c r="U441" s="291">
        <f t="shared" si="197"/>
        <v>0</v>
      </c>
      <c r="V441" s="291">
        <f t="shared" si="201"/>
        <v>0</v>
      </c>
      <c r="W441" s="265">
        <f t="shared" si="198"/>
        <v>0</v>
      </c>
      <c r="X441" s="291">
        <f t="shared" si="202"/>
        <v>0</v>
      </c>
      <c r="Y441" s="170">
        <f t="shared" si="199"/>
        <v>0</v>
      </c>
      <c r="Z441" s="291">
        <f t="shared" si="200"/>
        <v>0</v>
      </c>
      <c r="AC441" s="276">
        <f>IF(AI441=1,IF(AC440=MiscData!$F$1,EOMONTH(AC440,-11),EOMONTH(AC440,1)),AC440)</f>
        <v>41820</v>
      </c>
      <c r="AD441" s="275" t="str">
        <f t="shared" si="210"/>
        <v>20140101ODL</v>
      </c>
      <c r="AE441" s="294" t="str">
        <f t="shared" si="211"/>
        <v>20140101ODL</v>
      </c>
      <c r="AF441" s="618" t="str">
        <f t="shared" si="203"/>
        <v>ODL</v>
      </c>
      <c r="AH441" s="265">
        <f>MiscData!$X$5</f>
        <v>20140101</v>
      </c>
      <c r="AI441" s="265">
        <f>IF(AI440+1&gt;MiscData!$AC$77,1,AI440+1)</f>
        <v>73</v>
      </c>
      <c r="AJ441" s="265" t="str">
        <f>VLOOKUP(AI441,MiscData!$AC$5:$AD$77,2,FALSE)</f>
        <v>ODL</v>
      </c>
      <c r="AK441" s="265" t="str">
        <f>VLOOKUP(AJ441,MiscData!$AD$5:$AE$77,2,FALSE)</f>
        <v>ODL</v>
      </c>
      <c r="AT441" s="265" t="s">
        <v>310</v>
      </c>
      <c r="AV441" s="265">
        <v>0</v>
      </c>
    </row>
    <row r="442" spans="1:48">
      <c r="A442" s="275">
        <f t="shared" si="204"/>
        <v>439</v>
      </c>
      <c r="B442" s="276" t="str">
        <f t="shared" si="206"/>
        <v>Jul 2014</v>
      </c>
      <c r="C442" s="277" t="str">
        <f t="shared" si="207"/>
        <v>RLS</v>
      </c>
      <c r="D442" s="277" t="str">
        <f t="shared" si="208"/>
        <v>LGUM_201</v>
      </c>
      <c r="E442" s="614">
        <f t="shared" si="184"/>
        <v>77</v>
      </c>
      <c r="F442" s="615">
        <f t="shared" si="205"/>
        <v>0</v>
      </c>
      <c r="G442" s="614">
        <f t="shared" si="185"/>
        <v>2587</v>
      </c>
      <c r="H442" s="615">
        <v>0</v>
      </c>
      <c r="I442" s="283">
        <f t="shared" si="186"/>
        <v>8.14</v>
      </c>
      <c r="J442" s="283">
        <f t="shared" si="187"/>
        <v>1.0899999999999999</v>
      </c>
      <c r="K442" s="285">
        <f t="shared" si="188"/>
        <v>626.78</v>
      </c>
      <c r="L442" s="286">
        <f t="shared" si="189"/>
        <v>0</v>
      </c>
      <c r="M442" s="286">
        <v>0</v>
      </c>
      <c r="N442" s="285">
        <f t="shared" si="191"/>
        <v>626.78</v>
      </c>
      <c r="O442" s="616">
        <f t="shared" si="209"/>
        <v>626.78</v>
      </c>
      <c r="P442" s="289">
        <f t="shared" si="192"/>
        <v>1</v>
      </c>
      <c r="Q442" s="290">
        <f t="shared" si="193"/>
        <v>3.56</v>
      </c>
      <c r="R442" s="290">
        <f t="shared" si="194"/>
        <v>20.97</v>
      </c>
      <c r="S442" s="290">
        <f t="shared" si="195"/>
        <v>0</v>
      </c>
      <c r="T442" s="290">
        <f t="shared" si="196"/>
        <v>684.27</v>
      </c>
      <c r="U442" s="291">
        <f t="shared" si="197"/>
        <v>651.30999999999995</v>
      </c>
      <c r="V442" s="291">
        <f t="shared" si="201"/>
        <v>32.96</v>
      </c>
      <c r="W442" s="265">
        <f t="shared" si="198"/>
        <v>32.96</v>
      </c>
      <c r="X442" s="291">
        <f t="shared" si="202"/>
        <v>0</v>
      </c>
      <c r="Y442" s="170">
        <f t="shared" si="199"/>
        <v>83.93</v>
      </c>
      <c r="Z442" s="291">
        <f t="shared" si="200"/>
        <v>542.84999999999991</v>
      </c>
      <c r="AC442" s="276">
        <f>IF(AI442=1,IF(AC441=MiscData!$F$1,EOMONTH(AC441,-11),EOMONTH(AC441,1)),AC441)</f>
        <v>41851</v>
      </c>
      <c r="AD442" s="275" t="str">
        <f t="shared" si="210"/>
        <v>20140101LGUM_201</v>
      </c>
      <c r="AE442" s="294" t="str">
        <f t="shared" si="211"/>
        <v>20140101RLS</v>
      </c>
      <c r="AF442" s="618" t="str">
        <f t="shared" si="203"/>
        <v>201</v>
      </c>
      <c r="AH442" s="265">
        <f>MiscData!$X$5</f>
        <v>20140101</v>
      </c>
      <c r="AI442" s="265">
        <f>IF(AI441+1&gt;MiscData!$AC$77,1,AI441+1)</f>
        <v>1</v>
      </c>
      <c r="AJ442" s="265" t="str">
        <f>VLOOKUP(AI442,MiscData!$AC$5:$AD$77,2,FALSE)</f>
        <v>LGUM_201</v>
      </c>
      <c r="AK442" s="265" t="str">
        <f>VLOOKUP(AJ442,MiscData!$AD$5:$AE$77,2,FALSE)</f>
        <v>RLS</v>
      </c>
      <c r="AT442" s="265" t="s">
        <v>311</v>
      </c>
      <c r="AV442" s="265">
        <v>0</v>
      </c>
    </row>
    <row r="443" spans="1:48">
      <c r="A443" s="275">
        <f t="shared" si="204"/>
        <v>440</v>
      </c>
      <c r="B443" s="276" t="str">
        <f t="shared" si="206"/>
        <v>Jul 2014</v>
      </c>
      <c r="C443" s="277" t="str">
        <f t="shared" si="207"/>
        <v>RLS</v>
      </c>
      <c r="D443" s="277" t="str">
        <f t="shared" si="208"/>
        <v>LGUM_203</v>
      </c>
      <c r="E443" s="614">
        <f t="shared" si="184"/>
        <v>3738</v>
      </c>
      <c r="F443" s="615">
        <f t="shared" si="205"/>
        <v>-46</v>
      </c>
      <c r="G443" s="614">
        <f t="shared" si="185"/>
        <v>306517</v>
      </c>
      <c r="H443" s="615">
        <v>0</v>
      </c>
      <c r="I443" s="283">
        <f t="shared" si="186"/>
        <v>10.959999999999999</v>
      </c>
      <c r="J443" s="283">
        <f t="shared" si="187"/>
        <v>2.7099999999999991</v>
      </c>
      <c r="K443" s="285">
        <f t="shared" si="188"/>
        <v>40464.32</v>
      </c>
      <c r="L443" s="286">
        <f t="shared" si="189"/>
        <v>463.76000000000204</v>
      </c>
      <c r="M443" s="286">
        <v>0</v>
      </c>
      <c r="N443" s="285">
        <f t="shared" si="191"/>
        <v>40928.080000000002</v>
      </c>
      <c r="O443" s="616">
        <f t="shared" si="209"/>
        <v>40928.079999999994</v>
      </c>
      <c r="P443" s="289">
        <f t="shared" si="192"/>
        <v>0.99999999999999978</v>
      </c>
      <c r="Q443" s="290">
        <f t="shared" si="193"/>
        <v>429.64</v>
      </c>
      <c r="R443" s="290">
        <f t="shared" si="194"/>
        <v>1326.04</v>
      </c>
      <c r="S443" s="290">
        <f t="shared" si="195"/>
        <v>0</v>
      </c>
      <c r="T443" s="290">
        <f t="shared" si="196"/>
        <v>43190.52</v>
      </c>
      <c r="U443" s="291">
        <f t="shared" si="197"/>
        <v>42683.76</v>
      </c>
      <c r="V443" s="291">
        <f t="shared" si="201"/>
        <v>506.76</v>
      </c>
      <c r="W443" s="265">
        <f t="shared" si="198"/>
        <v>506.76</v>
      </c>
      <c r="X443" s="291">
        <f t="shared" si="202"/>
        <v>0</v>
      </c>
      <c r="Y443" s="170">
        <f t="shared" si="199"/>
        <v>10129.98</v>
      </c>
      <c r="Z443" s="291">
        <f t="shared" si="200"/>
        <v>30798.099999999995</v>
      </c>
      <c r="AC443" s="276">
        <f>IF(AI443=1,IF(AC442=MiscData!$F$1,EOMONTH(AC442,-11),EOMONTH(AC442,1)),AC442)</f>
        <v>41851</v>
      </c>
      <c r="AD443" s="275" t="str">
        <f t="shared" si="210"/>
        <v>20140101LGUM_203</v>
      </c>
      <c r="AE443" s="294" t="str">
        <f t="shared" si="211"/>
        <v>20140101RLS</v>
      </c>
      <c r="AF443" s="618" t="str">
        <f t="shared" si="203"/>
        <v>203</v>
      </c>
      <c r="AH443" s="265">
        <f>MiscData!$X$5</f>
        <v>20140101</v>
      </c>
      <c r="AI443" s="265">
        <f>IF(AI442+1&gt;MiscData!$AC$77,1,AI442+1)</f>
        <v>2</v>
      </c>
      <c r="AJ443" s="265" t="str">
        <f>VLOOKUP(AI443,MiscData!$AC$5:$AD$77,2,FALSE)</f>
        <v>LGUM_203</v>
      </c>
      <c r="AK443" s="265" t="str">
        <f>VLOOKUP(AJ443,MiscData!$AD$5:$AE$77,2,FALSE)</f>
        <v>RLS</v>
      </c>
      <c r="AT443" s="265" t="s">
        <v>312</v>
      </c>
      <c r="AV443" s="265">
        <v>0</v>
      </c>
    </row>
    <row r="444" spans="1:48">
      <c r="A444" s="275">
        <f t="shared" si="204"/>
        <v>441</v>
      </c>
      <c r="B444" s="276" t="str">
        <f t="shared" si="206"/>
        <v>Jul 2014</v>
      </c>
      <c r="C444" s="277" t="str">
        <f t="shared" si="207"/>
        <v>RLS</v>
      </c>
      <c r="D444" s="277" t="str">
        <f t="shared" si="208"/>
        <v>LGUM_204</v>
      </c>
      <c r="E444" s="614">
        <f t="shared" si="184"/>
        <v>3775</v>
      </c>
      <c r="F444" s="615">
        <f t="shared" si="205"/>
        <v>-29</v>
      </c>
      <c r="G444" s="614">
        <f t="shared" si="185"/>
        <v>482372</v>
      </c>
      <c r="H444" s="615">
        <v>0</v>
      </c>
      <c r="I444" s="283">
        <f t="shared" si="186"/>
        <v>13.510000000000002</v>
      </c>
      <c r="J444" s="283">
        <f t="shared" si="187"/>
        <v>4.2000000000000011</v>
      </c>
      <c r="K444" s="285">
        <f t="shared" si="188"/>
        <v>50608.46</v>
      </c>
      <c r="L444" s="286">
        <f t="shared" si="189"/>
        <v>219.52000000000407</v>
      </c>
      <c r="M444" s="286">
        <v>0</v>
      </c>
      <c r="N444" s="285">
        <f t="shared" si="191"/>
        <v>50827.98</v>
      </c>
      <c r="O444" s="616">
        <f t="shared" si="209"/>
        <v>50827.98</v>
      </c>
      <c r="P444" s="289">
        <f t="shared" si="192"/>
        <v>1</v>
      </c>
      <c r="Q444" s="290">
        <f t="shared" si="193"/>
        <v>672.49</v>
      </c>
      <c r="R444" s="290">
        <f t="shared" si="194"/>
        <v>1655.82</v>
      </c>
      <c r="S444" s="290">
        <f t="shared" si="195"/>
        <v>0</v>
      </c>
      <c r="T444" s="290">
        <f t="shared" si="196"/>
        <v>53928.75</v>
      </c>
      <c r="U444" s="291">
        <f t="shared" si="197"/>
        <v>53156.29</v>
      </c>
      <c r="V444" s="291">
        <f t="shared" si="201"/>
        <v>772.46</v>
      </c>
      <c r="W444" s="265">
        <f t="shared" si="198"/>
        <v>772.46</v>
      </c>
      <c r="X444" s="291">
        <f t="shared" si="202"/>
        <v>0</v>
      </c>
      <c r="Y444" s="170">
        <f t="shared" si="199"/>
        <v>15855</v>
      </c>
      <c r="Z444" s="291">
        <f t="shared" si="200"/>
        <v>34972.980000000003</v>
      </c>
      <c r="AC444" s="276">
        <f>IF(AI444=1,IF(AC443=MiscData!$F$1,EOMONTH(AC443,-11),EOMONTH(AC443,1)),AC443)</f>
        <v>41851</v>
      </c>
      <c r="AD444" s="275" t="str">
        <f t="shared" si="210"/>
        <v>20140101LGUM_204</v>
      </c>
      <c r="AE444" s="294" t="str">
        <f t="shared" si="211"/>
        <v>20140101RLS</v>
      </c>
      <c r="AF444" s="618" t="str">
        <f t="shared" si="203"/>
        <v>204</v>
      </c>
      <c r="AH444" s="265">
        <f>MiscData!$X$5</f>
        <v>20140101</v>
      </c>
      <c r="AI444" s="265">
        <f>IF(AI443+1&gt;MiscData!$AC$77,1,AI443+1)</f>
        <v>3</v>
      </c>
      <c r="AJ444" s="265" t="str">
        <f>VLOOKUP(AI444,MiscData!$AC$5:$AD$77,2,FALSE)</f>
        <v>LGUM_204</v>
      </c>
      <c r="AK444" s="265" t="str">
        <f>VLOOKUP(AJ444,MiscData!$AD$5:$AE$77,2,FALSE)</f>
        <v>RLS</v>
      </c>
      <c r="AT444" s="265" t="s">
        <v>313</v>
      </c>
      <c r="AV444" s="265">
        <v>0</v>
      </c>
    </row>
    <row r="445" spans="1:48">
      <c r="A445" s="275">
        <f t="shared" si="204"/>
        <v>442</v>
      </c>
      <c r="B445" s="276" t="str">
        <f t="shared" si="206"/>
        <v>Jul 2014</v>
      </c>
      <c r="C445" s="277" t="str">
        <f t="shared" si="207"/>
        <v>RLS</v>
      </c>
      <c r="D445" s="277" t="str">
        <f t="shared" si="208"/>
        <v>LGUM_206</v>
      </c>
      <c r="E445" s="614">
        <f t="shared" si="184"/>
        <v>94</v>
      </c>
      <c r="F445" s="615">
        <f t="shared" si="205"/>
        <v>0</v>
      </c>
      <c r="G445" s="614">
        <f t="shared" si="185"/>
        <v>3201</v>
      </c>
      <c r="H445" s="615">
        <v>0</v>
      </c>
      <c r="I445" s="283">
        <f t="shared" si="186"/>
        <v>12.450000000000001</v>
      </c>
      <c r="J445" s="283">
        <f t="shared" si="187"/>
        <v>1.0899999999999999</v>
      </c>
      <c r="K445" s="285">
        <f t="shared" si="188"/>
        <v>1170.3</v>
      </c>
      <c r="L445" s="286">
        <f t="shared" si="189"/>
        <v>0</v>
      </c>
      <c r="M445" s="286">
        <v>0</v>
      </c>
      <c r="N445" s="285">
        <f t="shared" si="191"/>
        <v>1170.3</v>
      </c>
      <c r="O445" s="616">
        <f t="shared" si="209"/>
        <v>1170.3</v>
      </c>
      <c r="P445" s="289">
        <f t="shared" si="192"/>
        <v>1</v>
      </c>
      <c r="Q445" s="290">
        <f t="shared" si="193"/>
        <v>4.42</v>
      </c>
      <c r="R445" s="290">
        <f t="shared" si="194"/>
        <v>37.22</v>
      </c>
      <c r="S445" s="290">
        <f t="shared" si="195"/>
        <v>0</v>
      </c>
      <c r="T445" s="290">
        <f t="shared" si="196"/>
        <v>1211.94</v>
      </c>
      <c r="U445" s="291">
        <f t="shared" si="197"/>
        <v>1211.94</v>
      </c>
      <c r="V445" s="291">
        <f t="shared" si="201"/>
        <v>0</v>
      </c>
      <c r="W445" s="265">
        <f t="shared" si="198"/>
        <v>0</v>
      </c>
      <c r="X445" s="291">
        <f t="shared" si="202"/>
        <v>0</v>
      </c>
      <c r="Y445" s="170">
        <f t="shared" si="199"/>
        <v>102.46</v>
      </c>
      <c r="Z445" s="291">
        <f t="shared" si="200"/>
        <v>1067.8399999999999</v>
      </c>
      <c r="AC445" s="276">
        <f>IF(AI445=1,IF(AC444=MiscData!$F$1,EOMONTH(AC444,-11),EOMONTH(AC444,1)),AC444)</f>
        <v>41851</v>
      </c>
      <c r="AD445" s="275" t="str">
        <f t="shared" si="210"/>
        <v>20140101LGUM_206</v>
      </c>
      <c r="AE445" s="294" t="str">
        <f t="shared" si="211"/>
        <v>20140101RLS</v>
      </c>
      <c r="AF445" s="618" t="str">
        <f t="shared" si="203"/>
        <v>206</v>
      </c>
      <c r="AH445" s="265">
        <f>MiscData!$X$5</f>
        <v>20140101</v>
      </c>
      <c r="AI445" s="265">
        <f>IF(AI444+1&gt;MiscData!$AC$77,1,AI444+1)</f>
        <v>4</v>
      </c>
      <c r="AJ445" s="265" t="str">
        <f>VLOOKUP(AI445,MiscData!$AC$5:$AD$77,2,FALSE)</f>
        <v>LGUM_206</v>
      </c>
      <c r="AK445" s="265" t="str">
        <f>VLOOKUP(AJ445,MiscData!$AD$5:$AE$77,2,FALSE)</f>
        <v>RLS</v>
      </c>
      <c r="AT445" s="265" t="s">
        <v>314</v>
      </c>
      <c r="AV445" s="265">
        <v>0</v>
      </c>
    </row>
    <row r="446" spans="1:48">
      <c r="A446" s="275">
        <f t="shared" si="204"/>
        <v>443</v>
      </c>
      <c r="B446" s="276" t="str">
        <f t="shared" si="206"/>
        <v>Jul 2014</v>
      </c>
      <c r="C446" s="277" t="str">
        <f t="shared" si="207"/>
        <v>RLS</v>
      </c>
      <c r="D446" s="277" t="str">
        <f t="shared" si="208"/>
        <v>LGUM_207</v>
      </c>
      <c r="E446" s="614">
        <f t="shared" si="184"/>
        <v>762</v>
      </c>
      <c r="F446" s="615">
        <f t="shared" si="205"/>
        <v>-42</v>
      </c>
      <c r="G446" s="614">
        <f t="shared" si="185"/>
        <v>92751</v>
      </c>
      <c r="H446" s="615">
        <v>0</v>
      </c>
      <c r="I446" s="283">
        <f t="shared" si="186"/>
        <v>15.54</v>
      </c>
      <c r="J446" s="283">
        <f t="shared" si="187"/>
        <v>4.2000000000000011</v>
      </c>
      <c r="K446" s="285">
        <f t="shared" si="188"/>
        <v>11188.8</v>
      </c>
      <c r="L446" s="286">
        <f t="shared" si="189"/>
        <v>609.65999999999985</v>
      </c>
      <c r="M446" s="286">
        <v>0</v>
      </c>
      <c r="N446" s="285">
        <f t="shared" si="191"/>
        <v>11798.46</v>
      </c>
      <c r="O446" s="616">
        <f t="shared" si="209"/>
        <v>11798.46</v>
      </c>
      <c r="P446" s="289">
        <f t="shared" si="192"/>
        <v>1</v>
      </c>
      <c r="Q446" s="290">
        <f t="shared" si="193"/>
        <v>137.72</v>
      </c>
      <c r="R446" s="290">
        <f t="shared" si="194"/>
        <v>395.19</v>
      </c>
      <c r="S446" s="290">
        <f t="shared" si="195"/>
        <v>0</v>
      </c>
      <c r="T446" s="290">
        <f t="shared" si="196"/>
        <v>12883.98</v>
      </c>
      <c r="U446" s="291">
        <f t="shared" si="197"/>
        <v>12331.369999999999</v>
      </c>
      <c r="V446" s="291">
        <f t="shared" si="201"/>
        <v>552.61</v>
      </c>
      <c r="W446" s="265">
        <f t="shared" si="198"/>
        <v>552.61</v>
      </c>
      <c r="X446" s="291">
        <f t="shared" si="202"/>
        <v>0</v>
      </c>
      <c r="Y446" s="170">
        <f t="shared" si="199"/>
        <v>3200.4</v>
      </c>
      <c r="Z446" s="291">
        <f t="shared" si="200"/>
        <v>8598.06</v>
      </c>
      <c r="AC446" s="276">
        <f>IF(AI446=1,IF(AC445=MiscData!$F$1,EOMONTH(AC445,-11),EOMONTH(AC445,1)),AC445)</f>
        <v>41851</v>
      </c>
      <c r="AD446" s="275" t="str">
        <f t="shared" si="210"/>
        <v>20140101LGUM_207</v>
      </c>
      <c r="AE446" s="294" t="str">
        <f t="shared" si="211"/>
        <v>20140101RLS</v>
      </c>
      <c r="AF446" s="618" t="str">
        <f t="shared" si="203"/>
        <v>207</v>
      </c>
      <c r="AH446" s="265">
        <f>MiscData!$X$5</f>
        <v>20140101</v>
      </c>
      <c r="AI446" s="265">
        <f>IF(AI445+1&gt;MiscData!$AC$77,1,AI445+1)</f>
        <v>5</v>
      </c>
      <c r="AJ446" s="265" t="str">
        <f>VLOOKUP(AI446,MiscData!$AC$5:$AD$77,2,FALSE)</f>
        <v>LGUM_207</v>
      </c>
      <c r="AK446" s="265" t="str">
        <f>VLOOKUP(AJ446,MiscData!$AD$5:$AE$77,2,FALSE)</f>
        <v>RLS</v>
      </c>
      <c r="AT446" s="265" t="s">
        <v>592</v>
      </c>
      <c r="AV446" s="265">
        <v>0</v>
      </c>
    </row>
    <row r="447" spans="1:48">
      <c r="A447" s="275">
        <f t="shared" si="204"/>
        <v>444</v>
      </c>
      <c r="B447" s="276" t="str">
        <f t="shared" si="206"/>
        <v>Jul 2014</v>
      </c>
      <c r="C447" s="277" t="str">
        <f t="shared" si="207"/>
        <v>RLS</v>
      </c>
      <c r="D447" s="277" t="str">
        <f t="shared" si="208"/>
        <v>LGUM_208</v>
      </c>
      <c r="E447" s="614">
        <f t="shared" si="184"/>
        <v>1421</v>
      </c>
      <c r="F447" s="615">
        <f t="shared" si="205"/>
        <v>-4</v>
      </c>
      <c r="G447" s="614">
        <f t="shared" si="185"/>
        <v>80614</v>
      </c>
      <c r="H447" s="615">
        <v>0</v>
      </c>
      <c r="I447" s="283">
        <f t="shared" si="186"/>
        <v>14.24</v>
      </c>
      <c r="J447" s="283">
        <f t="shared" si="187"/>
        <v>1.9100000000000001</v>
      </c>
      <c r="K447" s="285">
        <f t="shared" si="188"/>
        <v>20178.080000000002</v>
      </c>
      <c r="L447" s="286">
        <f t="shared" si="189"/>
        <v>56.959999999999127</v>
      </c>
      <c r="M447" s="286">
        <v>0</v>
      </c>
      <c r="N447" s="285">
        <f t="shared" si="191"/>
        <v>20235.04</v>
      </c>
      <c r="O447" s="616">
        <f t="shared" si="209"/>
        <v>20235.039999999997</v>
      </c>
      <c r="P447" s="289">
        <f t="shared" si="192"/>
        <v>0.99999999999999978</v>
      </c>
      <c r="Q447" s="290">
        <f t="shared" si="193"/>
        <v>111.57</v>
      </c>
      <c r="R447" s="290">
        <f t="shared" si="194"/>
        <v>644.66999999999996</v>
      </c>
      <c r="S447" s="290">
        <f t="shared" si="195"/>
        <v>0</v>
      </c>
      <c r="T447" s="290">
        <f t="shared" si="196"/>
        <v>20991.279999999999</v>
      </c>
      <c r="U447" s="291">
        <f t="shared" si="197"/>
        <v>20991.279999999999</v>
      </c>
      <c r="V447" s="291">
        <f t="shared" si="201"/>
        <v>0</v>
      </c>
      <c r="W447" s="265">
        <f t="shared" si="198"/>
        <v>0</v>
      </c>
      <c r="X447" s="291">
        <f t="shared" si="202"/>
        <v>0</v>
      </c>
      <c r="Y447" s="170">
        <f t="shared" si="199"/>
        <v>2714.11</v>
      </c>
      <c r="Z447" s="291">
        <f t="shared" si="200"/>
        <v>17520.929999999997</v>
      </c>
      <c r="AC447" s="276">
        <f>IF(AI447=1,IF(AC446=MiscData!$F$1,EOMONTH(AC446,-11),EOMONTH(AC446,1)),AC446)</f>
        <v>41851</v>
      </c>
      <c r="AD447" s="275" t="str">
        <f t="shared" si="210"/>
        <v>20140101LGUM_208</v>
      </c>
      <c r="AE447" s="294" t="str">
        <f t="shared" si="211"/>
        <v>20140101RLS</v>
      </c>
      <c r="AF447" s="618" t="str">
        <f t="shared" si="203"/>
        <v>208</v>
      </c>
      <c r="AH447" s="265">
        <f>MiscData!$X$5</f>
        <v>20140101</v>
      </c>
      <c r="AI447" s="265">
        <f>IF(AI446+1&gt;MiscData!$AC$77,1,AI446+1)</f>
        <v>6</v>
      </c>
      <c r="AJ447" s="265" t="str">
        <f>VLOOKUP(AI447,MiscData!$AC$5:$AD$77,2,FALSE)</f>
        <v>LGUM_208</v>
      </c>
      <c r="AK447" s="265" t="str">
        <f>VLOOKUP(AJ447,MiscData!$AD$5:$AE$77,2,FALSE)</f>
        <v>RLS</v>
      </c>
      <c r="AT447" s="265" t="s">
        <v>593</v>
      </c>
      <c r="AV447" s="265">
        <v>0</v>
      </c>
    </row>
    <row r="448" spans="1:48">
      <c r="A448" s="275">
        <f t="shared" si="204"/>
        <v>445</v>
      </c>
      <c r="B448" s="276" t="str">
        <f t="shared" si="206"/>
        <v>Jul 2014</v>
      </c>
      <c r="C448" s="277" t="str">
        <f t="shared" si="207"/>
        <v>RLS</v>
      </c>
      <c r="D448" s="277" t="str">
        <f t="shared" si="208"/>
        <v>LGUM_209</v>
      </c>
      <c r="E448" s="614">
        <f t="shared" si="184"/>
        <v>44</v>
      </c>
      <c r="F448" s="615">
        <f t="shared" si="205"/>
        <v>-1</v>
      </c>
      <c r="G448" s="614">
        <f t="shared" si="185"/>
        <v>12764</v>
      </c>
      <c r="H448" s="615">
        <v>0</v>
      </c>
      <c r="I448" s="283">
        <f t="shared" si="186"/>
        <v>27.69</v>
      </c>
      <c r="J448" s="283">
        <f t="shared" si="187"/>
        <v>10.170000000000002</v>
      </c>
      <c r="K448" s="285">
        <f t="shared" si="188"/>
        <v>1190.67</v>
      </c>
      <c r="L448" s="286">
        <f t="shared" si="189"/>
        <v>27.690000000000055</v>
      </c>
      <c r="M448" s="286">
        <v>0</v>
      </c>
      <c r="N448" s="285">
        <f t="shared" si="191"/>
        <v>1218.3600000000001</v>
      </c>
      <c r="O448" s="616">
        <f t="shared" si="209"/>
        <v>1218.3599999999999</v>
      </c>
      <c r="P448" s="289">
        <f t="shared" si="192"/>
        <v>0.99999999999999978</v>
      </c>
      <c r="Q448" s="290">
        <f t="shared" si="193"/>
        <v>18.09</v>
      </c>
      <c r="R448" s="290">
        <f t="shared" si="194"/>
        <v>40.72</v>
      </c>
      <c r="S448" s="290">
        <f t="shared" si="195"/>
        <v>0</v>
      </c>
      <c r="T448" s="290">
        <f t="shared" si="196"/>
        <v>1326.61</v>
      </c>
      <c r="U448" s="291">
        <f t="shared" si="197"/>
        <v>1277.17</v>
      </c>
      <c r="V448" s="291">
        <f t="shared" si="201"/>
        <v>49.44</v>
      </c>
      <c r="W448" s="265">
        <f t="shared" si="198"/>
        <v>49.44</v>
      </c>
      <c r="X448" s="291">
        <f t="shared" si="202"/>
        <v>0</v>
      </c>
      <c r="Y448" s="170">
        <f t="shared" si="199"/>
        <v>447.48</v>
      </c>
      <c r="Z448" s="291">
        <f t="shared" si="200"/>
        <v>770.87999999999988</v>
      </c>
      <c r="AC448" s="276">
        <f>IF(AI448=1,IF(AC447=MiscData!$F$1,EOMONTH(AC447,-11),EOMONTH(AC447,1)),AC447)</f>
        <v>41851</v>
      </c>
      <c r="AD448" s="275" t="str">
        <f t="shared" si="210"/>
        <v>20140101LGUM_209</v>
      </c>
      <c r="AE448" s="294" t="str">
        <f t="shared" si="211"/>
        <v>20140101RLS</v>
      </c>
      <c r="AF448" s="618" t="str">
        <f t="shared" si="203"/>
        <v>209</v>
      </c>
      <c r="AH448" s="265">
        <f>MiscData!$X$5</f>
        <v>20140101</v>
      </c>
      <c r="AI448" s="265">
        <f>IF(AI447+1&gt;MiscData!$AC$77,1,AI447+1)</f>
        <v>7</v>
      </c>
      <c r="AJ448" s="265" t="str">
        <f>VLOOKUP(AI448,MiscData!$AC$5:$AD$77,2,FALSE)</f>
        <v>LGUM_209</v>
      </c>
      <c r="AK448" s="265" t="str">
        <f>VLOOKUP(AJ448,MiscData!$AD$5:$AE$77,2,FALSE)</f>
        <v>RLS</v>
      </c>
      <c r="AT448" s="265" t="s">
        <v>315</v>
      </c>
      <c r="AV448" s="265">
        <v>0</v>
      </c>
    </row>
    <row r="449" spans="1:48">
      <c r="A449" s="275">
        <f t="shared" si="204"/>
        <v>446</v>
      </c>
      <c r="B449" s="276" t="str">
        <f t="shared" si="206"/>
        <v>Jul 2014</v>
      </c>
      <c r="C449" s="277" t="str">
        <f t="shared" si="207"/>
        <v>RLS</v>
      </c>
      <c r="D449" s="277" t="str">
        <f t="shared" si="208"/>
        <v>LGUM_210</v>
      </c>
      <c r="E449" s="614">
        <f t="shared" si="184"/>
        <v>337</v>
      </c>
      <c r="F449" s="615">
        <f t="shared" si="205"/>
        <v>-12</v>
      </c>
      <c r="G449" s="614">
        <f t="shared" si="185"/>
        <v>96953</v>
      </c>
      <c r="H449" s="615">
        <v>0</v>
      </c>
      <c r="I449" s="283">
        <f t="shared" si="186"/>
        <v>28.89</v>
      </c>
      <c r="J449" s="283">
        <f t="shared" si="187"/>
        <v>10.170000000000002</v>
      </c>
      <c r="K449" s="285">
        <f t="shared" si="188"/>
        <v>9389.25</v>
      </c>
      <c r="L449" s="286">
        <f t="shared" si="189"/>
        <v>318.75</v>
      </c>
      <c r="M449" s="286">
        <v>0</v>
      </c>
      <c r="N449" s="285">
        <f t="shared" si="191"/>
        <v>9708</v>
      </c>
      <c r="O449" s="616">
        <f t="shared" si="209"/>
        <v>9708</v>
      </c>
      <c r="P449" s="289">
        <f t="shared" si="192"/>
        <v>1</v>
      </c>
      <c r="Q449" s="290">
        <f t="shared" si="193"/>
        <v>139.66</v>
      </c>
      <c r="R449" s="290">
        <f t="shared" si="194"/>
        <v>317.67</v>
      </c>
      <c r="S449" s="290">
        <f t="shared" si="195"/>
        <v>0</v>
      </c>
      <c r="T449" s="290">
        <f t="shared" si="196"/>
        <v>10356.91</v>
      </c>
      <c r="U449" s="291">
        <f t="shared" si="197"/>
        <v>10165.33</v>
      </c>
      <c r="V449" s="291">
        <f t="shared" si="201"/>
        <v>191.58</v>
      </c>
      <c r="W449" s="265">
        <f t="shared" si="198"/>
        <v>191.58</v>
      </c>
      <c r="X449" s="291">
        <f t="shared" si="202"/>
        <v>0</v>
      </c>
      <c r="Y449" s="170">
        <f t="shared" si="199"/>
        <v>3427.29</v>
      </c>
      <c r="Z449" s="291">
        <f t="shared" si="200"/>
        <v>6280.71</v>
      </c>
      <c r="AC449" s="276">
        <f>IF(AI449=1,IF(AC448=MiscData!$F$1,EOMONTH(AC448,-11),EOMONTH(AC448,1)),AC448)</f>
        <v>41851</v>
      </c>
      <c r="AD449" s="275" t="str">
        <f t="shared" si="210"/>
        <v>20140101LGUM_210</v>
      </c>
      <c r="AE449" s="294" t="str">
        <f t="shared" si="211"/>
        <v>20140101RLS</v>
      </c>
      <c r="AF449" s="618" t="str">
        <f t="shared" si="203"/>
        <v>210</v>
      </c>
      <c r="AH449" s="265">
        <f>MiscData!$X$5</f>
        <v>20140101</v>
      </c>
      <c r="AI449" s="265">
        <f>IF(AI448+1&gt;MiscData!$AC$77,1,AI448+1)</f>
        <v>8</v>
      </c>
      <c r="AJ449" s="265" t="str">
        <f>VLOOKUP(AI449,MiscData!$AC$5:$AD$77,2,FALSE)</f>
        <v>LGUM_210</v>
      </c>
      <c r="AK449" s="265" t="str">
        <f>VLOOKUP(AJ449,MiscData!$AD$5:$AE$77,2,FALSE)</f>
        <v>RLS</v>
      </c>
      <c r="AT449" s="265" t="s">
        <v>316</v>
      </c>
      <c r="AV449" s="265">
        <v>0</v>
      </c>
    </row>
    <row r="450" spans="1:48">
      <c r="A450" s="275">
        <f t="shared" si="204"/>
        <v>447</v>
      </c>
      <c r="B450" s="276" t="str">
        <f t="shared" si="206"/>
        <v>Jul 2014</v>
      </c>
      <c r="C450" s="277" t="str">
        <f t="shared" si="207"/>
        <v>RLS</v>
      </c>
      <c r="D450" s="277" t="str">
        <f t="shared" si="208"/>
        <v>LGUM_252</v>
      </c>
      <c r="E450" s="614">
        <f t="shared" si="184"/>
        <v>4006</v>
      </c>
      <c r="F450" s="615">
        <f t="shared" si="205"/>
        <v>-443</v>
      </c>
      <c r="G450" s="614">
        <f t="shared" si="185"/>
        <v>224337</v>
      </c>
      <c r="H450" s="615">
        <v>0</v>
      </c>
      <c r="I450" s="283">
        <f t="shared" si="186"/>
        <v>9.57</v>
      </c>
      <c r="J450" s="283">
        <f t="shared" si="187"/>
        <v>1.9099999999999993</v>
      </c>
      <c r="K450" s="285">
        <f t="shared" si="188"/>
        <v>34097.910000000003</v>
      </c>
      <c r="L450" s="286">
        <f t="shared" si="189"/>
        <v>4104.760000000002</v>
      </c>
      <c r="M450" s="286">
        <v>0</v>
      </c>
      <c r="N450" s="285">
        <f t="shared" si="191"/>
        <v>38202.670000000006</v>
      </c>
      <c r="O450" s="616">
        <f t="shared" si="209"/>
        <v>38202.67</v>
      </c>
      <c r="P450" s="289">
        <f t="shared" si="192"/>
        <v>0.99999999999999978</v>
      </c>
      <c r="Q450" s="290">
        <f t="shared" si="193"/>
        <v>351.41</v>
      </c>
      <c r="R450" s="290">
        <f t="shared" si="194"/>
        <v>1267.73</v>
      </c>
      <c r="S450" s="290">
        <f t="shared" si="195"/>
        <v>0</v>
      </c>
      <c r="T450" s="290">
        <f t="shared" si="196"/>
        <v>41366.54</v>
      </c>
      <c r="U450" s="291">
        <f t="shared" si="197"/>
        <v>39821.810000000012</v>
      </c>
      <c r="V450" s="291">
        <f t="shared" si="201"/>
        <v>1544.73</v>
      </c>
      <c r="W450" s="265">
        <f t="shared" si="198"/>
        <v>1544.73</v>
      </c>
      <c r="X450" s="291">
        <f t="shared" si="202"/>
        <v>0</v>
      </c>
      <c r="Y450" s="170">
        <f t="shared" si="199"/>
        <v>7651.46</v>
      </c>
      <c r="Z450" s="291">
        <f t="shared" si="200"/>
        <v>30551.21</v>
      </c>
      <c r="AC450" s="276">
        <f>IF(AI450=1,IF(AC449=MiscData!$F$1,EOMONTH(AC449,-11),EOMONTH(AC449,1)),AC449)</f>
        <v>41851</v>
      </c>
      <c r="AD450" s="275" t="str">
        <f t="shared" si="210"/>
        <v>20140101LGUM_252</v>
      </c>
      <c r="AE450" s="294" t="str">
        <f t="shared" si="211"/>
        <v>20140101RLS</v>
      </c>
      <c r="AF450" s="618" t="str">
        <f t="shared" si="203"/>
        <v>252</v>
      </c>
      <c r="AH450" s="265">
        <f>MiscData!$X$5</f>
        <v>20140101</v>
      </c>
      <c r="AI450" s="265">
        <f>IF(AI449+1&gt;MiscData!$AC$77,1,AI449+1)</f>
        <v>9</v>
      </c>
      <c r="AJ450" s="265" t="str">
        <f>VLOOKUP(AI450,MiscData!$AC$5:$AD$77,2,FALSE)</f>
        <v>LGUM_252</v>
      </c>
      <c r="AK450" s="265" t="str">
        <f>VLOOKUP(AJ450,MiscData!$AD$5:$AE$77,2,FALSE)</f>
        <v>RLS</v>
      </c>
      <c r="AT450" s="265" t="s">
        <v>317</v>
      </c>
      <c r="AV450" s="265">
        <v>0</v>
      </c>
    </row>
    <row r="451" spans="1:48">
      <c r="A451" s="275">
        <f t="shared" si="204"/>
        <v>448</v>
      </c>
      <c r="B451" s="276" t="str">
        <f t="shared" si="206"/>
        <v>Jul 2014</v>
      </c>
      <c r="C451" s="277" t="str">
        <f t="shared" si="207"/>
        <v>RLS</v>
      </c>
      <c r="D451" s="277" t="str">
        <f t="shared" si="208"/>
        <v>LGUM_266</v>
      </c>
      <c r="E451" s="614">
        <f t="shared" si="184"/>
        <v>2086</v>
      </c>
      <c r="F451" s="615">
        <f t="shared" si="205"/>
        <v>-115</v>
      </c>
      <c r="G451" s="614">
        <f t="shared" si="185"/>
        <v>178607</v>
      </c>
      <c r="H451" s="615">
        <v>0</v>
      </c>
      <c r="I451" s="283">
        <f t="shared" si="186"/>
        <v>27.34</v>
      </c>
      <c r="J451" s="283">
        <f t="shared" si="187"/>
        <v>2.8000000000000007</v>
      </c>
      <c r="K451" s="285">
        <f t="shared" si="188"/>
        <v>53887.14</v>
      </c>
      <c r="L451" s="286">
        <f t="shared" si="189"/>
        <v>2863.4099999999962</v>
      </c>
      <c r="M451" s="286">
        <v>0</v>
      </c>
      <c r="N451" s="285">
        <f t="shared" si="191"/>
        <v>56750.549999999996</v>
      </c>
      <c r="O451" s="616">
        <f t="shared" si="209"/>
        <v>56750.549999999996</v>
      </c>
      <c r="P451" s="289">
        <f t="shared" si="192"/>
        <v>1</v>
      </c>
      <c r="Q451" s="290">
        <f t="shared" si="193"/>
        <v>262.5</v>
      </c>
      <c r="R451" s="290">
        <f t="shared" si="194"/>
        <v>1801.72</v>
      </c>
      <c r="S451" s="290">
        <f t="shared" si="195"/>
        <v>0</v>
      </c>
      <c r="T451" s="290">
        <f t="shared" si="196"/>
        <v>58814.77</v>
      </c>
      <c r="U451" s="291">
        <f t="shared" si="197"/>
        <v>58814.77</v>
      </c>
      <c r="V451" s="291">
        <f t="shared" si="201"/>
        <v>0</v>
      </c>
      <c r="W451" s="265">
        <f t="shared" si="198"/>
        <v>0</v>
      </c>
      <c r="X451" s="291">
        <f t="shared" si="202"/>
        <v>0</v>
      </c>
      <c r="Y451" s="170">
        <f t="shared" si="199"/>
        <v>5840.8</v>
      </c>
      <c r="Z451" s="291">
        <f t="shared" si="200"/>
        <v>50909.749999999993</v>
      </c>
      <c r="AC451" s="276">
        <f>IF(AI451=1,IF(AC450=MiscData!$F$1,EOMONTH(AC450,-11),EOMONTH(AC450,1)),AC450)</f>
        <v>41851</v>
      </c>
      <c r="AD451" s="275" t="str">
        <f t="shared" si="210"/>
        <v>20140101LGUM_266</v>
      </c>
      <c r="AE451" s="294" t="str">
        <f t="shared" si="211"/>
        <v>20140101RLS</v>
      </c>
      <c r="AF451" s="618" t="str">
        <f t="shared" si="203"/>
        <v>266</v>
      </c>
      <c r="AH451" s="265">
        <f>MiscData!$X$5</f>
        <v>20140101</v>
      </c>
      <c r="AI451" s="265">
        <f>IF(AI450+1&gt;MiscData!$AC$77,1,AI450+1)</f>
        <v>10</v>
      </c>
      <c r="AJ451" s="265" t="str">
        <f>VLOOKUP(AI451,MiscData!$AC$5:$AD$77,2,FALSE)</f>
        <v>LGUM_266</v>
      </c>
      <c r="AK451" s="265" t="str">
        <f>VLOOKUP(AJ451,MiscData!$AD$5:$AE$77,2,FALSE)</f>
        <v>RLS</v>
      </c>
      <c r="AT451" s="265" t="s">
        <v>318</v>
      </c>
      <c r="AV451" s="265">
        <v>0</v>
      </c>
    </row>
    <row r="452" spans="1:48">
      <c r="A452" s="275">
        <f t="shared" si="204"/>
        <v>449</v>
      </c>
      <c r="B452" s="276" t="str">
        <f t="shared" si="206"/>
        <v>Jul 2014</v>
      </c>
      <c r="C452" s="277" t="str">
        <f t="shared" si="207"/>
        <v>RLS</v>
      </c>
      <c r="D452" s="277" t="str">
        <f t="shared" si="208"/>
        <v>LGUM_267</v>
      </c>
      <c r="E452" s="614">
        <f t="shared" ref="E452:E515" si="213">SUMIFS(L_1055_Count_Total,L_1055_Revenue_Month,$B452,L_1055_RateCategory,$D452)</f>
        <v>2330</v>
      </c>
      <c r="F452" s="615">
        <f t="shared" si="205"/>
        <v>-52</v>
      </c>
      <c r="G452" s="614">
        <f t="shared" ref="G452:G515" si="214">SUMIFS(L_SBR_KWH,L_SBR_Revenue_Month,$B452,L_SBR_Rate_Category,$D452)</f>
        <v>308205</v>
      </c>
      <c r="H452" s="615">
        <v>0</v>
      </c>
      <c r="I452" s="283">
        <f t="shared" ref="I452:I515" si="215">SUMIF(L_LightingRates_Tariff_Rate_Category,$AD452,L_LightingRates_UnitCharge)</f>
        <v>31.4</v>
      </c>
      <c r="J452" s="283">
        <f t="shared" ref="J452:J515" si="216">SUMIF(L_LightingRates_Tariff_Rate_Category,$AD452,L_LightingRates_FAC_Rate)</f>
        <v>4.4499999999999993</v>
      </c>
      <c r="K452" s="285">
        <f t="shared" ref="K452:K515" si="217">ROUND(($E452+$F452)*$I452,2)</f>
        <v>71529.2</v>
      </c>
      <c r="L452" s="286">
        <f t="shared" ref="L452:L515" si="218">SUMIFS(L_1055_Revenue_Test_Period_Adj,L_1055_RateCategory,$D452,L_1055_Revenue_Month,$B452)+SUMIFS(L_1055_Revenue_OutOfPeriod,L_1055_RateCategory,$D452,L_1055_Revenue_Month,$B452)</f>
        <v>1193.1999999999971</v>
      </c>
      <c r="M452" s="286">
        <v>0</v>
      </c>
      <c r="N452" s="285">
        <f t="shared" ref="N452:N515" si="219">SUM(K452:M452)</f>
        <v>72722.399999999994</v>
      </c>
      <c r="O452" s="616">
        <f t="shared" si="209"/>
        <v>72722.400000000009</v>
      </c>
      <c r="P452" s="289">
        <f t="shared" ref="P452:P515" si="220">IF(AND(N452=0,O452=0),1,IF(N452=0,0,O452/N452))</f>
        <v>1.0000000000000002</v>
      </c>
      <c r="Q452" s="290">
        <f t="shared" ref="Q452:Q515" si="221">SUMIFS(L_SBR_FAC,L_SBR_Revenue_Month,$B452,L_SBR_Rate_Category,$D452)</f>
        <v>437.29</v>
      </c>
      <c r="R452" s="290">
        <f t="shared" ref="R452:R515" si="222">SUMIFS(L_SBR_ECR,L_SBR_Revenue_Month,$B452,L_SBR_Rate_Category,$D452)</f>
        <v>2315.89</v>
      </c>
      <c r="S452" s="290">
        <f t="shared" ref="S452:S515" si="223">SUMIFS(L_SBR_MSR,L_SBR_Revenue_Month,$B452,L_SBR_Rate_Category,$D452)</f>
        <v>0</v>
      </c>
      <c r="T452" s="290">
        <f t="shared" ref="T452:T515" si="224">SUMIFS(L_SBR_Revenue_Total,L_SBR_Revenue_Month,$B452,L_SBR_Rate_Category,$D452)</f>
        <v>75475.58</v>
      </c>
      <c r="U452" s="291">
        <f t="shared" ref="U452:U515" si="225">SUM(N452,Q452:S452)</f>
        <v>75475.579999999987</v>
      </c>
      <c r="V452" s="291">
        <f t="shared" si="201"/>
        <v>0</v>
      </c>
      <c r="W452" s="265">
        <f t="shared" ref="W452:W515" si="226">ROUND(SUMIFS(L_1055_Revenue_Poles_Test_Period,L_1055_Revenue_Month,$B452,L_1055_RateCategory,$D452),2)</f>
        <v>0</v>
      </c>
      <c r="X452" s="291">
        <f t="shared" si="202"/>
        <v>0</v>
      </c>
      <c r="Y452" s="170">
        <f t="shared" ref="Y452:Y515" si="227">ROUND(E452*J452,2)</f>
        <v>10368.5</v>
      </c>
      <c r="Z452" s="291">
        <f t="shared" ref="Z452:Z515" si="228">O452-Y452</f>
        <v>62353.900000000009</v>
      </c>
      <c r="AC452" s="276">
        <f>IF(AI452=1,IF(AC451=MiscData!$F$1,EOMONTH(AC451,-11),EOMONTH(AC451,1)),AC451)</f>
        <v>41851</v>
      </c>
      <c r="AD452" s="275" t="str">
        <f t="shared" si="210"/>
        <v>20140101LGUM_267</v>
      </c>
      <c r="AE452" s="294" t="str">
        <f t="shared" si="211"/>
        <v>20140101RLS</v>
      </c>
      <c r="AF452" s="618" t="str">
        <f t="shared" si="203"/>
        <v>267</v>
      </c>
      <c r="AH452" s="265">
        <f>MiscData!$X$5</f>
        <v>20140101</v>
      </c>
      <c r="AI452" s="265">
        <f>IF(AI451+1&gt;MiscData!$AC$77,1,AI451+1)</f>
        <v>11</v>
      </c>
      <c r="AJ452" s="265" t="str">
        <f>VLOOKUP(AI452,MiscData!$AC$5:$AD$77,2,FALSE)</f>
        <v>LGUM_267</v>
      </c>
      <c r="AK452" s="265" t="str">
        <f>VLOOKUP(AJ452,MiscData!$AD$5:$AE$77,2,FALSE)</f>
        <v>RLS</v>
      </c>
      <c r="AT452" s="265" t="s">
        <v>319</v>
      </c>
      <c r="AV452" s="265">
        <v>0</v>
      </c>
    </row>
    <row r="453" spans="1:48">
      <c r="A453" s="275">
        <f t="shared" si="204"/>
        <v>450</v>
      </c>
      <c r="B453" s="276" t="str">
        <f t="shared" si="206"/>
        <v>Jul 2014</v>
      </c>
      <c r="C453" s="277" t="str">
        <f t="shared" si="207"/>
        <v>RLS</v>
      </c>
      <c r="D453" s="277" t="str">
        <f t="shared" si="208"/>
        <v>LGUM_274</v>
      </c>
      <c r="E453" s="614">
        <f t="shared" si="213"/>
        <v>17156</v>
      </c>
      <c r="F453" s="615">
        <f t="shared" si="205"/>
        <v>-358</v>
      </c>
      <c r="G453" s="614">
        <f t="shared" si="214"/>
        <v>665127</v>
      </c>
      <c r="H453" s="615">
        <v>0</v>
      </c>
      <c r="I453" s="283">
        <f t="shared" si="215"/>
        <v>17.189999999999998</v>
      </c>
      <c r="J453" s="283">
        <f t="shared" si="216"/>
        <v>1.2699999999999996</v>
      </c>
      <c r="K453" s="285">
        <f t="shared" si="217"/>
        <v>288757.62</v>
      </c>
      <c r="L453" s="286">
        <f t="shared" si="218"/>
        <v>5931.3699999999953</v>
      </c>
      <c r="M453" s="286">
        <v>0</v>
      </c>
      <c r="N453" s="285">
        <f t="shared" si="219"/>
        <v>294688.99</v>
      </c>
      <c r="O453" s="616">
        <f t="shared" si="209"/>
        <v>294688.99</v>
      </c>
      <c r="P453" s="289">
        <f t="shared" si="220"/>
        <v>1</v>
      </c>
      <c r="Q453" s="290">
        <f t="shared" si="221"/>
        <v>941.98</v>
      </c>
      <c r="R453" s="290">
        <f t="shared" si="222"/>
        <v>9362.84</v>
      </c>
      <c r="S453" s="290">
        <f t="shared" si="223"/>
        <v>0</v>
      </c>
      <c r="T453" s="290">
        <f t="shared" si="224"/>
        <v>305007.18</v>
      </c>
      <c r="U453" s="291">
        <f t="shared" si="225"/>
        <v>304993.81</v>
      </c>
      <c r="V453" s="291">
        <f t="shared" ref="V453:V516" si="229">ROUND(T453-U453,2)</f>
        <v>13.37</v>
      </c>
      <c r="W453" s="265">
        <f t="shared" si="226"/>
        <v>13.37</v>
      </c>
      <c r="X453" s="291">
        <f t="shared" ref="X453:X516" si="230">V453-W453</f>
        <v>0</v>
      </c>
      <c r="Y453" s="170">
        <f t="shared" si="227"/>
        <v>21788.12</v>
      </c>
      <c r="Z453" s="291">
        <f t="shared" si="228"/>
        <v>272900.87</v>
      </c>
      <c r="AC453" s="276">
        <f>IF(AI453=1,IF(AC452=MiscData!$F$1,EOMONTH(AC452,-11),EOMONTH(AC452,1)),AC452)</f>
        <v>41851</v>
      </c>
      <c r="AD453" s="275" t="str">
        <f t="shared" si="210"/>
        <v>20140101LGUM_274</v>
      </c>
      <c r="AE453" s="294" t="str">
        <f t="shared" si="211"/>
        <v>20140101RLS</v>
      </c>
      <c r="AF453" s="618" t="str">
        <f t="shared" ref="AF453:AF516" si="231">RIGHT(AJ453,3)</f>
        <v>274</v>
      </c>
      <c r="AH453" s="265">
        <f>MiscData!$X$5</f>
        <v>20140101</v>
      </c>
      <c r="AI453" s="265">
        <f>IF(AI452+1&gt;MiscData!$AC$77,1,AI452+1)</f>
        <v>12</v>
      </c>
      <c r="AJ453" s="265" t="str">
        <f>VLOOKUP(AI453,MiscData!$AC$5:$AD$77,2,FALSE)</f>
        <v>LGUM_274</v>
      </c>
      <c r="AK453" s="265" t="str">
        <f>VLOOKUP(AJ453,MiscData!$AD$5:$AE$77,2,FALSE)</f>
        <v>RLS</v>
      </c>
      <c r="AT453" s="265" t="s">
        <v>320</v>
      </c>
      <c r="AV453" s="265">
        <v>0</v>
      </c>
    </row>
    <row r="454" spans="1:48">
      <c r="A454" s="275">
        <f t="shared" si="204"/>
        <v>451</v>
      </c>
      <c r="B454" s="276" t="str">
        <f t="shared" si="206"/>
        <v>Jul 2014</v>
      </c>
      <c r="C454" s="277" t="str">
        <f t="shared" si="207"/>
        <v>RLS</v>
      </c>
      <c r="D454" s="277" t="str">
        <f t="shared" si="208"/>
        <v>LGUM_275</v>
      </c>
      <c r="E454" s="614">
        <f t="shared" si="213"/>
        <v>529</v>
      </c>
      <c r="F454" s="615">
        <f t="shared" si="205"/>
        <v>-93</v>
      </c>
      <c r="G454" s="614">
        <f t="shared" si="214"/>
        <v>28416</v>
      </c>
      <c r="H454" s="615">
        <v>0</v>
      </c>
      <c r="I454" s="283">
        <f t="shared" si="215"/>
        <v>24.89</v>
      </c>
      <c r="J454" s="283">
        <f t="shared" si="216"/>
        <v>1.7899999999999991</v>
      </c>
      <c r="K454" s="285">
        <f t="shared" si="217"/>
        <v>10852.04</v>
      </c>
      <c r="L454" s="286">
        <f t="shared" si="218"/>
        <v>2314.7700000000004</v>
      </c>
      <c r="M454" s="286">
        <v>0</v>
      </c>
      <c r="N454" s="285">
        <f t="shared" si="219"/>
        <v>13166.810000000001</v>
      </c>
      <c r="O454" s="616">
        <f t="shared" si="209"/>
        <v>13166.81</v>
      </c>
      <c r="P454" s="289">
        <f t="shared" si="220"/>
        <v>0.99999999999999989</v>
      </c>
      <c r="Q454" s="290">
        <f t="shared" si="221"/>
        <v>48.32</v>
      </c>
      <c r="R454" s="290">
        <f t="shared" si="222"/>
        <v>414.94</v>
      </c>
      <c r="S454" s="290">
        <f t="shared" si="223"/>
        <v>0</v>
      </c>
      <c r="T454" s="290">
        <f t="shared" si="224"/>
        <v>13630.07</v>
      </c>
      <c r="U454" s="291">
        <f t="shared" si="225"/>
        <v>13630.070000000002</v>
      </c>
      <c r="V454" s="291">
        <f t="shared" si="229"/>
        <v>0</v>
      </c>
      <c r="W454" s="265">
        <f t="shared" si="226"/>
        <v>0</v>
      </c>
      <c r="X454" s="291">
        <f t="shared" si="230"/>
        <v>0</v>
      </c>
      <c r="Y454" s="170">
        <f t="shared" si="227"/>
        <v>946.91</v>
      </c>
      <c r="Z454" s="291">
        <f t="shared" si="228"/>
        <v>12219.9</v>
      </c>
      <c r="AC454" s="276">
        <f>IF(AI454=1,IF(AC453=MiscData!$F$1,EOMONTH(AC453,-11),EOMONTH(AC453,1)),AC453)</f>
        <v>41851</v>
      </c>
      <c r="AD454" s="275" t="str">
        <f t="shared" si="210"/>
        <v>20140101LGUM_275</v>
      </c>
      <c r="AE454" s="294" t="str">
        <f t="shared" si="211"/>
        <v>20140101RLS</v>
      </c>
      <c r="AF454" s="618" t="str">
        <f t="shared" si="231"/>
        <v>275</v>
      </c>
      <c r="AH454" s="265">
        <f>MiscData!$X$5</f>
        <v>20140101</v>
      </c>
      <c r="AI454" s="265">
        <f>IF(AI453+1&gt;MiscData!$AC$77,1,AI453+1)</f>
        <v>13</v>
      </c>
      <c r="AJ454" s="265" t="str">
        <f>VLOOKUP(AI454,MiscData!$AC$5:$AD$77,2,FALSE)</f>
        <v>LGUM_275</v>
      </c>
      <c r="AK454" s="265" t="str">
        <f>VLOOKUP(AJ454,MiscData!$AD$5:$AE$77,2,FALSE)</f>
        <v>RLS</v>
      </c>
      <c r="AT454" s="265" t="s">
        <v>321</v>
      </c>
      <c r="AV454" s="265">
        <v>0</v>
      </c>
    </row>
    <row r="455" spans="1:48">
      <c r="A455" s="275">
        <f t="shared" ref="A455:A518" si="232">A454+1</f>
        <v>452</v>
      </c>
      <c r="B455" s="276" t="str">
        <f t="shared" si="206"/>
        <v>Jul 2014</v>
      </c>
      <c r="C455" s="277" t="str">
        <f t="shared" si="207"/>
        <v>RLS</v>
      </c>
      <c r="D455" s="277" t="str">
        <f t="shared" si="208"/>
        <v>LGUM_276</v>
      </c>
      <c r="E455" s="614">
        <f t="shared" si="213"/>
        <v>1353</v>
      </c>
      <c r="F455" s="615">
        <f t="shared" si="205"/>
        <v>-24</v>
      </c>
      <c r="G455" s="614">
        <f t="shared" si="214"/>
        <v>40060</v>
      </c>
      <c r="H455" s="615">
        <v>0</v>
      </c>
      <c r="I455" s="283">
        <f t="shared" si="215"/>
        <v>14.17</v>
      </c>
      <c r="J455" s="283">
        <f t="shared" si="216"/>
        <v>0.88000000000000078</v>
      </c>
      <c r="K455" s="285">
        <f t="shared" si="217"/>
        <v>18831.93</v>
      </c>
      <c r="L455" s="286">
        <f t="shared" si="218"/>
        <v>326.7400000000016</v>
      </c>
      <c r="M455" s="286">
        <v>0</v>
      </c>
      <c r="N455" s="285">
        <f t="shared" si="219"/>
        <v>19158.670000000002</v>
      </c>
      <c r="O455" s="616">
        <f t="shared" si="209"/>
        <v>19158.670000000002</v>
      </c>
      <c r="P455" s="289">
        <f t="shared" si="220"/>
        <v>1</v>
      </c>
      <c r="Q455" s="290">
        <f t="shared" si="221"/>
        <v>56.6</v>
      </c>
      <c r="R455" s="290">
        <f t="shared" si="222"/>
        <v>608.13</v>
      </c>
      <c r="S455" s="290">
        <f t="shared" si="223"/>
        <v>0</v>
      </c>
      <c r="T455" s="290">
        <f t="shared" si="224"/>
        <v>19823.400000000001</v>
      </c>
      <c r="U455" s="291">
        <f t="shared" si="225"/>
        <v>19823.400000000001</v>
      </c>
      <c r="V455" s="291">
        <f t="shared" si="229"/>
        <v>0</v>
      </c>
      <c r="W455" s="265">
        <f t="shared" si="226"/>
        <v>0</v>
      </c>
      <c r="X455" s="291">
        <f t="shared" si="230"/>
        <v>0</v>
      </c>
      <c r="Y455" s="170">
        <f t="shared" si="227"/>
        <v>1190.6400000000001</v>
      </c>
      <c r="Z455" s="291">
        <f t="shared" si="228"/>
        <v>17968.030000000002</v>
      </c>
      <c r="AC455" s="276">
        <f>IF(AI455=1,IF(AC454=MiscData!$F$1,EOMONTH(AC454,-11),EOMONTH(AC454,1)),AC454)</f>
        <v>41851</v>
      </c>
      <c r="AD455" s="275" t="str">
        <f t="shared" si="210"/>
        <v>20140101LGUM_276</v>
      </c>
      <c r="AE455" s="294" t="str">
        <f t="shared" si="211"/>
        <v>20140101RLS</v>
      </c>
      <c r="AF455" s="618" t="str">
        <f t="shared" si="231"/>
        <v>276</v>
      </c>
      <c r="AH455" s="265">
        <f>MiscData!$X$5</f>
        <v>20140101</v>
      </c>
      <c r="AI455" s="265">
        <f>IF(AI454+1&gt;MiscData!$AC$77,1,AI454+1)</f>
        <v>14</v>
      </c>
      <c r="AJ455" s="265" t="str">
        <f>VLOOKUP(AI455,MiscData!$AC$5:$AD$77,2,FALSE)</f>
        <v>LGUM_276</v>
      </c>
      <c r="AK455" s="265" t="str">
        <f>VLOOKUP(AJ455,MiscData!$AD$5:$AE$77,2,FALSE)</f>
        <v>RLS</v>
      </c>
      <c r="AT455" s="265" t="s">
        <v>322</v>
      </c>
      <c r="AV455" s="265">
        <v>0</v>
      </c>
    </row>
    <row r="456" spans="1:48">
      <c r="A456" s="275">
        <f t="shared" si="232"/>
        <v>453</v>
      </c>
      <c r="B456" s="276" t="str">
        <f t="shared" si="206"/>
        <v>Jul 2014</v>
      </c>
      <c r="C456" s="277" t="str">
        <f t="shared" si="207"/>
        <v>RLS</v>
      </c>
      <c r="D456" s="277" t="str">
        <f t="shared" si="208"/>
        <v>LGUM_277</v>
      </c>
      <c r="E456" s="614">
        <f t="shared" si="213"/>
        <v>2348</v>
      </c>
      <c r="F456" s="615">
        <f t="shared" si="205"/>
        <v>-17</v>
      </c>
      <c r="G456" s="614">
        <f t="shared" si="214"/>
        <v>123641</v>
      </c>
      <c r="H456" s="615">
        <v>0</v>
      </c>
      <c r="I456" s="283">
        <f t="shared" si="215"/>
        <v>22.15</v>
      </c>
      <c r="J456" s="283">
        <f t="shared" si="216"/>
        <v>1.7900000000000027</v>
      </c>
      <c r="K456" s="285">
        <f t="shared" si="217"/>
        <v>51631.65</v>
      </c>
      <c r="L456" s="286">
        <f t="shared" si="218"/>
        <v>-602.47999999999593</v>
      </c>
      <c r="M456" s="286">
        <v>0</v>
      </c>
      <c r="N456" s="285">
        <f t="shared" si="219"/>
        <v>51029.170000000006</v>
      </c>
      <c r="O456" s="616">
        <f t="shared" si="209"/>
        <v>51029.169999999991</v>
      </c>
      <c r="P456" s="289">
        <f t="shared" si="220"/>
        <v>0.99999999999999967</v>
      </c>
      <c r="Q456" s="290">
        <f t="shared" si="221"/>
        <v>172.22</v>
      </c>
      <c r="R456" s="290">
        <f t="shared" si="222"/>
        <v>1623.76</v>
      </c>
      <c r="S456" s="290">
        <f t="shared" si="223"/>
        <v>0</v>
      </c>
      <c r="T456" s="290">
        <f t="shared" si="224"/>
        <v>52884.27</v>
      </c>
      <c r="U456" s="291">
        <f t="shared" si="225"/>
        <v>52825.150000000009</v>
      </c>
      <c r="V456" s="291">
        <f t="shared" si="229"/>
        <v>59.12</v>
      </c>
      <c r="W456" s="265">
        <f t="shared" si="226"/>
        <v>59.12</v>
      </c>
      <c r="X456" s="291">
        <f t="shared" si="230"/>
        <v>0</v>
      </c>
      <c r="Y456" s="170">
        <f t="shared" si="227"/>
        <v>4202.92</v>
      </c>
      <c r="Z456" s="291">
        <f t="shared" si="228"/>
        <v>46826.249999999993</v>
      </c>
      <c r="AC456" s="276">
        <f>IF(AI456=1,IF(AC455=MiscData!$F$1,EOMONTH(AC455,-11),EOMONTH(AC455,1)),AC455)</f>
        <v>41851</v>
      </c>
      <c r="AD456" s="275" t="str">
        <f t="shared" si="210"/>
        <v>20140101LGUM_277</v>
      </c>
      <c r="AE456" s="294" t="str">
        <f t="shared" si="211"/>
        <v>20140101RLS</v>
      </c>
      <c r="AF456" s="618" t="str">
        <f t="shared" si="231"/>
        <v>277</v>
      </c>
      <c r="AH456" s="265">
        <f>MiscData!$X$5</f>
        <v>20140101</v>
      </c>
      <c r="AI456" s="265">
        <f>IF(AI455+1&gt;MiscData!$AC$77,1,AI455+1)</f>
        <v>15</v>
      </c>
      <c r="AJ456" s="265" t="str">
        <f>VLOOKUP(AI456,MiscData!$AC$5:$AD$77,2,FALSE)</f>
        <v>LGUM_277</v>
      </c>
      <c r="AK456" s="265" t="str">
        <f>VLOOKUP(AJ456,MiscData!$AD$5:$AE$77,2,FALSE)</f>
        <v>RLS</v>
      </c>
      <c r="AT456" s="265" t="s">
        <v>323</v>
      </c>
      <c r="AV456" s="265">
        <v>0</v>
      </c>
    </row>
    <row r="457" spans="1:48">
      <c r="A457" s="275">
        <f t="shared" si="232"/>
        <v>454</v>
      </c>
      <c r="B457" s="276" t="str">
        <f t="shared" si="206"/>
        <v>Jul 2014</v>
      </c>
      <c r="C457" s="277" t="str">
        <f t="shared" si="207"/>
        <v>RLS</v>
      </c>
      <c r="D457" s="277" t="str">
        <f t="shared" si="208"/>
        <v>LGUM_278</v>
      </c>
      <c r="E457" s="614">
        <f t="shared" si="213"/>
        <v>17</v>
      </c>
      <c r="F457" s="615">
        <f t="shared" si="205"/>
        <v>0</v>
      </c>
      <c r="G457" s="614">
        <f t="shared" si="214"/>
        <v>4958</v>
      </c>
      <c r="H457" s="615">
        <v>0</v>
      </c>
      <c r="I457" s="283">
        <f t="shared" si="215"/>
        <v>72.550000000000011</v>
      </c>
      <c r="J457" s="283">
        <f t="shared" si="216"/>
        <v>9.8400000000000034</v>
      </c>
      <c r="K457" s="285">
        <f t="shared" si="217"/>
        <v>1233.3499999999999</v>
      </c>
      <c r="L457" s="286">
        <f t="shared" si="218"/>
        <v>0</v>
      </c>
      <c r="M457" s="286">
        <v>0</v>
      </c>
      <c r="N457" s="285">
        <f t="shared" si="219"/>
        <v>1233.3499999999999</v>
      </c>
      <c r="O457" s="616">
        <f t="shared" si="209"/>
        <v>1233.3499999999999</v>
      </c>
      <c r="P457" s="289">
        <f t="shared" si="220"/>
        <v>1</v>
      </c>
      <c r="Q457" s="290">
        <f t="shared" si="221"/>
        <v>6.85</v>
      </c>
      <c r="R457" s="290">
        <f t="shared" si="222"/>
        <v>39.299999999999997</v>
      </c>
      <c r="S457" s="290">
        <f t="shared" si="223"/>
        <v>0</v>
      </c>
      <c r="T457" s="290">
        <f t="shared" si="224"/>
        <v>1279.5</v>
      </c>
      <c r="U457" s="291">
        <f t="shared" si="225"/>
        <v>1279.4999999999998</v>
      </c>
      <c r="V457" s="291">
        <f t="shared" si="229"/>
        <v>0</v>
      </c>
      <c r="W457" s="265">
        <f t="shared" si="226"/>
        <v>0</v>
      </c>
      <c r="X457" s="291">
        <f t="shared" si="230"/>
        <v>0</v>
      </c>
      <c r="Y457" s="170">
        <f t="shared" si="227"/>
        <v>167.28</v>
      </c>
      <c r="Z457" s="291">
        <f t="shared" si="228"/>
        <v>1066.07</v>
      </c>
      <c r="AC457" s="276">
        <f>IF(AI457=1,IF(AC456=MiscData!$F$1,EOMONTH(AC456,-11),EOMONTH(AC456,1)),AC456)</f>
        <v>41851</v>
      </c>
      <c r="AD457" s="275" t="str">
        <f t="shared" si="210"/>
        <v>20140101LGUM_278</v>
      </c>
      <c r="AE457" s="294" t="str">
        <f t="shared" si="211"/>
        <v>20140101RLS</v>
      </c>
      <c r="AF457" s="618" t="str">
        <f t="shared" si="231"/>
        <v>278</v>
      </c>
      <c r="AH457" s="265">
        <f>MiscData!$X$5</f>
        <v>20140101</v>
      </c>
      <c r="AI457" s="265">
        <f>IF(AI456+1&gt;MiscData!$AC$77,1,AI456+1)</f>
        <v>16</v>
      </c>
      <c r="AJ457" s="265" t="str">
        <f>VLOOKUP(AI457,MiscData!$AC$5:$AD$77,2,FALSE)</f>
        <v>LGUM_278</v>
      </c>
      <c r="AK457" s="265" t="str">
        <f>VLOOKUP(AJ457,MiscData!$AD$5:$AE$77,2,FALSE)</f>
        <v>RLS</v>
      </c>
      <c r="AT457" s="265" t="s">
        <v>324</v>
      </c>
      <c r="AV457" s="265">
        <v>0</v>
      </c>
    </row>
    <row r="458" spans="1:48">
      <c r="A458" s="275">
        <f t="shared" si="232"/>
        <v>455</v>
      </c>
      <c r="B458" s="276" t="str">
        <f t="shared" si="206"/>
        <v>Jul 2014</v>
      </c>
      <c r="C458" s="277" t="str">
        <f t="shared" si="207"/>
        <v>RLS</v>
      </c>
      <c r="D458" s="277" t="str">
        <f t="shared" si="208"/>
        <v>LGUM_279</v>
      </c>
      <c r="E458" s="614">
        <f t="shared" si="213"/>
        <v>11</v>
      </c>
      <c r="F458" s="615">
        <f t="shared" si="205"/>
        <v>0</v>
      </c>
      <c r="G458" s="614">
        <f t="shared" si="214"/>
        <v>3161</v>
      </c>
      <c r="H458" s="615">
        <v>0</v>
      </c>
      <c r="I458" s="283">
        <f t="shared" si="215"/>
        <v>41.43</v>
      </c>
      <c r="J458" s="283">
        <f t="shared" si="216"/>
        <v>9.8399999999999963</v>
      </c>
      <c r="K458" s="285">
        <f t="shared" si="217"/>
        <v>455.73</v>
      </c>
      <c r="L458" s="286">
        <f t="shared" si="218"/>
        <v>0</v>
      </c>
      <c r="M458" s="286">
        <v>0</v>
      </c>
      <c r="N458" s="285">
        <f t="shared" si="219"/>
        <v>455.73</v>
      </c>
      <c r="O458" s="616">
        <f t="shared" si="209"/>
        <v>455.73</v>
      </c>
      <c r="P458" s="289">
        <f t="shared" si="220"/>
        <v>1</v>
      </c>
      <c r="Q458" s="290">
        <f t="shared" si="221"/>
        <v>4.37</v>
      </c>
      <c r="R458" s="290">
        <f t="shared" si="222"/>
        <v>14.58</v>
      </c>
      <c r="S458" s="290">
        <f t="shared" si="223"/>
        <v>0</v>
      </c>
      <c r="T458" s="290">
        <f t="shared" si="224"/>
        <v>474.68</v>
      </c>
      <c r="U458" s="291">
        <f t="shared" si="225"/>
        <v>474.68</v>
      </c>
      <c r="V458" s="291">
        <f t="shared" si="229"/>
        <v>0</v>
      </c>
      <c r="W458" s="265">
        <f t="shared" si="226"/>
        <v>0</v>
      </c>
      <c r="X458" s="291">
        <f t="shared" si="230"/>
        <v>0</v>
      </c>
      <c r="Y458" s="170">
        <f t="shared" si="227"/>
        <v>108.24</v>
      </c>
      <c r="Z458" s="291">
        <f t="shared" si="228"/>
        <v>347.49</v>
      </c>
      <c r="AC458" s="276">
        <f>IF(AI458=1,IF(AC457=MiscData!$F$1,EOMONTH(AC457,-11),EOMONTH(AC457,1)),AC457)</f>
        <v>41851</v>
      </c>
      <c r="AD458" s="275" t="str">
        <f t="shared" si="210"/>
        <v>20140101LGUM_279</v>
      </c>
      <c r="AE458" s="294" t="str">
        <f t="shared" si="211"/>
        <v>20140101RLS</v>
      </c>
      <c r="AF458" s="618" t="str">
        <f t="shared" si="231"/>
        <v>279</v>
      </c>
      <c r="AH458" s="265">
        <f>MiscData!$X$5</f>
        <v>20140101</v>
      </c>
      <c r="AI458" s="265">
        <f>IF(AI457+1&gt;MiscData!$AC$77,1,AI457+1)</f>
        <v>17</v>
      </c>
      <c r="AJ458" s="265" t="str">
        <f>VLOOKUP(AI458,MiscData!$AC$5:$AD$77,2,FALSE)</f>
        <v>LGUM_279</v>
      </c>
      <c r="AK458" s="265" t="str">
        <f>VLOOKUP(AJ458,MiscData!$AD$5:$AE$77,2,FALSE)</f>
        <v>RLS</v>
      </c>
      <c r="AT458" s="265" t="s">
        <v>325</v>
      </c>
      <c r="AV458" s="265">
        <v>0</v>
      </c>
    </row>
    <row r="459" spans="1:48">
      <c r="A459" s="275">
        <f t="shared" si="232"/>
        <v>456</v>
      </c>
      <c r="B459" s="276" t="str">
        <f t="shared" si="206"/>
        <v>Jul 2014</v>
      </c>
      <c r="C459" s="277" t="str">
        <f t="shared" si="207"/>
        <v>RLS</v>
      </c>
      <c r="D459" s="277" t="str">
        <f t="shared" si="208"/>
        <v>LGUM_280</v>
      </c>
      <c r="E459" s="614">
        <f t="shared" si="213"/>
        <v>46</v>
      </c>
      <c r="F459" s="615">
        <f t="shared" si="205"/>
        <v>0</v>
      </c>
      <c r="G459" s="614">
        <f t="shared" si="214"/>
        <v>1381</v>
      </c>
      <c r="H459" s="615">
        <v>0</v>
      </c>
      <c r="I459" s="283">
        <f t="shared" si="215"/>
        <v>19.38</v>
      </c>
      <c r="J459" s="283">
        <f t="shared" si="216"/>
        <v>0.87999999999999901</v>
      </c>
      <c r="K459" s="285">
        <f t="shared" si="217"/>
        <v>891.48</v>
      </c>
      <c r="L459" s="286">
        <f t="shared" si="218"/>
        <v>0</v>
      </c>
      <c r="M459" s="286">
        <v>0</v>
      </c>
      <c r="N459" s="285">
        <f t="shared" si="219"/>
        <v>891.48</v>
      </c>
      <c r="O459" s="616">
        <f t="shared" si="209"/>
        <v>891.4799999999999</v>
      </c>
      <c r="P459" s="289">
        <f t="shared" si="220"/>
        <v>0.99999999999999989</v>
      </c>
      <c r="Q459" s="290">
        <f t="shared" si="221"/>
        <v>1.9</v>
      </c>
      <c r="R459" s="290">
        <f t="shared" si="222"/>
        <v>51.63</v>
      </c>
      <c r="S459" s="290">
        <f t="shared" si="223"/>
        <v>0</v>
      </c>
      <c r="T459" s="290">
        <f t="shared" si="224"/>
        <v>1680.07</v>
      </c>
      <c r="U459" s="291">
        <f t="shared" si="225"/>
        <v>945.01</v>
      </c>
      <c r="V459" s="291">
        <f t="shared" si="229"/>
        <v>735.06</v>
      </c>
      <c r="W459" s="265">
        <f t="shared" si="226"/>
        <v>735.06</v>
      </c>
      <c r="X459" s="291">
        <f t="shared" si="230"/>
        <v>0</v>
      </c>
      <c r="Y459" s="170">
        <f t="shared" si="227"/>
        <v>40.479999999999997</v>
      </c>
      <c r="Z459" s="291">
        <f t="shared" si="228"/>
        <v>850.99999999999989</v>
      </c>
      <c r="AC459" s="276">
        <f>IF(AI459=1,IF(AC458=MiscData!$F$1,EOMONTH(AC458,-11),EOMONTH(AC458,1)),AC458)</f>
        <v>41851</v>
      </c>
      <c r="AD459" s="275" t="str">
        <f t="shared" si="210"/>
        <v>20140101LGUM_280</v>
      </c>
      <c r="AE459" s="294" t="str">
        <f t="shared" si="211"/>
        <v>20140101RLS</v>
      </c>
      <c r="AF459" s="618" t="str">
        <f t="shared" si="231"/>
        <v>280</v>
      </c>
      <c r="AH459" s="265">
        <f>MiscData!$X$5</f>
        <v>20140101</v>
      </c>
      <c r="AI459" s="265">
        <f>IF(AI458+1&gt;MiscData!$AC$77,1,AI458+1)</f>
        <v>18</v>
      </c>
      <c r="AJ459" s="265" t="str">
        <f>VLOOKUP(AI459,MiscData!$AC$5:$AD$77,2,FALSE)</f>
        <v>LGUM_280</v>
      </c>
      <c r="AK459" s="265" t="str">
        <f>VLOOKUP(AJ459,MiscData!$AD$5:$AE$77,2,FALSE)</f>
        <v>RLS</v>
      </c>
      <c r="AT459" s="265" t="s">
        <v>326</v>
      </c>
      <c r="AV459" s="265">
        <v>0</v>
      </c>
    </row>
    <row r="460" spans="1:48">
      <c r="A460" s="275">
        <f t="shared" si="232"/>
        <v>457</v>
      </c>
      <c r="B460" s="276" t="str">
        <f t="shared" si="206"/>
        <v>Jul 2014</v>
      </c>
      <c r="C460" s="277" t="str">
        <f t="shared" si="207"/>
        <v>RLS</v>
      </c>
      <c r="D460" s="277" t="str">
        <f t="shared" si="208"/>
        <v>LGUM_281</v>
      </c>
      <c r="E460" s="614">
        <f t="shared" si="213"/>
        <v>245</v>
      </c>
      <c r="F460" s="615">
        <f t="shared" si="205"/>
        <v>0</v>
      </c>
      <c r="G460" s="614">
        <f t="shared" si="214"/>
        <v>9463</v>
      </c>
      <c r="H460" s="615">
        <v>0</v>
      </c>
      <c r="I460" s="283">
        <f t="shared" si="215"/>
        <v>20.349999999999998</v>
      </c>
      <c r="J460" s="283">
        <f t="shared" si="216"/>
        <v>1.2699999999999996</v>
      </c>
      <c r="K460" s="285">
        <f t="shared" si="217"/>
        <v>4985.75</v>
      </c>
      <c r="L460" s="286">
        <f t="shared" si="218"/>
        <v>0</v>
      </c>
      <c r="M460" s="286">
        <v>0</v>
      </c>
      <c r="N460" s="285">
        <f t="shared" si="219"/>
        <v>4985.75</v>
      </c>
      <c r="O460" s="616">
        <f t="shared" si="209"/>
        <v>4985.75</v>
      </c>
      <c r="P460" s="289">
        <f t="shared" si="220"/>
        <v>1</v>
      </c>
      <c r="Q460" s="290">
        <f t="shared" si="221"/>
        <v>13.07</v>
      </c>
      <c r="R460" s="290">
        <f t="shared" si="222"/>
        <v>278.2</v>
      </c>
      <c r="S460" s="290">
        <f t="shared" si="223"/>
        <v>0</v>
      </c>
      <c r="T460" s="290">
        <f t="shared" si="224"/>
        <v>9053.84</v>
      </c>
      <c r="U460" s="291">
        <f t="shared" si="225"/>
        <v>5277.0199999999995</v>
      </c>
      <c r="V460" s="291">
        <f t="shared" si="229"/>
        <v>3776.82</v>
      </c>
      <c r="W460" s="265">
        <f t="shared" si="226"/>
        <v>3776.82</v>
      </c>
      <c r="X460" s="291">
        <f t="shared" si="230"/>
        <v>0</v>
      </c>
      <c r="Y460" s="170">
        <f t="shared" si="227"/>
        <v>311.14999999999998</v>
      </c>
      <c r="Z460" s="291">
        <f t="shared" si="228"/>
        <v>4674.6000000000004</v>
      </c>
      <c r="AC460" s="276">
        <f>IF(AI460=1,IF(AC459=MiscData!$F$1,EOMONTH(AC459,-11),EOMONTH(AC459,1)),AC459)</f>
        <v>41851</v>
      </c>
      <c r="AD460" s="275" t="str">
        <f t="shared" si="210"/>
        <v>20140101LGUM_281</v>
      </c>
      <c r="AE460" s="294" t="str">
        <f t="shared" si="211"/>
        <v>20140101RLS</v>
      </c>
      <c r="AF460" s="618" t="str">
        <f t="shared" si="231"/>
        <v>281</v>
      </c>
      <c r="AH460" s="265">
        <f>MiscData!$X$5</f>
        <v>20140101</v>
      </c>
      <c r="AI460" s="265">
        <f>IF(AI459+1&gt;MiscData!$AC$77,1,AI459+1)</f>
        <v>19</v>
      </c>
      <c r="AJ460" s="265" t="str">
        <f>VLOOKUP(AI460,MiscData!$AC$5:$AD$77,2,FALSE)</f>
        <v>LGUM_281</v>
      </c>
      <c r="AK460" s="265" t="str">
        <f>VLOOKUP(AJ460,MiscData!$AD$5:$AE$77,2,FALSE)</f>
        <v>RLS</v>
      </c>
      <c r="AT460" s="265" t="s">
        <v>327</v>
      </c>
      <c r="AV460" s="265">
        <v>0</v>
      </c>
    </row>
    <row r="461" spans="1:48">
      <c r="A461" s="275">
        <f t="shared" si="232"/>
        <v>458</v>
      </c>
      <c r="B461" s="276" t="str">
        <f t="shared" si="206"/>
        <v>Jul 2014</v>
      </c>
      <c r="C461" s="277" t="str">
        <f t="shared" si="207"/>
        <v>RLS</v>
      </c>
      <c r="D461" s="277" t="str">
        <f t="shared" si="208"/>
        <v>LGUM_282</v>
      </c>
      <c r="E461" s="614">
        <f t="shared" si="213"/>
        <v>106</v>
      </c>
      <c r="F461" s="615">
        <f t="shared" si="205"/>
        <v>0</v>
      </c>
      <c r="G461" s="614">
        <f t="shared" si="214"/>
        <v>3127</v>
      </c>
      <c r="H461" s="615">
        <v>0</v>
      </c>
      <c r="I461" s="283">
        <f t="shared" si="215"/>
        <v>19.53</v>
      </c>
      <c r="J461" s="283">
        <f t="shared" si="216"/>
        <v>0.87999999999999901</v>
      </c>
      <c r="K461" s="285">
        <f t="shared" si="217"/>
        <v>2070.1799999999998</v>
      </c>
      <c r="L461" s="286">
        <f t="shared" si="218"/>
        <v>0</v>
      </c>
      <c r="M461" s="286">
        <v>0</v>
      </c>
      <c r="N461" s="285">
        <f t="shared" si="219"/>
        <v>2070.1799999999998</v>
      </c>
      <c r="O461" s="616">
        <f t="shared" si="209"/>
        <v>2070.1800000000003</v>
      </c>
      <c r="P461" s="289">
        <f t="shared" si="220"/>
        <v>1.0000000000000002</v>
      </c>
      <c r="Q461" s="290">
        <f t="shared" si="221"/>
        <v>4.33</v>
      </c>
      <c r="R461" s="290">
        <f t="shared" si="222"/>
        <v>97.13</v>
      </c>
      <c r="S461" s="290">
        <f t="shared" si="223"/>
        <v>0</v>
      </c>
      <c r="T461" s="290">
        <f t="shared" si="224"/>
        <v>3161.25</v>
      </c>
      <c r="U461" s="291">
        <f t="shared" si="225"/>
        <v>2171.64</v>
      </c>
      <c r="V461" s="291">
        <f t="shared" si="229"/>
        <v>989.61</v>
      </c>
      <c r="W461" s="265">
        <f t="shared" si="226"/>
        <v>989.61</v>
      </c>
      <c r="X461" s="291">
        <f t="shared" si="230"/>
        <v>0</v>
      </c>
      <c r="Y461" s="170">
        <f t="shared" si="227"/>
        <v>93.28</v>
      </c>
      <c r="Z461" s="291">
        <f t="shared" si="228"/>
        <v>1976.9000000000003</v>
      </c>
      <c r="AC461" s="276">
        <f>IF(AI461=1,IF(AC460=MiscData!$F$1,EOMONTH(AC460,-11),EOMONTH(AC460,1)),AC460)</f>
        <v>41851</v>
      </c>
      <c r="AD461" s="275" t="str">
        <f t="shared" si="210"/>
        <v>20140101LGUM_282</v>
      </c>
      <c r="AE461" s="294" t="str">
        <f t="shared" si="211"/>
        <v>20140101RLS</v>
      </c>
      <c r="AF461" s="618" t="str">
        <f t="shared" si="231"/>
        <v>282</v>
      </c>
      <c r="AH461" s="265">
        <f>MiscData!$X$5</f>
        <v>20140101</v>
      </c>
      <c r="AI461" s="265">
        <f>IF(AI460+1&gt;MiscData!$AC$77,1,AI460+1)</f>
        <v>20</v>
      </c>
      <c r="AJ461" s="265" t="str">
        <f>VLOOKUP(AI461,MiscData!$AC$5:$AD$77,2,FALSE)</f>
        <v>LGUM_282</v>
      </c>
      <c r="AK461" s="265" t="str">
        <f>VLOOKUP(AJ461,MiscData!$AD$5:$AE$77,2,FALSE)</f>
        <v>RLS</v>
      </c>
      <c r="AT461" s="265" t="s">
        <v>328</v>
      </c>
      <c r="AV461" s="265">
        <v>0</v>
      </c>
    </row>
    <row r="462" spans="1:48">
      <c r="A462" s="275">
        <f t="shared" si="232"/>
        <v>459</v>
      </c>
      <c r="B462" s="276" t="str">
        <f t="shared" si="206"/>
        <v>Jul 2014</v>
      </c>
      <c r="C462" s="277" t="str">
        <f t="shared" si="207"/>
        <v>RLS</v>
      </c>
      <c r="D462" s="277" t="str">
        <f t="shared" si="208"/>
        <v>LGUM_283</v>
      </c>
      <c r="E462" s="614">
        <f t="shared" si="213"/>
        <v>82</v>
      </c>
      <c r="F462" s="615">
        <f t="shared" si="205"/>
        <v>0</v>
      </c>
      <c r="G462" s="614">
        <f t="shared" si="214"/>
        <v>3279</v>
      </c>
      <c r="H462" s="615">
        <v>0</v>
      </c>
      <c r="I462" s="283">
        <f t="shared" si="215"/>
        <v>20.819999999999997</v>
      </c>
      <c r="J462" s="283">
        <f t="shared" si="216"/>
        <v>1.2699999999999996</v>
      </c>
      <c r="K462" s="285">
        <f t="shared" si="217"/>
        <v>1707.24</v>
      </c>
      <c r="L462" s="286">
        <f t="shared" si="218"/>
        <v>0</v>
      </c>
      <c r="M462" s="286">
        <v>0</v>
      </c>
      <c r="N462" s="285">
        <f t="shared" si="219"/>
        <v>1707.24</v>
      </c>
      <c r="O462" s="616">
        <f t="shared" si="209"/>
        <v>1707.24</v>
      </c>
      <c r="P462" s="289">
        <f t="shared" si="220"/>
        <v>1</v>
      </c>
      <c r="Q462" s="290">
        <f t="shared" si="221"/>
        <v>4.51</v>
      </c>
      <c r="R462" s="290">
        <f t="shared" si="222"/>
        <v>95.09</v>
      </c>
      <c r="S462" s="290">
        <f t="shared" si="223"/>
        <v>0</v>
      </c>
      <c r="T462" s="290">
        <f t="shared" si="224"/>
        <v>3094.61</v>
      </c>
      <c r="U462" s="291">
        <f t="shared" si="225"/>
        <v>1806.84</v>
      </c>
      <c r="V462" s="291">
        <f t="shared" si="229"/>
        <v>1287.77</v>
      </c>
      <c r="W462" s="265">
        <f t="shared" si="226"/>
        <v>1287.77</v>
      </c>
      <c r="X462" s="291">
        <f t="shared" si="230"/>
        <v>0</v>
      </c>
      <c r="Y462" s="170">
        <f t="shared" si="227"/>
        <v>104.14</v>
      </c>
      <c r="Z462" s="291">
        <f t="shared" si="228"/>
        <v>1603.1</v>
      </c>
      <c r="AC462" s="276">
        <f>IF(AI462=1,IF(AC461=MiscData!$F$1,EOMONTH(AC461,-11),EOMONTH(AC461,1)),AC461)</f>
        <v>41851</v>
      </c>
      <c r="AD462" s="275" t="str">
        <f t="shared" si="210"/>
        <v>20140101LGUM_283</v>
      </c>
      <c r="AE462" s="294" t="str">
        <f t="shared" si="211"/>
        <v>20140101RLS</v>
      </c>
      <c r="AF462" s="618" t="str">
        <f t="shared" si="231"/>
        <v>283</v>
      </c>
      <c r="AH462" s="265">
        <f>MiscData!$X$5</f>
        <v>20140101</v>
      </c>
      <c r="AI462" s="265">
        <f>IF(AI461+1&gt;MiscData!$AC$77,1,AI461+1)</f>
        <v>21</v>
      </c>
      <c r="AJ462" s="265" t="str">
        <f>VLOOKUP(AI462,MiscData!$AC$5:$AD$77,2,FALSE)</f>
        <v>LGUM_283</v>
      </c>
      <c r="AK462" s="265" t="str">
        <f>VLOOKUP(AJ462,MiscData!$AD$5:$AE$77,2,FALSE)</f>
        <v>RLS</v>
      </c>
      <c r="AT462" s="265" t="s">
        <v>377</v>
      </c>
      <c r="AV462" s="265">
        <v>0</v>
      </c>
    </row>
    <row r="463" spans="1:48">
      <c r="A463" s="275">
        <f t="shared" si="232"/>
        <v>460</v>
      </c>
      <c r="B463" s="276" t="str">
        <f t="shared" si="206"/>
        <v>Jul 2014</v>
      </c>
      <c r="C463" s="277" t="str">
        <f t="shared" si="207"/>
        <v>RLS</v>
      </c>
      <c r="D463" s="277" t="str">
        <f t="shared" si="208"/>
        <v>LGUM_314</v>
      </c>
      <c r="E463" s="614">
        <f t="shared" si="213"/>
        <v>524</v>
      </c>
      <c r="F463" s="615">
        <f t="shared" si="205"/>
        <v>-21</v>
      </c>
      <c r="G463" s="614">
        <f t="shared" si="214"/>
        <v>43190</v>
      </c>
      <c r="H463" s="615">
        <v>0</v>
      </c>
      <c r="I463" s="283">
        <f t="shared" si="215"/>
        <v>19.2</v>
      </c>
      <c r="J463" s="283">
        <f t="shared" si="216"/>
        <v>2.7100000000000009</v>
      </c>
      <c r="K463" s="285">
        <f t="shared" si="217"/>
        <v>9657.6</v>
      </c>
      <c r="L463" s="286">
        <f t="shared" si="218"/>
        <v>335.60000000000036</v>
      </c>
      <c r="M463" s="286">
        <v>0</v>
      </c>
      <c r="N463" s="285">
        <f t="shared" si="219"/>
        <v>9993.2000000000007</v>
      </c>
      <c r="O463" s="616">
        <f t="shared" si="209"/>
        <v>9993.1999999999989</v>
      </c>
      <c r="P463" s="289">
        <f t="shared" si="220"/>
        <v>0.99999999999999978</v>
      </c>
      <c r="Q463" s="290">
        <f t="shared" si="221"/>
        <v>62.42</v>
      </c>
      <c r="R463" s="290">
        <f t="shared" si="222"/>
        <v>318.02999999999997</v>
      </c>
      <c r="S463" s="290">
        <f t="shared" si="223"/>
        <v>0</v>
      </c>
      <c r="T463" s="290">
        <f t="shared" si="224"/>
        <v>10373.65</v>
      </c>
      <c r="U463" s="291">
        <f t="shared" si="225"/>
        <v>10373.650000000001</v>
      </c>
      <c r="V463" s="291">
        <f t="shared" si="229"/>
        <v>0</v>
      </c>
      <c r="W463" s="265">
        <f t="shared" si="226"/>
        <v>0</v>
      </c>
      <c r="X463" s="291">
        <f t="shared" si="230"/>
        <v>0</v>
      </c>
      <c r="Y463" s="170">
        <f t="shared" si="227"/>
        <v>1420.04</v>
      </c>
      <c r="Z463" s="291">
        <f t="shared" si="228"/>
        <v>8573.16</v>
      </c>
      <c r="AC463" s="276">
        <f>IF(AI463=1,IF(AC462=MiscData!$F$1,EOMONTH(AC462,-11),EOMONTH(AC462,1)),AC462)</f>
        <v>41851</v>
      </c>
      <c r="AD463" s="275" t="str">
        <f t="shared" si="210"/>
        <v>20140101LGUM_314</v>
      </c>
      <c r="AE463" s="294" t="str">
        <f t="shared" si="211"/>
        <v>20140101RLS</v>
      </c>
      <c r="AF463" s="618" t="str">
        <f t="shared" si="231"/>
        <v>314</v>
      </c>
      <c r="AH463" s="265">
        <f>MiscData!$X$5</f>
        <v>20140101</v>
      </c>
      <c r="AI463" s="265">
        <f>IF(AI462+1&gt;MiscData!$AC$77,1,AI462+1)</f>
        <v>22</v>
      </c>
      <c r="AJ463" s="265" t="str">
        <f>VLOOKUP(AI463,MiscData!$AC$5:$AD$77,2,FALSE)</f>
        <v>LGUM_314</v>
      </c>
      <c r="AK463" s="265" t="str">
        <f>VLOOKUP(AJ463,MiscData!$AD$5:$AE$77,2,FALSE)</f>
        <v>RLS</v>
      </c>
      <c r="AT463" s="265" t="s">
        <v>737</v>
      </c>
      <c r="AV463" s="265">
        <v>0</v>
      </c>
    </row>
    <row r="464" spans="1:48">
      <c r="A464" s="275">
        <f t="shared" si="232"/>
        <v>461</v>
      </c>
      <c r="B464" s="276" t="str">
        <f t="shared" si="206"/>
        <v>Jul 2014</v>
      </c>
      <c r="C464" s="277" t="str">
        <f t="shared" si="207"/>
        <v>RLS</v>
      </c>
      <c r="D464" s="277" t="str">
        <f t="shared" si="208"/>
        <v>LGUM_315</v>
      </c>
      <c r="E464" s="614">
        <f t="shared" si="213"/>
        <v>509</v>
      </c>
      <c r="F464" s="615">
        <f t="shared" si="205"/>
        <v>-1</v>
      </c>
      <c r="G464" s="614">
        <f t="shared" si="214"/>
        <v>65827</v>
      </c>
      <c r="H464" s="615">
        <v>0</v>
      </c>
      <c r="I464" s="283">
        <f t="shared" si="215"/>
        <v>22.949999999999996</v>
      </c>
      <c r="J464" s="283">
        <f t="shared" si="216"/>
        <v>4.1999999999999993</v>
      </c>
      <c r="K464" s="285">
        <f t="shared" si="217"/>
        <v>11658.6</v>
      </c>
      <c r="L464" s="286">
        <f t="shared" si="218"/>
        <v>12.200000000000728</v>
      </c>
      <c r="M464" s="286">
        <v>0</v>
      </c>
      <c r="N464" s="285">
        <f t="shared" si="219"/>
        <v>11670.800000000001</v>
      </c>
      <c r="O464" s="616">
        <f t="shared" si="209"/>
        <v>11670.800000000001</v>
      </c>
      <c r="P464" s="289">
        <f t="shared" si="220"/>
        <v>1</v>
      </c>
      <c r="Q464" s="290">
        <f t="shared" si="221"/>
        <v>91.08</v>
      </c>
      <c r="R464" s="290">
        <f t="shared" si="222"/>
        <v>372.82</v>
      </c>
      <c r="S464" s="290">
        <f t="shared" si="223"/>
        <v>0</v>
      </c>
      <c r="T464" s="290">
        <f t="shared" si="224"/>
        <v>12134.7</v>
      </c>
      <c r="U464" s="291">
        <f t="shared" si="225"/>
        <v>12134.7</v>
      </c>
      <c r="V464" s="291">
        <f t="shared" si="229"/>
        <v>0</v>
      </c>
      <c r="W464" s="265">
        <f t="shared" si="226"/>
        <v>0</v>
      </c>
      <c r="X464" s="291">
        <f t="shared" si="230"/>
        <v>0</v>
      </c>
      <c r="Y464" s="170">
        <f t="shared" si="227"/>
        <v>2137.8000000000002</v>
      </c>
      <c r="Z464" s="291">
        <f t="shared" si="228"/>
        <v>9533</v>
      </c>
      <c r="AC464" s="276">
        <f>IF(AI464=1,IF(AC463=MiscData!$F$1,EOMONTH(AC463,-11),EOMONTH(AC463,1)),AC463)</f>
        <v>41851</v>
      </c>
      <c r="AD464" s="275" t="str">
        <f t="shared" si="210"/>
        <v>20140101LGUM_315</v>
      </c>
      <c r="AE464" s="294" t="str">
        <f t="shared" si="211"/>
        <v>20140101RLS</v>
      </c>
      <c r="AF464" s="618" t="str">
        <f t="shared" si="231"/>
        <v>315</v>
      </c>
      <c r="AH464" s="265">
        <f>MiscData!$X$5</f>
        <v>20140101</v>
      </c>
      <c r="AI464" s="265">
        <f>IF(AI463+1&gt;MiscData!$AC$77,1,AI463+1)</f>
        <v>23</v>
      </c>
      <c r="AJ464" s="265" t="str">
        <f>VLOOKUP(AI464,MiscData!$AC$5:$AD$77,2,FALSE)</f>
        <v>LGUM_315</v>
      </c>
      <c r="AK464" s="265" t="str">
        <f>VLOOKUP(AJ464,MiscData!$AD$5:$AE$77,2,FALSE)</f>
        <v>RLS</v>
      </c>
      <c r="AT464" s="265" t="s">
        <v>329</v>
      </c>
      <c r="AV464" s="265">
        <v>0</v>
      </c>
    </row>
    <row r="465" spans="1:48">
      <c r="A465" s="275">
        <f t="shared" si="232"/>
        <v>462</v>
      </c>
      <c r="B465" s="276" t="str">
        <f t="shared" si="206"/>
        <v>Jul 2014</v>
      </c>
      <c r="C465" s="277" t="str">
        <f t="shared" si="207"/>
        <v>RLS</v>
      </c>
      <c r="D465" s="277" t="str">
        <f t="shared" si="208"/>
        <v>LGUM_318</v>
      </c>
      <c r="E465" s="614">
        <f t="shared" si="213"/>
        <v>54</v>
      </c>
      <c r="F465" s="615">
        <f t="shared" si="205"/>
        <v>0</v>
      </c>
      <c r="G465" s="614">
        <f t="shared" si="214"/>
        <v>3187</v>
      </c>
      <c r="H465" s="615">
        <v>0</v>
      </c>
      <c r="I465" s="283">
        <f t="shared" si="215"/>
        <v>17.419999999999998</v>
      </c>
      <c r="J465" s="283">
        <f t="shared" si="216"/>
        <v>1.9100000000000001</v>
      </c>
      <c r="K465" s="285">
        <f t="shared" si="217"/>
        <v>940.68</v>
      </c>
      <c r="L465" s="286">
        <f t="shared" si="218"/>
        <v>0</v>
      </c>
      <c r="M465" s="286">
        <v>0</v>
      </c>
      <c r="N465" s="285">
        <f t="shared" si="219"/>
        <v>940.68</v>
      </c>
      <c r="O465" s="616">
        <f t="shared" si="209"/>
        <v>940.68</v>
      </c>
      <c r="P465" s="289">
        <f t="shared" si="220"/>
        <v>1</v>
      </c>
      <c r="Q465" s="290">
        <f t="shared" si="221"/>
        <v>4.38</v>
      </c>
      <c r="R465" s="290">
        <f t="shared" si="222"/>
        <v>29.94</v>
      </c>
      <c r="S465" s="290">
        <f t="shared" si="223"/>
        <v>0</v>
      </c>
      <c r="T465" s="290">
        <f t="shared" si="224"/>
        <v>975</v>
      </c>
      <c r="U465" s="291">
        <f t="shared" si="225"/>
        <v>975</v>
      </c>
      <c r="V465" s="291">
        <f t="shared" si="229"/>
        <v>0</v>
      </c>
      <c r="W465" s="265">
        <f t="shared" si="226"/>
        <v>0</v>
      </c>
      <c r="X465" s="291">
        <f t="shared" si="230"/>
        <v>0</v>
      </c>
      <c r="Y465" s="170">
        <f t="shared" si="227"/>
        <v>103.14</v>
      </c>
      <c r="Z465" s="291">
        <f t="shared" si="228"/>
        <v>837.54</v>
      </c>
      <c r="AC465" s="276">
        <f>IF(AI465=1,IF(AC464=MiscData!$F$1,EOMONTH(AC464,-11),EOMONTH(AC464,1)),AC464)</f>
        <v>41851</v>
      </c>
      <c r="AD465" s="275" t="str">
        <f t="shared" si="210"/>
        <v>20140101LGUM_318</v>
      </c>
      <c r="AE465" s="294" t="str">
        <f t="shared" si="211"/>
        <v>20140101RLS</v>
      </c>
      <c r="AF465" s="618" t="str">
        <f t="shared" si="231"/>
        <v>318</v>
      </c>
      <c r="AH465" s="265">
        <f>MiscData!$X$5</f>
        <v>20140101</v>
      </c>
      <c r="AI465" s="265">
        <f>IF(AI464+1&gt;MiscData!$AC$77,1,AI464+1)</f>
        <v>24</v>
      </c>
      <c r="AJ465" s="265" t="str">
        <f>VLOOKUP(AI465,MiscData!$AC$5:$AD$77,2,FALSE)</f>
        <v>LGUM_318</v>
      </c>
      <c r="AK465" s="265" t="str">
        <f>VLOOKUP(AJ465,MiscData!$AD$5:$AE$77,2,FALSE)</f>
        <v>RLS</v>
      </c>
      <c r="AT465" s="265" t="s">
        <v>330</v>
      </c>
      <c r="AV465" s="265">
        <v>44148.97</v>
      </c>
    </row>
    <row r="466" spans="1:48">
      <c r="A466" s="275">
        <f t="shared" si="232"/>
        <v>463</v>
      </c>
      <c r="B466" s="276" t="str">
        <f t="shared" si="206"/>
        <v>Jul 2014</v>
      </c>
      <c r="C466" s="277" t="str">
        <f t="shared" si="207"/>
        <v>RLS</v>
      </c>
      <c r="D466" s="277" t="str">
        <f t="shared" si="208"/>
        <v>LGUM_347</v>
      </c>
      <c r="E466" s="614">
        <f t="shared" si="213"/>
        <v>0</v>
      </c>
      <c r="F466" s="615">
        <f t="shared" si="205"/>
        <v>0</v>
      </c>
      <c r="G466" s="614">
        <f t="shared" si="214"/>
        <v>0</v>
      </c>
      <c r="H466" s="615">
        <v>0</v>
      </c>
      <c r="I466" s="283">
        <f t="shared" si="215"/>
        <v>22.939999999999998</v>
      </c>
      <c r="J466" s="283">
        <f t="shared" si="216"/>
        <v>26.14</v>
      </c>
      <c r="K466" s="285">
        <f t="shared" si="217"/>
        <v>0</v>
      </c>
      <c r="L466" s="286">
        <f t="shared" si="218"/>
        <v>0</v>
      </c>
      <c r="M466" s="286">
        <v>0</v>
      </c>
      <c r="N466" s="285">
        <f t="shared" si="219"/>
        <v>0</v>
      </c>
      <c r="O466" s="616">
        <f t="shared" si="209"/>
        <v>0</v>
      </c>
      <c r="P466" s="289">
        <f t="shared" si="220"/>
        <v>1</v>
      </c>
      <c r="Q466" s="290">
        <f t="shared" si="221"/>
        <v>0</v>
      </c>
      <c r="R466" s="290">
        <f t="shared" si="222"/>
        <v>0</v>
      </c>
      <c r="S466" s="290">
        <f t="shared" si="223"/>
        <v>0</v>
      </c>
      <c r="T466" s="290">
        <f t="shared" si="224"/>
        <v>0</v>
      </c>
      <c r="U466" s="291">
        <f t="shared" si="225"/>
        <v>0</v>
      </c>
      <c r="V466" s="291">
        <f t="shared" si="229"/>
        <v>0</v>
      </c>
      <c r="W466" s="265">
        <f t="shared" si="226"/>
        <v>0</v>
      </c>
      <c r="X466" s="291">
        <f t="shared" si="230"/>
        <v>0</v>
      </c>
      <c r="Y466" s="170">
        <f t="shared" si="227"/>
        <v>0</v>
      </c>
      <c r="Z466" s="291">
        <f t="shared" si="228"/>
        <v>0</v>
      </c>
      <c r="AC466" s="276">
        <f>IF(AI466=1,IF(AC465=MiscData!$F$1,EOMONTH(AC465,-11),EOMONTH(AC465,1)),AC465)</f>
        <v>41851</v>
      </c>
      <c r="AD466" s="275" t="str">
        <f t="shared" si="210"/>
        <v>20140101LGUM_347</v>
      </c>
      <c r="AE466" s="294" t="str">
        <f t="shared" si="211"/>
        <v>20140101RLS</v>
      </c>
      <c r="AF466" s="618" t="str">
        <f t="shared" si="231"/>
        <v>347</v>
      </c>
      <c r="AH466" s="265">
        <f>MiscData!$X$5</f>
        <v>20140101</v>
      </c>
      <c r="AI466" s="265">
        <f>IF(AI465+1&gt;MiscData!$AC$77,1,AI465+1)</f>
        <v>25</v>
      </c>
      <c r="AJ466" s="265" t="str">
        <f>VLOOKUP(AI466,MiscData!$AC$5:$AD$77,2,FALSE)</f>
        <v>LGUM_347</v>
      </c>
      <c r="AK466" s="265" t="str">
        <f>VLOOKUP(AJ466,MiscData!$AD$5:$AE$77,2,FALSE)</f>
        <v>RLS</v>
      </c>
      <c r="AT466" s="265" t="s">
        <v>331</v>
      </c>
      <c r="AV466" s="265">
        <v>-58.7</v>
      </c>
    </row>
    <row r="467" spans="1:48">
      <c r="A467" s="275">
        <f t="shared" si="232"/>
        <v>464</v>
      </c>
      <c r="B467" s="276" t="str">
        <f t="shared" si="206"/>
        <v>Jul 2014</v>
      </c>
      <c r="C467" s="277" t="str">
        <f t="shared" si="207"/>
        <v>RLS</v>
      </c>
      <c r="D467" s="277" t="str">
        <f t="shared" si="208"/>
        <v>LGUM_348</v>
      </c>
      <c r="E467" s="614">
        <f t="shared" si="213"/>
        <v>40</v>
      </c>
      <c r="F467" s="615">
        <f t="shared" si="205"/>
        <v>0</v>
      </c>
      <c r="G467" s="614">
        <f t="shared" si="214"/>
        <v>3374</v>
      </c>
      <c r="H467" s="615">
        <v>0</v>
      </c>
      <c r="I467" s="283">
        <f t="shared" si="215"/>
        <v>13.12</v>
      </c>
      <c r="J467" s="283">
        <f t="shared" si="216"/>
        <v>2.9800000000000004</v>
      </c>
      <c r="K467" s="285">
        <f t="shared" si="217"/>
        <v>524.79999999999995</v>
      </c>
      <c r="L467" s="286">
        <f t="shared" si="218"/>
        <v>0</v>
      </c>
      <c r="M467" s="286">
        <v>0</v>
      </c>
      <c r="N467" s="285">
        <f t="shared" si="219"/>
        <v>524.79999999999995</v>
      </c>
      <c r="O467" s="616">
        <f t="shared" si="209"/>
        <v>524.79999999999995</v>
      </c>
      <c r="P467" s="289">
        <f t="shared" si="220"/>
        <v>1</v>
      </c>
      <c r="Q467" s="290">
        <f t="shared" si="221"/>
        <v>4.66</v>
      </c>
      <c r="R467" s="290">
        <f t="shared" si="222"/>
        <v>16.79</v>
      </c>
      <c r="S467" s="290">
        <f t="shared" si="223"/>
        <v>0</v>
      </c>
      <c r="T467" s="290">
        <f t="shared" si="224"/>
        <v>546.25</v>
      </c>
      <c r="U467" s="291">
        <f t="shared" si="225"/>
        <v>546.24999999999989</v>
      </c>
      <c r="V467" s="291">
        <f t="shared" si="229"/>
        <v>0</v>
      </c>
      <c r="W467" s="265">
        <f t="shared" si="226"/>
        <v>0</v>
      </c>
      <c r="X467" s="291">
        <f t="shared" si="230"/>
        <v>0</v>
      </c>
      <c r="Y467" s="170">
        <f t="shared" si="227"/>
        <v>119.2</v>
      </c>
      <c r="Z467" s="291">
        <f t="shared" si="228"/>
        <v>405.59999999999997</v>
      </c>
      <c r="AC467" s="276">
        <f>IF(AI467=1,IF(AC466=MiscData!$F$1,EOMONTH(AC466,-11),EOMONTH(AC466,1)),AC466)</f>
        <v>41851</v>
      </c>
      <c r="AD467" s="275" t="str">
        <f t="shared" si="210"/>
        <v>20140101LGUM_348</v>
      </c>
      <c r="AE467" s="294" t="str">
        <f t="shared" si="211"/>
        <v>20140101RLS</v>
      </c>
      <c r="AF467" s="618" t="str">
        <f t="shared" si="231"/>
        <v>348</v>
      </c>
      <c r="AH467" s="265">
        <f>MiscData!$X$5</f>
        <v>20140101</v>
      </c>
      <c r="AI467" s="265">
        <f>IF(AI466+1&gt;MiscData!$AC$77,1,AI466+1)</f>
        <v>26</v>
      </c>
      <c r="AJ467" s="265" t="str">
        <f>VLOOKUP(AI467,MiscData!$AC$5:$AD$77,2,FALSE)</f>
        <v>LGUM_348</v>
      </c>
      <c r="AK467" s="265" t="str">
        <f>VLOOKUP(AJ467,MiscData!$AD$5:$AE$77,2,FALSE)</f>
        <v>RLS</v>
      </c>
      <c r="AT467" s="265" t="s">
        <v>332</v>
      </c>
      <c r="AV467" s="265">
        <v>0</v>
      </c>
    </row>
    <row r="468" spans="1:48">
      <c r="A468" s="275">
        <f t="shared" si="232"/>
        <v>465</v>
      </c>
      <c r="B468" s="276" t="str">
        <f t="shared" si="206"/>
        <v>Jul 2014</v>
      </c>
      <c r="C468" s="277" t="str">
        <f t="shared" si="207"/>
        <v>RLS</v>
      </c>
      <c r="D468" s="277" t="str">
        <f t="shared" si="208"/>
        <v>LGUM_349</v>
      </c>
      <c r="E468" s="614">
        <f t="shared" si="213"/>
        <v>17</v>
      </c>
      <c r="F468" s="615">
        <f t="shared" si="205"/>
        <v>0</v>
      </c>
      <c r="G468" s="614">
        <f t="shared" si="214"/>
        <v>478</v>
      </c>
      <c r="H468" s="615">
        <v>0</v>
      </c>
      <c r="I468" s="283">
        <f t="shared" si="215"/>
        <v>9.0200000000000014</v>
      </c>
      <c r="J468" s="283">
        <f t="shared" si="216"/>
        <v>0.91000000000000014</v>
      </c>
      <c r="K468" s="285">
        <f t="shared" si="217"/>
        <v>153.34</v>
      </c>
      <c r="L468" s="286">
        <f t="shared" si="218"/>
        <v>0</v>
      </c>
      <c r="M468" s="286">
        <v>0</v>
      </c>
      <c r="N468" s="285">
        <f t="shared" si="219"/>
        <v>153.34</v>
      </c>
      <c r="O468" s="616">
        <f t="shared" si="209"/>
        <v>153.34</v>
      </c>
      <c r="P468" s="289">
        <f t="shared" si="220"/>
        <v>1</v>
      </c>
      <c r="Q468" s="290">
        <f t="shared" si="221"/>
        <v>0.66</v>
      </c>
      <c r="R468" s="290">
        <f t="shared" si="222"/>
        <v>4.88</v>
      </c>
      <c r="S468" s="290">
        <f t="shared" si="223"/>
        <v>0</v>
      </c>
      <c r="T468" s="290">
        <f t="shared" si="224"/>
        <v>158.88</v>
      </c>
      <c r="U468" s="291">
        <f t="shared" si="225"/>
        <v>158.88</v>
      </c>
      <c r="V468" s="291">
        <f t="shared" si="229"/>
        <v>0</v>
      </c>
      <c r="W468" s="265">
        <f t="shared" si="226"/>
        <v>0</v>
      </c>
      <c r="X468" s="291">
        <f t="shared" si="230"/>
        <v>0</v>
      </c>
      <c r="Y468" s="170">
        <f t="shared" si="227"/>
        <v>15.47</v>
      </c>
      <c r="Z468" s="291">
        <f t="shared" si="228"/>
        <v>137.87</v>
      </c>
      <c r="AC468" s="276">
        <f>IF(AI468=1,IF(AC467=MiscData!$F$1,EOMONTH(AC467,-11),EOMONTH(AC467,1)),AC467)</f>
        <v>41851</v>
      </c>
      <c r="AD468" s="275" t="str">
        <f t="shared" si="210"/>
        <v>20140101LGUM_349</v>
      </c>
      <c r="AE468" s="294" t="str">
        <f t="shared" si="211"/>
        <v>20140101RLS</v>
      </c>
      <c r="AF468" s="618" t="str">
        <f t="shared" si="231"/>
        <v>349</v>
      </c>
      <c r="AH468" s="265">
        <f>MiscData!$X$5</f>
        <v>20140101</v>
      </c>
      <c r="AI468" s="265">
        <f>IF(AI467+1&gt;MiscData!$AC$77,1,AI467+1)</f>
        <v>27</v>
      </c>
      <c r="AJ468" s="265" t="str">
        <f>VLOOKUP(AI468,MiscData!$AC$5:$AD$77,2,FALSE)</f>
        <v>LGUM_349</v>
      </c>
      <c r="AK468" s="265" t="str">
        <f>VLOOKUP(AJ468,MiscData!$AD$5:$AE$77,2,FALSE)</f>
        <v>RLS</v>
      </c>
      <c r="AT468" s="265" t="s">
        <v>333</v>
      </c>
      <c r="AV468" s="265">
        <v>68512.929999999993</v>
      </c>
    </row>
    <row r="469" spans="1:48">
      <c r="A469" s="275">
        <f t="shared" si="232"/>
        <v>466</v>
      </c>
      <c r="B469" s="276" t="str">
        <f t="shared" si="206"/>
        <v>Jul 2014</v>
      </c>
      <c r="C469" s="277" t="str">
        <f t="shared" si="207"/>
        <v xml:space="preserve">LS </v>
      </c>
      <c r="D469" s="277" t="str">
        <f t="shared" si="208"/>
        <v>LGUM_400</v>
      </c>
      <c r="E469" s="614">
        <f t="shared" si="213"/>
        <v>36</v>
      </c>
      <c r="F469" s="615">
        <f t="shared" si="205"/>
        <v>0</v>
      </c>
      <c r="G469" s="614">
        <f t="shared" si="214"/>
        <v>500</v>
      </c>
      <c r="H469" s="615">
        <v>0</v>
      </c>
      <c r="I469" s="283">
        <f t="shared" si="215"/>
        <v>23.89</v>
      </c>
      <c r="J469" s="283">
        <f t="shared" si="216"/>
        <v>1.0199999999999996</v>
      </c>
      <c r="K469" s="285">
        <f t="shared" si="217"/>
        <v>860.04</v>
      </c>
      <c r="L469" s="286">
        <f t="shared" si="218"/>
        <v>0</v>
      </c>
      <c r="M469" s="286">
        <v>0</v>
      </c>
      <c r="N469" s="285">
        <f t="shared" si="219"/>
        <v>860.04</v>
      </c>
      <c r="O469" s="616">
        <f t="shared" si="209"/>
        <v>860.04000000000008</v>
      </c>
      <c r="P469" s="289">
        <f t="shared" si="220"/>
        <v>1.0000000000000002</v>
      </c>
      <c r="Q469" s="290">
        <f t="shared" si="221"/>
        <v>0.68</v>
      </c>
      <c r="R469" s="290">
        <f t="shared" si="222"/>
        <v>28.98</v>
      </c>
      <c r="S469" s="290">
        <f t="shared" si="223"/>
        <v>0</v>
      </c>
      <c r="T469" s="290">
        <f t="shared" si="224"/>
        <v>943.1</v>
      </c>
      <c r="U469" s="291">
        <f t="shared" si="225"/>
        <v>889.69999999999993</v>
      </c>
      <c r="V469" s="291">
        <f t="shared" si="229"/>
        <v>53.4</v>
      </c>
      <c r="W469" s="265">
        <f t="shared" si="226"/>
        <v>53.4</v>
      </c>
      <c r="X469" s="291">
        <f t="shared" si="230"/>
        <v>0</v>
      </c>
      <c r="Y469" s="170">
        <f t="shared" si="227"/>
        <v>36.72</v>
      </c>
      <c r="Z469" s="291">
        <f t="shared" si="228"/>
        <v>823.32</v>
      </c>
      <c r="AC469" s="276">
        <f>IF(AI469=1,IF(AC468=MiscData!$F$1,EOMONTH(AC468,-11),EOMONTH(AC468,1)),AC468)</f>
        <v>41851</v>
      </c>
      <c r="AD469" s="275" t="str">
        <f t="shared" si="210"/>
        <v>20140101LGUM_400</v>
      </c>
      <c r="AE469" s="294" t="str">
        <f t="shared" si="211"/>
        <v xml:space="preserve">20140101LS </v>
      </c>
      <c r="AF469" s="618" t="str">
        <f t="shared" si="231"/>
        <v>400</v>
      </c>
      <c r="AH469" s="265">
        <f>MiscData!$X$5</f>
        <v>20140101</v>
      </c>
      <c r="AI469" s="265">
        <f>IF(AI468+1&gt;MiscData!$AC$77,1,AI468+1)</f>
        <v>28</v>
      </c>
      <c r="AJ469" s="265" t="str">
        <f>VLOOKUP(AI469,MiscData!$AC$5:$AD$77,2,FALSE)</f>
        <v>LGUM_400</v>
      </c>
      <c r="AK469" s="265" t="str">
        <f>VLOOKUP(AJ469,MiscData!$AD$5:$AE$77,2,FALSE)</f>
        <v xml:space="preserve">LS </v>
      </c>
      <c r="AT469" s="265" t="s">
        <v>334</v>
      </c>
      <c r="AV469" s="265">
        <v>0</v>
      </c>
    </row>
    <row r="470" spans="1:48">
      <c r="A470" s="275">
        <f t="shared" si="232"/>
        <v>467</v>
      </c>
      <c r="B470" s="276" t="str">
        <f t="shared" si="206"/>
        <v>Jul 2014</v>
      </c>
      <c r="C470" s="277" t="str">
        <f t="shared" si="207"/>
        <v xml:space="preserve">LS </v>
      </c>
      <c r="D470" s="277" t="str">
        <f t="shared" si="208"/>
        <v>LGUM_401</v>
      </c>
      <c r="E470" s="614">
        <f t="shared" si="213"/>
        <v>4</v>
      </c>
      <c r="F470" s="615">
        <f t="shared" si="205"/>
        <v>0</v>
      </c>
      <c r="G470" s="614">
        <f t="shared" si="214"/>
        <v>111</v>
      </c>
      <c r="H470" s="615">
        <v>0</v>
      </c>
      <c r="I470" s="283">
        <f t="shared" si="215"/>
        <v>24.9</v>
      </c>
      <c r="J470" s="283">
        <f t="shared" si="216"/>
        <v>1.0599999999999987</v>
      </c>
      <c r="K470" s="285">
        <f t="shared" si="217"/>
        <v>99.6</v>
      </c>
      <c r="L470" s="286">
        <f t="shared" si="218"/>
        <v>0</v>
      </c>
      <c r="M470" s="286">
        <v>0</v>
      </c>
      <c r="N470" s="285">
        <f t="shared" si="219"/>
        <v>99.6</v>
      </c>
      <c r="O470" s="616">
        <f t="shared" si="209"/>
        <v>99.6</v>
      </c>
      <c r="P470" s="289">
        <f t="shared" si="220"/>
        <v>1</v>
      </c>
      <c r="Q470" s="290">
        <f t="shared" si="221"/>
        <v>0.15</v>
      </c>
      <c r="R470" s="290">
        <f t="shared" si="222"/>
        <v>3.16</v>
      </c>
      <c r="S470" s="290">
        <f t="shared" si="223"/>
        <v>0</v>
      </c>
      <c r="T470" s="290">
        <f t="shared" si="224"/>
        <v>102.91</v>
      </c>
      <c r="U470" s="291">
        <f t="shared" si="225"/>
        <v>102.91</v>
      </c>
      <c r="V470" s="291">
        <f t="shared" si="229"/>
        <v>0</v>
      </c>
      <c r="W470" s="265">
        <f t="shared" si="226"/>
        <v>0</v>
      </c>
      <c r="X470" s="291">
        <f t="shared" si="230"/>
        <v>0</v>
      </c>
      <c r="Y470" s="170">
        <f t="shared" si="227"/>
        <v>4.24</v>
      </c>
      <c r="Z470" s="291">
        <f t="shared" si="228"/>
        <v>95.36</v>
      </c>
      <c r="AC470" s="276">
        <f>IF(AI470=1,IF(AC469=MiscData!$F$1,EOMONTH(AC469,-11),EOMONTH(AC469,1)),AC469)</f>
        <v>41851</v>
      </c>
      <c r="AD470" s="275" t="str">
        <f t="shared" si="210"/>
        <v>20140101LGUM_401</v>
      </c>
      <c r="AE470" s="294" t="str">
        <f t="shared" si="211"/>
        <v xml:space="preserve">20140101LS </v>
      </c>
      <c r="AF470" s="618" t="str">
        <f t="shared" si="231"/>
        <v>401</v>
      </c>
      <c r="AH470" s="265">
        <f>MiscData!$X$5</f>
        <v>20140101</v>
      </c>
      <c r="AI470" s="265">
        <f>IF(AI469+1&gt;MiscData!$AC$77,1,AI469+1)</f>
        <v>29</v>
      </c>
      <c r="AJ470" s="265" t="str">
        <f>VLOOKUP(AI470,MiscData!$AC$5:$AD$77,2,FALSE)</f>
        <v>LGUM_401</v>
      </c>
      <c r="AK470" s="265" t="str">
        <f>VLOOKUP(AJ470,MiscData!$AD$5:$AE$77,2,FALSE)</f>
        <v xml:space="preserve">LS </v>
      </c>
      <c r="AT470" s="265" t="s">
        <v>335</v>
      </c>
      <c r="AV470" s="265">
        <v>0</v>
      </c>
    </row>
    <row r="471" spans="1:48">
      <c r="A471" s="275">
        <f t="shared" si="232"/>
        <v>468</v>
      </c>
      <c r="B471" s="276" t="str">
        <f t="shared" si="206"/>
        <v>Jul 2014</v>
      </c>
      <c r="C471" s="277" t="str">
        <f t="shared" si="207"/>
        <v xml:space="preserve">LS </v>
      </c>
      <c r="D471" s="277" t="str">
        <f t="shared" si="208"/>
        <v>LGUM_412</v>
      </c>
      <c r="E471" s="614">
        <f t="shared" si="213"/>
        <v>224</v>
      </c>
      <c r="F471" s="615">
        <f t="shared" si="205"/>
        <v>-1</v>
      </c>
      <c r="G471" s="614">
        <f t="shared" si="214"/>
        <v>5011</v>
      </c>
      <c r="H471" s="615">
        <v>0</v>
      </c>
      <c r="I471" s="283">
        <f t="shared" si="215"/>
        <v>19.79</v>
      </c>
      <c r="J471" s="283">
        <f t="shared" si="216"/>
        <v>0.74999999999999645</v>
      </c>
      <c r="K471" s="285">
        <f t="shared" si="217"/>
        <v>4413.17</v>
      </c>
      <c r="L471" s="286">
        <f t="shared" si="218"/>
        <v>19.789999999999964</v>
      </c>
      <c r="M471" s="286">
        <v>0</v>
      </c>
      <c r="N471" s="285">
        <f t="shared" si="219"/>
        <v>4432.96</v>
      </c>
      <c r="O471" s="616">
        <f t="shared" si="209"/>
        <v>4432.96</v>
      </c>
      <c r="P471" s="289">
        <f t="shared" si="220"/>
        <v>1</v>
      </c>
      <c r="Q471" s="290">
        <f t="shared" si="221"/>
        <v>6.93</v>
      </c>
      <c r="R471" s="290">
        <f t="shared" si="222"/>
        <v>140.78</v>
      </c>
      <c r="S471" s="290">
        <f t="shared" si="223"/>
        <v>0</v>
      </c>
      <c r="T471" s="290">
        <f t="shared" si="224"/>
        <v>4580.67</v>
      </c>
      <c r="U471" s="291">
        <f t="shared" si="225"/>
        <v>4580.67</v>
      </c>
      <c r="V471" s="291">
        <f t="shared" si="229"/>
        <v>0</v>
      </c>
      <c r="W471" s="265">
        <f t="shared" si="226"/>
        <v>0</v>
      </c>
      <c r="X471" s="291">
        <f t="shared" si="230"/>
        <v>0</v>
      </c>
      <c r="Y471" s="170">
        <f t="shared" si="227"/>
        <v>168</v>
      </c>
      <c r="Z471" s="291">
        <f t="shared" si="228"/>
        <v>4264.96</v>
      </c>
      <c r="AC471" s="276">
        <f>IF(AI471=1,IF(AC470=MiscData!$F$1,EOMONTH(AC470,-11),EOMONTH(AC470,1)),AC470)</f>
        <v>41851</v>
      </c>
      <c r="AD471" s="275" t="str">
        <f t="shared" si="210"/>
        <v>20140101LGUM_412</v>
      </c>
      <c r="AE471" s="294" t="str">
        <f t="shared" si="211"/>
        <v xml:space="preserve">20140101LS </v>
      </c>
      <c r="AF471" s="618" t="str">
        <f t="shared" si="231"/>
        <v>412</v>
      </c>
      <c r="AH471" s="265">
        <f>MiscData!$X$5</f>
        <v>20140101</v>
      </c>
      <c r="AI471" s="265">
        <f>IF(AI470+1&gt;MiscData!$AC$77,1,AI470+1)</f>
        <v>30</v>
      </c>
      <c r="AJ471" s="265" t="str">
        <f>VLOOKUP(AI471,MiscData!$AC$5:$AD$77,2,FALSE)</f>
        <v>LGUM_412</v>
      </c>
      <c r="AK471" s="265" t="str">
        <f>VLOOKUP(AJ471,MiscData!$AD$5:$AE$77,2,FALSE)</f>
        <v xml:space="preserve">LS </v>
      </c>
      <c r="AT471" s="265" t="s">
        <v>336</v>
      </c>
      <c r="AV471" s="265">
        <v>0</v>
      </c>
    </row>
    <row r="472" spans="1:48">
      <c r="A472" s="275">
        <f t="shared" si="232"/>
        <v>469</v>
      </c>
      <c r="B472" s="276" t="str">
        <f t="shared" si="206"/>
        <v>Jul 2014</v>
      </c>
      <c r="C472" s="277" t="str">
        <f t="shared" si="207"/>
        <v xml:space="preserve">LS </v>
      </c>
      <c r="D472" s="277" t="str">
        <f t="shared" si="208"/>
        <v>LGUM_413</v>
      </c>
      <c r="E472" s="614">
        <f t="shared" si="213"/>
        <v>2139</v>
      </c>
      <c r="F472" s="615">
        <f t="shared" si="205"/>
        <v>-13</v>
      </c>
      <c r="G472" s="614">
        <f t="shared" si="214"/>
        <v>67108</v>
      </c>
      <c r="H472" s="615">
        <v>0</v>
      </c>
      <c r="I472" s="283">
        <f t="shared" si="215"/>
        <v>20.49</v>
      </c>
      <c r="J472" s="283">
        <f t="shared" si="216"/>
        <v>1.0599999999999987</v>
      </c>
      <c r="K472" s="285">
        <f t="shared" si="217"/>
        <v>43561.74</v>
      </c>
      <c r="L472" s="286">
        <f t="shared" si="218"/>
        <v>135.92000000000553</v>
      </c>
      <c r="M472" s="286">
        <v>0</v>
      </c>
      <c r="N472" s="285">
        <f t="shared" si="219"/>
        <v>43697.66</v>
      </c>
      <c r="O472" s="616">
        <f t="shared" si="209"/>
        <v>43697.66</v>
      </c>
      <c r="P472" s="289">
        <f t="shared" si="220"/>
        <v>1</v>
      </c>
      <c r="Q472" s="290">
        <f t="shared" si="221"/>
        <v>93.32</v>
      </c>
      <c r="R472" s="290">
        <f t="shared" si="222"/>
        <v>1387.67</v>
      </c>
      <c r="S472" s="290">
        <f t="shared" si="223"/>
        <v>0</v>
      </c>
      <c r="T472" s="290">
        <f t="shared" si="224"/>
        <v>45189.96</v>
      </c>
      <c r="U472" s="291">
        <f t="shared" si="225"/>
        <v>45178.65</v>
      </c>
      <c r="V472" s="291">
        <f t="shared" si="229"/>
        <v>11.31</v>
      </c>
      <c r="W472" s="265">
        <f t="shared" si="226"/>
        <v>11.31</v>
      </c>
      <c r="X472" s="291">
        <f t="shared" si="230"/>
        <v>0</v>
      </c>
      <c r="Y472" s="170">
        <f t="shared" si="227"/>
        <v>2267.34</v>
      </c>
      <c r="Z472" s="291">
        <f t="shared" si="228"/>
        <v>41430.320000000007</v>
      </c>
      <c r="AC472" s="276">
        <f>IF(AI472=1,IF(AC471=MiscData!$F$1,EOMONTH(AC471,-11),EOMONTH(AC471,1)),AC471)</f>
        <v>41851</v>
      </c>
      <c r="AD472" s="275" t="str">
        <f t="shared" si="210"/>
        <v>20140101LGUM_413</v>
      </c>
      <c r="AE472" s="294" t="str">
        <f t="shared" si="211"/>
        <v xml:space="preserve">20140101LS </v>
      </c>
      <c r="AF472" s="618" t="str">
        <f t="shared" si="231"/>
        <v>413</v>
      </c>
      <c r="AH472" s="265">
        <f>MiscData!$X$5</f>
        <v>20140101</v>
      </c>
      <c r="AI472" s="265">
        <f>IF(AI471+1&gt;MiscData!$AC$77,1,AI471+1)</f>
        <v>31</v>
      </c>
      <c r="AJ472" s="265" t="str">
        <f>VLOOKUP(AI472,MiscData!$AC$5:$AD$77,2,FALSE)</f>
        <v>LGUM_413</v>
      </c>
      <c r="AK472" s="265" t="str">
        <f>VLOOKUP(AJ472,MiscData!$AD$5:$AE$77,2,FALSE)</f>
        <v xml:space="preserve">LS </v>
      </c>
      <c r="AT472" s="265" t="s">
        <v>337</v>
      </c>
      <c r="AV472" s="265">
        <v>0</v>
      </c>
    </row>
    <row r="473" spans="1:48">
      <c r="A473" s="275">
        <f t="shared" si="232"/>
        <v>470</v>
      </c>
      <c r="B473" s="276" t="str">
        <f t="shared" si="206"/>
        <v>Jul 2014</v>
      </c>
      <c r="C473" s="277" t="str">
        <f t="shared" si="207"/>
        <v xml:space="preserve">LS </v>
      </c>
      <c r="D473" s="277" t="str">
        <f t="shared" si="208"/>
        <v>LGUM_415</v>
      </c>
      <c r="E473" s="614">
        <f t="shared" si="213"/>
        <v>38</v>
      </c>
      <c r="F473" s="615">
        <f t="shared" si="205"/>
        <v>0</v>
      </c>
      <c r="G473" s="614">
        <f t="shared" si="214"/>
        <v>848</v>
      </c>
      <c r="H473" s="615">
        <v>0</v>
      </c>
      <c r="I473" s="283">
        <f t="shared" si="215"/>
        <v>20.18</v>
      </c>
      <c r="J473" s="283">
        <f t="shared" si="216"/>
        <v>0.75</v>
      </c>
      <c r="K473" s="285">
        <f t="shared" si="217"/>
        <v>766.84</v>
      </c>
      <c r="L473" s="286">
        <f t="shared" si="218"/>
        <v>0</v>
      </c>
      <c r="M473" s="286">
        <v>0</v>
      </c>
      <c r="N473" s="285">
        <f t="shared" si="219"/>
        <v>766.84</v>
      </c>
      <c r="O473" s="616">
        <f t="shared" si="209"/>
        <v>766.84</v>
      </c>
      <c r="P473" s="289">
        <f t="shared" si="220"/>
        <v>1</v>
      </c>
      <c r="Q473" s="290">
        <f t="shared" si="221"/>
        <v>1.17</v>
      </c>
      <c r="R473" s="290">
        <f t="shared" si="222"/>
        <v>24.33</v>
      </c>
      <c r="S473" s="290">
        <f t="shared" si="223"/>
        <v>0</v>
      </c>
      <c r="T473" s="290">
        <f t="shared" si="224"/>
        <v>792.34</v>
      </c>
      <c r="U473" s="291">
        <f t="shared" si="225"/>
        <v>792.34</v>
      </c>
      <c r="V473" s="291">
        <f t="shared" si="229"/>
        <v>0</v>
      </c>
      <c r="W473" s="265">
        <f t="shared" si="226"/>
        <v>0</v>
      </c>
      <c r="X473" s="291">
        <f t="shared" si="230"/>
        <v>0</v>
      </c>
      <c r="Y473" s="170">
        <f t="shared" si="227"/>
        <v>28.5</v>
      </c>
      <c r="Z473" s="291">
        <f t="shared" si="228"/>
        <v>738.34</v>
      </c>
      <c r="AC473" s="276">
        <f>IF(AI473=1,IF(AC472=MiscData!$F$1,EOMONTH(AC472,-11),EOMONTH(AC472,1)),AC472)</f>
        <v>41851</v>
      </c>
      <c r="AD473" s="275" t="str">
        <f t="shared" si="210"/>
        <v>20140101LGUM_415</v>
      </c>
      <c r="AE473" s="294" t="str">
        <f t="shared" si="211"/>
        <v xml:space="preserve">20140101LS </v>
      </c>
      <c r="AF473" s="618" t="str">
        <f t="shared" si="231"/>
        <v>415</v>
      </c>
      <c r="AH473" s="265">
        <f>MiscData!$X$5</f>
        <v>20140101</v>
      </c>
      <c r="AI473" s="265">
        <f>IF(AI472+1&gt;MiscData!$AC$77,1,AI472+1)</f>
        <v>32</v>
      </c>
      <c r="AJ473" s="265" t="str">
        <f>VLOOKUP(AI473,MiscData!$AC$5:$AD$77,2,FALSE)</f>
        <v>LGUM_415</v>
      </c>
      <c r="AK473" s="265" t="str">
        <f>VLOOKUP(AJ473,MiscData!$AD$5:$AE$77,2,FALSE)</f>
        <v xml:space="preserve">LS </v>
      </c>
      <c r="AT473" s="265" t="s">
        <v>338</v>
      </c>
      <c r="AV473" s="265">
        <v>0</v>
      </c>
    </row>
    <row r="474" spans="1:48">
      <c r="A474" s="275">
        <f t="shared" si="232"/>
        <v>471</v>
      </c>
      <c r="B474" s="276" t="str">
        <f t="shared" si="206"/>
        <v>Jul 2014</v>
      </c>
      <c r="C474" s="277" t="str">
        <f t="shared" si="207"/>
        <v xml:space="preserve">LS </v>
      </c>
      <c r="D474" s="277" t="str">
        <f t="shared" si="208"/>
        <v>LGUM_416</v>
      </c>
      <c r="E474" s="614">
        <f t="shared" si="213"/>
        <v>1880</v>
      </c>
      <c r="F474" s="615">
        <f t="shared" si="205"/>
        <v>0</v>
      </c>
      <c r="G474" s="614">
        <f t="shared" si="214"/>
        <v>58805</v>
      </c>
      <c r="H474" s="615">
        <v>0</v>
      </c>
      <c r="I474" s="283">
        <f t="shared" si="215"/>
        <v>22.56</v>
      </c>
      <c r="J474" s="283">
        <f t="shared" si="216"/>
        <v>1.0599999999999987</v>
      </c>
      <c r="K474" s="285">
        <f t="shared" si="217"/>
        <v>42412.800000000003</v>
      </c>
      <c r="L474" s="286">
        <f t="shared" si="218"/>
        <v>-141.37000000000262</v>
      </c>
      <c r="M474" s="286">
        <v>0</v>
      </c>
      <c r="N474" s="285">
        <f t="shared" si="219"/>
        <v>42271.43</v>
      </c>
      <c r="O474" s="616">
        <f t="shared" si="209"/>
        <v>42271.429999999993</v>
      </c>
      <c r="P474" s="289">
        <f t="shared" si="220"/>
        <v>0.99999999999999978</v>
      </c>
      <c r="Q474" s="290">
        <f t="shared" si="221"/>
        <v>81.099999999999994</v>
      </c>
      <c r="R474" s="290">
        <f t="shared" si="222"/>
        <v>1343.38</v>
      </c>
      <c r="S474" s="290">
        <f t="shared" si="223"/>
        <v>0</v>
      </c>
      <c r="T474" s="290">
        <f t="shared" si="224"/>
        <v>43715.46</v>
      </c>
      <c r="U474" s="291">
        <f t="shared" si="225"/>
        <v>43695.909999999996</v>
      </c>
      <c r="V474" s="291">
        <f t="shared" si="229"/>
        <v>19.55</v>
      </c>
      <c r="W474" s="265">
        <f t="shared" si="226"/>
        <v>19.55</v>
      </c>
      <c r="X474" s="291">
        <f t="shared" si="230"/>
        <v>0</v>
      </c>
      <c r="Y474" s="170">
        <f t="shared" si="227"/>
        <v>1992.8</v>
      </c>
      <c r="Z474" s="291">
        <f t="shared" si="228"/>
        <v>40278.62999999999</v>
      </c>
      <c r="AC474" s="276">
        <f>IF(AI474=1,IF(AC473=MiscData!$F$1,EOMONTH(AC473,-11),EOMONTH(AC473,1)),AC473)</f>
        <v>41851</v>
      </c>
      <c r="AD474" s="275" t="str">
        <f t="shared" si="210"/>
        <v>20140101LGUM_416</v>
      </c>
      <c r="AE474" s="294" t="str">
        <f t="shared" si="211"/>
        <v xml:space="preserve">20140101LS </v>
      </c>
      <c r="AF474" s="618" t="str">
        <f t="shared" si="231"/>
        <v>416</v>
      </c>
      <c r="AH474" s="265">
        <f>MiscData!$X$5</f>
        <v>20140101</v>
      </c>
      <c r="AI474" s="265">
        <f>IF(AI473+1&gt;MiscData!$AC$77,1,AI473+1)</f>
        <v>33</v>
      </c>
      <c r="AJ474" s="265" t="str">
        <f>VLOOKUP(AI474,MiscData!$AC$5:$AD$77,2,FALSE)</f>
        <v>LGUM_416</v>
      </c>
      <c r="AK474" s="265" t="str">
        <f>VLOOKUP(AJ474,MiscData!$AD$5:$AE$77,2,FALSE)</f>
        <v xml:space="preserve">LS </v>
      </c>
      <c r="AT474" s="265" t="s">
        <v>339</v>
      </c>
      <c r="AV474" s="265">
        <v>-50.02</v>
      </c>
    </row>
    <row r="475" spans="1:48">
      <c r="A475" s="275">
        <f t="shared" si="232"/>
        <v>472</v>
      </c>
      <c r="B475" s="276" t="str">
        <f t="shared" si="206"/>
        <v>Jul 2014</v>
      </c>
      <c r="C475" s="277" t="str">
        <f t="shared" si="207"/>
        <v>RLS</v>
      </c>
      <c r="D475" s="277" t="str">
        <f t="shared" si="208"/>
        <v>LGUM_417</v>
      </c>
      <c r="E475" s="614">
        <f t="shared" si="213"/>
        <v>40</v>
      </c>
      <c r="F475" s="615">
        <f t="shared" si="205"/>
        <v>0</v>
      </c>
      <c r="G475" s="614">
        <f t="shared" si="214"/>
        <v>1260</v>
      </c>
      <c r="H475" s="615">
        <v>0</v>
      </c>
      <c r="I475" s="283">
        <f t="shared" si="215"/>
        <v>23.68</v>
      </c>
      <c r="J475" s="283">
        <f t="shared" si="216"/>
        <v>1.0300000000000011</v>
      </c>
      <c r="K475" s="285">
        <f t="shared" si="217"/>
        <v>947.2</v>
      </c>
      <c r="L475" s="286">
        <f t="shared" si="218"/>
        <v>0</v>
      </c>
      <c r="M475" s="286">
        <v>0</v>
      </c>
      <c r="N475" s="285">
        <f t="shared" si="219"/>
        <v>947.2</v>
      </c>
      <c r="O475" s="616">
        <f t="shared" si="209"/>
        <v>947.2</v>
      </c>
      <c r="P475" s="289">
        <f t="shared" si="220"/>
        <v>1</v>
      </c>
      <c r="Q475" s="290">
        <f t="shared" si="221"/>
        <v>1.73</v>
      </c>
      <c r="R475" s="290">
        <f t="shared" si="222"/>
        <v>30.06</v>
      </c>
      <c r="S475" s="290">
        <f t="shared" si="223"/>
        <v>0</v>
      </c>
      <c r="T475" s="290">
        <f t="shared" si="224"/>
        <v>978.99</v>
      </c>
      <c r="U475" s="291">
        <f t="shared" si="225"/>
        <v>978.99</v>
      </c>
      <c r="V475" s="291">
        <f t="shared" si="229"/>
        <v>0</v>
      </c>
      <c r="W475" s="265">
        <f t="shared" si="226"/>
        <v>0</v>
      </c>
      <c r="X475" s="291">
        <f t="shared" si="230"/>
        <v>0</v>
      </c>
      <c r="Y475" s="170">
        <f t="shared" si="227"/>
        <v>41.2</v>
      </c>
      <c r="Z475" s="291">
        <f t="shared" si="228"/>
        <v>906</v>
      </c>
      <c r="AC475" s="276">
        <f>IF(AI475=1,IF(AC474=MiscData!$F$1,EOMONTH(AC474,-11),EOMONTH(AC474,1)),AC474)</f>
        <v>41851</v>
      </c>
      <c r="AD475" s="275" t="str">
        <f t="shared" si="210"/>
        <v>20140101LGUM_417</v>
      </c>
      <c r="AE475" s="294" t="str">
        <f t="shared" si="211"/>
        <v>20140101RLS</v>
      </c>
      <c r="AF475" s="618" t="str">
        <f t="shared" si="231"/>
        <v>417</v>
      </c>
      <c r="AH475" s="265">
        <f>MiscData!$X$5</f>
        <v>20140101</v>
      </c>
      <c r="AI475" s="265">
        <f>IF(AI474+1&gt;MiscData!$AC$77,1,AI474+1)</f>
        <v>34</v>
      </c>
      <c r="AJ475" s="265" t="str">
        <f>VLOOKUP(AI475,MiscData!$AC$5:$AD$77,2,FALSE)</f>
        <v>LGUM_417</v>
      </c>
      <c r="AK475" s="265" t="str">
        <f>VLOOKUP(AJ475,MiscData!$AD$5:$AE$77,2,FALSE)</f>
        <v>RLS</v>
      </c>
      <c r="AT475" s="265" t="s">
        <v>340</v>
      </c>
      <c r="AV475" s="265">
        <v>0</v>
      </c>
    </row>
    <row r="476" spans="1:48">
      <c r="A476" s="275">
        <f t="shared" si="232"/>
        <v>473</v>
      </c>
      <c r="B476" s="276" t="str">
        <f t="shared" si="206"/>
        <v>Jul 2014</v>
      </c>
      <c r="C476" s="277" t="str">
        <f t="shared" si="207"/>
        <v>RLS</v>
      </c>
      <c r="D476" s="277" t="str">
        <f t="shared" si="208"/>
        <v>LGUM_419</v>
      </c>
      <c r="E476" s="614">
        <f t="shared" si="213"/>
        <v>113</v>
      </c>
      <c r="F476" s="615">
        <f t="shared" ref="F476:F539" si="233">SUMIFS(L_1055_Count_OutOfPeriod,L_1055_Revenue_Month,$B476,L_1055_RateCategory,$D476)</f>
        <v>0</v>
      </c>
      <c r="G476" s="614">
        <f t="shared" si="214"/>
        <v>5253</v>
      </c>
      <c r="H476" s="615">
        <v>0</v>
      </c>
      <c r="I476" s="283">
        <f t="shared" si="215"/>
        <v>24.77</v>
      </c>
      <c r="J476" s="283">
        <f t="shared" si="216"/>
        <v>1.6499999999999986</v>
      </c>
      <c r="K476" s="285">
        <f t="shared" si="217"/>
        <v>2799.01</v>
      </c>
      <c r="L476" s="286">
        <f t="shared" si="218"/>
        <v>0</v>
      </c>
      <c r="M476" s="286">
        <v>0</v>
      </c>
      <c r="N476" s="285">
        <f t="shared" si="219"/>
        <v>2799.01</v>
      </c>
      <c r="O476" s="616">
        <f t="shared" si="209"/>
        <v>2799.0099999999998</v>
      </c>
      <c r="P476" s="289">
        <f t="shared" si="220"/>
        <v>0.99999999999999989</v>
      </c>
      <c r="Q476" s="290">
        <f t="shared" si="221"/>
        <v>7.25</v>
      </c>
      <c r="R476" s="290">
        <f t="shared" si="222"/>
        <v>88.96</v>
      </c>
      <c r="S476" s="290">
        <f t="shared" si="223"/>
        <v>0</v>
      </c>
      <c r="T476" s="290">
        <f t="shared" si="224"/>
        <v>2895.22</v>
      </c>
      <c r="U476" s="291">
        <f t="shared" si="225"/>
        <v>2895.2200000000003</v>
      </c>
      <c r="V476" s="291">
        <f t="shared" si="229"/>
        <v>0</v>
      </c>
      <c r="W476" s="265">
        <f t="shared" si="226"/>
        <v>0</v>
      </c>
      <c r="X476" s="291">
        <f t="shared" si="230"/>
        <v>0</v>
      </c>
      <c r="Y476" s="170">
        <f t="shared" si="227"/>
        <v>186.45</v>
      </c>
      <c r="Z476" s="291">
        <f t="shared" si="228"/>
        <v>2612.56</v>
      </c>
      <c r="AC476" s="276">
        <f>IF(AI476=1,IF(AC475=MiscData!$F$1,EOMONTH(AC475,-11),EOMONTH(AC475,1)),AC475)</f>
        <v>41851</v>
      </c>
      <c r="AD476" s="275" t="str">
        <f t="shared" si="210"/>
        <v>20140101LGUM_419</v>
      </c>
      <c r="AE476" s="294" t="str">
        <f t="shared" si="211"/>
        <v>20140101RLS</v>
      </c>
      <c r="AF476" s="618" t="str">
        <f t="shared" si="231"/>
        <v>419</v>
      </c>
      <c r="AH476" s="265">
        <f>MiscData!$X$5</f>
        <v>20140101</v>
      </c>
      <c r="AI476" s="265">
        <f>IF(AI475+1&gt;MiscData!$AC$77,1,AI475+1)</f>
        <v>35</v>
      </c>
      <c r="AJ476" s="265" t="str">
        <f>VLOOKUP(AI476,MiscData!$AC$5:$AD$77,2,FALSE)</f>
        <v>LGUM_419</v>
      </c>
      <c r="AK476" s="265" t="str">
        <f>VLOOKUP(AJ476,MiscData!$AD$5:$AE$77,2,FALSE)</f>
        <v>RLS</v>
      </c>
      <c r="AT476" s="265" t="s">
        <v>341</v>
      </c>
      <c r="AV476" s="265">
        <v>0</v>
      </c>
    </row>
    <row r="477" spans="1:48">
      <c r="A477" s="275">
        <f t="shared" si="232"/>
        <v>474</v>
      </c>
      <c r="B477" s="276" t="str">
        <f t="shared" si="206"/>
        <v>Jul 2014</v>
      </c>
      <c r="C477" s="277" t="str">
        <f t="shared" si="207"/>
        <v xml:space="preserve">LS </v>
      </c>
      <c r="D477" s="277" t="str">
        <f t="shared" si="208"/>
        <v>LGUM_420</v>
      </c>
      <c r="E477" s="614">
        <f t="shared" si="213"/>
        <v>54</v>
      </c>
      <c r="F477" s="615">
        <f t="shared" si="233"/>
        <v>0</v>
      </c>
      <c r="G477" s="614">
        <f t="shared" si="214"/>
        <v>2578</v>
      </c>
      <c r="H477" s="615">
        <v>0</v>
      </c>
      <c r="I477" s="283">
        <f t="shared" si="215"/>
        <v>29.889999999999997</v>
      </c>
      <c r="J477" s="283">
        <f t="shared" si="216"/>
        <v>1.6499999999999986</v>
      </c>
      <c r="K477" s="285">
        <f t="shared" si="217"/>
        <v>1614.06</v>
      </c>
      <c r="L477" s="286">
        <f t="shared" si="218"/>
        <v>0</v>
      </c>
      <c r="M477" s="286">
        <v>0</v>
      </c>
      <c r="N477" s="285">
        <f t="shared" si="219"/>
        <v>1614.06</v>
      </c>
      <c r="O477" s="616">
        <f t="shared" si="209"/>
        <v>1614.0600000000002</v>
      </c>
      <c r="P477" s="289">
        <f t="shared" si="220"/>
        <v>1.0000000000000002</v>
      </c>
      <c r="Q477" s="290">
        <f t="shared" si="221"/>
        <v>3.56</v>
      </c>
      <c r="R477" s="290">
        <f t="shared" si="222"/>
        <v>51.3</v>
      </c>
      <c r="S477" s="290">
        <f t="shared" si="223"/>
        <v>0</v>
      </c>
      <c r="T477" s="290">
        <f t="shared" si="224"/>
        <v>1668.92</v>
      </c>
      <c r="U477" s="291">
        <f t="shared" si="225"/>
        <v>1668.9199999999998</v>
      </c>
      <c r="V477" s="291">
        <f t="shared" si="229"/>
        <v>0</v>
      </c>
      <c r="W477" s="265">
        <f t="shared" si="226"/>
        <v>0</v>
      </c>
      <c r="X477" s="291">
        <f t="shared" si="230"/>
        <v>0</v>
      </c>
      <c r="Y477" s="170">
        <f t="shared" si="227"/>
        <v>89.1</v>
      </c>
      <c r="Z477" s="291">
        <f t="shared" si="228"/>
        <v>1524.9600000000003</v>
      </c>
      <c r="AC477" s="276">
        <f>IF(AI477=1,IF(AC476=MiscData!$F$1,EOMONTH(AC476,-11),EOMONTH(AC476,1)),AC476)</f>
        <v>41851</v>
      </c>
      <c r="AD477" s="275" t="str">
        <f t="shared" si="210"/>
        <v>20140101LGUM_420</v>
      </c>
      <c r="AE477" s="294" t="str">
        <f t="shared" si="211"/>
        <v xml:space="preserve">20140101LS </v>
      </c>
      <c r="AF477" s="618" t="str">
        <f t="shared" si="231"/>
        <v>420</v>
      </c>
      <c r="AH477" s="265">
        <f>MiscData!$X$5</f>
        <v>20140101</v>
      </c>
      <c r="AI477" s="265">
        <f>IF(AI476+1&gt;MiscData!$AC$77,1,AI476+1)</f>
        <v>36</v>
      </c>
      <c r="AJ477" s="265" t="str">
        <f>VLOOKUP(AI477,MiscData!$AC$5:$AD$77,2,FALSE)</f>
        <v>LGUM_420</v>
      </c>
      <c r="AK477" s="265" t="str">
        <f>VLOOKUP(AJ477,MiscData!$AD$5:$AE$77,2,FALSE)</f>
        <v xml:space="preserve">LS </v>
      </c>
      <c r="AT477" s="265" t="s">
        <v>342</v>
      </c>
      <c r="AV477" s="265">
        <v>0</v>
      </c>
    </row>
    <row r="478" spans="1:48">
      <c r="A478" s="275">
        <f t="shared" si="232"/>
        <v>475</v>
      </c>
      <c r="B478" s="276" t="str">
        <f t="shared" si="206"/>
        <v>Jul 2014</v>
      </c>
      <c r="C478" s="277" t="str">
        <f t="shared" si="207"/>
        <v xml:space="preserve">LS </v>
      </c>
      <c r="D478" s="277" t="str">
        <f t="shared" si="208"/>
        <v>LGUM_421</v>
      </c>
      <c r="E478" s="614">
        <f t="shared" si="213"/>
        <v>181</v>
      </c>
      <c r="F478" s="615">
        <f t="shared" si="233"/>
        <v>-1</v>
      </c>
      <c r="G478" s="614">
        <f t="shared" si="214"/>
        <v>14401</v>
      </c>
      <c r="H478" s="615">
        <v>0</v>
      </c>
      <c r="I478" s="283">
        <f t="shared" si="215"/>
        <v>32.860000000000007</v>
      </c>
      <c r="J478" s="283">
        <f t="shared" si="216"/>
        <v>2.6700000000000017</v>
      </c>
      <c r="K478" s="285">
        <f t="shared" si="217"/>
        <v>5914.8</v>
      </c>
      <c r="L478" s="286">
        <f t="shared" si="218"/>
        <v>32.859999999999673</v>
      </c>
      <c r="M478" s="286">
        <v>0</v>
      </c>
      <c r="N478" s="285">
        <f t="shared" si="219"/>
        <v>5947.66</v>
      </c>
      <c r="O478" s="616">
        <f t="shared" si="209"/>
        <v>5947.66</v>
      </c>
      <c r="P478" s="289">
        <f t="shared" si="220"/>
        <v>1</v>
      </c>
      <c r="Q478" s="290">
        <f t="shared" si="221"/>
        <v>19.97</v>
      </c>
      <c r="R478" s="290">
        <f t="shared" si="222"/>
        <v>189.16</v>
      </c>
      <c r="S478" s="290">
        <f t="shared" si="223"/>
        <v>0</v>
      </c>
      <c r="T478" s="290">
        <f t="shared" si="224"/>
        <v>6156.79</v>
      </c>
      <c r="U478" s="291">
        <f t="shared" si="225"/>
        <v>6156.79</v>
      </c>
      <c r="V478" s="291">
        <f t="shared" si="229"/>
        <v>0</v>
      </c>
      <c r="W478" s="265">
        <f t="shared" si="226"/>
        <v>0</v>
      </c>
      <c r="X478" s="291">
        <f t="shared" si="230"/>
        <v>0</v>
      </c>
      <c r="Y478" s="170">
        <f t="shared" si="227"/>
        <v>483.27</v>
      </c>
      <c r="Z478" s="291">
        <f t="shared" si="228"/>
        <v>5464.3899999999994</v>
      </c>
      <c r="AC478" s="276">
        <f>IF(AI478=1,IF(AC477=MiscData!$F$1,EOMONTH(AC477,-11),EOMONTH(AC477,1)),AC477)</f>
        <v>41851</v>
      </c>
      <c r="AD478" s="275" t="str">
        <f t="shared" si="210"/>
        <v>20140101LGUM_421</v>
      </c>
      <c r="AE478" s="294" t="str">
        <f t="shared" si="211"/>
        <v xml:space="preserve">20140101LS </v>
      </c>
      <c r="AF478" s="618" t="str">
        <f t="shared" si="231"/>
        <v>421</v>
      </c>
      <c r="AH478" s="265">
        <f>MiscData!$X$5</f>
        <v>20140101</v>
      </c>
      <c r="AI478" s="265">
        <f>IF(AI477+1&gt;MiscData!$AC$77,1,AI477+1)</f>
        <v>37</v>
      </c>
      <c r="AJ478" s="265" t="str">
        <f>VLOOKUP(AI478,MiscData!$AC$5:$AD$77,2,FALSE)</f>
        <v>LGUM_421</v>
      </c>
      <c r="AK478" s="265" t="str">
        <f>VLOOKUP(AJ478,MiscData!$AD$5:$AE$77,2,FALSE)</f>
        <v xml:space="preserve">LS </v>
      </c>
      <c r="AT478" s="265" t="s">
        <v>343</v>
      </c>
      <c r="AV478" s="265">
        <v>0</v>
      </c>
    </row>
    <row r="479" spans="1:48">
      <c r="A479" s="275">
        <f t="shared" si="232"/>
        <v>476</v>
      </c>
      <c r="B479" s="276" t="str">
        <f t="shared" si="206"/>
        <v>Jul 2014</v>
      </c>
      <c r="C479" s="277" t="str">
        <f t="shared" si="207"/>
        <v xml:space="preserve">LS </v>
      </c>
      <c r="D479" s="277" t="str">
        <f t="shared" si="208"/>
        <v>LGUM_422</v>
      </c>
      <c r="E479" s="614">
        <f t="shared" si="213"/>
        <v>397</v>
      </c>
      <c r="F479" s="615">
        <f t="shared" si="233"/>
        <v>-13</v>
      </c>
      <c r="G479" s="614">
        <f t="shared" si="214"/>
        <v>48376</v>
      </c>
      <c r="H479" s="615">
        <v>0</v>
      </c>
      <c r="I479" s="283">
        <f t="shared" si="215"/>
        <v>38.389999999999993</v>
      </c>
      <c r="J479" s="283">
        <f t="shared" si="216"/>
        <v>4.279999999999994</v>
      </c>
      <c r="K479" s="285">
        <f t="shared" si="217"/>
        <v>14741.76</v>
      </c>
      <c r="L479" s="286">
        <f t="shared" si="218"/>
        <v>276.40999999999985</v>
      </c>
      <c r="M479" s="286">
        <v>0</v>
      </c>
      <c r="N479" s="285">
        <f t="shared" si="219"/>
        <v>15018.17</v>
      </c>
      <c r="O479" s="616">
        <f t="shared" si="209"/>
        <v>15018.17</v>
      </c>
      <c r="P479" s="289">
        <f t="shared" si="220"/>
        <v>1</v>
      </c>
      <c r="Q479" s="290">
        <f t="shared" si="221"/>
        <v>68.31</v>
      </c>
      <c r="R479" s="290">
        <f t="shared" si="222"/>
        <v>477.66</v>
      </c>
      <c r="S479" s="290">
        <f t="shared" si="223"/>
        <v>0</v>
      </c>
      <c r="T479" s="290">
        <f t="shared" si="224"/>
        <v>15564.14</v>
      </c>
      <c r="U479" s="291">
        <f t="shared" si="225"/>
        <v>15564.14</v>
      </c>
      <c r="V479" s="291">
        <f t="shared" si="229"/>
        <v>0</v>
      </c>
      <c r="W479" s="265">
        <f t="shared" si="226"/>
        <v>0</v>
      </c>
      <c r="X479" s="291">
        <f t="shared" si="230"/>
        <v>0</v>
      </c>
      <c r="Y479" s="170">
        <f t="shared" si="227"/>
        <v>1699.16</v>
      </c>
      <c r="Z479" s="291">
        <f t="shared" si="228"/>
        <v>13319.01</v>
      </c>
      <c r="AC479" s="276">
        <f>IF(AI479=1,IF(AC478=MiscData!$F$1,EOMONTH(AC478,-11),EOMONTH(AC478,1)),AC478)</f>
        <v>41851</v>
      </c>
      <c r="AD479" s="275" t="str">
        <f t="shared" si="210"/>
        <v>20140101LGUM_422</v>
      </c>
      <c r="AE479" s="294" t="str">
        <f t="shared" si="211"/>
        <v xml:space="preserve">20140101LS </v>
      </c>
      <c r="AF479" s="618" t="str">
        <f t="shared" si="231"/>
        <v>422</v>
      </c>
      <c r="AH479" s="265">
        <f>MiscData!$X$5</f>
        <v>20140101</v>
      </c>
      <c r="AI479" s="265">
        <f>IF(AI478+1&gt;MiscData!$AC$77,1,AI478+1)</f>
        <v>38</v>
      </c>
      <c r="AJ479" s="265" t="str">
        <f>VLOOKUP(AI479,MiscData!$AC$5:$AD$77,2,FALSE)</f>
        <v>LGUM_422</v>
      </c>
      <c r="AK479" s="265" t="str">
        <f>VLOOKUP(AJ479,MiscData!$AD$5:$AE$77,2,FALSE)</f>
        <v xml:space="preserve">LS </v>
      </c>
      <c r="AT479" s="265" t="s">
        <v>344</v>
      </c>
      <c r="AV479" s="265">
        <v>0</v>
      </c>
    </row>
    <row r="480" spans="1:48">
      <c r="A480" s="275">
        <f t="shared" si="232"/>
        <v>477</v>
      </c>
      <c r="B480" s="276" t="str">
        <f t="shared" si="206"/>
        <v>Jul 2014</v>
      </c>
      <c r="C480" s="277" t="str">
        <f t="shared" si="207"/>
        <v xml:space="preserve">LS </v>
      </c>
      <c r="D480" s="277" t="str">
        <f t="shared" si="208"/>
        <v>LGUM_423</v>
      </c>
      <c r="E480" s="614">
        <f t="shared" si="213"/>
        <v>21</v>
      </c>
      <c r="F480" s="615">
        <f t="shared" si="233"/>
        <v>0</v>
      </c>
      <c r="G480" s="614">
        <f t="shared" si="214"/>
        <v>1054</v>
      </c>
      <c r="H480" s="615">
        <v>0</v>
      </c>
      <c r="I480" s="283">
        <f t="shared" si="215"/>
        <v>26.349999999999998</v>
      </c>
      <c r="J480" s="283">
        <f t="shared" si="216"/>
        <v>1.6500000000000021</v>
      </c>
      <c r="K480" s="285">
        <f t="shared" si="217"/>
        <v>553.35</v>
      </c>
      <c r="L480" s="286">
        <f t="shared" si="218"/>
        <v>8.7899999999999636</v>
      </c>
      <c r="M480" s="286">
        <v>0</v>
      </c>
      <c r="N480" s="285">
        <f t="shared" si="219"/>
        <v>562.14</v>
      </c>
      <c r="O480" s="616">
        <f t="shared" si="209"/>
        <v>562.14</v>
      </c>
      <c r="P480" s="289">
        <f t="shared" si="220"/>
        <v>1</v>
      </c>
      <c r="Q480" s="290">
        <f t="shared" si="221"/>
        <v>1.44</v>
      </c>
      <c r="R480" s="290">
        <f t="shared" si="222"/>
        <v>17.899999999999999</v>
      </c>
      <c r="S480" s="290">
        <f t="shared" si="223"/>
        <v>0</v>
      </c>
      <c r="T480" s="290">
        <f t="shared" si="224"/>
        <v>581.48</v>
      </c>
      <c r="U480" s="291">
        <f t="shared" si="225"/>
        <v>581.48</v>
      </c>
      <c r="V480" s="291">
        <f t="shared" si="229"/>
        <v>0</v>
      </c>
      <c r="W480" s="265">
        <f t="shared" si="226"/>
        <v>0</v>
      </c>
      <c r="X480" s="291">
        <f t="shared" si="230"/>
        <v>0</v>
      </c>
      <c r="Y480" s="170">
        <f t="shared" si="227"/>
        <v>34.65</v>
      </c>
      <c r="Z480" s="291">
        <f t="shared" si="228"/>
        <v>527.49</v>
      </c>
      <c r="AC480" s="276">
        <f>IF(AI480=1,IF(AC479=MiscData!$F$1,EOMONTH(AC479,-11),EOMONTH(AC479,1)),AC479)</f>
        <v>41851</v>
      </c>
      <c r="AD480" s="275" t="str">
        <f t="shared" si="210"/>
        <v>20140101LGUM_423</v>
      </c>
      <c r="AE480" s="294" t="str">
        <f t="shared" si="211"/>
        <v xml:space="preserve">20140101LS </v>
      </c>
      <c r="AF480" s="618" t="str">
        <f t="shared" si="231"/>
        <v>423</v>
      </c>
      <c r="AH480" s="265">
        <f>MiscData!$X$5</f>
        <v>20140101</v>
      </c>
      <c r="AI480" s="265">
        <f>IF(AI479+1&gt;MiscData!$AC$77,1,AI479+1)</f>
        <v>39</v>
      </c>
      <c r="AJ480" s="265" t="str">
        <f>VLOOKUP(AI480,MiscData!$AC$5:$AD$77,2,FALSE)</f>
        <v>LGUM_423</v>
      </c>
      <c r="AK480" s="265" t="str">
        <f>VLOOKUP(AJ480,MiscData!$AD$5:$AE$77,2,FALSE)</f>
        <v xml:space="preserve">LS </v>
      </c>
      <c r="AT480" s="265" t="s">
        <v>345</v>
      </c>
      <c r="AV480" s="265">
        <v>733.41</v>
      </c>
    </row>
    <row r="481" spans="1:48">
      <c r="A481" s="275">
        <f t="shared" si="232"/>
        <v>478</v>
      </c>
      <c r="B481" s="276" t="str">
        <f t="shared" si="206"/>
        <v>Jul 2014</v>
      </c>
      <c r="C481" s="277" t="str">
        <f t="shared" si="207"/>
        <v xml:space="preserve">LS </v>
      </c>
      <c r="D481" s="277" t="str">
        <f t="shared" si="208"/>
        <v>LGUM_424</v>
      </c>
      <c r="E481" s="614">
        <f t="shared" si="213"/>
        <v>459</v>
      </c>
      <c r="F481" s="615">
        <f t="shared" si="233"/>
        <v>0</v>
      </c>
      <c r="G481" s="614">
        <f t="shared" si="214"/>
        <v>38147</v>
      </c>
      <c r="H481" s="615">
        <v>0</v>
      </c>
      <c r="I481" s="283">
        <f t="shared" si="215"/>
        <v>28.45</v>
      </c>
      <c r="J481" s="283">
        <f t="shared" si="216"/>
        <v>3.9800000000000004</v>
      </c>
      <c r="K481" s="285">
        <f t="shared" si="217"/>
        <v>13058.55</v>
      </c>
      <c r="L481" s="286">
        <f t="shared" si="218"/>
        <v>104.02000000000044</v>
      </c>
      <c r="M481" s="286">
        <v>0</v>
      </c>
      <c r="N481" s="285">
        <f t="shared" si="219"/>
        <v>13162.57</v>
      </c>
      <c r="O481" s="616">
        <f t="shared" si="209"/>
        <v>13162.57</v>
      </c>
      <c r="P481" s="289">
        <f t="shared" si="220"/>
        <v>1</v>
      </c>
      <c r="Q481" s="290">
        <f t="shared" si="221"/>
        <v>52.65</v>
      </c>
      <c r="R481" s="290">
        <f t="shared" si="222"/>
        <v>418.95</v>
      </c>
      <c r="S481" s="290">
        <f t="shared" si="223"/>
        <v>0</v>
      </c>
      <c r="T481" s="290">
        <f t="shared" si="224"/>
        <v>13634.17</v>
      </c>
      <c r="U481" s="291">
        <f t="shared" si="225"/>
        <v>13634.17</v>
      </c>
      <c r="V481" s="291">
        <f t="shared" si="229"/>
        <v>0</v>
      </c>
      <c r="W481" s="265">
        <f t="shared" si="226"/>
        <v>0</v>
      </c>
      <c r="X481" s="291">
        <f t="shared" si="230"/>
        <v>0</v>
      </c>
      <c r="Y481" s="170">
        <f t="shared" si="227"/>
        <v>1826.82</v>
      </c>
      <c r="Z481" s="291">
        <f t="shared" si="228"/>
        <v>11335.75</v>
      </c>
      <c r="AC481" s="276">
        <f>IF(AI481=1,IF(AC480=MiscData!$F$1,EOMONTH(AC480,-11),EOMONTH(AC480,1)),AC480)</f>
        <v>41851</v>
      </c>
      <c r="AD481" s="275" t="str">
        <f t="shared" si="210"/>
        <v>20140101LGUM_424</v>
      </c>
      <c r="AE481" s="294" t="str">
        <f t="shared" si="211"/>
        <v xml:space="preserve">20140101LS </v>
      </c>
      <c r="AF481" s="618" t="str">
        <f t="shared" si="231"/>
        <v>424</v>
      </c>
      <c r="AH481" s="265">
        <f>MiscData!$X$5</f>
        <v>20140101</v>
      </c>
      <c r="AI481" s="265">
        <f>IF(AI480+1&gt;MiscData!$AC$77,1,AI480+1)</f>
        <v>40</v>
      </c>
      <c r="AJ481" s="265" t="str">
        <f>VLOOKUP(AI481,MiscData!$AC$5:$AD$77,2,FALSE)</f>
        <v>LGUM_424</v>
      </c>
      <c r="AK481" s="265" t="str">
        <f>VLOOKUP(AJ481,MiscData!$AD$5:$AE$77,2,FALSE)</f>
        <v xml:space="preserve">LS </v>
      </c>
      <c r="AT481" s="265" t="s">
        <v>346</v>
      </c>
      <c r="AV481" s="265">
        <v>5756.7</v>
      </c>
    </row>
    <row r="482" spans="1:48">
      <c r="A482" s="275">
        <f t="shared" si="232"/>
        <v>479</v>
      </c>
      <c r="B482" s="276" t="str">
        <f t="shared" si="206"/>
        <v>Jul 2014</v>
      </c>
      <c r="C482" s="277" t="str">
        <f t="shared" si="207"/>
        <v xml:space="preserve">LS </v>
      </c>
      <c r="D482" s="277" t="str">
        <f t="shared" si="208"/>
        <v>LGUM_425</v>
      </c>
      <c r="E482" s="614">
        <f t="shared" si="213"/>
        <v>35</v>
      </c>
      <c r="F482" s="615">
        <f t="shared" si="233"/>
        <v>-3</v>
      </c>
      <c r="G482" s="614">
        <f t="shared" si="214"/>
        <v>4437</v>
      </c>
      <c r="H482" s="615">
        <v>0</v>
      </c>
      <c r="I482" s="283">
        <f t="shared" si="215"/>
        <v>34.029999999999994</v>
      </c>
      <c r="J482" s="283">
        <f t="shared" si="216"/>
        <v>4.2799999999999976</v>
      </c>
      <c r="K482" s="285">
        <f t="shared" si="217"/>
        <v>1088.96</v>
      </c>
      <c r="L482" s="286">
        <f t="shared" si="218"/>
        <v>102.08999999999992</v>
      </c>
      <c r="M482" s="286">
        <v>0</v>
      </c>
      <c r="N482" s="285">
        <f t="shared" si="219"/>
        <v>1191.05</v>
      </c>
      <c r="O482" s="616">
        <f t="shared" si="209"/>
        <v>1191.05</v>
      </c>
      <c r="P482" s="289">
        <f t="shared" si="220"/>
        <v>1</v>
      </c>
      <c r="Q482" s="290">
        <f t="shared" si="221"/>
        <v>6.75</v>
      </c>
      <c r="R482" s="290">
        <f t="shared" si="222"/>
        <v>37.78</v>
      </c>
      <c r="S482" s="290">
        <f t="shared" si="223"/>
        <v>0</v>
      </c>
      <c r="T482" s="290">
        <f t="shared" si="224"/>
        <v>1235.58</v>
      </c>
      <c r="U482" s="291">
        <f t="shared" si="225"/>
        <v>1235.58</v>
      </c>
      <c r="V482" s="291">
        <f t="shared" si="229"/>
        <v>0</v>
      </c>
      <c r="W482" s="265">
        <f t="shared" si="226"/>
        <v>0</v>
      </c>
      <c r="X482" s="291">
        <f t="shared" si="230"/>
        <v>0</v>
      </c>
      <c r="Y482" s="170">
        <f t="shared" si="227"/>
        <v>149.80000000000001</v>
      </c>
      <c r="Z482" s="291">
        <f t="shared" si="228"/>
        <v>1041.25</v>
      </c>
      <c r="AC482" s="276">
        <f>IF(AI482=1,IF(AC481=MiscData!$F$1,EOMONTH(AC481,-11),EOMONTH(AC481,1)),AC481)</f>
        <v>41851</v>
      </c>
      <c r="AD482" s="275" t="str">
        <f t="shared" si="210"/>
        <v>20140101LGUM_425</v>
      </c>
      <c r="AE482" s="294" t="str">
        <f t="shared" si="211"/>
        <v xml:space="preserve">20140101LS </v>
      </c>
      <c r="AF482" s="618" t="str">
        <f t="shared" si="231"/>
        <v>425</v>
      </c>
      <c r="AH482" s="265">
        <f>MiscData!$X$5</f>
        <v>20140101</v>
      </c>
      <c r="AI482" s="265">
        <f>IF(AI481+1&gt;MiscData!$AC$77,1,AI481+1)</f>
        <v>41</v>
      </c>
      <c r="AJ482" s="265" t="str">
        <f>VLOOKUP(AI482,MiscData!$AC$5:$AD$77,2,FALSE)</f>
        <v>LGUM_425</v>
      </c>
      <c r="AK482" s="265" t="str">
        <f>VLOOKUP(AJ482,MiscData!$AD$5:$AE$77,2,FALSE)</f>
        <v xml:space="preserve">LS </v>
      </c>
      <c r="AT482" s="265" t="s">
        <v>347</v>
      </c>
      <c r="AV482" s="265">
        <v>0</v>
      </c>
    </row>
    <row r="483" spans="1:48">
      <c r="A483" s="275">
        <f t="shared" si="232"/>
        <v>480</v>
      </c>
      <c r="B483" s="276" t="str">
        <f t="shared" si="206"/>
        <v>Jul 2014</v>
      </c>
      <c r="C483" s="277" t="str">
        <f t="shared" si="207"/>
        <v>RLS</v>
      </c>
      <c r="D483" s="277" t="str">
        <f t="shared" si="208"/>
        <v>LGUM_426</v>
      </c>
      <c r="E483" s="614">
        <f t="shared" si="213"/>
        <v>41</v>
      </c>
      <c r="F483" s="615">
        <f t="shared" si="233"/>
        <v>0</v>
      </c>
      <c r="G483" s="614">
        <f t="shared" si="214"/>
        <v>883</v>
      </c>
      <c r="H483" s="615">
        <v>0</v>
      </c>
      <c r="I483" s="283">
        <f t="shared" si="215"/>
        <v>33.22</v>
      </c>
      <c r="J483" s="283">
        <f t="shared" si="216"/>
        <v>0.75</v>
      </c>
      <c r="K483" s="285">
        <f t="shared" si="217"/>
        <v>1362.02</v>
      </c>
      <c r="L483" s="286">
        <f t="shared" si="218"/>
        <v>0</v>
      </c>
      <c r="M483" s="286">
        <v>0</v>
      </c>
      <c r="N483" s="285">
        <f t="shared" si="219"/>
        <v>1362.02</v>
      </c>
      <c r="O483" s="616">
        <f t="shared" si="209"/>
        <v>1362.0200000000002</v>
      </c>
      <c r="P483" s="289">
        <f t="shared" si="220"/>
        <v>1.0000000000000002</v>
      </c>
      <c r="Q483" s="290">
        <f t="shared" si="221"/>
        <v>1.22</v>
      </c>
      <c r="R483" s="290">
        <f t="shared" si="222"/>
        <v>43.89</v>
      </c>
      <c r="S483" s="290">
        <f t="shared" si="223"/>
        <v>0</v>
      </c>
      <c r="T483" s="290">
        <f t="shared" si="224"/>
        <v>1428.49</v>
      </c>
      <c r="U483" s="291">
        <f t="shared" si="225"/>
        <v>1407.13</v>
      </c>
      <c r="V483" s="291">
        <f t="shared" si="229"/>
        <v>21.36</v>
      </c>
      <c r="W483" s="265">
        <f t="shared" si="226"/>
        <v>21.36</v>
      </c>
      <c r="X483" s="291">
        <f t="shared" si="230"/>
        <v>0</v>
      </c>
      <c r="Y483" s="170">
        <f t="shared" si="227"/>
        <v>30.75</v>
      </c>
      <c r="Z483" s="291">
        <f t="shared" si="228"/>
        <v>1331.2700000000002</v>
      </c>
      <c r="AC483" s="276">
        <f>IF(AI483=1,IF(AC482=MiscData!$F$1,EOMONTH(AC482,-11),EOMONTH(AC482,1)),AC482)</f>
        <v>41851</v>
      </c>
      <c r="AD483" s="275" t="str">
        <f t="shared" si="210"/>
        <v>20140101LGUM_426</v>
      </c>
      <c r="AE483" s="294" t="str">
        <f t="shared" si="211"/>
        <v>20140101RLS</v>
      </c>
      <c r="AF483" s="618" t="str">
        <f t="shared" si="231"/>
        <v>426</v>
      </c>
      <c r="AH483" s="265">
        <f>MiscData!$X$5</f>
        <v>20140101</v>
      </c>
      <c r="AI483" s="265">
        <f>IF(AI482+1&gt;MiscData!$AC$77,1,AI482+1)</f>
        <v>42</v>
      </c>
      <c r="AJ483" s="265" t="str">
        <f>VLOOKUP(AI483,MiscData!$AC$5:$AD$77,2,FALSE)</f>
        <v>LGUM_426</v>
      </c>
      <c r="AK483" s="265" t="str">
        <f>VLOOKUP(AJ483,MiscData!$AD$5:$AE$77,2,FALSE)</f>
        <v>RLS</v>
      </c>
      <c r="AT483" s="265" t="s">
        <v>348</v>
      </c>
      <c r="AV483" s="265">
        <v>0</v>
      </c>
    </row>
    <row r="484" spans="1:48">
      <c r="A484" s="275">
        <f t="shared" si="232"/>
        <v>481</v>
      </c>
      <c r="B484" s="276" t="str">
        <f t="shared" ref="B484:B515" si="234">TEXT(AC484,"mmm yyyy")</f>
        <v>Jul 2014</v>
      </c>
      <c r="C484" s="277" t="str">
        <f t="shared" ref="C484:C515" si="235">AK484</f>
        <v xml:space="preserve">LS </v>
      </c>
      <c r="D484" s="277" t="str">
        <f t="shared" ref="D484:D515" si="236">AJ484</f>
        <v>LGUM_427</v>
      </c>
      <c r="E484" s="614">
        <f t="shared" si="213"/>
        <v>53</v>
      </c>
      <c r="F484" s="615">
        <f t="shared" si="233"/>
        <v>0</v>
      </c>
      <c r="G484" s="614">
        <f t="shared" si="214"/>
        <v>1155</v>
      </c>
      <c r="H484" s="615">
        <v>0</v>
      </c>
      <c r="I484" s="283">
        <f t="shared" si="215"/>
        <v>35.199999999999996</v>
      </c>
      <c r="J484" s="283">
        <f t="shared" si="216"/>
        <v>0.75</v>
      </c>
      <c r="K484" s="285">
        <f t="shared" si="217"/>
        <v>1865.6</v>
      </c>
      <c r="L484" s="286">
        <f t="shared" si="218"/>
        <v>0</v>
      </c>
      <c r="M484" s="286">
        <v>0</v>
      </c>
      <c r="N484" s="285">
        <f t="shared" si="219"/>
        <v>1865.6</v>
      </c>
      <c r="O484" s="616">
        <f t="shared" ref="O484:O547" si="237">T484-SUM(Q484:S484)-SUMIFS(L_1055_Revenue_Poles_Test_Period,L_1055_RateCategory,$D484,L_1055_Revenue_Month,$B484)</f>
        <v>1865.6</v>
      </c>
      <c r="P484" s="289">
        <f t="shared" si="220"/>
        <v>1</v>
      </c>
      <c r="Q484" s="290">
        <f t="shared" si="221"/>
        <v>1.59</v>
      </c>
      <c r="R484" s="290">
        <f t="shared" si="222"/>
        <v>60.81</v>
      </c>
      <c r="S484" s="290">
        <f t="shared" si="223"/>
        <v>0</v>
      </c>
      <c r="T484" s="290">
        <f t="shared" si="224"/>
        <v>1978.86</v>
      </c>
      <c r="U484" s="291">
        <f t="shared" si="225"/>
        <v>1927.9999999999998</v>
      </c>
      <c r="V484" s="291">
        <f t="shared" si="229"/>
        <v>50.86</v>
      </c>
      <c r="W484" s="265">
        <f t="shared" si="226"/>
        <v>50.86</v>
      </c>
      <c r="X484" s="291">
        <f t="shared" si="230"/>
        <v>0</v>
      </c>
      <c r="Y484" s="170">
        <f t="shared" si="227"/>
        <v>39.75</v>
      </c>
      <c r="Z484" s="291">
        <f t="shared" si="228"/>
        <v>1825.85</v>
      </c>
      <c r="AC484" s="276">
        <f>IF(AI484=1,IF(AC483=MiscData!$F$1,EOMONTH(AC483,-11),EOMONTH(AC483,1)),AC483)</f>
        <v>41851</v>
      </c>
      <c r="AD484" s="275" t="str">
        <f t="shared" ref="AD484:AD519" si="238">CONCATENATE(AH484&amp;AJ484)</f>
        <v>20140101LGUM_427</v>
      </c>
      <c r="AE484" s="294" t="str">
        <f t="shared" ref="AE484:AE519" si="239">CONCATENATE(AH484&amp;AK484)</f>
        <v xml:space="preserve">20140101LS </v>
      </c>
      <c r="AF484" s="618" t="str">
        <f t="shared" si="231"/>
        <v>427</v>
      </c>
      <c r="AH484" s="265">
        <f>MiscData!$X$5</f>
        <v>20140101</v>
      </c>
      <c r="AI484" s="265">
        <f>IF(AI483+1&gt;MiscData!$AC$77,1,AI483+1)</f>
        <v>43</v>
      </c>
      <c r="AJ484" s="265" t="str">
        <f>VLOOKUP(AI484,MiscData!$AC$5:$AD$77,2,FALSE)</f>
        <v>LGUM_427</v>
      </c>
      <c r="AK484" s="265" t="str">
        <f>VLOOKUP(AJ484,MiscData!$AD$5:$AE$77,2,FALSE)</f>
        <v xml:space="preserve">LS </v>
      </c>
      <c r="AT484" s="265" t="s">
        <v>376</v>
      </c>
      <c r="AV484" s="265">
        <v>0</v>
      </c>
    </row>
    <row r="485" spans="1:48">
      <c r="A485" s="275">
        <f t="shared" si="232"/>
        <v>482</v>
      </c>
      <c r="B485" s="276" t="str">
        <f t="shared" si="234"/>
        <v>Jul 2014</v>
      </c>
      <c r="C485" s="277" t="str">
        <f t="shared" si="235"/>
        <v>RLS</v>
      </c>
      <c r="D485" s="277" t="str">
        <f t="shared" si="236"/>
        <v>LGUM_428</v>
      </c>
      <c r="E485" s="614">
        <f t="shared" si="213"/>
        <v>221</v>
      </c>
      <c r="F485" s="615">
        <f t="shared" si="233"/>
        <v>0</v>
      </c>
      <c r="G485" s="614">
        <f t="shared" si="214"/>
        <v>6768</v>
      </c>
      <c r="H485" s="615">
        <v>0</v>
      </c>
      <c r="I485" s="283">
        <f t="shared" si="215"/>
        <v>34.090000000000003</v>
      </c>
      <c r="J485" s="283">
        <f t="shared" si="216"/>
        <v>1.0600000000000023</v>
      </c>
      <c r="K485" s="285">
        <f t="shared" si="217"/>
        <v>7533.89</v>
      </c>
      <c r="L485" s="286">
        <f t="shared" si="218"/>
        <v>-22.730000000000473</v>
      </c>
      <c r="M485" s="286">
        <v>0</v>
      </c>
      <c r="N485" s="285">
        <f t="shared" si="219"/>
        <v>7511.16</v>
      </c>
      <c r="O485" s="616">
        <f t="shared" si="237"/>
        <v>7511.16</v>
      </c>
      <c r="P485" s="289">
        <f t="shared" si="220"/>
        <v>1</v>
      </c>
      <c r="Q485" s="290">
        <f t="shared" si="221"/>
        <v>9.33</v>
      </c>
      <c r="R485" s="290">
        <f t="shared" si="222"/>
        <v>246.82</v>
      </c>
      <c r="S485" s="290">
        <f t="shared" si="223"/>
        <v>0</v>
      </c>
      <c r="T485" s="290">
        <f t="shared" si="224"/>
        <v>8033.58</v>
      </c>
      <c r="U485" s="291">
        <f t="shared" si="225"/>
        <v>7767.3099999999995</v>
      </c>
      <c r="V485" s="291">
        <f t="shared" si="229"/>
        <v>266.27</v>
      </c>
      <c r="W485" s="265">
        <f t="shared" si="226"/>
        <v>266.27</v>
      </c>
      <c r="X485" s="291">
        <f t="shared" si="230"/>
        <v>0</v>
      </c>
      <c r="Y485" s="170">
        <f t="shared" si="227"/>
        <v>234.26</v>
      </c>
      <c r="Z485" s="291">
        <f t="shared" si="228"/>
        <v>7276.9</v>
      </c>
      <c r="AC485" s="276">
        <f>IF(AI485=1,IF(AC484=MiscData!$F$1,EOMONTH(AC484,-11),EOMONTH(AC484,1)),AC484)</f>
        <v>41851</v>
      </c>
      <c r="AD485" s="275" t="str">
        <f t="shared" si="238"/>
        <v>20140101LGUM_428</v>
      </c>
      <c r="AE485" s="294" t="str">
        <f t="shared" si="239"/>
        <v>20140101RLS</v>
      </c>
      <c r="AF485" s="618" t="str">
        <f t="shared" si="231"/>
        <v>428</v>
      </c>
      <c r="AH485" s="265">
        <f>MiscData!$X$5</f>
        <v>20140101</v>
      </c>
      <c r="AI485" s="265">
        <f>IF(AI484+1&gt;MiscData!$AC$77,1,AI484+1)</f>
        <v>44</v>
      </c>
      <c r="AJ485" s="265" t="str">
        <f>VLOOKUP(AI485,MiscData!$AC$5:$AD$77,2,FALSE)</f>
        <v>LGUM_428</v>
      </c>
      <c r="AK485" s="265" t="str">
        <f>VLOOKUP(AJ485,MiscData!$AD$5:$AE$77,2,FALSE)</f>
        <v>RLS</v>
      </c>
      <c r="AT485" s="265" t="s">
        <v>349</v>
      </c>
      <c r="AV485" s="265">
        <v>48.17</v>
      </c>
    </row>
    <row r="486" spans="1:48">
      <c r="A486" s="275">
        <f t="shared" si="232"/>
        <v>483</v>
      </c>
      <c r="B486" s="276" t="str">
        <f t="shared" si="234"/>
        <v>Jul 2014</v>
      </c>
      <c r="C486" s="277" t="str">
        <f t="shared" si="235"/>
        <v xml:space="preserve">LS </v>
      </c>
      <c r="D486" s="277" t="str">
        <f t="shared" si="236"/>
        <v>LGUM_429</v>
      </c>
      <c r="E486" s="614">
        <f t="shared" si="213"/>
        <v>198</v>
      </c>
      <c r="F486" s="615">
        <f t="shared" si="233"/>
        <v>-39</v>
      </c>
      <c r="G486" s="614">
        <f t="shared" si="214"/>
        <v>5796</v>
      </c>
      <c r="H486" s="615">
        <v>0</v>
      </c>
      <c r="I486" s="283">
        <f t="shared" si="215"/>
        <v>36.07</v>
      </c>
      <c r="J486" s="283">
        <f t="shared" si="216"/>
        <v>1.0599999999999952</v>
      </c>
      <c r="K486" s="285">
        <f t="shared" si="217"/>
        <v>5735.13</v>
      </c>
      <c r="L486" s="286">
        <f t="shared" si="218"/>
        <v>1036.4100000000008</v>
      </c>
      <c r="M486" s="286">
        <v>0</v>
      </c>
      <c r="N486" s="285">
        <f t="shared" si="219"/>
        <v>6771.5400000000009</v>
      </c>
      <c r="O486" s="616">
        <f t="shared" si="237"/>
        <v>6771.54</v>
      </c>
      <c r="P486" s="289">
        <f t="shared" si="220"/>
        <v>0.99999999999999989</v>
      </c>
      <c r="Q486" s="290">
        <f t="shared" si="221"/>
        <v>10.050000000000001</v>
      </c>
      <c r="R486" s="290">
        <f t="shared" si="222"/>
        <v>232.91</v>
      </c>
      <c r="S486" s="290">
        <f t="shared" si="223"/>
        <v>0</v>
      </c>
      <c r="T486" s="290">
        <f t="shared" si="224"/>
        <v>7663.36</v>
      </c>
      <c r="U486" s="291">
        <f t="shared" si="225"/>
        <v>7014.5000000000009</v>
      </c>
      <c r="V486" s="291">
        <f t="shared" si="229"/>
        <v>648.86</v>
      </c>
      <c r="W486" s="265">
        <f t="shared" si="226"/>
        <v>648.86</v>
      </c>
      <c r="X486" s="291">
        <f t="shared" si="230"/>
        <v>0</v>
      </c>
      <c r="Y486" s="170">
        <f t="shared" si="227"/>
        <v>209.88</v>
      </c>
      <c r="Z486" s="291">
        <f t="shared" si="228"/>
        <v>6561.66</v>
      </c>
      <c r="AC486" s="276">
        <f>IF(AI486=1,IF(AC485=MiscData!$F$1,EOMONTH(AC485,-11),EOMONTH(AC485,1)),AC485)</f>
        <v>41851</v>
      </c>
      <c r="AD486" s="275" t="str">
        <f t="shared" si="238"/>
        <v>20140101LGUM_429</v>
      </c>
      <c r="AE486" s="294" t="str">
        <f t="shared" si="239"/>
        <v xml:space="preserve">20140101LS </v>
      </c>
      <c r="AF486" s="618" t="str">
        <f t="shared" si="231"/>
        <v>429</v>
      </c>
      <c r="AH486" s="265">
        <f>MiscData!$X$5</f>
        <v>20140101</v>
      </c>
      <c r="AI486" s="265">
        <f>IF(AI485+1&gt;MiscData!$AC$77,1,AI485+1)</f>
        <v>45</v>
      </c>
      <c r="AJ486" s="265" t="str">
        <f>VLOOKUP(AI486,MiscData!$AC$5:$AD$77,2,FALSE)</f>
        <v>LGUM_429</v>
      </c>
      <c r="AK486" s="265" t="str">
        <f>VLOOKUP(AJ486,MiscData!$AD$5:$AE$77,2,FALSE)</f>
        <v xml:space="preserve">LS </v>
      </c>
      <c r="AT486" s="265" t="s">
        <v>350</v>
      </c>
      <c r="AV486" s="265">
        <v>0</v>
      </c>
    </row>
    <row r="487" spans="1:48">
      <c r="A487" s="275">
        <f t="shared" si="232"/>
        <v>484</v>
      </c>
      <c r="B487" s="276" t="str">
        <f t="shared" si="234"/>
        <v>Jul 2014</v>
      </c>
      <c r="C487" s="277" t="str">
        <f t="shared" si="235"/>
        <v>RLS</v>
      </c>
      <c r="D487" s="277" t="str">
        <f t="shared" si="236"/>
        <v>LGUM_430</v>
      </c>
      <c r="E487" s="614">
        <f t="shared" si="213"/>
        <v>13</v>
      </c>
      <c r="F487" s="615">
        <f t="shared" si="233"/>
        <v>0</v>
      </c>
      <c r="G487" s="614">
        <f t="shared" si="214"/>
        <v>301</v>
      </c>
      <c r="H487" s="615">
        <v>0</v>
      </c>
      <c r="I487" s="283">
        <f t="shared" si="215"/>
        <v>32.26</v>
      </c>
      <c r="J487" s="283">
        <f t="shared" si="216"/>
        <v>0.75</v>
      </c>
      <c r="K487" s="285">
        <f t="shared" si="217"/>
        <v>419.38</v>
      </c>
      <c r="L487" s="286">
        <f t="shared" si="218"/>
        <v>0</v>
      </c>
      <c r="M487" s="286">
        <v>0</v>
      </c>
      <c r="N487" s="285">
        <f t="shared" si="219"/>
        <v>419.38</v>
      </c>
      <c r="O487" s="616">
        <f t="shared" si="237"/>
        <v>419.38</v>
      </c>
      <c r="P487" s="289">
        <f t="shared" si="220"/>
        <v>1</v>
      </c>
      <c r="Q487" s="290">
        <f t="shared" si="221"/>
        <v>0.42</v>
      </c>
      <c r="R487" s="290">
        <f t="shared" si="222"/>
        <v>13.3</v>
      </c>
      <c r="S487" s="290">
        <f t="shared" si="223"/>
        <v>0</v>
      </c>
      <c r="T487" s="290">
        <f t="shared" si="224"/>
        <v>433.1</v>
      </c>
      <c r="U487" s="291">
        <f t="shared" si="225"/>
        <v>433.1</v>
      </c>
      <c r="V487" s="291">
        <f t="shared" si="229"/>
        <v>0</v>
      </c>
      <c r="W487" s="265">
        <f t="shared" si="226"/>
        <v>0</v>
      </c>
      <c r="X487" s="291">
        <f t="shared" si="230"/>
        <v>0</v>
      </c>
      <c r="Y487" s="170">
        <f t="shared" si="227"/>
        <v>9.75</v>
      </c>
      <c r="Z487" s="291">
        <f t="shared" si="228"/>
        <v>409.63</v>
      </c>
      <c r="AC487" s="276">
        <f>IF(AI487=1,IF(AC486=MiscData!$F$1,EOMONTH(AC486,-11),EOMONTH(AC486,1)),AC486)</f>
        <v>41851</v>
      </c>
      <c r="AD487" s="275" t="str">
        <f t="shared" si="238"/>
        <v>20140101LGUM_430</v>
      </c>
      <c r="AE487" s="294" t="str">
        <f t="shared" si="239"/>
        <v>20140101RLS</v>
      </c>
      <c r="AF487" s="618" t="str">
        <f t="shared" si="231"/>
        <v>430</v>
      </c>
      <c r="AH487" s="265">
        <f>MiscData!$X$5</f>
        <v>20140101</v>
      </c>
      <c r="AI487" s="265">
        <f>IF(AI486+1&gt;MiscData!$AC$77,1,AI486+1)</f>
        <v>46</v>
      </c>
      <c r="AJ487" s="265" t="str">
        <f>VLOOKUP(AI487,MiscData!$AC$5:$AD$77,2,FALSE)</f>
        <v>LGUM_430</v>
      </c>
      <c r="AK487" s="265" t="str">
        <f>VLOOKUP(AJ487,MiscData!$AD$5:$AE$77,2,FALSE)</f>
        <v>RLS</v>
      </c>
      <c r="AT487" s="265" t="s">
        <v>351</v>
      </c>
      <c r="AV487" s="265">
        <v>0</v>
      </c>
    </row>
    <row r="488" spans="1:48">
      <c r="A488" s="275">
        <f t="shared" si="232"/>
        <v>485</v>
      </c>
      <c r="B488" s="276" t="str">
        <f t="shared" si="234"/>
        <v>Jul 2014</v>
      </c>
      <c r="C488" s="277" t="str">
        <f t="shared" si="235"/>
        <v xml:space="preserve">LS </v>
      </c>
      <c r="D488" s="277" t="str">
        <f t="shared" si="236"/>
        <v>LGUM_431</v>
      </c>
      <c r="E488" s="614">
        <f t="shared" si="213"/>
        <v>45</v>
      </c>
      <c r="F488" s="615">
        <f t="shared" si="233"/>
        <v>0</v>
      </c>
      <c r="G488" s="614">
        <f t="shared" si="214"/>
        <v>1022</v>
      </c>
      <c r="H488" s="615">
        <v>0</v>
      </c>
      <c r="I488" s="283">
        <f t="shared" si="215"/>
        <v>32.93</v>
      </c>
      <c r="J488" s="283">
        <f t="shared" si="216"/>
        <v>0.75</v>
      </c>
      <c r="K488" s="285">
        <f t="shared" si="217"/>
        <v>1481.85</v>
      </c>
      <c r="L488" s="286">
        <f t="shared" si="218"/>
        <v>0</v>
      </c>
      <c r="M488" s="286">
        <v>0</v>
      </c>
      <c r="N488" s="285">
        <f t="shared" si="219"/>
        <v>1481.85</v>
      </c>
      <c r="O488" s="616">
        <f t="shared" si="237"/>
        <v>1481.85</v>
      </c>
      <c r="P488" s="289">
        <f t="shared" si="220"/>
        <v>1</v>
      </c>
      <c r="Q488" s="290">
        <f t="shared" si="221"/>
        <v>1.41</v>
      </c>
      <c r="R488" s="290">
        <f t="shared" si="222"/>
        <v>52.29</v>
      </c>
      <c r="S488" s="290">
        <f t="shared" si="223"/>
        <v>0</v>
      </c>
      <c r="T488" s="290">
        <f t="shared" si="224"/>
        <v>1701.53</v>
      </c>
      <c r="U488" s="291">
        <f t="shared" si="225"/>
        <v>1535.55</v>
      </c>
      <c r="V488" s="291">
        <f t="shared" si="229"/>
        <v>165.98</v>
      </c>
      <c r="W488" s="265">
        <f t="shared" si="226"/>
        <v>165.98</v>
      </c>
      <c r="X488" s="291">
        <f t="shared" si="230"/>
        <v>0</v>
      </c>
      <c r="Y488" s="170">
        <f t="shared" si="227"/>
        <v>33.75</v>
      </c>
      <c r="Z488" s="291">
        <f t="shared" si="228"/>
        <v>1448.1</v>
      </c>
      <c r="AC488" s="276">
        <f>IF(AI488=1,IF(AC487=MiscData!$F$1,EOMONTH(AC487,-11),EOMONTH(AC487,1)),AC487)</f>
        <v>41851</v>
      </c>
      <c r="AD488" s="275" t="str">
        <f t="shared" si="238"/>
        <v>20140101LGUM_431</v>
      </c>
      <c r="AE488" s="294" t="str">
        <f t="shared" si="239"/>
        <v xml:space="preserve">20140101LS </v>
      </c>
      <c r="AF488" s="618" t="str">
        <f t="shared" si="231"/>
        <v>431</v>
      </c>
      <c r="AH488" s="265">
        <f>MiscData!$X$5</f>
        <v>20140101</v>
      </c>
      <c r="AI488" s="265">
        <f>IF(AI487+1&gt;MiscData!$AC$77,1,AI487+1)</f>
        <v>47</v>
      </c>
      <c r="AJ488" s="265" t="str">
        <f>VLOOKUP(AI488,MiscData!$AC$5:$AD$77,2,FALSE)</f>
        <v>LGUM_431</v>
      </c>
      <c r="AK488" s="265" t="str">
        <f>VLOOKUP(AJ488,MiscData!$AD$5:$AE$77,2,FALSE)</f>
        <v xml:space="preserve">LS </v>
      </c>
      <c r="AT488" s="265" t="s">
        <v>631</v>
      </c>
      <c r="AV488" s="265">
        <v>0</v>
      </c>
    </row>
    <row r="489" spans="1:48">
      <c r="A489" s="275">
        <f t="shared" si="232"/>
        <v>486</v>
      </c>
      <c r="B489" s="276" t="str">
        <f t="shared" si="234"/>
        <v>Jul 2014</v>
      </c>
      <c r="C489" s="277" t="str">
        <f t="shared" si="235"/>
        <v>RLS</v>
      </c>
      <c r="D489" s="277" t="str">
        <f t="shared" si="236"/>
        <v>LGUM_432</v>
      </c>
      <c r="E489" s="614">
        <f t="shared" si="213"/>
        <v>10</v>
      </c>
      <c r="F489" s="615">
        <f t="shared" si="233"/>
        <v>0</v>
      </c>
      <c r="G489" s="614">
        <f t="shared" si="214"/>
        <v>305</v>
      </c>
      <c r="H489" s="615">
        <v>0</v>
      </c>
      <c r="I489" s="283">
        <f t="shared" si="215"/>
        <v>34.330000000000005</v>
      </c>
      <c r="J489" s="283">
        <f t="shared" si="216"/>
        <v>1.0600000000000023</v>
      </c>
      <c r="K489" s="285">
        <f t="shared" si="217"/>
        <v>343.3</v>
      </c>
      <c r="L489" s="286">
        <f t="shared" si="218"/>
        <v>0</v>
      </c>
      <c r="M489" s="286">
        <v>0</v>
      </c>
      <c r="N489" s="285">
        <f t="shared" si="219"/>
        <v>343.3</v>
      </c>
      <c r="O489" s="616">
        <f t="shared" si="237"/>
        <v>343.29999999999995</v>
      </c>
      <c r="P489" s="289">
        <f t="shared" si="220"/>
        <v>0.99999999999999989</v>
      </c>
      <c r="Q489" s="290">
        <f t="shared" si="221"/>
        <v>0.42</v>
      </c>
      <c r="R489" s="290">
        <f t="shared" si="222"/>
        <v>11.01</v>
      </c>
      <c r="S489" s="290">
        <f t="shared" si="223"/>
        <v>0</v>
      </c>
      <c r="T489" s="290">
        <f t="shared" si="224"/>
        <v>358.2</v>
      </c>
      <c r="U489" s="291">
        <f t="shared" si="225"/>
        <v>354.73</v>
      </c>
      <c r="V489" s="291">
        <f t="shared" si="229"/>
        <v>3.47</v>
      </c>
      <c r="W489" s="265">
        <f t="shared" si="226"/>
        <v>3.47</v>
      </c>
      <c r="X489" s="291">
        <f t="shared" si="230"/>
        <v>0</v>
      </c>
      <c r="Y489" s="170">
        <f t="shared" si="227"/>
        <v>10.6</v>
      </c>
      <c r="Z489" s="291">
        <f t="shared" si="228"/>
        <v>332.69999999999993</v>
      </c>
      <c r="AC489" s="276">
        <f>IF(AI489=1,IF(AC488=MiscData!$F$1,EOMONTH(AC488,-11),EOMONTH(AC488,1)),AC488)</f>
        <v>41851</v>
      </c>
      <c r="AD489" s="275" t="str">
        <f t="shared" si="238"/>
        <v>20140101LGUM_432</v>
      </c>
      <c r="AE489" s="294" t="str">
        <f t="shared" si="239"/>
        <v>20140101RLS</v>
      </c>
      <c r="AF489" s="618" t="str">
        <f t="shared" si="231"/>
        <v>432</v>
      </c>
      <c r="AH489" s="265">
        <f>MiscData!$X$5</f>
        <v>20140101</v>
      </c>
      <c r="AI489" s="265">
        <f>IF(AI488+1&gt;MiscData!$AC$77,1,AI488+1)</f>
        <v>48</v>
      </c>
      <c r="AJ489" s="265" t="str">
        <f>VLOOKUP(AI489,MiscData!$AC$5:$AD$77,2,FALSE)</f>
        <v>LGUM_432</v>
      </c>
      <c r="AK489" s="265" t="str">
        <f>VLOOKUP(AJ489,MiscData!$AD$5:$AE$77,2,FALSE)</f>
        <v>RLS</v>
      </c>
      <c r="AT489" s="265" t="s">
        <v>352</v>
      </c>
      <c r="AV489" s="265">
        <v>0</v>
      </c>
    </row>
    <row r="490" spans="1:48">
      <c r="A490" s="275">
        <f t="shared" si="232"/>
        <v>487</v>
      </c>
      <c r="B490" s="276" t="str">
        <f t="shared" si="234"/>
        <v>Jul 2014</v>
      </c>
      <c r="C490" s="277" t="str">
        <f t="shared" si="235"/>
        <v xml:space="preserve">LS </v>
      </c>
      <c r="D490" s="277" t="str">
        <f t="shared" si="236"/>
        <v>LGUM_433</v>
      </c>
      <c r="E490" s="614">
        <f t="shared" si="213"/>
        <v>196</v>
      </c>
      <c r="F490" s="615">
        <f t="shared" si="233"/>
        <v>-4</v>
      </c>
      <c r="G490" s="614">
        <f t="shared" si="214"/>
        <v>6350</v>
      </c>
      <c r="H490" s="615">
        <v>0</v>
      </c>
      <c r="I490" s="283">
        <f t="shared" si="215"/>
        <v>34.99</v>
      </c>
      <c r="J490" s="283">
        <f t="shared" si="216"/>
        <v>1.0600000000000023</v>
      </c>
      <c r="K490" s="285">
        <f t="shared" si="217"/>
        <v>6718.08</v>
      </c>
      <c r="L490" s="286">
        <f t="shared" si="218"/>
        <v>111.97000000000025</v>
      </c>
      <c r="M490" s="286">
        <v>0</v>
      </c>
      <c r="N490" s="285">
        <f t="shared" si="219"/>
        <v>6830.05</v>
      </c>
      <c r="O490" s="616">
        <f t="shared" si="237"/>
        <v>6830.05</v>
      </c>
      <c r="P490" s="289">
        <f t="shared" si="220"/>
        <v>1</v>
      </c>
      <c r="Q490" s="290">
        <f t="shared" si="221"/>
        <v>9.01</v>
      </c>
      <c r="R490" s="290">
        <f t="shared" si="222"/>
        <v>246.12</v>
      </c>
      <c r="S490" s="290">
        <f t="shared" si="223"/>
        <v>0</v>
      </c>
      <c r="T490" s="290">
        <f t="shared" si="224"/>
        <v>8018.58</v>
      </c>
      <c r="U490" s="291">
        <f t="shared" si="225"/>
        <v>7085.18</v>
      </c>
      <c r="V490" s="291">
        <f t="shared" si="229"/>
        <v>933.4</v>
      </c>
      <c r="W490" s="265">
        <f t="shared" si="226"/>
        <v>933.4</v>
      </c>
      <c r="X490" s="291">
        <f t="shared" si="230"/>
        <v>0</v>
      </c>
      <c r="Y490" s="170">
        <f t="shared" si="227"/>
        <v>207.76</v>
      </c>
      <c r="Z490" s="291">
        <f t="shared" si="228"/>
        <v>6622.29</v>
      </c>
      <c r="AC490" s="276">
        <f>IF(AI490=1,IF(AC489=MiscData!$F$1,EOMONTH(AC489,-11),EOMONTH(AC489,1)),AC489)</f>
        <v>41851</v>
      </c>
      <c r="AD490" s="275" t="str">
        <f t="shared" si="238"/>
        <v>20140101LGUM_433</v>
      </c>
      <c r="AE490" s="294" t="str">
        <f t="shared" si="239"/>
        <v xml:space="preserve">20140101LS </v>
      </c>
      <c r="AF490" s="618" t="str">
        <f t="shared" si="231"/>
        <v>433</v>
      </c>
      <c r="AH490" s="265">
        <f>MiscData!$X$5</f>
        <v>20140101</v>
      </c>
      <c r="AI490" s="265">
        <f>IF(AI489+1&gt;MiscData!$AC$77,1,AI489+1)</f>
        <v>49</v>
      </c>
      <c r="AJ490" s="265" t="str">
        <f>VLOOKUP(AI490,MiscData!$AC$5:$AD$77,2,FALSE)</f>
        <v>LGUM_433</v>
      </c>
      <c r="AK490" s="265" t="str">
        <f>VLOOKUP(AJ490,MiscData!$AD$5:$AE$77,2,FALSE)</f>
        <v xml:space="preserve">LS </v>
      </c>
      <c r="AT490" s="265" t="s">
        <v>353</v>
      </c>
      <c r="AV490" s="265">
        <v>0</v>
      </c>
    </row>
    <row r="491" spans="1:48">
      <c r="A491" s="275">
        <f t="shared" si="232"/>
        <v>488</v>
      </c>
      <c r="B491" s="276" t="str">
        <f t="shared" si="234"/>
        <v>Jul 2014</v>
      </c>
      <c r="C491" s="277" t="str">
        <f t="shared" si="235"/>
        <v xml:space="preserve">LS </v>
      </c>
      <c r="D491" s="277" t="str">
        <f t="shared" si="236"/>
        <v>LGUM_439</v>
      </c>
      <c r="E491" s="614">
        <f t="shared" si="213"/>
        <v>0</v>
      </c>
      <c r="F491" s="615">
        <f t="shared" si="233"/>
        <v>0</v>
      </c>
      <c r="G491" s="614">
        <f t="shared" si="214"/>
        <v>0</v>
      </c>
      <c r="H491" s="615">
        <v>0</v>
      </c>
      <c r="I491" s="283">
        <f t="shared" si="215"/>
        <v>16.459999999999997</v>
      </c>
      <c r="J491" s="283">
        <f t="shared" si="216"/>
        <v>1.6499999999999986</v>
      </c>
      <c r="K491" s="285">
        <f t="shared" si="217"/>
        <v>0</v>
      </c>
      <c r="L491" s="286">
        <f t="shared" si="218"/>
        <v>0</v>
      </c>
      <c r="M491" s="286">
        <v>0</v>
      </c>
      <c r="N491" s="285">
        <f t="shared" si="219"/>
        <v>0</v>
      </c>
      <c r="O491" s="616">
        <f t="shared" si="237"/>
        <v>0</v>
      </c>
      <c r="P491" s="289">
        <f t="shared" si="220"/>
        <v>1</v>
      </c>
      <c r="Q491" s="290">
        <f t="shared" si="221"/>
        <v>0</v>
      </c>
      <c r="R491" s="290">
        <f t="shared" si="222"/>
        <v>0</v>
      </c>
      <c r="S491" s="290">
        <f t="shared" si="223"/>
        <v>0</v>
      </c>
      <c r="T491" s="290">
        <f t="shared" si="224"/>
        <v>0</v>
      </c>
      <c r="U491" s="291">
        <f t="shared" si="225"/>
        <v>0</v>
      </c>
      <c r="V491" s="291">
        <f t="shared" si="229"/>
        <v>0</v>
      </c>
      <c r="W491" s="265">
        <f t="shared" si="226"/>
        <v>0</v>
      </c>
      <c r="X491" s="291">
        <f t="shared" si="230"/>
        <v>0</v>
      </c>
      <c r="Y491" s="170">
        <f t="shared" si="227"/>
        <v>0</v>
      </c>
      <c r="Z491" s="291">
        <f t="shared" si="228"/>
        <v>0</v>
      </c>
      <c r="AC491" s="276">
        <f>IF(AI491=1,IF(AC490=MiscData!$F$1,EOMONTH(AC490,-11),EOMONTH(AC490,1)),AC490)</f>
        <v>41851</v>
      </c>
      <c r="AD491" s="275" t="str">
        <f t="shared" si="238"/>
        <v>20140101LGUM_439</v>
      </c>
      <c r="AE491" s="294" t="str">
        <f t="shared" si="239"/>
        <v xml:space="preserve">20140101LS </v>
      </c>
      <c r="AF491" s="618" t="str">
        <f t="shared" si="231"/>
        <v>439</v>
      </c>
      <c r="AH491" s="265">
        <f>MiscData!$X$5</f>
        <v>20140101</v>
      </c>
      <c r="AI491" s="265">
        <f>IF(AI490+1&gt;MiscData!$AC$77,1,AI490+1)</f>
        <v>50</v>
      </c>
      <c r="AJ491" s="265" t="str">
        <f>VLOOKUP(AI491,MiscData!$AC$5:$AD$77,2,FALSE)</f>
        <v>LGUM_439</v>
      </c>
      <c r="AK491" s="265" t="str">
        <f>VLOOKUP(AJ491,MiscData!$AD$5:$AE$77,2,FALSE)</f>
        <v xml:space="preserve">LS </v>
      </c>
      <c r="AT491" s="265" t="s">
        <v>729</v>
      </c>
      <c r="AV491" s="265">
        <v>0</v>
      </c>
    </row>
    <row r="492" spans="1:48">
      <c r="A492" s="275">
        <f t="shared" si="232"/>
        <v>489</v>
      </c>
      <c r="B492" s="276" t="str">
        <f t="shared" si="234"/>
        <v>Jul 2014</v>
      </c>
      <c r="C492" s="277" t="str">
        <f t="shared" si="235"/>
        <v xml:space="preserve">LS </v>
      </c>
      <c r="D492" s="277" t="str">
        <f t="shared" si="236"/>
        <v>LGUM_440</v>
      </c>
      <c r="E492" s="614">
        <f t="shared" si="213"/>
        <v>2</v>
      </c>
      <c r="F492" s="615">
        <f t="shared" si="233"/>
        <v>0</v>
      </c>
      <c r="G492" s="614">
        <f t="shared" si="214"/>
        <v>159</v>
      </c>
      <c r="H492" s="615">
        <v>0</v>
      </c>
      <c r="I492" s="283">
        <f t="shared" si="215"/>
        <v>18.279999999999998</v>
      </c>
      <c r="J492" s="283">
        <f t="shared" si="216"/>
        <v>2.67</v>
      </c>
      <c r="K492" s="285">
        <f t="shared" si="217"/>
        <v>36.56</v>
      </c>
      <c r="L492" s="286">
        <f t="shared" si="218"/>
        <v>0</v>
      </c>
      <c r="M492" s="286">
        <v>0</v>
      </c>
      <c r="N492" s="285">
        <f t="shared" si="219"/>
        <v>36.56</v>
      </c>
      <c r="O492" s="616">
        <f t="shared" si="237"/>
        <v>36.559999999999995</v>
      </c>
      <c r="P492" s="289">
        <f t="shared" si="220"/>
        <v>0.99999999999999978</v>
      </c>
      <c r="Q492" s="290">
        <f t="shared" si="221"/>
        <v>0.22</v>
      </c>
      <c r="R492" s="290">
        <f t="shared" si="222"/>
        <v>1.1599999999999999</v>
      </c>
      <c r="S492" s="290">
        <f t="shared" si="223"/>
        <v>0</v>
      </c>
      <c r="T492" s="290">
        <f t="shared" si="224"/>
        <v>37.94</v>
      </c>
      <c r="U492" s="291">
        <f t="shared" si="225"/>
        <v>37.94</v>
      </c>
      <c r="V492" s="291">
        <f t="shared" si="229"/>
        <v>0</v>
      </c>
      <c r="W492" s="265">
        <f t="shared" si="226"/>
        <v>0</v>
      </c>
      <c r="X492" s="291">
        <f t="shared" si="230"/>
        <v>0</v>
      </c>
      <c r="Y492" s="170">
        <f t="shared" si="227"/>
        <v>5.34</v>
      </c>
      <c r="Z492" s="291">
        <f t="shared" si="228"/>
        <v>31.219999999999995</v>
      </c>
      <c r="AC492" s="276">
        <f>IF(AI492=1,IF(AC491=MiscData!$F$1,EOMONTH(AC491,-11),EOMONTH(AC491,1)),AC491)</f>
        <v>41851</v>
      </c>
      <c r="AD492" s="275" t="str">
        <f t="shared" si="238"/>
        <v>20140101LGUM_440</v>
      </c>
      <c r="AE492" s="294" t="str">
        <f t="shared" si="239"/>
        <v xml:space="preserve">20140101LS </v>
      </c>
      <c r="AF492" s="618" t="str">
        <f t="shared" si="231"/>
        <v>440</v>
      </c>
      <c r="AH492" s="265">
        <f>MiscData!$X$5</f>
        <v>20140101</v>
      </c>
      <c r="AI492" s="265">
        <f>IF(AI491+1&gt;MiscData!$AC$77,1,AI491+1)</f>
        <v>51</v>
      </c>
      <c r="AJ492" s="265" t="str">
        <f>VLOOKUP(AI492,MiscData!$AC$5:$AD$77,2,FALSE)</f>
        <v>LGUM_440</v>
      </c>
      <c r="AK492" s="265" t="str">
        <f>VLOOKUP(AJ492,MiscData!$AD$5:$AE$77,2,FALSE)</f>
        <v xml:space="preserve">LS </v>
      </c>
      <c r="AT492" s="265" t="s">
        <v>730</v>
      </c>
      <c r="AV492" s="265">
        <v>0</v>
      </c>
    </row>
    <row r="493" spans="1:48">
      <c r="A493" s="275">
        <f t="shared" si="232"/>
        <v>490</v>
      </c>
      <c r="B493" s="276" t="str">
        <f t="shared" si="234"/>
        <v>Jul 2014</v>
      </c>
      <c r="C493" s="277" t="str">
        <f t="shared" si="235"/>
        <v xml:space="preserve">LS </v>
      </c>
      <c r="D493" s="277" t="str">
        <f t="shared" si="236"/>
        <v>LGUM_441</v>
      </c>
      <c r="E493" s="614">
        <f t="shared" si="213"/>
        <v>17</v>
      </c>
      <c r="F493" s="615">
        <f t="shared" si="233"/>
        <v>0</v>
      </c>
      <c r="G493" s="614">
        <f t="shared" si="214"/>
        <v>2129</v>
      </c>
      <c r="H493" s="615">
        <v>0</v>
      </c>
      <c r="I493" s="283">
        <f t="shared" si="215"/>
        <v>22.32</v>
      </c>
      <c r="J493" s="283">
        <f t="shared" si="216"/>
        <v>4.2800000000000011</v>
      </c>
      <c r="K493" s="285">
        <f t="shared" si="217"/>
        <v>379.44</v>
      </c>
      <c r="L493" s="286">
        <f t="shared" si="218"/>
        <v>0</v>
      </c>
      <c r="M493" s="286">
        <v>0</v>
      </c>
      <c r="N493" s="285">
        <f t="shared" si="219"/>
        <v>379.44</v>
      </c>
      <c r="O493" s="616">
        <f t="shared" si="237"/>
        <v>379.44</v>
      </c>
      <c r="P493" s="289">
        <f t="shared" si="220"/>
        <v>1</v>
      </c>
      <c r="Q493" s="290">
        <f t="shared" si="221"/>
        <v>2.94</v>
      </c>
      <c r="R493" s="290">
        <f t="shared" si="222"/>
        <v>12.12</v>
      </c>
      <c r="S493" s="290">
        <f t="shared" si="223"/>
        <v>0</v>
      </c>
      <c r="T493" s="290">
        <f t="shared" si="224"/>
        <v>394.5</v>
      </c>
      <c r="U493" s="291">
        <f t="shared" si="225"/>
        <v>394.5</v>
      </c>
      <c r="V493" s="291">
        <f t="shared" si="229"/>
        <v>0</v>
      </c>
      <c r="W493" s="265">
        <f t="shared" si="226"/>
        <v>0</v>
      </c>
      <c r="X493" s="291">
        <f t="shared" si="230"/>
        <v>0</v>
      </c>
      <c r="Y493" s="170">
        <f t="shared" si="227"/>
        <v>72.760000000000005</v>
      </c>
      <c r="Z493" s="291">
        <f t="shared" si="228"/>
        <v>306.68</v>
      </c>
      <c r="AC493" s="276">
        <f>IF(AI493=1,IF(AC492=MiscData!$F$1,EOMONTH(AC492,-11),EOMONTH(AC492,1)),AC492)</f>
        <v>41851</v>
      </c>
      <c r="AD493" s="275" t="str">
        <f t="shared" si="238"/>
        <v>20140101LGUM_441</v>
      </c>
      <c r="AE493" s="294" t="str">
        <f t="shared" si="239"/>
        <v xml:space="preserve">20140101LS </v>
      </c>
      <c r="AF493" s="618" t="str">
        <f t="shared" si="231"/>
        <v>441</v>
      </c>
      <c r="AH493" s="265">
        <f>MiscData!$X$5</f>
        <v>20140101</v>
      </c>
      <c r="AI493" s="265">
        <f>IF(AI492+1&gt;MiscData!$AC$77,1,AI492+1)</f>
        <v>52</v>
      </c>
      <c r="AJ493" s="265" t="str">
        <f>VLOOKUP(AI493,MiscData!$AC$5:$AD$77,2,FALSE)</f>
        <v>LGUM_441</v>
      </c>
      <c r="AK493" s="265" t="str">
        <f>VLOOKUP(AJ493,MiscData!$AD$5:$AE$77,2,FALSE)</f>
        <v xml:space="preserve">LS </v>
      </c>
      <c r="AT493" s="265" t="s">
        <v>378</v>
      </c>
      <c r="AV493" s="265">
        <v>0</v>
      </c>
    </row>
    <row r="494" spans="1:48">
      <c r="A494" s="275">
        <f t="shared" si="232"/>
        <v>491</v>
      </c>
      <c r="B494" s="276" t="str">
        <f t="shared" si="234"/>
        <v>Jul 2014</v>
      </c>
      <c r="C494" s="277" t="str">
        <f t="shared" si="235"/>
        <v xml:space="preserve">LS </v>
      </c>
      <c r="D494" s="277" t="str">
        <f t="shared" si="236"/>
        <v>LGUM_452</v>
      </c>
      <c r="E494" s="614">
        <f t="shared" si="213"/>
        <v>6602</v>
      </c>
      <c r="F494" s="615">
        <f t="shared" si="233"/>
        <v>-36</v>
      </c>
      <c r="G494" s="614">
        <f t="shared" si="214"/>
        <v>325705</v>
      </c>
      <c r="H494" s="615">
        <v>0</v>
      </c>
      <c r="I494" s="283">
        <f t="shared" si="215"/>
        <v>12.82</v>
      </c>
      <c r="J494" s="283">
        <f t="shared" si="216"/>
        <v>1.6500000000000004</v>
      </c>
      <c r="K494" s="285">
        <f t="shared" si="217"/>
        <v>84176.12</v>
      </c>
      <c r="L494" s="286">
        <f t="shared" si="218"/>
        <v>305.2100000000064</v>
      </c>
      <c r="M494" s="286">
        <v>0</v>
      </c>
      <c r="N494" s="285">
        <f t="shared" si="219"/>
        <v>84481.33</v>
      </c>
      <c r="O494" s="616">
        <f t="shared" si="237"/>
        <v>84481.33</v>
      </c>
      <c r="P494" s="289">
        <f t="shared" si="220"/>
        <v>1</v>
      </c>
      <c r="Q494" s="290">
        <f t="shared" si="221"/>
        <v>450.15</v>
      </c>
      <c r="R494" s="290">
        <f t="shared" si="222"/>
        <v>2729.34</v>
      </c>
      <c r="S494" s="290">
        <f t="shared" si="223"/>
        <v>0</v>
      </c>
      <c r="T494" s="290">
        <f t="shared" si="224"/>
        <v>88800.63</v>
      </c>
      <c r="U494" s="291">
        <f t="shared" si="225"/>
        <v>87660.819999999992</v>
      </c>
      <c r="V494" s="291">
        <f t="shared" si="229"/>
        <v>1139.81</v>
      </c>
      <c r="W494" s="265">
        <f t="shared" si="226"/>
        <v>1139.81</v>
      </c>
      <c r="X494" s="291">
        <f t="shared" si="230"/>
        <v>0</v>
      </c>
      <c r="Y494" s="170">
        <f t="shared" si="227"/>
        <v>10893.3</v>
      </c>
      <c r="Z494" s="291">
        <f t="shared" si="228"/>
        <v>73588.03</v>
      </c>
      <c r="AC494" s="276">
        <f>IF(AI494=1,IF(AC493=MiscData!$F$1,EOMONTH(AC493,-11),EOMONTH(AC493,1)),AC493)</f>
        <v>41851</v>
      </c>
      <c r="AD494" s="275" t="str">
        <f t="shared" si="238"/>
        <v>20140101LGUM_452</v>
      </c>
      <c r="AE494" s="294" t="str">
        <f t="shared" si="239"/>
        <v xml:space="preserve">20140101LS </v>
      </c>
      <c r="AF494" s="618" t="str">
        <f t="shared" si="231"/>
        <v>452</v>
      </c>
      <c r="AH494" s="265">
        <f>MiscData!$X$5</f>
        <v>20140101</v>
      </c>
      <c r="AI494" s="265">
        <f>IF(AI493+1&gt;MiscData!$AC$77,1,AI493+1)</f>
        <v>53</v>
      </c>
      <c r="AJ494" s="265" t="str">
        <f>VLOOKUP(AI494,MiscData!$AC$5:$AD$77,2,FALSE)</f>
        <v>LGUM_452</v>
      </c>
      <c r="AK494" s="265" t="str">
        <f>VLOOKUP(AJ494,MiscData!$AD$5:$AE$77,2,FALSE)</f>
        <v xml:space="preserve">LS </v>
      </c>
      <c r="AT494" s="265" t="s">
        <v>354</v>
      </c>
      <c r="AV494" s="265">
        <v>23.03</v>
      </c>
    </row>
    <row r="495" spans="1:48">
      <c r="A495" s="275">
        <f t="shared" si="232"/>
        <v>492</v>
      </c>
      <c r="B495" s="276" t="str">
        <f t="shared" si="234"/>
        <v>Jul 2014</v>
      </c>
      <c r="C495" s="277" t="str">
        <f t="shared" si="235"/>
        <v xml:space="preserve">LS </v>
      </c>
      <c r="D495" s="277" t="str">
        <f t="shared" si="236"/>
        <v>LGUM_453</v>
      </c>
      <c r="E495" s="614">
        <f t="shared" si="213"/>
        <v>9416</v>
      </c>
      <c r="F495" s="615">
        <f t="shared" si="233"/>
        <v>-37</v>
      </c>
      <c r="G495" s="614">
        <f t="shared" si="214"/>
        <v>769571</v>
      </c>
      <c r="H495" s="615">
        <v>0</v>
      </c>
      <c r="I495" s="283">
        <f t="shared" si="215"/>
        <v>15.08</v>
      </c>
      <c r="J495" s="283">
        <f t="shared" si="216"/>
        <v>3.9800000000000004</v>
      </c>
      <c r="K495" s="285">
        <f t="shared" si="217"/>
        <v>141435.32</v>
      </c>
      <c r="L495" s="286">
        <f t="shared" si="218"/>
        <v>624.97999999998137</v>
      </c>
      <c r="M495" s="286">
        <v>0</v>
      </c>
      <c r="N495" s="285">
        <f t="shared" si="219"/>
        <v>142060.29999999999</v>
      </c>
      <c r="O495" s="616">
        <f t="shared" si="237"/>
        <v>142060.29999999999</v>
      </c>
      <c r="P495" s="289">
        <f t="shared" si="220"/>
        <v>1</v>
      </c>
      <c r="Q495" s="290">
        <f t="shared" si="221"/>
        <v>1065.8800000000001</v>
      </c>
      <c r="R495" s="290">
        <f t="shared" si="222"/>
        <v>4571.28</v>
      </c>
      <c r="S495" s="290">
        <f t="shared" si="223"/>
        <v>0</v>
      </c>
      <c r="T495" s="290">
        <f t="shared" si="224"/>
        <v>148825.46</v>
      </c>
      <c r="U495" s="291">
        <f t="shared" si="225"/>
        <v>147697.46</v>
      </c>
      <c r="V495" s="291">
        <f t="shared" si="229"/>
        <v>1128</v>
      </c>
      <c r="W495" s="265">
        <f t="shared" si="226"/>
        <v>1128</v>
      </c>
      <c r="X495" s="291">
        <f t="shared" si="230"/>
        <v>0</v>
      </c>
      <c r="Y495" s="170">
        <f t="shared" si="227"/>
        <v>37475.68</v>
      </c>
      <c r="Z495" s="291">
        <f t="shared" si="228"/>
        <v>104584.62</v>
      </c>
      <c r="AC495" s="276">
        <f>IF(AI495=1,IF(AC494=MiscData!$F$1,EOMONTH(AC494,-11),EOMONTH(AC494,1)),AC494)</f>
        <v>41851</v>
      </c>
      <c r="AD495" s="275" t="str">
        <f t="shared" si="238"/>
        <v>20140101LGUM_453</v>
      </c>
      <c r="AE495" s="294" t="str">
        <f t="shared" si="239"/>
        <v xml:space="preserve">20140101LS </v>
      </c>
      <c r="AF495" s="618" t="str">
        <f t="shared" si="231"/>
        <v>453</v>
      </c>
      <c r="AH495" s="265">
        <f>MiscData!$X$5</f>
        <v>20140101</v>
      </c>
      <c r="AI495" s="265">
        <f>IF(AI494+1&gt;MiscData!$AC$77,1,AI494+1)</f>
        <v>54</v>
      </c>
      <c r="AJ495" s="265" t="str">
        <f>VLOOKUP(AI495,MiscData!$AC$5:$AD$77,2,FALSE)</f>
        <v>LGUM_453</v>
      </c>
      <c r="AK495" s="265" t="str">
        <f>VLOOKUP(AJ495,MiscData!$AD$5:$AE$77,2,FALSE)</f>
        <v xml:space="preserve">LS </v>
      </c>
      <c r="AT495" s="265" t="s">
        <v>355</v>
      </c>
      <c r="AV495" s="265">
        <v>208.69</v>
      </c>
    </row>
    <row r="496" spans="1:48">
      <c r="A496" s="275">
        <f t="shared" si="232"/>
        <v>493</v>
      </c>
      <c r="B496" s="276" t="str">
        <f t="shared" si="234"/>
        <v>Jul 2014</v>
      </c>
      <c r="C496" s="277" t="str">
        <f t="shared" si="235"/>
        <v xml:space="preserve">LS </v>
      </c>
      <c r="D496" s="277" t="str">
        <f t="shared" si="236"/>
        <v>LGUM_454</v>
      </c>
      <c r="E496" s="614">
        <f t="shared" si="213"/>
        <v>5620</v>
      </c>
      <c r="F496" s="615">
        <f t="shared" si="233"/>
        <v>-96</v>
      </c>
      <c r="G496" s="614">
        <f t="shared" si="214"/>
        <v>715784</v>
      </c>
      <c r="H496" s="615">
        <v>0</v>
      </c>
      <c r="I496" s="283">
        <f t="shared" si="215"/>
        <v>17.38</v>
      </c>
      <c r="J496" s="283">
        <f t="shared" si="216"/>
        <v>4.2800000000000011</v>
      </c>
      <c r="K496" s="285">
        <f t="shared" si="217"/>
        <v>96007.12</v>
      </c>
      <c r="L496" s="286">
        <f t="shared" si="218"/>
        <v>1384.2799999999988</v>
      </c>
      <c r="M496" s="286">
        <v>0</v>
      </c>
      <c r="N496" s="285">
        <f t="shared" si="219"/>
        <v>97391.4</v>
      </c>
      <c r="O496" s="616">
        <f t="shared" si="237"/>
        <v>97391.400000000009</v>
      </c>
      <c r="P496" s="289">
        <f t="shared" si="220"/>
        <v>1.0000000000000002</v>
      </c>
      <c r="Q496" s="290">
        <f t="shared" si="221"/>
        <v>1006.93</v>
      </c>
      <c r="R496" s="290">
        <f t="shared" si="222"/>
        <v>3207.94</v>
      </c>
      <c r="S496" s="290">
        <f t="shared" si="223"/>
        <v>0</v>
      </c>
      <c r="T496" s="290">
        <f t="shared" si="224"/>
        <v>104473.16</v>
      </c>
      <c r="U496" s="291">
        <f t="shared" si="225"/>
        <v>101606.26999999999</v>
      </c>
      <c r="V496" s="291">
        <f t="shared" si="229"/>
        <v>2866.89</v>
      </c>
      <c r="W496" s="265">
        <f t="shared" si="226"/>
        <v>2866.89</v>
      </c>
      <c r="X496" s="291">
        <f t="shared" si="230"/>
        <v>0</v>
      </c>
      <c r="Y496" s="170">
        <f t="shared" si="227"/>
        <v>24053.599999999999</v>
      </c>
      <c r="Z496" s="291">
        <f t="shared" si="228"/>
        <v>73337.800000000017</v>
      </c>
      <c r="AC496" s="276">
        <f>IF(AI496=1,IF(AC495=MiscData!$F$1,EOMONTH(AC495,-11),EOMONTH(AC495,1)),AC495)</f>
        <v>41851</v>
      </c>
      <c r="AD496" s="275" t="str">
        <f t="shared" si="238"/>
        <v>20140101LGUM_454</v>
      </c>
      <c r="AE496" s="294" t="str">
        <f t="shared" si="239"/>
        <v xml:space="preserve">20140101LS </v>
      </c>
      <c r="AF496" s="618" t="str">
        <f t="shared" si="231"/>
        <v>454</v>
      </c>
      <c r="AH496" s="265">
        <f>MiscData!$X$5</f>
        <v>20140101</v>
      </c>
      <c r="AI496" s="265">
        <f>IF(AI495+1&gt;MiscData!$AC$77,1,AI495+1)</f>
        <v>55</v>
      </c>
      <c r="AJ496" s="265" t="str">
        <f>VLOOKUP(AI496,MiscData!$AC$5:$AD$77,2,FALSE)</f>
        <v>LGUM_454</v>
      </c>
      <c r="AK496" s="265" t="str">
        <f>VLOOKUP(AJ496,MiscData!$AD$5:$AE$77,2,FALSE)</f>
        <v xml:space="preserve">LS </v>
      </c>
      <c r="AT496" s="265" t="s">
        <v>356</v>
      </c>
      <c r="AV496" s="265">
        <v>622.97</v>
      </c>
    </row>
    <row r="497" spans="1:48">
      <c r="A497" s="275">
        <f t="shared" si="232"/>
        <v>494</v>
      </c>
      <c r="B497" s="276" t="str">
        <f t="shared" si="234"/>
        <v>Jul 2014</v>
      </c>
      <c r="C497" s="277" t="str">
        <f t="shared" si="235"/>
        <v xml:space="preserve">LS </v>
      </c>
      <c r="D497" s="277" t="str">
        <f t="shared" si="236"/>
        <v>LGUM_455</v>
      </c>
      <c r="E497" s="614">
        <f t="shared" si="213"/>
        <v>419</v>
      </c>
      <c r="F497" s="615">
        <f t="shared" si="233"/>
        <v>-10</v>
      </c>
      <c r="G497" s="614">
        <f t="shared" si="214"/>
        <v>20014</v>
      </c>
      <c r="H497" s="615">
        <v>0</v>
      </c>
      <c r="I497" s="283">
        <f t="shared" si="215"/>
        <v>13.77</v>
      </c>
      <c r="J497" s="283">
        <f t="shared" si="216"/>
        <v>1.6499999999999986</v>
      </c>
      <c r="K497" s="285">
        <f t="shared" si="217"/>
        <v>5631.93</v>
      </c>
      <c r="L497" s="286">
        <f t="shared" si="218"/>
        <v>121.17999999999938</v>
      </c>
      <c r="M497" s="286">
        <v>0</v>
      </c>
      <c r="N497" s="285">
        <f t="shared" si="219"/>
        <v>5753.11</v>
      </c>
      <c r="O497" s="616">
        <f t="shared" si="237"/>
        <v>5753.1100000000006</v>
      </c>
      <c r="P497" s="289">
        <f t="shared" si="220"/>
        <v>1.0000000000000002</v>
      </c>
      <c r="Q497" s="290">
        <f t="shared" si="221"/>
        <v>27.95</v>
      </c>
      <c r="R497" s="290">
        <f t="shared" si="222"/>
        <v>190.25</v>
      </c>
      <c r="S497" s="290">
        <f t="shared" si="223"/>
        <v>0</v>
      </c>
      <c r="T497" s="290">
        <f t="shared" si="224"/>
        <v>6189.51</v>
      </c>
      <c r="U497" s="291">
        <f t="shared" si="225"/>
        <v>5971.3099999999995</v>
      </c>
      <c r="V497" s="291">
        <f t="shared" si="229"/>
        <v>218.2</v>
      </c>
      <c r="W497" s="265">
        <f t="shared" si="226"/>
        <v>218.2</v>
      </c>
      <c r="X497" s="291">
        <f t="shared" si="230"/>
        <v>0</v>
      </c>
      <c r="Y497" s="170">
        <f t="shared" si="227"/>
        <v>691.35</v>
      </c>
      <c r="Z497" s="291">
        <f t="shared" si="228"/>
        <v>5061.76</v>
      </c>
      <c r="AC497" s="276">
        <f>IF(AI497=1,IF(AC496=MiscData!$F$1,EOMONTH(AC496,-11),EOMONTH(AC496,1)),AC496)</f>
        <v>41851</v>
      </c>
      <c r="AD497" s="275" t="str">
        <f t="shared" si="238"/>
        <v>20140101LGUM_455</v>
      </c>
      <c r="AE497" s="294" t="str">
        <f t="shared" si="239"/>
        <v xml:space="preserve">20140101LS </v>
      </c>
      <c r="AF497" s="618" t="str">
        <f t="shared" si="231"/>
        <v>455</v>
      </c>
      <c r="AH497" s="265">
        <f>MiscData!$X$5</f>
        <v>20140101</v>
      </c>
      <c r="AI497" s="265">
        <f>IF(AI496+1&gt;MiscData!$AC$77,1,AI496+1)</f>
        <v>56</v>
      </c>
      <c r="AJ497" s="265" t="str">
        <f>VLOOKUP(AI497,MiscData!$AC$5:$AD$77,2,FALSE)</f>
        <v>LGUM_455</v>
      </c>
      <c r="AK497" s="265" t="str">
        <f>VLOOKUP(AJ497,MiscData!$AD$5:$AE$77,2,FALSE)</f>
        <v xml:space="preserve">LS </v>
      </c>
      <c r="AT497" s="265" t="s">
        <v>357</v>
      </c>
      <c r="AV497" s="265">
        <v>0</v>
      </c>
    </row>
    <row r="498" spans="1:48">
      <c r="A498" s="275">
        <f t="shared" si="232"/>
        <v>495</v>
      </c>
      <c r="B498" s="276" t="str">
        <f t="shared" si="234"/>
        <v>Jul 2014</v>
      </c>
      <c r="C498" s="277" t="str">
        <f t="shared" si="235"/>
        <v xml:space="preserve">LS </v>
      </c>
      <c r="D498" s="277" t="str">
        <f t="shared" si="236"/>
        <v>LGUM_456</v>
      </c>
      <c r="E498" s="614">
        <f t="shared" si="213"/>
        <v>13248</v>
      </c>
      <c r="F498" s="615">
        <f t="shared" si="233"/>
        <v>-362</v>
      </c>
      <c r="G498" s="614">
        <f t="shared" si="214"/>
        <v>1649875</v>
      </c>
      <c r="H498" s="615">
        <v>0</v>
      </c>
      <c r="I498" s="283">
        <f t="shared" si="215"/>
        <v>18.21</v>
      </c>
      <c r="J498" s="283">
        <f t="shared" si="216"/>
        <v>4.2800000000000011</v>
      </c>
      <c r="K498" s="285">
        <f t="shared" si="217"/>
        <v>234654.06</v>
      </c>
      <c r="L498" s="286">
        <f t="shared" si="218"/>
        <v>5599.6199999999953</v>
      </c>
      <c r="M498" s="286">
        <v>0</v>
      </c>
      <c r="N498" s="285">
        <f t="shared" si="219"/>
        <v>240253.68</v>
      </c>
      <c r="O498" s="616">
        <f t="shared" si="237"/>
        <v>240253.68000000002</v>
      </c>
      <c r="P498" s="289">
        <f t="shared" si="220"/>
        <v>1.0000000000000002</v>
      </c>
      <c r="Q498" s="290">
        <f t="shared" si="221"/>
        <v>2353.0100000000002</v>
      </c>
      <c r="R498" s="290">
        <f t="shared" si="222"/>
        <v>7927.7</v>
      </c>
      <c r="S498" s="290">
        <f t="shared" si="223"/>
        <v>0</v>
      </c>
      <c r="T498" s="290">
        <f t="shared" si="224"/>
        <v>258398.94</v>
      </c>
      <c r="U498" s="291">
        <f t="shared" si="225"/>
        <v>250534.39</v>
      </c>
      <c r="V498" s="291">
        <f t="shared" si="229"/>
        <v>7864.55</v>
      </c>
      <c r="W498" s="265">
        <f t="shared" si="226"/>
        <v>7864.55</v>
      </c>
      <c r="X498" s="291">
        <f t="shared" si="230"/>
        <v>0</v>
      </c>
      <c r="Y498" s="170">
        <f t="shared" si="227"/>
        <v>56701.440000000002</v>
      </c>
      <c r="Z498" s="291">
        <f t="shared" si="228"/>
        <v>183552.24000000002</v>
      </c>
      <c r="AC498" s="276">
        <f>IF(AI498=1,IF(AC497=MiscData!$F$1,EOMONTH(AC497,-11),EOMONTH(AC497,1)),AC497)</f>
        <v>41851</v>
      </c>
      <c r="AD498" s="275" t="str">
        <f t="shared" si="238"/>
        <v>20140101LGUM_456</v>
      </c>
      <c r="AE498" s="294" t="str">
        <f t="shared" si="239"/>
        <v xml:space="preserve">20140101LS </v>
      </c>
      <c r="AF498" s="618" t="str">
        <f t="shared" si="231"/>
        <v>456</v>
      </c>
      <c r="AH498" s="265">
        <f>MiscData!$X$5</f>
        <v>20140101</v>
      </c>
      <c r="AI498" s="265">
        <f>IF(AI497+1&gt;MiscData!$AC$77,1,AI497+1)</f>
        <v>57</v>
      </c>
      <c r="AJ498" s="265" t="str">
        <f>VLOOKUP(AI498,MiscData!$AC$5:$AD$77,2,FALSE)</f>
        <v>LGUM_456</v>
      </c>
      <c r="AK498" s="265" t="str">
        <f>VLOOKUP(AJ498,MiscData!$AD$5:$AE$77,2,FALSE)</f>
        <v xml:space="preserve">LS </v>
      </c>
      <c r="AT498" s="265" t="s">
        <v>358</v>
      </c>
      <c r="AV498" s="265">
        <v>987.34</v>
      </c>
    </row>
    <row r="499" spans="1:48">
      <c r="A499" s="275">
        <f t="shared" si="232"/>
        <v>496</v>
      </c>
      <c r="B499" s="276" t="str">
        <f t="shared" si="234"/>
        <v>Jul 2014</v>
      </c>
      <c r="C499" s="277" t="str">
        <f t="shared" si="235"/>
        <v xml:space="preserve">LS </v>
      </c>
      <c r="D499" s="277" t="str">
        <f t="shared" si="236"/>
        <v>LGUM_457</v>
      </c>
      <c r="E499" s="614">
        <f t="shared" si="213"/>
        <v>3397</v>
      </c>
      <c r="F499" s="615">
        <f t="shared" si="233"/>
        <v>-29</v>
      </c>
      <c r="G499" s="614">
        <f t="shared" si="214"/>
        <v>104236</v>
      </c>
      <c r="H499" s="615">
        <v>0</v>
      </c>
      <c r="I499" s="283">
        <f t="shared" si="215"/>
        <v>10.86</v>
      </c>
      <c r="J499" s="283">
        <f t="shared" si="216"/>
        <v>1.0599999999999987</v>
      </c>
      <c r="K499" s="285">
        <f t="shared" si="217"/>
        <v>36576.480000000003</v>
      </c>
      <c r="L499" s="286">
        <f t="shared" si="218"/>
        <v>214.06999999999971</v>
      </c>
      <c r="M499" s="286">
        <v>0</v>
      </c>
      <c r="N499" s="285">
        <f t="shared" si="219"/>
        <v>36790.550000000003</v>
      </c>
      <c r="O499" s="616">
        <f t="shared" si="237"/>
        <v>36790.550000000003</v>
      </c>
      <c r="P499" s="289">
        <f t="shared" si="220"/>
        <v>1</v>
      </c>
      <c r="Q499" s="290">
        <f t="shared" si="221"/>
        <v>143.76</v>
      </c>
      <c r="R499" s="290">
        <f t="shared" si="222"/>
        <v>1231.17</v>
      </c>
      <c r="S499" s="290">
        <f t="shared" si="223"/>
        <v>0</v>
      </c>
      <c r="T499" s="290">
        <f t="shared" si="224"/>
        <v>39836.22</v>
      </c>
      <c r="U499" s="291">
        <f t="shared" si="225"/>
        <v>38165.480000000003</v>
      </c>
      <c r="V499" s="291">
        <f t="shared" si="229"/>
        <v>1670.74</v>
      </c>
      <c r="W499" s="265">
        <f t="shared" si="226"/>
        <v>1670.74</v>
      </c>
      <c r="X499" s="291">
        <f t="shared" si="230"/>
        <v>0</v>
      </c>
      <c r="Y499" s="170">
        <f t="shared" si="227"/>
        <v>3600.82</v>
      </c>
      <c r="Z499" s="291">
        <f t="shared" si="228"/>
        <v>33189.730000000003</v>
      </c>
      <c r="AC499" s="276">
        <f>IF(AI499=1,IF(AC498=MiscData!$F$1,EOMONTH(AC498,-11),EOMONTH(AC498,1)),AC498)</f>
        <v>41851</v>
      </c>
      <c r="AD499" s="275" t="str">
        <f t="shared" si="238"/>
        <v>20140101LGUM_457</v>
      </c>
      <c r="AE499" s="294" t="str">
        <f t="shared" si="239"/>
        <v xml:space="preserve">20140101LS </v>
      </c>
      <c r="AF499" s="618" t="str">
        <f t="shared" si="231"/>
        <v>457</v>
      </c>
      <c r="AH499" s="265">
        <f>MiscData!$X$5</f>
        <v>20140101</v>
      </c>
      <c r="AI499" s="265">
        <f>IF(AI498+1&gt;MiscData!$AC$77,1,AI498+1)</f>
        <v>58</v>
      </c>
      <c r="AJ499" s="265" t="str">
        <f>VLOOKUP(AI499,MiscData!$AC$5:$AD$77,2,FALSE)</f>
        <v>LGUM_457</v>
      </c>
      <c r="AK499" s="265" t="str">
        <f>VLOOKUP(AJ499,MiscData!$AD$5:$AE$77,2,FALSE)</f>
        <v xml:space="preserve">LS </v>
      </c>
      <c r="AT499" s="265" t="s">
        <v>359</v>
      </c>
      <c r="AV499" s="265">
        <v>48.47</v>
      </c>
    </row>
    <row r="500" spans="1:48">
      <c r="A500" s="275">
        <f t="shared" si="232"/>
        <v>497</v>
      </c>
      <c r="B500" s="276" t="str">
        <f t="shared" si="234"/>
        <v>Jul 2014</v>
      </c>
      <c r="C500" s="277" t="str">
        <f t="shared" si="235"/>
        <v>RLS</v>
      </c>
      <c r="D500" s="277" t="str">
        <f t="shared" si="236"/>
        <v>LGUM_458</v>
      </c>
      <c r="E500" s="614">
        <f t="shared" si="213"/>
        <v>5</v>
      </c>
      <c r="F500" s="615">
        <f t="shared" si="233"/>
        <v>0</v>
      </c>
      <c r="G500" s="614">
        <f t="shared" si="214"/>
        <v>289</v>
      </c>
      <c r="H500" s="615">
        <v>0</v>
      </c>
      <c r="I500" s="283">
        <f t="shared" si="215"/>
        <v>11.13</v>
      </c>
      <c r="J500" s="283">
        <f t="shared" si="216"/>
        <v>3.7700000000000014</v>
      </c>
      <c r="K500" s="285">
        <f t="shared" si="217"/>
        <v>55.65</v>
      </c>
      <c r="L500" s="286">
        <f t="shared" si="218"/>
        <v>0</v>
      </c>
      <c r="M500" s="286">
        <v>0</v>
      </c>
      <c r="N500" s="285">
        <f t="shared" si="219"/>
        <v>55.65</v>
      </c>
      <c r="O500" s="616">
        <f t="shared" si="237"/>
        <v>55.650000000000006</v>
      </c>
      <c r="P500" s="289">
        <f t="shared" si="220"/>
        <v>1.0000000000000002</v>
      </c>
      <c r="Q500" s="290">
        <f t="shared" si="221"/>
        <v>0.39</v>
      </c>
      <c r="R500" s="290">
        <f t="shared" si="222"/>
        <v>1.8</v>
      </c>
      <c r="S500" s="290">
        <f t="shared" si="223"/>
        <v>0</v>
      </c>
      <c r="T500" s="290">
        <f t="shared" si="224"/>
        <v>57.84</v>
      </c>
      <c r="U500" s="291">
        <f t="shared" si="225"/>
        <v>57.839999999999996</v>
      </c>
      <c r="V500" s="291">
        <f t="shared" si="229"/>
        <v>0</v>
      </c>
      <c r="W500" s="265">
        <f t="shared" si="226"/>
        <v>0</v>
      </c>
      <c r="X500" s="291">
        <f t="shared" si="230"/>
        <v>0</v>
      </c>
      <c r="Y500" s="170">
        <f t="shared" si="227"/>
        <v>18.850000000000001</v>
      </c>
      <c r="Z500" s="291">
        <f t="shared" si="228"/>
        <v>36.800000000000004</v>
      </c>
      <c r="AC500" s="276">
        <f>IF(AI500=1,IF(AC499=MiscData!$F$1,EOMONTH(AC499,-11),EOMONTH(AC499,1)),AC499)</f>
        <v>41851</v>
      </c>
      <c r="AD500" s="275" t="str">
        <f t="shared" si="238"/>
        <v>20140101LGUM_458</v>
      </c>
      <c r="AE500" s="294" t="str">
        <f t="shared" si="239"/>
        <v>20140101RLS</v>
      </c>
      <c r="AF500" s="618" t="str">
        <f t="shared" si="231"/>
        <v>458</v>
      </c>
      <c r="AH500" s="265">
        <f>MiscData!$X$5</f>
        <v>20140101</v>
      </c>
      <c r="AI500" s="265">
        <f>IF(AI499+1&gt;MiscData!$AC$77,1,AI499+1)</f>
        <v>59</v>
      </c>
      <c r="AJ500" s="265" t="str">
        <f>VLOOKUP(AI500,MiscData!$AC$5:$AD$77,2,FALSE)</f>
        <v>LGUM_458</v>
      </c>
      <c r="AK500" s="265" t="str">
        <f>VLOOKUP(AJ500,MiscData!$AD$5:$AE$77,2,FALSE)</f>
        <v>RLS</v>
      </c>
      <c r="AT500" s="265" t="s">
        <v>360</v>
      </c>
      <c r="AV500" s="265">
        <v>0</v>
      </c>
    </row>
    <row r="501" spans="1:48">
      <c r="A501" s="275">
        <f t="shared" si="232"/>
        <v>498</v>
      </c>
      <c r="B501" s="276" t="str">
        <f t="shared" si="234"/>
        <v>Jul 2014</v>
      </c>
      <c r="C501" s="277" t="str">
        <f t="shared" si="235"/>
        <v xml:space="preserve">LS </v>
      </c>
      <c r="D501" s="277" t="str">
        <f t="shared" si="236"/>
        <v>LGUM_470</v>
      </c>
      <c r="E501" s="614">
        <f t="shared" si="213"/>
        <v>24</v>
      </c>
      <c r="F501" s="615">
        <f t="shared" si="233"/>
        <v>0</v>
      </c>
      <c r="G501" s="614">
        <f t="shared" si="214"/>
        <v>945</v>
      </c>
      <c r="H501" s="615">
        <v>0</v>
      </c>
      <c r="I501" s="283">
        <f t="shared" si="215"/>
        <v>12.79</v>
      </c>
      <c r="J501" s="283">
        <f t="shared" si="216"/>
        <v>1.3699999999999992</v>
      </c>
      <c r="K501" s="285">
        <f t="shared" si="217"/>
        <v>306.95999999999998</v>
      </c>
      <c r="L501" s="286">
        <f t="shared" si="218"/>
        <v>0</v>
      </c>
      <c r="M501" s="286">
        <v>0</v>
      </c>
      <c r="N501" s="285">
        <f t="shared" si="219"/>
        <v>306.95999999999998</v>
      </c>
      <c r="O501" s="616">
        <f t="shared" si="237"/>
        <v>306.96000000000004</v>
      </c>
      <c r="P501" s="289">
        <f t="shared" si="220"/>
        <v>1.0000000000000002</v>
      </c>
      <c r="Q501" s="290">
        <f t="shared" si="221"/>
        <v>1.29</v>
      </c>
      <c r="R501" s="290">
        <f t="shared" si="222"/>
        <v>9.92</v>
      </c>
      <c r="S501" s="290">
        <f t="shared" si="223"/>
        <v>0</v>
      </c>
      <c r="T501" s="290">
        <f t="shared" si="224"/>
        <v>322.29000000000002</v>
      </c>
      <c r="U501" s="291">
        <f t="shared" si="225"/>
        <v>318.17</v>
      </c>
      <c r="V501" s="291">
        <f t="shared" si="229"/>
        <v>4.12</v>
      </c>
      <c r="W501" s="265">
        <f t="shared" si="226"/>
        <v>4.12</v>
      </c>
      <c r="X501" s="291">
        <f t="shared" si="230"/>
        <v>0</v>
      </c>
      <c r="Y501" s="170">
        <f t="shared" si="227"/>
        <v>32.880000000000003</v>
      </c>
      <c r="Z501" s="291">
        <f t="shared" si="228"/>
        <v>274.08000000000004</v>
      </c>
      <c r="AC501" s="276">
        <f>IF(AI501=1,IF(AC500=MiscData!$F$1,EOMONTH(AC500,-11),EOMONTH(AC500,1)),AC500)</f>
        <v>41851</v>
      </c>
      <c r="AD501" s="275" t="str">
        <f t="shared" si="238"/>
        <v>20140101LGUM_470</v>
      </c>
      <c r="AE501" s="294" t="str">
        <f t="shared" si="239"/>
        <v xml:space="preserve">20140101LS </v>
      </c>
      <c r="AF501" s="618" t="str">
        <f t="shared" si="231"/>
        <v>470</v>
      </c>
      <c r="AH501" s="265">
        <f>MiscData!$X$5</f>
        <v>20140101</v>
      </c>
      <c r="AI501" s="265">
        <f>IF(AI500+1&gt;MiscData!$AC$77,1,AI500+1)</f>
        <v>60</v>
      </c>
      <c r="AJ501" s="265" t="str">
        <f>VLOOKUP(AI501,MiscData!$AC$5:$AD$77,2,FALSE)</f>
        <v>LGUM_470</v>
      </c>
      <c r="AK501" s="265" t="str">
        <f>VLOOKUP(AJ501,MiscData!$AD$5:$AE$77,2,FALSE)</f>
        <v xml:space="preserve">LS </v>
      </c>
      <c r="AT501" s="265" t="s">
        <v>361</v>
      </c>
      <c r="AV501" s="265">
        <v>0</v>
      </c>
    </row>
    <row r="502" spans="1:48">
      <c r="A502" s="275">
        <f t="shared" si="232"/>
        <v>499</v>
      </c>
      <c r="B502" s="276" t="str">
        <f t="shared" si="234"/>
        <v>Jul 2014</v>
      </c>
      <c r="C502" s="277" t="str">
        <f t="shared" si="235"/>
        <v>RLS</v>
      </c>
      <c r="D502" s="277" t="str">
        <f t="shared" si="236"/>
        <v>LGUM_471</v>
      </c>
      <c r="E502" s="614">
        <f t="shared" si="213"/>
        <v>2</v>
      </c>
      <c r="F502" s="615">
        <f t="shared" si="233"/>
        <v>0</v>
      </c>
      <c r="G502" s="614">
        <f t="shared" si="214"/>
        <v>79</v>
      </c>
      <c r="H502" s="615">
        <v>0</v>
      </c>
      <c r="I502" s="283">
        <f t="shared" si="215"/>
        <v>15.07</v>
      </c>
      <c r="J502" s="283">
        <f t="shared" si="216"/>
        <v>1.3699999999999992</v>
      </c>
      <c r="K502" s="285">
        <f t="shared" si="217"/>
        <v>30.14</v>
      </c>
      <c r="L502" s="286">
        <f t="shared" si="218"/>
        <v>0</v>
      </c>
      <c r="M502" s="286">
        <v>0</v>
      </c>
      <c r="N502" s="285">
        <f t="shared" si="219"/>
        <v>30.14</v>
      </c>
      <c r="O502" s="616">
        <f t="shared" si="237"/>
        <v>30.14</v>
      </c>
      <c r="P502" s="289">
        <f t="shared" si="220"/>
        <v>1</v>
      </c>
      <c r="Q502" s="290">
        <f t="shared" si="221"/>
        <v>0.11</v>
      </c>
      <c r="R502" s="290">
        <f t="shared" si="222"/>
        <v>0.96</v>
      </c>
      <c r="S502" s="290">
        <f t="shared" si="223"/>
        <v>0</v>
      </c>
      <c r="T502" s="290">
        <f t="shared" si="224"/>
        <v>31.21</v>
      </c>
      <c r="U502" s="291">
        <f t="shared" si="225"/>
        <v>31.21</v>
      </c>
      <c r="V502" s="291">
        <f t="shared" si="229"/>
        <v>0</v>
      </c>
      <c r="W502" s="265">
        <f t="shared" si="226"/>
        <v>0</v>
      </c>
      <c r="X502" s="291">
        <f t="shared" si="230"/>
        <v>0</v>
      </c>
      <c r="Y502" s="170">
        <f t="shared" si="227"/>
        <v>2.74</v>
      </c>
      <c r="Z502" s="291">
        <f t="shared" si="228"/>
        <v>27.4</v>
      </c>
      <c r="AC502" s="276">
        <f>IF(AI502=1,IF(AC501=MiscData!$F$1,EOMONTH(AC501,-11),EOMONTH(AC501,1)),AC501)</f>
        <v>41851</v>
      </c>
      <c r="AD502" s="275" t="str">
        <f t="shared" si="238"/>
        <v>20140101LGUM_471</v>
      </c>
      <c r="AE502" s="294" t="str">
        <f t="shared" si="239"/>
        <v>20140101RLS</v>
      </c>
      <c r="AF502" s="618" t="str">
        <f t="shared" si="231"/>
        <v>471</v>
      </c>
      <c r="AH502" s="265">
        <f>MiscData!$X$5</f>
        <v>20140101</v>
      </c>
      <c r="AI502" s="265">
        <f>IF(AI501+1&gt;MiscData!$AC$77,1,AI501+1)</f>
        <v>61</v>
      </c>
      <c r="AJ502" s="265" t="str">
        <f>VLOOKUP(AI502,MiscData!$AC$5:$AD$77,2,FALSE)</f>
        <v>LGUM_471</v>
      </c>
      <c r="AK502" s="265" t="str">
        <f>VLOOKUP(AJ502,MiscData!$AD$5:$AE$77,2,FALSE)</f>
        <v>RLS</v>
      </c>
      <c r="AT502" s="265" t="s">
        <v>362</v>
      </c>
      <c r="AV502" s="265">
        <v>0</v>
      </c>
    </row>
    <row r="503" spans="1:48">
      <c r="A503" s="275">
        <f t="shared" si="232"/>
        <v>500</v>
      </c>
      <c r="B503" s="276" t="str">
        <f t="shared" si="234"/>
        <v>Jul 2014</v>
      </c>
      <c r="C503" s="277" t="str">
        <f t="shared" si="235"/>
        <v xml:space="preserve">LS </v>
      </c>
      <c r="D503" s="277" t="str">
        <f t="shared" si="236"/>
        <v>LGUM_473</v>
      </c>
      <c r="E503" s="614">
        <f t="shared" si="213"/>
        <v>442</v>
      </c>
      <c r="F503" s="615">
        <f t="shared" si="233"/>
        <v>-16</v>
      </c>
      <c r="G503" s="614">
        <f t="shared" si="214"/>
        <v>40561</v>
      </c>
      <c r="H503" s="615">
        <v>0</v>
      </c>
      <c r="I503" s="283">
        <f t="shared" si="215"/>
        <v>18.68</v>
      </c>
      <c r="J503" s="283">
        <f t="shared" si="216"/>
        <v>3.1799999999999979</v>
      </c>
      <c r="K503" s="285">
        <f t="shared" si="217"/>
        <v>7957.68</v>
      </c>
      <c r="L503" s="286">
        <f t="shared" si="218"/>
        <v>217.92999999999756</v>
      </c>
      <c r="M503" s="286">
        <v>0</v>
      </c>
      <c r="N503" s="285">
        <f t="shared" si="219"/>
        <v>8175.6099999999979</v>
      </c>
      <c r="O503" s="616">
        <f t="shared" si="237"/>
        <v>8175.6100000000015</v>
      </c>
      <c r="P503" s="289">
        <f t="shared" si="220"/>
        <v>1.0000000000000004</v>
      </c>
      <c r="Q503" s="290">
        <f t="shared" si="221"/>
        <v>58.47</v>
      </c>
      <c r="R503" s="290">
        <f t="shared" si="222"/>
        <v>263.24</v>
      </c>
      <c r="S503" s="290">
        <f t="shared" si="223"/>
        <v>0</v>
      </c>
      <c r="T503" s="290">
        <f t="shared" si="224"/>
        <v>8577.5400000000009</v>
      </c>
      <c r="U503" s="291">
        <f t="shared" si="225"/>
        <v>8497.3199999999979</v>
      </c>
      <c r="V503" s="291">
        <f t="shared" si="229"/>
        <v>80.22</v>
      </c>
      <c r="W503" s="265">
        <f t="shared" si="226"/>
        <v>80.22</v>
      </c>
      <c r="X503" s="291">
        <f t="shared" si="230"/>
        <v>0</v>
      </c>
      <c r="Y503" s="170">
        <f t="shared" si="227"/>
        <v>1405.56</v>
      </c>
      <c r="Z503" s="291">
        <f t="shared" si="228"/>
        <v>6770.0500000000011</v>
      </c>
      <c r="AC503" s="276">
        <f>IF(AI503=1,IF(AC502=MiscData!$F$1,EOMONTH(AC502,-11),EOMONTH(AC502,1)),AC502)</f>
        <v>41851</v>
      </c>
      <c r="AD503" s="275" t="str">
        <f t="shared" si="238"/>
        <v>20140101LGUM_473</v>
      </c>
      <c r="AE503" s="294" t="str">
        <f t="shared" si="239"/>
        <v xml:space="preserve">20140101LS </v>
      </c>
      <c r="AF503" s="618" t="str">
        <f t="shared" si="231"/>
        <v>473</v>
      </c>
      <c r="AH503" s="265">
        <f>MiscData!$X$5</f>
        <v>20140101</v>
      </c>
      <c r="AI503" s="265">
        <f>IF(AI502+1&gt;MiscData!$AC$77,1,AI502+1)</f>
        <v>62</v>
      </c>
      <c r="AJ503" s="265" t="str">
        <f>VLOOKUP(AI503,MiscData!$AC$5:$AD$77,2,FALSE)</f>
        <v>LGUM_473</v>
      </c>
      <c r="AK503" s="265" t="str">
        <f>VLOOKUP(AJ503,MiscData!$AD$5:$AE$77,2,FALSE)</f>
        <v xml:space="preserve">LS </v>
      </c>
      <c r="AT503" s="265" t="s">
        <v>363</v>
      </c>
      <c r="AV503" s="265">
        <v>-37.51</v>
      </c>
    </row>
    <row r="504" spans="1:48">
      <c r="A504" s="275">
        <f t="shared" si="232"/>
        <v>501</v>
      </c>
      <c r="B504" s="276" t="str">
        <f t="shared" si="234"/>
        <v>Jul 2014</v>
      </c>
      <c r="C504" s="277" t="str">
        <f t="shared" si="235"/>
        <v>RLS</v>
      </c>
      <c r="D504" s="277" t="str">
        <f t="shared" si="236"/>
        <v>LGUM_474</v>
      </c>
      <c r="E504" s="614">
        <f t="shared" si="213"/>
        <v>55</v>
      </c>
      <c r="F504" s="615">
        <f t="shared" si="233"/>
        <v>0</v>
      </c>
      <c r="G504" s="614">
        <f t="shared" si="214"/>
        <v>4993</v>
      </c>
      <c r="H504" s="615">
        <v>0</v>
      </c>
      <c r="I504" s="283">
        <f t="shared" si="215"/>
        <v>20.970000000000002</v>
      </c>
      <c r="J504" s="283">
        <f t="shared" si="216"/>
        <v>3.1799999999999997</v>
      </c>
      <c r="K504" s="285">
        <f t="shared" si="217"/>
        <v>1153.3499999999999</v>
      </c>
      <c r="L504" s="286">
        <f t="shared" si="218"/>
        <v>-19.569999999999936</v>
      </c>
      <c r="M504" s="286">
        <v>0</v>
      </c>
      <c r="N504" s="285">
        <f t="shared" si="219"/>
        <v>1133.78</v>
      </c>
      <c r="O504" s="616">
        <f t="shared" si="237"/>
        <v>1133.78</v>
      </c>
      <c r="P504" s="289">
        <f t="shared" si="220"/>
        <v>1</v>
      </c>
      <c r="Q504" s="290">
        <f t="shared" si="221"/>
        <v>6.91</v>
      </c>
      <c r="R504" s="290">
        <f t="shared" si="222"/>
        <v>37.04</v>
      </c>
      <c r="S504" s="290">
        <f t="shared" si="223"/>
        <v>0</v>
      </c>
      <c r="T504" s="290">
        <f t="shared" si="224"/>
        <v>1204.47</v>
      </c>
      <c r="U504" s="291">
        <f t="shared" si="225"/>
        <v>1177.73</v>
      </c>
      <c r="V504" s="291">
        <f t="shared" si="229"/>
        <v>26.74</v>
      </c>
      <c r="W504" s="265">
        <f t="shared" si="226"/>
        <v>26.74</v>
      </c>
      <c r="X504" s="291">
        <f t="shared" si="230"/>
        <v>0</v>
      </c>
      <c r="Y504" s="170">
        <f t="shared" si="227"/>
        <v>174.9</v>
      </c>
      <c r="Z504" s="291">
        <f t="shared" si="228"/>
        <v>958.88</v>
      </c>
      <c r="AC504" s="276">
        <f>IF(AI504=1,IF(AC503=MiscData!$F$1,EOMONTH(AC503,-11),EOMONTH(AC503,1)),AC503)</f>
        <v>41851</v>
      </c>
      <c r="AD504" s="275" t="str">
        <f t="shared" si="238"/>
        <v>20140101LGUM_474</v>
      </c>
      <c r="AE504" s="294" t="str">
        <f t="shared" si="239"/>
        <v>20140101RLS</v>
      </c>
      <c r="AF504" s="618" t="str">
        <f t="shared" si="231"/>
        <v>474</v>
      </c>
      <c r="AH504" s="265">
        <f>MiscData!$X$5</f>
        <v>20140101</v>
      </c>
      <c r="AI504" s="265">
        <f>IF(AI503+1&gt;MiscData!$AC$77,1,AI503+1)</f>
        <v>63</v>
      </c>
      <c r="AJ504" s="265" t="str">
        <f>VLOOKUP(AI504,MiscData!$AC$5:$AD$77,2,FALSE)</f>
        <v>LGUM_474</v>
      </c>
      <c r="AK504" s="265" t="str">
        <f>VLOOKUP(AJ504,MiscData!$AD$5:$AE$77,2,FALSE)</f>
        <v>RLS</v>
      </c>
      <c r="AT504" s="265" t="s">
        <v>364</v>
      </c>
      <c r="AV504" s="265">
        <v>9.9</v>
      </c>
    </row>
    <row r="505" spans="1:48">
      <c r="A505" s="275">
        <f t="shared" si="232"/>
        <v>502</v>
      </c>
      <c r="B505" s="276" t="str">
        <f t="shared" si="234"/>
        <v>Jul 2014</v>
      </c>
      <c r="C505" s="277" t="str">
        <f t="shared" si="235"/>
        <v>RLS</v>
      </c>
      <c r="D505" s="277" t="str">
        <f t="shared" si="236"/>
        <v>LGUM_475</v>
      </c>
      <c r="E505" s="614">
        <f t="shared" si="213"/>
        <v>2</v>
      </c>
      <c r="F505" s="615">
        <f t="shared" si="233"/>
        <v>0</v>
      </c>
      <c r="G505" s="614">
        <f t="shared" si="214"/>
        <v>183</v>
      </c>
      <c r="H505" s="615">
        <v>0</v>
      </c>
      <c r="I505" s="283">
        <f t="shared" si="215"/>
        <v>28.42</v>
      </c>
      <c r="J505" s="283">
        <f t="shared" si="216"/>
        <v>3.1800000000000033</v>
      </c>
      <c r="K505" s="285">
        <f t="shared" si="217"/>
        <v>56.84</v>
      </c>
      <c r="L505" s="286">
        <f t="shared" si="218"/>
        <v>0</v>
      </c>
      <c r="M505" s="286">
        <v>0</v>
      </c>
      <c r="N505" s="285">
        <f t="shared" si="219"/>
        <v>56.84</v>
      </c>
      <c r="O505" s="616">
        <f t="shared" si="237"/>
        <v>56.84</v>
      </c>
      <c r="P505" s="289">
        <f t="shared" si="220"/>
        <v>1</v>
      </c>
      <c r="Q505" s="290">
        <f t="shared" si="221"/>
        <v>0.26</v>
      </c>
      <c r="R505" s="290">
        <f t="shared" si="222"/>
        <v>1.82</v>
      </c>
      <c r="S505" s="290">
        <f t="shared" si="223"/>
        <v>0</v>
      </c>
      <c r="T505" s="290">
        <f t="shared" si="224"/>
        <v>58.92</v>
      </c>
      <c r="U505" s="291">
        <f t="shared" si="225"/>
        <v>58.92</v>
      </c>
      <c r="V505" s="291">
        <f t="shared" si="229"/>
        <v>0</v>
      </c>
      <c r="W505" s="265">
        <f t="shared" si="226"/>
        <v>0</v>
      </c>
      <c r="X505" s="291">
        <f t="shared" si="230"/>
        <v>0</v>
      </c>
      <c r="Y505" s="170">
        <f t="shared" si="227"/>
        <v>6.36</v>
      </c>
      <c r="Z505" s="291">
        <f t="shared" si="228"/>
        <v>50.480000000000004</v>
      </c>
      <c r="AC505" s="276">
        <f>IF(AI505=1,IF(AC504=MiscData!$F$1,EOMONTH(AC504,-11),EOMONTH(AC504,1)),AC504)</f>
        <v>41851</v>
      </c>
      <c r="AD505" s="275" t="str">
        <f t="shared" si="238"/>
        <v>20140101LGUM_475</v>
      </c>
      <c r="AE505" s="294" t="str">
        <f t="shared" si="239"/>
        <v>20140101RLS</v>
      </c>
      <c r="AF505" s="618" t="str">
        <f t="shared" si="231"/>
        <v>475</v>
      </c>
      <c r="AH505" s="265">
        <f>MiscData!$X$5</f>
        <v>20140101</v>
      </c>
      <c r="AI505" s="265">
        <f>IF(AI504+1&gt;MiscData!$AC$77,1,AI504+1)</f>
        <v>64</v>
      </c>
      <c r="AJ505" s="265" t="str">
        <f>VLOOKUP(AI505,MiscData!$AC$5:$AD$77,2,FALSE)</f>
        <v>LGUM_475</v>
      </c>
      <c r="AK505" s="265" t="str">
        <f>VLOOKUP(AJ505,MiscData!$AD$5:$AE$77,2,FALSE)</f>
        <v>RLS</v>
      </c>
      <c r="AT505" s="265" t="s">
        <v>365</v>
      </c>
      <c r="AV505" s="265">
        <v>6.68</v>
      </c>
    </row>
    <row r="506" spans="1:48">
      <c r="A506" s="275">
        <f t="shared" si="232"/>
        <v>503</v>
      </c>
      <c r="B506" s="276" t="str">
        <f t="shared" si="234"/>
        <v>Jul 2014</v>
      </c>
      <c r="C506" s="277" t="str">
        <f t="shared" si="235"/>
        <v xml:space="preserve">LS </v>
      </c>
      <c r="D506" s="277" t="str">
        <f t="shared" si="236"/>
        <v>LGUM_476</v>
      </c>
      <c r="E506" s="614">
        <f t="shared" si="213"/>
        <v>409</v>
      </c>
      <c r="F506" s="615">
        <f t="shared" si="233"/>
        <v>-10</v>
      </c>
      <c r="G506" s="614">
        <f t="shared" si="214"/>
        <v>118264</v>
      </c>
      <c r="H506" s="615">
        <v>0</v>
      </c>
      <c r="I506" s="283">
        <f t="shared" si="215"/>
        <v>39.6</v>
      </c>
      <c r="J506" s="283">
        <f t="shared" si="216"/>
        <v>9.8100000000000023</v>
      </c>
      <c r="K506" s="285">
        <f t="shared" si="217"/>
        <v>15800.4</v>
      </c>
      <c r="L506" s="286">
        <f t="shared" si="218"/>
        <v>382.79999999999927</v>
      </c>
      <c r="M506" s="286">
        <v>0</v>
      </c>
      <c r="N506" s="285">
        <f t="shared" si="219"/>
        <v>16183.199999999999</v>
      </c>
      <c r="O506" s="616">
        <f t="shared" si="237"/>
        <v>16183.2</v>
      </c>
      <c r="P506" s="289">
        <f t="shared" si="220"/>
        <v>1.0000000000000002</v>
      </c>
      <c r="Q506" s="290">
        <f t="shared" si="221"/>
        <v>168.13</v>
      </c>
      <c r="R506" s="290">
        <f t="shared" si="222"/>
        <v>521.79999999999995</v>
      </c>
      <c r="S506" s="290">
        <f t="shared" si="223"/>
        <v>0</v>
      </c>
      <c r="T506" s="290">
        <f t="shared" si="224"/>
        <v>16998.59</v>
      </c>
      <c r="U506" s="291">
        <f t="shared" si="225"/>
        <v>16873.129999999997</v>
      </c>
      <c r="V506" s="291">
        <f t="shared" si="229"/>
        <v>125.46</v>
      </c>
      <c r="W506" s="265">
        <f t="shared" si="226"/>
        <v>125.46</v>
      </c>
      <c r="X506" s="291">
        <f t="shared" si="230"/>
        <v>0</v>
      </c>
      <c r="Y506" s="170">
        <f t="shared" si="227"/>
        <v>4012.29</v>
      </c>
      <c r="Z506" s="291">
        <f t="shared" si="228"/>
        <v>12170.91</v>
      </c>
      <c r="AC506" s="276">
        <f>IF(AI506=1,IF(AC505=MiscData!$F$1,EOMONTH(AC505,-11),EOMONTH(AC505,1)),AC505)</f>
        <v>41851</v>
      </c>
      <c r="AD506" s="275" t="str">
        <f t="shared" si="238"/>
        <v>20140101LGUM_476</v>
      </c>
      <c r="AE506" s="294" t="str">
        <f t="shared" si="239"/>
        <v xml:space="preserve">20140101LS </v>
      </c>
      <c r="AF506" s="618" t="str">
        <f t="shared" si="231"/>
        <v>476</v>
      </c>
      <c r="AH506" s="265">
        <f>MiscData!$X$5</f>
        <v>20140101</v>
      </c>
      <c r="AI506" s="265">
        <f>IF(AI505+1&gt;MiscData!$AC$77,1,AI505+1)</f>
        <v>65</v>
      </c>
      <c r="AJ506" s="265" t="str">
        <f>VLOOKUP(AI506,MiscData!$AC$5:$AD$77,2,FALSE)</f>
        <v>LGUM_476</v>
      </c>
      <c r="AK506" s="265" t="str">
        <f>VLOOKUP(AJ506,MiscData!$AD$5:$AE$77,2,FALSE)</f>
        <v xml:space="preserve">LS </v>
      </c>
      <c r="AT506" s="265" t="s">
        <v>366</v>
      </c>
      <c r="AV506" s="265">
        <v>0</v>
      </c>
    </row>
    <row r="507" spans="1:48">
      <c r="A507" s="275">
        <f t="shared" si="232"/>
        <v>504</v>
      </c>
      <c r="B507" s="276" t="str">
        <f t="shared" si="234"/>
        <v>Jul 2014</v>
      </c>
      <c r="C507" s="277" t="str">
        <f t="shared" si="235"/>
        <v>RLS</v>
      </c>
      <c r="D507" s="277" t="str">
        <f t="shared" si="236"/>
        <v>LGUM_477</v>
      </c>
      <c r="E507" s="614">
        <f t="shared" si="213"/>
        <v>59</v>
      </c>
      <c r="F507" s="615">
        <f t="shared" si="233"/>
        <v>0</v>
      </c>
      <c r="G507" s="614">
        <f t="shared" si="214"/>
        <v>17251</v>
      </c>
      <c r="H507" s="615">
        <v>0</v>
      </c>
      <c r="I507" s="283">
        <f t="shared" si="215"/>
        <v>42.78</v>
      </c>
      <c r="J507" s="283">
        <f t="shared" si="216"/>
        <v>9.8100000000000023</v>
      </c>
      <c r="K507" s="285">
        <f t="shared" si="217"/>
        <v>2524.02</v>
      </c>
      <c r="L507" s="286">
        <f t="shared" si="218"/>
        <v>0</v>
      </c>
      <c r="M507" s="286">
        <v>0</v>
      </c>
      <c r="N507" s="285">
        <f t="shared" si="219"/>
        <v>2524.02</v>
      </c>
      <c r="O507" s="616">
        <f t="shared" si="237"/>
        <v>2524.02</v>
      </c>
      <c r="P507" s="289">
        <f t="shared" si="220"/>
        <v>1</v>
      </c>
      <c r="Q507" s="290">
        <f t="shared" si="221"/>
        <v>23.79</v>
      </c>
      <c r="R507" s="290">
        <f t="shared" si="222"/>
        <v>81.88</v>
      </c>
      <c r="S507" s="290">
        <f t="shared" si="223"/>
        <v>0</v>
      </c>
      <c r="T507" s="290">
        <f t="shared" si="224"/>
        <v>2663.62</v>
      </c>
      <c r="U507" s="291">
        <f t="shared" si="225"/>
        <v>2629.69</v>
      </c>
      <c r="V507" s="291">
        <f t="shared" si="229"/>
        <v>33.93</v>
      </c>
      <c r="W507" s="265">
        <f t="shared" si="226"/>
        <v>33.93</v>
      </c>
      <c r="X507" s="291">
        <f t="shared" si="230"/>
        <v>0</v>
      </c>
      <c r="Y507" s="170">
        <f t="shared" si="227"/>
        <v>578.79</v>
      </c>
      <c r="Z507" s="291">
        <f t="shared" si="228"/>
        <v>1945.23</v>
      </c>
      <c r="AC507" s="276">
        <f>IF(AI507=1,IF(AC506=MiscData!$F$1,EOMONTH(AC506,-11),EOMONTH(AC506,1)),AC506)</f>
        <v>41851</v>
      </c>
      <c r="AD507" s="275" t="str">
        <f t="shared" si="238"/>
        <v>20140101LGUM_477</v>
      </c>
      <c r="AE507" s="294" t="str">
        <f t="shared" si="239"/>
        <v>20140101RLS</v>
      </c>
      <c r="AF507" s="618" t="str">
        <f t="shared" si="231"/>
        <v>477</v>
      </c>
      <c r="AH507" s="265">
        <f>MiscData!$X$5</f>
        <v>20140101</v>
      </c>
      <c r="AI507" s="265">
        <f>IF(AI506+1&gt;MiscData!$AC$77,1,AI506+1)</f>
        <v>66</v>
      </c>
      <c r="AJ507" s="265" t="str">
        <f>VLOOKUP(AI507,MiscData!$AC$5:$AD$77,2,FALSE)</f>
        <v>LGUM_477</v>
      </c>
      <c r="AK507" s="265" t="str">
        <f>VLOOKUP(AJ507,MiscData!$AD$5:$AE$77,2,FALSE)</f>
        <v>RLS</v>
      </c>
      <c r="AT507" s="265" t="s">
        <v>648</v>
      </c>
      <c r="AV507" s="265">
        <v>0</v>
      </c>
    </row>
    <row r="508" spans="1:48">
      <c r="A508" s="275">
        <f t="shared" si="232"/>
        <v>505</v>
      </c>
      <c r="B508" s="276" t="str">
        <f t="shared" si="234"/>
        <v>Jul 2014</v>
      </c>
      <c r="C508" s="277" t="str">
        <f t="shared" si="235"/>
        <v xml:space="preserve">LS </v>
      </c>
      <c r="D508" s="277" t="str">
        <f t="shared" si="236"/>
        <v>LGUM_479</v>
      </c>
      <c r="E508" s="614">
        <f t="shared" si="213"/>
        <v>0</v>
      </c>
      <c r="F508" s="615">
        <f t="shared" si="233"/>
        <v>0</v>
      </c>
      <c r="G508" s="614">
        <f t="shared" si="214"/>
        <v>0</v>
      </c>
      <c r="H508" s="615">
        <v>0</v>
      </c>
      <c r="I508" s="283">
        <f t="shared" si="215"/>
        <v>14.06</v>
      </c>
      <c r="J508" s="283">
        <f t="shared" si="216"/>
        <v>1.370000000000001</v>
      </c>
      <c r="K508" s="285">
        <f t="shared" si="217"/>
        <v>0</v>
      </c>
      <c r="L508" s="286">
        <f t="shared" si="218"/>
        <v>0</v>
      </c>
      <c r="M508" s="286">
        <v>0</v>
      </c>
      <c r="N508" s="285">
        <f t="shared" si="219"/>
        <v>0</v>
      </c>
      <c r="O508" s="616">
        <f t="shared" si="237"/>
        <v>0</v>
      </c>
      <c r="P508" s="289">
        <f t="shared" si="220"/>
        <v>1</v>
      </c>
      <c r="Q508" s="290">
        <f t="shared" si="221"/>
        <v>0</v>
      </c>
      <c r="R508" s="290">
        <f t="shared" si="222"/>
        <v>0</v>
      </c>
      <c r="S508" s="290">
        <f t="shared" si="223"/>
        <v>0</v>
      </c>
      <c r="T508" s="290">
        <f t="shared" si="224"/>
        <v>0</v>
      </c>
      <c r="U508" s="291">
        <f t="shared" si="225"/>
        <v>0</v>
      </c>
      <c r="V508" s="291">
        <f t="shared" si="229"/>
        <v>0</v>
      </c>
      <c r="W508" s="265">
        <f t="shared" si="226"/>
        <v>0</v>
      </c>
      <c r="X508" s="291">
        <f t="shared" si="230"/>
        <v>0</v>
      </c>
      <c r="Y508" s="170">
        <f t="shared" si="227"/>
        <v>0</v>
      </c>
      <c r="Z508" s="291">
        <f t="shared" si="228"/>
        <v>0</v>
      </c>
      <c r="AC508" s="276">
        <f>IF(AI508=1,IF(AC507=MiscData!$F$1,EOMONTH(AC507,-11),EOMONTH(AC507,1)),AC507)</f>
        <v>41851</v>
      </c>
      <c r="AD508" s="275" t="str">
        <f t="shared" si="238"/>
        <v>20140101LGUM_479</v>
      </c>
      <c r="AE508" s="294" t="str">
        <f t="shared" si="239"/>
        <v xml:space="preserve">20140101LS </v>
      </c>
      <c r="AF508" s="618" t="str">
        <f t="shared" si="231"/>
        <v>479</v>
      </c>
      <c r="AH508" s="265">
        <f>MiscData!$X$5</f>
        <v>20140101</v>
      </c>
      <c r="AI508" s="265">
        <f>IF(AI507+1&gt;MiscData!$AC$77,1,AI507+1)</f>
        <v>67</v>
      </c>
      <c r="AJ508" s="265" t="str">
        <f>VLOOKUP(AI508,MiscData!$AC$5:$AD$77,2,FALSE)</f>
        <v>LGUM_479</v>
      </c>
      <c r="AK508" s="265" t="str">
        <f>VLOOKUP(AJ508,MiscData!$AD$5:$AE$77,2,FALSE)</f>
        <v xml:space="preserve">LS </v>
      </c>
      <c r="AT508" s="265" t="s">
        <v>367</v>
      </c>
      <c r="AV508" s="265">
        <v>29.38</v>
      </c>
    </row>
    <row r="509" spans="1:48">
      <c r="A509" s="275">
        <f t="shared" si="232"/>
        <v>506</v>
      </c>
      <c r="B509" s="276" t="str">
        <f t="shared" si="234"/>
        <v>Jul 2014</v>
      </c>
      <c r="C509" s="277" t="str">
        <f t="shared" si="235"/>
        <v xml:space="preserve">LS </v>
      </c>
      <c r="D509" s="277" t="str">
        <f t="shared" si="236"/>
        <v>LGUM_480</v>
      </c>
      <c r="E509" s="614">
        <f t="shared" si="213"/>
        <v>18</v>
      </c>
      <c r="F509" s="615">
        <f t="shared" si="233"/>
        <v>0</v>
      </c>
      <c r="G509" s="614">
        <f t="shared" si="214"/>
        <v>710</v>
      </c>
      <c r="H509" s="615">
        <v>0</v>
      </c>
      <c r="I509" s="283">
        <f t="shared" si="215"/>
        <v>23.83</v>
      </c>
      <c r="J509" s="283">
        <f t="shared" si="216"/>
        <v>1.370000000000001</v>
      </c>
      <c r="K509" s="285">
        <f t="shared" si="217"/>
        <v>428.94</v>
      </c>
      <c r="L509" s="286">
        <f t="shared" si="218"/>
        <v>0</v>
      </c>
      <c r="M509" s="286">
        <v>0</v>
      </c>
      <c r="N509" s="285">
        <f t="shared" si="219"/>
        <v>428.94</v>
      </c>
      <c r="O509" s="616">
        <f t="shared" si="237"/>
        <v>428.94</v>
      </c>
      <c r="P509" s="289">
        <f t="shared" si="220"/>
        <v>1</v>
      </c>
      <c r="Q509" s="290">
        <f t="shared" si="221"/>
        <v>0.98</v>
      </c>
      <c r="R509" s="290">
        <f t="shared" si="222"/>
        <v>13.63</v>
      </c>
      <c r="S509" s="290">
        <f t="shared" si="223"/>
        <v>0</v>
      </c>
      <c r="T509" s="290">
        <f t="shared" si="224"/>
        <v>443.55</v>
      </c>
      <c r="U509" s="291">
        <f t="shared" si="225"/>
        <v>443.55</v>
      </c>
      <c r="V509" s="291">
        <f t="shared" si="229"/>
        <v>0</v>
      </c>
      <c r="W509" s="265">
        <f t="shared" si="226"/>
        <v>0</v>
      </c>
      <c r="X509" s="291">
        <f t="shared" si="230"/>
        <v>0</v>
      </c>
      <c r="Y509" s="170">
        <f t="shared" si="227"/>
        <v>24.66</v>
      </c>
      <c r="Z509" s="291">
        <f t="shared" si="228"/>
        <v>404.28</v>
      </c>
      <c r="AC509" s="276">
        <f>IF(AI509=1,IF(AC508=MiscData!$F$1,EOMONTH(AC508,-11),EOMONTH(AC508,1)),AC508)</f>
        <v>41851</v>
      </c>
      <c r="AD509" s="275" t="str">
        <f t="shared" si="238"/>
        <v>20140101LGUM_480</v>
      </c>
      <c r="AE509" s="294" t="str">
        <f t="shared" si="239"/>
        <v xml:space="preserve">20140101LS </v>
      </c>
      <c r="AF509" s="618" t="str">
        <f t="shared" si="231"/>
        <v>480</v>
      </c>
      <c r="AH509" s="265">
        <f>MiscData!$X$5</f>
        <v>20140101</v>
      </c>
      <c r="AI509" s="265">
        <f>IF(AI508+1&gt;MiscData!$AC$77,1,AI508+1)</f>
        <v>68</v>
      </c>
      <c r="AJ509" s="265" t="str">
        <f>VLOOKUP(AI509,MiscData!$AC$5:$AD$77,2,FALSE)</f>
        <v>LGUM_480</v>
      </c>
      <c r="AK509" s="265" t="str">
        <f>VLOOKUP(AJ509,MiscData!$AD$5:$AE$77,2,FALSE)</f>
        <v xml:space="preserve">LS </v>
      </c>
      <c r="AT509" s="265" t="s">
        <v>368</v>
      </c>
      <c r="AV509" s="265">
        <v>0</v>
      </c>
    </row>
    <row r="510" spans="1:48">
      <c r="A510" s="275">
        <f t="shared" si="232"/>
        <v>507</v>
      </c>
      <c r="B510" s="276" t="str">
        <f t="shared" si="234"/>
        <v>Jul 2014</v>
      </c>
      <c r="C510" s="277" t="str">
        <f t="shared" si="235"/>
        <v xml:space="preserve">LS </v>
      </c>
      <c r="D510" s="277" t="str">
        <f t="shared" si="236"/>
        <v>LGUM_481</v>
      </c>
      <c r="E510" s="614">
        <f t="shared" si="213"/>
        <v>4</v>
      </c>
      <c r="F510" s="615">
        <f t="shared" si="233"/>
        <v>0</v>
      </c>
      <c r="G510" s="614">
        <f t="shared" si="214"/>
        <v>367</v>
      </c>
      <c r="H510" s="615">
        <v>0</v>
      </c>
      <c r="I510" s="283">
        <f t="shared" si="215"/>
        <v>20.46</v>
      </c>
      <c r="J510" s="283">
        <f t="shared" si="216"/>
        <v>3.1800000000000033</v>
      </c>
      <c r="K510" s="285">
        <f t="shared" si="217"/>
        <v>81.84</v>
      </c>
      <c r="L510" s="286">
        <f t="shared" si="218"/>
        <v>0</v>
      </c>
      <c r="M510" s="286">
        <v>0</v>
      </c>
      <c r="N510" s="285">
        <f t="shared" si="219"/>
        <v>81.84</v>
      </c>
      <c r="O510" s="616">
        <f t="shared" si="237"/>
        <v>81.839999999999989</v>
      </c>
      <c r="P510" s="289">
        <f t="shared" si="220"/>
        <v>0.99999999999999978</v>
      </c>
      <c r="Q510" s="290">
        <f t="shared" si="221"/>
        <v>0.51</v>
      </c>
      <c r="R510" s="290">
        <f t="shared" si="222"/>
        <v>2.61</v>
      </c>
      <c r="S510" s="290">
        <f t="shared" si="223"/>
        <v>0</v>
      </c>
      <c r="T510" s="290">
        <f t="shared" si="224"/>
        <v>84.96</v>
      </c>
      <c r="U510" s="291">
        <f t="shared" si="225"/>
        <v>84.960000000000008</v>
      </c>
      <c r="V510" s="291">
        <f t="shared" si="229"/>
        <v>0</v>
      </c>
      <c r="W510" s="265">
        <f t="shared" si="226"/>
        <v>0</v>
      </c>
      <c r="X510" s="291">
        <f t="shared" si="230"/>
        <v>0</v>
      </c>
      <c r="Y510" s="170">
        <f t="shared" si="227"/>
        <v>12.72</v>
      </c>
      <c r="Z510" s="291">
        <f t="shared" si="228"/>
        <v>69.11999999999999</v>
      </c>
      <c r="AC510" s="276">
        <f>IF(AI510=1,IF(AC509=MiscData!$F$1,EOMONTH(AC509,-11),EOMONTH(AC509,1)),AC509)</f>
        <v>41851</v>
      </c>
      <c r="AD510" s="275" t="str">
        <f t="shared" si="238"/>
        <v>20140101LGUM_481</v>
      </c>
      <c r="AE510" s="294" t="str">
        <f t="shared" si="239"/>
        <v xml:space="preserve">20140101LS </v>
      </c>
      <c r="AF510" s="618" t="str">
        <f t="shared" si="231"/>
        <v>481</v>
      </c>
      <c r="AH510" s="265">
        <f>MiscData!$X$5</f>
        <v>20140101</v>
      </c>
      <c r="AI510" s="265">
        <f>IF(AI509+1&gt;MiscData!$AC$77,1,AI509+1)</f>
        <v>69</v>
      </c>
      <c r="AJ510" s="265" t="str">
        <f>VLOOKUP(AI510,MiscData!$AC$5:$AD$77,2,FALSE)</f>
        <v>LGUM_481</v>
      </c>
      <c r="AK510" s="265" t="str">
        <f>VLOOKUP(AJ510,MiscData!$AD$5:$AE$77,2,FALSE)</f>
        <v xml:space="preserve">LS </v>
      </c>
      <c r="AT510" s="265" t="s">
        <v>369</v>
      </c>
      <c r="AV510" s="265">
        <v>0</v>
      </c>
    </row>
    <row r="511" spans="1:48">
      <c r="A511" s="275">
        <f t="shared" si="232"/>
        <v>508</v>
      </c>
      <c r="B511" s="276" t="str">
        <f t="shared" si="234"/>
        <v>Jul 2014</v>
      </c>
      <c r="C511" s="277" t="str">
        <f t="shared" si="235"/>
        <v xml:space="preserve">LS </v>
      </c>
      <c r="D511" s="277" t="str">
        <f t="shared" si="236"/>
        <v>LGUM_482</v>
      </c>
      <c r="E511" s="614">
        <f t="shared" si="213"/>
        <v>44</v>
      </c>
      <c r="F511" s="615">
        <f t="shared" si="233"/>
        <v>0</v>
      </c>
      <c r="G511" s="614">
        <f t="shared" si="214"/>
        <v>4078</v>
      </c>
      <c r="H511" s="615">
        <v>0</v>
      </c>
      <c r="I511" s="283">
        <f t="shared" si="215"/>
        <v>30.21</v>
      </c>
      <c r="J511" s="283">
        <f t="shared" si="216"/>
        <v>3.1800000000000033</v>
      </c>
      <c r="K511" s="285">
        <f t="shared" si="217"/>
        <v>1329.24</v>
      </c>
      <c r="L511" s="286">
        <f t="shared" si="218"/>
        <v>0</v>
      </c>
      <c r="M511" s="286">
        <v>0</v>
      </c>
      <c r="N511" s="285">
        <f t="shared" si="219"/>
        <v>1329.24</v>
      </c>
      <c r="O511" s="616">
        <f t="shared" si="237"/>
        <v>1329.24</v>
      </c>
      <c r="P511" s="289">
        <f t="shared" si="220"/>
        <v>1</v>
      </c>
      <c r="Q511" s="290">
        <f t="shared" si="221"/>
        <v>5.63</v>
      </c>
      <c r="R511" s="290">
        <f t="shared" si="222"/>
        <v>42.31</v>
      </c>
      <c r="S511" s="290">
        <f t="shared" si="223"/>
        <v>0</v>
      </c>
      <c r="T511" s="290">
        <f t="shared" si="224"/>
        <v>1377.18</v>
      </c>
      <c r="U511" s="291">
        <f t="shared" si="225"/>
        <v>1377.18</v>
      </c>
      <c r="V511" s="291">
        <f t="shared" si="229"/>
        <v>0</v>
      </c>
      <c r="W511" s="265">
        <f t="shared" si="226"/>
        <v>0</v>
      </c>
      <c r="X511" s="291">
        <f t="shared" si="230"/>
        <v>0</v>
      </c>
      <c r="Y511" s="170">
        <f t="shared" si="227"/>
        <v>139.91999999999999</v>
      </c>
      <c r="Z511" s="291">
        <f t="shared" si="228"/>
        <v>1189.32</v>
      </c>
      <c r="AC511" s="276">
        <f>IF(AI511=1,IF(AC510=MiscData!$F$1,EOMONTH(AC510,-11),EOMONTH(AC510,1)),AC510)</f>
        <v>41851</v>
      </c>
      <c r="AD511" s="275" t="str">
        <f t="shared" si="238"/>
        <v>20140101LGUM_482</v>
      </c>
      <c r="AE511" s="294" t="str">
        <f t="shared" si="239"/>
        <v xml:space="preserve">20140101LS </v>
      </c>
      <c r="AF511" s="618" t="str">
        <f t="shared" si="231"/>
        <v>482</v>
      </c>
      <c r="AH511" s="265">
        <f>MiscData!$X$5</f>
        <v>20140101</v>
      </c>
      <c r="AI511" s="265">
        <f>IF(AI510+1&gt;MiscData!$AC$77,1,AI510+1)</f>
        <v>70</v>
      </c>
      <c r="AJ511" s="265" t="str">
        <f>VLOOKUP(AI511,MiscData!$AC$5:$AD$77,2,FALSE)</f>
        <v>LGUM_482</v>
      </c>
      <c r="AK511" s="265" t="str">
        <f>VLOOKUP(AJ511,MiscData!$AD$5:$AE$77,2,FALSE)</f>
        <v xml:space="preserve">LS </v>
      </c>
      <c r="AT511" s="265" t="s">
        <v>370</v>
      </c>
      <c r="AV511" s="265">
        <v>0</v>
      </c>
    </row>
    <row r="512" spans="1:48">
      <c r="A512" s="275">
        <f t="shared" si="232"/>
        <v>509</v>
      </c>
      <c r="B512" s="276" t="str">
        <f t="shared" si="234"/>
        <v>Jul 2014</v>
      </c>
      <c r="C512" s="277" t="str">
        <f t="shared" si="235"/>
        <v xml:space="preserve">LS </v>
      </c>
      <c r="D512" s="277" t="str">
        <f t="shared" si="236"/>
        <v>LGUM_483</v>
      </c>
      <c r="E512" s="614">
        <f t="shared" si="213"/>
        <v>2</v>
      </c>
      <c r="F512" s="615">
        <f t="shared" si="233"/>
        <v>0</v>
      </c>
      <c r="G512" s="614">
        <f t="shared" si="214"/>
        <v>599</v>
      </c>
      <c r="H512" s="615">
        <v>0</v>
      </c>
      <c r="I512" s="283">
        <f t="shared" si="215"/>
        <v>42.56</v>
      </c>
      <c r="J512" s="283">
        <f t="shared" si="216"/>
        <v>9.8100000000000023</v>
      </c>
      <c r="K512" s="285">
        <f t="shared" si="217"/>
        <v>85.12</v>
      </c>
      <c r="L512" s="286">
        <f t="shared" si="218"/>
        <v>0</v>
      </c>
      <c r="M512" s="286">
        <v>0</v>
      </c>
      <c r="N512" s="285">
        <f t="shared" si="219"/>
        <v>85.12</v>
      </c>
      <c r="O512" s="616">
        <f t="shared" si="237"/>
        <v>85.12</v>
      </c>
      <c r="P512" s="289">
        <f t="shared" si="220"/>
        <v>1</v>
      </c>
      <c r="Q512" s="290">
        <f t="shared" si="221"/>
        <v>0.83</v>
      </c>
      <c r="R512" s="290">
        <f t="shared" si="222"/>
        <v>2.72</v>
      </c>
      <c r="S512" s="290">
        <f t="shared" si="223"/>
        <v>0</v>
      </c>
      <c r="T512" s="290">
        <f t="shared" si="224"/>
        <v>88.67</v>
      </c>
      <c r="U512" s="291">
        <f t="shared" si="225"/>
        <v>88.67</v>
      </c>
      <c r="V512" s="291">
        <f t="shared" si="229"/>
        <v>0</v>
      </c>
      <c r="W512" s="265">
        <f t="shared" si="226"/>
        <v>0</v>
      </c>
      <c r="X512" s="291">
        <f t="shared" si="230"/>
        <v>0</v>
      </c>
      <c r="Y512" s="170">
        <f t="shared" si="227"/>
        <v>19.62</v>
      </c>
      <c r="Z512" s="291">
        <f t="shared" si="228"/>
        <v>65.5</v>
      </c>
      <c r="AC512" s="276">
        <f>IF(AI512=1,IF(AC511=MiscData!$F$1,EOMONTH(AC511,-11),EOMONTH(AC511,1)),AC511)</f>
        <v>41851</v>
      </c>
      <c r="AD512" s="275" t="str">
        <f t="shared" si="238"/>
        <v>20140101LGUM_483</v>
      </c>
      <c r="AE512" s="294" t="str">
        <f t="shared" si="239"/>
        <v xml:space="preserve">20140101LS </v>
      </c>
      <c r="AF512" s="618" t="str">
        <f t="shared" si="231"/>
        <v>483</v>
      </c>
      <c r="AH512" s="265">
        <f>MiscData!$X$5</f>
        <v>20140101</v>
      </c>
      <c r="AI512" s="265">
        <f>IF(AI511+1&gt;MiscData!$AC$77,1,AI511+1)</f>
        <v>71</v>
      </c>
      <c r="AJ512" s="265" t="str">
        <f>VLOOKUP(AI512,MiscData!$AC$5:$AD$77,2,FALSE)</f>
        <v>LGUM_483</v>
      </c>
      <c r="AK512" s="265" t="str">
        <f>VLOOKUP(AJ512,MiscData!$AD$5:$AE$77,2,FALSE)</f>
        <v xml:space="preserve">LS </v>
      </c>
      <c r="AT512" s="265" t="s">
        <v>371</v>
      </c>
      <c r="AV512" s="265">
        <v>25.43</v>
      </c>
    </row>
    <row r="513" spans="1:48">
      <c r="A513" s="275">
        <f t="shared" si="232"/>
        <v>510</v>
      </c>
      <c r="B513" s="276" t="str">
        <f t="shared" si="234"/>
        <v>Jul 2014</v>
      </c>
      <c r="C513" s="277" t="str">
        <f t="shared" si="235"/>
        <v xml:space="preserve">LS </v>
      </c>
      <c r="D513" s="277" t="str">
        <f t="shared" si="236"/>
        <v>LGUM_484</v>
      </c>
      <c r="E513" s="614">
        <f t="shared" si="213"/>
        <v>13</v>
      </c>
      <c r="F513" s="615">
        <f t="shared" si="233"/>
        <v>0</v>
      </c>
      <c r="G513" s="614">
        <f t="shared" si="214"/>
        <v>3900</v>
      </c>
      <c r="H513" s="615">
        <v>0</v>
      </c>
      <c r="I513" s="283">
        <f t="shared" si="215"/>
        <v>52.31</v>
      </c>
      <c r="J513" s="283">
        <f t="shared" si="216"/>
        <v>9.8100000000000023</v>
      </c>
      <c r="K513" s="285">
        <f t="shared" si="217"/>
        <v>680.03</v>
      </c>
      <c r="L513" s="286">
        <f t="shared" si="218"/>
        <v>0</v>
      </c>
      <c r="M513" s="286">
        <v>0</v>
      </c>
      <c r="N513" s="285">
        <f t="shared" si="219"/>
        <v>680.03</v>
      </c>
      <c r="O513" s="616">
        <f t="shared" si="237"/>
        <v>680.03</v>
      </c>
      <c r="P513" s="289">
        <f t="shared" si="220"/>
        <v>1</v>
      </c>
      <c r="Q513" s="290">
        <f t="shared" si="221"/>
        <v>5.38</v>
      </c>
      <c r="R513" s="290">
        <f t="shared" si="222"/>
        <v>21.72</v>
      </c>
      <c r="S513" s="290">
        <f t="shared" si="223"/>
        <v>0</v>
      </c>
      <c r="T513" s="290">
        <f t="shared" si="224"/>
        <v>707.13</v>
      </c>
      <c r="U513" s="291">
        <f t="shared" si="225"/>
        <v>707.13</v>
      </c>
      <c r="V513" s="291">
        <f t="shared" si="229"/>
        <v>0</v>
      </c>
      <c r="W513" s="265">
        <f t="shared" si="226"/>
        <v>0</v>
      </c>
      <c r="X513" s="291">
        <f t="shared" si="230"/>
        <v>0</v>
      </c>
      <c r="Y513" s="170">
        <f t="shared" si="227"/>
        <v>127.53</v>
      </c>
      <c r="Z513" s="291">
        <f t="shared" si="228"/>
        <v>552.5</v>
      </c>
      <c r="AC513" s="276">
        <f>IF(AI513=1,IF(AC512=MiscData!$F$1,EOMONTH(AC512,-11),EOMONTH(AC512,1)),AC512)</f>
        <v>41851</v>
      </c>
      <c r="AD513" s="275" t="str">
        <f t="shared" si="238"/>
        <v>20140101LGUM_484</v>
      </c>
      <c r="AE513" s="294" t="str">
        <f t="shared" si="239"/>
        <v xml:space="preserve">20140101LS </v>
      </c>
      <c r="AF513" s="618" t="str">
        <f t="shared" si="231"/>
        <v>484</v>
      </c>
      <c r="AH513" s="265">
        <f>MiscData!$X$5</f>
        <v>20140101</v>
      </c>
      <c r="AI513" s="265">
        <f>IF(AI512+1&gt;MiscData!$AC$77,1,AI512+1)</f>
        <v>72</v>
      </c>
      <c r="AJ513" s="265" t="str">
        <f>VLOOKUP(AI513,MiscData!$AC$5:$AD$77,2,FALSE)</f>
        <v>LGUM_484</v>
      </c>
      <c r="AK513" s="265" t="str">
        <f>VLOOKUP(AJ513,MiscData!$AD$5:$AE$77,2,FALSE)</f>
        <v xml:space="preserve">LS </v>
      </c>
      <c r="AT513" s="265" t="s">
        <v>655</v>
      </c>
      <c r="AV513" s="265">
        <v>0</v>
      </c>
    </row>
    <row r="514" spans="1:48">
      <c r="A514" s="275">
        <f t="shared" si="232"/>
        <v>511</v>
      </c>
      <c r="B514" s="276" t="str">
        <f t="shared" si="234"/>
        <v>Jul 2014</v>
      </c>
      <c r="C514" s="277" t="str">
        <f t="shared" si="235"/>
        <v>ODL</v>
      </c>
      <c r="D514" s="277" t="str">
        <f t="shared" si="236"/>
        <v>ODL</v>
      </c>
      <c r="E514" s="614">
        <f t="shared" si="213"/>
        <v>0</v>
      </c>
      <c r="F514" s="615">
        <f t="shared" si="233"/>
        <v>0</v>
      </c>
      <c r="G514" s="614">
        <f t="shared" si="214"/>
        <v>0</v>
      </c>
      <c r="H514" s="615">
        <v>0</v>
      </c>
      <c r="I514" s="283">
        <f t="shared" si="215"/>
        <v>0</v>
      </c>
      <c r="J514" s="283">
        <f t="shared" si="216"/>
        <v>0</v>
      </c>
      <c r="K514" s="285">
        <f t="shared" si="217"/>
        <v>0</v>
      </c>
      <c r="L514" s="286">
        <f t="shared" si="218"/>
        <v>0</v>
      </c>
      <c r="M514" s="286">
        <v>0</v>
      </c>
      <c r="N514" s="285">
        <f t="shared" si="219"/>
        <v>0</v>
      </c>
      <c r="O514" s="616">
        <f t="shared" si="237"/>
        <v>0</v>
      </c>
      <c r="P514" s="289">
        <f t="shared" si="220"/>
        <v>1</v>
      </c>
      <c r="Q514" s="290">
        <f t="shared" si="221"/>
        <v>0</v>
      </c>
      <c r="R514" s="290">
        <f t="shared" si="222"/>
        <v>0</v>
      </c>
      <c r="S514" s="290">
        <f t="shared" si="223"/>
        <v>0</v>
      </c>
      <c r="T514" s="290">
        <f t="shared" si="224"/>
        <v>0</v>
      </c>
      <c r="U514" s="291">
        <f t="shared" si="225"/>
        <v>0</v>
      </c>
      <c r="V514" s="291">
        <f t="shared" si="229"/>
        <v>0</v>
      </c>
      <c r="W514" s="265">
        <f t="shared" si="226"/>
        <v>0</v>
      </c>
      <c r="X514" s="291">
        <f t="shared" si="230"/>
        <v>0</v>
      </c>
      <c r="Y514" s="170">
        <f t="shared" si="227"/>
        <v>0</v>
      </c>
      <c r="Z514" s="291">
        <f t="shared" si="228"/>
        <v>0</v>
      </c>
      <c r="AC514" s="276">
        <f>IF(AI514=1,IF(AC513=MiscData!$F$1,EOMONTH(AC513,-11),EOMONTH(AC513,1)),AC513)</f>
        <v>41851</v>
      </c>
      <c r="AD514" s="275" t="str">
        <f t="shared" si="238"/>
        <v>20140101ODL</v>
      </c>
      <c r="AE514" s="294" t="str">
        <f t="shared" si="239"/>
        <v>20140101ODL</v>
      </c>
      <c r="AF514" s="618" t="str">
        <f t="shared" si="231"/>
        <v>ODL</v>
      </c>
      <c r="AH514" s="265">
        <f>MiscData!$X$5</f>
        <v>20140101</v>
      </c>
      <c r="AI514" s="265">
        <f>IF(AI513+1&gt;MiscData!$AC$77,1,AI513+1)</f>
        <v>73</v>
      </c>
      <c r="AJ514" s="265" t="str">
        <f>VLOOKUP(AI514,MiscData!$AC$5:$AD$77,2,FALSE)</f>
        <v>ODL</v>
      </c>
      <c r="AK514" s="265" t="str">
        <f>VLOOKUP(AJ514,MiscData!$AD$5:$AE$77,2,FALSE)</f>
        <v>ODL</v>
      </c>
      <c r="AT514" s="265" t="s">
        <v>657</v>
      </c>
      <c r="AV514" s="265">
        <v>0</v>
      </c>
    </row>
    <row r="515" spans="1:48">
      <c r="A515" s="275">
        <f t="shared" si="232"/>
        <v>512</v>
      </c>
      <c r="B515" s="276" t="str">
        <f t="shared" si="234"/>
        <v>Aug 2014</v>
      </c>
      <c r="C515" s="277" t="str">
        <f t="shared" si="235"/>
        <v>RLS</v>
      </c>
      <c r="D515" s="277" t="str">
        <f t="shared" si="236"/>
        <v>LGUM_201</v>
      </c>
      <c r="E515" s="614">
        <f t="shared" si="213"/>
        <v>77</v>
      </c>
      <c r="F515" s="615">
        <f t="shared" si="233"/>
        <v>0</v>
      </c>
      <c r="G515" s="614">
        <f t="shared" si="214"/>
        <v>2606</v>
      </c>
      <c r="H515" s="615">
        <v>0</v>
      </c>
      <c r="I515" s="283">
        <f t="shared" si="215"/>
        <v>8.14</v>
      </c>
      <c r="J515" s="283">
        <f t="shared" si="216"/>
        <v>1.0899999999999999</v>
      </c>
      <c r="K515" s="285">
        <f t="shared" si="217"/>
        <v>626.78</v>
      </c>
      <c r="L515" s="286">
        <f t="shared" si="218"/>
        <v>0</v>
      </c>
      <c r="M515" s="286">
        <v>0</v>
      </c>
      <c r="N515" s="285">
        <f t="shared" si="219"/>
        <v>626.78</v>
      </c>
      <c r="O515" s="616">
        <f t="shared" si="237"/>
        <v>626.78</v>
      </c>
      <c r="P515" s="289">
        <f t="shared" si="220"/>
        <v>1</v>
      </c>
      <c r="Q515" s="290">
        <f t="shared" si="221"/>
        <v>-0.6</v>
      </c>
      <c r="R515" s="290">
        <f t="shared" si="222"/>
        <v>23.29</v>
      </c>
      <c r="S515" s="290">
        <f t="shared" si="223"/>
        <v>0</v>
      </c>
      <c r="T515" s="290">
        <f t="shared" si="224"/>
        <v>682.43</v>
      </c>
      <c r="U515" s="291">
        <f t="shared" si="225"/>
        <v>649.46999999999991</v>
      </c>
      <c r="V515" s="291">
        <f t="shared" si="229"/>
        <v>32.96</v>
      </c>
      <c r="W515" s="265">
        <f t="shared" si="226"/>
        <v>32.96</v>
      </c>
      <c r="X515" s="291">
        <f t="shared" si="230"/>
        <v>0</v>
      </c>
      <c r="Y515" s="170">
        <f t="shared" si="227"/>
        <v>83.93</v>
      </c>
      <c r="Z515" s="291">
        <f t="shared" si="228"/>
        <v>542.84999999999991</v>
      </c>
      <c r="AC515" s="276">
        <f>IF(AI515=1,IF(AC514=MiscData!$F$1,EOMONTH(AC514,-11),EOMONTH(AC514,1)),AC514)</f>
        <v>41882</v>
      </c>
      <c r="AD515" s="275" t="str">
        <f t="shared" si="238"/>
        <v>20140101LGUM_201</v>
      </c>
      <c r="AE515" s="294" t="str">
        <f t="shared" si="239"/>
        <v>20140101RLS</v>
      </c>
      <c r="AF515" s="618" t="str">
        <f t="shared" si="231"/>
        <v>201</v>
      </c>
      <c r="AH515" s="265">
        <f>MiscData!$X$5</f>
        <v>20140101</v>
      </c>
      <c r="AI515" s="265">
        <f>IF(AI514+1&gt;MiscData!$AC$77,1,AI514+1)</f>
        <v>1</v>
      </c>
      <c r="AJ515" s="265" t="str">
        <f>VLOOKUP(AI515,MiscData!$AC$5:$AD$77,2,FALSE)</f>
        <v>LGUM_201</v>
      </c>
      <c r="AK515" s="265" t="str">
        <f>VLOOKUP(AJ515,MiscData!$AD$5:$AE$77,2,FALSE)</f>
        <v>RLS</v>
      </c>
      <c r="AT515" s="265" t="s">
        <v>659</v>
      </c>
      <c r="AV515" s="265">
        <v>0</v>
      </c>
    </row>
    <row r="516" spans="1:48">
      <c r="A516" s="275">
        <f t="shared" si="232"/>
        <v>513</v>
      </c>
      <c r="B516" s="276" t="str">
        <f t="shared" ref="B516:B547" si="240">TEXT(AC516,"mmm yyyy")</f>
        <v>Aug 2014</v>
      </c>
      <c r="C516" s="277" t="str">
        <f t="shared" ref="C516:C547" si="241">AK516</f>
        <v>RLS</v>
      </c>
      <c r="D516" s="277" t="str">
        <f t="shared" ref="D516:D547" si="242">AJ516</f>
        <v>LGUM_203</v>
      </c>
      <c r="E516" s="614">
        <f t="shared" ref="E516:E579" si="243">SUMIFS(L_1055_Count_Total,L_1055_Revenue_Month,$B516,L_1055_RateCategory,$D516)</f>
        <v>3731</v>
      </c>
      <c r="F516" s="615">
        <f t="shared" si="233"/>
        <v>0</v>
      </c>
      <c r="G516" s="614">
        <f t="shared" ref="G516:G579" si="244">SUMIFS(L_SBR_KWH,L_SBR_Revenue_Month,$B516,L_SBR_Rate_Category,$D516)</f>
        <v>303212</v>
      </c>
      <c r="H516" s="615">
        <v>0</v>
      </c>
      <c r="I516" s="283">
        <f t="shared" ref="I516:I579" si="245">SUMIF(L_LightingRates_Tariff_Rate_Category,$AD516,L_LightingRates_UnitCharge)</f>
        <v>10.959999999999999</v>
      </c>
      <c r="J516" s="283">
        <f t="shared" ref="J516:J579" si="246">SUMIF(L_LightingRates_Tariff_Rate_Category,$AD516,L_LightingRates_FAC_Rate)</f>
        <v>2.7099999999999991</v>
      </c>
      <c r="K516" s="285">
        <f t="shared" ref="K516:K579" si="247">ROUND(($E516+$F516)*$I516,2)</f>
        <v>40891.760000000002</v>
      </c>
      <c r="L516" s="286">
        <f t="shared" ref="L516:L579" si="248">SUMIFS(L_1055_Revenue_Test_Period_Adj,L_1055_RateCategory,$D516,L_1055_Revenue_Month,$B516)+SUMIFS(L_1055_Revenue_OutOfPeriod,L_1055_RateCategory,$D516,L_1055_Revenue_Month,$B516)</f>
        <v>-136.26000000000295</v>
      </c>
      <c r="M516" s="286">
        <v>0</v>
      </c>
      <c r="N516" s="285">
        <f t="shared" ref="N516:N579" si="249">SUM(K516:M516)</f>
        <v>40755.5</v>
      </c>
      <c r="O516" s="616">
        <f t="shared" si="237"/>
        <v>40755.5</v>
      </c>
      <c r="P516" s="289">
        <f t="shared" ref="P516:P579" si="250">IF(AND(N516=0,O516=0),1,IF(N516=0,0,O516/N516))</f>
        <v>1</v>
      </c>
      <c r="Q516" s="290">
        <f t="shared" ref="Q516:Q579" si="251">SUMIFS(L_SBR_FAC,L_SBR_Revenue_Month,$B516,L_SBR_Rate_Category,$D516)</f>
        <v>-52.7</v>
      </c>
      <c r="R516" s="290">
        <f t="shared" ref="R516:R579" si="252">SUMIFS(L_SBR_ECR,L_SBR_Revenue_Month,$B516,L_SBR_Rate_Category,$D516)</f>
        <v>1451.49</v>
      </c>
      <c r="S516" s="290">
        <f t="shared" ref="S516:S579" si="253">SUMIFS(L_SBR_MSR,L_SBR_Revenue_Month,$B516,L_SBR_Rate_Category,$D516)</f>
        <v>0</v>
      </c>
      <c r="T516" s="290">
        <f t="shared" ref="T516:T579" si="254">SUMIFS(L_SBR_Revenue_Total,L_SBR_Revenue_Month,$B516,L_SBR_Rate_Category,$D516)</f>
        <v>42659.06</v>
      </c>
      <c r="U516" s="291">
        <f t="shared" ref="U516:U579" si="255">SUM(N516,Q516:S516)</f>
        <v>42154.29</v>
      </c>
      <c r="V516" s="291">
        <f t="shared" si="229"/>
        <v>504.77</v>
      </c>
      <c r="W516" s="265">
        <f t="shared" ref="W516:W579" si="256">ROUND(SUMIFS(L_1055_Revenue_Poles_Test_Period,L_1055_Revenue_Month,$B516,L_1055_RateCategory,$D516),2)</f>
        <v>504.77</v>
      </c>
      <c r="X516" s="291">
        <f t="shared" si="230"/>
        <v>0</v>
      </c>
      <c r="Y516" s="170">
        <f t="shared" ref="Y516:Y579" si="257">ROUND(E516*J516,2)</f>
        <v>10111.01</v>
      </c>
      <c r="Z516" s="291">
        <f t="shared" ref="Z516:Z579" si="258">O516-Y516</f>
        <v>30644.489999999998</v>
      </c>
      <c r="AC516" s="276">
        <f>IF(AI516=1,IF(AC515=MiscData!$F$1,EOMONTH(AC515,-11),EOMONTH(AC515,1)),AC515)</f>
        <v>41882</v>
      </c>
      <c r="AD516" s="275" t="str">
        <f t="shared" si="238"/>
        <v>20140101LGUM_203</v>
      </c>
      <c r="AE516" s="294" t="str">
        <f t="shared" si="239"/>
        <v>20140101RLS</v>
      </c>
      <c r="AF516" s="618" t="str">
        <f t="shared" si="231"/>
        <v>203</v>
      </c>
      <c r="AH516" s="265">
        <f>MiscData!$X$5</f>
        <v>20140101</v>
      </c>
      <c r="AI516" s="265">
        <f>IF(AI515+1&gt;MiscData!$AC$77,1,AI515+1)</f>
        <v>2</v>
      </c>
      <c r="AJ516" s="265" t="str">
        <f>VLOOKUP(AI516,MiscData!$AC$5:$AD$77,2,FALSE)</f>
        <v>LGUM_203</v>
      </c>
      <c r="AK516" s="265" t="str">
        <f>VLOOKUP(AJ516,MiscData!$AD$5:$AE$77,2,FALSE)</f>
        <v>RLS</v>
      </c>
      <c r="AT516" s="265" t="s">
        <v>399</v>
      </c>
      <c r="AV516" s="265">
        <v>0</v>
      </c>
    </row>
    <row r="517" spans="1:48">
      <c r="A517" s="275">
        <f t="shared" si="232"/>
        <v>514</v>
      </c>
      <c r="B517" s="276" t="str">
        <f t="shared" si="240"/>
        <v>Aug 2014</v>
      </c>
      <c r="C517" s="277" t="str">
        <f t="shared" si="241"/>
        <v>RLS</v>
      </c>
      <c r="D517" s="277" t="str">
        <f t="shared" si="242"/>
        <v>LGUM_204</v>
      </c>
      <c r="E517" s="614">
        <f t="shared" si="243"/>
        <v>3757</v>
      </c>
      <c r="F517" s="615">
        <f t="shared" si="233"/>
        <v>0</v>
      </c>
      <c r="G517" s="614">
        <f t="shared" si="244"/>
        <v>478369</v>
      </c>
      <c r="H517" s="615">
        <v>0</v>
      </c>
      <c r="I517" s="283">
        <f t="shared" si="245"/>
        <v>13.510000000000002</v>
      </c>
      <c r="J517" s="283">
        <f t="shared" si="246"/>
        <v>4.2000000000000011</v>
      </c>
      <c r="K517" s="285">
        <f t="shared" si="247"/>
        <v>50757.07</v>
      </c>
      <c r="L517" s="286">
        <f t="shared" si="248"/>
        <v>-111.70999999999941</v>
      </c>
      <c r="M517" s="286">
        <v>0</v>
      </c>
      <c r="N517" s="285">
        <f t="shared" si="249"/>
        <v>50645.36</v>
      </c>
      <c r="O517" s="616">
        <f t="shared" si="237"/>
        <v>50645.359999999993</v>
      </c>
      <c r="P517" s="289">
        <f t="shared" si="250"/>
        <v>0.99999999999999989</v>
      </c>
      <c r="Q517" s="290">
        <f t="shared" si="251"/>
        <v>-85.48</v>
      </c>
      <c r="R517" s="290">
        <f t="shared" si="252"/>
        <v>1805.13</v>
      </c>
      <c r="S517" s="290">
        <f t="shared" si="253"/>
        <v>0</v>
      </c>
      <c r="T517" s="290">
        <f t="shared" si="254"/>
        <v>53140.56</v>
      </c>
      <c r="U517" s="291">
        <f t="shared" si="255"/>
        <v>52365.009999999995</v>
      </c>
      <c r="V517" s="291">
        <f t="shared" ref="V517:V580" si="259">ROUND(T517-U517,2)</f>
        <v>775.55</v>
      </c>
      <c r="W517" s="265">
        <f t="shared" si="256"/>
        <v>775.55</v>
      </c>
      <c r="X517" s="291">
        <f t="shared" ref="X517:X580" si="260">V517-W517</f>
        <v>0</v>
      </c>
      <c r="Y517" s="170">
        <f t="shared" si="257"/>
        <v>15779.4</v>
      </c>
      <c r="Z517" s="291">
        <f t="shared" si="258"/>
        <v>34865.959999999992</v>
      </c>
      <c r="AC517" s="276">
        <f>IF(AI517=1,IF(AC516=MiscData!$F$1,EOMONTH(AC516,-11),EOMONTH(AC516,1)),AC516)</f>
        <v>41882</v>
      </c>
      <c r="AD517" s="275" t="str">
        <f t="shared" si="238"/>
        <v>20140101LGUM_204</v>
      </c>
      <c r="AE517" s="294" t="str">
        <f t="shared" si="239"/>
        <v>20140101RLS</v>
      </c>
      <c r="AF517" s="618" t="str">
        <f t="shared" ref="AF517:AF580" si="261">RIGHT(AJ517,3)</f>
        <v>204</v>
      </c>
      <c r="AH517" s="265">
        <f>MiscData!$X$5</f>
        <v>20140101</v>
      </c>
      <c r="AI517" s="265">
        <f>IF(AI516+1&gt;MiscData!$AC$77,1,AI516+1)</f>
        <v>3</v>
      </c>
      <c r="AJ517" s="265" t="str">
        <f>VLOOKUP(AI517,MiscData!$AC$5:$AD$77,2,FALSE)</f>
        <v>LGUM_204</v>
      </c>
      <c r="AK517" s="265" t="str">
        <f>VLOOKUP(AJ517,MiscData!$AD$5:$AE$77,2,FALSE)</f>
        <v>RLS</v>
      </c>
      <c r="AT517" s="265" t="s">
        <v>372</v>
      </c>
      <c r="AV517" s="265">
        <v>0</v>
      </c>
    </row>
    <row r="518" spans="1:48">
      <c r="A518" s="275">
        <f t="shared" si="232"/>
        <v>515</v>
      </c>
      <c r="B518" s="276" t="str">
        <f t="shared" si="240"/>
        <v>Aug 2014</v>
      </c>
      <c r="C518" s="277" t="str">
        <f t="shared" si="241"/>
        <v>RLS</v>
      </c>
      <c r="D518" s="277" t="str">
        <f t="shared" si="242"/>
        <v>LGUM_206</v>
      </c>
      <c r="E518" s="614">
        <f t="shared" si="243"/>
        <v>94</v>
      </c>
      <c r="F518" s="615">
        <f t="shared" si="233"/>
        <v>0</v>
      </c>
      <c r="G518" s="614">
        <f t="shared" si="244"/>
        <v>3101</v>
      </c>
      <c r="H518" s="615">
        <v>0</v>
      </c>
      <c r="I518" s="283">
        <f t="shared" si="245"/>
        <v>12.450000000000001</v>
      </c>
      <c r="J518" s="283">
        <f t="shared" si="246"/>
        <v>1.0899999999999999</v>
      </c>
      <c r="K518" s="285">
        <f t="shared" si="247"/>
        <v>1170.3</v>
      </c>
      <c r="L518" s="286">
        <f t="shared" si="248"/>
        <v>-3.8599999999999</v>
      </c>
      <c r="M518" s="286">
        <v>0</v>
      </c>
      <c r="N518" s="285">
        <f t="shared" si="249"/>
        <v>1166.44</v>
      </c>
      <c r="O518" s="616">
        <f t="shared" si="237"/>
        <v>1166.44</v>
      </c>
      <c r="P518" s="289">
        <f t="shared" si="250"/>
        <v>1</v>
      </c>
      <c r="Q518" s="290">
        <f t="shared" si="251"/>
        <v>-0.56999999999999995</v>
      </c>
      <c r="R518" s="290">
        <f t="shared" si="252"/>
        <v>41.05</v>
      </c>
      <c r="S518" s="290">
        <f t="shared" si="253"/>
        <v>0</v>
      </c>
      <c r="T518" s="290">
        <f t="shared" si="254"/>
        <v>1206.92</v>
      </c>
      <c r="U518" s="291">
        <f t="shared" si="255"/>
        <v>1206.92</v>
      </c>
      <c r="V518" s="291">
        <f t="shared" si="259"/>
        <v>0</v>
      </c>
      <c r="W518" s="265">
        <f t="shared" si="256"/>
        <v>0</v>
      </c>
      <c r="X518" s="291">
        <f t="shared" si="260"/>
        <v>0</v>
      </c>
      <c r="Y518" s="170">
        <f t="shared" si="257"/>
        <v>102.46</v>
      </c>
      <c r="Z518" s="291">
        <f t="shared" si="258"/>
        <v>1063.98</v>
      </c>
      <c r="AC518" s="276">
        <f>IF(AI518=1,IF(AC517=MiscData!$F$1,EOMONTH(AC517,-11),EOMONTH(AC517,1)),AC517)</f>
        <v>41882</v>
      </c>
      <c r="AD518" s="275" t="str">
        <f t="shared" si="238"/>
        <v>20140101LGUM_206</v>
      </c>
      <c r="AE518" s="294" t="str">
        <f t="shared" si="239"/>
        <v>20140101RLS</v>
      </c>
      <c r="AF518" s="618" t="str">
        <f t="shared" si="261"/>
        <v>206</v>
      </c>
      <c r="AH518" s="265">
        <f>MiscData!$X$5</f>
        <v>20140101</v>
      </c>
      <c r="AI518" s="265">
        <f>IF(AI517+1&gt;MiscData!$AC$77,1,AI517+1)</f>
        <v>4</v>
      </c>
      <c r="AJ518" s="265" t="str">
        <f>VLOOKUP(AI518,MiscData!$AC$5:$AD$77,2,FALSE)</f>
        <v>LGUM_206</v>
      </c>
      <c r="AK518" s="265" t="str">
        <f>VLOOKUP(AJ518,MiscData!$AD$5:$AE$77,2,FALSE)</f>
        <v>RLS</v>
      </c>
      <c r="AT518" s="265" t="s">
        <v>373</v>
      </c>
      <c r="AV518" s="265">
        <v>0</v>
      </c>
    </row>
    <row r="519" spans="1:48">
      <c r="A519" s="275">
        <f t="shared" ref="A519:A582" si="262">A518+1</f>
        <v>516</v>
      </c>
      <c r="B519" s="276" t="str">
        <f t="shared" si="240"/>
        <v>Aug 2014</v>
      </c>
      <c r="C519" s="277" t="str">
        <f t="shared" si="241"/>
        <v>RLS</v>
      </c>
      <c r="D519" s="277" t="str">
        <f t="shared" si="242"/>
        <v>LGUM_207</v>
      </c>
      <c r="E519" s="614">
        <f t="shared" si="243"/>
        <v>744</v>
      </c>
      <c r="F519" s="615">
        <f t="shared" si="233"/>
        <v>10</v>
      </c>
      <c r="G519" s="614">
        <f t="shared" si="244"/>
        <v>92271</v>
      </c>
      <c r="H519" s="615">
        <v>0</v>
      </c>
      <c r="I519" s="283">
        <f t="shared" si="245"/>
        <v>15.54</v>
      </c>
      <c r="J519" s="283">
        <f t="shared" si="246"/>
        <v>4.2000000000000011</v>
      </c>
      <c r="K519" s="285">
        <f t="shared" si="247"/>
        <v>11717.16</v>
      </c>
      <c r="L519" s="286">
        <f t="shared" si="248"/>
        <v>-174.40999999999622</v>
      </c>
      <c r="M519" s="286">
        <v>0</v>
      </c>
      <c r="N519" s="285">
        <f t="shared" si="249"/>
        <v>11542.750000000004</v>
      </c>
      <c r="O519" s="616">
        <f t="shared" si="237"/>
        <v>11542.750000000002</v>
      </c>
      <c r="P519" s="289">
        <f t="shared" si="250"/>
        <v>0.99999999999999989</v>
      </c>
      <c r="Q519" s="290">
        <f t="shared" si="251"/>
        <v>-13.42</v>
      </c>
      <c r="R519" s="290">
        <f t="shared" si="252"/>
        <v>426.13</v>
      </c>
      <c r="S519" s="290">
        <f t="shared" si="253"/>
        <v>0</v>
      </c>
      <c r="T519" s="290">
        <f t="shared" si="254"/>
        <v>12512.19</v>
      </c>
      <c r="U519" s="291">
        <f t="shared" si="255"/>
        <v>11955.460000000003</v>
      </c>
      <c r="V519" s="291">
        <f t="shared" si="259"/>
        <v>556.73</v>
      </c>
      <c r="W519" s="265">
        <f t="shared" si="256"/>
        <v>556.73</v>
      </c>
      <c r="X519" s="291">
        <f t="shared" si="260"/>
        <v>0</v>
      </c>
      <c r="Y519" s="170">
        <f t="shared" si="257"/>
        <v>3124.8</v>
      </c>
      <c r="Z519" s="291">
        <f t="shared" si="258"/>
        <v>8417.9500000000007</v>
      </c>
      <c r="AC519" s="276">
        <f>IF(AI519=1,IF(AC518=MiscData!$F$1,EOMONTH(AC518,-11),EOMONTH(AC518,1)),AC518)</f>
        <v>41882</v>
      </c>
      <c r="AD519" s="275" t="str">
        <f t="shared" si="238"/>
        <v>20140101LGUM_207</v>
      </c>
      <c r="AE519" s="294" t="str">
        <f t="shared" si="239"/>
        <v>20140101RLS</v>
      </c>
      <c r="AF519" s="618" t="str">
        <f t="shared" si="261"/>
        <v>207</v>
      </c>
      <c r="AH519" s="265">
        <f>MiscData!$X$5</f>
        <v>20140101</v>
      </c>
      <c r="AI519" s="265">
        <f>IF(AI518+1&gt;MiscData!$AC$77,1,AI518+1)</f>
        <v>5</v>
      </c>
      <c r="AJ519" s="265" t="str">
        <f>VLOOKUP(AI519,MiscData!$AC$5:$AD$77,2,FALSE)</f>
        <v>LGUM_207</v>
      </c>
      <c r="AK519" s="265" t="str">
        <f>VLOOKUP(AJ519,MiscData!$AD$5:$AE$77,2,FALSE)</f>
        <v>RLS</v>
      </c>
      <c r="AT519" s="265" t="s">
        <v>374</v>
      </c>
      <c r="AV519" s="265">
        <v>0</v>
      </c>
    </row>
    <row r="520" spans="1:48">
      <c r="A520" s="275">
        <f t="shared" si="262"/>
        <v>517</v>
      </c>
      <c r="B520" s="276" t="str">
        <f t="shared" si="240"/>
        <v>Aug 2014</v>
      </c>
      <c r="C520" s="277" t="str">
        <f t="shared" si="241"/>
        <v>RLS</v>
      </c>
      <c r="D520" s="277" t="str">
        <f t="shared" si="242"/>
        <v>LGUM_208</v>
      </c>
      <c r="E520" s="614">
        <f t="shared" si="243"/>
        <v>1421</v>
      </c>
      <c r="F520" s="615">
        <f t="shared" si="233"/>
        <v>0</v>
      </c>
      <c r="G520" s="614">
        <f t="shared" si="244"/>
        <v>82035</v>
      </c>
      <c r="H520" s="615">
        <v>0</v>
      </c>
      <c r="I520" s="283">
        <f t="shared" si="245"/>
        <v>14.24</v>
      </c>
      <c r="J520" s="283">
        <f t="shared" si="246"/>
        <v>1.9100000000000001</v>
      </c>
      <c r="K520" s="285">
        <f t="shared" si="247"/>
        <v>20235.04</v>
      </c>
      <c r="L520" s="286">
        <f t="shared" si="248"/>
        <v>0</v>
      </c>
      <c r="M520" s="286">
        <v>0</v>
      </c>
      <c r="N520" s="285">
        <f t="shared" si="249"/>
        <v>20235.04</v>
      </c>
      <c r="O520" s="616">
        <f t="shared" si="237"/>
        <v>20235.04</v>
      </c>
      <c r="P520" s="289">
        <f t="shared" si="250"/>
        <v>1</v>
      </c>
      <c r="Q520" s="290">
        <f t="shared" si="251"/>
        <v>-15.09</v>
      </c>
      <c r="R520" s="290">
        <f t="shared" si="252"/>
        <v>711.36</v>
      </c>
      <c r="S520" s="290">
        <f t="shared" si="253"/>
        <v>0</v>
      </c>
      <c r="T520" s="290">
        <f t="shared" si="254"/>
        <v>20931.310000000001</v>
      </c>
      <c r="U520" s="291">
        <f t="shared" si="255"/>
        <v>20931.310000000001</v>
      </c>
      <c r="V520" s="291">
        <f t="shared" si="259"/>
        <v>0</v>
      </c>
      <c r="W520" s="265">
        <f t="shared" si="256"/>
        <v>0</v>
      </c>
      <c r="X520" s="291">
        <f t="shared" si="260"/>
        <v>0</v>
      </c>
      <c r="Y520" s="170">
        <f t="shared" si="257"/>
        <v>2714.11</v>
      </c>
      <c r="Z520" s="291">
        <f t="shared" si="258"/>
        <v>17520.93</v>
      </c>
      <c r="AC520" s="276">
        <f>IF(AI520=1,IF(AC519=MiscData!$F$1,EOMONTH(AC519,-11),EOMONTH(AC519,1)),AC519)</f>
        <v>41882</v>
      </c>
      <c r="AD520" s="275" t="str">
        <f t="shared" ref="AD520:AD553" si="263">CONCATENATE(AH520&amp;AJ520)</f>
        <v>20140101LGUM_208</v>
      </c>
      <c r="AE520" s="294" t="str">
        <f t="shared" ref="AE520:AE553" si="264">CONCATENATE(AH520&amp;AK520)</f>
        <v>20140101RLS</v>
      </c>
      <c r="AF520" s="618" t="str">
        <f t="shared" si="261"/>
        <v>208</v>
      </c>
      <c r="AH520" s="265">
        <f>MiscData!$X$5</f>
        <v>20140101</v>
      </c>
      <c r="AI520" s="265">
        <f>IF(AI519+1&gt;MiscData!$AC$77,1,AI519+1)</f>
        <v>6</v>
      </c>
      <c r="AJ520" s="265" t="str">
        <f>VLOOKUP(AI520,MiscData!$AC$5:$AD$77,2,FALSE)</f>
        <v>LGUM_208</v>
      </c>
      <c r="AK520" s="265" t="str">
        <f>VLOOKUP(AJ520,MiscData!$AD$5:$AE$77,2,FALSE)</f>
        <v>RLS</v>
      </c>
      <c r="AT520" s="265" t="s">
        <v>164</v>
      </c>
      <c r="AV520" s="265">
        <v>0</v>
      </c>
    </row>
    <row r="521" spans="1:48">
      <c r="A521" s="275">
        <f t="shared" si="262"/>
        <v>518</v>
      </c>
      <c r="B521" s="276" t="str">
        <f t="shared" si="240"/>
        <v>Aug 2014</v>
      </c>
      <c r="C521" s="277" t="str">
        <f t="shared" si="241"/>
        <v>RLS</v>
      </c>
      <c r="D521" s="277" t="str">
        <f t="shared" si="242"/>
        <v>LGUM_209</v>
      </c>
      <c r="E521" s="614">
        <f t="shared" si="243"/>
        <v>43</v>
      </c>
      <c r="F521" s="615">
        <f t="shared" si="233"/>
        <v>0</v>
      </c>
      <c r="G521" s="614">
        <f t="shared" si="244"/>
        <v>12804</v>
      </c>
      <c r="H521" s="615">
        <v>0</v>
      </c>
      <c r="I521" s="283">
        <f t="shared" si="245"/>
        <v>27.69</v>
      </c>
      <c r="J521" s="283">
        <f t="shared" si="246"/>
        <v>10.170000000000002</v>
      </c>
      <c r="K521" s="285">
        <f t="shared" si="247"/>
        <v>1190.67</v>
      </c>
      <c r="L521" s="286">
        <f t="shared" si="248"/>
        <v>0</v>
      </c>
      <c r="M521" s="286">
        <v>0</v>
      </c>
      <c r="N521" s="285">
        <f t="shared" si="249"/>
        <v>1190.67</v>
      </c>
      <c r="O521" s="616">
        <f t="shared" si="237"/>
        <v>1190.67</v>
      </c>
      <c r="P521" s="289">
        <f t="shared" si="250"/>
        <v>1</v>
      </c>
      <c r="Q521" s="290">
        <f t="shared" si="251"/>
        <v>-1.97</v>
      </c>
      <c r="R521" s="290">
        <f t="shared" si="252"/>
        <v>43.49</v>
      </c>
      <c r="S521" s="290">
        <f t="shared" si="253"/>
        <v>0</v>
      </c>
      <c r="T521" s="290">
        <f t="shared" si="254"/>
        <v>1281.6300000000001</v>
      </c>
      <c r="U521" s="291">
        <f t="shared" si="255"/>
        <v>1232.19</v>
      </c>
      <c r="V521" s="291">
        <f t="shared" si="259"/>
        <v>49.44</v>
      </c>
      <c r="W521" s="265">
        <f t="shared" si="256"/>
        <v>49.44</v>
      </c>
      <c r="X521" s="291">
        <f t="shared" si="260"/>
        <v>0</v>
      </c>
      <c r="Y521" s="170">
        <f t="shared" si="257"/>
        <v>437.31</v>
      </c>
      <c r="Z521" s="291">
        <f t="shared" si="258"/>
        <v>753.36000000000013</v>
      </c>
      <c r="AC521" s="276">
        <f>IF(AI521=1,IF(AC520=MiscData!$F$1,EOMONTH(AC520,-11),EOMONTH(AC520,1)),AC520)</f>
        <v>41882</v>
      </c>
      <c r="AD521" s="275" t="str">
        <f t="shared" si="263"/>
        <v>20140101LGUM_209</v>
      </c>
      <c r="AE521" s="294" t="str">
        <f t="shared" si="264"/>
        <v>20140101RLS</v>
      </c>
      <c r="AF521" s="618" t="str">
        <f t="shared" si="261"/>
        <v>209</v>
      </c>
      <c r="AH521" s="265">
        <f>MiscData!$X$5</f>
        <v>20140101</v>
      </c>
      <c r="AI521" s="265">
        <f>IF(AI520+1&gt;MiscData!$AC$77,1,AI520+1)</f>
        <v>7</v>
      </c>
      <c r="AJ521" s="265" t="str">
        <f>VLOOKUP(AI521,MiscData!$AC$5:$AD$77,2,FALSE)</f>
        <v>LGUM_209</v>
      </c>
      <c r="AK521" s="265" t="str">
        <f>VLOOKUP(AJ521,MiscData!$AD$5:$AE$77,2,FALSE)</f>
        <v>RLS</v>
      </c>
      <c r="AT521" s="265" t="s">
        <v>165</v>
      </c>
      <c r="AV521" s="265">
        <v>24.09</v>
      </c>
    </row>
    <row r="522" spans="1:48">
      <c r="A522" s="275">
        <f t="shared" si="262"/>
        <v>519</v>
      </c>
      <c r="B522" s="276" t="str">
        <f t="shared" si="240"/>
        <v>Aug 2014</v>
      </c>
      <c r="C522" s="277" t="str">
        <f t="shared" si="241"/>
        <v>RLS</v>
      </c>
      <c r="D522" s="277" t="str">
        <f t="shared" si="242"/>
        <v>LGUM_210</v>
      </c>
      <c r="E522" s="614">
        <f t="shared" si="243"/>
        <v>333</v>
      </c>
      <c r="F522" s="615">
        <f t="shared" si="233"/>
        <v>20</v>
      </c>
      <c r="G522" s="614">
        <f t="shared" si="244"/>
        <v>96959</v>
      </c>
      <c r="H522" s="615">
        <v>0</v>
      </c>
      <c r="I522" s="283">
        <f t="shared" si="245"/>
        <v>28.89</v>
      </c>
      <c r="J522" s="283">
        <f t="shared" si="246"/>
        <v>10.170000000000002</v>
      </c>
      <c r="K522" s="285">
        <f t="shared" si="247"/>
        <v>10198.17</v>
      </c>
      <c r="L522" s="286">
        <f t="shared" si="248"/>
        <v>-577.45999999999731</v>
      </c>
      <c r="M522" s="286">
        <v>0</v>
      </c>
      <c r="N522" s="285">
        <f t="shared" si="249"/>
        <v>9620.7100000000028</v>
      </c>
      <c r="O522" s="616">
        <f t="shared" si="237"/>
        <v>9620.7100000000009</v>
      </c>
      <c r="P522" s="289">
        <f t="shared" si="250"/>
        <v>0.99999999999999978</v>
      </c>
      <c r="Q522" s="290">
        <f t="shared" si="251"/>
        <v>-27.95</v>
      </c>
      <c r="R522" s="290">
        <f t="shared" si="252"/>
        <v>351.09</v>
      </c>
      <c r="S522" s="290">
        <f t="shared" si="253"/>
        <v>0</v>
      </c>
      <c r="T522" s="290">
        <f t="shared" si="254"/>
        <v>10151.91</v>
      </c>
      <c r="U522" s="291">
        <f t="shared" si="255"/>
        <v>9943.8500000000022</v>
      </c>
      <c r="V522" s="291">
        <f t="shared" si="259"/>
        <v>208.06</v>
      </c>
      <c r="W522" s="265">
        <f t="shared" si="256"/>
        <v>208.06</v>
      </c>
      <c r="X522" s="291">
        <f t="shared" si="260"/>
        <v>0</v>
      </c>
      <c r="Y522" s="170">
        <f t="shared" si="257"/>
        <v>3386.61</v>
      </c>
      <c r="Z522" s="291">
        <f t="shared" si="258"/>
        <v>6234.1</v>
      </c>
      <c r="AC522" s="276">
        <f>IF(AI522=1,IF(AC521=MiscData!$F$1,EOMONTH(AC521,-11),EOMONTH(AC521,1)),AC521)</f>
        <v>41882</v>
      </c>
      <c r="AD522" s="275" t="str">
        <f t="shared" si="263"/>
        <v>20140101LGUM_210</v>
      </c>
      <c r="AE522" s="294" t="str">
        <f t="shared" si="264"/>
        <v>20140101RLS</v>
      </c>
      <c r="AF522" s="618" t="str">
        <f t="shared" si="261"/>
        <v>210</v>
      </c>
      <c r="AH522" s="265">
        <f>MiscData!$X$5</f>
        <v>20140101</v>
      </c>
      <c r="AI522" s="265">
        <f>IF(AI521+1&gt;MiscData!$AC$77,1,AI521+1)</f>
        <v>8</v>
      </c>
      <c r="AJ522" s="265" t="str">
        <f>VLOOKUP(AI522,MiscData!$AC$5:$AD$77,2,FALSE)</f>
        <v>LGUM_210</v>
      </c>
      <c r="AK522" s="265" t="str">
        <f>VLOOKUP(AJ522,MiscData!$AD$5:$AE$77,2,FALSE)</f>
        <v>RLS</v>
      </c>
      <c r="AT522" s="265" t="s">
        <v>166</v>
      </c>
      <c r="AV522" s="265">
        <v>-9.5</v>
      </c>
    </row>
    <row r="523" spans="1:48">
      <c r="A523" s="275">
        <f t="shared" si="262"/>
        <v>520</v>
      </c>
      <c r="B523" s="276" t="str">
        <f t="shared" si="240"/>
        <v>Aug 2014</v>
      </c>
      <c r="C523" s="277" t="str">
        <f t="shared" si="241"/>
        <v>RLS</v>
      </c>
      <c r="D523" s="277" t="str">
        <f t="shared" si="242"/>
        <v>LGUM_252</v>
      </c>
      <c r="E523" s="614">
        <f t="shared" si="243"/>
        <v>3993</v>
      </c>
      <c r="F523" s="615">
        <f t="shared" si="233"/>
        <v>5</v>
      </c>
      <c r="G523" s="614">
        <f t="shared" si="244"/>
        <v>228038</v>
      </c>
      <c r="H523" s="615">
        <v>0</v>
      </c>
      <c r="I523" s="283">
        <f t="shared" si="245"/>
        <v>9.57</v>
      </c>
      <c r="J523" s="283">
        <f t="shared" si="246"/>
        <v>1.9099999999999993</v>
      </c>
      <c r="K523" s="285">
        <f t="shared" si="247"/>
        <v>38260.86</v>
      </c>
      <c r="L523" s="286">
        <f t="shared" si="248"/>
        <v>-208.8999999999933</v>
      </c>
      <c r="M523" s="286">
        <v>0</v>
      </c>
      <c r="N523" s="285">
        <f t="shared" si="249"/>
        <v>38051.960000000006</v>
      </c>
      <c r="O523" s="616">
        <f t="shared" si="237"/>
        <v>38051.96</v>
      </c>
      <c r="P523" s="289">
        <f t="shared" si="250"/>
        <v>0.99999999999999978</v>
      </c>
      <c r="Q523" s="290">
        <f t="shared" si="251"/>
        <v>-3.68</v>
      </c>
      <c r="R523" s="290">
        <f t="shared" si="252"/>
        <v>1383.05</v>
      </c>
      <c r="S523" s="290">
        <f t="shared" si="253"/>
        <v>0</v>
      </c>
      <c r="T523" s="290">
        <f t="shared" si="254"/>
        <v>40970.22</v>
      </c>
      <c r="U523" s="291">
        <f t="shared" si="255"/>
        <v>39431.330000000009</v>
      </c>
      <c r="V523" s="291">
        <f t="shared" si="259"/>
        <v>1538.89</v>
      </c>
      <c r="W523" s="265">
        <f t="shared" si="256"/>
        <v>1538.89</v>
      </c>
      <c r="X523" s="291">
        <f t="shared" si="260"/>
        <v>0</v>
      </c>
      <c r="Y523" s="170">
        <f t="shared" si="257"/>
        <v>7626.63</v>
      </c>
      <c r="Z523" s="291">
        <f t="shared" si="258"/>
        <v>30425.329999999998</v>
      </c>
      <c r="AC523" s="276">
        <f>IF(AI523=1,IF(AC522=MiscData!$F$1,EOMONTH(AC522,-11),EOMONTH(AC522,1)),AC522)</f>
        <v>41882</v>
      </c>
      <c r="AD523" s="275" t="str">
        <f t="shared" si="263"/>
        <v>20140101LGUM_252</v>
      </c>
      <c r="AE523" s="294" t="str">
        <f t="shared" si="264"/>
        <v>20140101RLS</v>
      </c>
      <c r="AF523" s="618" t="str">
        <f t="shared" si="261"/>
        <v>252</v>
      </c>
      <c r="AH523" s="265">
        <f>MiscData!$X$5</f>
        <v>20140101</v>
      </c>
      <c r="AI523" s="265">
        <f>IF(AI522+1&gt;MiscData!$AC$77,1,AI522+1)</f>
        <v>9</v>
      </c>
      <c r="AJ523" s="265" t="str">
        <f>VLOOKUP(AI523,MiscData!$AC$5:$AD$77,2,FALSE)</f>
        <v>LGUM_252</v>
      </c>
      <c r="AK523" s="265" t="str">
        <f>VLOOKUP(AJ523,MiscData!$AD$5:$AE$77,2,FALSE)</f>
        <v>RLS</v>
      </c>
      <c r="AT523" s="265" t="s">
        <v>167</v>
      </c>
      <c r="AV523" s="265">
        <v>-8.7799999999999994</v>
      </c>
    </row>
    <row r="524" spans="1:48">
      <c r="A524" s="275">
        <f t="shared" si="262"/>
        <v>521</v>
      </c>
      <c r="B524" s="276" t="str">
        <f t="shared" si="240"/>
        <v>Aug 2014</v>
      </c>
      <c r="C524" s="277" t="str">
        <f t="shared" si="241"/>
        <v>RLS</v>
      </c>
      <c r="D524" s="277" t="str">
        <f t="shared" si="242"/>
        <v>LGUM_266</v>
      </c>
      <c r="E524" s="614">
        <f t="shared" si="243"/>
        <v>2066</v>
      </c>
      <c r="F524" s="615">
        <f t="shared" si="233"/>
        <v>0</v>
      </c>
      <c r="G524" s="614">
        <f t="shared" si="244"/>
        <v>177333</v>
      </c>
      <c r="H524" s="615">
        <v>0</v>
      </c>
      <c r="I524" s="283">
        <f t="shared" si="245"/>
        <v>27.34</v>
      </c>
      <c r="J524" s="283">
        <f t="shared" si="246"/>
        <v>2.8000000000000007</v>
      </c>
      <c r="K524" s="285">
        <f t="shared" si="247"/>
        <v>56484.44</v>
      </c>
      <c r="L524" s="286">
        <f t="shared" si="248"/>
        <v>-123.94000000000058</v>
      </c>
      <c r="M524" s="286">
        <v>0</v>
      </c>
      <c r="N524" s="285">
        <f t="shared" si="249"/>
        <v>56360.5</v>
      </c>
      <c r="O524" s="616">
        <f t="shared" si="237"/>
        <v>56360.5</v>
      </c>
      <c r="P524" s="289">
        <f t="shared" si="250"/>
        <v>1</v>
      </c>
      <c r="Q524" s="290">
        <f t="shared" si="251"/>
        <v>-19.34</v>
      </c>
      <c r="R524" s="290">
        <f t="shared" si="252"/>
        <v>1972.78</v>
      </c>
      <c r="S524" s="290">
        <f t="shared" si="253"/>
        <v>0</v>
      </c>
      <c r="T524" s="290">
        <f t="shared" si="254"/>
        <v>58313.94</v>
      </c>
      <c r="U524" s="291">
        <f t="shared" si="255"/>
        <v>58313.94</v>
      </c>
      <c r="V524" s="291">
        <f t="shared" si="259"/>
        <v>0</v>
      </c>
      <c r="W524" s="265">
        <f t="shared" si="256"/>
        <v>0</v>
      </c>
      <c r="X524" s="291">
        <f t="shared" si="260"/>
        <v>0</v>
      </c>
      <c r="Y524" s="170">
        <f t="shared" si="257"/>
        <v>5784.8</v>
      </c>
      <c r="Z524" s="291">
        <f t="shared" si="258"/>
        <v>50575.7</v>
      </c>
      <c r="AC524" s="276">
        <f>IF(AI524=1,IF(AC523=MiscData!$F$1,EOMONTH(AC523,-11),EOMONTH(AC523,1)),AC523)</f>
        <v>41882</v>
      </c>
      <c r="AD524" s="275" t="str">
        <f t="shared" si="263"/>
        <v>20140101LGUM_266</v>
      </c>
      <c r="AE524" s="294" t="str">
        <f t="shared" si="264"/>
        <v>20140101RLS</v>
      </c>
      <c r="AF524" s="618" t="str">
        <f t="shared" si="261"/>
        <v>266</v>
      </c>
      <c r="AH524" s="265">
        <f>MiscData!$X$5</f>
        <v>20140101</v>
      </c>
      <c r="AI524" s="265">
        <f>IF(AI523+1&gt;MiscData!$AC$77,1,AI523+1)</f>
        <v>10</v>
      </c>
      <c r="AJ524" s="265" t="str">
        <f>VLOOKUP(AI524,MiscData!$AC$5:$AD$77,2,FALSE)</f>
        <v>LGUM_266</v>
      </c>
      <c r="AK524" s="265" t="str">
        <f>VLOOKUP(AJ524,MiscData!$AD$5:$AE$77,2,FALSE)</f>
        <v>RLS</v>
      </c>
      <c r="AT524" s="265" t="s">
        <v>168</v>
      </c>
      <c r="AV524" s="265">
        <v>0</v>
      </c>
    </row>
    <row r="525" spans="1:48">
      <c r="A525" s="275">
        <f t="shared" si="262"/>
        <v>522</v>
      </c>
      <c r="B525" s="276" t="str">
        <f t="shared" si="240"/>
        <v>Aug 2014</v>
      </c>
      <c r="C525" s="277" t="str">
        <f t="shared" si="241"/>
        <v>RLS</v>
      </c>
      <c r="D525" s="277" t="str">
        <f t="shared" si="242"/>
        <v>LGUM_267</v>
      </c>
      <c r="E525" s="614">
        <f t="shared" si="243"/>
        <v>2318</v>
      </c>
      <c r="F525" s="615">
        <f t="shared" si="233"/>
        <v>0</v>
      </c>
      <c r="G525" s="614">
        <f t="shared" si="244"/>
        <v>314860</v>
      </c>
      <c r="H525" s="615">
        <v>0</v>
      </c>
      <c r="I525" s="283">
        <f t="shared" si="245"/>
        <v>31.4</v>
      </c>
      <c r="J525" s="283">
        <f t="shared" si="246"/>
        <v>4.4499999999999993</v>
      </c>
      <c r="K525" s="285">
        <f t="shared" si="247"/>
        <v>72785.2</v>
      </c>
      <c r="L525" s="286">
        <f t="shared" si="248"/>
        <v>-100.47999999999593</v>
      </c>
      <c r="M525" s="286">
        <v>0</v>
      </c>
      <c r="N525" s="285">
        <f t="shared" si="249"/>
        <v>72684.72</v>
      </c>
      <c r="O525" s="616">
        <f t="shared" si="237"/>
        <v>72684.72</v>
      </c>
      <c r="P525" s="289">
        <f t="shared" si="250"/>
        <v>1</v>
      </c>
      <c r="Q525" s="290">
        <f t="shared" si="251"/>
        <v>-49.78</v>
      </c>
      <c r="R525" s="290">
        <f t="shared" si="252"/>
        <v>2550.84</v>
      </c>
      <c r="S525" s="290">
        <f t="shared" si="253"/>
        <v>0</v>
      </c>
      <c r="T525" s="290">
        <f t="shared" si="254"/>
        <v>75185.78</v>
      </c>
      <c r="U525" s="291">
        <f t="shared" si="255"/>
        <v>75185.78</v>
      </c>
      <c r="V525" s="291">
        <f t="shared" si="259"/>
        <v>0</v>
      </c>
      <c r="W525" s="265">
        <f t="shared" si="256"/>
        <v>0</v>
      </c>
      <c r="X525" s="291">
        <f t="shared" si="260"/>
        <v>0</v>
      </c>
      <c r="Y525" s="170">
        <f t="shared" si="257"/>
        <v>10315.1</v>
      </c>
      <c r="Z525" s="291">
        <f t="shared" si="258"/>
        <v>62369.62</v>
      </c>
      <c r="AC525" s="276">
        <f>IF(AI525=1,IF(AC524=MiscData!$F$1,EOMONTH(AC524,-11),EOMONTH(AC524,1)),AC524)</f>
        <v>41882</v>
      </c>
      <c r="AD525" s="275" t="str">
        <f t="shared" si="263"/>
        <v>20140101LGUM_267</v>
      </c>
      <c r="AE525" s="294" t="str">
        <f t="shared" si="264"/>
        <v>20140101RLS</v>
      </c>
      <c r="AF525" s="618" t="str">
        <f t="shared" si="261"/>
        <v>267</v>
      </c>
      <c r="AH525" s="265">
        <f>MiscData!$X$5</f>
        <v>20140101</v>
      </c>
      <c r="AI525" s="265">
        <f>IF(AI524+1&gt;MiscData!$AC$77,1,AI524+1)</f>
        <v>11</v>
      </c>
      <c r="AJ525" s="265" t="str">
        <f>VLOOKUP(AI525,MiscData!$AC$5:$AD$77,2,FALSE)</f>
        <v>LGUM_267</v>
      </c>
      <c r="AK525" s="265" t="str">
        <f>VLOOKUP(AJ525,MiscData!$AD$5:$AE$77,2,FALSE)</f>
        <v>RLS</v>
      </c>
      <c r="AT525" s="265" t="s">
        <v>504</v>
      </c>
      <c r="AV525" s="265">
        <v>0</v>
      </c>
    </row>
    <row r="526" spans="1:48">
      <c r="A526" s="275">
        <f t="shared" si="262"/>
        <v>523</v>
      </c>
      <c r="B526" s="276" t="str">
        <f t="shared" si="240"/>
        <v>Aug 2014</v>
      </c>
      <c r="C526" s="277" t="str">
        <f t="shared" si="241"/>
        <v>RLS</v>
      </c>
      <c r="D526" s="277" t="str">
        <f t="shared" si="242"/>
        <v>LGUM_274</v>
      </c>
      <c r="E526" s="614">
        <f t="shared" si="243"/>
        <v>17140</v>
      </c>
      <c r="F526" s="615">
        <f t="shared" si="233"/>
        <v>0</v>
      </c>
      <c r="G526" s="614">
        <f t="shared" si="244"/>
        <v>683445</v>
      </c>
      <c r="H526" s="615">
        <v>0</v>
      </c>
      <c r="I526" s="283">
        <f t="shared" si="245"/>
        <v>17.189999999999998</v>
      </c>
      <c r="J526" s="283">
        <f t="shared" si="246"/>
        <v>1.2699999999999996</v>
      </c>
      <c r="K526" s="285">
        <f t="shared" si="247"/>
        <v>294636.59999999998</v>
      </c>
      <c r="L526" s="286">
        <f t="shared" si="248"/>
        <v>-106.00000000003729</v>
      </c>
      <c r="M526" s="286">
        <v>0</v>
      </c>
      <c r="N526" s="285">
        <f t="shared" si="249"/>
        <v>294530.59999999992</v>
      </c>
      <c r="O526" s="616">
        <f t="shared" si="237"/>
        <v>294530.59999999998</v>
      </c>
      <c r="P526" s="289">
        <f t="shared" si="250"/>
        <v>1.0000000000000002</v>
      </c>
      <c r="Q526" s="290">
        <f t="shared" si="251"/>
        <v>-108.09</v>
      </c>
      <c r="R526" s="290">
        <f t="shared" si="252"/>
        <v>10338.73</v>
      </c>
      <c r="S526" s="290">
        <f t="shared" si="253"/>
        <v>0</v>
      </c>
      <c r="T526" s="290">
        <f t="shared" si="254"/>
        <v>304774.61</v>
      </c>
      <c r="U526" s="291">
        <f t="shared" si="255"/>
        <v>304761.23999999987</v>
      </c>
      <c r="V526" s="291">
        <f t="shared" si="259"/>
        <v>13.37</v>
      </c>
      <c r="W526" s="265">
        <f t="shared" si="256"/>
        <v>13.37</v>
      </c>
      <c r="X526" s="291">
        <f t="shared" si="260"/>
        <v>0</v>
      </c>
      <c r="Y526" s="170">
        <f t="shared" si="257"/>
        <v>21767.8</v>
      </c>
      <c r="Z526" s="291">
        <f t="shared" si="258"/>
        <v>272762.8</v>
      </c>
      <c r="AC526" s="276">
        <f>IF(AI526=1,IF(AC525=MiscData!$F$1,EOMONTH(AC525,-11),EOMONTH(AC525,1)),AC525)</f>
        <v>41882</v>
      </c>
      <c r="AD526" s="275" t="str">
        <f t="shared" si="263"/>
        <v>20140101LGUM_274</v>
      </c>
      <c r="AE526" s="294" t="str">
        <f t="shared" si="264"/>
        <v>20140101RLS</v>
      </c>
      <c r="AF526" s="618" t="str">
        <f t="shared" si="261"/>
        <v>274</v>
      </c>
      <c r="AH526" s="265">
        <f>MiscData!$X$5</f>
        <v>20140101</v>
      </c>
      <c r="AI526" s="265">
        <f>IF(AI525+1&gt;MiscData!$AC$77,1,AI525+1)</f>
        <v>12</v>
      </c>
      <c r="AJ526" s="265" t="str">
        <f>VLOOKUP(AI526,MiscData!$AC$5:$AD$77,2,FALSE)</f>
        <v>LGUM_274</v>
      </c>
      <c r="AK526" s="265" t="str">
        <f>VLOOKUP(AJ526,MiscData!$AD$5:$AE$77,2,FALSE)</f>
        <v>RLS</v>
      </c>
      <c r="AT526" s="265" t="s">
        <v>169</v>
      </c>
      <c r="AV526" s="265">
        <v>0</v>
      </c>
    </row>
    <row r="527" spans="1:48">
      <c r="A527" s="275">
        <f t="shared" si="262"/>
        <v>524</v>
      </c>
      <c r="B527" s="276" t="str">
        <f t="shared" si="240"/>
        <v>Aug 2014</v>
      </c>
      <c r="C527" s="277" t="str">
        <f t="shared" si="241"/>
        <v>RLS</v>
      </c>
      <c r="D527" s="277" t="str">
        <f t="shared" si="242"/>
        <v>LGUM_275</v>
      </c>
      <c r="E527" s="614">
        <f t="shared" si="243"/>
        <v>529</v>
      </c>
      <c r="F527" s="615">
        <f t="shared" si="233"/>
        <v>0</v>
      </c>
      <c r="G527" s="614">
        <f t="shared" si="244"/>
        <v>28377</v>
      </c>
      <c r="H527" s="615">
        <v>0</v>
      </c>
      <c r="I527" s="283">
        <f t="shared" si="245"/>
        <v>24.89</v>
      </c>
      <c r="J527" s="283">
        <f t="shared" si="246"/>
        <v>1.7899999999999991</v>
      </c>
      <c r="K527" s="285">
        <f t="shared" si="247"/>
        <v>13166.81</v>
      </c>
      <c r="L527" s="286">
        <f t="shared" si="248"/>
        <v>0</v>
      </c>
      <c r="M527" s="286">
        <v>0</v>
      </c>
      <c r="N527" s="285">
        <f t="shared" si="249"/>
        <v>13166.81</v>
      </c>
      <c r="O527" s="616">
        <f t="shared" si="237"/>
        <v>13166.81</v>
      </c>
      <c r="P527" s="289">
        <f t="shared" si="250"/>
        <v>1</v>
      </c>
      <c r="Q527" s="290">
        <f t="shared" si="251"/>
        <v>2.4700000000000002</v>
      </c>
      <c r="R527" s="290">
        <f t="shared" si="252"/>
        <v>455.44</v>
      </c>
      <c r="S527" s="290">
        <f t="shared" si="253"/>
        <v>0</v>
      </c>
      <c r="T527" s="290">
        <f t="shared" si="254"/>
        <v>13624.72</v>
      </c>
      <c r="U527" s="291">
        <f t="shared" si="255"/>
        <v>13624.72</v>
      </c>
      <c r="V527" s="291">
        <f t="shared" si="259"/>
        <v>0</v>
      </c>
      <c r="W527" s="265">
        <f t="shared" si="256"/>
        <v>0</v>
      </c>
      <c r="X527" s="291">
        <f t="shared" si="260"/>
        <v>0</v>
      </c>
      <c r="Y527" s="170">
        <f t="shared" si="257"/>
        <v>946.91</v>
      </c>
      <c r="Z527" s="291">
        <f t="shared" si="258"/>
        <v>12219.9</v>
      </c>
      <c r="AC527" s="276">
        <f>IF(AI527=1,IF(AC526=MiscData!$F$1,EOMONTH(AC526,-11),EOMONTH(AC526,1)),AC526)</f>
        <v>41882</v>
      </c>
      <c r="AD527" s="275" t="str">
        <f t="shared" si="263"/>
        <v>20140101LGUM_275</v>
      </c>
      <c r="AE527" s="294" t="str">
        <f t="shared" si="264"/>
        <v>20140101RLS</v>
      </c>
      <c r="AF527" s="618" t="str">
        <f t="shared" si="261"/>
        <v>275</v>
      </c>
      <c r="AH527" s="265">
        <f>MiscData!$X$5</f>
        <v>20140101</v>
      </c>
      <c r="AI527" s="265">
        <f>IF(AI526+1&gt;MiscData!$AC$77,1,AI526+1)</f>
        <v>13</v>
      </c>
      <c r="AJ527" s="265" t="str">
        <f>VLOOKUP(AI527,MiscData!$AC$5:$AD$77,2,FALSE)</f>
        <v>LGUM_275</v>
      </c>
      <c r="AK527" s="265" t="str">
        <f>VLOOKUP(AJ527,MiscData!$AD$5:$AE$77,2,FALSE)</f>
        <v>RLS</v>
      </c>
      <c r="AT527" s="265" t="s">
        <v>170</v>
      </c>
      <c r="AV527" s="265">
        <v>0</v>
      </c>
    </row>
    <row r="528" spans="1:48">
      <c r="A528" s="275">
        <f t="shared" si="262"/>
        <v>525</v>
      </c>
      <c r="B528" s="276" t="str">
        <f t="shared" si="240"/>
        <v>Aug 2014</v>
      </c>
      <c r="C528" s="277" t="str">
        <f t="shared" si="241"/>
        <v>RLS</v>
      </c>
      <c r="D528" s="277" t="str">
        <f t="shared" si="242"/>
        <v>LGUM_276</v>
      </c>
      <c r="E528" s="614">
        <f t="shared" si="243"/>
        <v>1316</v>
      </c>
      <c r="F528" s="615">
        <f t="shared" si="233"/>
        <v>20</v>
      </c>
      <c r="G528" s="614">
        <f t="shared" si="244"/>
        <v>39265</v>
      </c>
      <c r="H528" s="615">
        <v>0</v>
      </c>
      <c r="I528" s="283">
        <f t="shared" si="245"/>
        <v>14.17</v>
      </c>
      <c r="J528" s="283">
        <f t="shared" si="246"/>
        <v>0.88000000000000078</v>
      </c>
      <c r="K528" s="285">
        <f t="shared" si="247"/>
        <v>18931.12</v>
      </c>
      <c r="L528" s="286">
        <f t="shared" si="248"/>
        <v>-341.64999999999782</v>
      </c>
      <c r="M528" s="286">
        <v>0</v>
      </c>
      <c r="N528" s="285">
        <f t="shared" si="249"/>
        <v>18589.47</v>
      </c>
      <c r="O528" s="616">
        <f t="shared" si="237"/>
        <v>18589.469999999998</v>
      </c>
      <c r="P528" s="289">
        <f t="shared" si="250"/>
        <v>0.99999999999999978</v>
      </c>
      <c r="Q528" s="290">
        <f t="shared" si="251"/>
        <v>-10.050000000000001</v>
      </c>
      <c r="R528" s="290">
        <f t="shared" si="252"/>
        <v>658.09</v>
      </c>
      <c r="S528" s="290">
        <f t="shared" si="253"/>
        <v>0</v>
      </c>
      <c r="T528" s="290">
        <f t="shared" si="254"/>
        <v>19237.509999999998</v>
      </c>
      <c r="U528" s="291">
        <f t="shared" si="255"/>
        <v>19237.510000000002</v>
      </c>
      <c r="V528" s="291">
        <f t="shared" si="259"/>
        <v>0</v>
      </c>
      <c r="W528" s="265">
        <f t="shared" si="256"/>
        <v>0</v>
      </c>
      <c r="X528" s="291">
        <f t="shared" si="260"/>
        <v>0</v>
      </c>
      <c r="Y528" s="170">
        <f t="shared" si="257"/>
        <v>1158.08</v>
      </c>
      <c r="Z528" s="291">
        <f t="shared" si="258"/>
        <v>17431.39</v>
      </c>
      <c r="AC528" s="276">
        <f>IF(AI528=1,IF(AC527=MiscData!$F$1,EOMONTH(AC527,-11),EOMONTH(AC527,1)),AC527)</f>
        <v>41882</v>
      </c>
      <c r="AD528" s="275" t="str">
        <f t="shared" si="263"/>
        <v>20140101LGUM_276</v>
      </c>
      <c r="AE528" s="294" t="str">
        <f t="shared" si="264"/>
        <v>20140101RLS</v>
      </c>
      <c r="AF528" s="618" t="str">
        <f t="shared" si="261"/>
        <v>276</v>
      </c>
      <c r="AH528" s="265">
        <f>MiscData!$X$5</f>
        <v>20140101</v>
      </c>
      <c r="AI528" s="265">
        <f>IF(AI527+1&gt;MiscData!$AC$77,1,AI527+1)</f>
        <v>14</v>
      </c>
      <c r="AJ528" s="265" t="str">
        <f>VLOOKUP(AI528,MiscData!$AC$5:$AD$77,2,FALSE)</f>
        <v>LGUM_276</v>
      </c>
      <c r="AK528" s="265" t="str">
        <f>VLOOKUP(AJ528,MiscData!$AD$5:$AE$77,2,FALSE)</f>
        <v>RLS</v>
      </c>
      <c r="AT528" s="265" t="s">
        <v>508</v>
      </c>
      <c r="AV528" s="265">
        <v>0</v>
      </c>
    </row>
    <row r="529" spans="1:48">
      <c r="A529" s="275">
        <f t="shared" si="262"/>
        <v>526</v>
      </c>
      <c r="B529" s="276" t="str">
        <f t="shared" si="240"/>
        <v>Aug 2014</v>
      </c>
      <c r="C529" s="277" t="str">
        <f t="shared" si="241"/>
        <v>RLS</v>
      </c>
      <c r="D529" s="277" t="str">
        <f t="shared" si="242"/>
        <v>LGUM_277</v>
      </c>
      <c r="E529" s="614">
        <f t="shared" si="243"/>
        <v>2298</v>
      </c>
      <c r="F529" s="615">
        <f t="shared" si="233"/>
        <v>0</v>
      </c>
      <c r="G529" s="614">
        <f t="shared" si="244"/>
        <v>126370</v>
      </c>
      <c r="H529" s="615">
        <v>0</v>
      </c>
      <c r="I529" s="283">
        <f t="shared" si="245"/>
        <v>22.15</v>
      </c>
      <c r="J529" s="283">
        <f t="shared" si="246"/>
        <v>1.7900000000000027</v>
      </c>
      <c r="K529" s="285">
        <f t="shared" si="247"/>
        <v>50900.7</v>
      </c>
      <c r="L529" s="286">
        <f t="shared" si="248"/>
        <v>5.3099999999979559</v>
      </c>
      <c r="M529" s="286">
        <v>0</v>
      </c>
      <c r="N529" s="285">
        <f t="shared" si="249"/>
        <v>50906.009999999995</v>
      </c>
      <c r="O529" s="616">
        <f t="shared" si="237"/>
        <v>50906.009999999995</v>
      </c>
      <c r="P529" s="289">
        <f t="shared" si="250"/>
        <v>1</v>
      </c>
      <c r="Q529" s="290">
        <f t="shared" si="251"/>
        <v>-22.41</v>
      </c>
      <c r="R529" s="290">
        <f t="shared" si="252"/>
        <v>1792.03</v>
      </c>
      <c r="S529" s="290">
        <f t="shared" si="253"/>
        <v>0</v>
      </c>
      <c r="T529" s="290">
        <f t="shared" si="254"/>
        <v>52734.75</v>
      </c>
      <c r="U529" s="291">
        <f t="shared" si="255"/>
        <v>52675.62999999999</v>
      </c>
      <c r="V529" s="291">
        <f t="shared" si="259"/>
        <v>59.12</v>
      </c>
      <c r="W529" s="265">
        <f t="shared" si="256"/>
        <v>59.12</v>
      </c>
      <c r="X529" s="291">
        <f t="shared" si="260"/>
        <v>0</v>
      </c>
      <c r="Y529" s="170">
        <f t="shared" si="257"/>
        <v>4113.42</v>
      </c>
      <c r="Z529" s="291">
        <f t="shared" si="258"/>
        <v>46792.59</v>
      </c>
      <c r="AC529" s="276">
        <f>IF(AI529=1,IF(AC528=MiscData!$F$1,EOMONTH(AC528,-11),EOMONTH(AC528,1)),AC528)</f>
        <v>41882</v>
      </c>
      <c r="AD529" s="275" t="str">
        <f t="shared" si="263"/>
        <v>20140101LGUM_277</v>
      </c>
      <c r="AE529" s="294" t="str">
        <f t="shared" si="264"/>
        <v>20140101RLS</v>
      </c>
      <c r="AF529" s="618" t="str">
        <f t="shared" si="261"/>
        <v>277</v>
      </c>
      <c r="AH529" s="265">
        <f>MiscData!$X$5</f>
        <v>20140101</v>
      </c>
      <c r="AI529" s="265">
        <f>IF(AI528+1&gt;MiscData!$AC$77,1,AI528+1)</f>
        <v>15</v>
      </c>
      <c r="AJ529" s="265" t="str">
        <f>VLOOKUP(AI529,MiscData!$AC$5:$AD$77,2,FALSE)</f>
        <v>LGUM_277</v>
      </c>
      <c r="AK529" s="265" t="str">
        <f>VLOOKUP(AJ529,MiscData!$AD$5:$AE$77,2,FALSE)</f>
        <v>RLS</v>
      </c>
      <c r="AT529" s="265" t="s">
        <v>171</v>
      </c>
      <c r="AV529" s="265">
        <v>0</v>
      </c>
    </row>
    <row r="530" spans="1:48">
      <c r="A530" s="275">
        <f t="shared" si="262"/>
        <v>527</v>
      </c>
      <c r="B530" s="276" t="str">
        <f t="shared" si="240"/>
        <v>Aug 2014</v>
      </c>
      <c r="C530" s="277" t="str">
        <f t="shared" si="241"/>
        <v>RLS</v>
      </c>
      <c r="D530" s="277" t="str">
        <f t="shared" si="242"/>
        <v>LGUM_278</v>
      </c>
      <c r="E530" s="614">
        <f t="shared" si="243"/>
        <v>17</v>
      </c>
      <c r="F530" s="615">
        <f t="shared" si="233"/>
        <v>0</v>
      </c>
      <c r="G530" s="614">
        <f t="shared" si="244"/>
        <v>5023</v>
      </c>
      <c r="H530" s="615">
        <v>0</v>
      </c>
      <c r="I530" s="283">
        <f t="shared" si="245"/>
        <v>72.550000000000011</v>
      </c>
      <c r="J530" s="283">
        <f t="shared" si="246"/>
        <v>9.8400000000000034</v>
      </c>
      <c r="K530" s="285">
        <f t="shared" si="247"/>
        <v>1233.3499999999999</v>
      </c>
      <c r="L530" s="286">
        <f t="shared" si="248"/>
        <v>0</v>
      </c>
      <c r="M530" s="286">
        <v>0</v>
      </c>
      <c r="N530" s="285">
        <f t="shared" si="249"/>
        <v>1233.3499999999999</v>
      </c>
      <c r="O530" s="616">
        <f t="shared" si="237"/>
        <v>1233.3499999999999</v>
      </c>
      <c r="P530" s="289">
        <f t="shared" si="250"/>
        <v>1</v>
      </c>
      <c r="Q530" s="290">
        <f t="shared" si="251"/>
        <v>-0.96</v>
      </c>
      <c r="R530" s="290">
        <f t="shared" si="252"/>
        <v>43.37</v>
      </c>
      <c r="S530" s="290">
        <f t="shared" si="253"/>
        <v>0</v>
      </c>
      <c r="T530" s="290">
        <f t="shared" si="254"/>
        <v>1275.76</v>
      </c>
      <c r="U530" s="291">
        <f t="shared" si="255"/>
        <v>1275.7599999999998</v>
      </c>
      <c r="V530" s="291">
        <f t="shared" si="259"/>
        <v>0</v>
      </c>
      <c r="W530" s="265">
        <f t="shared" si="256"/>
        <v>0</v>
      </c>
      <c r="X530" s="291">
        <f t="shared" si="260"/>
        <v>0</v>
      </c>
      <c r="Y530" s="170">
        <f t="shared" si="257"/>
        <v>167.28</v>
      </c>
      <c r="Z530" s="291">
        <f t="shared" si="258"/>
        <v>1066.07</v>
      </c>
      <c r="AC530" s="276">
        <f>IF(AI530=1,IF(AC529=MiscData!$F$1,EOMONTH(AC529,-11),EOMONTH(AC529,1)),AC529)</f>
        <v>41882</v>
      </c>
      <c r="AD530" s="275" t="str">
        <f t="shared" si="263"/>
        <v>20140101LGUM_278</v>
      </c>
      <c r="AE530" s="294" t="str">
        <f t="shared" si="264"/>
        <v>20140101RLS</v>
      </c>
      <c r="AF530" s="618" t="str">
        <f t="shared" si="261"/>
        <v>278</v>
      </c>
      <c r="AH530" s="265">
        <f>MiscData!$X$5</f>
        <v>20140101</v>
      </c>
      <c r="AI530" s="265">
        <f>IF(AI529+1&gt;MiscData!$AC$77,1,AI529+1)</f>
        <v>16</v>
      </c>
      <c r="AJ530" s="265" t="str">
        <f>VLOOKUP(AI530,MiscData!$AC$5:$AD$77,2,FALSE)</f>
        <v>LGUM_278</v>
      </c>
      <c r="AK530" s="265" t="str">
        <f>VLOOKUP(AJ530,MiscData!$AD$5:$AE$77,2,FALSE)</f>
        <v>RLS</v>
      </c>
      <c r="AT530" s="265" t="s">
        <v>172</v>
      </c>
      <c r="AV530" s="265">
        <v>0</v>
      </c>
    </row>
    <row r="531" spans="1:48">
      <c r="A531" s="275">
        <f t="shared" si="262"/>
        <v>528</v>
      </c>
      <c r="B531" s="276" t="str">
        <f t="shared" si="240"/>
        <v>Aug 2014</v>
      </c>
      <c r="C531" s="277" t="str">
        <f t="shared" si="241"/>
        <v>RLS</v>
      </c>
      <c r="D531" s="277" t="str">
        <f t="shared" si="242"/>
        <v>LGUM_279</v>
      </c>
      <c r="E531" s="614">
        <f t="shared" si="243"/>
        <v>11</v>
      </c>
      <c r="F531" s="615">
        <f t="shared" si="233"/>
        <v>0</v>
      </c>
      <c r="G531" s="614">
        <f t="shared" si="244"/>
        <v>3271</v>
      </c>
      <c r="H531" s="615">
        <v>0</v>
      </c>
      <c r="I531" s="283">
        <f t="shared" si="245"/>
        <v>41.43</v>
      </c>
      <c r="J531" s="283">
        <f t="shared" si="246"/>
        <v>9.8399999999999963</v>
      </c>
      <c r="K531" s="285">
        <f t="shared" si="247"/>
        <v>455.73</v>
      </c>
      <c r="L531" s="286">
        <f t="shared" si="248"/>
        <v>0</v>
      </c>
      <c r="M531" s="286">
        <v>0</v>
      </c>
      <c r="N531" s="285">
        <f t="shared" si="249"/>
        <v>455.73</v>
      </c>
      <c r="O531" s="616">
        <f t="shared" si="237"/>
        <v>455.73</v>
      </c>
      <c r="P531" s="289">
        <f t="shared" si="250"/>
        <v>1</v>
      </c>
      <c r="Q531" s="290">
        <f t="shared" si="251"/>
        <v>-0.62</v>
      </c>
      <c r="R531" s="290">
        <f t="shared" si="252"/>
        <v>16.010000000000002</v>
      </c>
      <c r="S531" s="290">
        <f t="shared" si="253"/>
        <v>0</v>
      </c>
      <c r="T531" s="290">
        <f t="shared" si="254"/>
        <v>471.12</v>
      </c>
      <c r="U531" s="291">
        <f t="shared" si="255"/>
        <v>471.12</v>
      </c>
      <c r="V531" s="291">
        <f t="shared" si="259"/>
        <v>0</v>
      </c>
      <c r="W531" s="265">
        <f t="shared" si="256"/>
        <v>0</v>
      </c>
      <c r="X531" s="291">
        <f t="shared" si="260"/>
        <v>0</v>
      </c>
      <c r="Y531" s="170">
        <f t="shared" si="257"/>
        <v>108.24</v>
      </c>
      <c r="Z531" s="291">
        <f t="shared" si="258"/>
        <v>347.49</v>
      </c>
      <c r="AC531" s="276">
        <f>IF(AI531=1,IF(AC530=MiscData!$F$1,EOMONTH(AC530,-11),EOMONTH(AC530,1)),AC530)</f>
        <v>41882</v>
      </c>
      <c r="AD531" s="275" t="str">
        <f t="shared" si="263"/>
        <v>20140101LGUM_279</v>
      </c>
      <c r="AE531" s="294" t="str">
        <f t="shared" si="264"/>
        <v>20140101RLS</v>
      </c>
      <c r="AF531" s="618" t="str">
        <f t="shared" si="261"/>
        <v>279</v>
      </c>
      <c r="AH531" s="265">
        <f>MiscData!$X$5</f>
        <v>20140101</v>
      </c>
      <c r="AI531" s="265">
        <f>IF(AI530+1&gt;MiscData!$AC$77,1,AI530+1)</f>
        <v>17</v>
      </c>
      <c r="AJ531" s="265" t="str">
        <f>VLOOKUP(AI531,MiscData!$AC$5:$AD$77,2,FALSE)</f>
        <v>LGUM_279</v>
      </c>
      <c r="AK531" s="265" t="str">
        <f>VLOOKUP(AJ531,MiscData!$AD$5:$AE$77,2,FALSE)</f>
        <v>RLS</v>
      </c>
      <c r="AT531" s="265" t="s">
        <v>173</v>
      </c>
      <c r="AV531" s="265">
        <v>0</v>
      </c>
    </row>
    <row r="532" spans="1:48">
      <c r="A532" s="275">
        <f t="shared" si="262"/>
        <v>529</v>
      </c>
      <c r="B532" s="276" t="str">
        <f t="shared" si="240"/>
        <v>Aug 2014</v>
      </c>
      <c r="C532" s="277" t="str">
        <f t="shared" si="241"/>
        <v>RLS</v>
      </c>
      <c r="D532" s="277" t="str">
        <f t="shared" si="242"/>
        <v>LGUM_280</v>
      </c>
      <c r="E532" s="614">
        <f t="shared" si="243"/>
        <v>46</v>
      </c>
      <c r="F532" s="615">
        <f t="shared" si="233"/>
        <v>0</v>
      </c>
      <c r="G532" s="614">
        <f t="shared" si="244"/>
        <v>1334</v>
      </c>
      <c r="H532" s="615">
        <v>0</v>
      </c>
      <c r="I532" s="283">
        <f t="shared" si="245"/>
        <v>19.38</v>
      </c>
      <c r="J532" s="283">
        <f t="shared" si="246"/>
        <v>0.87999999999999901</v>
      </c>
      <c r="K532" s="285">
        <f t="shared" si="247"/>
        <v>891.48</v>
      </c>
      <c r="L532" s="286">
        <f t="shared" si="248"/>
        <v>0</v>
      </c>
      <c r="M532" s="286">
        <v>0</v>
      </c>
      <c r="N532" s="285">
        <f t="shared" si="249"/>
        <v>891.48</v>
      </c>
      <c r="O532" s="616">
        <f t="shared" si="237"/>
        <v>891.4799999999999</v>
      </c>
      <c r="P532" s="289">
        <f t="shared" si="250"/>
        <v>0.99999999999999989</v>
      </c>
      <c r="Q532" s="290">
        <f t="shared" si="251"/>
        <v>-0.25</v>
      </c>
      <c r="R532" s="290">
        <f t="shared" si="252"/>
        <v>57.24</v>
      </c>
      <c r="S532" s="290">
        <f t="shared" si="253"/>
        <v>0</v>
      </c>
      <c r="T532" s="290">
        <f t="shared" si="254"/>
        <v>1683.53</v>
      </c>
      <c r="U532" s="291">
        <f t="shared" si="255"/>
        <v>948.47</v>
      </c>
      <c r="V532" s="291">
        <f t="shared" si="259"/>
        <v>735.06</v>
      </c>
      <c r="W532" s="265">
        <f t="shared" si="256"/>
        <v>735.06</v>
      </c>
      <c r="X532" s="291">
        <f t="shared" si="260"/>
        <v>0</v>
      </c>
      <c r="Y532" s="170">
        <f t="shared" si="257"/>
        <v>40.479999999999997</v>
      </c>
      <c r="Z532" s="291">
        <f t="shared" si="258"/>
        <v>850.99999999999989</v>
      </c>
      <c r="AC532" s="276">
        <f>IF(AI532=1,IF(AC531=MiscData!$F$1,EOMONTH(AC531,-11),EOMONTH(AC531,1)),AC531)</f>
        <v>41882</v>
      </c>
      <c r="AD532" s="275" t="str">
        <f t="shared" si="263"/>
        <v>20140101LGUM_280</v>
      </c>
      <c r="AE532" s="294" t="str">
        <f t="shared" si="264"/>
        <v>20140101RLS</v>
      </c>
      <c r="AF532" s="618" t="str">
        <f t="shared" si="261"/>
        <v>280</v>
      </c>
      <c r="AH532" s="265">
        <f>MiscData!$X$5</f>
        <v>20140101</v>
      </c>
      <c r="AI532" s="265">
        <f>IF(AI531+1&gt;MiscData!$AC$77,1,AI531+1)</f>
        <v>18</v>
      </c>
      <c r="AJ532" s="265" t="str">
        <f>VLOOKUP(AI532,MiscData!$AC$5:$AD$77,2,FALSE)</f>
        <v>LGUM_280</v>
      </c>
      <c r="AK532" s="265" t="str">
        <f>VLOOKUP(AJ532,MiscData!$AD$5:$AE$77,2,FALSE)</f>
        <v>RLS</v>
      </c>
      <c r="AT532" s="265" t="s">
        <v>174</v>
      </c>
      <c r="AV532" s="265">
        <v>0</v>
      </c>
    </row>
    <row r="533" spans="1:48">
      <c r="A533" s="275">
        <f t="shared" si="262"/>
        <v>530</v>
      </c>
      <c r="B533" s="276" t="str">
        <f t="shared" si="240"/>
        <v>Aug 2014</v>
      </c>
      <c r="C533" s="277" t="str">
        <f t="shared" si="241"/>
        <v>RLS</v>
      </c>
      <c r="D533" s="277" t="str">
        <f t="shared" si="242"/>
        <v>LGUM_281</v>
      </c>
      <c r="E533" s="614">
        <f t="shared" si="243"/>
        <v>245</v>
      </c>
      <c r="F533" s="615">
        <f t="shared" si="233"/>
        <v>0</v>
      </c>
      <c r="G533" s="614">
        <f t="shared" si="244"/>
        <v>9769</v>
      </c>
      <c r="H533" s="615">
        <v>0</v>
      </c>
      <c r="I533" s="283">
        <f t="shared" si="245"/>
        <v>20.349999999999998</v>
      </c>
      <c r="J533" s="283">
        <f t="shared" si="246"/>
        <v>1.2699999999999996</v>
      </c>
      <c r="K533" s="285">
        <f t="shared" si="247"/>
        <v>4985.75</v>
      </c>
      <c r="L533" s="286">
        <f t="shared" si="248"/>
        <v>0</v>
      </c>
      <c r="M533" s="286">
        <v>0</v>
      </c>
      <c r="N533" s="285">
        <f t="shared" si="249"/>
        <v>4985.75</v>
      </c>
      <c r="O533" s="616">
        <f t="shared" si="237"/>
        <v>4985.75</v>
      </c>
      <c r="P533" s="289">
        <f t="shared" si="250"/>
        <v>1</v>
      </c>
      <c r="Q533" s="290">
        <f t="shared" si="251"/>
        <v>-1.86</v>
      </c>
      <c r="R533" s="290">
        <f t="shared" si="252"/>
        <v>308.38</v>
      </c>
      <c r="S533" s="290">
        <f t="shared" si="253"/>
        <v>0</v>
      </c>
      <c r="T533" s="290">
        <f t="shared" si="254"/>
        <v>9069.09</v>
      </c>
      <c r="U533" s="291">
        <f t="shared" si="255"/>
        <v>5292.27</v>
      </c>
      <c r="V533" s="291">
        <f t="shared" si="259"/>
        <v>3776.82</v>
      </c>
      <c r="W533" s="265">
        <f t="shared" si="256"/>
        <v>3776.82</v>
      </c>
      <c r="X533" s="291">
        <f t="shared" si="260"/>
        <v>0</v>
      </c>
      <c r="Y533" s="170">
        <f t="shared" si="257"/>
        <v>311.14999999999998</v>
      </c>
      <c r="Z533" s="291">
        <f t="shared" si="258"/>
        <v>4674.6000000000004</v>
      </c>
      <c r="AC533" s="276">
        <f>IF(AI533=1,IF(AC532=MiscData!$F$1,EOMONTH(AC532,-11),EOMONTH(AC532,1)),AC532)</f>
        <v>41882</v>
      </c>
      <c r="AD533" s="275" t="str">
        <f t="shared" si="263"/>
        <v>20140101LGUM_281</v>
      </c>
      <c r="AE533" s="294" t="str">
        <f t="shared" si="264"/>
        <v>20140101RLS</v>
      </c>
      <c r="AF533" s="618" t="str">
        <f t="shared" si="261"/>
        <v>281</v>
      </c>
      <c r="AH533" s="265">
        <f>MiscData!$X$5</f>
        <v>20140101</v>
      </c>
      <c r="AI533" s="265">
        <f>IF(AI532+1&gt;MiscData!$AC$77,1,AI532+1)</f>
        <v>19</v>
      </c>
      <c r="AJ533" s="265" t="str">
        <f>VLOOKUP(AI533,MiscData!$AC$5:$AD$77,2,FALSE)</f>
        <v>LGUM_281</v>
      </c>
      <c r="AK533" s="265" t="str">
        <f>VLOOKUP(AJ533,MiscData!$AD$5:$AE$77,2,FALSE)</f>
        <v>RLS</v>
      </c>
      <c r="AT533" s="265" t="s">
        <v>514</v>
      </c>
      <c r="AV533" s="265">
        <v>0</v>
      </c>
    </row>
    <row r="534" spans="1:48">
      <c r="A534" s="275">
        <f t="shared" si="262"/>
        <v>531</v>
      </c>
      <c r="B534" s="276" t="str">
        <f t="shared" si="240"/>
        <v>Aug 2014</v>
      </c>
      <c r="C534" s="277" t="str">
        <f t="shared" si="241"/>
        <v>RLS</v>
      </c>
      <c r="D534" s="277" t="str">
        <f t="shared" si="242"/>
        <v>LGUM_282</v>
      </c>
      <c r="E534" s="614">
        <f t="shared" si="243"/>
        <v>106</v>
      </c>
      <c r="F534" s="615">
        <f t="shared" si="233"/>
        <v>0</v>
      </c>
      <c r="G534" s="614">
        <f t="shared" si="244"/>
        <v>3164</v>
      </c>
      <c r="H534" s="615">
        <v>0</v>
      </c>
      <c r="I534" s="283">
        <f t="shared" si="245"/>
        <v>19.53</v>
      </c>
      <c r="J534" s="283">
        <f t="shared" si="246"/>
        <v>0.87999999999999901</v>
      </c>
      <c r="K534" s="285">
        <f t="shared" si="247"/>
        <v>2070.1799999999998</v>
      </c>
      <c r="L534" s="286">
        <f t="shared" si="248"/>
        <v>0</v>
      </c>
      <c r="M534" s="286">
        <v>0</v>
      </c>
      <c r="N534" s="285">
        <f t="shared" si="249"/>
        <v>2070.1799999999998</v>
      </c>
      <c r="O534" s="616">
        <f t="shared" si="237"/>
        <v>2070.1800000000003</v>
      </c>
      <c r="P534" s="289">
        <f t="shared" si="250"/>
        <v>1.0000000000000002</v>
      </c>
      <c r="Q534" s="290">
        <f t="shared" si="251"/>
        <v>-0.62</v>
      </c>
      <c r="R534" s="290">
        <f t="shared" si="252"/>
        <v>107.69</v>
      </c>
      <c r="S534" s="290">
        <f t="shared" si="253"/>
        <v>0</v>
      </c>
      <c r="T534" s="290">
        <f t="shared" si="254"/>
        <v>3166.86</v>
      </c>
      <c r="U534" s="291">
        <f t="shared" si="255"/>
        <v>2177.25</v>
      </c>
      <c r="V534" s="291">
        <f t="shared" si="259"/>
        <v>989.61</v>
      </c>
      <c r="W534" s="265">
        <f t="shared" si="256"/>
        <v>989.61</v>
      </c>
      <c r="X534" s="291">
        <f t="shared" si="260"/>
        <v>0</v>
      </c>
      <c r="Y534" s="170">
        <f t="shared" si="257"/>
        <v>93.28</v>
      </c>
      <c r="Z534" s="291">
        <f t="shared" si="258"/>
        <v>1976.9000000000003</v>
      </c>
      <c r="AC534" s="276">
        <f>IF(AI534=1,IF(AC533=MiscData!$F$1,EOMONTH(AC533,-11),EOMONTH(AC533,1)),AC533)</f>
        <v>41882</v>
      </c>
      <c r="AD534" s="275" t="str">
        <f t="shared" si="263"/>
        <v>20140101LGUM_282</v>
      </c>
      <c r="AE534" s="294" t="str">
        <f t="shared" si="264"/>
        <v>20140101RLS</v>
      </c>
      <c r="AF534" s="618" t="str">
        <f t="shared" si="261"/>
        <v>282</v>
      </c>
      <c r="AH534" s="265">
        <f>MiscData!$X$5</f>
        <v>20140101</v>
      </c>
      <c r="AI534" s="265">
        <f>IF(AI533+1&gt;MiscData!$AC$77,1,AI533+1)</f>
        <v>20</v>
      </c>
      <c r="AJ534" s="265" t="str">
        <f>VLOOKUP(AI534,MiscData!$AC$5:$AD$77,2,FALSE)</f>
        <v>LGUM_282</v>
      </c>
      <c r="AK534" s="265" t="str">
        <f>VLOOKUP(AJ534,MiscData!$AD$5:$AE$77,2,FALSE)</f>
        <v>RLS</v>
      </c>
      <c r="AT534" s="265" t="s">
        <v>516</v>
      </c>
      <c r="AV534" s="265">
        <v>0</v>
      </c>
    </row>
    <row r="535" spans="1:48">
      <c r="A535" s="275">
        <f t="shared" si="262"/>
        <v>532</v>
      </c>
      <c r="B535" s="276" t="str">
        <f t="shared" si="240"/>
        <v>Aug 2014</v>
      </c>
      <c r="C535" s="277" t="str">
        <f t="shared" si="241"/>
        <v>RLS</v>
      </c>
      <c r="D535" s="277" t="str">
        <f t="shared" si="242"/>
        <v>LGUM_283</v>
      </c>
      <c r="E535" s="614">
        <f t="shared" si="243"/>
        <v>82</v>
      </c>
      <c r="F535" s="615">
        <f t="shared" si="233"/>
        <v>0</v>
      </c>
      <c r="G535" s="614">
        <f t="shared" si="244"/>
        <v>3306</v>
      </c>
      <c r="H535" s="615">
        <v>0</v>
      </c>
      <c r="I535" s="283">
        <f t="shared" si="245"/>
        <v>20.819999999999997</v>
      </c>
      <c r="J535" s="283">
        <f t="shared" si="246"/>
        <v>1.2699999999999996</v>
      </c>
      <c r="K535" s="285">
        <f t="shared" si="247"/>
        <v>1707.24</v>
      </c>
      <c r="L535" s="286">
        <f t="shared" si="248"/>
        <v>0</v>
      </c>
      <c r="M535" s="286">
        <v>0</v>
      </c>
      <c r="N535" s="285">
        <f t="shared" si="249"/>
        <v>1707.24</v>
      </c>
      <c r="O535" s="616">
        <f t="shared" si="237"/>
        <v>1707.24</v>
      </c>
      <c r="P535" s="289">
        <f t="shared" si="250"/>
        <v>1</v>
      </c>
      <c r="Q535" s="290">
        <f t="shared" si="251"/>
        <v>-0.62</v>
      </c>
      <c r="R535" s="290">
        <f t="shared" si="252"/>
        <v>105.41</v>
      </c>
      <c r="S535" s="290">
        <f t="shared" si="253"/>
        <v>0</v>
      </c>
      <c r="T535" s="290">
        <f t="shared" si="254"/>
        <v>3099.8</v>
      </c>
      <c r="U535" s="291">
        <f t="shared" si="255"/>
        <v>1812.0300000000002</v>
      </c>
      <c r="V535" s="291">
        <f t="shared" si="259"/>
        <v>1287.77</v>
      </c>
      <c r="W535" s="265">
        <f t="shared" si="256"/>
        <v>1287.77</v>
      </c>
      <c r="X535" s="291">
        <f t="shared" si="260"/>
        <v>0</v>
      </c>
      <c r="Y535" s="170">
        <f t="shared" si="257"/>
        <v>104.14</v>
      </c>
      <c r="Z535" s="291">
        <f t="shared" si="258"/>
        <v>1603.1</v>
      </c>
      <c r="AC535" s="276">
        <f>IF(AI535=1,IF(AC534=MiscData!$F$1,EOMONTH(AC534,-11),EOMONTH(AC534,1)),AC534)</f>
        <v>41882</v>
      </c>
      <c r="AD535" s="275" t="str">
        <f t="shared" si="263"/>
        <v>20140101LGUM_283</v>
      </c>
      <c r="AE535" s="294" t="str">
        <f t="shared" si="264"/>
        <v>20140101RLS</v>
      </c>
      <c r="AF535" s="618" t="str">
        <f t="shared" si="261"/>
        <v>283</v>
      </c>
      <c r="AH535" s="265">
        <f>MiscData!$X$5</f>
        <v>20140101</v>
      </c>
      <c r="AI535" s="265">
        <f>IF(AI534+1&gt;MiscData!$AC$77,1,AI534+1)</f>
        <v>21</v>
      </c>
      <c r="AJ535" s="265" t="str">
        <f>VLOOKUP(AI535,MiscData!$AC$5:$AD$77,2,FALSE)</f>
        <v>LGUM_283</v>
      </c>
      <c r="AK535" s="265" t="str">
        <f>VLOOKUP(AJ535,MiscData!$AD$5:$AE$77,2,FALSE)</f>
        <v>RLS</v>
      </c>
      <c r="AT535" s="265" t="s">
        <v>175</v>
      </c>
      <c r="AV535" s="265">
        <v>0</v>
      </c>
    </row>
    <row r="536" spans="1:48">
      <c r="A536" s="275">
        <f t="shared" si="262"/>
        <v>533</v>
      </c>
      <c r="B536" s="276" t="str">
        <f t="shared" si="240"/>
        <v>Aug 2014</v>
      </c>
      <c r="C536" s="277" t="str">
        <f t="shared" si="241"/>
        <v>RLS</v>
      </c>
      <c r="D536" s="277" t="str">
        <f t="shared" si="242"/>
        <v>LGUM_314</v>
      </c>
      <c r="E536" s="614">
        <f t="shared" si="243"/>
        <v>518</v>
      </c>
      <c r="F536" s="615">
        <f t="shared" si="233"/>
        <v>0</v>
      </c>
      <c r="G536" s="614">
        <f t="shared" si="244"/>
        <v>42479</v>
      </c>
      <c r="H536" s="615">
        <v>0</v>
      </c>
      <c r="I536" s="283">
        <f t="shared" si="245"/>
        <v>19.2</v>
      </c>
      <c r="J536" s="283">
        <f t="shared" si="246"/>
        <v>2.7100000000000009</v>
      </c>
      <c r="K536" s="285">
        <f t="shared" si="247"/>
        <v>9945.6</v>
      </c>
      <c r="L536" s="286">
        <f t="shared" si="248"/>
        <v>-43.039999999999054</v>
      </c>
      <c r="M536" s="286">
        <v>0</v>
      </c>
      <c r="N536" s="285">
        <f t="shared" si="249"/>
        <v>9902.5600000000013</v>
      </c>
      <c r="O536" s="616">
        <f t="shared" si="237"/>
        <v>9902.56</v>
      </c>
      <c r="P536" s="289">
        <f t="shared" si="250"/>
        <v>0.99999999999999978</v>
      </c>
      <c r="Q536" s="290">
        <f t="shared" si="251"/>
        <v>-5.49</v>
      </c>
      <c r="R536" s="290">
        <f t="shared" si="252"/>
        <v>346.98</v>
      </c>
      <c r="S536" s="290">
        <f t="shared" si="253"/>
        <v>0</v>
      </c>
      <c r="T536" s="290">
        <f t="shared" si="254"/>
        <v>10244.049999999999</v>
      </c>
      <c r="U536" s="291">
        <f t="shared" si="255"/>
        <v>10244.050000000001</v>
      </c>
      <c r="V536" s="291">
        <f t="shared" si="259"/>
        <v>0</v>
      </c>
      <c r="W536" s="265">
        <f t="shared" si="256"/>
        <v>0</v>
      </c>
      <c r="X536" s="291">
        <f t="shared" si="260"/>
        <v>0</v>
      </c>
      <c r="Y536" s="170">
        <f t="shared" si="257"/>
        <v>1403.78</v>
      </c>
      <c r="Z536" s="291">
        <f t="shared" si="258"/>
        <v>8498.7799999999988</v>
      </c>
      <c r="AC536" s="276">
        <f>IF(AI536=1,IF(AC535=MiscData!$F$1,EOMONTH(AC535,-11),EOMONTH(AC535,1)),AC535)</f>
        <v>41882</v>
      </c>
      <c r="AD536" s="275" t="str">
        <f t="shared" si="263"/>
        <v>20140101LGUM_314</v>
      </c>
      <c r="AE536" s="294" t="str">
        <f t="shared" si="264"/>
        <v>20140101RLS</v>
      </c>
      <c r="AF536" s="618" t="str">
        <f t="shared" si="261"/>
        <v>314</v>
      </c>
      <c r="AH536" s="265">
        <f>MiscData!$X$5</f>
        <v>20140101</v>
      </c>
      <c r="AI536" s="265">
        <f>IF(AI535+1&gt;MiscData!$AC$77,1,AI535+1)</f>
        <v>22</v>
      </c>
      <c r="AJ536" s="265" t="str">
        <f>VLOOKUP(AI536,MiscData!$AC$5:$AD$77,2,FALSE)</f>
        <v>LGUM_314</v>
      </c>
      <c r="AK536" s="265" t="str">
        <f>VLOOKUP(AJ536,MiscData!$AD$5:$AE$77,2,FALSE)</f>
        <v>RLS</v>
      </c>
      <c r="AT536" s="265" t="s">
        <v>176</v>
      </c>
      <c r="AV536" s="265">
        <v>0</v>
      </c>
    </row>
    <row r="537" spans="1:48">
      <c r="A537" s="275">
        <f t="shared" si="262"/>
        <v>534</v>
      </c>
      <c r="B537" s="276" t="str">
        <f t="shared" si="240"/>
        <v>Aug 2014</v>
      </c>
      <c r="C537" s="277" t="str">
        <f t="shared" si="241"/>
        <v>RLS</v>
      </c>
      <c r="D537" s="277" t="str">
        <f t="shared" si="242"/>
        <v>LGUM_315</v>
      </c>
      <c r="E537" s="614">
        <f t="shared" si="243"/>
        <v>508</v>
      </c>
      <c r="F537" s="615">
        <f t="shared" si="233"/>
        <v>0</v>
      </c>
      <c r="G537" s="614">
        <f t="shared" si="244"/>
        <v>65359</v>
      </c>
      <c r="H537" s="615">
        <v>0</v>
      </c>
      <c r="I537" s="283">
        <f t="shared" si="245"/>
        <v>22.949999999999996</v>
      </c>
      <c r="J537" s="283">
        <f t="shared" si="246"/>
        <v>4.1999999999999993</v>
      </c>
      <c r="K537" s="285">
        <f t="shared" si="247"/>
        <v>11658.6</v>
      </c>
      <c r="L537" s="286">
        <f t="shared" si="248"/>
        <v>0</v>
      </c>
      <c r="M537" s="286">
        <v>0</v>
      </c>
      <c r="N537" s="285">
        <f t="shared" si="249"/>
        <v>11658.6</v>
      </c>
      <c r="O537" s="616">
        <f t="shared" si="237"/>
        <v>11658.6</v>
      </c>
      <c r="P537" s="289">
        <f t="shared" si="250"/>
        <v>1</v>
      </c>
      <c r="Q537" s="290">
        <f t="shared" si="251"/>
        <v>-12.2</v>
      </c>
      <c r="R537" s="290">
        <f t="shared" si="252"/>
        <v>409.88</v>
      </c>
      <c r="S537" s="290">
        <f t="shared" si="253"/>
        <v>0</v>
      </c>
      <c r="T537" s="290">
        <f t="shared" si="254"/>
        <v>12056.28</v>
      </c>
      <c r="U537" s="291">
        <f t="shared" si="255"/>
        <v>12056.279999999999</v>
      </c>
      <c r="V537" s="291">
        <f t="shared" si="259"/>
        <v>0</v>
      </c>
      <c r="W537" s="265">
        <f t="shared" si="256"/>
        <v>0</v>
      </c>
      <c r="X537" s="291">
        <f t="shared" si="260"/>
        <v>0</v>
      </c>
      <c r="Y537" s="170">
        <f t="shared" si="257"/>
        <v>2133.6</v>
      </c>
      <c r="Z537" s="291">
        <f t="shared" si="258"/>
        <v>9525</v>
      </c>
      <c r="AC537" s="276">
        <f>IF(AI537=1,IF(AC536=MiscData!$F$1,EOMONTH(AC536,-11),EOMONTH(AC536,1)),AC536)</f>
        <v>41882</v>
      </c>
      <c r="AD537" s="275" t="str">
        <f t="shared" si="263"/>
        <v>20140101LGUM_315</v>
      </c>
      <c r="AE537" s="294" t="str">
        <f t="shared" si="264"/>
        <v>20140101RLS</v>
      </c>
      <c r="AF537" s="618" t="str">
        <f t="shared" si="261"/>
        <v>315</v>
      </c>
      <c r="AH537" s="265">
        <f>MiscData!$X$5</f>
        <v>20140101</v>
      </c>
      <c r="AI537" s="265">
        <f>IF(AI536+1&gt;MiscData!$AC$77,1,AI536+1)</f>
        <v>23</v>
      </c>
      <c r="AJ537" s="265" t="str">
        <f>VLOOKUP(AI537,MiscData!$AC$5:$AD$77,2,FALSE)</f>
        <v>LGUM_315</v>
      </c>
      <c r="AK537" s="265" t="str">
        <f>VLOOKUP(AJ537,MiscData!$AD$5:$AE$77,2,FALSE)</f>
        <v>RLS</v>
      </c>
      <c r="AT537" s="265" t="s">
        <v>177</v>
      </c>
      <c r="AV537" s="265">
        <v>0</v>
      </c>
    </row>
    <row r="538" spans="1:48">
      <c r="A538" s="275">
        <f t="shared" si="262"/>
        <v>535</v>
      </c>
      <c r="B538" s="276" t="str">
        <f t="shared" si="240"/>
        <v>Aug 2014</v>
      </c>
      <c r="C538" s="277" t="str">
        <f t="shared" si="241"/>
        <v>RLS</v>
      </c>
      <c r="D538" s="277" t="str">
        <f t="shared" si="242"/>
        <v>LGUM_318</v>
      </c>
      <c r="E538" s="614">
        <f t="shared" si="243"/>
        <v>54</v>
      </c>
      <c r="F538" s="615">
        <f t="shared" si="233"/>
        <v>0</v>
      </c>
      <c r="G538" s="614">
        <f t="shared" si="244"/>
        <v>3151</v>
      </c>
      <c r="H538" s="615">
        <v>0</v>
      </c>
      <c r="I538" s="283">
        <f t="shared" si="245"/>
        <v>17.419999999999998</v>
      </c>
      <c r="J538" s="283">
        <f t="shared" si="246"/>
        <v>1.9100000000000001</v>
      </c>
      <c r="K538" s="285">
        <f t="shared" si="247"/>
        <v>940.68</v>
      </c>
      <c r="L538" s="286">
        <f t="shared" si="248"/>
        <v>0</v>
      </c>
      <c r="M538" s="286">
        <v>0</v>
      </c>
      <c r="N538" s="285">
        <f t="shared" si="249"/>
        <v>940.68</v>
      </c>
      <c r="O538" s="616">
        <f t="shared" si="237"/>
        <v>940.68000000000006</v>
      </c>
      <c r="P538" s="289">
        <f t="shared" si="250"/>
        <v>1.0000000000000002</v>
      </c>
      <c r="Q538" s="290">
        <f t="shared" si="251"/>
        <v>-0.59</v>
      </c>
      <c r="R538" s="290">
        <f t="shared" si="252"/>
        <v>33.1</v>
      </c>
      <c r="S538" s="290">
        <f t="shared" si="253"/>
        <v>0</v>
      </c>
      <c r="T538" s="290">
        <f t="shared" si="254"/>
        <v>973.19</v>
      </c>
      <c r="U538" s="291">
        <f t="shared" si="255"/>
        <v>973.18999999999994</v>
      </c>
      <c r="V538" s="291">
        <f t="shared" si="259"/>
        <v>0</v>
      </c>
      <c r="W538" s="265">
        <f t="shared" si="256"/>
        <v>0</v>
      </c>
      <c r="X538" s="291">
        <f t="shared" si="260"/>
        <v>0</v>
      </c>
      <c r="Y538" s="170">
        <f t="shared" si="257"/>
        <v>103.14</v>
      </c>
      <c r="Z538" s="291">
        <f t="shared" si="258"/>
        <v>837.54000000000008</v>
      </c>
      <c r="AC538" s="276">
        <f>IF(AI538=1,IF(AC537=MiscData!$F$1,EOMONTH(AC537,-11),EOMONTH(AC537,1)),AC537)</f>
        <v>41882</v>
      </c>
      <c r="AD538" s="275" t="str">
        <f t="shared" si="263"/>
        <v>20140101LGUM_318</v>
      </c>
      <c r="AE538" s="294" t="str">
        <f t="shared" si="264"/>
        <v>20140101RLS</v>
      </c>
      <c r="AF538" s="618" t="str">
        <f t="shared" si="261"/>
        <v>318</v>
      </c>
      <c r="AH538" s="265">
        <f>MiscData!$X$5</f>
        <v>20140101</v>
      </c>
      <c r="AI538" s="265">
        <f>IF(AI537+1&gt;MiscData!$AC$77,1,AI537+1)</f>
        <v>24</v>
      </c>
      <c r="AJ538" s="265" t="str">
        <f>VLOOKUP(AI538,MiscData!$AC$5:$AD$77,2,FALSE)</f>
        <v>LGUM_318</v>
      </c>
      <c r="AK538" s="265" t="str">
        <f>VLOOKUP(AJ538,MiscData!$AD$5:$AE$77,2,FALSE)</f>
        <v>RLS</v>
      </c>
      <c r="AT538" s="265" t="s">
        <v>521</v>
      </c>
      <c r="AV538" s="265">
        <v>0</v>
      </c>
    </row>
    <row r="539" spans="1:48">
      <c r="A539" s="275">
        <f t="shared" si="262"/>
        <v>536</v>
      </c>
      <c r="B539" s="276" t="str">
        <f t="shared" si="240"/>
        <v>Aug 2014</v>
      </c>
      <c r="C539" s="277" t="str">
        <f t="shared" si="241"/>
        <v>RLS</v>
      </c>
      <c r="D539" s="277" t="str">
        <f t="shared" si="242"/>
        <v>LGUM_347</v>
      </c>
      <c r="E539" s="614">
        <f t="shared" si="243"/>
        <v>0</v>
      </c>
      <c r="F539" s="615">
        <f t="shared" si="233"/>
        <v>0</v>
      </c>
      <c r="G539" s="614">
        <f t="shared" si="244"/>
        <v>0</v>
      </c>
      <c r="H539" s="615">
        <v>0</v>
      </c>
      <c r="I539" s="283">
        <f t="shared" si="245"/>
        <v>22.939999999999998</v>
      </c>
      <c r="J539" s="283">
        <f t="shared" si="246"/>
        <v>26.14</v>
      </c>
      <c r="K539" s="285">
        <f t="shared" si="247"/>
        <v>0</v>
      </c>
      <c r="L539" s="286">
        <f t="shared" si="248"/>
        <v>0</v>
      </c>
      <c r="M539" s="286">
        <v>0</v>
      </c>
      <c r="N539" s="285">
        <f t="shared" si="249"/>
        <v>0</v>
      </c>
      <c r="O539" s="616">
        <f t="shared" si="237"/>
        <v>0</v>
      </c>
      <c r="P539" s="289">
        <f t="shared" si="250"/>
        <v>1</v>
      </c>
      <c r="Q539" s="290">
        <f t="shared" si="251"/>
        <v>0</v>
      </c>
      <c r="R539" s="290">
        <f t="shared" si="252"/>
        <v>0</v>
      </c>
      <c r="S539" s="290">
        <f t="shared" si="253"/>
        <v>0</v>
      </c>
      <c r="T539" s="290">
        <f t="shared" si="254"/>
        <v>0</v>
      </c>
      <c r="U539" s="291">
        <f t="shared" si="255"/>
        <v>0</v>
      </c>
      <c r="V539" s="291">
        <f t="shared" si="259"/>
        <v>0</v>
      </c>
      <c r="W539" s="265">
        <f t="shared" si="256"/>
        <v>0</v>
      </c>
      <c r="X539" s="291">
        <f t="shared" si="260"/>
        <v>0</v>
      </c>
      <c r="Y539" s="170">
        <f t="shared" si="257"/>
        <v>0</v>
      </c>
      <c r="Z539" s="291">
        <f t="shared" si="258"/>
        <v>0</v>
      </c>
      <c r="AC539" s="276">
        <f>IF(AI539=1,IF(AC538=MiscData!$F$1,EOMONTH(AC538,-11),EOMONTH(AC538,1)),AC538)</f>
        <v>41882</v>
      </c>
      <c r="AD539" s="275" t="str">
        <f t="shared" si="263"/>
        <v>20140101LGUM_347</v>
      </c>
      <c r="AE539" s="294" t="str">
        <f t="shared" si="264"/>
        <v>20140101RLS</v>
      </c>
      <c r="AF539" s="618" t="str">
        <f t="shared" si="261"/>
        <v>347</v>
      </c>
      <c r="AH539" s="265">
        <f>MiscData!$X$5</f>
        <v>20140101</v>
      </c>
      <c r="AI539" s="265">
        <f>IF(AI538+1&gt;MiscData!$AC$77,1,AI538+1)</f>
        <v>25</v>
      </c>
      <c r="AJ539" s="265" t="str">
        <f>VLOOKUP(AI539,MiscData!$AC$5:$AD$77,2,FALSE)</f>
        <v>LGUM_347</v>
      </c>
      <c r="AK539" s="265" t="str">
        <f>VLOOKUP(AJ539,MiscData!$AD$5:$AE$77,2,FALSE)</f>
        <v>RLS</v>
      </c>
      <c r="AT539" s="265" t="s">
        <v>524</v>
      </c>
      <c r="AV539" s="265">
        <v>0</v>
      </c>
    </row>
    <row r="540" spans="1:48">
      <c r="A540" s="275">
        <f t="shared" si="262"/>
        <v>537</v>
      </c>
      <c r="B540" s="276" t="str">
        <f t="shared" si="240"/>
        <v>Aug 2014</v>
      </c>
      <c r="C540" s="277" t="str">
        <f t="shared" si="241"/>
        <v>RLS</v>
      </c>
      <c r="D540" s="277" t="str">
        <f t="shared" si="242"/>
        <v>LGUM_348</v>
      </c>
      <c r="E540" s="614">
        <f t="shared" si="243"/>
        <v>40</v>
      </c>
      <c r="F540" s="615">
        <f t="shared" ref="F540:F587" si="265">SUMIFS(L_1055_Count_OutOfPeriod,L_1055_Revenue_Month,$B540,L_1055_RateCategory,$D540)</f>
        <v>0</v>
      </c>
      <c r="G540" s="614">
        <f t="shared" si="244"/>
        <v>3336</v>
      </c>
      <c r="H540" s="615">
        <v>0</v>
      </c>
      <c r="I540" s="283">
        <f t="shared" si="245"/>
        <v>13.12</v>
      </c>
      <c r="J540" s="283">
        <f t="shared" si="246"/>
        <v>2.9800000000000004</v>
      </c>
      <c r="K540" s="285">
        <f t="shared" si="247"/>
        <v>524.79999999999995</v>
      </c>
      <c r="L540" s="286">
        <f t="shared" si="248"/>
        <v>0</v>
      </c>
      <c r="M540" s="286">
        <v>0</v>
      </c>
      <c r="N540" s="285">
        <f t="shared" si="249"/>
        <v>524.79999999999995</v>
      </c>
      <c r="O540" s="616">
        <f t="shared" si="237"/>
        <v>524.80000000000007</v>
      </c>
      <c r="P540" s="289">
        <f t="shared" si="250"/>
        <v>1.0000000000000002</v>
      </c>
      <c r="Q540" s="290">
        <f t="shared" si="251"/>
        <v>-0.64</v>
      </c>
      <c r="R540" s="290">
        <f t="shared" si="252"/>
        <v>18.45</v>
      </c>
      <c r="S540" s="290">
        <f t="shared" si="253"/>
        <v>0</v>
      </c>
      <c r="T540" s="290">
        <f t="shared" si="254"/>
        <v>542.61</v>
      </c>
      <c r="U540" s="291">
        <f t="shared" si="255"/>
        <v>542.61</v>
      </c>
      <c r="V540" s="291">
        <f t="shared" si="259"/>
        <v>0</v>
      </c>
      <c r="W540" s="265">
        <f t="shared" si="256"/>
        <v>0</v>
      </c>
      <c r="X540" s="291">
        <f t="shared" si="260"/>
        <v>0</v>
      </c>
      <c r="Y540" s="170">
        <f t="shared" si="257"/>
        <v>119.2</v>
      </c>
      <c r="Z540" s="291">
        <f t="shared" si="258"/>
        <v>405.60000000000008</v>
      </c>
      <c r="AC540" s="276">
        <f>IF(AI540=1,IF(AC539=MiscData!$F$1,EOMONTH(AC539,-11),EOMONTH(AC539,1)),AC539)</f>
        <v>41882</v>
      </c>
      <c r="AD540" s="275" t="str">
        <f t="shared" si="263"/>
        <v>20140101LGUM_348</v>
      </c>
      <c r="AE540" s="294" t="str">
        <f t="shared" si="264"/>
        <v>20140101RLS</v>
      </c>
      <c r="AF540" s="618" t="str">
        <f t="shared" si="261"/>
        <v>348</v>
      </c>
      <c r="AH540" s="265">
        <f>MiscData!$X$5</f>
        <v>20140101</v>
      </c>
      <c r="AI540" s="265">
        <f>IF(AI539+1&gt;MiscData!$AC$77,1,AI539+1)</f>
        <v>26</v>
      </c>
      <c r="AJ540" s="265" t="str">
        <f>VLOOKUP(AI540,MiscData!$AC$5:$AD$77,2,FALSE)</f>
        <v>LGUM_348</v>
      </c>
      <c r="AK540" s="265" t="str">
        <f>VLOOKUP(AJ540,MiscData!$AD$5:$AE$77,2,FALSE)</f>
        <v>RLS</v>
      </c>
      <c r="AT540" s="265" t="s">
        <v>178</v>
      </c>
      <c r="AV540" s="265">
        <v>0</v>
      </c>
    </row>
    <row r="541" spans="1:48">
      <c r="A541" s="275">
        <f t="shared" si="262"/>
        <v>538</v>
      </c>
      <c r="B541" s="276" t="str">
        <f t="shared" si="240"/>
        <v>Aug 2014</v>
      </c>
      <c r="C541" s="277" t="str">
        <f t="shared" si="241"/>
        <v>RLS</v>
      </c>
      <c r="D541" s="277" t="str">
        <f t="shared" si="242"/>
        <v>LGUM_349</v>
      </c>
      <c r="E541" s="614">
        <f t="shared" si="243"/>
        <v>17</v>
      </c>
      <c r="F541" s="615">
        <f t="shared" si="265"/>
        <v>0</v>
      </c>
      <c r="G541" s="614">
        <f t="shared" si="244"/>
        <v>473</v>
      </c>
      <c r="H541" s="615">
        <v>0</v>
      </c>
      <c r="I541" s="283">
        <f t="shared" si="245"/>
        <v>9.0200000000000014</v>
      </c>
      <c r="J541" s="283">
        <f t="shared" si="246"/>
        <v>0.91000000000000014</v>
      </c>
      <c r="K541" s="285">
        <f t="shared" si="247"/>
        <v>153.34</v>
      </c>
      <c r="L541" s="286">
        <f t="shared" si="248"/>
        <v>0</v>
      </c>
      <c r="M541" s="286">
        <v>0</v>
      </c>
      <c r="N541" s="285">
        <f t="shared" si="249"/>
        <v>153.34</v>
      </c>
      <c r="O541" s="616">
        <f t="shared" si="237"/>
        <v>153.33999999999997</v>
      </c>
      <c r="P541" s="289">
        <f t="shared" si="250"/>
        <v>0.99999999999999978</v>
      </c>
      <c r="Q541" s="290">
        <f t="shared" si="251"/>
        <v>-0.09</v>
      </c>
      <c r="R541" s="290">
        <f t="shared" si="252"/>
        <v>5.39</v>
      </c>
      <c r="S541" s="290">
        <f t="shared" si="253"/>
        <v>0</v>
      </c>
      <c r="T541" s="290">
        <f t="shared" si="254"/>
        <v>158.63999999999999</v>
      </c>
      <c r="U541" s="291">
        <f t="shared" si="255"/>
        <v>158.63999999999999</v>
      </c>
      <c r="V541" s="291">
        <f t="shared" si="259"/>
        <v>0</v>
      </c>
      <c r="W541" s="265">
        <f t="shared" si="256"/>
        <v>0</v>
      </c>
      <c r="X541" s="291">
        <f t="shared" si="260"/>
        <v>0</v>
      </c>
      <c r="Y541" s="170">
        <f t="shared" si="257"/>
        <v>15.47</v>
      </c>
      <c r="Z541" s="291">
        <f t="shared" si="258"/>
        <v>137.86999999999998</v>
      </c>
      <c r="AC541" s="276">
        <f>IF(AI541=1,IF(AC540=MiscData!$F$1,EOMONTH(AC540,-11),EOMONTH(AC540,1)),AC540)</f>
        <v>41882</v>
      </c>
      <c r="AD541" s="275" t="str">
        <f t="shared" si="263"/>
        <v>20140101LGUM_349</v>
      </c>
      <c r="AE541" s="294" t="str">
        <f t="shared" si="264"/>
        <v>20140101RLS</v>
      </c>
      <c r="AF541" s="618" t="str">
        <f t="shared" si="261"/>
        <v>349</v>
      </c>
      <c r="AH541" s="265">
        <f>MiscData!$X$5</f>
        <v>20140101</v>
      </c>
      <c r="AI541" s="265">
        <f>IF(AI540+1&gt;MiscData!$AC$77,1,AI540+1)</f>
        <v>27</v>
      </c>
      <c r="AJ541" s="265" t="str">
        <f>VLOOKUP(AI541,MiscData!$AC$5:$AD$77,2,FALSE)</f>
        <v>LGUM_349</v>
      </c>
      <c r="AK541" s="265" t="str">
        <f>VLOOKUP(AJ541,MiscData!$AD$5:$AE$77,2,FALSE)</f>
        <v>RLS</v>
      </c>
      <c r="AT541" s="265" t="s">
        <v>179</v>
      </c>
      <c r="AV541" s="265">
        <v>0</v>
      </c>
    </row>
    <row r="542" spans="1:48">
      <c r="A542" s="275">
        <f t="shared" si="262"/>
        <v>539</v>
      </c>
      <c r="B542" s="276" t="str">
        <f t="shared" si="240"/>
        <v>Aug 2014</v>
      </c>
      <c r="C542" s="277" t="str">
        <f t="shared" si="241"/>
        <v xml:space="preserve">LS </v>
      </c>
      <c r="D542" s="277" t="str">
        <f t="shared" si="242"/>
        <v>LGUM_400</v>
      </c>
      <c r="E542" s="614">
        <f t="shared" si="243"/>
        <v>36</v>
      </c>
      <c r="F542" s="615">
        <f t="shared" si="265"/>
        <v>0</v>
      </c>
      <c r="G542" s="614">
        <f t="shared" si="244"/>
        <v>479</v>
      </c>
      <c r="H542" s="615">
        <v>0</v>
      </c>
      <c r="I542" s="283">
        <f t="shared" si="245"/>
        <v>23.89</v>
      </c>
      <c r="J542" s="283">
        <f t="shared" si="246"/>
        <v>1.0199999999999996</v>
      </c>
      <c r="K542" s="285">
        <f t="shared" si="247"/>
        <v>860.04</v>
      </c>
      <c r="L542" s="286">
        <f t="shared" si="248"/>
        <v>0</v>
      </c>
      <c r="M542" s="286">
        <v>0</v>
      </c>
      <c r="N542" s="285">
        <f t="shared" si="249"/>
        <v>860.04</v>
      </c>
      <c r="O542" s="616">
        <f t="shared" si="237"/>
        <v>860.04000000000008</v>
      </c>
      <c r="P542" s="289">
        <f t="shared" si="250"/>
        <v>1.0000000000000002</v>
      </c>
      <c r="Q542" s="290">
        <f t="shared" si="251"/>
        <v>-0.11</v>
      </c>
      <c r="R542" s="290">
        <f t="shared" si="252"/>
        <v>32.15</v>
      </c>
      <c r="S542" s="290">
        <f t="shared" si="253"/>
        <v>0</v>
      </c>
      <c r="T542" s="290">
        <f t="shared" si="254"/>
        <v>945.48</v>
      </c>
      <c r="U542" s="291">
        <f t="shared" si="255"/>
        <v>892.07999999999993</v>
      </c>
      <c r="V542" s="291">
        <f t="shared" si="259"/>
        <v>53.4</v>
      </c>
      <c r="W542" s="265">
        <f t="shared" si="256"/>
        <v>53.4</v>
      </c>
      <c r="X542" s="291">
        <f t="shared" si="260"/>
        <v>0</v>
      </c>
      <c r="Y542" s="170">
        <f t="shared" si="257"/>
        <v>36.72</v>
      </c>
      <c r="Z542" s="291">
        <f t="shared" si="258"/>
        <v>823.32</v>
      </c>
      <c r="AC542" s="276">
        <f>IF(AI542=1,IF(AC541=MiscData!$F$1,EOMONTH(AC541,-11),EOMONTH(AC541,1)),AC541)</f>
        <v>41882</v>
      </c>
      <c r="AD542" s="275" t="str">
        <f t="shared" si="263"/>
        <v>20140101LGUM_400</v>
      </c>
      <c r="AE542" s="294" t="str">
        <f t="shared" si="264"/>
        <v xml:space="preserve">20140101LS </v>
      </c>
      <c r="AF542" s="618" t="str">
        <f t="shared" si="261"/>
        <v>400</v>
      </c>
      <c r="AH542" s="265">
        <f>MiscData!$X$5</f>
        <v>20140101</v>
      </c>
      <c r="AI542" s="265">
        <f>IF(AI541+1&gt;MiscData!$AC$77,1,AI541+1)</f>
        <v>28</v>
      </c>
      <c r="AJ542" s="265" t="str">
        <f>VLOOKUP(AI542,MiscData!$AC$5:$AD$77,2,FALSE)</f>
        <v>LGUM_400</v>
      </c>
      <c r="AK542" s="265" t="str">
        <f>VLOOKUP(AJ542,MiscData!$AD$5:$AE$77,2,FALSE)</f>
        <v xml:space="preserve">LS </v>
      </c>
      <c r="AT542" s="265" t="s">
        <v>180</v>
      </c>
      <c r="AV542" s="265">
        <v>0</v>
      </c>
    </row>
    <row r="543" spans="1:48">
      <c r="A543" s="275">
        <f t="shared" si="262"/>
        <v>540</v>
      </c>
      <c r="B543" s="276" t="str">
        <f t="shared" si="240"/>
        <v>Aug 2014</v>
      </c>
      <c r="C543" s="277" t="str">
        <f t="shared" si="241"/>
        <v xml:space="preserve">LS </v>
      </c>
      <c r="D543" s="277" t="str">
        <f t="shared" si="242"/>
        <v>LGUM_401</v>
      </c>
      <c r="E543" s="614">
        <f t="shared" si="243"/>
        <v>4</v>
      </c>
      <c r="F543" s="615">
        <f t="shared" si="265"/>
        <v>0</v>
      </c>
      <c r="G543" s="614">
        <f t="shared" si="244"/>
        <v>107</v>
      </c>
      <c r="H543" s="615">
        <v>0</v>
      </c>
      <c r="I543" s="283">
        <f t="shared" si="245"/>
        <v>24.9</v>
      </c>
      <c r="J543" s="283">
        <f t="shared" si="246"/>
        <v>1.0599999999999987</v>
      </c>
      <c r="K543" s="285">
        <f t="shared" si="247"/>
        <v>99.6</v>
      </c>
      <c r="L543" s="286">
        <f t="shared" si="248"/>
        <v>0</v>
      </c>
      <c r="M543" s="286">
        <v>0</v>
      </c>
      <c r="N543" s="285">
        <f t="shared" si="249"/>
        <v>99.6</v>
      </c>
      <c r="O543" s="616">
        <f t="shared" si="237"/>
        <v>99.600000000000009</v>
      </c>
      <c r="P543" s="289">
        <f t="shared" si="250"/>
        <v>1.0000000000000002</v>
      </c>
      <c r="Q543" s="290">
        <f t="shared" si="251"/>
        <v>-0.02</v>
      </c>
      <c r="R543" s="290">
        <f t="shared" si="252"/>
        <v>3.51</v>
      </c>
      <c r="S543" s="290">
        <f t="shared" si="253"/>
        <v>0</v>
      </c>
      <c r="T543" s="290">
        <f t="shared" si="254"/>
        <v>103.09</v>
      </c>
      <c r="U543" s="291">
        <f t="shared" si="255"/>
        <v>103.09</v>
      </c>
      <c r="V543" s="291">
        <f t="shared" si="259"/>
        <v>0</v>
      </c>
      <c r="W543" s="265">
        <f t="shared" si="256"/>
        <v>0</v>
      </c>
      <c r="X543" s="291">
        <f t="shared" si="260"/>
        <v>0</v>
      </c>
      <c r="Y543" s="170">
        <f t="shared" si="257"/>
        <v>4.24</v>
      </c>
      <c r="Z543" s="291">
        <f t="shared" si="258"/>
        <v>95.360000000000014</v>
      </c>
      <c r="AC543" s="276">
        <f>IF(AI543=1,IF(AC542=MiscData!$F$1,EOMONTH(AC542,-11),EOMONTH(AC542,1)),AC542)</f>
        <v>41882</v>
      </c>
      <c r="AD543" s="275" t="str">
        <f t="shared" si="263"/>
        <v>20140101LGUM_401</v>
      </c>
      <c r="AE543" s="294" t="str">
        <f t="shared" si="264"/>
        <v xml:space="preserve">20140101LS </v>
      </c>
      <c r="AF543" s="618" t="str">
        <f t="shared" si="261"/>
        <v>401</v>
      </c>
      <c r="AH543" s="265">
        <f>MiscData!$X$5</f>
        <v>20140101</v>
      </c>
      <c r="AI543" s="265">
        <f>IF(AI542+1&gt;MiscData!$AC$77,1,AI542+1)</f>
        <v>29</v>
      </c>
      <c r="AJ543" s="265" t="str">
        <f>VLOOKUP(AI543,MiscData!$AC$5:$AD$77,2,FALSE)</f>
        <v>LGUM_401</v>
      </c>
      <c r="AK543" s="265" t="str">
        <f>VLOOKUP(AJ543,MiscData!$AD$5:$AE$77,2,FALSE)</f>
        <v xml:space="preserve">LS </v>
      </c>
      <c r="AT543" s="265" t="s">
        <v>181</v>
      </c>
      <c r="AV543" s="265">
        <v>-27.22</v>
      </c>
    </row>
    <row r="544" spans="1:48">
      <c r="A544" s="275">
        <f t="shared" si="262"/>
        <v>541</v>
      </c>
      <c r="B544" s="276" t="str">
        <f t="shared" si="240"/>
        <v>Aug 2014</v>
      </c>
      <c r="C544" s="277" t="str">
        <f t="shared" si="241"/>
        <v xml:space="preserve">LS </v>
      </c>
      <c r="D544" s="277" t="str">
        <f t="shared" si="242"/>
        <v>LGUM_412</v>
      </c>
      <c r="E544" s="614">
        <f t="shared" si="243"/>
        <v>244</v>
      </c>
      <c r="F544" s="615">
        <f t="shared" si="265"/>
        <v>-3</v>
      </c>
      <c r="G544" s="614">
        <f t="shared" si="244"/>
        <v>5329</v>
      </c>
      <c r="H544" s="615">
        <v>0</v>
      </c>
      <c r="I544" s="283">
        <f t="shared" si="245"/>
        <v>19.79</v>
      </c>
      <c r="J544" s="283">
        <f t="shared" si="246"/>
        <v>0.74999999999999645</v>
      </c>
      <c r="K544" s="285">
        <f t="shared" si="247"/>
        <v>4769.3900000000003</v>
      </c>
      <c r="L544" s="286">
        <f t="shared" si="248"/>
        <v>-74.3799999999992</v>
      </c>
      <c r="M544" s="286">
        <v>0</v>
      </c>
      <c r="N544" s="285">
        <f t="shared" si="249"/>
        <v>4695.0100000000011</v>
      </c>
      <c r="O544" s="616">
        <f t="shared" si="237"/>
        <v>4695.0099999999993</v>
      </c>
      <c r="P544" s="289">
        <f t="shared" si="250"/>
        <v>0.99999999999999967</v>
      </c>
      <c r="Q544" s="290">
        <f t="shared" si="251"/>
        <v>0.06</v>
      </c>
      <c r="R544" s="290">
        <f t="shared" si="252"/>
        <v>161.96</v>
      </c>
      <c r="S544" s="290">
        <f t="shared" si="253"/>
        <v>0</v>
      </c>
      <c r="T544" s="290">
        <f t="shared" si="254"/>
        <v>4857.03</v>
      </c>
      <c r="U544" s="291">
        <f t="shared" si="255"/>
        <v>4857.0300000000016</v>
      </c>
      <c r="V544" s="291">
        <f t="shared" si="259"/>
        <v>0</v>
      </c>
      <c r="W544" s="265">
        <f t="shared" si="256"/>
        <v>0</v>
      </c>
      <c r="X544" s="291">
        <f t="shared" si="260"/>
        <v>0</v>
      </c>
      <c r="Y544" s="170">
        <f t="shared" si="257"/>
        <v>183</v>
      </c>
      <c r="Z544" s="291">
        <f t="shared" si="258"/>
        <v>4512.0099999999993</v>
      </c>
      <c r="AC544" s="276">
        <f>IF(AI544=1,IF(AC543=MiscData!$F$1,EOMONTH(AC543,-11),EOMONTH(AC543,1)),AC543)</f>
        <v>41882</v>
      </c>
      <c r="AD544" s="275" t="str">
        <f t="shared" si="263"/>
        <v>20140101LGUM_412</v>
      </c>
      <c r="AE544" s="294" t="str">
        <f t="shared" si="264"/>
        <v xml:space="preserve">20140101LS </v>
      </c>
      <c r="AF544" s="618" t="str">
        <f t="shared" si="261"/>
        <v>412</v>
      </c>
      <c r="AH544" s="265">
        <f>MiscData!$X$5</f>
        <v>20140101</v>
      </c>
      <c r="AI544" s="265">
        <f>IF(AI543+1&gt;MiscData!$AC$77,1,AI543+1)</f>
        <v>30</v>
      </c>
      <c r="AJ544" s="265" t="str">
        <f>VLOOKUP(AI544,MiscData!$AC$5:$AD$77,2,FALSE)</f>
        <v>LGUM_412</v>
      </c>
      <c r="AK544" s="265" t="str">
        <f>VLOOKUP(AJ544,MiscData!$AD$5:$AE$77,2,FALSE)</f>
        <v xml:space="preserve">LS </v>
      </c>
      <c r="AT544" s="265" t="s">
        <v>534</v>
      </c>
      <c r="AV544" s="265">
        <v>0</v>
      </c>
    </row>
    <row r="545" spans="1:48">
      <c r="A545" s="275">
        <f t="shared" si="262"/>
        <v>542</v>
      </c>
      <c r="B545" s="276" t="str">
        <f t="shared" si="240"/>
        <v>Aug 2014</v>
      </c>
      <c r="C545" s="277" t="str">
        <f t="shared" si="241"/>
        <v xml:space="preserve">LS </v>
      </c>
      <c r="D545" s="277" t="str">
        <f t="shared" si="242"/>
        <v>LGUM_413</v>
      </c>
      <c r="E545" s="614">
        <f t="shared" si="243"/>
        <v>2196</v>
      </c>
      <c r="F545" s="615">
        <f t="shared" si="265"/>
        <v>0</v>
      </c>
      <c r="G545" s="614">
        <f t="shared" si="244"/>
        <v>69754</v>
      </c>
      <c r="H545" s="615">
        <v>0</v>
      </c>
      <c r="I545" s="283">
        <f t="shared" si="245"/>
        <v>20.49</v>
      </c>
      <c r="J545" s="283">
        <f t="shared" si="246"/>
        <v>1.0599999999999987</v>
      </c>
      <c r="K545" s="285">
        <f t="shared" si="247"/>
        <v>44996.04</v>
      </c>
      <c r="L545" s="286">
        <f t="shared" si="248"/>
        <v>-353.80000000000058</v>
      </c>
      <c r="M545" s="286">
        <v>0</v>
      </c>
      <c r="N545" s="285">
        <f t="shared" si="249"/>
        <v>44642.239999999998</v>
      </c>
      <c r="O545" s="616">
        <f t="shared" si="237"/>
        <v>44642.240000000005</v>
      </c>
      <c r="P545" s="289">
        <f t="shared" si="250"/>
        <v>1.0000000000000002</v>
      </c>
      <c r="Q545" s="290">
        <f t="shared" si="251"/>
        <v>-11.75</v>
      </c>
      <c r="R545" s="290">
        <f t="shared" si="252"/>
        <v>1568.56</v>
      </c>
      <c r="S545" s="290">
        <f t="shared" si="253"/>
        <v>0</v>
      </c>
      <c r="T545" s="290">
        <f t="shared" si="254"/>
        <v>46210.36</v>
      </c>
      <c r="U545" s="291">
        <f t="shared" si="255"/>
        <v>46199.049999999996</v>
      </c>
      <c r="V545" s="291">
        <f t="shared" si="259"/>
        <v>11.31</v>
      </c>
      <c r="W545" s="265">
        <f t="shared" si="256"/>
        <v>11.31</v>
      </c>
      <c r="X545" s="291">
        <f t="shared" si="260"/>
        <v>0</v>
      </c>
      <c r="Y545" s="170">
        <f t="shared" si="257"/>
        <v>2327.7600000000002</v>
      </c>
      <c r="Z545" s="291">
        <f t="shared" si="258"/>
        <v>42314.48</v>
      </c>
      <c r="AC545" s="276">
        <f>IF(AI545=1,IF(AC544=MiscData!$F$1,EOMONTH(AC544,-11),EOMONTH(AC544,1)),AC544)</f>
        <v>41882</v>
      </c>
      <c r="AD545" s="275" t="str">
        <f t="shared" si="263"/>
        <v>20140101LGUM_413</v>
      </c>
      <c r="AE545" s="294" t="str">
        <f t="shared" si="264"/>
        <v xml:space="preserve">20140101LS </v>
      </c>
      <c r="AF545" s="618" t="str">
        <f t="shared" si="261"/>
        <v>413</v>
      </c>
      <c r="AH545" s="265">
        <f>MiscData!$X$5</f>
        <v>20140101</v>
      </c>
      <c r="AI545" s="265">
        <f>IF(AI544+1&gt;MiscData!$AC$77,1,AI544+1)</f>
        <v>31</v>
      </c>
      <c r="AJ545" s="265" t="str">
        <f>VLOOKUP(AI545,MiscData!$AC$5:$AD$77,2,FALSE)</f>
        <v>LGUM_413</v>
      </c>
      <c r="AK545" s="265" t="str">
        <f>VLOOKUP(AJ545,MiscData!$AD$5:$AE$77,2,FALSE)</f>
        <v xml:space="preserve">LS </v>
      </c>
      <c r="AT545" s="265" t="s">
        <v>182</v>
      </c>
      <c r="AV545" s="265">
        <v>0</v>
      </c>
    </row>
    <row r="546" spans="1:48">
      <c r="A546" s="275">
        <f t="shared" si="262"/>
        <v>543</v>
      </c>
      <c r="B546" s="276" t="str">
        <f t="shared" si="240"/>
        <v>Aug 2014</v>
      </c>
      <c r="C546" s="277" t="str">
        <f t="shared" si="241"/>
        <v xml:space="preserve">LS </v>
      </c>
      <c r="D546" s="277" t="str">
        <f t="shared" si="242"/>
        <v>LGUM_415</v>
      </c>
      <c r="E546" s="614">
        <f t="shared" si="243"/>
        <v>38</v>
      </c>
      <c r="F546" s="615">
        <f t="shared" si="265"/>
        <v>0</v>
      </c>
      <c r="G546" s="614">
        <f t="shared" si="244"/>
        <v>869</v>
      </c>
      <c r="H546" s="615">
        <v>0</v>
      </c>
      <c r="I546" s="283">
        <f t="shared" si="245"/>
        <v>20.18</v>
      </c>
      <c r="J546" s="283">
        <f t="shared" si="246"/>
        <v>0.75</v>
      </c>
      <c r="K546" s="285">
        <f t="shared" si="247"/>
        <v>766.84</v>
      </c>
      <c r="L546" s="286">
        <f t="shared" si="248"/>
        <v>0</v>
      </c>
      <c r="M546" s="286">
        <v>0</v>
      </c>
      <c r="N546" s="285">
        <f t="shared" si="249"/>
        <v>766.84</v>
      </c>
      <c r="O546" s="616">
        <f t="shared" si="237"/>
        <v>766.84</v>
      </c>
      <c r="P546" s="289">
        <f t="shared" si="250"/>
        <v>1</v>
      </c>
      <c r="Q546" s="290">
        <f t="shared" si="251"/>
        <v>-0.12</v>
      </c>
      <c r="R546" s="290">
        <f t="shared" si="252"/>
        <v>26.98</v>
      </c>
      <c r="S546" s="290">
        <f t="shared" si="253"/>
        <v>0</v>
      </c>
      <c r="T546" s="290">
        <f t="shared" si="254"/>
        <v>793.7</v>
      </c>
      <c r="U546" s="291">
        <f t="shared" si="255"/>
        <v>793.7</v>
      </c>
      <c r="V546" s="291">
        <f t="shared" si="259"/>
        <v>0</v>
      </c>
      <c r="W546" s="265">
        <f t="shared" si="256"/>
        <v>0</v>
      </c>
      <c r="X546" s="291">
        <f t="shared" si="260"/>
        <v>0</v>
      </c>
      <c r="Y546" s="170">
        <f t="shared" si="257"/>
        <v>28.5</v>
      </c>
      <c r="Z546" s="291">
        <f t="shared" si="258"/>
        <v>738.34</v>
      </c>
      <c r="AC546" s="276">
        <f>IF(AI546=1,IF(AC545=MiscData!$F$1,EOMONTH(AC545,-11),EOMONTH(AC545,1)),AC545)</f>
        <v>41882</v>
      </c>
      <c r="AD546" s="275" t="str">
        <f t="shared" si="263"/>
        <v>20140101LGUM_415</v>
      </c>
      <c r="AE546" s="294" t="str">
        <f t="shared" si="264"/>
        <v xml:space="preserve">20140101LS </v>
      </c>
      <c r="AF546" s="618" t="str">
        <f t="shared" si="261"/>
        <v>415</v>
      </c>
      <c r="AH546" s="265">
        <f>MiscData!$X$5</f>
        <v>20140101</v>
      </c>
      <c r="AI546" s="265">
        <f>IF(AI545+1&gt;MiscData!$AC$77,1,AI545+1)</f>
        <v>32</v>
      </c>
      <c r="AJ546" s="265" t="str">
        <f>VLOOKUP(AI546,MiscData!$AC$5:$AD$77,2,FALSE)</f>
        <v>LGUM_415</v>
      </c>
      <c r="AK546" s="265" t="str">
        <f>VLOOKUP(AJ546,MiscData!$AD$5:$AE$77,2,FALSE)</f>
        <v xml:space="preserve">LS </v>
      </c>
      <c r="AT546" s="265" t="s">
        <v>183</v>
      </c>
      <c r="AV546" s="265">
        <v>0</v>
      </c>
    </row>
    <row r="547" spans="1:48">
      <c r="A547" s="275">
        <f t="shared" si="262"/>
        <v>544</v>
      </c>
      <c r="B547" s="276" t="str">
        <f t="shared" si="240"/>
        <v>Aug 2014</v>
      </c>
      <c r="C547" s="277" t="str">
        <f t="shared" si="241"/>
        <v xml:space="preserve">LS </v>
      </c>
      <c r="D547" s="277" t="str">
        <f t="shared" si="242"/>
        <v>LGUM_416</v>
      </c>
      <c r="E547" s="614">
        <f t="shared" si="243"/>
        <v>1886</v>
      </c>
      <c r="F547" s="615">
        <f t="shared" si="265"/>
        <v>0</v>
      </c>
      <c r="G547" s="614">
        <f t="shared" si="244"/>
        <v>59568</v>
      </c>
      <c r="H547" s="615">
        <v>0</v>
      </c>
      <c r="I547" s="283">
        <f t="shared" si="245"/>
        <v>22.56</v>
      </c>
      <c r="J547" s="283">
        <f t="shared" si="246"/>
        <v>1.0599999999999987</v>
      </c>
      <c r="K547" s="285">
        <f t="shared" si="247"/>
        <v>42548.160000000003</v>
      </c>
      <c r="L547" s="286">
        <f t="shared" si="248"/>
        <v>-42.870000000000005</v>
      </c>
      <c r="M547" s="286">
        <v>0</v>
      </c>
      <c r="N547" s="285">
        <f t="shared" si="249"/>
        <v>42505.29</v>
      </c>
      <c r="O547" s="616">
        <f t="shared" si="237"/>
        <v>42505.289999999994</v>
      </c>
      <c r="P547" s="289">
        <f t="shared" si="250"/>
        <v>0.99999999999999978</v>
      </c>
      <c r="Q547" s="290">
        <f t="shared" si="251"/>
        <v>-11.24</v>
      </c>
      <c r="R547" s="290">
        <f t="shared" si="252"/>
        <v>1495.74</v>
      </c>
      <c r="S547" s="290">
        <f t="shared" si="253"/>
        <v>0</v>
      </c>
      <c r="T547" s="290">
        <f t="shared" si="254"/>
        <v>44009.34</v>
      </c>
      <c r="U547" s="291">
        <f t="shared" si="255"/>
        <v>43989.79</v>
      </c>
      <c r="V547" s="291">
        <f t="shared" si="259"/>
        <v>19.55</v>
      </c>
      <c r="W547" s="265">
        <f t="shared" si="256"/>
        <v>19.55</v>
      </c>
      <c r="X547" s="291">
        <f t="shared" si="260"/>
        <v>0</v>
      </c>
      <c r="Y547" s="170">
        <f t="shared" si="257"/>
        <v>1999.16</v>
      </c>
      <c r="Z547" s="291">
        <f t="shared" si="258"/>
        <v>40506.12999999999</v>
      </c>
      <c r="AC547" s="276">
        <f>IF(AI547=1,IF(AC546=MiscData!$F$1,EOMONTH(AC546,-11),EOMONTH(AC546,1)),AC546)</f>
        <v>41882</v>
      </c>
      <c r="AD547" s="275" t="str">
        <f t="shared" si="263"/>
        <v>20140101LGUM_416</v>
      </c>
      <c r="AE547" s="294" t="str">
        <f t="shared" si="264"/>
        <v xml:space="preserve">20140101LS </v>
      </c>
      <c r="AF547" s="618" t="str">
        <f t="shared" si="261"/>
        <v>416</v>
      </c>
      <c r="AH547" s="265">
        <f>MiscData!$X$5</f>
        <v>20140101</v>
      </c>
      <c r="AI547" s="265">
        <f>IF(AI546+1&gt;MiscData!$AC$77,1,AI546+1)</f>
        <v>33</v>
      </c>
      <c r="AJ547" s="265" t="str">
        <f>VLOOKUP(AI547,MiscData!$AC$5:$AD$77,2,FALSE)</f>
        <v>LGUM_416</v>
      </c>
      <c r="AK547" s="265" t="str">
        <f>VLOOKUP(AJ547,MiscData!$AD$5:$AE$77,2,FALSE)</f>
        <v xml:space="preserve">LS </v>
      </c>
      <c r="AT547" s="265" t="s">
        <v>400</v>
      </c>
      <c r="AV547" s="265">
        <v>0</v>
      </c>
    </row>
    <row r="548" spans="1:48">
      <c r="A548" s="275">
        <f t="shared" si="262"/>
        <v>545</v>
      </c>
      <c r="B548" s="276" t="str">
        <f t="shared" ref="B548:B553" si="266">TEXT(AC548,"mmm yyyy")</f>
        <v>Aug 2014</v>
      </c>
      <c r="C548" s="277" t="str">
        <f t="shared" ref="C548:C553" si="267">AK548</f>
        <v>RLS</v>
      </c>
      <c r="D548" s="277" t="str">
        <f t="shared" ref="D548:D553" si="268">AJ548</f>
        <v>LGUM_417</v>
      </c>
      <c r="E548" s="614">
        <f t="shared" si="243"/>
        <v>40</v>
      </c>
      <c r="F548" s="615">
        <f t="shared" si="265"/>
        <v>0</v>
      </c>
      <c r="G548" s="614">
        <f t="shared" si="244"/>
        <v>1301</v>
      </c>
      <c r="H548" s="615">
        <v>0</v>
      </c>
      <c r="I548" s="283">
        <f t="shared" si="245"/>
        <v>23.68</v>
      </c>
      <c r="J548" s="283">
        <f t="shared" si="246"/>
        <v>1.0300000000000011</v>
      </c>
      <c r="K548" s="285">
        <f t="shared" si="247"/>
        <v>947.2</v>
      </c>
      <c r="L548" s="286">
        <f t="shared" si="248"/>
        <v>0</v>
      </c>
      <c r="M548" s="286">
        <v>0</v>
      </c>
      <c r="N548" s="285">
        <f t="shared" si="249"/>
        <v>947.2</v>
      </c>
      <c r="O548" s="616">
        <f t="shared" ref="O548:O611" si="269">T548-SUM(Q548:S548)-SUMIFS(L_1055_Revenue_Poles_Test_Period,L_1055_RateCategory,$D548,L_1055_Revenue_Month,$B548)</f>
        <v>947.19999999999993</v>
      </c>
      <c r="P548" s="289">
        <f t="shared" si="250"/>
        <v>0.99999999999999989</v>
      </c>
      <c r="Q548" s="290">
        <f t="shared" si="251"/>
        <v>-0.25</v>
      </c>
      <c r="R548" s="290">
        <f t="shared" si="252"/>
        <v>33.340000000000003</v>
      </c>
      <c r="S548" s="290">
        <f t="shared" si="253"/>
        <v>0</v>
      </c>
      <c r="T548" s="290">
        <f t="shared" si="254"/>
        <v>980.29</v>
      </c>
      <c r="U548" s="291">
        <f t="shared" si="255"/>
        <v>980.29000000000008</v>
      </c>
      <c r="V548" s="291">
        <f t="shared" si="259"/>
        <v>0</v>
      </c>
      <c r="W548" s="265">
        <f t="shared" si="256"/>
        <v>0</v>
      </c>
      <c r="X548" s="291">
        <f t="shared" si="260"/>
        <v>0</v>
      </c>
      <c r="Y548" s="170">
        <f t="shared" si="257"/>
        <v>41.2</v>
      </c>
      <c r="Z548" s="291">
        <f t="shared" si="258"/>
        <v>905.99999999999989</v>
      </c>
      <c r="AC548" s="276">
        <f>IF(AI548=1,IF(AC547=MiscData!$F$1,EOMONTH(AC547,-11),EOMONTH(AC547,1)),AC547)</f>
        <v>41882</v>
      </c>
      <c r="AD548" s="275" t="str">
        <f t="shared" si="263"/>
        <v>20140101LGUM_417</v>
      </c>
      <c r="AE548" s="294" t="str">
        <f t="shared" si="264"/>
        <v>20140101RLS</v>
      </c>
      <c r="AF548" s="618" t="str">
        <f t="shared" si="261"/>
        <v>417</v>
      </c>
      <c r="AH548" s="265">
        <f>MiscData!$X$5</f>
        <v>20140101</v>
      </c>
      <c r="AI548" s="265">
        <f>IF(AI547+1&gt;MiscData!$AC$77,1,AI547+1)</f>
        <v>34</v>
      </c>
      <c r="AJ548" s="265" t="str">
        <f>VLOOKUP(AI548,MiscData!$AC$5:$AD$77,2,FALSE)</f>
        <v>LGUM_417</v>
      </c>
      <c r="AK548" s="265" t="str">
        <f>VLOOKUP(AJ548,MiscData!$AD$5:$AE$77,2,FALSE)</f>
        <v>RLS</v>
      </c>
      <c r="AT548" s="265" t="s">
        <v>541</v>
      </c>
      <c r="AV548" s="265">
        <v>0</v>
      </c>
    </row>
    <row r="549" spans="1:48">
      <c r="A549" s="275">
        <f t="shared" si="262"/>
        <v>546</v>
      </c>
      <c r="B549" s="276" t="str">
        <f t="shared" si="266"/>
        <v>Aug 2014</v>
      </c>
      <c r="C549" s="277" t="str">
        <f t="shared" si="267"/>
        <v>RLS</v>
      </c>
      <c r="D549" s="277" t="str">
        <f t="shared" si="268"/>
        <v>LGUM_419</v>
      </c>
      <c r="E549" s="614">
        <f t="shared" si="243"/>
        <v>110</v>
      </c>
      <c r="F549" s="615">
        <f t="shared" si="265"/>
        <v>0</v>
      </c>
      <c r="G549" s="614">
        <f t="shared" si="244"/>
        <v>5580</v>
      </c>
      <c r="H549" s="615">
        <v>0</v>
      </c>
      <c r="I549" s="283">
        <f t="shared" si="245"/>
        <v>24.77</v>
      </c>
      <c r="J549" s="283">
        <f t="shared" si="246"/>
        <v>1.6499999999999986</v>
      </c>
      <c r="K549" s="285">
        <f t="shared" si="247"/>
        <v>2724.7</v>
      </c>
      <c r="L549" s="286">
        <f t="shared" si="248"/>
        <v>47.330000000000055</v>
      </c>
      <c r="M549" s="286">
        <v>0</v>
      </c>
      <c r="N549" s="285">
        <f t="shared" si="249"/>
        <v>2772.0299999999997</v>
      </c>
      <c r="O549" s="616">
        <f t="shared" si="269"/>
        <v>2772.03</v>
      </c>
      <c r="P549" s="289">
        <f t="shared" si="250"/>
        <v>1.0000000000000002</v>
      </c>
      <c r="Q549" s="290">
        <f t="shared" si="251"/>
        <v>-1.1000000000000001</v>
      </c>
      <c r="R549" s="290">
        <f t="shared" si="252"/>
        <v>97.58</v>
      </c>
      <c r="S549" s="290">
        <f t="shared" si="253"/>
        <v>0</v>
      </c>
      <c r="T549" s="290">
        <f t="shared" si="254"/>
        <v>2868.51</v>
      </c>
      <c r="U549" s="291">
        <f t="shared" si="255"/>
        <v>2868.5099999999998</v>
      </c>
      <c r="V549" s="291">
        <f t="shared" si="259"/>
        <v>0</v>
      </c>
      <c r="W549" s="265">
        <f t="shared" si="256"/>
        <v>0</v>
      </c>
      <c r="X549" s="291">
        <f t="shared" si="260"/>
        <v>0</v>
      </c>
      <c r="Y549" s="170">
        <f t="shared" si="257"/>
        <v>181.5</v>
      </c>
      <c r="Z549" s="291">
        <f t="shared" si="258"/>
        <v>2590.5300000000002</v>
      </c>
      <c r="AC549" s="276">
        <f>IF(AI549=1,IF(AC548=MiscData!$F$1,EOMONTH(AC548,-11),EOMONTH(AC548,1)),AC548)</f>
        <v>41882</v>
      </c>
      <c r="AD549" s="275" t="str">
        <f t="shared" si="263"/>
        <v>20140101LGUM_419</v>
      </c>
      <c r="AE549" s="294" t="str">
        <f t="shared" si="264"/>
        <v>20140101RLS</v>
      </c>
      <c r="AF549" s="618" t="str">
        <f t="shared" si="261"/>
        <v>419</v>
      </c>
      <c r="AH549" s="265">
        <f>MiscData!$X$5</f>
        <v>20140101</v>
      </c>
      <c r="AI549" s="265">
        <f>IF(AI548+1&gt;MiscData!$AC$77,1,AI548+1)</f>
        <v>35</v>
      </c>
      <c r="AJ549" s="265" t="str">
        <f>VLOOKUP(AI549,MiscData!$AC$5:$AD$77,2,FALSE)</f>
        <v>LGUM_419</v>
      </c>
      <c r="AK549" s="265" t="str">
        <f>VLOOKUP(AJ549,MiscData!$AD$5:$AE$77,2,FALSE)</f>
        <v>RLS</v>
      </c>
      <c r="AT549" s="265" t="s">
        <v>184</v>
      </c>
      <c r="AV549" s="265">
        <v>0</v>
      </c>
    </row>
    <row r="550" spans="1:48">
      <c r="A550" s="275">
        <f t="shared" si="262"/>
        <v>547</v>
      </c>
      <c r="B550" s="276" t="str">
        <f t="shared" si="266"/>
        <v>Aug 2014</v>
      </c>
      <c r="C550" s="277" t="str">
        <f t="shared" si="267"/>
        <v xml:space="preserve">LS </v>
      </c>
      <c r="D550" s="277" t="str">
        <f t="shared" si="268"/>
        <v>LGUM_420</v>
      </c>
      <c r="E550" s="614">
        <f t="shared" si="243"/>
        <v>54</v>
      </c>
      <c r="F550" s="615">
        <f t="shared" si="265"/>
        <v>0</v>
      </c>
      <c r="G550" s="614">
        <f t="shared" si="244"/>
        <v>2580</v>
      </c>
      <c r="H550" s="615">
        <v>0</v>
      </c>
      <c r="I550" s="283">
        <f t="shared" si="245"/>
        <v>29.889999999999997</v>
      </c>
      <c r="J550" s="283">
        <f t="shared" si="246"/>
        <v>1.6499999999999986</v>
      </c>
      <c r="K550" s="285">
        <f t="shared" si="247"/>
        <v>1614.06</v>
      </c>
      <c r="L550" s="286">
        <f t="shared" si="248"/>
        <v>0</v>
      </c>
      <c r="M550" s="286">
        <v>0</v>
      </c>
      <c r="N550" s="285">
        <f t="shared" si="249"/>
        <v>1614.06</v>
      </c>
      <c r="O550" s="616">
        <f t="shared" si="269"/>
        <v>1614.06</v>
      </c>
      <c r="P550" s="289">
        <f t="shared" si="250"/>
        <v>1</v>
      </c>
      <c r="Q550" s="290">
        <f t="shared" si="251"/>
        <v>-0.51</v>
      </c>
      <c r="R550" s="290">
        <f t="shared" si="252"/>
        <v>56.8</v>
      </c>
      <c r="S550" s="290">
        <f t="shared" si="253"/>
        <v>0</v>
      </c>
      <c r="T550" s="290">
        <f t="shared" si="254"/>
        <v>1670.35</v>
      </c>
      <c r="U550" s="291">
        <f t="shared" si="255"/>
        <v>1670.35</v>
      </c>
      <c r="V550" s="291">
        <f t="shared" si="259"/>
        <v>0</v>
      </c>
      <c r="W550" s="265">
        <f t="shared" si="256"/>
        <v>0</v>
      </c>
      <c r="X550" s="291">
        <f t="shared" si="260"/>
        <v>0</v>
      </c>
      <c r="Y550" s="170">
        <f t="shared" si="257"/>
        <v>89.1</v>
      </c>
      <c r="Z550" s="291">
        <f t="shared" si="258"/>
        <v>1524.96</v>
      </c>
      <c r="AC550" s="276">
        <f>IF(AI550=1,IF(AC549=MiscData!$F$1,EOMONTH(AC549,-11),EOMONTH(AC549,1)),AC549)</f>
        <v>41882</v>
      </c>
      <c r="AD550" s="275" t="str">
        <f t="shared" si="263"/>
        <v>20140101LGUM_420</v>
      </c>
      <c r="AE550" s="294" t="str">
        <f t="shared" si="264"/>
        <v xml:space="preserve">20140101LS </v>
      </c>
      <c r="AF550" s="618" t="str">
        <f t="shared" si="261"/>
        <v>420</v>
      </c>
      <c r="AH550" s="265">
        <f>MiscData!$X$5</f>
        <v>20140101</v>
      </c>
      <c r="AI550" s="265">
        <f>IF(AI549+1&gt;MiscData!$AC$77,1,AI549+1)</f>
        <v>36</v>
      </c>
      <c r="AJ550" s="265" t="str">
        <f>VLOOKUP(AI550,MiscData!$AC$5:$AD$77,2,FALSE)</f>
        <v>LGUM_420</v>
      </c>
      <c r="AK550" s="265" t="str">
        <f>VLOOKUP(AJ550,MiscData!$AD$5:$AE$77,2,FALSE)</f>
        <v xml:space="preserve">LS </v>
      </c>
      <c r="AT550" s="265" t="s">
        <v>185</v>
      </c>
      <c r="AV550" s="265">
        <v>0</v>
      </c>
    </row>
    <row r="551" spans="1:48">
      <c r="A551" s="275">
        <f t="shared" si="262"/>
        <v>548</v>
      </c>
      <c r="B551" s="276" t="str">
        <f t="shared" si="266"/>
        <v>Aug 2014</v>
      </c>
      <c r="C551" s="277" t="str">
        <f t="shared" si="267"/>
        <v xml:space="preserve">LS </v>
      </c>
      <c r="D551" s="277" t="str">
        <f t="shared" si="268"/>
        <v>LGUM_421</v>
      </c>
      <c r="E551" s="614">
        <f t="shared" si="243"/>
        <v>181</v>
      </c>
      <c r="F551" s="615">
        <f t="shared" si="265"/>
        <v>0</v>
      </c>
      <c r="G551" s="614">
        <f t="shared" si="244"/>
        <v>14529</v>
      </c>
      <c r="H551" s="615">
        <v>0</v>
      </c>
      <c r="I551" s="283">
        <f t="shared" si="245"/>
        <v>32.860000000000007</v>
      </c>
      <c r="J551" s="283">
        <f t="shared" si="246"/>
        <v>2.6700000000000017</v>
      </c>
      <c r="K551" s="285">
        <f t="shared" si="247"/>
        <v>5947.66</v>
      </c>
      <c r="L551" s="286">
        <f t="shared" si="248"/>
        <v>0</v>
      </c>
      <c r="M551" s="286">
        <v>0</v>
      </c>
      <c r="N551" s="285">
        <f t="shared" si="249"/>
        <v>5947.66</v>
      </c>
      <c r="O551" s="616">
        <f t="shared" si="269"/>
        <v>5947.66</v>
      </c>
      <c r="P551" s="289">
        <f t="shared" si="250"/>
        <v>1</v>
      </c>
      <c r="Q551" s="290">
        <f t="shared" si="251"/>
        <v>-2.62</v>
      </c>
      <c r="R551" s="290">
        <f t="shared" si="252"/>
        <v>209.17</v>
      </c>
      <c r="S551" s="290">
        <f t="shared" si="253"/>
        <v>0</v>
      </c>
      <c r="T551" s="290">
        <f t="shared" si="254"/>
        <v>6154.21</v>
      </c>
      <c r="U551" s="291">
        <f t="shared" si="255"/>
        <v>6154.21</v>
      </c>
      <c r="V551" s="291">
        <f t="shared" si="259"/>
        <v>0</v>
      </c>
      <c r="W551" s="265">
        <f t="shared" si="256"/>
        <v>0</v>
      </c>
      <c r="X551" s="291">
        <f t="shared" si="260"/>
        <v>0</v>
      </c>
      <c r="Y551" s="170">
        <f t="shared" si="257"/>
        <v>483.27</v>
      </c>
      <c r="Z551" s="291">
        <f t="shared" si="258"/>
        <v>5464.3899999999994</v>
      </c>
      <c r="AC551" s="276">
        <f>IF(AI551=1,IF(AC550=MiscData!$F$1,EOMONTH(AC550,-11),EOMONTH(AC550,1)),AC550)</f>
        <v>41882</v>
      </c>
      <c r="AD551" s="275" t="str">
        <f t="shared" si="263"/>
        <v>20140101LGUM_421</v>
      </c>
      <c r="AE551" s="294" t="str">
        <f t="shared" si="264"/>
        <v xml:space="preserve">20140101LS </v>
      </c>
      <c r="AF551" s="618" t="str">
        <f t="shared" si="261"/>
        <v>421</v>
      </c>
      <c r="AH551" s="265">
        <f>MiscData!$X$5</f>
        <v>20140101</v>
      </c>
      <c r="AI551" s="265">
        <f>IF(AI550+1&gt;MiscData!$AC$77,1,AI550+1)</f>
        <v>37</v>
      </c>
      <c r="AJ551" s="265" t="str">
        <f>VLOOKUP(AI551,MiscData!$AC$5:$AD$77,2,FALSE)</f>
        <v>LGUM_421</v>
      </c>
      <c r="AK551" s="265" t="str">
        <f>VLOOKUP(AJ551,MiscData!$AD$5:$AE$77,2,FALSE)</f>
        <v xml:space="preserve">LS </v>
      </c>
      <c r="AT551" s="265" t="s">
        <v>186</v>
      </c>
      <c r="AV551" s="265">
        <v>6.91</v>
      </c>
    </row>
    <row r="552" spans="1:48">
      <c r="A552" s="275">
        <f t="shared" si="262"/>
        <v>549</v>
      </c>
      <c r="B552" s="276" t="str">
        <f t="shared" si="266"/>
        <v>Aug 2014</v>
      </c>
      <c r="C552" s="277" t="str">
        <f t="shared" si="267"/>
        <v xml:space="preserve">LS </v>
      </c>
      <c r="D552" s="277" t="str">
        <f t="shared" si="268"/>
        <v>LGUM_422</v>
      </c>
      <c r="E552" s="614">
        <f t="shared" si="243"/>
        <v>387</v>
      </c>
      <c r="F552" s="615">
        <f t="shared" si="265"/>
        <v>0</v>
      </c>
      <c r="G552" s="614">
        <f t="shared" si="244"/>
        <v>50046</v>
      </c>
      <c r="H552" s="615">
        <v>0</v>
      </c>
      <c r="I552" s="283">
        <f t="shared" si="245"/>
        <v>38.389999999999993</v>
      </c>
      <c r="J552" s="283">
        <f t="shared" si="246"/>
        <v>4.279999999999994</v>
      </c>
      <c r="K552" s="285">
        <f t="shared" si="247"/>
        <v>14856.93</v>
      </c>
      <c r="L552" s="286">
        <f t="shared" si="248"/>
        <v>0</v>
      </c>
      <c r="M552" s="286">
        <v>0</v>
      </c>
      <c r="N552" s="285">
        <f t="shared" si="249"/>
        <v>14856.93</v>
      </c>
      <c r="O552" s="616">
        <f t="shared" si="269"/>
        <v>14856.93</v>
      </c>
      <c r="P552" s="289">
        <f t="shared" si="250"/>
        <v>1</v>
      </c>
      <c r="Q552" s="290">
        <f t="shared" si="251"/>
        <v>-8.85</v>
      </c>
      <c r="R552" s="290">
        <f t="shared" si="252"/>
        <v>522.12</v>
      </c>
      <c r="S552" s="290">
        <f t="shared" si="253"/>
        <v>0</v>
      </c>
      <c r="T552" s="290">
        <f t="shared" si="254"/>
        <v>15370.2</v>
      </c>
      <c r="U552" s="291">
        <f t="shared" si="255"/>
        <v>15370.2</v>
      </c>
      <c r="V552" s="291">
        <f t="shared" si="259"/>
        <v>0</v>
      </c>
      <c r="W552" s="265">
        <f t="shared" si="256"/>
        <v>0</v>
      </c>
      <c r="X552" s="291">
        <f t="shared" si="260"/>
        <v>0</v>
      </c>
      <c r="Y552" s="170">
        <f t="shared" si="257"/>
        <v>1656.36</v>
      </c>
      <c r="Z552" s="291">
        <f t="shared" si="258"/>
        <v>13200.57</v>
      </c>
      <c r="AC552" s="276">
        <f>IF(AI552=1,IF(AC551=MiscData!$F$1,EOMONTH(AC551,-11),EOMONTH(AC551,1)),AC551)</f>
        <v>41882</v>
      </c>
      <c r="AD552" s="275" t="str">
        <f t="shared" si="263"/>
        <v>20140101LGUM_422</v>
      </c>
      <c r="AE552" s="294" t="str">
        <f t="shared" si="264"/>
        <v xml:space="preserve">20140101LS </v>
      </c>
      <c r="AF552" s="618" t="str">
        <f t="shared" si="261"/>
        <v>422</v>
      </c>
      <c r="AH552" s="265">
        <f>MiscData!$X$5</f>
        <v>20140101</v>
      </c>
      <c r="AI552" s="265">
        <f>IF(AI551+1&gt;MiscData!$AC$77,1,AI551+1)</f>
        <v>38</v>
      </c>
      <c r="AJ552" s="265" t="str">
        <f>VLOOKUP(AI552,MiscData!$AC$5:$AD$77,2,FALSE)</f>
        <v>LGUM_422</v>
      </c>
      <c r="AK552" s="265" t="str">
        <f>VLOOKUP(AJ552,MiscData!$AD$5:$AE$77,2,FALSE)</f>
        <v xml:space="preserve">LS </v>
      </c>
      <c r="AT552" s="265" t="s">
        <v>187</v>
      </c>
      <c r="AV552" s="265">
        <v>0</v>
      </c>
    </row>
    <row r="553" spans="1:48">
      <c r="A553" s="275">
        <f t="shared" si="262"/>
        <v>550</v>
      </c>
      <c r="B553" s="276" t="str">
        <f t="shared" si="266"/>
        <v>Aug 2014</v>
      </c>
      <c r="C553" s="277" t="str">
        <f t="shared" si="267"/>
        <v xml:space="preserve">LS </v>
      </c>
      <c r="D553" s="277" t="str">
        <f t="shared" si="268"/>
        <v>LGUM_423</v>
      </c>
      <c r="E553" s="614">
        <f t="shared" si="243"/>
        <v>22</v>
      </c>
      <c r="F553" s="615">
        <f t="shared" si="265"/>
        <v>0</v>
      </c>
      <c r="G553" s="614">
        <f t="shared" si="244"/>
        <v>1075</v>
      </c>
      <c r="H553" s="615">
        <v>0</v>
      </c>
      <c r="I553" s="283">
        <f t="shared" si="245"/>
        <v>26.349999999999998</v>
      </c>
      <c r="J553" s="283">
        <f t="shared" si="246"/>
        <v>1.6500000000000021</v>
      </c>
      <c r="K553" s="285">
        <f t="shared" si="247"/>
        <v>579.70000000000005</v>
      </c>
      <c r="L553" s="286">
        <f t="shared" si="248"/>
        <v>0</v>
      </c>
      <c r="M553" s="286">
        <v>0</v>
      </c>
      <c r="N553" s="285">
        <f t="shared" si="249"/>
        <v>579.70000000000005</v>
      </c>
      <c r="O553" s="616">
        <f t="shared" si="269"/>
        <v>579.69999999999993</v>
      </c>
      <c r="P553" s="289">
        <f t="shared" si="250"/>
        <v>0.99999999999999978</v>
      </c>
      <c r="Q553" s="290">
        <f t="shared" si="251"/>
        <v>-0.22</v>
      </c>
      <c r="R553" s="290">
        <f t="shared" si="252"/>
        <v>20.420000000000002</v>
      </c>
      <c r="S553" s="290">
        <f t="shared" si="253"/>
        <v>0</v>
      </c>
      <c r="T553" s="290">
        <f t="shared" si="254"/>
        <v>599.9</v>
      </c>
      <c r="U553" s="291">
        <f t="shared" si="255"/>
        <v>599.9</v>
      </c>
      <c r="V553" s="291">
        <f t="shared" si="259"/>
        <v>0</v>
      </c>
      <c r="W553" s="265">
        <f t="shared" si="256"/>
        <v>0</v>
      </c>
      <c r="X553" s="291">
        <f t="shared" si="260"/>
        <v>0</v>
      </c>
      <c r="Y553" s="170">
        <f t="shared" si="257"/>
        <v>36.299999999999997</v>
      </c>
      <c r="Z553" s="291">
        <f t="shared" si="258"/>
        <v>543.4</v>
      </c>
      <c r="AC553" s="276">
        <f>IF(AI553=1,IF(AC552=MiscData!$F$1,EOMONTH(AC552,-11),EOMONTH(AC552,1)),AC552)</f>
        <v>41882</v>
      </c>
      <c r="AD553" s="275" t="str">
        <f t="shared" si="263"/>
        <v>20140101LGUM_423</v>
      </c>
      <c r="AE553" s="294" t="str">
        <f t="shared" si="264"/>
        <v xml:space="preserve">20140101LS </v>
      </c>
      <c r="AF553" s="618" t="str">
        <f t="shared" si="261"/>
        <v>423</v>
      </c>
      <c r="AH553" s="265">
        <f>MiscData!$X$5</f>
        <v>20140101</v>
      </c>
      <c r="AI553" s="265">
        <f>IF(AI552+1&gt;MiscData!$AC$77,1,AI552+1)</f>
        <v>39</v>
      </c>
      <c r="AJ553" s="265" t="str">
        <f>VLOOKUP(AI553,MiscData!$AC$5:$AD$77,2,FALSE)</f>
        <v>LGUM_423</v>
      </c>
      <c r="AK553" s="265" t="str">
        <f>VLOOKUP(AJ553,MiscData!$AD$5:$AE$77,2,FALSE)</f>
        <v xml:space="preserve">LS </v>
      </c>
      <c r="AT553" s="265" t="s">
        <v>188</v>
      </c>
      <c r="AV553" s="265">
        <v>0</v>
      </c>
    </row>
    <row r="554" spans="1:48">
      <c r="A554" s="275">
        <f t="shared" si="262"/>
        <v>551</v>
      </c>
      <c r="B554" s="276" t="str">
        <f t="shared" ref="B554:B617" si="270">TEXT(AC554,"mmm yyyy")</f>
        <v>Aug 2014</v>
      </c>
      <c r="C554" s="277" t="str">
        <f t="shared" ref="C554:C617" si="271">AK554</f>
        <v xml:space="preserve">LS </v>
      </c>
      <c r="D554" s="277" t="str">
        <f t="shared" ref="D554:D617" si="272">AJ554</f>
        <v>LGUM_424</v>
      </c>
      <c r="E554" s="614">
        <f t="shared" si="243"/>
        <v>465</v>
      </c>
      <c r="F554" s="615">
        <f t="shared" si="265"/>
        <v>0</v>
      </c>
      <c r="G554" s="614">
        <f t="shared" si="244"/>
        <v>38174</v>
      </c>
      <c r="H554" s="615">
        <v>0</v>
      </c>
      <c r="I554" s="283">
        <f t="shared" si="245"/>
        <v>28.45</v>
      </c>
      <c r="J554" s="283">
        <f t="shared" si="246"/>
        <v>3.9800000000000004</v>
      </c>
      <c r="K554" s="285">
        <f t="shared" si="247"/>
        <v>13229.25</v>
      </c>
      <c r="L554" s="286">
        <f t="shared" si="248"/>
        <v>63.770000000000437</v>
      </c>
      <c r="M554" s="286">
        <v>0</v>
      </c>
      <c r="N554" s="285">
        <f t="shared" si="249"/>
        <v>13293.02</v>
      </c>
      <c r="O554" s="616">
        <f t="shared" si="269"/>
        <v>13293.02</v>
      </c>
      <c r="P554" s="289">
        <f t="shared" si="250"/>
        <v>1</v>
      </c>
      <c r="Q554" s="290">
        <f t="shared" si="251"/>
        <v>-7.27</v>
      </c>
      <c r="R554" s="290">
        <f t="shared" si="252"/>
        <v>467.65</v>
      </c>
      <c r="S554" s="290">
        <f t="shared" si="253"/>
        <v>0</v>
      </c>
      <c r="T554" s="290">
        <f t="shared" si="254"/>
        <v>13753.4</v>
      </c>
      <c r="U554" s="291">
        <f t="shared" si="255"/>
        <v>13753.4</v>
      </c>
      <c r="V554" s="291">
        <f t="shared" si="259"/>
        <v>0</v>
      </c>
      <c r="W554" s="265">
        <f t="shared" si="256"/>
        <v>0</v>
      </c>
      <c r="X554" s="291">
        <f t="shared" si="260"/>
        <v>0</v>
      </c>
      <c r="Y554" s="170">
        <f t="shared" si="257"/>
        <v>1850.7</v>
      </c>
      <c r="Z554" s="291">
        <f t="shared" si="258"/>
        <v>11442.32</v>
      </c>
      <c r="AC554" s="276">
        <f>IF(AI554=1,IF(AC553=MiscData!$F$1,EOMONTH(AC553,-11),EOMONTH(AC553,1)),AC553)</f>
        <v>41882</v>
      </c>
      <c r="AD554" s="275" t="str">
        <f t="shared" ref="AD554:AD617" si="273">CONCATENATE(AH554&amp;AJ554)</f>
        <v>20140101LGUM_424</v>
      </c>
      <c r="AE554" s="294" t="str">
        <f t="shared" ref="AE554:AE617" si="274">CONCATENATE(AH554&amp;AK554)</f>
        <v xml:space="preserve">20140101LS </v>
      </c>
      <c r="AF554" s="618" t="str">
        <f t="shared" si="261"/>
        <v>424</v>
      </c>
      <c r="AH554" s="265">
        <f>MiscData!$X$5</f>
        <v>20140101</v>
      </c>
      <c r="AI554" s="265">
        <f>IF(AI553+1&gt;MiscData!$AC$77,1,AI553+1)</f>
        <v>40</v>
      </c>
      <c r="AJ554" s="265" t="str">
        <f>VLOOKUP(AI554,MiscData!$AC$5:$AD$77,2,FALSE)</f>
        <v>LGUM_424</v>
      </c>
      <c r="AK554" s="265" t="str">
        <f>VLOOKUP(AJ554,MiscData!$AD$5:$AE$77,2,FALSE)</f>
        <v xml:space="preserve">LS </v>
      </c>
      <c r="AT554" s="265" t="s">
        <v>189</v>
      </c>
      <c r="AV554" s="265">
        <v>-42.24</v>
      </c>
    </row>
    <row r="555" spans="1:48">
      <c r="A555" s="275">
        <f t="shared" si="262"/>
        <v>552</v>
      </c>
      <c r="B555" s="276" t="str">
        <f t="shared" si="270"/>
        <v>Aug 2014</v>
      </c>
      <c r="C555" s="277" t="str">
        <f t="shared" si="271"/>
        <v xml:space="preserve">LS </v>
      </c>
      <c r="D555" s="277" t="str">
        <f t="shared" si="272"/>
        <v>LGUM_425</v>
      </c>
      <c r="E555" s="614">
        <f t="shared" si="243"/>
        <v>35</v>
      </c>
      <c r="F555" s="615">
        <f t="shared" si="265"/>
        <v>0</v>
      </c>
      <c r="G555" s="614">
        <f t="shared" si="244"/>
        <v>4502</v>
      </c>
      <c r="H555" s="615">
        <v>0</v>
      </c>
      <c r="I555" s="283">
        <f t="shared" si="245"/>
        <v>34.029999999999994</v>
      </c>
      <c r="J555" s="283">
        <f t="shared" si="246"/>
        <v>4.2799999999999976</v>
      </c>
      <c r="K555" s="285">
        <f t="shared" si="247"/>
        <v>1191.05</v>
      </c>
      <c r="L555" s="286">
        <f t="shared" si="248"/>
        <v>0</v>
      </c>
      <c r="M555" s="286">
        <v>0</v>
      </c>
      <c r="N555" s="285">
        <f t="shared" si="249"/>
        <v>1191.05</v>
      </c>
      <c r="O555" s="616">
        <f t="shared" si="269"/>
        <v>1191.0500000000002</v>
      </c>
      <c r="P555" s="289">
        <f t="shared" si="250"/>
        <v>1.0000000000000002</v>
      </c>
      <c r="Q555" s="290">
        <f t="shared" si="251"/>
        <v>-0.24</v>
      </c>
      <c r="R555" s="290">
        <f t="shared" si="252"/>
        <v>41.57</v>
      </c>
      <c r="S555" s="290">
        <f t="shared" si="253"/>
        <v>0</v>
      </c>
      <c r="T555" s="290">
        <f t="shared" si="254"/>
        <v>1232.3800000000001</v>
      </c>
      <c r="U555" s="291">
        <f t="shared" si="255"/>
        <v>1232.3799999999999</v>
      </c>
      <c r="V555" s="291">
        <f t="shared" si="259"/>
        <v>0</v>
      </c>
      <c r="W555" s="265">
        <f t="shared" si="256"/>
        <v>0</v>
      </c>
      <c r="X555" s="291">
        <f t="shared" si="260"/>
        <v>0</v>
      </c>
      <c r="Y555" s="170">
        <f t="shared" si="257"/>
        <v>149.80000000000001</v>
      </c>
      <c r="Z555" s="291">
        <f t="shared" si="258"/>
        <v>1041.2500000000002</v>
      </c>
      <c r="AC555" s="276">
        <f>IF(AI555=1,IF(AC554=MiscData!$F$1,EOMONTH(AC554,-11),EOMONTH(AC554,1)),AC554)</f>
        <v>41882</v>
      </c>
      <c r="AD555" s="275" t="str">
        <f t="shared" si="273"/>
        <v>20140101LGUM_425</v>
      </c>
      <c r="AE555" s="294" t="str">
        <f t="shared" si="274"/>
        <v xml:space="preserve">20140101LS </v>
      </c>
      <c r="AF555" s="618" t="str">
        <f t="shared" si="261"/>
        <v>425</v>
      </c>
      <c r="AH555" s="265">
        <f>MiscData!$X$5</f>
        <v>20140101</v>
      </c>
      <c r="AI555" s="265">
        <f>IF(AI554+1&gt;MiscData!$AC$77,1,AI554+1)</f>
        <v>41</v>
      </c>
      <c r="AJ555" s="265" t="str">
        <f>VLOOKUP(AI555,MiscData!$AC$5:$AD$77,2,FALSE)</f>
        <v>LGUM_425</v>
      </c>
      <c r="AK555" s="265" t="str">
        <f>VLOOKUP(AJ555,MiscData!$AD$5:$AE$77,2,FALSE)</f>
        <v xml:space="preserve">LS </v>
      </c>
      <c r="AT555" s="265" t="s">
        <v>190</v>
      </c>
      <c r="AV555" s="265">
        <v>-31.59</v>
      </c>
    </row>
    <row r="556" spans="1:48">
      <c r="A556" s="275">
        <f t="shared" si="262"/>
        <v>553</v>
      </c>
      <c r="B556" s="276" t="str">
        <f t="shared" si="270"/>
        <v>Aug 2014</v>
      </c>
      <c r="C556" s="277" t="str">
        <f t="shared" si="271"/>
        <v>RLS</v>
      </c>
      <c r="D556" s="277" t="str">
        <f t="shared" si="272"/>
        <v>LGUM_426</v>
      </c>
      <c r="E556" s="614">
        <f t="shared" si="243"/>
        <v>41</v>
      </c>
      <c r="F556" s="615">
        <f t="shared" si="265"/>
        <v>0</v>
      </c>
      <c r="G556" s="614">
        <f t="shared" si="244"/>
        <v>961</v>
      </c>
      <c r="H556" s="615">
        <v>0</v>
      </c>
      <c r="I556" s="283">
        <f t="shared" si="245"/>
        <v>33.22</v>
      </c>
      <c r="J556" s="283">
        <f t="shared" si="246"/>
        <v>0.75</v>
      </c>
      <c r="K556" s="285">
        <f t="shared" si="247"/>
        <v>1362.02</v>
      </c>
      <c r="L556" s="286">
        <f t="shared" si="248"/>
        <v>0</v>
      </c>
      <c r="M556" s="286">
        <v>0</v>
      </c>
      <c r="N556" s="285">
        <f t="shared" si="249"/>
        <v>1362.02</v>
      </c>
      <c r="O556" s="616">
        <f t="shared" si="269"/>
        <v>1362.0200000000002</v>
      </c>
      <c r="P556" s="289">
        <f t="shared" si="250"/>
        <v>1.0000000000000002</v>
      </c>
      <c r="Q556" s="290">
        <f t="shared" si="251"/>
        <v>-0.19</v>
      </c>
      <c r="R556" s="290">
        <f t="shared" si="252"/>
        <v>48.69</v>
      </c>
      <c r="S556" s="290">
        <f t="shared" si="253"/>
        <v>0</v>
      </c>
      <c r="T556" s="290">
        <f t="shared" si="254"/>
        <v>1431.88</v>
      </c>
      <c r="U556" s="291">
        <f t="shared" si="255"/>
        <v>1410.52</v>
      </c>
      <c r="V556" s="291">
        <f t="shared" si="259"/>
        <v>21.36</v>
      </c>
      <c r="W556" s="265">
        <f t="shared" si="256"/>
        <v>21.36</v>
      </c>
      <c r="X556" s="291">
        <f t="shared" si="260"/>
        <v>0</v>
      </c>
      <c r="Y556" s="170">
        <f t="shared" si="257"/>
        <v>30.75</v>
      </c>
      <c r="Z556" s="291">
        <f t="shared" si="258"/>
        <v>1331.2700000000002</v>
      </c>
      <c r="AC556" s="276">
        <f>IF(AI556=1,IF(AC555=MiscData!$F$1,EOMONTH(AC555,-11),EOMONTH(AC555,1)),AC555)</f>
        <v>41882</v>
      </c>
      <c r="AD556" s="275" t="str">
        <f t="shared" si="273"/>
        <v>20140101LGUM_426</v>
      </c>
      <c r="AE556" s="294" t="str">
        <f t="shared" si="274"/>
        <v>20140101RLS</v>
      </c>
      <c r="AF556" s="618" t="str">
        <f t="shared" si="261"/>
        <v>426</v>
      </c>
      <c r="AH556" s="265">
        <f>MiscData!$X$5</f>
        <v>20140101</v>
      </c>
      <c r="AI556" s="265">
        <f>IF(AI555+1&gt;MiscData!$AC$77,1,AI555+1)</f>
        <v>42</v>
      </c>
      <c r="AJ556" s="265" t="str">
        <f>VLOOKUP(AI556,MiscData!$AC$5:$AD$77,2,FALSE)</f>
        <v>LGUM_426</v>
      </c>
      <c r="AK556" s="265" t="str">
        <f>VLOOKUP(AJ556,MiscData!$AD$5:$AE$77,2,FALSE)</f>
        <v>RLS</v>
      </c>
      <c r="AT556" s="265" t="s">
        <v>191</v>
      </c>
      <c r="AV556" s="265">
        <v>0</v>
      </c>
    </row>
    <row r="557" spans="1:48">
      <c r="A557" s="275">
        <f t="shared" si="262"/>
        <v>554</v>
      </c>
      <c r="B557" s="276" t="str">
        <f t="shared" si="270"/>
        <v>Aug 2014</v>
      </c>
      <c r="C557" s="277" t="str">
        <f t="shared" si="271"/>
        <v xml:space="preserve">LS </v>
      </c>
      <c r="D557" s="277" t="str">
        <f t="shared" si="272"/>
        <v>LGUM_427</v>
      </c>
      <c r="E557" s="614">
        <f t="shared" si="243"/>
        <v>53</v>
      </c>
      <c r="F557" s="615">
        <f t="shared" si="265"/>
        <v>0</v>
      </c>
      <c r="G557" s="614">
        <f t="shared" si="244"/>
        <v>1226</v>
      </c>
      <c r="H557" s="615">
        <v>0</v>
      </c>
      <c r="I557" s="283">
        <f t="shared" si="245"/>
        <v>35.199999999999996</v>
      </c>
      <c r="J557" s="283">
        <f t="shared" si="246"/>
        <v>0.75</v>
      </c>
      <c r="K557" s="285">
        <f t="shared" si="247"/>
        <v>1865.6</v>
      </c>
      <c r="L557" s="286">
        <f t="shared" si="248"/>
        <v>0</v>
      </c>
      <c r="M557" s="286">
        <v>0</v>
      </c>
      <c r="N557" s="285">
        <f t="shared" si="249"/>
        <v>1865.6</v>
      </c>
      <c r="O557" s="616">
        <f t="shared" si="269"/>
        <v>1865.6000000000001</v>
      </c>
      <c r="P557" s="289">
        <f t="shared" si="250"/>
        <v>1.0000000000000002</v>
      </c>
      <c r="Q557" s="290">
        <f t="shared" si="251"/>
        <v>-0.24</v>
      </c>
      <c r="R557" s="290">
        <f t="shared" si="252"/>
        <v>67.459999999999994</v>
      </c>
      <c r="S557" s="290">
        <f t="shared" si="253"/>
        <v>0</v>
      </c>
      <c r="T557" s="290">
        <f t="shared" si="254"/>
        <v>1983.68</v>
      </c>
      <c r="U557" s="291">
        <f t="shared" si="255"/>
        <v>1932.82</v>
      </c>
      <c r="V557" s="291">
        <f t="shared" si="259"/>
        <v>50.86</v>
      </c>
      <c r="W557" s="265">
        <f t="shared" si="256"/>
        <v>50.86</v>
      </c>
      <c r="X557" s="291">
        <f t="shared" si="260"/>
        <v>0</v>
      </c>
      <c r="Y557" s="170">
        <f t="shared" si="257"/>
        <v>39.75</v>
      </c>
      <c r="Z557" s="291">
        <f t="shared" si="258"/>
        <v>1825.8500000000001</v>
      </c>
      <c r="AC557" s="276">
        <f>IF(AI557=1,IF(AC556=MiscData!$F$1,EOMONTH(AC556,-11),EOMONTH(AC556,1)),AC556)</f>
        <v>41882</v>
      </c>
      <c r="AD557" s="275" t="str">
        <f t="shared" si="273"/>
        <v>20140101LGUM_427</v>
      </c>
      <c r="AE557" s="294" t="str">
        <f t="shared" si="274"/>
        <v xml:space="preserve">20140101LS </v>
      </c>
      <c r="AF557" s="618" t="str">
        <f t="shared" si="261"/>
        <v>427</v>
      </c>
      <c r="AH557" s="265">
        <f>MiscData!$X$5</f>
        <v>20140101</v>
      </c>
      <c r="AI557" s="265">
        <f>IF(AI556+1&gt;MiscData!$AC$77,1,AI556+1)</f>
        <v>43</v>
      </c>
      <c r="AJ557" s="265" t="str">
        <f>VLOOKUP(AI557,MiscData!$AC$5:$AD$77,2,FALSE)</f>
        <v>LGUM_427</v>
      </c>
      <c r="AK557" s="265" t="str">
        <f>VLOOKUP(AJ557,MiscData!$AD$5:$AE$77,2,FALSE)</f>
        <v xml:space="preserve">LS </v>
      </c>
      <c r="AT557" s="265" t="s">
        <v>192</v>
      </c>
      <c r="AV557" s="265">
        <v>0</v>
      </c>
    </row>
    <row r="558" spans="1:48">
      <c r="A558" s="275">
        <f t="shared" si="262"/>
        <v>555</v>
      </c>
      <c r="B558" s="276" t="str">
        <f t="shared" si="270"/>
        <v>Aug 2014</v>
      </c>
      <c r="C558" s="277" t="str">
        <f t="shared" si="271"/>
        <v>RLS</v>
      </c>
      <c r="D558" s="277" t="str">
        <f t="shared" si="272"/>
        <v>LGUM_428</v>
      </c>
      <c r="E558" s="614">
        <f t="shared" si="243"/>
        <v>221</v>
      </c>
      <c r="F558" s="615">
        <f t="shared" si="265"/>
        <v>0</v>
      </c>
      <c r="G558" s="614">
        <f t="shared" si="244"/>
        <v>7274</v>
      </c>
      <c r="H558" s="615">
        <v>0</v>
      </c>
      <c r="I558" s="283">
        <f t="shared" si="245"/>
        <v>34.090000000000003</v>
      </c>
      <c r="J558" s="283">
        <f t="shared" si="246"/>
        <v>1.0600000000000023</v>
      </c>
      <c r="K558" s="285">
        <f t="shared" si="247"/>
        <v>7533.89</v>
      </c>
      <c r="L558" s="286">
        <f t="shared" si="248"/>
        <v>0</v>
      </c>
      <c r="M558" s="286">
        <v>0</v>
      </c>
      <c r="N558" s="285">
        <f t="shared" si="249"/>
        <v>7533.89</v>
      </c>
      <c r="O558" s="616">
        <f t="shared" si="269"/>
        <v>7533.8899999999994</v>
      </c>
      <c r="P558" s="289">
        <f t="shared" si="250"/>
        <v>0.99999999999999989</v>
      </c>
      <c r="Q558" s="290">
        <f t="shared" si="251"/>
        <v>-1.38</v>
      </c>
      <c r="R558" s="290">
        <f t="shared" si="252"/>
        <v>274.52</v>
      </c>
      <c r="S558" s="290">
        <f t="shared" si="253"/>
        <v>0</v>
      </c>
      <c r="T558" s="290">
        <f t="shared" si="254"/>
        <v>8073.3</v>
      </c>
      <c r="U558" s="291">
        <f t="shared" si="255"/>
        <v>7807.0300000000007</v>
      </c>
      <c r="V558" s="291">
        <f t="shared" si="259"/>
        <v>266.27</v>
      </c>
      <c r="W558" s="265">
        <f t="shared" si="256"/>
        <v>266.27</v>
      </c>
      <c r="X558" s="291">
        <f t="shared" si="260"/>
        <v>0</v>
      </c>
      <c r="Y558" s="170">
        <f t="shared" si="257"/>
        <v>234.26</v>
      </c>
      <c r="Z558" s="291">
        <f t="shared" si="258"/>
        <v>7299.6299999999992</v>
      </c>
      <c r="AC558" s="276">
        <f>IF(AI558=1,IF(AC557=MiscData!$F$1,EOMONTH(AC557,-11),EOMONTH(AC557,1)),AC557)</f>
        <v>41882</v>
      </c>
      <c r="AD558" s="275" t="str">
        <f t="shared" si="273"/>
        <v>20140101LGUM_428</v>
      </c>
      <c r="AE558" s="294" t="str">
        <f t="shared" si="274"/>
        <v>20140101RLS</v>
      </c>
      <c r="AF558" s="618" t="str">
        <f t="shared" si="261"/>
        <v>428</v>
      </c>
      <c r="AH558" s="265">
        <f>MiscData!$X$5</f>
        <v>20140101</v>
      </c>
      <c r="AI558" s="265">
        <f>IF(AI557+1&gt;MiscData!$AC$77,1,AI557+1)</f>
        <v>44</v>
      </c>
      <c r="AJ558" s="265" t="str">
        <f>VLOOKUP(AI558,MiscData!$AC$5:$AD$77,2,FALSE)</f>
        <v>LGUM_428</v>
      </c>
      <c r="AK558" s="265" t="str">
        <f>VLOOKUP(AJ558,MiscData!$AD$5:$AE$77,2,FALSE)</f>
        <v>RLS</v>
      </c>
      <c r="AT558" s="265" t="s">
        <v>193</v>
      </c>
      <c r="AV558" s="265">
        <v>11.71</v>
      </c>
    </row>
    <row r="559" spans="1:48">
      <c r="A559" s="275">
        <f t="shared" si="262"/>
        <v>556</v>
      </c>
      <c r="B559" s="276" t="str">
        <f t="shared" si="270"/>
        <v>Aug 2014</v>
      </c>
      <c r="C559" s="277" t="str">
        <f t="shared" si="271"/>
        <v xml:space="preserve">LS </v>
      </c>
      <c r="D559" s="277" t="str">
        <f t="shared" si="272"/>
        <v>LGUM_429</v>
      </c>
      <c r="E559" s="614">
        <f t="shared" si="243"/>
        <v>223</v>
      </c>
      <c r="F559" s="615">
        <f t="shared" si="265"/>
        <v>0</v>
      </c>
      <c r="G559" s="614">
        <f t="shared" si="244"/>
        <v>7220</v>
      </c>
      <c r="H559" s="615">
        <v>0</v>
      </c>
      <c r="I559" s="283">
        <f t="shared" si="245"/>
        <v>36.07</v>
      </c>
      <c r="J559" s="283">
        <f t="shared" si="246"/>
        <v>1.0599999999999952</v>
      </c>
      <c r="K559" s="285">
        <f t="shared" si="247"/>
        <v>8043.61</v>
      </c>
      <c r="L559" s="286">
        <f t="shared" si="248"/>
        <v>-126.24000000000069</v>
      </c>
      <c r="M559" s="286">
        <v>0</v>
      </c>
      <c r="N559" s="285">
        <f t="shared" si="249"/>
        <v>7917.369999999999</v>
      </c>
      <c r="O559" s="616">
        <f t="shared" si="269"/>
        <v>7917.3700000000008</v>
      </c>
      <c r="P559" s="289">
        <f t="shared" si="250"/>
        <v>1.0000000000000002</v>
      </c>
      <c r="Q559" s="290">
        <f t="shared" si="251"/>
        <v>2.57</v>
      </c>
      <c r="R559" s="290">
        <f t="shared" si="252"/>
        <v>290.75</v>
      </c>
      <c r="S559" s="290">
        <f t="shared" si="253"/>
        <v>0</v>
      </c>
      <c r="T559" s="290">
        <f t="shared" si="254"/>
        <v>8821.34</v>
      </c>
      <c r="U559" s="291">
        <f t="shared" si="255"/>
        <v>8210.6899999999987</v>
      </c>
      <c r="V559" s="291">
        <f t="shared" si="259"/>
        <v>610.65</v>
      </c>
      <c r="W559" s="265">
        <f t="shared" si="256"/>
        <v>610.65</v>
      </c>
      <c r="X559" s="291">
        <f t="shared" si="260"/>
        <v>0</v>
      </c>
      <c r="Y559" s="170">
        <f t="shared" si="257"/>
        <v>236.38</v>
      </c>
      <c r="Z559" s="291">
        <f t="shared" si="258"/>
        <v>7680.9900000000007</v>
      </c>
      <c r="AC559" s="276">
        <f>IF(AI559=1,IF(AC558=MiscData!$F$1,EOMONTH(AC558,-11),EOMONTH(AC558,1)),AC558)</f>
        <v>41882</v>
      </c>
      <c r="AD559" s="275" t="str">
        <f t="shared" si="273"/>
        <v>20140101LGUM_429</v>
      </c>
      <c r="AE559" s="294" t="str">
        <f t="shared" si="274"/>
        <v xml:space="preserve">20140101LS </v>
      </c>
      <c r="AF559" s="618" t="str">
        <f t="shared" si="261"/>
        <v>429</v>
      </c>
      <c r="AH559" s="265">
        <f>MiscData!$X$5</f>
        <v>20140101</v>
      </c>
      <c r="AI559" s="265">
        <f>IF(AI558+1&gt;MiscData!$AC$77,1,AI558+1)</f>
        <v>45</v>
      </c>
      <c r="AJ559" s="265" t="str">
        <f>VLOOKUP(AI559,MiscData!$AC$5:$AD$77,2,FALSE)</f>
        <v>LGUM_429</v>
      </c>
      <c r="AK559" s="265" t="str">
        <f>VLOOKUP(AJ559,MiscData!$AD$5:$AE$77,2,FALSE)</f>
        <v xml:space="preserve">LS </v>
      </c>
      <c r="AT559" s="265" t="s">
        <v>194</v>
      </c>
      <c r="AV559" s="265">
        <v>0</v>
      </c>
    </row>
    <row r="560" spans="1:48">
      <c r="A560" s="275">
        <f t="shared" si="262"/>
        <v>557</v>
      </c>
      <c r="B560" s="276" t="str">
        <f t="shared" si="270"/>
        <v>Aug 2014</v>
      </c>
      <c r="C560" s="277" t="str">
        <f t="shared" si="271"/>
        <v>RLS</v>
      </c>
      <c r="D560" s="277" t="str">
        <f t="shared" si="272"/>
        <v>LGUM_430</v>
      </c>
      <c r="E560" s="614">
        <f t="shared" si="243"/>
        <v>13</v>
      </c>
      <c r="F560" s="615">
        <f t="shared" si="265"/>
        <v>0</v>
      </c>
      <c r="G560" s="614">
        <f t="shared" si="244"/>
        <v>299</v>
      </c>
      <c r="H560" s="615">
        <v>0</v>
      </c>
      <c r="I560" s="283">
        <f t="shared" si="245"/>
        <v>32.26</v>
      </c>
      <c r="J560" s="283">
        <f t="shared" si="246"/>
        <v>0.75</v>
      </c>
      <c r="K560" s="285">
        <f t="shared" si="247"/>
        <v>419.38</v>
      </c>
      <c r="L560" s="286">
        <f t="shared" si="248"/>
        <v>0</v>
      </c>
      <c r="M560" s="286">
        <v>0</v>
      </c>
      <c r="N560" s="285">
        <f t="shared" si="249"/>
        <v>419.38</v>
      </c>
      <c r="O560" s="616">
        <f t="shared" si="269"/>
        <v>419.38</v>
      </c>
      <c r="P560" s="289">
        <f t="shared" si="250"/>
        <v>1</v>
      </c>
      <c r="Q560" s="290">
        <f t="shared" si="251"/>
        <v>-0.05</v>
      </c>
      <c r="R560" s="290">
        <f t="shared" si="252"/>
        <v>14.77</v>
      </c>
      <c r="S560" s="290">
        <f t="shared" si="253"/>
        <v>0</v>
      </c>
      <c r="T560" s="290">
        <f t="shared" si="254"/>
        <v>434.1</v>
      </c>
      <c r="U560" s="291">
        <f t="shared" si="255"/>
        <v>434.09999999999997</v>
      </c>
      <c r="V560" s="291">
        <f t="shared" si="259"/>
        <v>0</v>
      </c>
      <c r="W560" s="265">
        <f t="shared" si="256"/>
        <v>0</v>
      </c>
      <c r="X560" s="291">
        <f t="shared" si="260"/>
        <v>0</v>
      </c>
      <c r="Y560" s="170">
        <f t="shared" si="257"/>
        <v>9.75</v>
      </c>
      <c r="Z560" s="291">
        <f t="shared" si="258"/>
        <v>409.63</v>
      </c>
      <c r="AC560" s="276">
        <f>IF(AI560=1,IF(AC559=MiscData!$F$1,EOMONTH(AC559,-11),EOMONTH(AC559,1)),AC559)</f>
        <v>41882</v>
      </c>
      <c r="AD560" s="275" t="str">
        <f t="shared" si="273"/>
        <v>20140101LGUM_430</v>
      </c>
      <c r="AE560" s="294" t="str">
        <f t="shared" si="274"/>
        <v>20140101RLS</v>
      </c>
      <c r="AF560" s="618" t="str">
        <f t="shared" si="261"/>
        <v>430</v>
      </c>
      <c r="AH560" s="265">
        <f>MiscData!$X$5</f>
        <v>20140101</v>
      </c>
      <c r="AI560" s="265">
        <f>IF(AI559+1&gt;MiscData!$AC$77,1,AI559+1)</f>
        <v>46</v>
      </c>
      <c r="AJ560" s="265" t="str">
        <f>VLOOKUP(AI560,MiscData!$AC$5:$AD$77,2,FALSE)</f>
        <v>LGUM_430</v>
      </c>
      <c r="AK560" s="265" t="str">
        <f>VLOOKUP(AJ560,MiscData!$AD$5:$AE$77,2,FALSE)</f>
        <v>RLS</v>
      </c>
      <c r="AT560" s="265" t="s">
        <v>553</v>
      </c>
      <c r="AV560" s="265">
        <v>0</v>
      </c>
    </row>
    <row r="561" spans="1:48">
      <c r="A561" s="275">
        <f t="shared" si="262"/>
        <v>558</v>
      </c>
      <c r="B561" s="276" t="str">
        <f t="shared" si="270"/>
        <v>Aug 2014</v>
      </c>
      <c r="C561" s="277" t="str">
        <f t="shared" si="271"/>
        <v xml:space="preserve">LS </v>
      </c>
      <c r="D561" s="277" t="str">
        <f t="shared" si="272"/>
        <v>LGUM_431</v>
      </c>
      <c r="E561" s="614">
        <f t="shared" si="243"/>
        <v>45</v>
      </c>
      <c r="F561" s="615">
        <f t="shared" si="265"/>
        <v>0</v>
      </c>
      <c r="G561" s="614">
        <f t="shared" si="244"/>
        <v>987</v>
      </c>
      <c r="H561" s="615">
        <v>0</v>
      </c>
      <c r="I561" s="283">
        <f t="shared" si="245"/>
        <v>32.93</v>
      </c>
      <c r="J561" s="283">
        <f t="shared" si="246"/>
        <v>0.75</v>
      </c>
      <c r="K561" s="285">
        <f t="shared" si="247"/>
        <v>1481.85</v>
      </c>
      <c r="L561" s="286">
        <f t="shared" si="248"/>
        <v>0</v>
      </c>
      <c r="M561" s="286">
        <v>0</v>
      </c>
      <c r="N561" s="285">
        <f t="shared" si="249"/>
        <v>1481.85</v>
      </c>
      <c r="O561" s="616">
        <f t="shared" si="269"/>
        <v>1481.8500000000001</v>
      </c>
      <c r="P561" s="289">
        <f t="shared" si="250"/>
        <v>1.0000000000000002</v>
      </c>
      <c r="Q561" s="290">
        <f t="shared" si="251"/>
        <v>-0.18</v>
      </c>
      <c r="R561" s="290">
        <f t="shared" si="252"/>
        <v>57.99</v>
      </c>
      <c r="S561" s="290">
        <f t="shared" si="253"/>
        <v>0</v>
      </c>
      <c r="T561" s="290">
        <f t="shared" si="254"/>
        <v>1705.64</v>
      </c>
      <c r="U561" s="291">
        <f t="shared" si="255"/>
        <v>1539.6599999999999</v>
      </c>
      <c r="V561" s="291">
        <f t="shared" si="259"/>
        <v>165.98</v>
      </c>
      <c r="W561" s="265">
        <f t="shared" si="256"/>
        <v>165.98</v>
      </c>
      <c r="X561" s="291">
        <f t="shared" si="260"/>
        <v>0</v>
      </c>
      <c r="Y561" s="170">
        <f t="shared" si="257"/>
        <v>33.75</v>
      </c>
      <c r="Z561" s="291">
        <f t="shared" si="258"/>
        <v>1448.1000000000001</v>
      </c>
      <c r="AC561" s="276">
        <f>IF(AI561=1,IF(AC560=MiscData!$F$1,EOMONTH(AC560,-11),EOMONTH(AC560,1)),AC560)</f>
        <v>41882</v>
      </c>
      <c r="AD561" s="275" t="str">
        <f t="shared" si="273"/>
        <v>20140101LGUM_431</v>
      </c>
      <c r="AE561" s="294" t="str">
        <f t="shared" si="274"/>
        <v xml:space="preserve">20140101LS </v>
      </c>
      <c r="AF561" s="618" t="str">
        <f t="shared" si="261"/>
        <v>431</v>
      </c>
      <c r="AH561" s="265">
        <f>MiscData!$X$5</f>
        <v>20140101</v>
      </c>
      <c r="AI561" s="265">
        <f>IF(AI560+1&gt;MiscData!$AC$77,1,AI560+1)</f>
        <v>47</v>
      </c>
      <c r="AJ561" s="265" t="str">
        <f>VLOOKUP(AI561,MiscData!$AC$5:$AD$77,2,FALSE)</f>
        <v>LGUM_431</v>
      </c>
      <c r="AK561" s="265" t="str">
        <f>VLOOKUP(AJ561,MiscData!$AD$5:$AE$77,2,FALSE)</f>
        <v xml:space="preserve">LS </v>
      </c>
      <c r="AT561" s="265" t="s">
        <v>555</v>
      </c>
      <c r="AV561" s="265">
        <v>0</v>
      </c>
    </row>
    <row r="562" spans="1:48">
      <c r="A562" s="275">
        <f t="shared" si="262"/>
        <v>559</v>
      </c>
      <c r="B562" s="276" t="str">
        <f t="shared" si="270"/>
        <v>Aug 2014</v>
      </c>
      <c r="C562" s="277" t="str">
        <f t="shared" si="271"/>
        <v>RLS</v>
      </c>
      <c r="D562" s="277" t="str">
        <f t="shared" si="272"/>
        <v>LGUM_432</v>
      </c>
      <c r="E562" s="614">
        <f t="shared" si="243"/>
        <v>10</v>
      </c>
      <c r="F562" s="615">
        <f t="shared" si="265"/>
        <v>0</v>
      </c>
      <c r="G562" s="614">
        <f t="shared" si="244"/>
        <v>306</v>
      </c>
      <c r="H562" s="615">
        <v>0</v>
      </c>
      <c r="I562" s="283">
        <f t="shared" si="245"/>
        <v>34.330000000000005</v>
      </c>
      <c r="J562" s="283">
        <f t="shared" si="246"/>
        <v>1.0600000000000023</v>
      </c>
      <c r="K562" s="285">
        <f t="shared" si="247"/>
        <v>343.3</v>
      </c>
      <c r="L562" s="286">
        <f t="shared" si="248"/>
        <v>0</v>
      </c>
      <c r="M562" s="286">
        <v>0</v>
      </c>
      <c r="N562" s="285">
        <f t="shared" si="249"/>
        <v>343.3</v>
      </c>
      <c r="O562" s="616">
        <f t="shared" si="269"/>
        <v>343.3</v>
      </c>
      <c r="P562" s="289">
        <f t="shared" si="250"/>
        <v>1</v>
      </c>
      <c r="Q562" s="290">
        <f t="shared" si="251"/>
        <v>-0.06</v>
      </c>
      <c r="R562" s="290">
        <f t="shared" si="252"/>
        <v>12.2</v>
      </c>
      <c r="S562" s="290">
        <f t="shared" si="253"/>
        <v>0</v>
      </c>
      <c r="T562" s="290">
        <f t="shared" si="254"/>
        <v>358.91</v>
      </c>
      <c r="U562" s="291">
        <f t="shared" si="255"/>
        <v>355.44</v>
      </c>
      <c r="V562" s="291">
        <f t="shared" si="259"/>
        <v>3.47</v>
      </c>
      <c r="W562" s="265">
        <f t="shared" si="256"/>
        <v>3.47</v>
      </c>
      <c r="X562" s="291">
        <f t="shared" si="260"/>
        <v>0</v>
      </c>
      <c r="Y562" s="170">
        <f t="shared" si="257"/>
        <v>10.6</v>
      </c>
      <c r="Z562" s="291">
        <f t="shared" si="258"/>
        <v>332.7</v>
      </c>
      <c r="AC562" s="276">
        <f>IF(AI562=1,IF(AC561=MiscData!$F$1,EOMONTH(AC561,-11),EOMONTH(AC561,1)),AC561)</f>
        <v>41882</v>
      </c>
      <c r="AD562" s="275" t="str">
        <f t="shared" si="273"/>
        <v>20140101LGUM_432</v>
      </c>
      <c r="AE562" s="294" t="str">
        <f t="shared" si="274"/>
        <v>20140101RLS</v>
      </c>
      <c r="AF562" s="618" t="str">
        <f t="shared" si="261"/>
        <v>432</v>
      </c>
      <c r="AH562" s="265">
        <f>MiscData!$X$5</f>
        <v>20140101</v>
      </c>
      <c r="AI562" s="265">
        <f>IF(AI561+1&gt;MiscData!$AC$77,1,AI561+1)</f>
        <v>48</v>
      </c>
      <c r="AJ562" s="265" t="str">
        <f>VLOOKUP(AI562,MiscData!$AC$5:$AD$77,2,FALSE)</f>
        <v>LGUM_432</v>
      </c>
      <c r="AK562" s="265" t="str">
        <f>VLOOKUP(AJ562,MiscData!$AD$5:$AE$77,2,FALSE)</f>
        <v>RLS</v>
      </c>
      <c r="AT562" s="265" t="s">
        <v>557</v>
      </c>
      <c r="AV562" s="265">
        <v>0</v>
      </c>
    </row>
    <row r="563" spans="1:48">
      <c r="A563" s="275">
        <f t="shared" si="262"/>
        <v>560</v>
      </c>
      <c r="B563" s="276" t="str">
        <f t="shared" si="270"/>
        <v>Aug 2014</v>
      </c>
      <c r="C563" s="277" t="str">
        <f t="shared" si="271"/>
        <v xml:space="preserve">LS </v>
      </c>
      <c r="D563" s="277" t="str">
        <f t="shared" si="272"/>
        <v>LGUM_433</v>
      </c>
      <c r="E563" s="614">
        <f t="shared" si="243"/>
        <v>195</v>
      </c>
      <c r="F563" s="615">
        <f t="shared" si="265"/>
        <v>0</v>
      </c>
      <c r="G563" s="614">
        <f t="shared" si="244"/>
        <v>6258</v>
      </c>
      <c r="H563" s="615">
        <v>0</v>
      </c>
      <c r="I563" s="283">
        <f t="shared" si="245"/>
        <v>34.99</v>
      </c>
      <c r="J563" s="283">
        <f t="shared" si="246"/>
        <v>1.0600000000000023</v>
      </c>
      <c r="K563" s="285">
        <f t="shared" si="247"/>
        <v>6823.05</v>
      </c>
      <c r="L563" s="286">
        <f t="shared" si="248"/>
        <v>0</v>
      </c>
      <c r="M563" s="286">
        <v>0</v>
      </c>
      <c r="N563" s="285">
        <f t="shared" si="249"/>
        <v>6823.05</v>
      </c>
      <c r="O563" s="616">
        <f t="shared" si="269"/>
        <v>6823.05</v>
      </c>
      <c r="P563" s="289">
        <f t="shared" si="250"/>
        <v>1</v>
      </c>
      <c r="Q563" s="290">
        <f t="shared" si="251"/>
        <v>-0.96</v>
      </c>
      <c r="R563" s="290">
        <f t="shared" si="252"/>
        <v>272.41000000000003</v>
      </c>
      <c r="S563" s="290">
        <f t="shared" si="253"/>
        <v>0</v>
      </c>
      <c r="T563" s="290">
        <f t="shared" si="254"/>
        <v>8027.19</v>
      </c>
      <c r="U563" s="291">
        <f t="shared" si="255"/>
        <v>7094.5</v>
      </c>
      <c r="V563" s="291">
        <f t="shared" si="259"/>
        <v>932.69</v>
      </c>
      <c r="W563" s="265">
        <f t="shared" si="256"/>
        <v>932.69</v>
      </c>
      <c r="X563" s="291">
        <f t="shared" si="260"/>
        <v>0</v>
      </c>
      <c r="Y563" s="170">
        <f t="shared" si="257"/>
        <v>206.7</v>
      </c>
      <c r="Z563" s="291">
        <f t="shared" si="258"/>
        <v>6616.35</v>
      </c>
      <c r="AC563" s="276">
        <f>IF(AI563=1,IF(AC562=MiscData!$F$1,EOMONTH(AC562,-11),EOMONTH(AC562,1)),AC562)</f>
        <v>41882</v>
      </c>
      <c r="AD563" s="275" t="str">
        <f t="shared" si="273"/>
        <v>20140101LGUM_433</v>
      </c>
      <c r="AE563" s="294" t="str">
        <f t="shared" si="274"/>
        <v xml:space="preserve">20140101LS </v>
      </c>
      <c r="AF563" s="618" t="str">
        <f t="shared" si="261"/>
        <v>433</v>
      </c>
      <c r="AH563" s="265">
        <f>MiscData!$X$5</f>
        <v>20140101</v>
      </c>
      <c r="AI563" s="265">
        <f>IF(AI562+1&gt;MiscData!$AC$77,1,AI562+1)</f>
        <v>49</v>
      </c>
      <c r="AJ563" s="265" t="str">
        <f>VLOOKUP(AI563,MiscData!$AC$5:$AD$77,2,FALSE)</f>
        <v>LGUM_433</v>
      </c>
      <c r="AK563" s="265" t="str">
        <f>VLOOKUP(AJ563,MiscData!$AD$5:$AE$77,2,FALSE)</f>
        <v xml:space="preserve">LS </v>
      </c>
      <c r="AT563" s="265" t="s">
        <v>375</v>
      </c>
      <c r="AV563" s="265">
        <v>0</v>
      </c>
    </row>
    <row r="564" spans="1:48">
      <c r="A564" s="275">
        <f t="shared" si="262"/>
        <v>561</v>
      </c>
      <c r="B564" s="276" t="str">
        <f t="shared" si="270"/>
        <v>Aug 2014</v>
      </c>
      <c r="C564" s="277" t="str">
        <f t="shared" si="271"/>
        <v xml:space="preserve">LS </v>
      </c>
      <c r="D564" s="277" t="str">
        <f t="shared" si="272"/>
        <v>LGUM_439</v>
      </c>
      <c r="E564" s="614">
        <f t="shared" si="243"/>
        <v>0</v>
      </c>
      <c r="F564" s="615">
        <f t="shared" si="265"/>
        <v>0</v>
      </c>
      <c r="G564" s="614">
        <f t="shared" si="244"/>
        <v>0</v>
      </c>
      <c r="H564" s="615">
        <v>0</v>
      </c>
      <c r="I564" s="283">
        <f t="shared" si="245"/>
        <v>16.459999999999997</v>
      </c>
      <c r="J564" s="283">
        <f t="shared" si="246"/>
        <v>1.6499999999999986</v>
      </c>
      <c r="K564" s="285">
        <f t="shared" si="247"/>
        <v>0</v>
      </c>
      <c r="L564" s="286">
        <f t="shared" si="248"/>
        <v>0</v>
      </c>
      <c r="M564" s="286">
        <v>0</v>
      </c>
      <c r="N564" s="285">
        <f t="shared" si="249"/>
        <v>0</v>
      </c>
      <c r="O564" s="616">
        <f t="shared" si="269"/>
        <v>0</v>
      </c>
      <c r="P564" s="289">
        <f t="shared" si="250"/>
        <v>1</v>
      </c>
      <c r="Q564" s="290">
        <f t="shared" si="251"/>
        <v>0</v>
      </c>
      <c r="R564" s="290">
        <f t="shared" si="252"/>
        <v>0</v>
      </c>
      <c r="S564" s="290">
        <f t="shared" si="253"/>
        <v>0</v>
      </c>
      <c r="T564" s="290">
        <f t="shared" si="254"/>
        <v>0</v>
      </c>
      <c r="U564" s="291">
        <f t="shared" si="255"/>
        <v>0</v>
      </c>
      <c r="V564" s="291">
        <f t="shared" si="259"/>
        <v>0</v>
      </c>
      <c r="W564" s="265">
        <f t="shared" si="256"/>
        <v>0</v>
      </c>
      <c r="X564" s="291">
        <f t="shared" si="260"/>
        <v>0</v>
      </c>
      <c r="Y564" s="170">
        <f t="shared" si="257"/>
        <v>0</v>
      </c>
      <c r="Z564" s="291">
        <f t="shared" si="258"/>
        <v>0</v>
      </c>
      <c r="AC564" s="276">
        <f>IF(AI564=1,IF(AC563=MiscData!$F$1,EOMONTH(AC563,-11),EOMONTH(AC563,1)),AC563)</f>
        <v>41882</v>
      </c>
      <c r="AD564" s="275" t="str">
        <f t="shared" si="273"/>
        <v>20140101LGUM_439</v>
      </c>
      <c r="AE564" s="294" t="str">
        <f t="shared" si="274"/>
        <v xml:space="preserve">20140101LS </v>
      </c>
      <c r="AF564" s="618" t="str">
        <f t="shared" si="261"/>
        <v>439</v>
      </c>
      <c r="AH564" s="265">
        <f>MiscData!$X$5</f>
        <v>20140101</v>
      </c>
      <c r="AI564" s="265">
        <f>IF(AI563+1&gt;MiscData!$AC$77,1,AI563+1)</f>
        <v>50</v>
      </c>
      <c r="AJ564" s="265" t="str">
        <f>VLOOKUP(AI564,MiscData!$AC$5:$AD$77,2,FALSE)</f>
        <v>LGUM_439</v>
      </c>
      <c r="AK564" s="265" t="str">
        <f>VLOOKUP(AJ564,MiscData!$AD$5:$AE$77,2,FALSE)</f>
        <v xml:space="preserve">LS </v>
      </c>
      <c r="AT564" s="265" t="s">
        <v>195</v>
      </c>
      <c r="AV564" s="265">
        <v>0</v>
      </c>
    </row>
    <row r="565" spans="1:48">
      <c r="A565" s="275">
        <f t="shared" si="262"/>
        <v>562</v>
      </c>
      <c r="B565" s="276" t="str">
        <f t="shared" si="270"/>
        <v>Aug 2014</v>
      </c>
      <c r="C565" s="277" t="str">
        <f t="shared" si="271"/>
        <v xml:space="preserve">LS </v>
      </c>
      <c r="D565" s="277" t="str">
        <f t="shared" si="272"/>
        <v>LGUM_440</v>
      </c>
      <c r="E565" s="614">
        <f t="shared" si="243"/>
        <v>2</v>
      </c>
      <c r="F565" s="615">
        <f t="shared" si="265"/>
        <v>0</v>
      </c>
      <c r="G565" s="614">
        <f t="shared" si="244"/>
        <v>158</v>
      </c>
      <c r="H565" s="615">
        <v>0</v>
      </c>
      <c r="I565" s="283">
        <f t="shared" si="245"/>
        <v>18.279999999999998</v>
      </c>
      <c r="J565" s="283">
        <f t="shared" si="246"/>
        <v>2.67</v>
      </c>
      <c r="K565" s="285">
        <f t="shared" si="247"/>
        <v>36.56</v>
      </c>
      <c r="L565" s="286">
        <f t="shared" si="248"/>
        <v>0</v>
      </c>
      <c r="M565" s="286">
        <v>0</v>
      </c>
      <c r="N565" s="285">
        <f t="shared" si="249"/>
        <v>36.56</v>
      </c>
      <c r="O565" s="616">
        <f t="shared" si="269"/>
        <v>36.56</v>
      </c>
      <c r="P565" s="289">
        <f t="shared" si="250"/>
        <v>1</v>
      </c>
      <c r="Q565" s="290">
        <f t="shared" si="251"/>
        <v>-0.03</v>
      </c>
      <c r="R565" s="290">
        <f t="shared" si="252"/>
        <v>1.28</v>
      </c>
      <c r="S565" s="290">
        <f t="shared" si="253"/>
        <v>0</v>
      </c>
      <c r="T565" s="290">
        <f t="shared" si="254"/>
        <v>37.81</v>
      </c>
      <c r="U565" s="291">
        <f t="shared" si="255"/>
        <v>37.81</v>
      </c>
      <c r="V565" s="291">
        <f t="shared" si="259"/>
        <v>0</v>
      </c>
      <c r="W565" s="265">
        <f t="shared" si="256"/>
        <v>0</v>
      </c>
      <c r="X565" s="291">
        <f t="shared" si="260"/>
        <v>0</v>
      </c>
      <c r="Y565" s="170">
        <f t="shared" si="257"/>
        <v>5.34</v>
      </c>
      <c r="Z565" s="291">
        <f t="shared" si="258"/>
        <v>31.220000000000002</v>
      </c>
      <c r="AC565" s="276">
        <f>IF(AI565=1,IF(AC564=MiscData!$F$1,EOMONTH(AC564,-11),EOMONTH(AC564,1)),AC564)</f>
        <v>41882</v>
      </c>
      <c r="AD565" s="275" t="str">
        <f t="shared" si="273"/>
        <v>20140101LGUM_440</v>
      </c>
      <c r="AE565" s="294" t="str">
        <f t="shared" si="274"/>
        <v xml:space="preserve">20140101LS </v>
      </c>
      <c r="AF565" s="618" t="str">
        <f t="shared" si="261"/>
        <v>440</v>
      </c>
      <c r="AH565" s="265">
        <f>MiscData!$X$5</f>
        <v>20140101</v>
      </c>
      <c r="AI565" s="265">
        <f>IF(AI564+1&gt;MiscData!$AC$77,1,AI564+1)</f>
        <v>51</v>
      </c>
      <c r="AJ565" s="265" t="str">
        <f>VLOOKUP(AI565,MiscData!$AC$5:$AD$77,2,FALSE)</f>
        <v>LGUM_440</v>
      </c>
      <c r="AK565" s="265" t="str">
        <f>VLOOKUP(AJ565,MiscData!$AD$5:$AE$77,2,FALSE)</f>
        <v xml:space="preserve">LS </v>
      </c>
      <c r="AT565" s="265" t="s">
        <v>561</v>
      </c>
      <c r="AV565" s="265">
        <v>0</v>
      </c>
    </row>
    <row r="566" spans="1:48">
      <c r="A566" s="275">
        <f t="shared" si="262"/>
        <v>563</v>
      </c>
      <c r="B566" s="276" t="str">
        <f t="shared" si="270"/>
        <v>Aug 2014</v>
      </c>
      <c r="C566" s="277" t="str">
        <f t="shared" si="271"/>
        <v xml:space="preserve">LS </v>
      </c>
      <c r="D566" s="277" t="str">
        <f t="shared" si="272"/>
        <v>LGUM_441</v>
      </c>
      <c r="E566" s="614">
        <f t="shared" si="243"/>
        <v>19</v>
      </c>
      <c r="F566" s="615">
        <f t="shared" si="265"/>
        <v>0</v>
      </c>
      <c r="G566" s="614">
        <f t="shared" si="244"/>
        <v>2493</v>
      </c>
      <c r="H566" s="615">
        <v>0</v>
      </c>
      <c r="I566" s="283">
        <f t="shared" si="245"/>
        <v>22.32</v>
      </c>
      <c r="J566" s="283">
        <f t="shared" si="246"/>
        <v>4.2800000000000011</v>
      </c>
      <c r="K566" s="285">
        <f t="shared" si="247"/>
        <v>424.08</v>
      </c>
      <c r="L566" s="286">
        <f t="shared" si="248"/>
        <v>0</v>
      </c>
      <c r="M566" s="286">
        <v>0</v>
      </c>
      <c r="N566" s="285">
        <f t="shared" si="249"/>
        <v>424.08</v>
      </c>
      <c r="O566" s="616">
        <f t="shared" si="269"/>
        <v>424.08</v>
      </c>
      <c r="P566" s="289">
        <f t="shared" si="250"/>
        <v>1</v>
      </c>
      <c r="Q566" s="290">
        <f t="shared" si="251"/>
        <v>-0.27</v>
      </c>
      <c r="R566" s="290">
        <f t="shared" si="252"/>
        <v>14.81</v>
      </c>
      <c r="S566" s="290">
        <f t="shared" si="253"/>
        <v>0</v>
      </c>
      <c r="T566" s="290">
        <f t="shared" si="254"/>
        <v>438.62</v>
      </c>
      <c r="U566" s="291">
        <f t="shared" si="255"/>
        <v>438.62</v>
      </c>
      <c r="V566" s="291">
        <f t="shared" si="259"/>
        <v>0</v>
      </c>
      <c r="W566" s="265">
        <f t="shared" si="256"/>
        <v>0</v>
      </c>
      <c r="X566" s="291">
        <f t="shared" si="260"/>
        <v>0</v>
      </c>
      <c r="Y566" s="170">
        <f t="shared" si="257"/>
        <v>81.319999999999993</v>
      </c>
      <c r="Z566" s="291">
        <f t="shared" si="258"/>
        <v>342.76</v>
      </c>
      <c r="AC566" s="276">
        <f>IF(AI566=1,IF(AC565=MiscData!$F$1,EOMONTH(AC565,-11),EOMONTH(AC565,1)),AC565)</f>
        <v>41882</v>
      </c>
      <c r="AD566" s="275" t="str">
        <f t="shared" si="273"/>
        <v>20140101LGUM_441</v>
      </c>
      <c r="AE566" s="294" t="str">
        <f t="shared" si="274"/>
        <v xml:space="preserve">20140101LS </v>
      </c>
      <c r="AF566" s="618" t="str">
        <f t="shared" si="261"/>
        <v>441</v>
      </c>
      <c r="AH566" s="265">
        <f>MiscData!$X$5</f>
        <v>20140101</v>
      </c>
      <c r="AI566" s="265">
        <f>IF(AI565+1&gt;MiscData!$AC$77,1,AI565+1)</f>
        <v>52</v>
      </c>
      <c r="AJ566" s="265" t="str">
        <f>VLOOKUP(AI566,MiscData!$AC$5:$AD$77,2,FALSE)</f>
        <v>LGUM_441</v>
      </c>
      <c r="AK566" s="265" t="str">
        <f>VLOOKUP(AJ566,MiscData!$AD$5:$AE$77,2,FALSE)</f>
        <v xml:space="preserve">LS </v>
      </c>
      <c r="AT566" s="265" t="s">
        <v>196</v>
      </c>
      <c r="AV566" s="265">
        <v>0</v>
      </c>
    </row>
    <row r="567" spans="1:48">
      <c r="A567" s="275">
        <f t="shared" si="262"/>
        <v>564</v>
      </c>
      <c r="B567" s="276" t="str">
        <f t="shared" si="270"/>
        <v>Aug 2014</v>
      </c>
      <c r="C567" s="277" t="str">
        <f t="shared" si="271"/>
        <v xml:space="preserve">LS </v>
      </c>
      <c r="D567" s="277" t="str">
        <f t="shared" si="272"/>
        <v>LGUM_452</v>
      </c>
      <c r="E567" s="614">
        <f t="shared" si="243"/>
        <v>6594</v>
      </c>
      <c r="F567" s="615">
        <f t="shared" si="265"/>
        <v>0</v>
      </c>
      <c r="G567" s="614">
        <f t="shared" si="244"/>
        <v>327093</v>
      </c>
      <c r="H567" s="615">
        <v>0</v>
      </c>
      <c r="I567" s="283">
        <f t="shared" si="245"/>
        <v>12.82</v>
      </c>
      <c r="J567" s="283">
        <f t="shared" si="246"/>
        <v>1.6500000000000004</v>
      </c>
      <c r="K567" s="285">
        <f t="shared" si="247"/>
        <v>84535.08</v>
      </c>
      <c r="L567" s="286">
        <f t="shared" si="248"/>
        <v>31.03999999999769</v>
      </c>
      <c r="M567" s="286">
        <v>0</v>
      </c>
      <c r="N567" s="285">
        <f t="shared" si="249"/>
        <v>84566.12</v>
      </c>
      <c r="O567" s="616">
        <f t="shared" si="269"/>
        <v>84566.12</v>
      </c>
      <c r="P567" s="289">
        <f t="shared" si="250"/>
        <v>1</v>
      </c>
      <c r="Q567" s="290">
        <f t="shared" si="251"/>
        <v>-61.73</v>
      </c>
      <c r="R567" s="290">
        <f t="shared" si="252"/>
        <v>3010.58</v>
      </c>
      <c r="S567" s="290">
        <f t="shared" si="253"/>
        <v>0</v>
      </c>
      <c r="T567" s="290">
        <f t="shared" si="254"/>
        <v>88627.14</v>
      </c>
      <c r="U567" s="291">
        <f t="shared" si="255"/>
        <v>87514.97</v>
      </c>
      <c r="V567" s="291">
        <f t="shared" si="259"/>
        <v>1112.17</v>
      </c>
      <c r="W567" s="265">
        <f t="shared" si="256"/>
        <v>1112.17</v>
      </c>
      <c r="X567" s="291">
        <f t="shared" si="260"/>
        <v>0</v>
      </c>
      <c r="Y567" s="170">
        <f t="shared" si="257"/>
        <v>10880.1</v>
      </c>
      <c r="Z567" s="291">
        <f t="shared" si="258"/>
        <v>73686.01999999999</v>
      </c>
      <c r="AC567" s="276">
        <f>IF(AI567=1,IF(AC566=MiscData!$F$1,EOMONTH(AC566,-11),EOMONTH(AC566,1)),AC566)</f>
        <v>41882</v>
      </c>
      <c r="AD567" s="275" t="str">
        <f t="shared" si="273"/>
        <v>20140101LGUM_452</v>
      </c>
      <c r="AE567" s="294" t="str">
        <f t="shared" si="274"/>
        <v xml:space="preserve">20140101LS </v>
      </c>
      <c r="AF567" s="618" t="str">
        <f t="shared" si="261"/>
        <v>452</v>
      </c>
      <c r="AH567" s="265">
        <f>MiscData!$X$5</f>
        <v>20140101</v>
      </c>
      <c r="AI567" s="265">
        <f>IF(AI566+1&gt;MiscData!$AC$77,1,AI566+1)</f>
        <v>53</v>
      </c>
      <c r="AJ567" s="265" t="str">
        <f>VLOOKUP(AI567,MiscData!$AC$5:$AD$77,2,FALSE)</f>
        <v>LGUM_452</v>
      </c>
      <c r="AK567" s="265" t="str">
        <f>VLOOKUP(AJ567,MiscData!$AD$5:$AE$77,2,FALSE)</f>
        <v xml:space="preserve">LS </v>
      </c>
      <c r="AT567" s="265" t="s">
        <v>197</v>
      </c>
      <c r="AV567" s="265">
        <v>79.03</v>
      </c>
    </row>
    <row r="568" spans="1:48">
      <c r="A568" s="275">
        <f t="shared" si="262"/>
        <v>565</v>
      </c>
      <c r="B568" s="276" t="str">
        <f t="shared" si="270"/>
        <v>Aug 2014</v>
      </c>
      <c r="C568" s="277" t="str">
        <f t="shared" si="271"/>
        <v xml:space="preserve">LS </v>
      </c>
      <c r="D568" s="277" t="str">
        <f t="shared" si="272"/>
        <v>LGUM_453</v>
      </c>
      <c r="E568" s="614">
        <f t="shared" si="243"/>
        <v>9440</v>
      </c>
      <c r="F568" s="615">
        <f t="shared" si="265"/>
        <v>0</v>
      </c>
      <c r="G568" s="614">
        <f t="shared" si="244"/>
        <v>767659</v>
      </c>
      <c r="H568" s="615">
        <v>0</v>
      </c>
      <c r="I568" s="283">
        <f t="shared" si="245"/>
        <v>15.08</v>
      </c>
      <c r="J568" s="283">
        <f t="shared" si="246"/>
        <v>3.9800000000000004</v>
      </c>
      <c r="K568" s="285">
        <f t="shared" si="247"/>
        <v>142355.20000000001</v>
      </c>
      <c r="L568" s="286">
        <f t="shared" si="248"/>
        <v>34.29999999998843</v>
      </c>
      <c r="M568" s="286">
        <v>0</v>
      </c>
      <c r="N568" s="285">
        <f t="shared" si="249"/>
        <v>142389.5</v>
      </c>
      <c r="O568" s="616">
        <f t="shared" si="269"/>
        <v>142389.5</v>
      </c>
      <c r="P568" s="289">
        <f t="shared" si="250"/>
        <v>1</v>
      </c>
      <c r="Q568" s="290">
        <f t="shared" si="251"/>
        <v>-141.49</v>
      </c>
      <c r="R568" s="290">
        <f t="shared" si="252"/>
        <v>5044.25</v>
      </c>
      <c r="S568" s="290">
        <f t="shared" si="253"/>
        <v>0</v>
      </c>
      <c r="T568" s="290">
        <f t="shared" si="254"/>
        <v>148419.75</v>
      </c>
      <c r="U568" s="291">
        <f t="shared" si="255"/>
        <v>147292.26</v>
      </c>
      <c r="V568" s="291">
        <f t="shared" si="259"/>
        <v>1127.49</v>
      </c>
      <c r="W568" s="265">
        <f t="shared" si="256"/>
        <v>1127.49</v>
      </c>
      <c r="X568" s="291">
        <f t="shared" si="260"/>
        <v>0</v>
      </c>
      <c r="Y568" s="170">
        <f t="shared" si="257"/>
        <v>37571.199999999997</v>
      </c>
      <c r="Z568" s="291">
        <f t="shared" si="258"/>
        <v>104818.3</v>
      </c>
      <c r="AC568" s="276">
        <f>IF(AI568=1,IF(AC567=MiscData!$F$1,EOMONTH(AC567,-11),EOMONTH(AC567,1)),AC567)</f>
        <v>41882</v>
      </c>
      <c r="AD568" s="275" t="str">
        <f t="shared" si="273"/>
        <v>20140101LGUM_453</v>
      </c>
      <c r="AE568" s="294" t="str">
        <f t="shared" si="274"/>
        <v xml:space="preserve">20140101LS </v>
      </c>
      <c r="AF568" s="618" t="str">
        <f t="shared" si="261"/>
        <v>453</v>
      </c>
      <c r="AH568" s="265">
        <f>MiscData!$X$5</f>
        <v>20140101</v>
      </c>
      <c r="AI568" s="265">
        <f>IF(AI567+1&gt;MiscData!$AC$77,1,AI567+1)</f>
        <v>54</v>
      </c>
      <c r="AJ568" s="265" t="str">
        <f>VLOOKUP(AI568,MiscData!$AC$5:$AD$77,2,FALSE)</f>
        <v>LGUM_453</v>
      </c>
      <c r="AK568" s="265" t="str">
        <f>VLOOKUP(AJ568,MiscData!$AD$5:$AE$77,2,FALSE)</f>
        <v xml:space="preserve">LS </v>
      </c>
      <c r="AT568" s="265" t="s">
        <v>198</v>
      </c>
      <c r="AV568" s="265">
        <v>-4.75</v>
      </c>
    </row>
    <row r="569" spans="1:48">
      <c r="A569" s="275">
        <f t="shared" si="262"/>
        <v>566</v>
      </c>
      <c r="B569" s="276" t="str">
        <f t="shared" si="270"/>
        <v>Aug 2014</v>
      </c>
      <c r="C569" s="277" t="str">
        <f t="shared" si="271"/>
        <v xml:space="preserve">LS </v>
      </c>
      <c r="D569" s="277" t="str">
        <f t="shared" si="272"/>
        <v>LGUM_454</v>
      </c>
      <c r="E569" s="614">
        <f t="shared" si="243"/>
        <v>5583</v>
      </c>
      <c r="F569" s="615">
        <f t="shared" si="265"/>
        <v>0</v>
      </c>
      <c r="G569" s="614">
        <f t="shared" si="244"/>
        <v>717306</v>
      </c>
      <c r="H569" s="615">
        <v>0</v>
      </c>
      <c r="I569" s="283">
        <f t="shared" si="245"/>
        <v>17.38</v>
      </c>
      <c r="J569" s="283">
        <f t="shared" si="246"/>
        <v>4.2800000000000011</v>
      </c>
      <c r="K569" s="285">
        <f t="shared" si="247"/>
        <v>97032.54</v>
      </c>
      <c r="L569" s="286">
        <f t="shared" si="248"/>
        <v>-385.44999999999601</v>
      </c>
      <c r="M569" s="286">
        <v>0</v>
      </c>
      <c r="N569" s="285">
        <f t="shared" si="249"/>
        <v>96647.09</v>
      </c>
      <c r="O569" s="616">
        <f t="shared" si="269"/>
        <v>96647.09</v>
      </c>
      <c r="P569" s="289">
        <f t="shared" si="250"/>
        <v>1</v>
      </c>
      <c r="Q569" s="290">
        <f t="shared" si="251"/>
        <v>-119.66</v>
      </c>
      <c r="R569" s="290">
        <f t="shared" si="252"/>
        <v>3489.04</v>
      </c>
      <c r="S569" s="290">
        <f t="shared" si="253"/>
        <v>0</v>
      </c>
      <c r="T569" s="290">
        <f t="shared" si="254"/>
        <v>102797.32</v>
      </c>
      <c r="U569" s="291">
        <f t="shared" si="255"/>
        <v>100016.46999999999</v>
      </c>
      <c r="V569" s="291">
        <f t="shared" si="259"/>
        <v>2780.85</v>
      </c>
      <c r="W569" s="265">
        <f t="shared" si="256"/>
        <v>2780.85</v>
      </c>
      <c r="X569" s="291">
        <f t="shared" si="260"/>
        <v>0</v>
      </c>
      <c r="Y569" s="170">
        <f t="shared" si="257"/>
        <v>23895.24</v>
      </c>
      <c r="Z569" s="291">
        <f t="shared" si="258"/>
        <v>72751.849999999991</v>
      </c>
      <c r="AC569" s="276">
        <f>IF(AI569=1,IF(AC568=MiscData!$F$1,EOMONTH(AC568,-11),EOMONTH(AC568,1)),AC568)</f>
        <v>41882</v>
      </c>
      <c r="AD569" s="275" t="str">
        <f t="shared" si="273"/>
        <v>20140101LGUM_454</v>
      </c>
      <c r="AE569" s="294" t="str">
        <f t="shared" si="274"/>
        <v xml:space="preserve">20140101LS </v>
      </c>
      <c r="AF569" s="618" t="str">
        <f t="shared" si="261"/>
        <v>454</v>
      </c>
      <c r="AH569" s="265">
        <f>MiscData!$X$5</f>
        <v>20140101</v>
      </c>
      <c r="AI569" s="265">
        <f>IF(AI568+1&gt;MiscData!$AC$77,1,AI568+1)</f>
        <v>55</v>
      </c>
      <c r="AJ569" s="265" t="str">
        <f>VLOOKUP(AI569,MiscData!$AC$5:$AD$77,2,FALSE)</f>
        <v>LGUM_454</v>
      </c>
      <c r="AK569" s="265" t="str">
        <f>VLOOKUP(AJ569,MiscData!$AD$5:$AE$77,2,FALSE)</f>
        <v xml:space="preserve">LS </v>
      </c>
      <c r="AT569" s="265" t="s">
        <v>199</v>
      </c>
      <c r="AV569" s="265">
        <v>-63.9</v>
      </c>
    </row>
    <row r="570" spans="1:48">
      <c r="A570" s="275">
        <f t="shared" si="262"/>
        <v>567</v>
      </c>
      <c r="B570" s="276" t="str">
        <f t="shared" si="270"/>
        <v>Aug 2014</v>
      </c>
      <c r="C570" s="277" t="str">
        <f t="shared" si="271"/>
        <v xml:space="preserve">LS </v>
      </c>
      <c r="D570" s="277" t="str">
        <f t="shared" si="272"/>
        <v>LGUM_455</v>
      </c>
      <c r="E570" s="614">
        <f t="shared" si="243"/>
        <v>406</v>
      </c>
      <c r="F570" s="615">
        <f t="shared" si="265"/>
        <v>0</v>
      </c>
      <c r="G570" s="614">
        <f t="shared" si="244"/>
        <v>19819</v>
      </c>
      <c r="H570" s="615">
        <v>0</v>
      </c>
      <c r="I570" s="283">
        <f t="shared" si="245"/>
        <v>13.77</v>
      </c>
      <c r="J570" s="283">
        <f t="shared" si="246"/>
        <v>1.6499999999999986</v>
      </c>
      <c r="K570" s="285">
        <f t="shared" si="247"/>
        <v>5590.62</v>
      </c>
      <c r="L570" s="286">
        <f t="shared" si="248"/>
        <v>-26.16</v>
      </c>
      <c r="M570" s="286">
        <v>0</v>
      </c>
      <c r="N570" s="285">
        <f t="shared" si="249"/>
        <v>5564.46</v>
      </c>
      <c r="O570" s="616">
        <f t="shared" si="269"/>
        <v>5564.46</v>
      </c>
      <c r="P570" s="289">
        <f t="shared" si="250"/>
        <v>1</v>
      </c>
      <c r="Q570" s="290">
        <f t="shared" si="251"/>
        <v>-4.13</v>
      </c>
      <c r="R570" s="290">
        <f t="shared" si="252"/>
        <v>202.07</v>
      </c>
      <c r="S570" s="290">
        <f t="shared" si="253"/>
        <v>0</v>
      </c>
      <c r="T570" s="290">
        <f t="shared" si="254"/>
        <v>5964.94</v>
      </c>
      <c r="U570" s="291">
        <f t="shared" si="255"/>
        <v>5762.4</v>
      </c>
      <c r="V570" s="291">
        <f t="shared" si="259"/>
        <v>202.54</v>
      </c>
      <c r="W570" s="265">
        <f t="shared" si="256"/>
        <v>202.54</v>
      </c>
      <c r="X570" s="291">
        <f t="shared" si="260"/>
        <v>0</v>
      </c>
      <c r="Y570" s="170">
        <f t="shared" si="257"/>
        <v>669.9</v>
      </c>
      <c r="Z570" s="291">
        <f t="shared" si="258"/>
        <v>4894.5600000000004</v>
      </c>
      <c r="AC570" s="276">
        <f>IF(AI570=1,IF(AC569=MiscData!$F$1,EOMONTH(AC569,-11),EOMONTH(AC569,1)),AC569)</f>
        <v>41882</v>
      </c>
      <c r="AD570" s="275" t="str">
        <f t="shared" si="273"/>
        <v>20140101LGUM_455</v>
      </c>
      <c r="AE570" s="294" t="str">
        <f t="shared" si="274"/>
        <v xml:space="preserve">20140101LS </v>
      </c>
      <c r="AF570" s="618" t="str">
        <f t="shared" si="261"/>
        <v>455</v>
      </c>
      <c r="AH570" s="265">
        <f>MiscData!$X$5</f>
        <v>20140101</v>
      </c>
      <c r="AI570" s="265">
        <f>IF(AI569+1&gt;MiscData!$AC$77,1,AI569+1)</f>
        <v>56</v>
      </c>
      <c r="AJ570" s="265" t="str">
        <f>VLOOKUP(AI570,MiscData!$AC$5:$AD$77,2,FALSE)</f>
        <v>LGUM_455</v>
      </c>
      <c r="AK570" s="265" t="str">
        <f>VLOOKUP(AJ570,MiscData!$AD$5:$AE$77,2,FALSE)</f>
        <v xml:space="preserve">LS </v>
      </c>
      <c r="AT570" s="265" t="s">
        <v>200</v>
      </c>
      <c r="AV570" s="265">
        <v>0</v>
      </c>
    </row>
    <row r="571" spans="1:48">
      <c r="A571" s="275">
        <f t="shared" si="262"/>
        <v>568</v>
      </c>
      <c r="B571" s="276" t="str">
        <f t="shared" si="270"/>
        <v>Aug 2014</v>
      </c>
      <c r="C571" s="277" t="str">
        <f t="shared" si="271"/>
        <v xml:space="preserve">LS </v>
      </c>
      <c r="D571" s="277" t="str">
        <f t="shared" si="272"/>
        <v>LGUM_456</v>
      </c>
      <c r="E571" s="614">
        <f t="shared" si="243"/>
        <v>13067</v>
      </c>
      <c r="F571" s="615">
        <f t="shared" si="265"/>
        <v>0</v>
      </c>
      <c r="G571" s="614">
        <f t="shared" si="244"/>
        <v>1648598</v>
      </c>
      <c r="H571" s="615">
        <v>0</v>
      </c>
      <c r="I571" s="283">
        <f t="shared" si="245"/>
        <v>18.21</v>
      </c>
      <c r="J571" s="283">
        <f t="shared" si="246"/>
        <v>4.2800000000000011</v>
      </c>
      <c r="K571" s="285">
        <f t="shared" si="247"/>
        <v>237950.07</v>
      </c>
      <c r="L571" s="286">
        <f t="shared" si="248"/>
        <v>-1566.7899999999988</v>
      </c>
      <c r="M571" s="286">
        <v>0</v>
      </c>
      <c r="N571" s="285">
        <f t="shared" si="249"/>
        <v>236383.28</v>
      </c>
      <c r="O571" s="616">
        <f t="shared" si="269"/>
        <v>236383.28</v>
      </c>
      <c r="P571" s="289">
        <f t="shared" si="250"/>
        <v>1</v>
      </c>
      <c r="Q571" s="290">
        <f t="shared" si="251"/>
        <v>-259.64</v>
      </c>
      <c r="R571" s="290">
        <f t="shared" si="252"/>
        <v>8567.0400000000009</v>
      </c>
      <c r="S571" s="290">
        <f t="shared" si="253"/>
        <v>0</v>
      </c>
      <c r="T571" s="290">
        <f t="shared" si="254"/>
        <v>252408.93</v>
      </c>
      <c r="U571" s="291">
        <f t="shared" si="255"/>
        <v>244690.68</v>
      </c>
      <c r="V571" s="291">
        <f t="shared" si="259"/>
        <v>7718.25</v>
      </c>
      <c r="W571" s="265">
        <f t="shared" si="256"/>
        <v>7718.25</v>
      </c>
      <c r="X571" s="291">
        <f t="shared" si="260"/>
        <v>0</v>
      </c>
      <c r="Y571" s="170">
        <f t="shared" si="257"/>
        <v>55926.76</v>
      </c>
      <c r="Z571" s="291">
        <f t="shared" si="258"/>
        <v>180456.52</v>
      </c>
      <c r="AC571" s="276">
        <f>IF(AI571=1,IF(AC570=MiscData!$F$1,EOMONTH(AC570,-11),EOMONTH(AC570,1)),AC570)</f>
        <v>41882</v>
      </c>
      <c r="AD571" s="275" t="str">
        <f t="shared" si="273"/>
        <v>20140101LGUM_456</v>
      </c>
      <c r="AE571" s="294" t="str">
        <f t="shared" si="274"/>
        <v xml:space="preserve">20140101LS </v>
      </c>
      <c r="AF571" s="618" t="str">
        <f t="shared" si="261"/>
        <v>456</v>
      </c>
      <c r="AH571" s="265">
        <f>MiscData!$X$5</f>
        <v>20140101</v>
      </c>
      <c r="AI571" s="265">
        <f>IF(AI570+1&gt;MiscData!$AC$77,1,AI570+1)</f>
        <v>57</v>
      </c>
      <c r="AJ571" s="265" t="str">
        <f>VLOOKUP(AI571,MiscData!$AC$5:$AD$77,2,FALSE)</f>
        <v>LGUM_456</v>
      </c>
      <c r="AK571" s="265" t="str">
        <f>VLOOKUP(AJ571,MiscData!$AD$5:$AE$77,2,FALSE)</f>
        <v xml:space="preserve">LS </v>
      </c>
      <c r="AT571" s="265" t="s">
        <v>201</v>
      </c>
      <c r="AV571" s="265">
        <v>0</v>
      </c>
    </row>
    <row r="572" spans="1:48">
      <c r="A572" s="275">
        <f t="shared" si="262"/>
        <v>569</v>
      </c>
      <c r="B572" s="276" t="str">
        <f t="shared" si="270"/>
        <v>Aug 2014</v>
      </c>
      <c r="C572" s="277" t="str">
        <f t="shared" si="271"/>
        <v xml:space="preserve">LS </v>
      </c>
      <c r="D572" s="277" t="str">
        <f t="shared" si="272"/>
        <v>LGUM_457</v>
      </c>
      <c r="E572" s="614">
        <f t="shared" si="243"/>
        <v>3404</v>
      </c>
      <c r="F572" s="615">
        <f t="shared" si="265"/>
        <v>14</v>
      </c>
      <c r="G572" s="614">
        <f t="shared" si="244"/>
        <v>107829</v>
      </c>
      <c r="H572" s="615">
        <v>0</v>
      </c>
      <c r="I572" s="283">
        <f t="shared" si="245"/>
        <v>10.86</v>
      </c>
      <c r="J572" s="283">
        <f t="shared" si="246"/>
        <v>1.0599999999999987</v>
      </c>
      <c r="K572" s="285">
        <f t="shared" si="247"/>
        <v>37119.480000000003</v>
      </c>
      <c r="L572" s="286">
        <f t="shared" si="248"/>
        <v>-367.64000000000027</v>
      </c>
      <c r="M572" s="286">
        <v>0</v>
      </c>
      <c r="N572" s="285">
        <f t="shared" si="249"/>
        <v>36751.840000000004</v>
      </c>
      <c r="O572" s="616">
        <f t="shared" si="269"/>
        <v>36751.840000000004</v>
      </c>
      <c r="P572" s="289">
        <f t="shared" si="250"/>
        <v>1</v>
      </c>
      <c r="Q572" s="290">
        <f t="shared" si="251"/>
        <v>-29.25</v>
      </c>
      <c r="R572" s="290">
        <f t="shared" si="252"/>
        <v>1345.78</v>
      </c>
      <c r="S572" s="290">
        <f t="shared" si="253"/>
        <v>0</v>
      </c>
      <c r="T572" s="290">
        <f t="shared" si="254"/>
        <v>39734.910000000003</v>
      </c>
      <c r="U572" s="291">
        <f t="shared" si="255"/>
        <v>38068.370000000003</v>
      </c>
      <c r="V572" s="291">
        <f t="shared" si="259"/>
        <v>1666.54</v>
      </c>
      <c r="W572" s="265">
        <f t="shared" si="256"/>
        <v>1666.54</v>
      </c>
      <c r="X572" s="291">
        <f t="shared" si="260"/>
        <v>0</v>
      </c>
      <c r="Y572" s="170">
        <f t="shared" si="257"/>
        <v>3608.24</v>
      </c>
      <c r="Z572" s="291">
        <f t="shared" si="258"/>
        <v>33143.600000000006</v>
      </c>
      <c r="AC572" s="276">
        <f>IF(AI572=1,IF(AC571=MiscData!$F$1,EOMONTH(AC571,-11),EOMONTH(AC571,1)),AC571)</f>
        <v>41882</v>
      </c>
      <c r="AD572" s="275" t="str">
        <f t="shared" si="273"/>
        <v>20140101LGUM_457</v>
      </c>
      <c r="AE572" s="294" t="str">
        <f t="shared" si="274"/>
        <v xml:space="preserve">20140101LS </v>
      </c>
      <c r="AF572" s="618" t="str">
        <f t="shared" si="261"/>
        <v>457</v>
      </c>
      <c r="AH572" s="265">
        <f>MiscData!$X$5</f>
        <v>20140101</v>
      </c>
      <c r="AI572" s="265">
        <f>IF(AI571+1&gt;MiscData!$AC$77,1,AI571+1)</f>
        <v>58</v>
      </c>
      <c r="AJ572" s="265" t="str">
        <f>VLOOKUP(AI572,MiscData!$AC$5:$AD$77,2,FALSE)</f>
        <v>LGUM_457</v>
      </c>
      <c r="AK572" s="265" t="str">
        <f>VLOOKUP(AJ572,MiscData!$AD$5:$AE$77,2,FALSE)</f>
        <v xml:space="preserve">LS </v>
      </c>
      <c r="AT572" s="265" t="s">
        <v>202</v>
      </c>
      <c r="AV572" s="265">
        <v>-56.46</v>
      </c>
    </row>
    <row r="573" spans="1:48">
      <c r="A573" s="275">
        <f t="shared" si="262"/>
        <v>570</v>
      </c>
      <c r="B573" s="276" t="str">
        <f t="shared" si="270"/>
        <v>Aug 2014</v>
      </c>
      <c r="C573" s="277" t="str">
        <f t="shared" si="271"/>
        <v>RLS</v>
      </c>
      <c r="D573" s="277" t="str">
        <f t="shared" si="272"/>
        <v>LGUM_458</v>
      </c>
      <c r="E573" s="614">
        <f t="shared" si="243"/>
        <v>5</v>
      </c>
      <c r="F573" s="615">
        <f t="shared" si="265"/>
        <v>0</v>
      </c>
      <c r="G573" s="614">
        <f t="shared" si="244"/>
        <v>283</v>
      </c>
      <c r="H573" s="615">
        <v>0</v>
      </c>
      <c r="I573" s="283">
        <f t="shared" si="245"/>
        <v>11.13</v>
      </c>
      <c r="J573" s="283">
        <f t="shared" si="246"/>
        <v>3.7700000000000014</v>
      </c>
      <c r="K573" s="285">
        <f t="shared" si="247"/>
        <v>55.65</v>
      </c>
      <c r="L573" s="286">
        <f t="shared" si="248"/>
        <v>0</v>
      </c>
      <c r="M573" s="286">
        <v>0</v>
      </c>
      <c r="N573" s="285">
        <f t="shared" si="249"/>
        <v>55.65</v>
      </c>
      <c r="O573" s="616">
        <f t="shared" si="269"/>
        <v>55.65</v>
      </c>
      <c r="P573" s="289">
        <f t="shared" si="250"/>
        <v>1</v>
      </c>
      <c r="Q573" s="290">
        <f t="shared" si="251"/>
        <v>-0.05</v>
      </c>
      <c r="R573" s="290">
        <f t="shared" si="252"/>
        <v>1.95</v>
      </c>
      <c r="S573" s="290">
        <f t="shared" si="253"/>
        <v>0</v>
      </c>
      <c r="T573" s="290">
        <f t="shared" si="254"/>
        <v>57.55</v>
      </c>
      <c r="U573" s="291">
        <f t="shared" si="255"/>
        <v>57.550000000000004</v>
      </c>
      <c r="V573" s="291">
        <f t="shared" si="259"/>
        <v>0</v>
      </c>
      <c r="W573" s="265">
        <f t="shared" si="256"/>
        <v>0</v>
      </c>
      <c r="X573" s="291">
        <f t="shared" si="260"/>
        <v>0</v>
      </c>
      <c r="Y573" s="170">
        <f t="shared" si="257"/>
        <v>18.850000000000001</v>
      </c>
      <c r="Z573" s="291">
        <f t="shared" si="258"/>
        <v>36.799999999999997</v>
      </c>
      <c r="AC573" s="276">
        <f>IF(AI573=1,IF(AC572=MiscData!$F$1,EOMONTH(AC572,-11),EOMONTH(AC572,1)),AC572)</f>
        <v>41882</v>
      </c>
      <c r="AD573" s="275" t="str">
        <f t="shared" si="273"/>
        <v>20140101LGUM_458</v>
      </c>
      <c r="AE573" s="294" t="str">
        <f t="shared" si="274"/>
        <v>20140101RLS</v>
      </c>
      <c r="AF573" s="618" t="str">
        <f t="shared" si="261"/>
        <v>458</v>
      </c>
      <c r="AH573" s="265">
        <f>MiscData!$X$5</f>
        <v>20140101</v>
      </c>
      <c r="AI573" s="265">
        <f>IF(AI572+1&gt;MiscData!$AC$77,1,AI572+1)</f>
        <v>59</v>
      </c>
      <c r="AJ573" s="265" t="str">
        <f>VLOOKUP(AI573,MiscData!$AC$5:$AD$77,2,FALSE)</f>
        <v>LGUM_458</v>
      </c>
      <c r="AK573" s="265" t="str">
        <f>VLOOKUP(AJ573,MiscData!$AD$5:$AE$77,2,FALSE)</f>
        <v>RLS</v>
      </c>
      <c r="AT573" s="265" t="s">
        <v>203</v>
      </c>
      <c r="AV573" s="265">
        <v>-10.07</v>
      </c>
    </row>
    <row r="574" spans="1:48">
      <c r="A574" s="275">
        <f t="shared" si="262"/>
        <v>571</v>
      </c>
      <c r="B574" s="276" t="str">
        <f t="shared" si="270"/>
        <v>Aug 2014</v>
      </c>
      <c r="C574" s="277" t="str">
        <f t="shared" si="271"/>
        <v xml:space="preserve">LS </v>
      </c>
      <c r="D574" s="277" t="str">
        <f t="shared" si="272"/>
        <v>LGUM_470</v>
      </c>
      <c r="E574" s="614">
        <f t="shared" si="243"/>
        <v>24</v>
      </c>
      <c r="F574" s="615">
        <f t="shared" si="265"/>
        <v>0</v>
      </c>
      <c r="G574" s="614">
        <f t="shared" si="244"/>
        <v>972</v>
      </c>
      <c r="H574" s="615">
        <v>0</v>
      </c>
      <c r="I574" s="283">
        <f t="shared" si="245"/>
        <v>12.79</v>
      </c>
      <c r="J574" s="283">
        <f t="shared" si="246"/>
        <v>1.3699999999999992</v>
      </c>
      <c r="K574" s="285">
        <f t="shared" si="247"/>
        <v>306.95999999999998</v>
      </c>
      <c r="L574" s="286">
        <f t="shared" si="248"/>
        <v>0</v>
      </c>
      <c r="M574" s="286">
        <v>0</v>
      </c>
      <c r="N574" s="285">
        <f t="shared" si="249"/>
        <v>306.95999999999998</v>
      </c>
      <c r="O574" s="616">
        <f t="shared" si="269"/>
        <v>306.96000000000004</v>
      </c>
      <c r="P574" s="289">
        <f t="shared" si="250"/>
        <v>1.0000000000000002</v>
      </c>
      <c r="Q574" s="290">
        <f t="shared" si="251"/>
        <v>-0.23</v>
      </c>
      <c r="R574" s="290">
        <f t="shared" si="252"/>
        <v>10.94</v>
      </c>
      <c r="S574" s="290">
        <f t="shared" si="253"/>
        <v>0</v>
      </c>
      <c r="T574" s="290">
        <f t="shared" si="254"/>
        <v>321.79000000000002</v>
      </c>
      <c r="U574" s="291">
        <f t="shared" si="255"/>
        <v>317.66999999999996</v>
      </c>
      <c r="V574" s="291">
        <f t="shared" si="259"/>
        <v>4.12</v>
      </c>
      <c r="W574" s="265">
        <f t="shared" si="256"/>
        <v>4.12</v>
      </c>
      <c r="X574" s="291">
        <f t="shared" si="260"/>
        <v>0</v>
      </c>
      <c r="Y574" s="170">
        <f t="shared" si="257"/>
        <v>32.880000000000003</v>
      </c>
      <c r="Z574" s="291">
        <f t="shared" si="258"/>
        <v>274.08000000000004</v>
      </c>
      <c r="AC574" s="276">
        <f>IF(AI574=1,IF(AC573=MiscData!$F$1,EOMONTH(AC573,-11),EOMONTH(AC573,1)),AC573)</f>
        <v>41882</v>
      </c>
      <c r="AD574" s="275" t="str">
        <f t="shared" si="273"/>
        <v>20140101LGUM_470</v>
      </c>
      <c r="AE574" s="294" t="str">
        <f t="shared" si="274"/>
        <v xml:space="preserve">20140101LS </v>
      </c>
      <c r="AF574" s="618" t="str">
        <f t="shared" si="261"/>
        <v>470</v>
      </c>
      <c r="AH574" s="265">
        <f>MiscData!$X$5</f>
        <v>20140101</v>
      </c>
      <c r="AI574" s="265">
        <f>IF(AI573+1&gt;MiscData!$AC$77,1,AI573+1)</f>
        <v>60</v>
      </c>
      <c r="AJ574" s="265" t="str">
        <f>VLOOKUP(AI574,MiscData!$AC$5:$AD$77,2,FALSE)</f>
        <v>LGUM_470</v>
      </c>
      <c r="AK574" s="265" t="str">
        <f>VLOOKUP(AJ574,MiscData!$AD$5:$AE$77,2,FALSE)</f>
        <v xml:space="preserve">LS </v>
      </c>
      <c r="AT574" s="265" t="s">
        <v>204</v>
      </c>
      <c r="AV574" s="265">
        <v>0</v>
      </c>
    </row>
    <row r="575" spans="1:48">
      <c r="A575" s="275">
        <f t="shared" si="262"/>
        <v>572</v>
      </c>
      <c r="B575" s="276" t="str">
        <f t="shared" si="270"/>
        <v>Aug 2014</v>
      </c>
      <c r="C575" s="277" t="str">
        <f t="shared" si="271"/>
        <v>RLS</v>
      </c>
      <c r="D575" s="277" t="str">
        <f t="shared" si="272"/>
        <v>LGUM_471</v>
      </c>
      <c r="E575" s="614">
        <f t="shared" si="243"/>
        <v>2</v>
      </c>
      <c r="F575" s="615">
        <f t="shared" si="265"/>
        <v>0</v>
      </c>
      <c r="G575" s="614">
        <f t="shared" si="244"/>
        <v>83</v>
      </c>
      <c r="H575" s="615">
        <v>0</v>
      </c>
      <c r="I575" s="283">
        <f t="shared" si="245"/>
        <v>15.07</v>
      </c>
      <c r="J575" s="283">
        <f t="shared" si="246"/>
        <v>1.3699999999999992</v>
      </c>
      <c r="K575" s="285">
        <f t="shared" si="247"/>
        <v>30.14</v>
      </c>
      <c r="L575" s="286">
        <f t="shared" si="248"/>
        <v>0</v>
      </c>
      <c r="M575" s="286">
        <v>0</v>
      </c>
      <c r="N575" s="285">
        <f t="shared" si="249"/>
        <v>30.14</v>
      </c>
      <c r="O575" s="616">
        <f t="shared" si="269"/>
        <v>30.14</v>
      </c>
      <c r="P575" s="289">
        <f t="shared" si="250"/>
        <v>1</v>
      </c>
      <c r="Q575" s="290">
        <f t="shared" si="251"/>
        <v>-0.02</v>
      </c>
      <c r="R575" s="290">
        <f t="shared" si="252"/>
        <v>1.06</v>
      </c>
      <c r="S575" s="290">
        <f t="shared" si="253"/>
        <v>0</v>
      </c>
      <c r="T575" s="290">
        <f t="shared" si="254"/>
        <v>31.18</v>
      </c>
      <c r="U575" s="291">
        <f t="shared" si="255"/>
        <v>31.18</v>
      </c>
      <c r="V575" s="291">
        <f t="shared" si="259"/>
        <v>0</v>
      </c>
      <c r="W575" s="265">
        <f t="shared" si="256"/>
        <v>0</v>
      </c>
      <c r="X575" s="291">
        <f t="shared" si="260"/>
        <v>0</v>
      </c>
      <c r="Y575" s="170">
        <f t="shared" si="257"/>
        <v>2.74</v>
      </c>
      <c r="Z575" s="291">
        <f t="shared" si="258"/>
        <v>27.4</v>
      </c>
      <c r="AC575" s="276">
        <f>IF(AI575=1,IF(AC574=MiscData!$F$1,EOMONTH(AC574,-11),EOMONTH(AC574,1)),AC574)</f>
        <v>41882</v>
      </c>
      <c r="AD575" s="275" t="str">
        <f t="shared" si="273"/>
        <v>20140101LGUM_471</v>
      </c>
      <c r="AE575" s="294" t="str">
        <f t="shared" si="274"/>
        <v>20140101RLS</v>
      </c>
      <c r="AF575" s="618" t="str">
        <f t="shared" si="261"/>
        <v>471</v>
      </c>
      <c r="AH575" s="265">
        <f>MiscData!$X$5</f>
        <v>20140101</v>
      </c>
      <c r="AI575" s="265">
        <f>IF(AI574+1&gt;MiscData!$AC$77,1,AI574+1)</f>
        <v>61</v>
      </c>
      <c r="AJ575" s="265" t="str">
        <f>VLOOKUP(AI575,MiscData!$AC$5:$AD$77,2,FALSE)</f>
        <v>LGUM_471</v>
      </c>
      <c r="AK575" s="265" t="str">
        <f>VLOOKUP(AJ575,MiscData!$AD$5:$AE$77,2,FALSE)</f>
        <v>RLS</v>
      </c>
      <c r="AT575" s="265" t="s">
        <v>205</v>
      </c>
      <c r="AV575" s="265">
        <v>-11.4</v>
      </c>
    </row>
    <row r="576" spans="1:48">
      <c r="A576" s="275">
        <f t="shared" si="262"/>
        <v>573</v>
      </c>
      <c r="B576" s="276" t="str">
        <f t="shared" si="270"/>
        <v>Aug 2014</v>
      </c>
      <c r="C576" s="277" t="str">
        <f t="shared" si="271"/>
        <v xml:space="preserve">LS </v>
      </c>
      <c r="D576" s="277" t="str">
        <f t="shared" si="272"/>
        <v>LGUM_473</v>
      </c>
      <c r="E576" s="614">
        <f t="shared" si="243"/>
        <v>440</v>
      </c>
      <c r="F576" s="615">
        <f t="shared" si="265"/>
        <v>0</v>
      </c>
      <c r="G576" s="614">
        <f t="shared" si="244"/>
        <v>40683</v>
      </c>
      <c r="H576" s="615">
        <v>0</v>
      </c>
      <c r="I576" s="283">
        <f t="shared" si="245"/>
        <v>18.68</v>
      </c>
      <c r="J576" s="283">
        <f t="shared" si="246"/>
        <v>3.1799999999999979</v>
      </c>
      <c r="K576" s="285">
        <f t="shared" si="247"/>
        <v>8219.2000000000007</v>
      </c>
      <c r="L576" s="286">
        <f t="shared" si="248"/>
        <v>-108.34000000000057</v>
      </c>
      <c r="M576" s="286">
        <v>0</v>
      </c>
      <c r="N576" s="285">
        <f t="shared" si="249"/>
        <v>8110.8600000000006</v>
      </c>
      <c r="O576" s="616">
        <f t="shared" si="269"/>
        <v>8110.8600000000006</v>
      </c>
      <c r="P576" s="289">
        <f t="shared" si="250"/>
        <v>1</v>
      </c>
      <c r="Q576" s="290">
        <f t="shared" si="251"/>
        <v>-6.42</v>
      </c>
      <c r="R576" s="290">
        <f t="shared" si="252"/>
        <v>287.39</v>
      </c>
      <c r="S576" s="290">
        <f t="shared" si="253"/>
        <v>0</v>
      </c>
      <c r="T576" s="290">
        <f t="shared" si="254"/>
        <v>8472.19</v>
      </c>
      <c r="U576" s="291">
        <f t="shared" si="255"/>
        <v>8391.83</v>
      </c>
      <c r="V576" s="291">
        <f t="shared" si="259"/>
        <v>80.36</v>
      </c>
      <c r="W576" s="265">
        <f t="shared" si="256"/>
        <v>80.36</v>
      </c>
      <c r="X576" s="291">
        <f t="shared" si="260"/>
        <v>0</v>
      </c>
      <c r="Y576" s="170">
        <f t="shared" si="257"/>
        <v>1399.2</v>
      </c>
      <c r="Z576" s="291">
        <f t="shared" si="258"/>
        <v>6711.6600000000008</v>
      </c>
      <c r="AC576" s="276">
        <f>IF(AI576=1,IF(AC575=MiscData!$F$1,EOMONTH(AC575,-11),EOMONTH(AC575,1)),AC575)</f>
        <v>41882</v>
      </c>
      <c r="AD576" s="275" t="str">
        <f t="shared" si="273"/>
        <v>20140101LGUM_473</v>
      </c>
      <c r="AE576" s="294" t="str">
        <f t="shared" si="274"/>
        <v xml:space="preserve">20140101LS </v>
      </c>
      <c r="AF576" s="618" t="str">
        <f t="shared" si="261"/>
        <v>473</v>
      </c>
      <c r="AH576" s="265">
        <f>MiscData!$X$5</f>
        <v>20140101</v>
      </c>
      <c r="AI576" s="265">
        <f>IF(AI575+1&gt;MiscData!$AC$77,1,AI575+1)</f>
        <v>62</v>
      </c>
      <c r="AJ576" s="265" t="str">
        <f>VLOOKUP(AI576,MiscData!$AC$5:$AD$77,2,FALSE)</f>
        <v>LGUM_473</v>
      </c>
      <c r="AK576" s="265" t="str">
        <f>VLOOKUP(AJ576,MiscData!$AD$5:$AE$77,2,FALSE)</f>
        <v xml:space="preserve">LS </v>
      </c>
      <c r="AT576" s="265" t="s">
        <v>206</v>
      </c>
      <c r="AV576" s="265">
        <v>0</v>
      </c>
    </row>
    <row r="577" spans="1:48">
      <c r="A577" s="275">
        <f t="shared" si="262"/>
        <v>574</v>
      </c>
      <c r="B577" s="276" t="str">
        <f t="shared" si="270"/>
        <v>Aug 2014</v>
      </c>
      <c r="C577" s="277" t="str">
        <f t="shared" si="271"/>
        <v>RLS</v>
      </c>
      <c r="D577" s="277" t="str">
        <f t="shared" si="272"/>
        <v>LGUM_474</v>
      </c>
      <c r="E577" s="614">
        <f t="shared" si="243"/>
        <v>54</v>
      </c>
      <c r="F577" s="615">
        <f t="shared" si="265"/>
        <v>0</v>
      </c>
      <c r="G577" s="614">
        <f t="shared" si="244"/>
        <v>5082</v>
      </c>
      <c r="H577" s="615">
        <v>0</v>
      </c>
      <c r="I577" s="283">
        <f t="shared" si="245"/>
        <v>20.970000000000002</v>
      </c>
      <c r="J577" s="283">
        <f t="shared" si="246"/>
        <v>3.1799999999999997</v>
      </c>
      <c r="K577" s="285">
        <f t="shared" si="247"/>
        <v>1132.3800000000001</v>
      </c>
      <c r="L577" s="286">
        <f t="shared" si="248"/>
        <v>0</v>
      </c>
      <c r="M577" s="286">
        <v>0</v>
      </c>
      <c r="N577" s="285">
        <f t="shared" si="249"/>
        <v>1132.3800000000001</v>
      </c>
      <c r="O577" s="616">
        <f t="shared" si="269"/>
        <v>1132.3800000000001</v>
      </c>
      <c r="P577" s="289">
        <f t="shared" si="250"/>
        <v>1</v>
      </c>
      <c r="Q577" s="290">
        <f t="shared" si="251"/>
        <v>-1</v>
      </c>
      <c r="R577" s="290">
        <f t="shared" si="252"/>
        <v>40.81</v>
      </c>
      <c r="S577" s="290">
        <f t="shared" si="253"/>
        <v>0</v>
      </c>
      <c r="T577" s="290">
        <f t="shared" si="254"/>
        <v>1198.93</v>
      </c>
      <c r="U577" s="291">
        <f t="shared" si="255"/>
        <v>1172.19</v>
      </c>
      <c r="V577" s="291">
        <f t="shared" si="259"/>
        <v>26.74</v>
      </c>
      <c r="W577" s="265">
        <f t="shared" si="256"/>
        <v>26.74</v>
      </c>
      <c r="X577" s="291">
        <f t="shared" si="260"/>
        <v>0</v>
      </c>
      <c r="Y577" s="170">
        <f t="shared" si="257"/>
        <v>171.72</v>
      </c>
      <c r="Z577" s="291">
        <f t="shared" si="258"/>
        <v>960.66000000000008</v>
      </c>
      <c r="AC577" s="276">
        <f>IF(AI577=1,IF(AC576=MiscData!$F$1,EOMONTH(AC576,-11),EOMONTH(AC576,1)),AC576)</f>
        <v>41882</v>
      </c>
      <c r="AD577" s="275" t="str">
        <f t="shared" si="273"/>
        <v>20140101LGUM_474</v>
      </c>
      <c r="AE577" s="294" t="str">
        <f t="shared" si="274"/>
        <v>20140101RLS</v>
      </c>
      <c r="AF577" s="618" t="str">
        <f t="shared" si="261"/>
        <v>474</v>
      </c>
      <c r="AH577" s="265">
        <f>MiscData!$X$5</f>
        <v>20140101</v>
      </c>
      <c r="AI577" s="265">
        <f>IF(AI576+1&gt;MiscData!$AC$77,1,AI576+1)</f>
        <v>63</v>
      </c>
      <c r="AJ577" s="265" t="str">
        <f>VLOOKUP(AI577,MiscData!$AC$5:$AD$77,2,FALSE)</f>
        <v>LGUM_474</v>
      </c>
      <c r="AK577" s="265" t="str">
        <f>VLOOKUP(AJ577,MiscData!$AD$5:$AE$77,2,FALSE)</f>
        <v>RLS</v>
      </c>
      <c r="AT577" s="265" t="s">
        <v>207</v>
      </c>
      <c r="AV577" s="265">
        <v>79.55</v>
      </c>
    </row>
    <row r="578" spans="1:48">
      <c r="A578" s="275">
        <f t="shared" si="262"/>
        <v>575</v>
      </c>
      <c r="B578" s="276" t="str">
        <f t="shared" si="270"/>
        <v>Aug 2014</v>
      </c>
      <c r="C578" s="277" t="str">
        <f t="shared" si="271"/>
        <v>RLS</v>
      </c>
      <c r="D578" s="277" t="str">
        <f t="shared" si="272"/>
        <v>LGUM_475</v>
      </c>
      <c r="E578" s="614">
        <f t="shared" si="243"/>
        <v>2</v>
      </c>
      <c r="F578" s="615">
        <f t="shared" si="265"/>
        <v>0</v>
      </c>
      <c r="G578" s="614">
        <f t="shared" si="244"/>
        <v>190</v>
      </c>
      <c r="H578" s="615">
        <v>0</v>
      </c>
      <c r="I578" s="283">
        <f t="shared" si="245"/>
        <v>28.42</v>
      </c>
      <c r="J578" s="283">
        <f t="shared" si="246"/>
        <v>3.1800000000000033</v>
      </c>
      <c r="K578" s="285">
        <f t="shared" si="247"/>
        <v>56.84</v>
      </c>
      <c r="L578" s="286">
        <f t="shared" si="248"/>
        <v>0</v>
      </c>
      <c r="M578" s="286">
        <v>0</v>
      </c>
      <c r="N578" s="285">
        <f t="shared" si="249"/>
        <v>56.84</v>
      </c>
      <c r="O578" s="616">
        <f t="shared" si="269"/>
        <v>56.839999999999996</v>
      </c>
      <c r="P578" s="289">
        <f t="shared" si="250"/>
        <v>0.99999999999999989</v>
      </c>
      <c r="Q578" s="290">
        <f t="shared" si="251"/>
        <v>-0.04</v>
      </c>
      <c r="R578" s="290">
        <f t="shared" si="252"/>
        <v>2</v>
      </c>
      <c r="S578" s="290">
        <f t="shared" si="253"/>
        <v>0</v>
      </c>
      <c r="T578" s="290">
        <f t="shared" si="254"/>
        <v>58.8</v>
      </c>
      <c r="U578" s="291">
        <f t="shared" si="255"/>
        <v>58.800000000000004</v>
      </c>
      <c r="V578" s="291">
        <f t="shared" si="259"/>
        <v>0</v>
      </c>
      <c r="W578" s="265">
        <f t="shared" si="256"/>
        <v>0</v>
      </c>
      <c r="X578" s="291">
        <f t="shared" si="260"/>
        <v>0</v>
      </c>
      <c r="Y578" s="170">
        <f t="shared" si="257"/>
        <v>6.36</v>
      </c>
      <c r="Z578" s="291">
        <f t="shared" si="258"/>
        <v>50.48</v>
      </c>
      <c r="AC578" s="276">
        <f>IF(AI578=1,IF(AC577=MiscData!$F$1,EOMONTH(AC577,-11),EOMONTH(AC577,1)),AC577)</f>
        <v>41882</v>
      </c>
      <c r="AD578" s="275" t="str">
        <f t="shared" si="273"/>
        <v>20140101LGUM_475</v>
      </c>
      <c r="AE578" s="294" t="str">
        <f t="shared" si="274"/>
        <v>20140101RLS</v>
      </c>
      <c r="AF578" s="618" t="str">
        <f t="shared" si="261"/>
        <v>475</v>
      </c>
      <c r="AH578" s="265">
        <f>MiscData!$X$5</f>
        <v>20140101</v>
      </c>
      <c r="AI578" s="265">
        <f>IF(AI577+1&gt;MiscData!$AC$77,1,AI577+1)</f>
        <v>64</v>
      </c>
      <c r="AJ578" s="265" t="str">
        <f>VLOOKUP(AI578,MiscData!$AC$5:$AD$77,2,FALSE)</f>
        <v>LGUM_475</v>
      </c>
      <c r="AK578" s="265" t="str">
        <f>VLOOKUP(AJ578,MiscData!$AD$5:$AE$77,2,FALSE)</f>
        <v>RLS</v>
      </c>
      <c r="AT578" s="265" t="s">
        <v>208</v>
      </c>
      <c r="AV578" s="265">
        <v>-342.11</v>
      </c>
    </row>
    <row r="579" spans="1:48">
      <c r="A579" s="275">
        <f t="shared" si="262"/>
        <v>576</v>
      </c>
      <c r="B579" s="276" t="str">
        <f t="shared" si="270"/>
        <v>Aug 2014</v>
      </c>
      <c r="C579" s="277" t="str">
        <f t="shared" si="271"/>
        <v xml:space="preserve">LS </v>
      </c>
      <c r="D579" s="277" t="str">
        <f t="shared" si="272"/>
        <v>LGUM_476</v>
      </c>
      <c r="E579" s="614">
        <f t="shared" si="243"/>
        <v>411</v>
      </c>
      <c r="F579" s="615">
        <f t="shared" si="265"/>
        <v>0</v>
      </c>
      <c r="G579" s="614">
        <f t="shared" si="244"/>
        <v>118439</v>
      </c>
      <c r="H579" s="615">
        <v>0</v>
      </c>
      <c r="I579" s="283">
        <f t="shared" si="245"/>
        <v>39.6</v>
      </c>
      <c r="J579" s="283">
        <f t="shared" si="246"/>
        <v>9.8100000000000023</v>
      </c>
      <c r="K579" s="285">
        <f t="shared" si="247"/>
        <v>16275.6</v>
      </c>
      <c r="L579" s="286">
        <f t="shared" si="248"/>
        <v>-179.5199999999997</v>
      </c>
      <c r="M579" s="286">
        <v>0</v>
      </c>
      <c r="N579" s="285">
        <f t="shared" si="249"/>
        <v>16096.08</v>
      </c>
      <c r="O579" s="616">
        <f t="shared" si="269"/>
        <v>16096.080000000002</v>
      </c>
      <c r="P579" s="289">
        <f t="shared" si="250"/>
        <v>1.0000000000000002</v>
      </c>
      <c r="Q579" s="290">
        <f t="shared" si="251"/>
        <v>-17.89</v>
      </c>
      <c r="R579" s="290">
        <f t="shared" si="252"/>
        <v>568.85</v>
      </c>
      <c r="S579" s="290">
        <f t="shared" si="253"/>
        <v>0</v>
      </c>
      <c r="T579" s="290">
        <f t="shared" si="254"/>
        <v>16772.5</v>
      </c>
      <c r="U579" s="291">
        <f t="shared" si="255"/>
        <v>16647.04</v>
      </c>
      <c r="V579" s="291">
        <f t="shared" si="259"/>
        <v>125.46</v>
      </c>
      <c r="W579" s="265">
        <f t="shared" si="256"/>
        <v>125.46</v>
      </c>
      <c r="X579" s="291">
        <f t="shared" si="260"/>
        <v>0</v>
      </c>
      <c r="Y579" s="170">
        <f t="shared" si="257"/>
        <v>4031.91</v>
      </c>
      <c r="Z579" s="291">
        <f t="shared" si="258"/>
        <v>12064.170000000002</v>
      </c>
      <c r="AC579" s="276">
        <f>IF(AI579=1,IF(AC578=MiscData!$F$1,EOMONTH(AC578,-11),EOMONTH(AC578,1)),AC578)</f>
        <v>41882</v>
      </c>
      <c r="AD579" s="275" t="str">
        <f t="shared" si="273"/>
        <v>20140101LGUM_476</v>
      </c>
      <c r="AE579" s="294" t="str">
        <f t="shared" si="274"/>
        <v xml:space="preserve">20140101LS </v>
      </c>
      <c r="AF579" s="618" t="str">
        <f t="shared" si="261"/>
        <v>476</v>
      </c>
      <c r="AH579" s="265">
        <f>MiscData!$X$5</f>
        <v>20140101</v>
      </c>
      <c r="AI579" s="265">
        <f>IF(AI578+1&gt;MiscData!$AC$77,1,AI578+1)</f>
        <v>65</v>
      </c>
      <c r="AJ579" s="265" t="str">
        <f>VLOOKUP(AI579,MiscData!$AC$5:$AD$77,2,FALSE)</f>
        <v>LGUM_476</v>
      </c>
      <c r="AK579" s="265" t="str">
        <f>VLOOKUP(AJ579,MiscData!$AD$5:$AE$77,2,FALSE)</f>
        <v xml:space="preserve">LS </v>
      </c>
      <c r="AT579" s="265" t="s">
        <v>209</v>
      </c>
      <c r="AV579" s="265">
        <v>0</v>
      </c>
    </row>
    <row r="580" spans="1:48">
      <c r="A580" s="275">
        <f t="shared" si="262"/>
        <v>577</v>
      </c>
      <c r="B580" s="276" t="str">
        <f t="shared" si="270"/>
        <v>Aug 2014</v>
      </c>
      <c r="C580" s="277" t="str">
        <f t="shared" si="271"/>
        <v>RLS</v>
      </c>
      <c r="D580" s="277" t="str">
        <f t="shared" si="272"/>
        <v>LGUM_477</v>
      </c>
      <c r="E580" s="614">
        <f t="shared" ref="E580:E643" si="275">SUMIFS(L_1055_Count_Total,L_1055_Revenue_Month,$B580,L_1055_RateCategory,$D580)</f>
        <v>63</v>
      </c>
      <c r="F580" s="615">
        <f t="shared" si="265"/>
        <v>0</v>
      </c>
      <c r="G580" s="614">
        <f t="shared" ref="G580:G643" si="276">SUMIFS(L_SBR_KWH,L_SBR_Revenue_Month,$B580,L_SBR_Rate_Category,$D580)</f>
        <v>18286</v>
      </c>
      <c r="H580" s="615">
        <v>0</v>
      </c>
      <c r="I580" s="283">
        <f t="shared" ref="I580:I643" si="277">SUMIF(L_LightingRates_Tariff_Rate_Category,$AD580,L_LightingRates_UnitCharge)</f>
        <v>42.78</v>
      </c>
      <c r="J580" s="283">
        <f t="shared" ref="J580:J643" si="278">SUMIF(L_LightingRates_Tariff_Rate_Category,$AD580,L_LightingRates_FAC_Rate)</f>
        <v>9.8100000000000023</v>
      </c>
      <c r="K580" s="285">
        <f t="shared" ref="K580:K643" si="279">ROUND(($E580+$F580)*$I580,2)</f>
        <v>2695.14</v>
      </c>
      <c r="L580" s="286">
        <f t="shared" ref="L580:L587" si="280">SUMIFS(L_1055_Revenue_Test_Period_Adj,L_1055_RateCategory,$D580,L_1055_Revenue_Month,$B580)+SUMIFS(L_1055_Revenue_OutOfPeriod,L_1055_RateCategory,$D580,L_1055_Revenue_Month,$B580)</f>
        <v>0</v>
      </c>
      <c r="M580" s="286">
        <v>0</v>
      </c>
      <c r="N580" s="285">
        <f t="shared" ref="N580:N643" si="281">SUM(K580:M580)</f>
        <v>2695.14</v>
      </c>
      <c r="O580" s="616">
        <f t="shared" si="269"/>
        <v>2695.1400000000003</v>
      </c>
      <c r="P580" s="289">
        <f t="shared" ref="P580:P643" si="282">IF(AND(N580=0,O580=0),1,IF(N580=0,0,O580/N580))</f>
        <v>1.0000000000000002</v>
      </c>
      <c r="Q580" s="290">
        <f t="shared" ref="Q580:Q643" si="283">SUMIFS(L_SBR_FAC,L_SBR_Revenue_Month,$B580,L_SBR_Rate_Category,$D580)</f>
        <v>-2.52</v>
      </c>
      <c r="R580" s="290">
        <f t="shared" ref="R580:R643" si="284">SUMIFS(L_SBR_ECR,L_SBR_Revenue_Month,$B580,L_SBR_Rate_Category,$D580)</f>
        <v>95.66</v>
      </c>
      <c r="S580" s="290">
        <f t="shared" ref="S580:S643" si="285">SUMIFS(L_SBR_MSR,L_SBR_Revenue_Month,$B580,L_SBR_Rate_Category,$D580)</f>
        <v>0</v>
      </c>
      <c r="T580" s="290">
        <f t="shared" ref="T580:T643" si="286">SUMIFS(L_SBR_Revenue_Total,L_SBR_Revenue_Month,$B580,L_SBR_Rate_Category,$D580)</f>
        <v>2822.21</v>
      </c>
      <c r="U580" s="291">
        <f t="shared" ref="U580:U643" si="287">SUM(N580,Q580:S580)</f>
        <v>2788.2799999999997</v>
      </c>
      <c r="V580" s="291">
        <f t="shared" si="259"/>
        <v>33.93</v>
      </c>
      <c r="W580" s="265">
        <f t="shared" ref="W580:W643" si="288">ROUND(SUMIFS(L_1055_Revenue_Poles_Test_Period,L_1055_Revenue_Month,$B580,L_1055_RateCategory,$D580),2)</f>
        <v>33.93</v>
      </c>
      <c r="X580" s="291">
        <f t="shared" si="260"/>
        <v>0</v>
      </c>
      <c r="Y580" s="170">
        <f t="shared" ref="Y580:Y643" si="289">ROUND(E580*J580,2)</f>
        <v>618.03</v>
      </c>
      <c r="Z580" s="291">
        <f t="shared" ref="Z580:Z643" si="290">O580-Y580</f>
        <v>2077.1100000000006</v>
      </c>
      <c r="AC580" s="276">
        <f>IF(AI580=1,IF(AC579=MiscData!$F$1,EOMONTH(AC579,-11),EOMONTH(AC579,1)),AC579)</f>
        <v>41882</v>
      </c>
      <c r="AD580" s="275" t="str">
        <f t="shared" si="273"/>
        <v>20140101LGUM_477</v>
      </c>
      <c r="AE580" s="294" t="str">
        <f t="shared" si="274"/>
        <v>20140101RLS</v>
      </c>
      <c r="AF580" s="618" t="str">
        <f t="shared" si="261"/>
        <v>477</v>
      </c>
      <c r="AH580" s="265">
        <f>MiscData!$X$5</f>
        <v>20140101</v>
      </c>
      <c r="AI580" s="265">
        <f>IF(AI579+1&gt;MiscData!$AC$77,1,AI579+1)</f>
        <v>66</v>
      </c>
      <c r="AJ580" s="265" t="str">
        <f>VLOOKUP(AI580,MiscData!$AC$5:$AD$77,2,FALSE)</f>
        <v>LGUM_477</v>
      </c>
      <c r="AK580" s="265" t="str">
        <f>VLOOKUP(AJ580,MiscData!$AD$5:$AE$77,2,FALSE)</f>
        <v>RLS</v>
      </c>
      <c r="AT580" s="265" t="s">
        <v>210</v>
      </c>
      <c r="AV580" s="265">
        <v>0</v>
      </c>
    </row>
    <row r="581" spans="1:48">
      <c r="A581" s="275">
        <f t="shared" si="262"/>
        <v>578</v>
      </c>
      <c r="B581" s="276" t="str">
        <f t="shared" si="270"/>
        <v>Aug 2014</v>
      </c>
      <c r="C581" s="277" t="str">
        <f t="shared" si="271"/>
        <v xml:space="preserve">LS </v>
      </c>
      <c r="D581" s="277" t="str">
        <f t="shared" si="272"/>
        <v>LGUM_479</v>
      </c>
      <c r="E581" s="614">
        <f t="shared" si="275"/>
        <v>0</v>
      </c>
      <c r="F581" s="615">
        <f t="shared" si="265"/>
        <v>0</v>
      </c>
      <c r="G581" s="614">
        <f t="shared" si="276"/>
        <v>0</v>
      </c>
      <c r="H581" s="615">
        <v>0</v>
      </c>
      <c r="I581" s="283">
        <f t="shared" si="277"/>
        <v>14.06</v>
      </c>
      <c r="J581" s="283">
        <f t="shared" si="278"/>
        <v>1.370000000000001</v>
      </c>
      <c r="K581" s="285">
        <f t="shared" si="279"/>
        <v>0</v>
      </c>
      <c r="L581" s="286">
        <f t="shared" si="280"/>
        <v>0</v>
      </c>
      <c r="M581" s="286">
        <v>0</v>
      </c>
      <c r="N581" s="285">
        <f t="shared" si="281"/>
        <v>0</v>
      </c>
      <c r="O581" s="616">
        <f t="shared" si="269"/>
        <v>0</v>
      </c>
      <c r="P581" s="289">
        <f t="shared" si="282"/>
        <v>1</v>
      </c>
      <c r="Q581" s="290">
        <f t="shared" si="283"/>
        <v>0</v>
      </c>
      <c r="R581" s="290">
        <f t="shared" si="284"/>
        <v>0</v>
      </c>
      <c r="S581" s="290">
        <f t="shared" si="285"/>
        <v>0</v>
      </c>
      <c r="T581" s="290">
        <f t="shared" si="286"/>
        <v>0</v>
      </c>
      <c r="U581" s="291">
        <f t="shared" si="287"/>
        <v>0</v>
      </c>
      <c r="V581" s="291">
        <f t="shared" ref="V581:V644" si="291">ROUND(T581-U581,2)</f>
        <v>0</v>
      </c>
      <c r="W581" s="265">
        <f t="shared" si="288"/>
        <v>0</v>
      </c>
      <c r="X581" s="291">
        <f t="shared" ref="X581:X644" si="292">V581-W581</f>
        <v>0</v>
      </c>
      <c r="Y581" s="170">
        <f t="shared" si="289"/>
        <v>0</v>
      </c>
      <c r="Z581" s="291">
        <f t="shared" si="290"/>
        <v>0</v>
      </c>
      <c r="AC581" s="276">
        <f>IF(AI581=1,IF(AC580=MiscData!$F$1,EOMONTH(AC580,-11),EOMONTH(AC580,1)),AC580)</f>
        <v>41882</v>
      </c>
      <c r="AD581" s="275" t="str">
        <f t="shared" si="273"/>
        <v>20140101LGUM_479</v>
      </c>
      <c r="AE581" s="294" t="str">
        <f t="shared" si="274"/>
        <v xml:space="preserve">20140101LS </v>
      </c>
      <c r="AF581" s="618" t="str">
        <f t="shared" ref="AF581:AF644" si="293">RIGHT(AJ581,3)</f>
        <v>479</v>
      </c>
      <c r="AH581" s="265">
        <f>MiscData!$X$5</f>
        <v>20140101</v>
      </c>
      <c r="AI581" s="265">
        <f>IF(AI580+1&gt;MiscData!$AC$77,1,AI580+1)</f>
        <v>67</v>
      </c>
      <c r="AJ581" s="265" t="str">
        <f>VLOOKUP(AI581,MiscData!$AC$5:$AD$77,2,FALSE)</f>
        <v>LGUM_479</v>
      </c>
      <c r="AK581" s="265" t="str">
        <f>VLOOKUP(AJ581,MiscData!$AD$5:$AE$77,2,FALSE)</f>
        <v xml:space="preserve">LS </v>
      </c>
      <c r="AT581" s="265" t="s">
        <v>211</v>
      </c>
      <c r="AV581" s="265">
        <v>0</v>
      </c>
    </row>
    <row r="582" spans="1:48">
      <c r="A582" s="275">
        <f t="shared" si="262"/>
        <v>579</v>
      </c>
      <c r="B582" s="276" t="str">
        <f t="shared" si="270"/>
        <v>Aug 2014</v>
      </c>
      <c r="C582" s="277" t="str">
        <f t="shared" si="271"/>
        <v xml:space="preserve">LS </v>
      </c>
      <c r="D582" s="277" t="str">
        <f t="shared" si="272"/>
        <v>LGUM_480</v>
      </c>
      <c r="E582" s="614">
        <f t="shared" si="275"/>
        <v>18</v>
      </c>
      <c r="F582" s="615">
        <f t="shared" si="265"/>
        <v>0</v>
      </c>
      <c r="G582" s="614">
        <f t="shared" si="276"/>
        <v>739</v>
      </c>
      <c r="H582" s="615">
        <v>0</v>
      </c>
      <c r="I582" s="283">
        <f t="shared" si="277"/>
        <v>23.83</v>
      </c>
      <c r="J582" s="283">
        <f t="shared" si="278"/>
        <v>1.370000000000001</v>
      </c>
      <c r="K582" s="285">
        <f t="shared" si="279"/>
        <v>428.94</v>
      </c>
      <c r="L582" s="286">
        <f t="shared" si="280"/>
        <v>0</v>
      </c>
      <c r="M582" s="286">
        <v>0</v>
      </c>
      <c r="N582" s="285">
        <f t="shared" si="281"/>
        <v>428.94</v>
      </c>
      <c r="O582" s="616">
        <f t="shared" si="269"/>
        <v>428.94</v>
      </c>
      <c r="P582" s="289">
        <f t="shared" si="282"/>
        <v>1</v>
      </c>
      <c r="Q582" s="290">
        <f t="shared" si="283"/>
        <v>-0.14000000000000001</v>
      </c>
      <c r="R582" s="290">
        <f t="shared" si="284"/>
        <v>15.09</v>
      </c>
      <c r="S582" s="290">
        <f t="shared" si="285"/>
        <v>0</v>
      </c>
      <c r="T582" s="290">
        <f t="shared" si="286"/>
        <v>443.89</v>
      </c>
      <c r="U582" s="291">
        <f t="shared" si="287"/>
        <v>443.89</v>
      </c>
      <c r="V582" s="291">
        <f t="shared" si="291"/>
        <v>0</v>
      </c>
      <c r="W582" s="265">
        <f t="shared" si="288"/>
        <v>0</v>
      </c>
      <c r="X582" s="291">
        <f t="shared" si="292"/>
        <v>0</v>
      </c>
      <c r="Y582" s="170">
        <f t="shared" si="289"/>
        <v>24.66</v>
      </c>
      <c r="Z582" s="291">
        <f t="shared" si="290"/>
        <v>404.28</v>
      </c>
      <c r="AC582" s="276">
        <f>IF(AI582=1,IF(AC581=MiscData!$F$1,EOMONTH(AC581,-11),EOMONTH(AC581,1)),AC581)</f>
        <v>41882</v>
      </c>
      <c r="AD582" s="275" t="str">
        <f t="shared" si="273"/>
        <v>20140101LGUM_480</v>
      </c>
      <c r="AE582" s="294" t="str">
        <f t="shared" si="274"/>
        <v xml:space="preserve">20140101LS </v>
      </c>
      <c r="AF582" s="618" t="str">
        <f t="shared" si="293"/>
        <v>480</v>
      </c>
      <c r="AH582" s="265">
        <f>MiscData!$X$5</f>
        <v>20140101</v>
      </c>
      <c r="AI582" s="265">
        <f>IF(AI581+1&gt;MiscData!$AC$77,1,AI581+1)</f>
        <v>68</v>
      </c>
      <c r="AJ582" s="265" t="str">
        <f>VLOOKUP(AI582,MiscData!$AC$5:$AD$77,2,FALSE)</f>
        <v>LGUM_480</v>
      </c>
      <c r="AK582" s="265" t="str">
        <f>VLOOKUP(AJ582,MiscData!$AD$5:$AE$77,2,FALSE)</f>
        <v xml:space="preserve">LS </v>
      </c>
      <c r="AT582" s="265" t="s">
        <v>212</v>
      </c>
      <c r="AV582" s="265">
        <v>0</v>
      </c>
    </row>
    <row r="583" spans="1:48">
      <c r="A583" s="275">
        <f t="shared" ref="A583:A646" si="294">A582+1</f>
        <v>580</v>
      </c>
      <c r="B583" s="276" t="str">
        <f t="shared" si="270"/>
        <v>Aug 2014</v>
      </c>
      <c r="C583" s="277" t="str">
        <f t="shared" si="271"/>
        <v xml:space="preserve">LS </v>
      </c>
      <c r="D583" s="277" t="str">
        <f t="shared" si="272"/>
        <v>LGUM_481</v>
      </c>
      <c r="E583" s="614">
        <f t="shared" si="275"/>
        <v>4</v>
      </c>
      <c r="F583" s="615">
        <f t="shared" si="265"/>
        <v>0</v>
      </c>
      <c r="G583" s="614">
        <f t="shared" si="276"/>
        <v>382</v>
      </c>
      <c r="H583" s="615">
        <v>0</v>
      </c>
      <c r="I583" s="283">
        <f t="shared" si="277"/>
        <v>20.46</v>
      </c>
      <c r="J583" s="283">
        <f t="shared" si="278"/>
        <v>3.1800000000000033</v>
      </c>
      <c r="K583" s="285">
        <f t="shared" si="279"/>
        <v>81.84</v>
      </c>
      <c r="L583" s="286">
        <f t="shared" si="280"/>
        <v>0</v>
      </c>
      <c r="M583" s="286">
        <v>0</v>
      </c>
      <c r="N583" s="285">
        <f t="shared" si="281"/>
        <v>81.84</v>
      </c>
      <c r="O583" s="616">
        <f t="shared" si="269"/>
        <v>81.84</v>
      </c>
      <c r="P583" s="289">
        <f t="shared" si="282"/>
        <v>1</v>
      </c>
      <c r="Q583" s="290">
        <f t="shared" si="283"/>
        <v>-7.0000000000000007E-2</v>
      </c>
      <c r="R583" s="290">
        <f t="shared" si="284"/>
        <v>2.88</v>
      </c>
      <c r="S583" s="290">
        <f t="shared" si="285"/>
        <v>0</v>
      </c>
      <c r="T583" s="290">
        <f t="shared" si="286"/>
        <v>84.65</v>
      </c>
      <c r="U583" s="291">
        <f t="shared" si="287"/>
        <v>84.65</v>
      </c>
      <c r="V583" s="291">
        <f t="shared" si="291"/>
        <v>0</v>
      </c>
      <c r="W583" s="265">
        <f t="shared" si="288"/>
        <v>0</v>
      </c>
      <c r="X583" s="291">
        <f t="shared" si="292"/>
        <v>0</v>
      </c>
      <c r="Y583" s="170">
        <f t="shared" si="289"/>
        <v>12.72</v>
      </c>
      <c r="Z583" s="291">
        <f t="shared" si="290"/>
        <v>69.12</v>
      </c>
      <c r="AC583" s="276">
        <f>IF(AI583=1,IF(AC582=MiscData!$F$1,EOMONTH(AC582,-11),EOMONTH(AC582,1)),AC582)</f>
        <v>41882</v>
      </c>
      <c r="AD583" s="275" t="str">
        <f t="shared" si="273"/>
        <v>20140101LGUM_481</v>
      </c>
      <c r="AE583" s="294" t="str">
        <f t="shared" si="274"/>
        <v xml:space="preserve">20140101LS </v>
      </c>
      <c r="AF583" s="618" t="str">
        <f t="shared" si="293"/>
        <v>481</v>
      </c>
      <c r="AH583" s="265">
        <f>MiscData!$X$5</f>
        <v>20140101</v>
      </c>
      <c r="AI583" s="265">
        <f>IF(AI582+1&gt;MiscData!$AC$77,1,AI582+1)</f>
        <v>69</v>
      </c>
      <c r="AJ583" s="265" t="str">
        <f>VLOOKUP(AI583,MiscData!$AC$5:$AD$77,2,FALSE)</f>
        <v>LGUM_481</v>
      </c>
      <c r="AK583" s="265" t="str">
        <f>VLOOKUP(AJ583,MiscData!$AD$5:$AE$77,2,FALSE)</f>
        <v xml:space="preserve">LS </v>
      </c>
      <c r="AT583" s="265" t="s">
        <v>213</v>
      </c>
      <c r="AV583" s="265">
        <v>0</v>
      </c>
    </row>
    <row r="584" spans="1:48">
      <c r="A584" s="275">
        <f t="shared" si="294"/>
        <v>581</v>
      </c>
      <c r="B584" s="276" t="str">
        <f t="shared" si="270"/>
        <v>Aug 2014</v>
      </c>
      <c r="C584" s="277" t="str">
        <f t="shared" si="271"/>
        <v xml:space="preserve">LS </v>
      </c>
      <c r="D584" s="277" t="str">
        <f t="shared" si="272"/>
        <v>LGUM_482</v>
      </c>
      <c r="E584" s="614">
        <f t="shared" si="275"/>
        <v>44</v>
      </c>
      <c r="F584" s="615">
        <f t="shared" si="265"/>
        <v>0</v>
      </c>
      <c r="G584" s="614">
        <f t="shared" si="276"/>
        <v>4153</v>
      </c>
      <c r="H584" s="615">
        <v>0</v>
      </c>
      <c r="I584" s="283">
        <f t="shared" si="277"/>
        <v>30.21</v>
      </c>
      <c r="J584" s="283">
        <f t="shared" si="278"/>
        <v>3.1800000000000033</v>
      </c>
      <c r="K584" s="285">
        <f t="shared" si="279"/>
        <v>1329.24</v>
      </c>
      <c r="L584" s="286">
        <f t="shared" si="280"/>
        <v>0</v>
      </c>
      <c r="M584" s="286">
        <v>0</v>
      </c>
      <c r="N584" s="285">
        <f t="shared" si="281"/>
        <v>1329.24</v>
      </c>
      <c r="O584" s="616">
        <f t="shared" si="269"/>
        <v>1329.24</v>
      </c>
      <c r="P584" s="289">
        <f t="shared" si="282"/>
        <v>1</v>
      </c>
      <c r="Q584" s="290">
        <f t="shared" si="283"/>
        <v>-0.79</v>
      </c>
      <c r="R584" s="290">
        <f t="shared" si="284"/>
        <v>46.75</v>
      </c>
      <c r="S584" s="290">
        <f t="shared" si="285"/>
        <v>0</v>
      </c>
      <c r="T584" s="290">
        <f t="shared" si="286"/>
        <v>1375.2</v>
      </c>
      <c r="U584" s="291">
        <f t="shared" si="287"/>
        <v>1375.2</v>
      </c>
      <c r="V584" s="291">
        <f t="shared" si="291"/>
        <v>0</v>
      </c>
      <c r="W584" s="265">
        <f t="shared" si="288"/>
        <v>0</v>
      </c>
      <c r="X584" s="291">
        <f t="shared" si="292"/>
        <v>0</v>
      </c>
      <c r="Y584" s="170">
        <f t="shared" si="289"/>
        <v>139.91999999999999</v>
      </c>
      <c r="Z584" s="291">
        <f t="shared" si="290"/>
        <v>1189.32</v>
      </c>
      <c r="AC584" s="276">
        <f>IF(AI584=1,IF(AC583=MiscData!$F$1,EOMONTH(AC583,-11),EOMONTH(AC583,1)),AC583)</f>
        <v>41882</v>
      </c>
      <c r="AD584" s="275" t="str">
        <f t="shared" si="273"/>
        <v>20140101LGUM_482</v>
      </c>
      <c r="AE584" s="294" t="str">
        <f t="shared" si="274"/>
        <v xml:space="preserve">20140101LS </v>
      </c>
      <c r="AF584" s="618" t="str">
        <f t="shared" si="293"/>
        <v>482</v>
      </c>
      <c r="AH584" s="265">
        <f>MiscData!$X$5</f>
        <v>20140101</v>
      </c>
      <c r="AI584" s="265">
        <f>IF(AI583+1&gt;MiscData!$AC$77,1,AI583+1)</f>
        <v>70</v>
      </c>
      <c r="AJ584" s="265" t="str">
        <f>VLOOKUP(AI584,MiscData!$AC$5:$AD$77,2,FALSE)</f>
        <v>LGUM_482</v>
      </c>
      <c r="AK584" s="265" t="str">
        <f>VLOOKUP(AJ584,MiscData!$AD$5:$AE$77,2,FALSE)</f>
        <v xml:space="preserve">LS </v>
      </c>
      <c r="AT584" s="265" t="s">
        <v>522</v>
      </c>
      <c r="AV584" s="265">
        <v>0</v>
      </c>
    </row>
    <row r="585" spans="1:48">
      <c r="A585" s="275">
        <f t="shared" si="294"/>
        <v>582</v>
      </c>
      <c r="B585" s="276" t="str">
        <f t="shared" si="270"/>
        <v>Aug 2014</v>
      </c>
      <c r="C585" s="277" t="str">
        <f t="shared" si="271"/>
        <v xml:space="preserve">LS </v>
      </c>
      <c r="D585" s="277" t="str">
        <f t="shared" si="272"/>
        <v>LGUM_483</v>
      </c>
      <c r="E585" s="614">
        <f t="shared" si="275"/>
        <v>2</v>
      </c>
      <c r="F585" s="615">
        <f t="shared" si="265"/>
        <v>0</v>
      </c>
      <c r="G585" s="614">
        <f t="shared" si="276"/>
        <v>573</v>
      </c>
      <c r="H585" s="615">
        <v>0</v>
      </c>
      <c r="I585" s="283">
        <f t="shared" si="277"/>
        <v>42.56</v>
      </c>
      <c r="J585" s="283">
        <f t="shared" si="278"/>
        <v>9.8100000000000023</v>
      </c>
      <c r="K585" s="285">
        <f t="shared" si="279"/>
        <v>85.12</v>
      </c>
      <c r="L585" s="286">
        <f t="shared" si="280"/>
        <v>0</v>
      </c>
      <c r="M585" s="286">
        <v>0</v>
      </c>
      <c r="N585" s="285">
        <f t="shared" si="281"/>
        <v>85.12</v>
      </c>
      <c r="O585" s="616">
        <f t="shared" si="269"/>
        <v>85.12</v>
      </c>
      <c r="P585" s="289">
        <f t="shared" si="282"/>
        <v>1</v>
      </c>
      <c r="Q585" s="290">
        <f t="shared" si="283"/>
        <v>-0.11</v>
      </c>
      <c r="R585" s="290">
        <f t="shared" si="284"/>
        <v>2.99</v>
      </c>
      <c r="S585" s="290">
        <f t="shared" si="285"/>
        <v>0</v>
      </c>
      <c r="T585" s="290">
        <f t="shared" si="286"/>
        <v>88</v>
      </c>
      <c r="U585" s="291">
        <f t="shared" si="287"/>
        <v>88</v>
      </c>
      <c r="V585" s="291">
        <f t="shared" si="291"/>
        <v>0</v>
      </c>
      <c r="W585" s="265">
        <f t="shared" si="288"/>
        <v>0</v>
      </c>
      <c r="X585" s="291">
        <f t="shared" si="292"/>
        <v>0</v>
      </c>
      <c r="Y585" s="170">
        <f t="shared" si="289"/>
        <v>19.62</v>
      </c>
      <c r="Z585" s="291">
        <f t="shared" si="290"/>
        <v>65.5</v>
      </c>
      <c r="AC585" s="276">
        <f>IF(AI585=1,IF(AC584=MiscData!$F$1,EOMONTH(AC584,-11),EOMONTH(AC584,1)),AC584)</f>
        <v>41882</v>
      </c>
      <c r="AD585" s="275" t="str">
        <f t="shared" si="273"/>
        <v>20140101LGUM_483</v>
      </c>
      <c r="AE585" s="294" t="str">
        <f t="shared" si="274"/>
        <v xml:space="preserve">20140101LS </v>
      </c>
      <c r="AF585" s="618" t="str">
        <f t="shared" si="293"/>
        <v>483</v>
      </c>
      <c r="AH585" s="265">
        <f>MiscData!$X$5</f>
        <v>20140101</v>
      </c>
      <c r="AI585" s="265">
        <f>IF(AI584+1&gt;MiscData!$AC$77,1,AI584+1)</f>
        <v>71</v>
      </c>
      <c r="AJ585" s="265" t="str">
        <f>VLOOKUP(AI585,MiscData!$AC$5:$AD$77,2,FALSE)</f>
        <v>LGUM_483</v>
      </c>
      <c r="AK585" s="265" t="str">
        <f>VLOOKUP(AJ585,MiscData!$AD$5:$AE$77,2,FALSE)</f>
        <v xml:space="preserve">LS </v>
      </c>
      <c r="AT585" s="265" t="s">
        <v>526</v>
      </c>
      <c r="AV585" s="265">
        <v>0</v>
      </c>
    </row>
    <row r="586" spans="1:48">
      <c r="A586" s="275">
        <f t="shared" si="294"/>
        <v>583</v>
      </c>
      <c r="B586" s="276" t="str">
        <f t="shared" si="270"/>
        <v>Aug 2014</v>
      </c>
      <c r="C586" s="277" t="str">
        <f t="shared" si="271"/>
        <v xml:space="preserve">LS </v>
      </c>
      <c r="D586" s="277" t="str">
        <f t="shared" si="272"/>
        <v>LGUM_484</v>
      </c>
      <c r="E586" s="614">
        <f t="shared" si="275"/>
        <v>13</v>
      </c>
      <c r="F586" s="615">
        <f t="shared" si="265"/>
        <v>0</v>
      </c>
      <c r="G586" s="614">
        <f t="shared" si="276"/>
        <v>3742</v>
      </c>
      <c r="H586" s="615">
        <v>0</v>
      </c>
      <c r="I586" s="283">
        <f t="shared" si="277"/>
        <v>52.31</v>
      </c>
      <c r="J586" s="283">
        <f t="shared" si="278"/>
        <v>9.8100000000000023</v>
      </c>
      <c r="K586" s="285">
        <f t="shared" si="279"/>
        <v>680.03</v>
      </c>
      <c r="L586" s="286">
        <f t="shared" si="280"/>
        <v>0</v>
      </c>
      <c r="M586" s="286">
        <v>0</v>
      </c>
      <c r="N586" s="285">
        <f t="shared" si="281"/>
        <v>680.03</v>
      </c>
      <c r="O586" s="616">
        <f t="shared" si="269"/>
        <v>680.03</v>
      </c>
      <c r="P586" s="289">
        <f t="shared" si="282"/>
        <v>1</v>
      </c>
      <c r="Q586" s="290">
        <f t="shared" si="283"/>
        <v>-0.71</v>
      </c>
      <c r="R586" s="290">
        <f t="shared" si="284"/>
        <v>23.91</v>
      </c>
      <c r="S586" s="290">
        <f t="shared" si="285"/>
        <v>0</v>
      </c>
      <c r="T586" s="290">
        <f t="shared" si="286"/>
        <v>703.23</v>
      </c>
      <c r="U586" s="291">
        <f t="shared" si="287"/>
        <v>703.2299999999999</v>
      </c>
      <c r="V586" s="291">
        <f t="shared" si="291"/>
        <v>0</v>
      </c>
      <c r="W586" s="265">
        <f t="shared" si="288"/>
        <v>0</v>
      </c>
      <c r="X586" s="291">
        <f t="shared" si="292"/>
        <v>0</v>
      </c>
      <c r="Y586" s="170">
        <f t="shared" si="289"/>
        <v>127.53</v>
      </c>
      <c r="Z586" s="291">
        <f t="shared" si="290"/>
        <v>552.5</v>
      </c>
      <c r="AC586" s="276">
        <f>IF(AI586=1,IF(AC585=MiscData!$F$1,EOMONTH(AC585,-11),EOMONTH(AC585,1)),AC585)</f>
        <v>41882</v>
      </c>
      <c r="AD586" s="275" t="str">
        <f t="shared" si="273"/>
        <v>20140101LGUM_484</v>
      </c>
      <c r="AE586" s="294" t="str">
        <f t="shared" si="274"/>
        <v xml:space="preserve">20140101LS </v>
      </c>
      <c r="AF586" s="618" t="str">
        <f t="shared" si="293"/>
        <v>484</v>
      </c>
      <c r="AH586" s="265">
        <f>MiscData!$X$5</f>
        <v>20140101</v>
      </c>
      <c r="AI586" s="265">
        <f>IF(AI585+1&gt;MiscData!$AC$77,1,AI585+1)</f>
        <v>72</v>
      </c>
      <c r="AJ586" s="265" t="str">
        <f>VLOOKUP(AI586,MiscData!$AC$5:$AD$77,2,FALSE)</f>
        <v>LGUM_484</v>
      </c>
      <c r="AK586" s="265" t="str">
        <f>VLOOKUP(AJ586,MiscData!$AD$5:$AE$77,2,FALSE)</f>
        <v xml:space="preserve">LS </v>
      </c>
      <c r="AT586" s="265" t="s">
        <v>214</v>
      </c>
      <c r="AV586" s="265">
        <v>0</v>
      </c>
    </row>
    <row r="587" spans="1:48">
      <c r="A587" s="275">
        <f t="shared" si="294"/>
        <v>584</v>
      </c>
      <c r="B587" s="276" t="str">
        <f t="shared" si="270"/>
        <v>Aug 2014</v>
      </c>
      <c r="C587" s="277" t="str">
        <f t="shared" si="271"/>
        <v>ODL</v>
      </c>
      <c r="D587" s="277" t="str">
        <f t="shared" si="272"/>
        <v>ODL</v>
      </c>
      <c r="E587" s="614">
        <f t="shared" si="275"/>
        <v>0</v>
      </c>
      <c r="F587" s="615">
        <f t="shared" si="265"/>
        <v>0</v>
      </c>
      <c r="G587" s="614">
        <f t="shared" si="276"/>
        <v>0</v>
      </c>
      <c r="H587" s="615">
        <v>0</v>
      </c>
      <c r="I587" s="283">
        <f t="shared" si="277"/>
        <v>0</v>
      </c>
      <c r="J587" s="283">
        <f t="shared" si="278"/>
        <v>0</v>
      </c>
      <c r="K587" s="285">
        <f t="shared" si="279"/>
        <v>0</v>
      </c>
      <c r="L587" s="286">
        <f t="shared" si="280"/>
        <v>0</v>
      </c>
      <c r="M587" s="286">
        <v>0</v>
      </c>
      <c r="N587" s="285">
        <f t="shared" si="281"/>
        <v>0</v>
      </c>
      <c r="O587" s="616">
        <f t="shared" si="269"/>
        <v>0</v>
      </c>
      <c r="P587" s="289">
        <f t="shared" si="282"/>
        <v>1</v>
      </c>
      <c r="Q587" s="290">
        <f t="shared" si="283"/>
        <v>0</v>
      </c>
      <c r="R587" s="290">
        <f t="shared" si="284"/>
        <v>0</v>
      </c>
      <c r="S587" s="290">
        <f t="shared" si="285"/>
        <v>0</v>
      </c>
      <c r="T587" s="290">
        <f t="shared" si="286"/>
        <v>0</v>
      </c>
      <c r="U587" s="291">
        <f t="shared" si="287"/>
        <v>0</v>
      </c>
      <c r="V587" s="291">
        <f t="shared" si="291"/>
        <v>0</v>
      </c>
      <c r="W587" s="265">
        <f t="shared" si="288"/>
        <v>0</v>
      </c>
      <c r="X587" s="291">
        <f t="shared" si="292"/>
        <v>0</v>
      </c>
      <c r="Y587" s="170">
        <f t="shared" si="289"/>
        <v>0</v>
      </c>
      <c r="Z587" s="291">
        <f t="shared" si="290"/>
        <v>0</v>
      </c>
      <c r="AC587" s="276">
        <f>IF(AI587=1,IF(AC586=MiscData!$F$1,EOMONTH(AC586,-11),EOMONTH(AC586,1)),AC586)</f>
        <v>41882</v>
      </c>
      <c r="AD587" s="275" t="str">
        <f t="shared" si="273"/>
        <v>20140101ODL</v>
      </c>
      <c r="AE587" s="294" t="str">
        <f t="shared" si="274"/>
        <v>20140101ODL</v>
      </c>
      <c r="AF587" s="618" t="str">
        <f t="shared" si="293"/>
        <v>ODL</v>
      </c>
      <c r="AH587" s="265">
        <f>MiscData!$X$5</f>
        <v>20140101</v>
      </c>
      <c r="AI587" s="265">
        <f>IF(AI586+1&gt;MiscData!$AC$77,1,AI586+1)</f>
        <v>73</v>
      </c>
      <c r="AJ587" s="265" t="str">
        <f>VLOOKUP(AI587,MiscData!$AC$5:$AD$77,2,FALSE)</f>
        <v>ODL</v>
      </c>
      <c r="AK587" s="265" t="str">
        <f>VLOOKUP(AJ587,MiscData!$AD$5:$AE$77,2,FALSE)</f>
        <v>ODL</v>
      </c>
      <c r="AT587" s="265" t="s">
        <v>215</v>
      </c>
      <c r="AV587" s="265">
        <v>0</v>
      </c>
    </row>
    <row r="588" spans="1:48">
      <c r="A588" s="275">
        <f t="shared" si="294"/>
        <v>585</v>
      </c>
      <c r="B588" s="276" t="str">
        <f t="shared" si="270"/>
        <v>Sep 2014</v>
      </c>
      <c r="C588" s="277" t="str">
        <f t="shared" si="271"/>
        <v>RLS</v>
      </c>
      <c r="D588" s="277" t="str">
        <f t="shared" si="272"/>
        <v>LGUM_201</v>
      </c>
      <c r="E588" s="614">
        <f t="shared" si="275"/>
        <v>75</v>
      </c>
      <c r="F588" s="615">
        <v>0</v>
      </c>
      <c r="G588" s="614">
        <f t="shared" si="276"/>
        <v>0</v>
      </c>
      <c r="H588" s="615">
        <v>0</v>
      </c>
      <c r="I588" s="283">
        <f t="shared" si="277"/>
        <v>8.14</v>
      </c>
      <c r="J588" s="283">
        <f t="shared" si="278"/>
        <v>1.0899999999999999</v>
      </c>
      <c r="K588" s="285">
        <f t="shared" si="279"/>
        <v>610.5</v>
      </c>
      <c r="L588" s="286">
        <v>0</v>
      </c>
      <c r="M588" s="286">
        <v>0</v>
      </c>
      <c r="N588" s="285">
        <f t="shared" si="281"/>
        <v>610.5</v>
      </c>
      <c r="O588" s="616">
        <f t="shared" si="269"/>
        <v>0</v>
      </c>
      <c r="P588" s="289">
        <f t="shared" si="282"/>
        <v>0</v>
      </c>
      <c r="Q588" s="290">
        <f t="shared" si="283"/>
        <v>0</v>
      </c>
      <c r="R588" s="290">
        <f t="shared" si="284"/>
        <v>0</v>
      </c>
      <c r="S588" s="290">
        <f t="shared" si="285"/>
        <v>0</v>
      </c>
      <c r="T588" s="290">
        <f t="shared" si="286"/>
        <v>0</v>
      </c>
      <c r="U588" s="291">
        <f t="shared" si="287"/>
        <v>610.5</v>
      </c>
      <c r="V588" s="291">
        <f t="shared" si="291"/>
        <v>-610.5</v>
      </c>
      <c r="W588" s="265">
        <f t="shared" si="288"/>
        <v>0</v>
      </c>
      <c r="X588" s="291">
        <f t="shared" si="292"/>
        <v>-610.5</v>
      </c>
      <c r="Y588" s="170">
        <f t="shared" si="289"/>
        <v>81.75</v>
      </c>
      <c r="Z588" s="291">
        <f t="shared" si="290"/>
        <v>-81.75</v>
      </c>
      <c r="AC588" s="276">
        <f>IF(AI588=1,IF(AC587=MiscData!$F$1,EOMONTH(AC587,-11),EOMONTH(AC587,1)),AC587)</f>
        <v>41912</v>
      </c>
      <c r="AD588" s="275" t="str">
        <f t="shared" si="273"/>
        <v>20140101LGUM_201</v>
      </c>
      <c r="AE588" s="294" t="str">
        <f t="shared" si="274"/>
        <v>20140101RLS</v>
      </c>
      <c r="AF588" s="618" t="str">
        <f t="shared" si="293"/>
        <v>201</v>
      </c>
      <c r="AH588" s="265">
        <f>MiscData!$X$5</f>
        <v>20140101</v>
      </c>
      <c r="AI588" s="265">
        <f>IF(AI587+1&gt;MiscData!$AC$77,1,AI587+1)</f>
        <v>1</v>
      </c>
      <c r="AJ588" s="265" t="str">
        <f>VLOOKUP(AI588,MiscData!$AC$5:$AD$77,2,FALSE)</f>
        <v>LGUM_201</v>
      </c>
      <c r="AK588" s="265" t="str">
        <f>VLOOKUP(AJ588,MiscData!$AD$5:$AE$77,2,FALSE)</f>
        <v>RLS</v>
      </c>
      <c r="AT588" s="265" t="s">
        <v>216</v>
      </c>
      <c r="AV588" s="265">
        <v>0</v>
      </c>
    </row>
    <row r="589" spans="1:48">
      <c r="A589" s="275">
        <f t="shared" si="294"/>
        <v>586</v>
      </c>
      <c r="B589" s="276" t="str">
        <f t="shared" si="270"/>
        <v>Sep 2014</v>
      </c>
      <c r="C589" s="277" t="str">
        <f t="shared" si="271"/>
        <v>RLS</v>
      </c>
      <c r="D589" s="277" t="str">
        <f t="shared" si="272"/>
        <v>LGUM_203</v>
      </c>
      <c r="E589" s="614">
        <f t="shared" si="275"/>
        <v>3720</v>
      </c>
      <c r="F589" s="615">
        <v>0</v>
      </c>
      <c r="G589" s="614">
        <f t="shared" si="276"/>
        <v>0</v>
      </c>
      <c r="H589" s="615">
        <v>0</v>
      </c>
      <c r="I589" s="283">
        <f t="shared" si="277"/>
        <v>10.959999999999999</v>
      </c>
      <c r="J589" s="283">
        <f t="shared" si="278"/>
        <v>2.7099999999999991</v>
      </c>
      <c r="K589" s="285">
        <f t="shared" si="279"/>
        <v>40771.199999999997</v>
      </c>
      <c r="L589" s="286">
        <v>0</v>
      </c>
      <c r="M589" s="286">
        <v>0</v>
      </c>
      <c r="N589" s="285">
        <f t="shared" si="281"/>
        <v>40771.199999999997</v>
      </c>
      <c r="O589" s="616">
        <f t="shared" si="269"/>
        <v>0</v>
      </c>
      <c r="P589" s="289">
        <f t="shared" si="282"/>
        <v>0</v>
      </c>
      <c r="Q589" s="290">
        <f t="shared" si="283"/>
        <v>0</v>
      </c>
      <c r="R589" s="290">
        <f t="shared" si="284"/>
        <v>0</v>
      </c>
      <c r="S589" s="290">
        <f t="shared" si="285"/>
        <v>0</v>
      </c>
      <c r="T589" s="290">
        <f t="shared" si="286"/>
        <v>0</v>
      </c>
      <c r="U589" s="291">
        <f t="shared" si="287"/>
        <v>40771.199999999997</v>
      </c>
      <c r="V589" s="291">
        <f t="shared" si="291"/>
        <v>-40771.199999999997</v>
      </c>
      <c r="W589" s="265">
        <f t="shared" si="288"/>
        <v>0</v>
      </c>
      <c r="X589" s="291">
        <f t="shared" si="292"/>
        <v>-40771.199999999997</v>
      </c>
      <c r="Y589" s="170">
        <f t="shared" si="289"/>
        <v>10081.200000000001</v>
      </c>
      <c r="Z589" s="291">
        <f t="shared" si="290"/>
        <v>-10081.200000000001</v>
      </c>
      <c r="AC589" s="276">
        <f>IF(AI589=1,IF(AC588=MiscData!$F$1,EOMONTH(AC588,-11),EOMONTH(AC588,1)),AC588)</f>
        <v>41912</v>
      </c>
      <c r="AD589" s="275" t="str">
        <f t="shared" si="273"/>
        <v>20140101LGUM_203</v>
      </c>
      <c r="AE589" s="294" t="str">
        <f t="shared" si="274"/>
        <v>20140101RLS</v>
      </c>
      <c r="AF589" s="618" t="str">
        <f t="shared" si="293"/>
        <v>203</v>
      </c>
      <c r="AH589" s="265">
        <f>MiscData!$X$5</f>
        <v>20140101</v>
      </c>
      <c r="AI589" s="265">
        <f>IF(AI588+1&gt;MiscData!$AC$77,1,AI588+1)</f>
        <v>2</v>
      </c>
      <c r="AJ589" s="265" t="str">
        <f>VLOOKUP(AI589,MiscData!$AC$5:$AD$77,2,FALSE)</f>
        <v>LGUM_203</v>
      </c>
      <c r="AK589" s="265" t="str">
        <f>VLOOKUP(AJ589,MiscData!$AD$5:$AE$77,2,FALSE)</f>
        <v>RLS</v>
      </c>
      <c r="AT589" s="265" t="s">
        <v>217</v>
      </c>
      <c r="AV589" s="265">
        <v>46.62</v>
      </c>
    </row>
    <row r="590" spans="1:48">
      <c r="A590" s="275">
        <f t="shared" si="294"/>
        <v>587</v>
      </c>
      <c r="B590" s="276" t="str">
        <f t="shared" si="270"/>
        <v>Sep 2014</v>
      </c>
      <c r="C590" s="277" t="str">
        <f t="shared" si="271"/>
        <v>RLS</v>
      </c>
      <c r="D590" s="277" t="str">
        <f t="shared" si="272"/>
        <v>LGUM_204</v>
      </c>
      <c r="E590" s="614">
        <f t="shared" si="275"/>
        <v>3741</v>
      </c>
      <c r="F590" s="615">
        <v>0</v>
      </c>
      <c r="G590" s="614">
        <f t="shared" si="276"/>
        <v>0</v>
      </c>
      <c r="H590" s="615">
        <v>0</v>
      </c>
      <c r="I590" s="283">
        <f t="shared" si="277"/>
        <v>13.510000000000002</v>
      </c>
      <c r="J590" s="283">
        <f t="shared" si="278"/>
        <v>4.2000000000000011</v>
      </c>
      <c r="K590" s="285">
        <f t="shared" si="279"/>
        <v>50540.91</v>
      </c>
      <c r="L590" s="286">
        <v>0</v>
      </c>
      <c r="M590" s="286">
        <v>0</v>
      </c>
      <c r="N590" s="285">
        <f t="shared" si="281"/>
        <v>50540.91</v>
      </c>
      <c r="O590" s="616">
        <f t="shared" si="269"/>
        <v>0</v>
      </c>
      <c r="P590" s="289">
        <f t="shared" si="282"/>
        <v>0</v>
      </c>
      <c r="Q590" s="290">
        <f t="shared" si="283"/>
        <v>0</v>
      </c>
      <c r="R590" s="290">
        <f t="shared" si="284"/>
        <v>0</v>
      </c>
      <c r="S590" s="290">
        <f t="shared" si="285"/>
        <v>0</v>
      </c>
      <c r="T590" s="290">
        <f t="shared" si="286"/>
        <v>0</v>
      </c>
      <c r="U590" s="291">
        <f t="shared" si="287"/>
        <v>50540.91</v>
      </c>
      <c r="V590" s="291">
        <f t="shared" si="291"/>
        <v>-50540.91</v>
      </c>
      <c r="W590" s="265">
        <f t="shared" si="288"/>
        <v>0</v>
      </c>
      <c r="X590" s="291">
        <f t="shared" si="292"/>
        <v>-50540.91</v>
      </c>
      <c r="Y590" s="170">
        <f t="shared" si="289"/>
        <v>15712.2</v>
      </c>
      <c r="Z590" s="291">
        <f t="shared" si="290"/>
        <v>-15712.2</v>
      </c>
      <c r="AC590" s="276">
        <f>IF(AI590=1,IF(AC589=MiscData!$F$1,EOMONTH(AC589,-11),EOMONTH(AC589,1)),AC589)</f>
        <v>41912</v>
      </c>
      <c r="AD590" s="275" t="str">
        <f t="shared" si="273"/>
        <v>20140101LGUM_204</v>
      </c>
      <c r="AE590" s="294" t="str">
        <f t="shared" si="274"/>
        <v>20140101RLS</v>
      </c>
      <c r="AF590" s="618" t="str">
        <f t="shared" si="293"/>
        <v>204</v>
      </c>
      <c r="AH590" s="265">
        <f>MiscData!$X$5</f>
        <v>20140101</v>
      </c>
      <c r="AI590" s="265">
        <f>IF(AI589+1&gt;MiscData!$AC$77,1,AI589+1)</f>
        <v>3</v>
      </c>
      <c r="AJ590" s="265" t="str">
        <f>VLOOKUP(AI590,MiscData!$AC$5:$AD$77,2,FALSE)</f>
        <v>LGUM_204</v>
      </c>
      <c r="AK590" s="265" t="str">
        <f>VLOOKUP(AJ590,MiscData!$AD$5:$AE$77,2,FALSE)</f>
        <v>RLS</v>
      </c>
      <c r="AT590" s="265" t="s">
        <v>536</v>
      </c>
      <c r="AV590" s="265">
        <v>0</v>
      </c>
    </row>
    <row r="591" spans="1:48">
      <c r="A591" s="275">
        <f t="shared" si="294"/>
        <v>588</v>
      </c>
      <c r="B591" s="276" t="str">
        <f t="shared" si="270"/>
        <v>Sep 2014</v>
      </c>
      <c r="C591" s="277" t="str">
        <f t="shared" si="271"/>
        <v>RLS</v>
      </c>
      <c r="D591" s="277" t="str">
        <f t="shared" si="272"/>
        <v>LGUM_206</v>
      </c>
      <c r="E591" s="614">
        <f t="shared" si="275"/>
        <v>93</v>
      </c>
      <c r="F591" s="615">
        <v>0</v>
      </c>
      <c r="G591" s="614">
        <f t="shared" si="276"/>
        <v>0</v>
      </c>
      <c r="H591" s="615">
        <v>0</v>
      </c>
      <c r="I591" s="283">
        <f t="shared" si="277"/>
        <v>12.450000000000001</v>
      </c>
      <c r="J591" s="283">
        <f t="shared" si="278"/>
        <v>1.0899999999999999</v>
      </c>
      <c r="K591" s="285">
        <f t="shared" si="279"/>
        <v>1157.8499999999999</v>
      </c>
      <c r="L591" s="286">
        <v>0</v>
      </c>
      <c r="M591" s="286">
        <v>0</v>
      </c>
      <c r="N591" s="285">
        <f t="shared" si="281"/>
        <v>1157.8499999999999</v>
      </c>
      <c r="O591" s="616">
        <f t="shared" si="269"/>
        <v>0</v>
      </c>
      <c r="P591" s="289">
        <f t="shared" si="282"/>
        <v>0</v>
      </c>
      <c r="Q591" s="290">
        <f t="shared" si="283"/>
        <v>0</v>
      </c>
      <c r="R591" s="290">
        <f t="shared" si="284"/>
        <v>0</v>
      </c>
      <c r="S591" s="290">
        <f t="shared" si="285"/>
        <v>0</v>
      </c>
      <c r="T591" s="290">
        <f t="shared" si="286"/>
        <v>0</v>
      </c>
      <c r="U591" s="291">
        <f t="shared" si="287"/>
        <v>1157.8499999999999</v>
      </c>
      <c r="V591" s="291">
        <f t="shared" si="291"/>
        <v>-1157.8499999999999</v>
      </c>
      <c r="W591" s="265">
        <f t="shared" si="288"/>
        <v>0</v>
      </c>
      <c r="X591" s="291">
        <f t="shared" si="292"/>
        <v>-1157.8499999999999</v>
      </c>
      <c r="Y591" s="170">
        <f t="shared" si="289"/>
        <v>101.37</v>
      </c>
      <c r="Z591" s="291">
        <f t="shared" si="290"/>
        <v>-101.37</v>
      </c>
      <c r="AC591" s="276">
        <f>IF(AI591=1,IF(AC590=MiscData!$F$1,EOMONTH(AC590,-11),EOMONTH(AC590,1)),AC590)</f>
        <v>41912</v>
      </c>
      <c r="AD591" s="275" t="str">
        <f t="shared" si="273"/>
        <v>20140101LGUM_206</v>
      </c>
      <c r="AE591" s="294" t="str">
        <f t="shared" si="274"/>
        <v>20140101RLS</v>
      </c>
      <c r="AF591" s="618" t="str">
        <f t="shared" si="293"/>
        <v>206</v>
      </c>
      <c r="AH591" s="265">
        <f>MiscData!$X$5</f>
        <v>20140101</v>
      </c>
      <c r="AI591" s="265">
        <f>IF(AI590+1&gt;MiscData!$AC$77,1,AI590+1)</f>
        <v>4</v>
      </c>
      <c r="AJ591" s="265" t="str">
        <f>VLOOKUP(AI591,MiscData!$AC$5:$AD$77,2,FALSE)</f>
        <v>LGUM_206</v>
      </c>
      <c r="AK591" s="265" t="str">
        <f>VLOOKUP(AJ591,MiscData!$AD$5:$AE$77,2,FALSE)</f>
        <v>RLS</v>
      </c>
      <c r="AT591" s="265" t="s">
        <v>218</v>
      </c>
      <c r="AV591" s="265">
        <v>-5.19</v>
      </c>
    </row>
    <row r="592" spans="1:48">
      <c r="A592" s="275">
        <f t="shared" si="294"/>
        <v>589</v>
      </c>
      <c r="B592" s="276" t="str">
        <f t="shared" si="270"/>
        <v>Sep 2014</v>
      </c>
      <c r="C592" s="277" t="str">
        <f t="shared" si="271"/>
        <v>RLS</v>
      </c>
      <c r="D592" s="277" t="str">
        <f t="shared" si="272"/>
        <v>LGUM_207</v>
      </c>
      <c r="E592" s="614">
        <f t="shared" si="275"/>
        <v>727</v>
      </c>
      <c r="F592" s="615">
        <v>0</v>
      </c>
      <c r="G592" s="614">
        <f t="shared" si="276"/>
        <v>0</v>
      </c>
      <c r="H592" s="615">
        <v>0</v>
      </c>
      <c r="I592" s="283">
        <f t="shared" si="277"/>
        <v>15.54</v>
      </c>
      <c r="J592" s="283">
        <f t="shared" si="278"/>
        <v>4.2000000000000011</v>
      </c>
      <c r="K592" s="285">
        <f t="shared" si="279"/>
        <v>11297.58</v>
      </c>
      <c r="L592" s="286">
        <v>0</v>
      </c>
      <c r="M592" s="286">
        <v>0</v>
      </c>
      <c r="N592" s="285">
        <f t="shared" si="281"/>
        <v>11297.58</v>
      </c>
      <c r="O592" s="616">
        <f t="shared" si="269"/>
        <v>0</v>
      </c>
      <c r="P592" s="289">
        <f t="shared" si="282"/>
        <v>0</v>
      </c>
      <c r="Q592" s="290">
        <f t="shared" si="283"/>
        <v>0</v>
      </c>
      <c r="R592" s="290">
        <f t="shared" si="284"/>
        <v>0</v>
      </c>
      <c r="S592" s="290">
        <f t="shared" si="285"/>
        <v>0</v>
      </c>
      <c r="T592" s="290">
        <f t="shared" si="286"/>
        <v>0</v>
      </c>
      <c r="U592" s="291">
        <f t="shared" si="287"/>
        <v>11297.58</v>
      </c>
      <c r="V592" s="291">
        <f t="shared" si="291"/>
        <v>-11297.58</v>
      </c>
      <c r="W592" s="265">
        <f t="shared" si="288"/>
        <v>0</v>
      </c>
      <c r="X592" s="291">
        <f t="shared" si="292"/>
        <v>-11297.58</v>
      </c>
      <c r="Y592" s="170">
        <f t="shared" si="289"/>
        <v>3053.4</v>
      </c>
      <c r="Z592" s="291">
        <f t="shared" si="290"/>
        <v>-3053.4</v>
      </c>
      <c r="AC592" s="276">
        <f>IF(AI592=1,IF(AC591=MiscData!$F$1,EOMONTH(AC591,-11),EOMONTH(AC591,1)),AC591)</f>
        <v>41912</v>
      </c>
      <c r="AD592" s="275" t="str">
        <f t="shared" si="273"/>
        <v>20140101LGUM_207</v>
      </c>
      <c r="AE592" s="294" t="str">
        <f t="shared" si="274"/>
        <v>20140101RLS</v>
      </c>
      <c r="AF592" s="618" t="str">
        <f t="shared" si="293"/>
        <v>207</v>
      </c>
      <c r="AH592" s="265">
        <f>MiscData!$X$5</f>
        <v>20140101</v>
      </c>
      <c r="AI592" s="265">
        <f>IF(AI591+1&gt;MiscData!$AC$77,1,AI591+1)</f>
        <v>5</v>
      </c>
      <c r="AJ592" s="265" t="str">
        <f>VLOOKUP(AI592,MiscData!$AC$5:$AD$77,2,FALSE)</f>
        <v>LGUM_207</v>
      </c>
      <c r="AK592" s="265" t="str">
        <f>VLOOKUP(AJ592,MiscData!$AD$5:$AE$77,2,FALSE)</f>
        <v>RLS</v>
      </c>
      <c r="AT592" s="265" t="s">
        <v>219</v>
      </c>
      <c r="AV592" s="265">
        <v>0</v>
      </c>
    </row>
    <row r="593" spans="1:48">
      <c r="A593" s="275">
        <f t="shared" si="294"/>
        <v>590</v>
      </c>
      <c r="B593" s="276" t="str">
        <f t="shared" si="270"/>
        <v>Sep 2014</v>
      </c>
      <c r="C593" s="277" t="str">
        <f t="shared" si="271"/>
        <v>RLS</v>
      </c>
      <c r="D593" s="277" t="str">
        <f t="shared" si="272"/>
        <v>LGUM_208</v>
      </c>
      <c r="E593" s="614">
        <f t="shared" si="275"/>
        <v>1310</v>
      </c>
      <c r="F593" s="615">
        <v>0</v>
      </c>
      <c r="G593" s="614">
        <f t="shared" si="276"/>
        <v>0</v>
      </c>
      <c r="H593" s="615">
        <v>0</v>
      </c>
      <c r="I593" s="283">
        <f t="shared" si="277"/>
        <v>14.24</v>
      </c>
      <c r="J593" s="283">
        <f t="shared" si="278"/>
        <v>1.9100000000000001</v>
      </c>
      <c r="K593" s="285">
        <f t="shared" si="279"/>
        <v>18654.400000000001</v>
      </c>
      <c r="L593" s="286">
        <v>0</v>
      </c>
      <c r="M593" s="286">
        <v>0</v>
      </c>
      <c r="N593" s="285">
        <f t="shared" si="281"/>
        <v>18654.400000000001</v>
      </c>
      <c r="O593" s="616">
        <f t="shared" si="269"/>
        <v>0</v>
      </c>
      <c r="P593" s="289">
        <f t="shared" si="282"/>
        <v>0</v>
      </c>
      <c r="Q593" s="290">
        <f t="shared" si="283"/>
        <v>0</v>
      </c>
      <c r="R593" s="290">
        <f t="shared" si="284"/>
        <v>0</v>
      </c>
      <c r="S593" s="290">
        <f t="shared" si="285"/>
        <v>0</v>
      </c>
      <c r="T593" s="290">
        <f t="shared" si="286"/>
        <v>0</v>
      </c>
      <c r="U593" s="291">
        <f t="shared" si="287"/>
        <v>18654.400000000001</v>
      </c>
      <c r="V593" s="291">
        <f t="shared" si="291"/>
        <v>-18654.400000000001</v>
      </c>
      <c r="W593" s="265">
        <f t="shared" si="288"/>
        <v>0</v>
      </c>
      <c r="X593" s="291">
        <f t="shared" si="292"/>
        <v>-18654.400000000001</v>
      </c>
      <c r="Y593" s="170">
        <f t="shared" si="289"/>
        <v>2502.1</v>
      </c>
      <c r="Z593" s="291">
        <f t="shared" si="290"/>
        <v>-2502.1</v>
      </c>
      <c r="AC593" s="276">
        <f>IF(AI593=1,IF(AC592=MiscData!$F$1,EOMONTH(AC592,-11),EOMONTH(AC592,1)),AC592)</f>
        <v>41912</v>
      </c>
      <c r="AD593" s="275" t="str">
        <f t="shared" si="273"/>
        <v>20140101LGUM_208</v>
      </c>
      <c r="AE593" s="294" t="str">
        <f t="shared" si="274"/>
        <v>20140101RLS</v>
      </c>
      <c r="AF593" s="618" t="str">
        <f t="shared" si="293"/>
        <v>208</v>
      </c>
      <c r="AH593" s="265">
        <f>MiscData!$X$5</f>
        <v>20140101</v>
      </c>
      <c r="AI593" s="265">
        <f>IF(AI592+1&gt;MiscData!$AC$77,1,AI592+1)</f>
        <v>6</v>
      </c>
      <c r="AJ593" s="265" t="str">
        <f>VLOOKUP(AI593,MiscData!$AC$5:$AD$77,2,FALSE)</f>
        <v>LGUM_208</v>
      </c>
      <c r="AK593" s="265" t="str">
        <f>VLOOKUP(AJ593,MiscData!$AD$5:$AE$77,2,FALSE)</f>
        <v>RLS</v>
      </c>
      <c r="AT593" s="265" t="s">
        <v>220</v>
      </c>
      <c r="AV593" s="265">
        <v>0</v>
      </c>
    </row>
    <row r="594" spans="1:48">
      <c r="A594" s="275">
        <f t="shared" si="294"/>
        <v>591</v>
      </c>
      <c r="B594" s="276" t="str">
        <f t="shared" si="270"/>
        <v>Sep 2014</v>
      </c>
      <c r="C594" s="277" t="str">
        <f t="shared" si="271"/>
        <v>RLS</v>
      </c>
      <c r="D594" s="277" t="str">
        <f t="shared" si="272"/>
        <v>LGUM_209</v>
      </c>
      <c r="E594" s="614">
        <f t="shared" si="275"/>
        <v>43</v>
      </c>
      <c r="F594" s="615">
        <v>0</v>
      </c>
      <c r="G594" s="614">
        <f t="shared" si="276"/>
        <v>0</v>
      </c>
      <c r="H594" s="615">
        <v>0</v>
      </c>
      <c r="I594" s="283">
        <f t="shared" si="277"/>
        <v>27.69</v>
      </c>
      <c r="J594" s="283">
        <f t="shared" si="278"/>
        <v>10.170000000000002</v>
      </c>
      <c r="K594" s="285">
        <f t="shared" si="279"/>
        <v>1190.67</v>
      </c>
      <c r="L594" s="286">
        <v>0</v>
      </c>
      <c r="M594" s="286">
        <v>0</v>
      </c>
      <c r="N594" s="285">
        <f t="shared" si="281"/>
        <v>1190.67</v>
      </c>
      <c r="O594" s="616">
        <f t="shared" si="269"/>
        <v>0</v>
      </c>
      <c r="P594" s="289">
        <f t="shared" si="282"/>
        <v>0</v>
      </c>
      <c r="Q594" s="290">
        <f t="shared" si="283"/>
        <v>0</v>
      </c>
      <c r="R594" s="290">
        <f t="shared" si="284"/>
        <v>0</v>
      </c>
      <c r="S594" s="290">
        <f t="shared" si="285"/>
        <v>0</v>
      </c>
      <c r="T594" s="290">
        <f t="shared" si="286"/>
        <v>0</v>
      </c>
      <c r="U594" s="291">
        <f t="shared" si="287"/>
        <v>1190.67</v>
      </c>
      <c r="V594" s="291">
        <f t="shared" si="291"/>
        <v>-1190.67</v>
      </c>
      <c r="W594" s="265">
        <f t="shared" si="288"/>
        <v>0</v>
      </c>
      <c r="X594" s="291">
        <f t="shared" si="292"/>
        <v>-1190.67</v>
      </c>
      <c r="Y594" s="170">
        <f t="shared" si="289"/>
        <v>437.31</v>
      </c>
      <c r="Z594" s="291">
        <f t="shared" si="290"/>
        <v>-437.31</v>
      </c>
      <c r="AC594" s="276">
        <f>IF(AI594=1,IF(AC593=MiscData!$F$1,EOMONTH(AC593,-11),EOMONTH(AC593,1)),AC593)</f>
        <v>41912</v>
      </c>
      <c r="AD594" s="275" t="str">
        <f t="shared" si="273"/>
        <v>20140101LGUM_209</v>
      </c>
      <c r="AE594" s="294" t="str">
        <f t="shared" si="274"/>
        <v>20140101RLS</v>
      </c>
      <c r="AF594" s="618" t="str">
        <f t="shared" si="293"/>
        <v>209</v>
      </c>
      <c r="AH594" s="265">
        <f>MiscData!$X$5</f>
        <v>20140101</v>
      </c>
      <c r="AI594" s="265">
        <f>IF(AI593+1&gt;MiscData!$AC$77,1,AI593+1)</f>
        <v>7</v>
      </c>
      <c r="AJ594" s="265" t="str">
        <f>VLOOKUP(AI594,MiscData!$AC$5:$AD$77,2,FALSE)</f>
        <v>LGUM_209</v>
      </c>
      <c r="AK594" s="265" t="str">
        <f>VLOOKUP(AJ594,MiscData!$AD$5:$AE$77,2,FALSE)</f>
        <v>RLS</v>
      </c>
      <c r="AT594" s="265" t="s">
        <v>221</v>
      </c>
      <c r="AV594" s="265">
        <v>-15.73</v>
      </c>
    </row>
    <row r="595" spans="1:48">
      <c r="A595" s="275">
        <f t="shared" si="294"/>
        <v>592</v>
      </c>
      <c r="B595" s="276" t="str">
        <f t="shared" si="270"/>
        <v>Sep 2014</v>
      </c>
      <c r="C595" s="277" t="str">
        <f t="shared" si="271"/>
        <v>RLS</v>
      </c>
      <c r="D595" s="277" t="str">
        <f t="shared" si="272"/>
        <v>LGUM_210</v>
      </c>
      <c r="E595" s="614">
        <f t="shared" si="275"/>
        <v>370</v>
      </c>
      <c r="F595" s="615">
        <v>0</v>
      </c>
      <c r="G595" s="614">
        <f t="shared" si="276"/>
        <v>0</v>
      </c>
      <c r="H595" s="615">
        <v>0</v>
      </c>
      <c r="I595" s="283">
        <f t="shared" si="277"/>
        <v>28.89</v>
      </c>
      <c r="J595" s="283">
        <f t="shared" si="278"/>
        <v>10.170000000000002</v>
      </c>
      <c r="K595" s="285">
        <f t="shared" si="279"/>
        <v>10689.3</v>
      </c>
      <c r="L595" s="286">
        <v>0</v>
      </c>
      <c r="M595" s="286">
        <v>0</v>
      </c>
      <c r="N595" s="285">
        <f t="shared" si="281"/>
        <v>10689.3</v>
      </c>
      <c r="O595" s="616">
        <f t="shared" si="269"/>
        <v>0</v>
      </c>
      <c r="P595" s="289">
        <f t="shared" si="282"/>
        <v>0</v>
      </c>
      <c r="Q595" s="290">
        <f t="shared" si="283"/>
        <v>0</v>
      </c>
      <c r="R595" s="290">
        <f t="shared" si="284"/>
        <v>0</v>
      </c>
      <c r="S595" s="290">
        <f t="shared" si="285"/>
        <v>0</v>
      </c>
      <c r="T595" s="290">
        <f t="shared" si="286"/>
        <v>0</v>
      </c>
      <c r="U595" s="291">
        <f t="shared" si="287"/>
        <v>10689.3</v>
      </c>
      <c r="V595" s="291">
        <f t="shared" si="291"/>
        <v>-10689.3</v>
      </c>
      <c r="W595" s="265">
        <f t="shared" si="288"/>
        <v>0</v>
      </c>
      <c r="X595" s="291">
        <f t="shared" si="292"/>
        <v>-10689.3</v>
      </c>
      <c r="Y595" s="170">
        <f t="shared" si="289"/>
        <v>3762.9</v>
      </c>
      <c r="Z595" s="291">
        <f t="shared" si="290"/>
        <v>-3762.9</v>
      </c>
      <c r="AC595" s="276">
        <f>IF(AI595=1,IF(AC594=MiscData!$F$1,EOMONTH(AC594,-11),EOMONTH(AC594,1)),AC594)</f>
        <v>41912</v>
      </c>
      <c r="AD595" s="275" t="str">
        <f t="shared" si="273"/>
        <v>20140101LGUM_210</v>
      </c>
      <c r="AE595" s="294" t="str">
        <f t="shared" si="274"/>
        <v>20140101RLS</v>
      </c>
      <c r="AF595" s="618" t="str">
        <f t="shared" si="293"/>
        <v>210</v>
      </c>
      <c r="AH595" s="265">
        <f>MiscData!$X$5</f>
        <v>20140101</v>
      </c>
      <c r="AI595" s="265">
        <f>IF(AI594+1&gt;MiscData!$AC$77,1,AI594+1)</f>
        <v>8</v>
      </c>
      <c r="AJ595" s="265" t="str">
        <f>VLOOKUP(AI595,MiscData!$AC$5:$AD$77,2,FALSE)</f>
        <v>LGUM_210</v>
      </c>
      <c r="AK595" s="265" t="str">
        <f>VLOOKUP(AJ595,MiscData!$AD$5:$AE$77,2,FALSE)</f>
        <v>RLS</v>
      </c>
      <c r="AT595" s="265" t="s">
        <v>222</v>
      </c>
      <c r="AV595" s="265">
        <v>-55.06</v>
      </c>
    </row>
    <row r="596" spans="1:48">
      <c r="A596" s="275">
        <f t="shared" si="294"/>
        <v>593</v>
      </c>
      <c r="B596" s="276" t="str">
        <f t="shared" si="270"/>
        <v>Sep 2014</v>
      </c>
      <c r="C596" s="277" t="str">
        <f t="shared" si="271"/>
        <v>RLS</v>
      </c>
      <c r="D596" s="277" t="str">
        <f t="shared" si="272"/>
        <v>LGUM_252</v>
      </c>
      <c r="E596" s="614">
        <f t="shared" si="275"/>
        <v>3942</v>
      </c>
      <c r="F596" s="615">
        <v>0</v>
      </c>
      <c r="G596" s="614">
        <f t="shared" si="276"/>
        <v>0</v>
      </c>
      <c r="H596" s="615">
        <v>0</v>
      </c>
      <c r="I596" s="283">
        <f t="shared" si="277"/>
        <v>9.57</v>
      </c>
      <c r="J596" s="283">
        <f t="shared" si="278"/>
        <v>1.9099999999999993</v>
      </c>
      <c r="K596" s="285">
        <f t="shared" si="279"/>
        <v>37724.94</v>
      </c>
      <c r="L596" s="286">
        <v>0</v>
      </c>
      <c r="M596" s="286">
        <v>0</v>
      </c>
      <c r="N596" s="285">
        <f t="shared" si="281"/>
        <v>37724.94</v>
      </c>
      <c r="O596" s="616">
        <f t="shared" si="269"/>
        <v>0</v>
      </c>
      <c r="P596" s="289">
        <f t="shared" si="282"/>
        <v>0</v>
      </c>
      <c r="Q596" s="290">
        <f t="shared" si="283"/>
        <v>0</v>
      </c>
      <c r="R596" s="290">
        <f t="shared" si="284"/>
        <v>0</v>
      </c>
      <c r="S596" s="290">
        <f t="shared" si="285"/>
        <v>0</v>
      </c>
      <c r="T596" s="290">
        <f t="shared" si="286"/>
        <v>0</v>
      </c>
      <c r="U596" s="291">
        <f t="shared" si="287"/>
        <v>37724.94</v>
      </c>
      <c r="V596" s="291">
        <f t="shared" si="291"/>
        <v>-37724.94</v>
      </c>
      <c r="W596" s="265">
        <f t="shared" si="288"/>
        <v>0</v>
      </c>
      <c r="X596" s="291">
        <f t="shared" si="292"/>
        <v>-37724.94</v>
      </c>
      <c r="Y596" s="170">
        <f t="shared" si="289"/>
        <v>7529.22</v>
      </c>
      <c r="Z596" s="291">
        <f t="shared" si="290"/>
        <v>-7529.22</v>
      </c>
      <c r="AC596" s="276">
        <f>IF(AI596=1,IF(AC595=MiscData!$F$1,EOMONTH(AC595,-11),EOMONTH(AC595,1)),AC595)</f>
        <v>41912</v>
      </c>
      <c r="AD596" s="275" t="str">
        <f t="shared" si="273"/>
        <v>20140101LGUM_252</v>
      </c>
      <c r="AE596" s="294" t="str">
        <f t="shared" si="274"/>
        <v>20140101RLS</v>
      </c>
      <c r="AF596" s="618" t="str">
        <f t="shared" si="293"/>
        <v>252</v>
      </c>
      <c r="AH596" s="265">
        <f>MiscData!$X$5</f>
        <v>20140101</v>
      </c>
      <c r="AI596" s="265">
        <f>IF(AI595+1&gt;MiscData!$AC$77,1,AI595+1)</f>
        <v>9</v>
      </c>
      <c r="AJ596" s="265" t="str">
        <f>VLOOKUP(AI596,MiscData!$AC$5:$AD$77,2,FALSE)</f>
        <v>LGUM_252</v>
      </c>
      <c r="AK596" s="265" t="str">
        <f>VLOOKUP(AJ596,MiscData!$AD$5:$AE$77,2,FALSE)</f>
        <v>RLS</v>
      </c>
      <c r="AT596" s="265" t="s">
        <v>223</v>
      </c>
      <c r="AV596" s="265">
        <v>-147.5</v>
      </c>
    </row>
    <row r="597" spans="1:48">
      <c r="A597" s="275">
        <f t="shared" si="294"/>
        <v>594</v>
      </c>
      <c r="B597" s="276" t="str">
        <f t="shared" si="270"/>
        <v>Sep 2014</v>
      </c>
      <c r="C597" s="277" t="str">
        <f t="shared" si="271"/>
        <v>RLS</v>
      </c>
      <c r="D597" s="277" t="str">
        <f t="shared" si="272"/>
        <v>LGUM_266</v>
      </c>
      <c r="E597" s="614">
        <f t="shared" si="275"/>
        <v>1956</v>
      </c>
      <c r="F597" s="615">
        <v>0</v>
      </c>
      <c r="G597" s="614">
        <f t="shared" si="276"/>
        <v>0</v>
      </c>
      <c r="H597" s="615">
        <v>0</v>
      </c>
      <c r="I597" s="283">
        <f t="shared" si="277"/>
        <v>27.34</v>
      </c>
      <c r="J597" s="283">
        <f t="shared" si="278"/>
        <v>2.8000000000000007</v>
      </c>
      <c r="K597" s="285">
        <f t="shared" si="279"/>
        <v>53477.04</v>
      </c>
      <c r="L597" s="286">
        <v>0</v>
      </c>
      <c r="M597" s="286">
        <v>0</v>
      </c>
      <c r="N597" s="285">
        <f t="shared" si="281"/>
        <v>53477.04</v>
      </c>
      <c r="O597" s="616">
        <f t="shared" si="269"/>
        <v>0</v>
      </c>
      <c r="P597" s="289">
        <f t="shared" si="282"/>
        <v>0</v>
      </c>
      <c r="Q597" s="290">
        <f t="shared" si="283"/>
        <v>0</v>
      </c>
      <c r="R597" s="290">
        <f t="shared" si="284"/>
        <v>0</v>
      </c>
      <c r="S597" s="290">
        <f t="shared" si="285"/>
        <v>0</v>
      </c>
      <c r="T597" s="290">
        <f t="shared" si="286"/>
        <v>0</v>
      </c>
      <c r="U597" s="291">
        <f t="shared" si="287"/>
        <v>53477.04</v>
      </c>
      <c r="V597" s="291">
        <f t="shared" si="291"/>
        <v>-53477.04</v>
      </c>
      <c r="W597" s="265">
        <f t="shared" si="288"/>
        <v>0</v>
      </c>
      <c r="X597" s="291">
        <f t="shared" si="292"/>
        <v>-53477.04</v>
      </c>
      <c r="Y597" s="170">
        <f t="shared" si="289"/>
        <v>5476.8</v>
      </c>
      <c r="Z597" s="291">
        <f t="shared" si="290"/>
        <v>-5476.8</v>
      </c>
      <c r="AC597" s="276">
        <f>IF(AI597=1,IF(AC596=MiscData!$F$1,EOMONTH(AC596,-11),EOMONTH(AC596,1)),AC596)</f>
        <v>41912</v>
      </c>
      <c r="AD597" s="275" t="str">
        <f t="shared" si="273"/>
        <v>20140101LGUM_266</v>
      </c>
      <c r="AE597" s="294" t="str">
        <f t="shared" si="274"/>
        <v>20140101RLS</v>
      </c>
      <c r="AF597" s="618" t="str">
        <f t="shared" si="293"/>
        <v>266</v>
      </c>
      <c r="AH597" s="265">
        <f>MiscData!$X$5</f>
        <v>20140101</v>
      </c>
      <c r="AI597" s="265">
        <f>IF(AI596+1&gt;MiscData!$AC$77,1,AI596+1)</f>
        <v>10</v>
      </c>
      <c r="AJ597" s="265" t="str">
        <f>VLOOKUP(AI597,MiscData!$AC$5:$AD$77,2,FALSE)</f>
        <v>LGUM_266</v>
      </c>
      <c r="AK597" s="265" t="str">
        <f>VLOOKUP(AJ597,MiscData!$AD$5:$AE$77,2,FALSE)</f>
        <v>RLS</v>
      </c>
      <c r="AT597" s="265" t="s">
        <v>224</v>
      </c>
      <c r="AV597" s="265">
        <v>-972.67</v>
      </c>
    </row>
    <row r="598" spans="1:48">
      <c r="A598" s="275">
        <f t="shared" si="294"/>
        <v>595</v>
      </c>
      <c r="B598" s="276" t="str">
        <f t="shared" si="270"/>
        <v>Sep 2014</v>
      </c>
      <c r="C598" s="277" t="str">
        <f t="shared" si="271"/>
        <v>RLS</v>
      </c>
      <c r="D598" s="277" t="str">
        <f t="shared" si="272"/>
        <v>LGUM_267</v>
      </c>
      <c r="E598" s="614">
        <f t="shared" si="275"/>
        <v>2153</v>
      </c>
      <c r="F598" s="615">
        <v>0</v>
      </c>
      <c r="G598" s="614">
        <f t="shared" si="276"/>
        <v>0</v>
      </c>
      <c r="H598" s="615">
        <v>0</v>
      </c>
      <c r="I598" s="283">
        <f t="shared" si="277"/>
        <v>31.4</v>
      </c>
      <c r="J598" s="283">
        <f t="shared" si="278"/>
        <v>4.4499999999999993</v>
      </c>
      <c r="K598" s="285">
        <f t="shared" si="279"/>
        <v>67604.2</v>
      </c>
      <c r="L598" s="286">
        <v>0</v>
      </c>
      <c r="M598" s="286">
        <v>0</v>
      </c>
      <c r="N598" s="285">
        <f t="shared" si="281"/>
        <v>67604.2</v>
      </c>
      <c r="O598" s="616">
        <f t="shared" si="269"/>
        <v>0</v>
      </c>
      <c r="P598" s="289">
        <f t="shared" si="282"/>
        <v>0</v>
      </c>
      <c r="Q598" s="290">
        <f t="shared" si="283"/>
        <v>0</v>
      </c>
      <c r="R598" s="290">
        <f t="shared" si="284"/>
        <v>0</v>
      </c>
      <c r="S598" s="290">
        <f t="shared" si="285"/>
        <v>0</v>
      </c>
      <c r="T598" s="290">
        <f t="shared" si="286"/>
        <v>0</v>
      </c>
      <c r="U598" s="291">
        <f t="shared" si="287"/>
        <v>67604.2</v>
      </c>
      <c r="V598" s="291">
        <f t="shared" si="291"/>
        <v>-67604.2</v>
      </c>
      <c r="W598" s="265">
        <f t="shared" si="288"/>
        <v>0</v>
      </c>
      <c r="X598" s="291">
        <f t="shared" si="292"/>
        <v>-67604.2</v>
      </c>
      <c r="Y598" s="170">
        <f t="shared" si="289"/>
        <v>9580.85</v>
      </c>
      <c r="Z598" s="291">
        <f t="shared" si="290"/>
        <v>-9580.85</v>
      </c>
      <c r="AC598" s="276">
        <f>IF(AI598=1,IF(AC597=MiscData!$F$1,EOMONTH(AC597,-11),EOMONTH(AC597,1)),AC597)</f>
        <v>41912</v>
      </c>
      <c r="AD598" s="275" t="str">
        <f t="shared" si="273"/>
        <v>20140101LGUM_267</v>
      </c>
      <c r="AE598" s="294" t="str">
        <f t="shared" si="274"/>
        <v>20140101RLS</v>
      </c>
      <c r="AF598" s="618" t="str">
        <f t="shared" si="293"/>
        <v>267</v>
      </c>
      <c r="AH598" s="265">
        <f>MiscData!$X$5</f>
        <v>20140101</v>
      </c>
      <c r="AI598" s="265">
        <f>IF(AI597+1&gt;MiscData!$AC$77,1,AI597+1)</f>
        <v>11</v>
      </c>
      <c r="AJ598" s="265" t="str">
        <f>VLOOKUP(AI598,MiscData!$AC$5:$AD$77,2,FALSE)</f>
        <v>LGUM_267</v>
      </c>
      <c r="AK598" s="265" t="str">
        <f>VLOOKUP(AJ598,MiscData!$AD$5:$AE$77,2,FALSE)</f>
        <v>RLS</v>
      </c>
      <c r="AT598" s="265" t="s">
        <v>225</v>
      </c>
      <c r="AV598" s="265">
        <v>-175.87</v>
      </c>
    </row>
    <row r="599" spans="1:48">
      <c r="A599" s="275">
        <f t="shared" si="294"/>
        <v>596</v>
      </c>
      <c r="B599" s="276" t="str">
        <f t="shared" si="270"/>
        <v>Sep 2014</v>
      </c>
      <c r="C599" s="277" t="str">
        <f t="shared" si="271"/>
        <v>RLS</v>
      </c>
      <c r="D599" s="277" t="str">
        <f t="shared" si="272"/>
        <v>LGUM_274</v>
      </c>
      <c r="E599" s="614">
        <f t="shared" si="275"/>
        <v>16123</v>
      </c>
      <c r="F599" s="615">
        <v>0</v>
      </c>
      <c r="G599" s="614">
        <f t="shared" si="276"/>
        <v>0</v>
      </c>
      <c r="H599" s="615">
        <v>0</v>
      </c>
      <c r="I599" s="283">
        <f t="shared" si="277"/>
        <v>17.189999999999998</v>
      </c>
      <c r="J599" s="283">
        <f t="shared" si="278"/>
        <v>1.2699999999999996</v>
      </c>
      <c r="K599" s="285">
        <f t="shared" si="279"/>
        <v>277154.37</v>
      </c>
      <c r="L599" s="286">
        <v>0</v>
      </c>
      <c r="M599" s="286">
        <v>0</v>
      </c>
      <c r="N599" s="285">
        <f t="shared" si="281"/>
        <v>277154.37</v>
      </c>
      <c r="O599" s="616">
        <f t="shared" si="269"/>
        <v>0</v>
      </c>
      <c r="P599" s="289">
        <f t="shared" si="282"/>
        <v>0</v>
      </c>
      <c r="Q599" s="290">
        <f t="shared" si="283"/>
        <v>0</v>
      </c>
      <c r="R599" s="290">
        <f t="shared" si="284"/>
        <v>0</v>
      </c>
      <c r="S599" s="290">
        <f t="shared" si="285"/>
        <v>0</v>
      </c>
      <c r="T599" s="290">
        <f t="shared" si="286"/>
        <v>0</v>
      </c>
      <c r="U599" s="291">
        <f t="shared" si="287"/>
        <v>277154.37</v>
      </c>
      <c r="V599" s="291">
        <f t="shared" si="291"/>
        <v>-277154.37</v>
      </c>
      <c r="W599" s="265">
        <f t="shared" si="288"/>
        <v>0</v>
      </c>
      <c r="X599" s="291">
        <f t="shared" si="292"/>
        <v>-277154.37</v>
      </c>
      <c r="Y599" s="170">
        <f t="shared" si="289"/>
        <v>20476.21</v>
      </c>
      <c r="Z599" s="291">
        <f t="shared" si="290"/>
        <v>-20476.21</v>
      </c>
      <c r="AC599" s="276">
        <f>IF(AI599=1,IF(AC598=MiscData!$F$1,EOMONTH(AC598,-11),EOMONTH(AC598,1)),AC598)</f>
        <v>41912</v>
      </c>
      <c r="AD599" s="275" t="str">
        <f t="shared" si="273"/>
        <v>20140101LGUM_274</v>
      </c>
      <c r="AE599" s="294" t="str">
        <f t="shared" si="274"/>
        <v>20140101RLS</v>
      </c>
      <c r="AF599" s="618" t="str">
        <f t="shared" si="293"/>
        <v>274</v>
      </c>
      <c r="AH599" s="265">
        <f>MiscData!$X$5</f>
        <v>20140101</v>
      </c>
      <c r="AI599" s="265">
        <f>IF(AI598+1&gt;MiscData!$AC$77,1,AI598+1)</f>
        <v>12</v>
      </c>
      <c r="AJ599" s="265" t="str">
        <f>VLOOKUP(AI599,MiscData!$AC$5:$AD$77,2,FALSE)</f>
        <v>LGUM_274</v>
      </c>
      <c r="AK599" s="265" t="str">
        <f>VLOOKUP(AJ599,MiscData!$AD$5:$AE$77,2,FALSE)</f>
        <v>RLS</v>
      </c>
      <c r="AT599" s="265" t="s">
        <v>226</v>
      </c>
      <c r="AV599" s="265">
        <v>-51</v>
      </c>
    </row>
    <row r="600" spans="1:48">
      <c r="A600" s="275">
        <f t="shared" si="294"/>
        <v>597</v>
      </c>
      <c r="B600" s="276" t="str">
        <f t="shared" si="270"/>
        <v>Sep 2014</v>
      </c>
      <c r="C600" s="277" t="str">
        <f t="shared" si="271"/>
        <v>RLS</v>
      </c>
      <c r="D600" s="277" t="str">
        <f t="shared" si="272"/>
        <v>LGUM_275</v>
      </c>
      <c r="E600" s="614">
        <f t="shared" si="275"/>
        <v>494</v>
      </c>
      <c r="F600" s="615">
        <v>0</v>
      </c>
      <c r="G600" s="614">
        <f t="shared" si="276"/>
        <v>0</v>
      </c>
      <c r="H600" s="615">
        <v>0</v>
      </c>
      <c r="I600" s="283">
        <f t="shared" si="277"/>
        <v>24.89</v>
      </c>
      <c r="J600" s="283">
        <f t="shared" si="278"/>
        <v>1.7899999999999991</v>
      </c>
      <c r="K600" s="285">
        <f t="shared" si="279"/>
        <v>12295.66</v>
      </c>
      <c r="L600" s="286">
        <v>0</v>
      </c>
      <c r="M600" s="286">
        <v>0</v>
      </c>
      <c r="N600" s="285">
        <f t="shared" si="281"/>
        <v>12295.66</v>
      </c>
      <c r="O600" s="616">
        <f t="shared" si="269"/>
        <v>0</v>
      </c>
      <c r="P600" s="289">
        <f t="shared" si="282"/>
        <v>0</v>
      </c>
      <c r="Q600" s="290">
        <f t="shared" si="283"/>
        <v>0</v>
      </c>
      <c r="R600" s="290">
        <f t="shared" si="284"/>
        <v>0</v>
      </c>
      <c r="S600" s="290">
        <f t="shared" si="285"/>
        <v>0</v>
      </c>
      <c r="T600" s="290">
        <f t="shared" si="286"/>
        <v>0</v>
      </c>
      <c r="U600" s="291">
        <f t="shared" si="287"/>
        <v>12295.66</v>
      </c>
      <c r="V600" s="291">
        <f t="shared" si="291"/>
        <v>-12295.66</v>
      </c>
      <c r="W600" s="265">
        <f t="shared" si="288"/>
        <v>0</v>
      </c>
      <c r="X600" s="291">
        <f t="shared" si="292"/>
        <v>-12295.66</v>
      </c>
      <c r="Y600" s="170">
        <f t="shared" si="289"/>
        <v>884.26</v>
      </c>
      <c r="Z600" s="291">
        <f t="shared" si="290"/>
        <v>-884.26</v>
      </c>
      <c r="AC600" s="276">
        <f>IF(AI600=1,IF(AC599=MiscData!$F$1,EOMONTH(AC599,-11),EOMONTH(AC599,1)),AC599)</f>
        <v>41912</v>
      </c>
      <c r="AD600" s="275" t="str">
        <f t="shared" si="273"/>
        <v>20140101LGUM_275</v>
      </c>
      <c r="AE600" s="294" t="str">
        <f t="shared" si="274"/>
        <v>20140101RLS</v>
      </c>
      <c r="AF600" s="618" t="str">
        <f t="shared" si="293"/>
        <v>275</v>
      </c>
      <c r="AH600" s="265">
        <f>MiscData!$X$5</f>
        <v>20140101</v>
      </c>
      <c r="AI600" s="265">
        <f>IF(AI599+1&gt;MiscData!$AC$77,1,AI599+1)</f>
        <v>13</v>
      </c>
      <c r="AJ600" s="265" t="str">
        <f>VLOOKUP(AI600,MiscData!$AC$5:$AD$77,2,FALSE)</f>
        <v>LGUM_275</v>
      </c>
      <c r="AK600" s="265" t="str">
        <f>VLOOKUP(AJ600,MiscData!$AD$5:$AE$77,2,FALSE)</f>
        <v>RLS</v>
      </c>
      <c r="AT600" s="265" t="s">
        <v>227</v>
      </c>
      <c r="AV600" s="265">
        <v>0</v>
      </c>
    </row>
    <row r="601" spans="1:48">
      <c r="A601" s="275">
        <f t="shared" si="294"/>
        <v>598</v>
      </c>
      <c r="B601" s="276" t="str">
        <f t="shared" si="270"/>
        <v>Sep 2014</v>
      </c>
      <c r="C601" s="277" t="str">
        <f t="shared" si="271"/>
        <v>RLS</v>
      </c>
      <c r="D601" s="277" t="str">
        <f t="shared" si="272"/>
        <v>LGUM_276</v>
      </c>
      <c r="E601" s="614">
        <f t="shared" si="275"/>
        <v>1267</v>
      </c>
      <c r="F601" s="615">
        <v>0</v>
      </c>
      <c r="G601" s="614">
        <f t="shared" si="276"/>
        <v>0</v>
      </c>
      <c r="H601" s="615">
        <v>0</v>
      </c>
      <c r="I601" s="283">
        <f t="shared" si="277"/>
        <v>14.17</v>
      </c>
      <c r="J601" s="283">
        <f t="shared" si="278"/>
        <v>0.88000000000000078</v>
      </c>
      <c r="K601" s="285">
        <f t="shared" si="279"/>
        <v>17953.39</v>
      </c>
      <c r="L601" s="286">
        <v>0</v>
      </c>
      <c r="M601" s="286">
        <v>0</v>
      </c>
      <c r="N601" s="285">
        <f t="shared" si="281"/>
        <v>17953.39</v>
      </c>
      <c r="O601" s="616">
        <f t="shared" si="269"/>
        <v>0</v>
      </c>
      <c r="P601" s="289">
        <f t="shared" si="282"/>
        <v>0</v>
      </c>
      <c r="Q601" s="290">
        <f t="shared" si="283"/>
        <v>0</v>
      </c>
      <c r="R601" s="290">
        <f t="shared" si="284"/>
        <v>0</v>
      </c>
      <c r="S601" s="290">
        <f t="shared" si="285"/>
        <v>0</v>
      </c>
      <c r="T601" s="290">
        <f t="shared" si="286"/>
        <v>0</v>
      </c>
      <c r="U601" s="291">
        <f t="shared" si="287"/>
        <v>17953.39</v>
      </c>
      <c r="V601" s="291">
        <f t="shared" si="291"/>
        <v>-17953.39</v>
      </c>
      <c r="W601" s="265">
        <f t="shared" si="288"/>
        <v>0</v>
      </c>
      <c r="X601" s="291">
        <f t="shared" si="292"/>
        <v>-17953.39</v>
      </c>
      <c r="Y601" s="170">
        <f t="shared" si="289"/>
        <v>1114.96</v>
      </c>
      <c r="Z601" s="291">
        <f t="shared" si="290"/>
        <v>-1114.96</v>
      </c>
      <c r="AC601" s="276">
        <f>IF(AI601=1,IF(AC600=MiscData!$F$1,EOMONTH(AC600,-11),EOMONTH(AC600,1)),AC600)</f>
        <v>41912</v>
      </c>
      <c r="AD601" s="275" t="str">
        <f t="shared" si="273"/>
        <v>20140101LGUM_276</v>
      </c>
      <c r="AE601" s="294" t="str">
        <f t="shared" si="274"/>
        <v>20140101RLS</v>
      </c>
      <c r="AF601" s="618" t="str">
        <f t="shared" si="293"/>
        <v>276</v>
      </c>
      <c r="AH601" s="265">
        <f>MiscData!$X$5</f>
        <v>20140101</v>
      </c>
      <c r="AI601" s="265">
        <f>IF(AI600+1&gt;MiscData!$AC$77,1,AI600+1)</f>
        <v>14</v>
      </c>
      <c r="AJ601" s="265" t="str">
        <f>VLOOKUP(AI601,MiscData!$AC$5:$AD$77,2,FALSE)</f>
        <v>LGUM_276</v>
      </c>
      <c r="AK601" s="265" t="str">
        <f>VLOOKUP(AJ601,MiscData!$AD$5:$AE$77,2,FALSE)</f>
        <v>RLS</v>
      </c>
      <c r="AT601" s="265" t="s">
        <v>228</v>
      </c>
      <c r="AV601" s="265">
        <v>0</v>
      </c>
    </row>
    <row r="602" spans="1:48">
      <c r="A602" s="275">
        <f t="shared" si="294"/>
        <v>599</v>
      </c>
      <c r="B602" s="276" t="str">
        <f t="shared" si="270"/>
        <v>Sep 2014</v>
      </c>
      <c r="C602" s="277" t="str">
        <f t="shared" si="271"/>
        <v>RLS</v>
      </c>
      <c r="D602" s="277" t="str">
        <f t="shared" si="272"/>
        <v>LGUM_277</v>
      </c>
      <c r="E602" s="614">
        <f t="shared" si="275"/>
        <v>2166</v>
      </c>
      <c r="F602" s="615">
        <v>0</v>
      </c>
      <c r="G602" s="614">
        <f t="shared" si="276"/>
        <v>0</v>
      </c>
      <c r="H602" s="615">
        <v>0</v>
      </c>
      <c r="I602" s="283">
        <f t="shared" si="277"/>
        <v>22.15</v>
      </c>
      <c r="J602" s="283">
        <f t="shared" si="278"/>
        <v>1.7900000000000027</v>
      </c>
      <c r="K602" s="285">
        <f t="shared" si="279"/>
        <v>47976.9</v>
      </c>
      <c r="L602" s="286">
        <v>0</v>
      </c>
      <c r="M602" s="286">
        <v>0</v>
      </c>
      <c r="N602" s="285">
        <f t="shared" si="281"/>
        <v>47976.9</v>
      </c>
      <c r="O602" s="616">
        <f t="shared" si="269"/>
        <v>0</v>
      </c>
      <c r="P602" s="289">
        <f t="shared" si="282"/>
        <v>0</v>
      </c>
      <c r="Q602" s="290">
        <f t="shared" si="283"/>
        <v>0</v>
      </c>
      <c r="R602" s="290">
        <f t="shared" si="284"/>
        <v>0</v>
      </c>
      <c r="S602" s="290">
        <f t="shared" si="285"/>
        <v>0</v>
      </c>
      <c r="T602" s="290">
        <f t="shared" si="286"/>
        <v>0</v>
      </c>
      <c r="U602" s="291">
        <f t="shared" si="287"/>
        <v>47976.9</v>
      </c>
      <c r="V602" s="291">
        <f t="shared" si="291"/>
        <v>-47976.9</v>
      </c>
      <c r="W602" s="265">
        <f t="shared" si="288"/>
        <v>0</v>
      </c>
      <c r="X602" s="291">
        <f t="shared" si="292"/>
        <v>-47976.9</v>
      </c>
      <c r="Y602" s="170">
        <f t="shared" si="289"/>
        <v>3877.14</v>
      </c>
      <c r="Z602" s="291">
        <f t="shared" si="290"/>
        <v>-3877.14</v>
      </c>
      <c r="AC602" s="276">
        <f>IF(AI602=1,IF(AC601=MiscData!$F$1,EOMONTH(AC601,-11),EOMONTH(AC601,1)),AC601)</f>
        <v>41912</v>
      </c>
      <c r="AD602" s="275" t="str">
        <f t="shared" si="273"/>
        <v>20140101LGUM_277</v>
      </c>
      <c r="AE602" s="294" t="str">
        <f t="shared" si="274"/>
        <v>20140101RLS</v>
      </c>
      <c r="AF602" s="618" t="str">
        <f t="shared" si="293"/>
        <v>277</v>
      </c>
      <c r="AH602" s="265">
        <f>MiscData!$X$5</f>
        <v>20140101</v>
      </c>
      <c r="AI602" s="265">
        <f>IF(AI601+1&gt;MiscData!$AC$77,1,AI601+1)</f>
        <v>15</v>
      </c>
      <c r="AJ602" s="265" t="str">
        <f>VLOOKUP(AI602,MiscData!$AC$5:$AD$77,2,FALSE)</f>
        <v>LGUM_277</v>
      </c>
      <c r="AK602" s="265" t="str">
        <f>VLOOKUP(AJ602,MiscData!$AD$5:$AE$77,2,FALSE)</f>
        <v>RLS</v>
      </c>
      <c r="AT602" s="265" t="s">
        <v>229</v>
      </c>
      <c r="AV602" s="265">
        <v>-246.42</v>
      </c>
    </row>
    <row r="603" spans="1:48">
      <c r="A603" s="275">
        <f t="shared" si="294"/>
        <v>600</v>
      </c>
      <c r="B603" s="276" t="str">
        <f t="shared" si="270"/>
        <v>Sep 2014</v>
      </c>
      <c r="C603" s="277" t="str">
        <f t="shared" si="271"/>
        <v>RLS</v>
      </c>
      <c r="D603" s="277" t="str">
        <f t="shared" si="272"/>
        <v>LGUM_278</v>
      </c>
      <c r="E603" s="614">
        <f t="shared" si="275"/>
        <v>16</v>
      </c>
      <c r="F603" s="615">
        <v>0</v>
      </c>
      <c r="G603" s="614">
        <f t="shared" si="276"/>
        <v>0</v>
      </c>
      <c r="H603" s="615">
        <v>0</v>
      </c>
      <c r="I603" s="283">
        <f t="shared" si="277"/>
        <v>72.550000000000011</v>
      </c>
      <c r="J603" s="283">
        <f t="shared" si="278"/>
        <v>9.8400000000000034</v>
      </c>
      <c r="K603" s="285">
        <f t="shared" si="279"/>
        <v>1160.8</v>
      </c>
      <c r="L603" s="286">
        <v>0</v>
      </c>
      <c r="M603" s="286">
        <v>0</v>
      </c>
      <c r="N603" s="285">
        <f t="shared" si="281"/>
        <v>1160.8</v>
      </c>
      <c r="O603" s="616">
        <f t="shared" si="269"/>
        <v>0</v>
      </c>
      <c r="P603" s="289">
        <f t="shared" si="282"/>
        <v>0</v>
      </c>
      <c r="Q603" s="290">
        <f t="shared" si="283"/>
        <v>0</v>
      </c>
      <c r="R603" s="290">
        <f t="shared" si="284"/>
        <v>0</v>
      </c>
      <c r="S603" s="290">
        <f t="shared" si="285"/>
        <v>0</v>
      </c>
      <c r="T603" s="290">
        <f t="shared" si="286"/>
        <v>0</v>
      </c>
      <c r="U603" s="291">
        <f t="shared" si="287"/>
        <v>1160.8</v>
      </c>
      <c r="V603" s="291">
        <f t="shared" si="291"/>
        <v>-1160.8</v>
      </c>
      <c r="W603" s="265">
        <f t="shared" si="288"/>
        <v>0</v>
      </c>
      <c r="X603" s="291">
        <f t="shared" si="292"/>
        <v>-1160.8</v>
      </c>
      <c r="Y603" s="170">
        <f t="shared" si="289"/>
        <v>157.44</v>
      </c>
      <c r="Z603" s="291">
        <f t="shared" si="290"/>
        <v>-157.44</v>
      </c>
      <c r="AC603" s="276">
        <f>IF(AI603=1,IF(AC602=MiscData!$F$1,EOMONTH(AC602,-11),EOMONTH(AC602,1)),AC602)</f>
        <v>41912</v>
      </c>
      <c r="AD603" s="275" t="str">
        <f t="shared" si="273"/>
        <v>20140101LGUM_278</v>
      </c>
      <c r="AE603" s="294" t="str">
        <f t="shared" si="274"/>
        <v>20140101RLS</v>
      </c>
      <c r="AF603" s="618" t="str">
        <f t="shared" si="293"/>
        <v>278</v>
      </c>
      <c r="AH603" s="265">
        <f>MiscData!$X$5</f>
        <v>20140101</v>
      </c>
      <c r="AI603" s="265">
        <f>IF(AI602+1&gt;MiscData!$AC$77,1,AI602+1)</f>
        <v>16</v>
      </c>
      <c r="AJ603" s="265" t="str">
        <f>VLOOKUP(AI603,MiscData!$AC$5:$AD$77,2,FALSE)</f>
        <v>LGUM_278</v>
      </c>
      <c r="AK603" s="265" t="str">
        <f>VLOOKUP(AJ603,MiscData!$AD$5:$AE$77,2,FALSE)</f>
        <v>RLS</v>
      </c>
      <c r="AT603" s="265" t="s">
        <v>230</v>
      </c>
      <c r="AV603" s="265">
        <v>0</v>
      </c>
    </row>
    <row r="604" spans="1:48">
      <c r="A604" s="275">
        <f t="shared" si="294"/>
        <v>601</v>
      </c>
      <c r="B604" s="276" t="str">
        <f t="shared" si="270"/>
        <v>Sep 2014</v>
      </c>
      <c r="C604" s="277" t="str">
        <f t="shared" si="271"/>
        <v>RLS</v>
      </c>
      <c r="D604" s="277" t="str">
        <f t="shared" si="272"/>
        <v>LGUM_279</v>
      </c>
      <c r="E604" s="614">
        <f t="shared" si="275"/>
        <v>11</v>
      </c>
      <c r="F604" s="615">
        <v>0</v>
      </c>
      <c r="G604" s="614">
        <f t="shared" si="276"/>
        <v>0</v>
      </c>
      <c r="H604" s="615">
        <v>0</v>
      </c>
      <c r="I604" s="283">
        <f t="shared" si="277"/>
        <v>41.43</v>
      </c>
      <c r="J604" s="283">
        <f t="shared" si="278"/>
        <v>9.8399999999999963</v>
      </c>
      <c r="K604" s="285">
        <f t="shared" si="279"/>
        <v>455.73</v>
      </c>
      <c r="L604" s="286">
        <v>0</v>
      </c>
      <c r="M604" s="286">
        <v>0</v>
      </c>
      <c r="N604" s="285">
        <f t="shared" si="281"/>
        <v>455.73</v>
      </c>
      <c r="O604" s="616">
        <f t="shared" si="269"/>
        <v>0</v>
      </c>
      <c r="P604" s="289">
        <f t="shared" si="282"/>
        <v>0</v>
      </c>
      <c r="Q604" s="290">
        <f t="shared" si="283"/>
        <v>0</v>
      </c>
      <c r="R604" s="290">
        <f t="shared" si="284"/>
        <v>0</v>
      </c>
      <c r="S604" s="290">
        <f t="shared" si="285"/>
        <v>0</v>
      </c>
      <c r="T604" s="290">
        <f t="shared" si="286"/>
        <v>0</v>
      </c>
      <c r="U604" s="291">
        <f t="shared" si="287"/>
        <v>455.73</v>
      </c>
      <c r="V604" s="291">
        <f t="shared" si="291"/>
        <v>-455.73</v>
      </c>
      <c r="W604" s="265">
        <f t="shared" si="288"/>
        <v>0</v>
      </c>
      <c r="X604" s="291">
        <f t="shared" si="292"/>
        <v>-455.73</v>
      </c>
      <c r="Y604" s="170">
        <f t="shared" si="289"/>
        <v>108.24</v>
      </c>
      <c r="Z604" s="291">
        <f t="shared" si="290"/>
        <v>-108.24</v>
      </c>
      <c r="AC604" s="276">
        <f>IF(AI604=1,IF(AC603=MiscData!$F$1,EOMONTH(AC603,-11),EOMONTH(AC603,1)),AC603)</f>
        <v>41912</v>
      </c>
      <c r="AD604" s="275" t="str">
        <f t="shared" si="273"/>
        <v>20140101LGUM_279</v>
      </c>
      <c r="AE604" s="294" t="str">
        <f t="shared" si="274"/>
        <v>20140101RLS</v>
      </c>
      <c r="AF604" s="618" t="str">
        <f t="shared" si="293"/>
        <v>279</v>
      </c>
      <c r="AH604" s="265">
        <f>MiscData!$X$5</f>
        <v>20140101</v>
      </c>
      <c r="AI604" s="265">
        <f>IF(AI603+1&gt;MiscData!$AC$77,1,AI603+1)</f>
        <v>17</v>
      </c>
      <c r="AJ604" s="265" t="str">
        <f>VLOOKUP(AI604,MiscData!$AC$5:$AD$77,2,FALSE)</f>
        <v>LGUM_279</v>
      </c>
      <c r="AK604" s="265" t="str">
        <f>VLOOKUP(AJ604,MiscData!$AD$5:$AE$77,2,FALSE)</f>
        <v>RLS</v>
      </c>
      <c r="AT604" s="265" t="s">
        <v>231</v>
      </c>
      <c r="AV604" s="265">
        <v>55.16</v>
      </c>
    </row>
    <row r="605" spans="1:48">
      <c r="A605" s="275">
        <f t="shared" si="294"/>
        <v>602</v>
      </c>
      <c r="B605" s="276" t="str">
        <f t="shared" si="270"/>
        <v>Sep 2014</v>
      </c>
      <c r="C605" s="277" t="str">
        <f t="shared" si="271"/>
        <v>RLS</v>
      </c>
      <c r="D605" s="277" t="str">
        <f t="shared" si="272"/>
        <v>LGUM_280</v>
      </c>
      <c r="E605" s="614">
        <f t="shared" si="275"/>
        <v>44</v>
      </c>
      <c r="F605" s="615">
        <v>0</v>
      </c>
      <c r="G605" s="614">
        <f t="shared" si="276"/>
        <v>0</v>
      </c>
      <c r="H605" s="615">
        <v>0</v>
      </c>
      <c r="I605" s="283">
        <f t="shared" si="277"/>
        <v>19.38</v>
      </c>
      <c r="J605" s="283">
        <f t="shared" si="278"/>
        <v>0.87999999999999901</v>
      </c>
      <c r="K605" s="285">
        <f t="shared" si="279"/>
        <v>852.72</v>
      </c>
      <c r="L605" s="286">
        <v>0</v>
      </c>
      <c r="M605" s="286">
        <v>0</v>
      </c>
      <c r="N605" s="285">
        <f t="shared" si="281"/>
        <v>852.72</v>
      </c>
      <c r="O605" s="616">
        <f t="shared" si="269"/>
        <v>0</v>
      </c>
      <c r="P605" s="289">
        <f t="shared" si="282"/>
        <v>0</v>
      </c>
      <c r="Q605" s="290">
        <f t="shared" si="283"/>
        <v>0</v>
      </c>
      <c r="R605" s="290">
        <f t="shared" si="284"/>
        <v>0</v>
      </c>
      <c r="S605" s="290">
        <f t="shared" si="285"/>
        <v>0</v>
      </c>
      <c r="T605" s="290">
        <f t="shared" si="286"/>
        <v>0</v>
      </c>
      <c r="U605" s="291">
        <f t="shared" si="287"/>
        <v>852.72</v>
      </c>
      <c r="V605" s="291">
        <f t="shared" si="291"/>
        <v>-852.72</v>
      </c>
      <c r="W605" s="265">
        <f t="shared" si="288"/>
        <v>0</v>
      </c>
      <c r="X605" s="291">
        <f t="shared" si="292"/>
        <v>-852.72</v>
      </c>
      <c r="Y605" s="170">
        <f t="shared" si="289"/>
        <v>38.72</v>
      </c>
      <c r="Z605" s="291">
        <f t="shared" si="290"/>
        <v>-38.72</v>
      </c>
      <c r="AC605" s="276">
        <f>IF(AI605=1,IF(AC604=MiscData!$F$1,EOMONTH(AC604,-11),EOMONTH(AC604,1)),AC604)</f>
        <v>41912</v>
      </c>
      <c r="AD605" s="275" t="str">
        <f t="shared" si="273"/>
        <v>20140101LGUM_280</v>
      </c>
      <c r="AE605" s="294" t="str">
        <f t="shared" si="274"/>
        <v>20140101RLS</v>
      </c>
      <c r="AF605" s="618" t="str">
        <f t="shared" si="293"/>
        <v>280</v>
      </c>
      <c r="AH605" s="265">
        <f>MiscData!$X$5</f>
        <v>20140101</v>
      </c>
      <c r="AI605" s="265">
        <f>IF(AI604+1&gt;MiscData!$AC$77,1,AI604+1)</f>
        <v>18</v>
      </c>
      <c r="AJ605" s="265" t="str">
        <f>VLOOKUP(AI605,MiscData!$AC$5:$AD$77,2,FALSE)</f>
        <v>LGUM_280</v>
      </c>
      <c r="AK605" s="265" t="str">
        <f>VLOOKUP(AJ605,MiscData!$AD$5:$AE$77,2,FALSE)</f>
        <v>RLS</v>
      </c>
      <c r="AT605" s="265" t="s">
        <v>232</v>
      </c>
      <c r="AV605" s="265">
        <v>0</v>
      </c>
    </row>
    <row r="606" spans="1:48">
      <c r="A606" s="275">
        <f t="shared" si="294"/>
        <v>603</v>
      </c>
      <c r="B606" s="276" t="str">
        <f t="shared" si="270"/>
        <v>Sep 2014</v>
      </c>
      <c r="C606" s="277" t="str">
        <f t="shared" si="271"/>
        <v>RLS</v>
      </c>
      <c r="D606" s="277" t="str">
        <f t="shared" si="272"/>
        <v>LGUM_281</v>
      </c>
      <c r="E606" s="614">
        <f t="shared" si="275"/>
        <v>232</v>
      </c>
      <c r="F606" s="615">
        <v>0</v>
      </c>
      <c r="G606" s="614">
        <f t="shared" si="276"/>
        <v>0</v>
      </c>
      <c r="H606" s="615">
        <v>0</v>
      </c>
      <c r="I606" s="283">
        <f t="shared" si="277"/>
        <v>20.349999999999998</v>
      </c>
      <c r="J606" s="283">
        <f t="shared" si="278"/>
        <v>1.2699999999999996</v>
      </c>
      <c r="K606" s="285">
        <f t="shared" si="279"/>
        <v>4721.2</v>
      </c>
      <c r="L606" s="286">
        <v>0</v>
      </c>
      <c r="M606" s="286">
        <v>0</v>
      </c>
      <c r="N606" s="285">
        <f t="shared" si="281"/>
        <v>4721.2</v>
      </c>
      <c r="O606" s="616">
        <f t="shared" si="269"/>
        <v>0</v>
      </c>
      <c r="P606" s="289">
        <f t="shared" si="282"/>
        <v>0</v>
      </c>
      <c r="Q606" s="290">
        <f t="shared" si="283"/>
        <v>0</v>
      </c>
      <c r="R606" s="290">
        <f t="shared" si="284"/>
        <v>0</v>
      </c>
      <c r="S606" s="290">
        <f t="shared" si="285"/>
        <v>0</v>
      </c>
      <c r="T606" s="290">
        <f t="shared" si="286"/>
        <v>0</v>
      </c>
      <c r="U606" s="291">
        <f t="shared" si="287"/>
        <v>4721.2</v>
      </c>
      <c r="V606" s="291">
        <f t="shared" si="291"/>
        <v>-4721.2</v>
      </c>
      <c r="W606" s="265">
        <f t="shared" si="288"/>
        <v>0</v>
      </c>
      <c r="X606" s="291">
        <f t="shared" si="292"/>
        <v>-4721.2</v>
      </c>
      <c r="Y606" s="170">
        <f t="shared" si="289"/>
        <v>294.64</v>
      </c>
      <c r="Z606" s="291">
        <f t="shared" si="290"/>
        <v>-294.64</v>
      </c>
      <c r="AC606" s="276">
        <f>IF(AI606=1,IF(AC605=MiscData!$F$1,EOMONTH(AC605,-11),EOMONTH(AC605,1)),AC605)</f>
        <v>41912</v>
      </c>
      <c r="AD606" s="275" t="str">
        <f t="shared" si="273"/>
        <v>20140101LGUM_281</v>
      </c>
      <c r="AE606" s="294" t="str">
        <f t="shared" si="274"/>
        <v>20140101RLS</v>
      </c>
      <c r="AF606" s="618" t="str">
        <f t="shared" si="293"/>
        <v>281</v>
      </c>
      <c r="AH606" s="265">
        <f>MiscData!$X$5</f>
        <v>20140101</v>
      </c>
      <c r="AI606" s="265">
        <f>IF(AI605+1&gt;MiscData!$AC$77,1,AI605+1)</f>
        <v>19</v>
      </c>
      <c r="AJ606" s="265" t="str">
        <f>VLOOKUP(AI606,MiscData!$AC$5:$AD$77,2,FALSE)</f>
        <v>LGUM_281</v>
      </c>
      <c r="AK606" s="265" t="str">
        <f>VLOOKUP(AJ606,MiscData!$AD$5:$AE$77,2,FALSE)</f>
        <v>RLS</v>
      </c>
      <c r="AT606" s="265" t="s">
        <v>233</v>
      </c>
      <c r="AV606" s="265">
        <v>0</v>
      </c>
    </row>
    <row r="607" spans="1:48">
      <c r="A607" s="275">
        <f t="shared" si="294"/>
        <v>604</v>
      </c>
      <c r="B607" s="276" t="str">
        <f t="shared" si="270"/>
        <v>Sep 2014</v>
      </c>
      <c r="C607" s="277" t="str">
        <f t="shared" si="271"/>
        <v>RLS</v>
      </c>
      <c r="D607" s="277" t="str">
        <f t="shared" si="272"/>
        <v>LGUM_282</v>
      </c>
      <c r="E607" s="614">
        <f t="shared" si="275"/>
        <v>100</v>
      </c>
      <c r="F607" s="615">
        <v>0</v>
      </c>
      <c r="G607" s="614">
        <f t="shared" si="276"/>
        <v>0</v>
      </c>
      <c r="H607" s="615">
        <v>0</v>
      </c>
      <c r="I607" s="283">
        <f t="shared" si="277"/>
        <v>19.53</v>
      </c>
      <c r="J607" s="283">
        <f t="shared" si="278"/>
        <v>0.87999999999999901</v>
      </c>
      <c r="K607" s="285">
        <f t="shared" si="279"/>
        <v>1953</v>
      </c>
      <c r="L607" s="286">
        <v>0</v>
      </c>
      <c r="M607" s="286">
        <v>0</v>
      </c>
      <c r="N607" s="285">
        <f t="shared" si="281"/>
        <v>1953</v>
      </c>
      <c r="O607" s="616">
        <f t="shared" si="269"/>
        <v>0</v>
      </c>
      <c r="P607" s="289">
        <f t="shared" si="282"/>
        <v>0</v>
      </c>
      <c r="Q607" s="290">
        <f t="shared" si="283"/>
        <v>0</v>
      </c>
      <c r="R607" s="290">
        <f t="shared" si="284"/>
        <v>0</v>
      </c>
      <c r="S607" s="290">
        <f t="shared" si="285"/>
        <v>0</v>
      </c>
      <c r="T607" s="290">
        <f t="shared" si="286"/>
        <v>0</v>
      </c>
      <c r="U607" s="291">
        <f t="shared" si="287"/>
        <v>1953</v>
      </c>
      <c r="V607" s="291">
        <f t="shared" si="291"/>
        <v>-1953</v>
      </c>
      <c r="W607" s="265">
        <f t="shared" si="288"/>
        <v>0</v>
      </c>
      <c r="X607" s="291">
        <f t="shared" si="292"/>
        <v>-1953</v>
      </c>
      <c r="Y607" s="170">
        <f t="shared" si="289"/>
        <v>88</v>
      </c>
      <c r="Z607" s="291">
        <f t="shared" si="290"/>
        <v>-88</v>
      </c>
      <c r="AC607" s="276">
        <f>IF(AI607=1,IF(AC606=MiscData!$F$1,EOMONTH(AC606,-11),EOMONTH(AC606,1)),AC606)</f>
        <v>41912</v>
      </c>
      <c r="AD607" s="275" t="str">
        <f t="shared" si="273"/>
        <v>20140101LGUM_282</v>
      </c>
      <c r="AE607" s="294" t="str">
        <f t="shared" si="274"/>
        <v>20140101RLS</v>
      </c>
      <c r="AF607" s="618" t="str">
        <f t="shared" si="293"/>
        <v>282</v>
      </c>
      <c r="AH607" s="265">
        <f>MiscData!$X$5</f>
        <v>20140101</v>
      </c>
      <c r="AI607" s="265">
        <f>IF(AI606+1&gt;MiscData!$AC$77,1,AI606+1)</f>
        <v>20</v>
      </c>
      <c r="AJ607" s="265" t="str">
        <f>VLOOKUP(AI607,MiscData!$AC$5:$AD$77,2,FALSE)</f>
        <v>LGUM_282</v>
      </c>
      <c r="AK607" s="265" t="str">
        <f>VLOOKUP(AJ607,MiscData!$AD$5:$AE$77,2,FALSE)</f>
        <v>RLS</v>
      </c>
      <c r="AT607" s="265" t="s">
        <v>234</v>
      </c>
      <c r="AV607" s="265">
        <v>0</v>
      </c>
    </row>
    <row r="608" spans="1:48">
      <c r="A608" s="275">
        <f t="shared" si="294"/>
        <v>605</v>
      </c>
      <c r="B608" s="276" t="str">
        <f t="shared" si="270"/>
        <v>Sep 2014</v>
      </c>
      <c r="C608" s="277" t="str">
        <f t="shared" si="271"/>
        <v>RLS</v>
      </c>
      <c r="D608" s="277" t="str">
        <f t="shared" si="272"/>
        <v>LGUM_283</v>
      </c>
      <c r="E608" s="614">
        <f t="shared" si="275"/>
        <v>76</v>
      </c>
      <c r="F608" s="615">
        <v>0</v>
      </c>
      <c r="G608" s="614">
        <f t="shared" si="276"/>
        <v>0</v>
      </c>
      <c r="H608" s="615">
        <v>0</v>
      </c>
      <c r="I608" s="283">
        <f t="shared" si="277"/>
        <v>20.819999999999997</v>
      </c>
      <c r="J608" s="283">
        <f t="shared" si="278"/>
        <v>1.2699999999999996</v>
      </c>
      <c r="K608" s="285">
        <f t="shared" si="279"/>
        <v>1582.32</v>
      </c>
      <c r="L608" s="286">
        <v>0</v>
      </c>
      <c r="M608" s="286">
        <v>0</v>
      </c>
      <c r="N608" s="285">
        <f t="shared" si="281"/>
        <v>1582.32</v>
      </c>
      <c r="O608" s="616">
        <f t="shared" si="269"/>
        <v>0</v>
      </c>
      <c r="P608" s="289">
        <f t="shared" si="282"/>
        <v>0</v>
      </c>
      <c r="Q608" s="290">
        <f t="shared" si="283"/>
        <v>0</v>
      </c>
      <c r="R608" s="290">
        <f t="shared" si="284"/>
        <v>0</v>
      </c>
      <c r="S608" s="290">
        <f t="shared" si="285"/>
        <v>0</v>
      </c>
      <c r="T608" s="290">
        <f t="shared" si="286"/>
        <v>0</v>
      </c>
      <c r="U608" s="291">
        <f t="shared" si="287"/>
        <v>1582.32</v>
      </c>
      <c r="V608" s="291">
        <f t="shared" si="291"/>
        <v>-1582.32</v>
      </c>
      <c r="W608" s="265">
        <f t="shared" si="288"/>
        <v>0</v>
      </c>
      <c r="X608" s="291">
        <f t="shared" si="292"/>
        <v>-1582.32</v>
      </c>
      <c r="Y608" s="170">
        <f t="shared" si="289"/>
        <v>96.52</v>
      </c>
      <c r="Z608" s="291">
        <f t="shared" si="290"/>
        <v>-96.52</v>
      </c>
      <c r="AC608" s="276">
        <f>IF(AI608=1,IF(AC607=MiscData!$F$1,EOMONTH(AC607,-11),EOMONTH(AC607,1)),AC607)</f>
        <v>41912</v>
      </c>
      <c r="AD608" s="275" t="str">
        <f t="shared" si="273"/>
        <v>20140101LGUM_283</v>
      </c>
      <c r="AE608" s="294" t="str">
        <f t="shared" si="274"/>
        <v>20140101RLS</v>
      </c>
      <c r="AF608" s="618" t="str">
        <f t="shared" si="293"/>
        <v>283</v>
      </c>
      <c r="AH608" s="265">
        <f>MiscData!$X$5</f>
        <v>20140101</v>
      </c>
      <c r="AI608" s="265">
        <f>IF(AI607+1&gt;MiscData!$AC$77,1,AI607+1)</f>
        <v>21</v>
      </c>
      <c r="AJ608" s="265" t="str">
        <f>VLOOKUP(AI608,MiscData!$AC$5:$AD$77,2,FALSE)</f>
        <v>LGUM_283</v>
      </c>
      <c r="AK608" s="265" t="str">
        <f>VLOOKUP(AJ608,MiscData!$AD$5:$AE$77,2,FALSE)</f>
        <v>RLS</v>
      </c>
      <c r="AT608" s="265" t="s">
        <v>235</v>
      </c>
      <c r="AV608" s="265">
        <v>0</v>
      </c>
    </row>
    <row r="609" spans="1:48">
      <c r="A609" s="275">
        <f t="shared" si="294"/>
        <v>606</v>
      </c>
      <c r="B609" s="276" t="str">
        <f t="shared" si="270"/>
        <v>Sep 2014</v>
      </c>
      <c r="C609" s="277" t="str">
        <f t="shared" si="271"/>
        <v>RLS</v>
      </c>
      <c r="D609" s="277" t="str">
        <f t="shared" si="272"/>
        <v>LGUM_314</v>
      </c>
      <c r="E609" s="614">
        <f t="shared" si="275"/>
        <v>541</v>
      </c>
      <c r="F609" s="615">
        <v>0</v>
      </c>
      <c r="G609" s="614">
        <f t="shared" si="276"/>
        <v>0</v>
      </c>
      <c r="H609" s="615">
        <v>0</v>
      </c>
      <c r="I609" s="283">
        <f t="shared" si="277"/>
        <v>19.2</v>
      </c>
      <c r="J609" s="283">
        <f t="shared" si="278"/>
        <v>2.7100000000000009</v>
      </c>
      <c r="K609" s="285">
        <f t="shared" si="279"/>
        <v>10387.200000000001</v>
      </c>
      <c r="L609" s="286">
        <v>0</v>
      </c>
      <c r="M609" s="286">
        <v>0</v>
      </c>
      <c r="N609" s="285">
        <f t="shared" si="281"/>
        <v>10387.200000000001</v>
      </c>
      <c r="O609" s="616">
        <f t="shared" si="269"/>
        <v>0</v>
      </c>
      <c r="P609" s="289">
        <f t="shared" si="282"/>
        <v>0</v>
      </c>
      <c r="Q609" s="290">
        <f t="shared" si="283"/>
        <v>0</v>
      </c>
      <c r="R609" s="290">
        <f t="shared" si="284"/>
        <v>0</v>
      </c>
      <c r="S609" s="290">
        <f t="shared" si="285"/>
        <v>0</v>
      </c>
      <c r="T609" s="290">
        <f t="shared" si="286"/>
        <v>0</v>
      </c>
      <c r="U609" s="291">
        <f t="shared" si="287"/>
        <v>10387.200000000001</v>
      </c>
      <c r="V609" s="291">
        <f t="shared" si="291"/>
        <v>-10387.200000000001</v>
      </c>
      <c r="W609" s="265">
        <f t="shared" si="288"/>
        <v>0</v>
      </c>
      <c r="X609" s="291">
        <f t="shared" si="292"/>
        <v>-10387.200000000001</v>
      </c>
      <c r="Y609" s="170">
        <f t="shared" si="289"/>
        <v>1466.11</v>
      </c>
      <c r="Z609" s="291">
        <f t="shared" si="290"/>
        <v>-1466.11</v>
      </c>
      <c r="AC609" s="276">
        <f>IF(AI609=1,IF(AC608=MiscData!$F$1,EOMONTH(AC608,-11),EOMONTH(AC608,1)),AC608)</f>
        <v>41912</v>
      </c>
      <c r="AD609" s="275" t="str">
        <f t="shared" si="273"/>
        <v>20140101LGUM_314</v>
      </c>
      <c r="AE609" s="294" t="str">
        <f t="shared" si="274"/>
        <v>20140101RLS</v>
      </c>
      <c r="AF609" s="618" t="str">
        <f t="shared" si="293"/>
        <v>314</v>
      </c>
      <c r="AH609" s="265">
        <f>MiscData!$X$5</f>
        <v>20140101</v>
      </c>
      <c r="AI609" s="265">
        <f>IF(AI608+1&gt;MiscData!$AC$77,1,AI608+1)</f>
        <v>22</v>
      </c>
      <c r="AJ609" s="265" t="str">
        <f>VLOOKUP(AI609,MiscData!$AC$5:$AD$77,2,FALSE)</f>
        <v>LGUM_314</v>
      </c>
      <c r="AK609" s="265" t="str">
        <f>VLOOKUP(AJ609,MiscData!$AD$5:$AE$77,2,FALSE)</f>
        <v>RLS</v>
      </c>
      <c r="AT609" s="265" t="s">
        <v>236</v>
      </c>
      <c r="AV609" s="265">
        <v>0</v>
      </c>
    </row>
    <row r="610" spans="1:48">
      <c r="A610" s="275">
        <f t="shared" si="294"/>
        <v>607</v>
      </c>
      <c r="B610" s="276" t="str">
        <f t="shared" si="270"/>
        <v>Sep 2014</v>
      </c>
      <c r="C610" s="277" t="str">
        <f t="shared" si="271"/>
        <v>RLS</v>
      </c>
      <c r="D610" s="277" t="str">
        <f t="shared" si="272"/>
        <v>LGUM_315</v>
      </c>
      <c r="E610" s="614">
        <f t="shared" si="275"/>
        <v>518</v>
      </c>
      <c r="F610" s="615">
        <v>0</v>
      </c>
      <c r="G610" s="614">
        <f t="shared" si="276"/>
        <v>0</v>
      </c>
      <c r="H610" s="615">
        <v>0</v>
      </c>
      <c r="I610" s="283">
        <f t="shared" si="277"/>
        <v>22.949999999999996</v>
      </c>
      <c r="J610" s="283">
        <f t="shared" si="278"/>
        <v>4.1999999999999993</v>
      </c>
      <c r="K610" s="285">
        <f t="shared" si="279"/>
        <v>11888.1</v>
      </c>
      <c r="L610" s="286">
        <v>0</v>
      </c>
      <c r="M610" s="286">
        <v>0</v>
      </c>
      <c r="N610" s="285">
        <f t="shared" si="281"/>
        <v>11888.1</v>
      </c>
      <c r="O610" s="616">
        <f t="shared" si="269"/>
        <v>0</v>
      </c>
      <c r="P610" s="289">
        <f t="shared" si="282"/>
        <v>0</v>
      </c>
      <c r="Q610" s="290">
        <f t="shared" si="283"/>
        <v>0</v>
      </c>
      <c r="R610" s="290">
        <f t="shared" si="284"/>
        <v>0</v>
      </c>
      <c r="S610" s="290">
        <f t="shared" si="285"/>
        <v>0</v>
      </c>
      <c r="T610" s="290">
        <f t="shared" si="286"/>
        <v>0</v>
      </c>
      <c r="U610" s="291">
        <f t="shared" si="287"/>
        <v>11888.1</v>
      </c>
      <c r="V610" s="291">
        <f t="shared" si="291"/>
        <v>-11888.1</v>
      </c>
      <c r="W610" s="265">
        <f t="shared" si="288"/>
        <v>0</v>
      </c>
      <c r="X610" s="291">
        <f t="shared" si="292"/>
        <v>-11888.1</v>
      </c>
      <c r="Y610" s="170">
        <f t="shared" si="289"/>
        <v>2175.6</v>
      </c>
      <c r="Z610" s="291">
        <f t="shared" si="290"/>
        <v>-2175.6</v>
      </c>
      <c r="AC610" s="276">
        <f>IF(AI610=1,IF(AC609=MiscData!$F$1,EOMONTH(AC609,-11),EOMONTH(AC609,1)),AC609)</f>
        <v>41912</v>
      </c>
      <c r="AD610" s="275" t="str">
        <f t="shared" si="273"/>
        <v>20140101LGUM_315</v>
      </c>
      <c r="AE610" s="294" t="str">
        <f t="shared" si="274"/>
        <v>20140101RLS</v>
      </c>
      <c r="AF610" s="618" t="str">
        <f t="shared" si="293"/>
        <v>315</v>
      </c>
      <c r="AH610" s="265">
        <f>MiscData!$X$5</f>
        <v>20140101</v>
      </c>
      <c r="AI610" s="265">
        <f>IF(AI609+1&gt;MiscData!$AC$77,1,AI609+1)</f>
        <v>23</v>
      </c>
      <c r="AJ610" s="265" t="str">
        <f>VLOOKUP(AI610,MiscData!$AC$5:$AD$77,2,FALSE)</f>
        <v>LGUM_315</v>
      </c>
      <c r="AK610" s="265" t="str">
        <f>VLOOKUP(AJ610,MiscData!$AD$5:$AE$77,2,FALSE)</f>
        <v>RLS</v>
      </c>
      <c r="AT610" s="265" t="s">
        <v>237</v>
      </c>
      <c r="AV610" s="265">
        <v>-0.24</v>
      </c>
    </row>
    <row r="611" spans="1:48">
      <c r="A611" s="275">
        <f t="shared" si="294"/>
        <v>608</v>
      </c>
      <c r="B611" s="276" t="str">
        <f t="shared" si="270"/>
        <v>Sep 2014</v>
      </c>
      <c r="C611" s="277" t="str">
        <f t="shared" si="271"/>
        <v>RLS</v>
      </c>
      <c r="D611" s="277" t="str">
        <f t="shared" si="272"/>
        <v>LGUM_318</v>
      </c>
      <c r="E611" s="614">
        <f t="shared" si="275"/>
        <v>53</v>
      </c>
      <c r="F611" s="615">
        <v>0</v>
      </c>
      <c r="G611" s="614">
        <f t="shared" si="276"/>
        <v>0</v>
      </c>
      <c r="H611" s="615">
        <v>0</v>
      </c>
      <c r="I611" s="283">
        <f t="shared" si="277"/>
        <v>17.419999999999998</v>
      </c>
      <c r="J611" s="283">
        <f t="shared" si="278"/>
        <v>1.9100000000000001</v>
      </c>
      <c r="K611" s="285">
        <f t="shared" si="279"/>
        <v>923.26</v>
      </c>
      <c r="L611" s="286">
        <v>0</v>
      </c>
      <c r="M611" s="286">
        <v>0</v>
      </c>
      <c r="N611" s="285">
        <f t="shared" si="281"/>
        <v>923.26</v>
      </c>
      <c r="O611" s="616">
        <f t="shared" si="269"/>
        <v>0</v>
      </c>
      <c r="P611" s="289">
        <f t="shared" si="282"/>
        <v>0</v>
      </c>
      <c r="Q611" s="290">
        <f t="shared" si="283"/>
        <v>0</v>
      </c>
      <c r="R611" s="290">
        <f t="shared" si="284"/>
        <v>0</v>
      </c>
      <c r="S611" s="290">
        <f t="shared" si="285"/>
        <v>0</v>
      </c>
      <c r="T611" s="290">
        <f t="shared" si="286"/>
        <v>0</v>
      </c>
      <c r="U611" s="291">
        <f t="shared" si="287"/>
        <v>923.26</v>
      </c>
      <c r="V611" s="291">
        <f t="shared" si="291"/>
        <v>-923.26</v>
      </c>
      <c r="W611" s="265">
        <f t="shared" si="288"/>
        <v>0</v>
      </c>
      <c r="X611" s="291">
        <f t="shared" si="292"/>
        <v>-923.26</v>
      </c>
      <c r="Y611" s="170">
        <f t="shared" si="289"/>
        <v>101.23</v>
      </c>
      <c r="Z611" s="291">
        <f t="shared" si="290"/>
        <v>-101.23</v>
      </c>
      <c r="AC611" s="276">
        <f>IF(AI611=1,IF(AC610=MiscData!$F$1,EOMONTH(AC610,-11),EOMONTH(AC610,1)),AC610)</f>
        <v>41912</v>
      </c>
      <c r="AD611" s="275" t="str">
        <f t="shared" si="273"/>
        <v>20140101LGUM_318</v>
      </c>
      <c r="AE611" s="294" t="str">
        <f t="shared" si="274"/>
        <v>20140101RLS</v>
      </c>
      <c r="AF611" s="618" t="str">
        <f t="shared" si="293"/>
        <v>318</v>
      </c>
      <c r="AH611" s="265">
        <f>MiscData!$X$5</f>
        <v>20140101</v>
      </c>
      <c r="AI611" s="265">
        <f>IF(AI610+1&gt;MiscData!$AC$77,1,AI610+1)</f>
        <v>24</v>
      </c>
      <c r="AJ611" s="265" t="str">
        <f>VLOOKUP(AI611,MiscData!$AC$5:$AD$77,2,FALSE)</f>
        <v>LGUM_318</v>
      </c>
      <c r="AK611" s="265" t="str">
        <f>VLOOKUP(AJ611,MiscData!$AD$5:$AE$77,2,FALSE)</f>
        <v>RLS</v>
      </c>
      <c r="AT611" s="265" t="s">
        <v>238</v>
      </c>
      <c r="AV611" s="265">
        <v>0</v>
      </c>
    </row>
    <row r="612" spans="1:48">
      <c r="A612" s="275">
        <f t="shared" si="294"/>
        <v>609</v>
      </c>
      <c r="B612" s="276" t="str">
        <f t="shared" si="270"/>
        <v>Sep 2014</v>
      </c>
      <c r="C612" s="277" t="str">
        <f t="shared" si="271"/>
        <v>RLS</v>
      </c>
      <c r="D612" s="277" t="str">
        <f t="shared" si="272"/>
        <v>LGUM_347</v>
      </c>
      <c r="E612" s="614">
        <f t="shared" si="275"/>
        <v>0</v>
      </c>
      <c r="F612" s="615">
        <v>0</v>
      </c>
      <c r="G612" s="614">
        <f t="shared" si="276"/>
        <v>0</v>
      </c>
      <c r="H612" s="615">
        <v>0</v>
      </c>
      <c r="I612" s="283">
        <f t="shared" si="277"/>
        <v>22.939999999999998</v>
      </c>
      <c r="J612" s="283">
        <f t="shared" si="278"/>
        <v>26.14</v>
      </c>
      <c r="K612" s="285">
        <f t="shared" si="279"/>
        <v>0</v>
      </c>
      <c r="L612" s="286">
        <v>0</v>
      </c>
      <c r="M612" s="286">
        <v>0</v>
      </c>
      <c r="N612" s="285">
        <f t="shared" si="281"/>
        <v>0</v>
      </c>
      <c r="O612" s="616">
        <f t="shared" ref="O612:O675" si="295">T612-SUM(Q612:S612)-SUMIFS(L_1055_Revenue_Poles_Test_Period,L_1055_RateCategory,$D612,L_1055_Revenue_Month,$B612)</f>
        <v>0</v>
      </c>
      <c r="P612" s="289">
        <f t="shared" si="282"/>
        <v>1</v>
      </c>
      <c r="Q612" s="290">
        <f t="shared" si="283"/>
        <v>0</v>
      </c>
      <c r="R612" s="290">
        <f t="shared" si="284"/>
        <v>0</v>
      </c>
      <c r="S612" s="290">
        <f t="shared" si="285"/>
        <v>0</v>
      </c>
      <c r="T612" s="290">
        <f t="shared" si="286"/>
        <v>0</v>
      </c>
      <c r="U612" s="291">
        <f t="shared" si="287"/>
        <v>0</v>
      </c>
      <c r="V612" s="291">
        <f t="shared" si="291"/>
        <v>0</v>
      </c>
      <c r="W612" s="265">
        <f t="shared" si="288"/>
        <v>0</v>
      </c>
      <c r="X612" s="291">
        <f t="shared" si="292"/>
        <v>0</v>
      </c>
      <c r="Y612" s="170">
        <f t="shared" si="289"/>
        <v>0</v>
      </c>
      <c r="Z612" s="291">
        <f t="shared" si="290"/>
        <v>0</v>
      </c>
      <c r="AC612" s="276">
        <f>IF(AI612=1,IF(AC611=MiscData!$F$1,EOMONTH(AC611,-11),EOMONTH(AC611,1)),AC611)</f>
        <v>41912</v>
      </c>
      <c r="AD612" s="275" t="str">
        <f t="shared" si="273"/>
        <v>20140101LGUM_347</v>
      </c>
      <c r="AE612" s="294" t="str">
        <f t="shared" si="274"/>
        <v>20140101RLS</v>
      </c>
      <c r="AF612" s="618" t="str">
        <f t="shared" si="293"/>
        <v>347</v>
      </c>
      <c r="AH612" s="265">
        <f>MiscData!$X$5</f>
        <v>20140101</v>
      </c>
      <c r="AI612" s="265">
        <f>IF(AI611+1&gt;MiscData!$AC$77,1,AI611+1)</f>
        <v>25</v>
      </c>
      <c r="AJ612" s="265" t="str">
        <f>VLOOKUP(AI612,MiscData!$AC$5:$AD$77,2,FALSE)</f>
        <v>LGUM_347</v>
      </c>
      <c r="AK612" s="265" t="str">
        <f>VLOOKUP(AJ612,MiscData!$AD$5:$AE$77,2,FALSE)</f>
        <v>RLS</v>
      </c>
      <c r="AT612" s="265" t="s">
        <v>379</v>
      </c>
      <c r="AV612" s="265">
        <v>0</v>
      </c>
    </row>
    <row r="613" spans="1:48">
      <c r="A613" s="275">
        <f t="shared" si="294"/>
        <v>610</v>
      </c>
      <c r="B613" s="276" t="str">
        <f t="shared" si="270"/>
        <v>Sep 2014</v>
      </c>
      <c r="C613" s="277" t="str">
        <f t="shared" si="271"/>
        <v>RLS</v>
      </c>
      <c r="D613" s="277" t="str">
        <f t="shared" si="272"/>
        <v>LGUM_348</v>
      </c>
      <c r="E613" s="614">
        <f t="shared" si="275"/>
        <v>38</v>
      </c>
      <c r="F613" s="615">
        <v>0</v>
      </c>
      <c r="G613" s="614">
        <f t="shared" si="276"/>
        <v>0</v>
      </c>
      <c r="H613" s="615">
        <v>0</v>
      </c>
      <c r="I613" s="283">
        <f t="shared" si="277"/>
        <v>13.12</v>
      </c>
      <c r="J613" s="283">
        <f t="shared" si="278"/>
        <v>2.9800000000000004</v>
      </c>
      <c r="K613" s="285">
        <f t="shared" si="279"/>
        <v>498.56</v>
      </c>
      <c r="L613" s="286">
        <v>0</v>
      </c>
      <c r="M613" s="286">
        <v>0</v>
      </c>
      <c r="N613" s="285">
        <f t="shared" si="281"/>
        <v>498.56</v>
      </c>
      <c r="O613" s="616">
        <f t="shared" si="295"/>
        <v>0</v>
      </c>
      <c r="P613" s="289">
        <f t="shared" si="282"/>
        <v>0</v>
      </c>
      <c r="Q613" s="290">
        <f t="shared" si="283"/>
        <v>0</v>
      </c>
      <c r="R613" s="290">
        <f t="shared" si="284"/>
        <v>0</v>
      </c>
      <c r="S613" s="290">
        <f t="shared" si="285"/>
        <v>0</v>
      </c>
      <c r="T613" s="290">
        <f t="shared" si="286"/>
        <v>0</v>
      </c>
      <c r="U613" s="291">
        <f t="shared" si="287"/>
        <v>498.56</v>
      </c>
      <c r="V613" s="291">
        <f t="shared" si="291"/>
        <v>-498.56</v>
      </c>
      <c r="W613" s="265">
        <f t="shared" si="288"/>
        <v>0</v>
      </c>
      <c r="X613" s="291">
        <f t="shared" si="292"/>
        <v>-498.56</v>
      </c>
      <c r="Y613" s="170">
        <f t="shared" si="289"/>
        <v>113.24</v>
      </c>
      <c r="Z613" s="291">
        <f t="shared" si="290"/>
        <v>-113.24</v>
      </c>
      <c r="AC613" s="276">
        <f>IF(AI613=1,IF(AC612=MiscData!$F$1,EOMONTH(AC612,-11),EOMONTH(AC612,1)),AC612)</f>
        <v>41912</v>
      </c>
      <c r="AD613" s="275" t="str">
        <f t="shared" si="273"/>
        <v>20140101LGUM_348</v>
      </c>
      <c r="AE613" s="294" t="str">
        <f t="shared" si="274"/>
        <v>20140101RLS</v>
      </c>
      <c r="AF613" s="618" t="str">
        <f t="shared" si="293"/>
        <v>348</v>
      </c>
      <c r="AH613" s="265">
        <f>MiscData!$X$5</f>
        <v>20140101</v>
      </c>
      <c r="AI613" s="265">
        <f>IF(AI612+1&gt;MiscData!$AC$77,1,AI612+1)</f>
        <v>26</v>
      </c>
      <c r="AJ613" s="265" t="str">
        <f>VLOOKUP(AI613,MiscData!$AC$5:$AD$77,2,FALSE)</f>
        <v>LGUM_348</v>
      </c>
      <c r="AK613" s="265" t="str">
        <f>VLOOKUP(AJ613,MiscData!$AD$5:$AE$77,2,FALSE)</f>
        <v>RLS</v>
      </c>
      <c r="AT613" s="265" t="s">
        <v>239</v>
      </c>
      <c r="AV613" s="265">
        <v>8.82</v>
      </c>
    </row>
    <row r="614" spans="1:48">
      <c r="A614" s="275">
        <f t="shared" si="294"/>
        <v>611</v>
      </c>
      <c r="B614" s="276" t="str">
        <f t="shared" si="270"/>
        <v>Sep 2014</v>
      </c>
      <c r="C614" s="277" t="str">
        <f t="shared" si="271"/>
        <v>RLS</v>
      </c>
      <c r="D614" s="277" t="str">
        <f t="shared" si="272"/>
        <v>LGUM_349</v>
      </c>
      <c r="E614" s="614">
        <f t="shared" si="275"/>
        <v>16</v>
      </c>
      <c r="F614" s="615">
        <v>0</v>
      </c>
      <c r="G614" s="614">
        <f t="shared" si="276"/>
        <v>0</v>
      </c>
      <c r="H614" s="615">
        <v>0</v>
      </c>
      <c r="I614" s="283">
        <f t="shared" si="277"/>
        <v>9.0200000000000014</v>
      </c>
      <c r="J614" s="283">
        <f t="shared" si="278"/>
        <v>0.91000000000000014</v>
      </c>
      <c r="K614" s="285">
        <f t="shared" si="279"/>
        <v>144.32</v>
      </c>
      <c r="L614" s="286">
        <v>0</v>
      </c>
      <c r="M614" s="286">
        <v>0</v>
      </c>
      <c r="N614" s="285">
        <f t="shared" si="281"/>
        <v>144.32</v>
      </c>
      <c r="O614" s="616">
        <f t="shared" si="295"/>
        <v>0</v>
      </c>
      <c r="P614" s="289">
        <f t="shared" si="282"/>
        <v>0</v>
      </c>
      <c r="Q614" s="290">
        <f t="shared" si="283"/>
        <v>0</v>
      </c>
      <c r="R614" s="290">
        <f t="shared" si="284"/>
        <v>0</v>
      </c>
      <c r="S614" s="290">
        <f t="shared" si="285"/>
        <v>0</v>
      </c>
      <c r="T614" s="290">
        <f t="shared" si="286"/>
        <v>0</v>
      </c>
      <c r="U614" s="291">
        <f t="shared" si="287"/>
        <v>144.32</v>
      </c>
      <c r="V614" s="291">
        <f t="shared" si="291"/>
        <v>-144.32</v>
      </c>
      <c r="W614" s="265">
        <f t="shared" si="288"/>
        <v>0</v>
      </c>
      <c r="X614" s="291">
        <f t="shared" si="292"/>
        <v>-144.32</v>
      </c>
      <c r="Y614" s="170">
        <f t="shared" si="289"/>
        <v>14.56</v>
      </c>
      <c r="Z614" s="291">
        <f t="shared" si="290"/>
        <v>-14.56</v>
      </c>
      <c r="AC614" s="276">
        <f>IF(AI614=1,IF(AC613=MiscData!$F$1,EOMONTH(AC613,-11),EOMONTH(AC613,1)),AC613)</f>
        <v>41912</v>
      </c>
      <c r="AD614" s="275" t="str">
        <f t="shared" si="273"/>
        <v>20140101LGUM_349</v>
      </c>
      <c r="AE614" s="294" t="str">
        <f t="shared" si="274"/>
        <v>20140101RLS</v>
      </c>
      <c r="AF614" s="618" t="str">
        <f t="shared" si="293"/>
        <v>349</v>
      </c>
      <c r="AH614" s="265">
        <f>MiscData!$X$5</f>
        <v>20140101</v>
      </c>
      <c r="AI614" s="265">
        <f>IF(AI613+1&gt;MiscData!$AC$77,1,AI613+1)</f>
        <v>27</v>
      </c>
      <c r="AJ614" s="265" t="str">
        <f>VLOOKUP(AI614,MiscData!$AC$5:$AD$77,2,FALSE)</f>
        <v>LGUM_349</v>
      </c>
      <c r="AK614" s="265" t="str">
        <f>VLOOKUP(AJ614,MiscData!$AD$5:$AE$77,2,FALSE)</f>
        <v>RLS</v>
      </c>
      <c r="AT614" s="265" t="s">
        <v>241</v>
      </c>
      <c r="AV614" s="265">
        <v>-9.5</v>
      </c>
    </row>
    <row r="615" spans="1:48">
      <c r="A615" s="275">
        <f t="shared" si="294"/>
        <v>612</v>
      </c>
      <c r="B615" s="276" t="str">
        <f t="shared" si="270"/>
        <v>Sep 2014</v>
      </c>
      <c r="C615" s="277" t="str">
        <f t="shared" si="271"/>
        <v xml:space="preserve">LS </v>
      </c>
      <c r="D615" s="277" t="str">
        <f t="shared" si="272"/>
        <v>LGUM_400</v>
      </c>
      <c r="E615" s="614">
        <f t="shared" si="275"/>
        <v>31</v>
      </c>
      <c r="F615" s="615">
        <v>0</v>
      </c>
      <c r="G615" s="614">
        <f t="shared" si="276"/>
        <v>0</v>
      </c>
      <c r="H615" s="615">
        <v>0</v>
      </c>
      <c r="I615" s="283">
        <f t="shared" si="277"/>
        <v>23.89</v>
      </c>
      <c r="J615" s="283">
        <f t="shared" si="278"/>
        <v>1.0199999999999996</v>
      </c>
      <c r="K615" s="285">
        <f t="shared" si="279"/>
        <v>740.59</v>
      </c>
      <c r="L615" s="286">
        <v>0</v>
      </c>
      <c r="M615" s="286">
        <v>0</v>
      </c>
      <c r="N615" s="285">
        <f t="shared" si="281"/>
        <v>740.59</v>
      </c>
      <c r="O615" s="616">
        <f t="shared" si="295"/>
        <v>0</v>
      </c>
      <c r="P615" s="289">
        <f t="shared" si="282"/>
        <v>0</v>
      </c>
      <c r="Q615" s="290">
        <f t="shared" si="283"/>
        <v>0</v>
      </c>
      <c r="R615" s="290">
        <f t="shared" si="284"/>
        <v>0</v>
      </c>
      <c r="S615" s="290">
        <f t="shared" si="285"/>
        <v>0</v>
      </c>
      <c r="T615" s="290">
        <f t="shared" si="286"/>
        <v>0</v>
      </c>
      <c r="U615" s="291">
        <f t="shared" si="287"/>
        <v>740.59</v>
      </c>
      <c r="V615" s="291">
        <f t="shared" si="291"/>
        <v>-740.59</v>
      </c>
      <c r="W615" s="265">
        <f t="shared" si="288"/>
        <v>0</v>
      </c>
      <c r="X615" s="291">
        <f t="shared" si="292"/>
        <v>-740.59</v>
      </c>
      <c r="Y615" s="170">
        <f t="shared" si="289"/>
        <v>31.62</v>
      </c>
      <c r="Z615" s="291">
        <f t="shared" si="290"/>
        <v>-31.62</v>
      </c>
      <c r="AC615" s="276">
        <f>IF(AI615=1,IF(AC614=MiscData!$F$1,EOMONTH(AC614,-11),EOMONTH(AC614,1)),AC614)</f>
        <v>41912</v>
      </c>
      <c r="AD615" s="275" t="str">
        <f t="shared" si="273"/>
        <v>20140101LGUM_400</v>
      </c>
      <c r="AE615" s="294" t="str">
        <f t="shared" si="274"/>
        <v xml:space="preserve">20140101LS </v>
      </c>
      <c r="AF615" s="618" t="str">
        <f t="shared" si="293"/>
        <v>400</v>
      </c>
      <c r="AH615" s="265">
        <f>MiscData!$X$5</f>
        <v>20140101</v>
      </c>
      <c r="AI615" s="265">
        <f>IF(AI614+1&gt;MiscData!$AC$77,1,AI614+1)</f>
        <v>28</v>
      </c>
      <c r="AJ615" s="265" t="str">
        <f>VLOOKUP(AI615,MiscData!$AC$5:$AD$77,2,FALSE)</f>
        <v>LGUM_400</v>
      </c>
      <c r="AK615" s="265" t="str">
        <f>VLOOKUP(AJ615,MiscData!$AD$5:$AE$77,2,FALSE)</f>
        <v xml:space="preserve">LS </v>
      </c>
      <c r="AT615" s="265" t="s">
        <v>242</v>
      </c>
      <c r="AV615" s="265">
        <v>0</v>
      </c>
    </row>
    <row r="616" spans="1:48">
      <c r="A616" s="275">
        <f t="shared" si="294"/>
        <v>613</v>
      </c>
      <c r="B616" s="276" t="str">
        <f t="shared" si="270"/>
        <v>Sep 2014</v>
      </c>
      <c r="C616" s="277" t="str">
        <f t="shared" si="271"/>
        <v xml:space="preserve">LS </v>
      </c>
      <c r="D616" s="277" t="str">
        <f t="shared" si="272"/>
        <v>LGUM_401</v>
      </c>
      <c r="E616" s="614">
        <f t="shared" si="275"/>
        <v>4</v>
      </c>
      <c r="F616" s="615">
        <v>0</v>
      </c>
      <c r="G616" s="614">
        <f t="shared" si="276"/>
        <v>0</v>
      </c>
      <c r="H616" s="615">
        <v>0</v>
      </c>
      <c r="I616" s="283">
        <f t="shared" si="277"/>
        <v>24.9</v>
      </c>
      <c r="J616" s="283">
        <f t="shared" si="278"/>
        <v>1.0599999999999987</v>
      </c>
      <c r="K616" s="285">
        <f t="shared" si="279"/>
        <v>99.6</v>
      </c>
      <c r="L616" s="286">
        <v>0</v>
      </c>
      <c r="M616" s="286">
        <v>0</v>
      </c>
      <c r="N616" s="285">
        <f t="shared" si="281"/>
        <v>99.6</v>
      </c>
      <c r="O616" s="616">
        <f t="shared" si="295"/>
        <v>0</v>
      </c>
      <c r="P616" s="289">
        <f t="shared" si="282"/>
        <v>0</v>
      </c>
      <c r="Q616" s="290">
        <f t="shared" si="283"/>
        <v>0</v>
      </c>
      <c r="R616" s="290">
        <f t="shared" si="284"/>
        <v>0</v>
      </c>
      <c r="S616" s="290">
        <f t="shared" si="285"/>
        <v>0</v>
      </c>
      <c r="T616" s="290">
        <f t="shared" si="286"/>
        <v>0</v>
      </c>
      <c r="U616" s="291">
        <f t="shared" si="287"/>
        <v>99.6</v>
      </c>
      <c r="V616" s="291">
        <f t="shared" si="291"/>
        <v>-99.6</v>
      </c>
      <c r="W616" s="265">
        <f t="shared" si="288"/>
        <v>0</v>
      </c>
      <c r="X616" s="291">
        <f t="shared" si="292"/>
        <v>-99.6</v>
      </c>
      <c r="Y616" s="170">
        <f t="shared" si="289"/>
        <v>4.24</v>
      </c>
      <c r="Z616" s="291">
        <f t="shared" si="290"/>
        <v>-4.24</v>
      </c>
      <c r="AC616" s="276">
        <f>IF(AI616=1,IF(AC615=MiscData!$F$1,EOMONTH(AC615,-11),EOMONTH(AC615,1)),AC615)</f>
        <v>41912</v>
      </c>
      <c r="AD616" s="275" t="str">
        <f t="shared" si="273"/>
        <v>20140101LGUM_401</v>
      </c>
      <c r="AE616" s="294" t="str">
        <f t="shared" si="274"/>
        <v xml:space="preserve">20140101LS </v>
      </c>
      <c r="AF616" s="618" t="str">
        <f t="shared" si="293"/>
        <v>401</v>
      </c>
      <c r="AH616" s="265">
        <f>MiscData!$X$5</f>
        <v>20140101</v>
      </c>
      <c r="AI616" s="265">
        <f>IF(AI615+1&gt;MiscData!$AC$77,1,AI615+1)</f>
        <v>29</v>
      </c>
      <c r="AJ616" s="265" t="str">
        <f>VLOOKUP(AI616,MiscData!$AC$5:$AD$77,2,FALSE)</f>
        <v>LGUM_401</v>
      </c>
      <c r="AK616" s="265" t="str">
        <f>VLOOKUP(AJ616,MiscData!$AD$5:$AE$77,2,FALSE)</f>
        <v xml:space="preserve">LS </v>
      </c>
      <c r="AT616" s="265" t="s">
        <v>380</v>
      </c>
      <c r="AV616" s="265">
        <v>0</v>
      </c>
    </row>
    <row r="617" spans="1:48">
      <c r="A617" s="275">
        <f t="shared" si="294"/>
        <v>614</v>
      </c>
      <c r="B617" s="276" t="str">
        <f t="shared" si="270"/>
        <v>Sep 2014</v>
      </c>
      <c r="C617" s="277" t="str">
        <f t="shared" si="271"/>
        <v xml:space="preserve">LS </v>
      </c>
      <c r="D617" s="277" t="str">
        <f t="shared" si="272"/>
        <v>LGUM_412</v>
      </c>
      <c r="E617" s="614">
        <f t="shared" si="275"/>
        <v>205</v>
      </c>
      <c r="F617" s="615">
        <v>0</v>
      </c>
      <c r="G617" s="614">
        <f t="shared" si="276"/>
        <v>0</v>
      </c>
      <c r="H617" s="615">
        <v>0</v>
      </c>
      <c r="I617" s="283">
        <f t="shared" si="277"/>
        <v>19.79</v>
      </c>
      <c r="J617" s="283">
        <f t="shared" si="278"/>
        <v>0.74999999999999645</v>
      </c>
      <c r="K617" s="285">
        <f t="shared" si="279"/>
        <v>4056.95</v>
      </c>
      <c r="L617" s="286">
        <v>0</v>
      </c>
      <c r="M617" s="286">
        <v>0</v>
      </c>
      <c r="N617" s="285">
        <f t="shared" si="281"/>
        <v>4056.95</v>
      </c>
      <c r="O617" s="616">
        <f t="shared" si="295"/>
        <v>0</v>
      </c>
      <c r="P617" s="289">
        <f t="shared" si="282"/>
        <v>0</v>
      </c>
      <c r="Q617" s="290">
        <f t="shared" si="283"/>
        <v>0</v>
      </c>
      <c r="R617" s="290">
        <f t="shared" si="284"/>
        <v>0</v>
      </c>
      <c r="S617" s="290">
        <f t="shared" si="285"/>
        <v>0</v>
      </c>
      <c r="T617" s="290">
        <f t="shared" si="286"/>
        <v>0</v>
      </c>
      <c r="U617" s="291">
        <f t="shared" si="287"/>
        <v>4056.95</v>
      </c>
      <c r="V617" s="291">
        <f t="shared" si="291"/>
        <v>-4056.95</v>
      </c>
      <c r="W617" s="265">
        <f t="shared" si="288"/>
        <v>0</v>
      </c>
      <c r="X617" s="291">
        <f t="shared" si="292"/>
        <v>-4056.95</v>
      </c>
      <c r="Y617" s="170">
        <f t="shared" si="289"/>
        <v>153.75</v>
      </c>
      <c r="Z617" s="291">
        <f t="shared" si="290"/>
        <v>-153.75</v>
      </c>
      <c r="AC617" s="276">
        <f>IF(AI617=1,IF(AC616=MiscData!$F$1,EOMONTH(AC616,-11),EOMONTH(AC616,1)),AC616)</f>
        <v>41912</v>
      </c>
      <c r="AD617" s="275" t="str">
        <f t="shared" si="273"/>
        <v>20140101LGUM_412</v>
      </c>
      <c r="AE617" s="294" t="str">
        <f t="shared" si="274"/>
        <v xml:space="preserve">20140101LS </v>
      </c>
      <c r="AF617" s="618" t="str">
        <f t="shared" si="293"/>
        <v>412</v>
      </c>
      <c r="AH617" s="265">
        <f>MiscData!$X$5</f>
        <v>20140101</v>
      </c>
      <c r="AI617" s="265">
        <f>IF(AI616+1&gt;MiscData!$AC$77,1,AI616+1)</f>
        <v>30</v>
      </c>
      <c r="AJ617" s="265" t="str">
        <f>VLOOKUP(AI617,MiscData!$AC$5:$AD$77,2,FALSE)</f>
        <v>LGUM_412</v>
      </c>
      <c r="AK617" s="265" t="str">
        <f>VLOOKUP(AJ617,MiscData!$AD$5:$AE$77,2,FALSE)</f>
        <v xml:space="preserve">LS </v>
      </c>
      <c r="AT617" s="265" t="s">
        <v>243</v>
      </c>
      <c r="AV617" s="265">
        <v>0</v>
      </c>
    </row>
    <row r="618" spans="1:48">
      <c r="A618" s="275">
        <f t="shared" si="294"/>
        <v>615</v>
      </c>
      <c r="B618" s="276" t="str">
        <f t="shared" ref="B618:B681" si="296">TEXT(AC618,"mmm yyyy")</f>
        <v>Sep 2014</v>
      </c>
      <c r="C618" s="277" t="str">
        <f t="shared" ref="C618:C681" si="297">AK618</f>
        <v xml:space="preserve">LS </v>
      </c>
      <c r="D618" s="277" t="str">
        <f t="shared" ref="D618:D681" si="298">AJ618</f>
        <v>LGUM_413</v>
      </c>
      <c r="E618" s="614">
        <f t="shared" si="275"/>
        <v>1934</v>
      </c>
      <c r="F618" s="615">
        <v>0</v>
      </c>
      <c r="G618" s="614">
        <f t="shared" si="276"/>
        <v>0</v>
      </c>
      <c r="H618" s="615">
        <v>0</v>
      </c>
      <c r="I618" s="283">
        <f t="shared" si="277"/>
        <v>20.49</v>
      </c>
      <c r="J618" s="283">
        <f t="shared" si="278"/>
        <v>1.0599999999999987</v>
      </c>
      <c r="K618" s="285">
        <f t="shared" si="279"/>
        <v>39627.660000000003</v>
      </c>
      <c r="L618" s="286">
        <v>0</v>
      </c>
      <c r="M618" s="286">
        <v>0</v>
      </c>
      <c r="N618" s="285">
        <f t="shared" si="281"/>
        <v>39627.660000000003</v>
      </c>
      <c r="O618" s="616">
        <f t="shared" si="295"/>
        <v>0</v>
      </c>
      <c r="P618" s="289">
        <f t="shared" si="282"/>
        <v>0</v>
      </c>
      <c r="Q618" s="290">
        <f t="shared" si="283"/>
        <v>0</v>
      </c>
      <c r="R618" s="290">
        <f t="shared" si="284"/>
        <v>0</v>
      </c>
      <c r="S618" s="290">
        <f t="shared" si="285"/>
        <v>0</v>
      </c>
      <c r="T618" s="290">
        <f t="shared" si="286"/>
        <v>0</v>
      </c>
      <c r="U618" s="291">
        <f t="shared" si="287"/>
        <v>39627.660000000003</v>
      </c>
      <c r="V618" s="291">
        <f t="shared" si="291"/>
        <v>-39627.660000000003</v>
      </c>
      <c r="W618" s="265">
        <f t="shared" si="288"/>
        <v>0</v>
      </c>
      <c r="X618" s="291">
        <f t="shared" si="292"/>
        <v>-39627.660000000003</v>
      </c>
      <c r="Y618" s="170">
        <f t="shared" si="289"/>
        <v>2050.04</v>
      </c>
      <c r="Z618" s="291">
        <f t="shared" si="290"/>
        <v>-2050.04</v>
      </c>
      <c r="AC618" s="276">
        <f>IF(AI618=1,IF(AC617=MiscData!$F$1,EOMONTH(AC617,-11),EOMONTH(AC617,1)),AC617)</f>
        <v>41912</v>
      </c>
      <c r="AD618" s="275" t="str">
        <f t="shared" ref="AD618:AD681" si="299">CONCATENATE(AH618&amp;AJ618)</f>
        <v>20140101LGUM_413</v>
      </c>
      <c r="AE618" s="294" t="str">
        <f t="shared" ref="AE618:AE681" si="300">CONCATENATE(AH618&amp;AK618)</f>
        <v xml:space="preserve">20140101LS </v>
      </c>
      <c r="AF618" s="618" t="str">
        <f t="shared" si="293"/>
        <v>413</v>
      </c>
      <c r="AH618" s="265">
        <f>MiscData!$X$5</f>
        <v>20140101</v>
      </c>
      <c r="AI618" s="265">
        <f>IF(AI617+1&gt;MiscData!$AC$77,1,AI617+1)</f>
        <v>31</v>
      </c>
      <c r="AJ618" s="265" t="str">
        <f>VLOOKUP(AI618,MiscData!$AC$5:$AD$77,2,FALSE)</f>
        <v>LGUM_413</v>
      </c>
      <c r="AK618" s="265" t="str">
        <f>VLOOKUP(AJ618,MiscData!$AD$5:$AE$77,2,FALSE)</f>
        <v xml:space="preserve">LS </v>
      </c>
      <c r="AT618" s="265" t="s">
        <v>244</v>
      </c>
      <c r="AV618" s="265">
        <v>0</v>
      </c>
    </row>
    <row r="619" spans="1:48">
      <c r="A619" s="275">
        <f t="shared" si="294"/>
        <v>616</v>
      </c>
      <c r="B619" s="276" t="str">
        <f t="shared" si="296"/>
        <v>Sep 2014</v>
      </c>
      <c r="C619" s="277" t="str">
        <f t="shared" si="297"/>
        <v xml:space="preserve">LS </v>
      </c>
      <c r="D619" s="277" t="str">
        <f t="shared" si="298"/>
        <v>LGUM_415</v>
      </c>
      <c r="E619" s="614">
        <f t="shared" si="275"/>
        <v>26</v>
      </c>
      <c r="F619" s="615">
        <v>0</v>
      </c>
      <c r="G619" s="614">
        <f t="shared" si="276"/>
        <v>0</v>
      </c>
      <c r="H619" s="615">
        <v>0</v>
      </c>
      <c r="I619" s="283">
        <f t="shared" si="277"/>
        <v>20.18</v>
      </c>
      <c r="J619" s="283">
        <f t="shared" si="278"/>
        <v>0.75</v>
      </c>
      <c r="K619" s="285">
        <f t="shared" si="279"/>
        <v>524.67999999999995</v>
      </c>
      <c r="L619" s="286">
        <v>0</v>
      </c>
      <c r="M619" s="286">
        <v>0</v>
      </c>
      <c r="N619" s="285">
        <f t="shared" si="281"/>
        <v>524.67999999999995</v>
      </c>
      <c r="O619" s="616">
        <f t="shared" si="295"/>
        <v>0</v>
      </c>
      <c r="P619" s="289">
        <f t="shared" si="282"/>
        <v>0</v>
      </c>
      <c r="Q619" s="290">
        <f t="shared" si="283"/>
        <v>0</v>
      </c>
      <c r="R619" s="290">
        <f t="shared" si="284"/>
        <v>0</v>
      </c>
      <c r="S619" s="290">
        <f t="shared" si="285"/>
        <v>0</v>
      </c>
      <c r="T619" s="290">
        <f t="shared" si="286"/>
        <v>0</v>
      </c>
      <c r="U619" s="291">
        <f t="shared" si="287"/>
        <v>524.67999999999995</v>
      </c>
      <c r="V619" s="291">
        <f t="shared" si="291"/>
        <v>-524.67999999999995</v>
      </c>
      <c r="W619" s="265">
        <f t="shared" si="288"/>
        <v>0</v>
      </c>
      <c r="X619" s="291">
        <f t="shared" si="292"/>
        <v>-524.67999999999995</v>
      </c>
      <c r="Y619" s="170">
        <f t="shared" si="289"/>
        <v>19.5</v>
      </c>
      <c r="Z619" s="291">
        <f t="shared" si="290"/>
        <v>-19.5</v>
      </c>
      <c r="AC619" s="276">
        <f>IF(AI619=1,IF(AC618=MiscData!$F$1,EOMONTH(AC618,-11),EOMONTH(AC618,1)),AC618)</f>
        <v>41912</v>
      </c>
      <c r="AD619" s="275" t="str">
        <f t="shared" si="299"/>
        <v>20140101LGUM_415</v>
      </c>
      <c r="AE619" s="294" t="str">
        <f t="shared" si="300"/>
        <v xml:space="preserve">20140101LS </v>
      </c>
      <c r="AF619" s="618" t="str">
        <f t="shared" si="293"/>
        <v>415</v>
      </c>
      <c r="AH619" s="265">
        <f>MiscData!$X$5</f>
        <v>20140101</v>
      </c>
      <c r="AI619" s="265">
        <f>IF(AI618+1&gt;MiscData!$AC$77,1,AI618+1)</f>
        <v>32</v>
      </c>
      <c r="AJ619" s="265" t="str">
        <f>VLOOKUP(AI619,MiscData!$AC$5:$AD$77,2,FALSE)</f>
        <v>LGUM_415</v>
      </c>
      <c r="AK619" s="265" t="str">
        <f>VLOOKUP(AJ619,MiscData!$AD$5:$AE$77,2,FALSE)</f>
        <v xml:space="preserve">LS </v>
      </c>
      <c r="AT619" s="265" t="s">
        <v>245</v>
      </c>
      <c r="AV619" s="265">
        <v>0</v>
      </c>
    </row>
    <row r="620" spans="1:48">
      <c r="A620" s="275">
        <f t="shared" si="294"/>
        <v>617</v>
      </c>
      <c r="B620" s="276" t="str">
        <f t="shared" si="296"/>
        <v>Sep 2014</v>
      </c>
      <c r="C620" s="277" t="str">
        <f t="shared" si="297"/>
        <v xml:space="preserve">LS </v>
      </c>
      <c r="D620" s="277" t="str">
        <f t="shared" si="298"/>
        <v>LGUM_416</v>
      </c>
      <c r="E620" s="614">
        <f t="shared" si="275"/>
        <v>1727</v>
      </c>
      <c r="F620" s="615">
        <v>0</v>
      </c>
      <c r="G620" s="614">
        <f t="shared" si="276"/>
        <v>0</v>
      </c>
      <c r="H620" s="615">
        <v>0</v>
      </c>
      <c r="I620" s="283">
        <f t="shared" si="277"/>
        <v>22.56</v>
      </c>
      <c r="J620" s="283">
        <f t="shared" si="278"/>
        <v>1.0599999999999987</v>
      </c>
      <c r="K620" s="285">
        <f t="shared" si="279"/>
        <v>38961.120000000003</v>
      </c>
      <c r="L620" s="286">
        <v>0</v>
      </c>
      <c r="M620" s="286">
        <v>0</v>
      </c>
      <c r="N620" s="285">
        <f t="shared" si="281"/>
        <v>38961.120000000003</v>
      </c>
      <c r="O620" s="616">
        <f t="shared" si="295"/>
        <v>0</v>
      </c>
      <c r="P620" s="289">
        <f t="shared" si="282"/>
        <v>0</v>
      </c>
      <c r="Q620" s="290">
        <f t="shared" si="283"/>
        <v>0</v>
      </c>
      <c r="R620" s="290">
        <f t="shared" si="284"/>
        <v>0</v>
      </c>
      <c r="S620" s="290">
        <f t="shared" si="285"/>
        <v>0</v>
      </c>
      <c r="T620" s="290">
        <f t="shared" si="286"/>
        <v>0</v>
      </c>
      <c r="U620" s="291">
        <f t="shared" si="287"/>
        <v>38961.120000000003</v>
      </c>
      <c r="V620" s="291">
        <f t="shared" si="291"/>
        <v>-38961.120000000003</v>
      </c>
      <c r="W620" s="265">
        <f t="shared" si="288"/>
        <v>0</v>
      </c>
      <c r="X620" s="291">
        <f t="shared" si="292"/>
        <v>-38961.120000000003</v>
      </c>
      <c r="Y620" s="170">
        <f t="shared" si="289"/>
        <v>1830.62</v>
      </c>
      <c r="Z620" s="291">
        <f t="shared" si="290"/>
        <v>-1830.62</v>
      </c>
      <c r="AC620" s="276">
        <f>IF(AI620=1,IF(AC619=MiscData!$F$1,EOMONTH(AC619,-11),EOMONTH(AC619,1)),AC619)</f>
        <v>41912</v>
      </c>
      <c r="AD620" s="275" t="str">
        <f t="shared" si="299"/>
        <v>20140101LGUM_416</v>
      </c>
      <c r="AE620" s="294" t="str">
        <f t="shared" si="300"/>
        <v xml:space="preserve">20140101LS </v>
      </c>
      <c r="AF620" s="618" t="str">
        <f t="shared" si="293"/>
        <v>416</v>
      </c>
      <c r="AH620" s="265">
        <f>MiscData!$X$5</f>
        <v>20140101</v>
      </c>
      <c r="AI620" s="265">
        <f>IF(AI619+1&gt;MiscData!$AC$77,1,AI619+1)</f>
        <v>33</v>
      </c>
      <c r="AJ620" s="265" t="str">
        <f>VLOOKUP(AI620,MiscData!$AC$5:$AD$77,2,FALSE)</f>
        <v>LGUM_416</v>
      </c>
      <c r="AK620" s="265" t="str">
        <f>VLOOKUP(AJ620,MiscData!$AD$5:$AE$77,2,FALSE)</f>
        <v xml:space="preserve">LS </v>
      </c>
      <c r="AT620" s="265" t="s">
        <v>381</v>
      </c>
      <c r="AV620" s="265">
        <v>0</v>
      </c>
    </row>
    <row r="621" spans="1:48">
      <c r="A621" s="275">
        <f t="shared" si="294"/>
        <v>618</v>
      </c>
      <c r="B621" s="276" t="str">
        <f t="shared" si="296"/>
        <v>Sep 2014</v>
      </c>
      <c r="C621" s="277" t="str">
        <f t="shared" si="297"/>
        <v>RLS</v>
      </c>
      <c r="D621" s="277" t="str">
        <f t="shared" si="298"/>
        <v>LGUM_417</v>
      </c>
      <c r="E621" s="614">
        <f t="shared" si="275"/>
        <v>34</v>
      </c>
      <c r="F621" s="615">
        <v>0</v>
      </c>
      <c r="G621" s="614">
        <f t="shared" si="276"/>
        <v>0</v>
      </c>
      <c r="H621" s="615">
        <v>0</v>
      </c>
      <c r="I621" s="283">
        <f t="shared" si="277"/>
        <v>23.68</v>
      </c>
      <c r="J621" s="283">
        <f t="shared" si="278"/>
        <v>1.0300000000000011</v>
      </c>
      <c r="K621" s="285">
        <f t="shared" si="279"/>
        <v>805.12</v>
      </c>
      <c r="L621" s="286">
        <v>0</v>
      </c>
      <c r="M621" s="286">
        <v>0</v>
      </c>
      <c r="N621" s="285">
        <f t="shared" si="281"/>
        <v>805.12</v>
      </c>
      <c r="O621" s="616">
        <f t="shared" si="295"/>
        <v>0</v>
      </c>
      <c r="P621" s="289">
        <f t="shared" si="282"/>
        <v>0</v>
      </c>
      <c r="Q621" s="290">
        <f t="shared" si="283"/>
        <v>0</v>
      </c>
      <c r="R621" s="290">
        <f t="shared" si="284"/>
        <v>0</v>
      </c>
      <c r="S621" s="290">
        <f t="shared" si="285"/>
        <v>0</v>
      </c>
      <c r="T621" s="290">
        <f t="shared" si="286"/>
        <v>0</v>
      </c>
      <c r="U621" s="291">
        <f t="shared" si="287"/>
        <v>805.12</v>
      </c>
      <c r="V621" s="291">
        <f t="shared" si="291"/>
        <v>-805.12</v>
      </c>
      <c r="W621" s="265">
        <f t="shared" si="288"/>
        <v>0</v>
      </c>
      <c r="X621" s="291">
        <f t="shared" si="292"/>
        <v>-805.12</v>
      </c>
      <c r="Y621" s="170">
        <f t="shared" si="289"/>
        <v>35.020000000000003</v>
      </c>
      <c r="Z621" s="291">
        <f t="shared" si="290"/>
        <v>-35.020000000000003</v>
      </c>
      <c r="AC621" s="276">
        <f>IF(AI621=1,IF(AC620=MiscData!$F$1,EOMONTH(AC620,-11),EOMONTH(AC620,1)),AC620)</f>
        <v>41912</v>
      </c>
      <c r="AD621" s="275" t="str">
        <f t="shared" si="299"/>
        <v>20140101LGUM_417</v>
      </c>
      <c r="AE621" s="294" t="str">
        <f t="shared" si="300"/>
        <v>20140101RLS</v>
      </c>
      <c r="AF621" s="618" t="str">
        <f t="shared" si="293"/>
        <v>417</v>
      </c>
      <c r="AH621" s="265">
        <f>MiscData!$X$5</f>
        <v>20140101</v>
      </c>
      <c r="AI621" s="265">
        <f>IF(AI620+1&gt;MiscData!$AC$77,1,AI620+1)</f>
        <v>34</v>
      </c>
      <c r="AJ621" s="265" t="str">
        <f>VLOOKUP(AI621,MiscData!$AC$5:$AD$77,2,FALSE)</f>
        <v>LGUM_417</v>
      </c>
      <c r="AK621" s="265" t="str">
        <f>VLOOKUP(AJ621,MiscData!$AD$5:$AE$77,2,FALSE)</f>
        <v>RLS</v>
      </c>
      <c r="AT621" s="265" t="s">
        <v>246</v>
      </c>
      <c r="AV621" s="265">
        <v>0</v>
      </c>
    </row>
    <row r="622" spans="1:48">
      <c r="A622" s="275">
        <f t="shared" si="294"/>
        <v>619</v>
      </c>
      <c r="B622" s="276" t="str">
        <f t="shared" si="296"/>
        <v>Sep 2014</v>
      </c>
      <c r="C622" s="277" t="str">
        <f t="shared" si="297"/>
        <v>RLS</v>
      </c>
      <c r="D622" s="277" t="str">
        <f t="shared" si="298"/>
        <v>LGUM_419</v>
      </c>
      <c r="E622" s="614">
        <f t="shared" si="275"/>
        <v>108</v>
      </c>
      <c r="F622" s="615">
        <v>0</v>
      </c>
      <c r="G622" s="614">
        <f t="shared" si="276"/>
        <v>0</v>
      </c>
      <c r="H622" s="615">
        <v>0</v>
      </c>
      <c r="I622" s="283">
        <f t="shared" si="277"/>
        <v>24.77</v>
      </c>
      <c r="J622" s="283">
        <f t="shared" si="278"/>
        <v>1.6499999999999986</v>
      </c>
      <c r="K622" s="285">
        <f t="shared" si="279"/>
        <v>2675.16</v>
      </c>
      <c r="L622" s="286">
        <v>0</v>
      </c>
      <c r="M622" s="286">
        <v>0</v>
      </c>
      <c r="N622" s="285">
        <f t="shared" si="281"/>
        <v>2675.16</v>
      </c>
      <c r="O622" s="616">
        <f t="shared" si="295"/>
        <v>0</v>
      </c>
      <c r="P622" s="289">
        <f t="shared" si="282"/>
        <v>0</v>
      </c>
      <c r="Q622" s="290">
        <f t="shared" si="283"/>
        <v>0</v>
      </c>
      <c r="R622" s="290">
        <f t="shared" si="284"/>
        <v>0</v>
      </c>
      <c r="S622" s="290">
        <f t="shared" si="285"/>
        <v>0</v>
      </c>
      <c r="T622" s="290">
        <f t="shared" si="286"/>
        <v>0</v>
      </c>
      <c r="U622" s="291">
        <f t="shared" si="287"/>
        <v>2675.16</v>
      </c>
      <c r="V622" s="291">
        <f t="shared" si="291"/>
        <v>-2675.16</v>
      </c>
      <c r="W622" s="265">
        <f t="shared" si="288"/>
        <v>0</v>
      </c>
      <c r="X622" s="291">
        <f t="shared" si="292"/>
        <v>-2675.16</v>
      </c>
      <c r="Y622" s="170">
        <f t="shared" si="289"/>
        <v>178.2</v>
      </c>
      <c r="Z622" s="291">
        <f t="shared" si="290"/>
        <v>-178.2</v>
      </c>
      <c r="AC622" s="276">
        <f>IF(AI622=1,IF(AC621=MiscData!$F$1,EOMONTH(AC621,-11),EOMONTH(AC621,1)),AC621)</f>
        <v>41912</v>
      </c>
      <c r="AD622" s="275" t="str">
        <f t="shared" si="299"/>
        <v>20140101LGUM_419</v>
      </c>
      <c r="AE622" s="294" t="str">
        <f t="shared" si="300"/>
        <v>20140101RLS</v>
      </c>
      <c r="AF622" s="618" t="str">
        <f t="shared" si="293"/>
        <v>419</v>
      </c>
      <c r="AH622" s="265">
        <f>MiscData!$X$5</f>
        <v>20140101</v>
      </c>
      <c r="AI622" s="265">
        <f>IF(AI621+1&gt;MiscData!$AC$77,1,AI621+1)</f>
        <v>35</v>
      </c>
      <c r="AJ622" s="265" t="str">
        <f>VLOOKUP(AI622,MiscData!$AC$5:$AD$77,2,FALSE)</f>
        <v>LGUM_419</v>
      </c>
      <c r="AK622" s="265" t="str">
        <f>VLOOKUP(AJ622,MiscData!$AD$5:$AE$77,2,FALSE)</f>
        <v>RLS</v>
      </c>
      <c r="AT622" s="265" t="s">
        <v>247</v>
      </c>
      <c r="AV622" s="265">
        <v>0</v>
      </c>
    </row>
    <row r="623" spans="1:48">
      <c r="A623" s="275">
        <f t="shared" si="294"/>
        <v>620</v>
      </c>
      <c r="B623" s="276" t="str">
        <f t="shared" si="296"/>
        <v>Sep 2014</v>
      </c>
      <c r="C623" s="277" t="str">
        <f t="shared" si="297"/>
        <v xml:space="preserve">LS </v>
      </c>
      <c r="D623" s="277" t="str">
        <f t="shared" si="298"/>
        <v>LGUM_420</v>
      </c>
      <c r="E623" s="614">
        <f t="shared" si="275"/>
        <v>52</v>
      </c>
      <c r="F623" s="615">
        <v>0</v>
      </c>
      <c r="G623" s="614">
        <f t="shared" si="276"/>
        <v>0</v>
      </c>
      <c r="H623" s="615">
        <v>0</v>
      </c>
      <c r="I623" s="283">
        <f t="shared" si="277"/>
        <v>29.889999999999997</v>
      </c>
      <c r="J623" s="283">
        <f t="shared" si="278"/>
        <v>1.6499999999999986</v>
      </c>
      <c r="K623" s="285">
        <f t="shared" si="279"/>
        <v>1554.28</v>
      </c>
      <c r="L623" s="286">
        <v>0</v>
      </c>
      <c r="M623" s="286">
        <v>0</v>
      </c>
      <c r="N623" s="285">
        <f t="shared" si="281"/>
        <v>1554.28</v>
      </c>
      <c r="O623" s="616">
        <f t="shared" si="295"/>
        <v>0</v>
      </c>
      <c r="P623" s="289">
        <f t="shared" si="282"/>
        <v>0</v>
      </c>
      <c r="Q623" s="290">
        <f t="shared" si="283"/>
        <v>0</v>
      </c>
      <c r="R623" s="290">
        <f t="shared" si="284"/>
        <v>0</v>
      </c>
      <c r="S623" s="290">
        <f t="shared" si="285"/>
        <v>0</v>
      </c>
      <c r="T623" s="290">
        <f t="shared" si="286"/>
        <v>0</v>
      </c>
      <c r="U623" s="291">
        <f t="shared" si="287"/>
        <v>1554.28</v>
      </c>
      <c r="V623" s="291">
        <f t="shared" si="291"/>
        <v>-1554.28</v>
      </c>
      <c r="W623" s="265">
        <f t="shared" si="288"/>
        <v>0</v>
      </c>
      <c r="X623" s="291">
        <f t="shared" si="292"/>
        <v>-1554.28</v>
      </c>
      <c r="Y623" s="170">
        <f t="shared" si="289"/>
        <v>85.8</v>
      </c>
      <c r="Z623" s="291">
        <f t="shared" si="290"/>
        <v>-85.8</v>
      </c>
      <c r="AC623" s="276">
        <f>IF(AI623=1,IF(AC622=MiscData!$F$1,EOMONTH(AC622,-11),EOMONTH(AC622,1)),AC622)</f>
        <v>41912</v>
      </c>
      <c r="AD623" s="275" t="str">
        <f t="shared" si="299"/>
        <v>20140101LGUM_420</v>
      </c>
      <c r="AE623" s="294" t="str">
        <f t="shared" si="300"/>
        <v xml:space="preserve">20140101LS </v>
      </c>
      <c r="AF623" s="618" t="str">
        <f t="shared" si="293"/>
        <v>420</v>
      </c>
      <c r="AH623" s="265">
        <f>MiscData!$X$5</f>
        <v>20140101</v>
      </c>
      <c r="AI623" s="265">
        <f>IF(AI622+1&gt;MiscData!$AC$77,1,AI622+1)</f>
        <v>36</v>
      </c>
      <c r="AJ623" s="265" t="str">
        <f>VLOOKUP(AI623,MiscData!$AC$5:$AD$77,2,FALSE)</f>
        <v>LGUM_420</v>
      </c>
      <c r="AK623" s="265" t="str">
        <f>VLOOKUP(AJ623,MiscData!$AD$5:$AE$77,2,FALSE)</f>
        <v xml:space="preserve">LS </v>
      </c>
      <c r="AT623" s="265" t="s">
        <v>248</v>
      </c>
      <c r="AV623" s="265">
        <v>0</v>
      </c>
    </row>
    <row r="624" spans="1:48">
      <c r="A624" s="275">
        <f t="shared" si="294"/>
        <v>621</v>
      </c>
      <c r="B624" s="276" t="str">
        <f t="shared" si="296"/>
        <v>Sep 2014</v>
      </c>
      <c r="C624" s="277" t="str">
        <f t="shared" si="297"/>
        <v xml:space="preserve">LS </v>
      </c>
      <c r="D624" s="277" t="str">
        <f t="shared" si="298"/>
        <v>LGUM_421</v>
      </c>
      <c r="E624" s="614">
        <f t="shared" si="275"/>
        <v>169</v>
      </c>
      <c r="F624" s="615">
        <v>0</v>
      </c>
      <c r="G624" s="614">
        <f t="shared" si="276"/>
        <v>0</v>
      </c>
      <c r="H624" s="615">
        <v>0</v>
      </c>
      <c r="I624" s="283">
        <f t="shared" si="277"/>
        <v>32.860000000000007</v>
      </c>
      <c r="J624" s="283">
        <f t="shared" si="278"/>
        <v>2.6700000000000017</v>
      </c>
      <c r="K624" s="285">
        <f t="shared" si="279"/>
        <v>5553.34</v>
      </c>
      <c r="L624" s="286">
        <v>0</v>
      </c>
      <c r="M624" s="286">
        <v>0</v>
      </c>
      <c r="N624" s="285">
        <f t="shared" si="281"/>
        <v>5553.34</v>
      </c>
      <c r="O624" s="616">
        <f t="shared" si="295"/>
        <v>0</v>
      </c>
      <c r="P624" s="289">
        <f t="shared" si="282"/>
        <v>0</v>
      </c>
      <c r="Q624" s="290">
        <f t="shared" si="283"/>
        <v>0</v>
      </c>
      <c r="R624" s="290">
        <f t="shared" si="284"/>
        <v>0</v>
      </c>
      <c r="S624" s="290">
        <f t="shared" si="285"/>
        <v>0</v>
      </c>
      <c r="T624" s="290">
        <f t="shared" si="286"/>
        <v>0</v>
      </c>
      <c r="U624" s="291">
        <f t="shared" si="287"/>
        <v>5553.34</v>
      </c>
      <c r="V624" s="291">
        <f t="shared" si="291"/>
        <v>-5553.34</v>
      </c>
      <c r="W624" s="265">
        <f t="shared" si="288"/>
        <v>0</v>
      </c>
      <c r="X624" s="291">
        <f t="shared" si="292"/>
        <v>-5553.34</v>
      </c>
      <c r="Y624" s="170">
        <f t="shared" si="289"/>
        <v>451.23</v>
      </c>
      <c r="Z624" s="291">
        <f t="shared" si="290"/>
        <v>-451.23</v>
      </c>
      <c r="AC624" s="276">
        <f>IF(AI624=1,IF(AC623=MiscData!$F$1,EOMONTH(AC623,-11),EOMONTH(AC623,1)),AC623)</f>
        <v>41912</v>
      </c>
      <c r="AD624" s="275" t="str">
        <f t="shared" si="299"/>
        <v>20140101LGUM_421</v>
      </c>
      <c r="AE624" s="294" t="str">
        <f t="shared" si="300"/>
        <v xml:space="preserve">20140101LS </v>
      </c>
      <c r="AF624" s="618" t="str">
        <f t="shared" si="293"/>
        <v>421</v>
      </c>
      <c r="AH624" s="265">
        <f>MiscData!$X$5</f>
        <v>20140101</v>
      </c>
      <c r="AI624" s="265">
        <f>IF(AI623+1&gt;MiscData!$AC$77,1,AI623+1)</f>
        <v>37</v>
      </c>
      <c r="AJ624" s="265" t="str">
        <f>VLOOKUP(AI624,MiscData!$AC$5:$AD$77,2,FALSE)</f>
        <v>LGUM_421</v>
      </c>
      <c r="AK624" s="265" t="str">
        <f>VLOOKUP(AJ624,MiscData!$AD$5:$AE$77,2,FALSE)</f>
        <v xml:space="preserve">LS </v>
      </c>
      <c r="AT624" s="265" t="s">
        <v>382</v>
      </c>
      <c r="AV624" s="265">
        <v>0</v>
      </c>
    </row>
    <row r="625" spans="1:48">
      <c r="A625" s="275">
        <f t="shared" si="294"/>
        <v>622</v>
      </c>
      <c r="B625" s="276" t="str">
        <f t="shared" si="296"/>
        <v>Sep 2014</v>
      </c>
      <c r="C625" s="277" t="str">
        <f t="shared" si="297"/>
        <v xml:space="preserve">LS </v>
      </c>
      <c r="D625" s="277" t="str">
        <f t="shared" si="298"/>
        <v>LGUM_422</v>
      </c>
      <c r="E625" s="614">
        <f t="shared" si="275"/>
        <v>340</v>
      </c>
      <c r="F625" s="615">
        <v>0</v>
      </c>
      <c r="G625" s="614">
        <f t="shared" si="276"/>
        <v>0</v>
      </c>
      <c r="H625" s="615">
        <v>0</v>
      </c>
      <c r="I625" s="283">
        <f t="shared" si="277"/>
        <v>38.389999999999993</v>
      </c>
      <c r="J625" s="283">
        <f t="shared" si="278"/>
        <v>4.279999999999994</v>
      </c>
      <c r="K625" s="285">
        <f t="shared" si="279"/>
        <v>13052.6</v>
      </c>
      <c r="L625" s="286">
        <v>0</v>
      </c>
      <c r="M625" s="286">
        <v>0</v>
      </c>
      <c r="N625" s="285">
        <f t="shared" si="281"/>
        <v>13052.6</v>
      </c>
      <c r="O625" s="616">
        <f t="shared" si="295"/>
        <v>0</v>
      </c>
      <c r="P625" s="289">
        <f t="shared" si="282"/>
        <v>0</v>
      </c>
      <c r="Q625" s="290">
        <f t="shared" si="283"/>
        <v>0</v>
      </c>
      <c r="R625" s="290">
        <f t="shared" si="284"/>
        <v>0</v>
      </c>
      <c r="S625" s="290">
        <f t="shared" si="285"/>
        <v>0</v>
      </c>
      <c r="T625" s="290">
        <f t="shared" si="286"/>
        <v>0</v>
      </c>
      <c r="U625" s="291">
        <f t="shared" si="287"/>
        <v>13052.6</v>
      </c>
      <c r="V625" s="291">
        <f t="shared" si="291"/>
        <v>-13052.6</v>
      </c>
      <c r="W625" s="265">
        <f t="shared" si="288"/>
        <v>0</v>
      </c>
      <c r="X625" s="291">
        <f t="shared" si="292"/>
        <v>-13052.6</v>
      </c>
      <c r="Y625" s="170">
        <f t="shared" si="289"/>
        <v>1455.2</v>
      </c>
      <c r="Z625" s="291">
        <f t="shared" si="290"/>
        <v>-1455.2</v>
      </c>
      <c r="AC625" s="276">
        <f>IF(AI625=1,IF(AC624=MiscData!$F$1,EOMONTH(AC624,-11),EOMONTH(AC624,1)),AC624)</f>
        <v>41912</v>
      </c>
      <c r="AD625" s="275" t="str">
        <f t="shared" si="299"/>
        <v>20140101LGUM_422</v>
      </c>
      <c r="AE625" s="294" t="str">
        <f t="shared" si="300"/>
        <v xml:space="preserve">20140101LS </v>
      </c>
      <c r="AF625" s="618" t="str">
        <f t="shared" si="293"/>
        <v>422</v>
      </c>
      <c r="AH625" s="265">
        <f>MiscData!$X$5</f>
        <v>20140101</v>
      </c>
      <c r="AI625" s="265">
        <f>IF(AI624+1&gt;MiscData!$AC$77,1,AI624+1)</f>
        <v>38</v>
      </c>
      <c r="AJ625" s="265" t="str">
        <f>VLOOKUP(AI625,MiscData!$AC$5:$AD$77,2,FALSE)</f>
        <v>LGUM_422</v>
      </c>
      <c r="AK625" s="265" t="str">
        <f>VLOOKUP(AJ625,MiscData!$AD$5:$AE$77,2,FALSE)</f>
        <v xml:space="preserve">LS </v>
      </c>
      <c r="AT625" s="265" t="s">
        <v>384</v>
      </c>
      <c r="AV625" s="265">
        <v>0</v>
      </c>
    </row>
    <row r="626" spans="1:48">
      <c r="A626" s="275">
        <f t="shared" si="294"/>
        <v>623</v>
      </c>
      <c r="B626" s="276" t="str">
        <f t="shared" si="296"/>
        <v>Sep 2014</v>
      </c>
      <c r="C626" s="277" t="str">
        <f t="shared" si="297"/>
        <v xml:space="preserve">LS </v>
      </c>
      <c r="D626" s="277" t="str">
        <f t="shared" si="298"/>
        <v>LGUM_423</v>
      </c>
      <c r="E626" s="614">
        <f t="shared" si="275"/>
        <v>17</v>
      </c>
      <c r="F626" s="615">
        <v>0</v>
      </c>
      <c r="G626" s="614">
        <f t="shared" si="276"/>
        <v>0</v>
      </c>
      <c r="H626" s="615">
        <v>0</v>
      </c>
      <c r="I626" s="283">
        <f t="shared" si="277"/>
        <v>26.349999999999998</v>
      </c>
      <c r="J626" s="283">
        <f t="shared" si="278"/>
        <v>1.6500000000000021</v>
      </c>
      <c r="K626" s="285">
        <f t="shared" si="279"/>
        <v>447.95</v>
      </c>
      <c r="L626" s="286">
        <v>0</v>
      </c>
      <c r="M626" s="286">
        <v>0</v>
      </c>
      <c r="N626" s="285">
        <f t="shared" si="281"/>
        <v>447.95</v>
      </c>
      <c r="O626" s="616">
        <f t="shared" si="295"/>
        <v>0</v>
      </c>
      <c r="P626" s="289">
        <f t="shared" si="282"/>
        <v>0</v>
      </c>
      <c r="Q626" s="290">
        <f t="shared" si="283"/>
        <v>0</v>
      </c>
      <c r="R626" s="290">
        <f t="shared" si="284"/>
        <v>0</v>
      </c>
      <c r="S626" s="290">
        <f t="shared" si="285"/>
        <v>0</v>
      </c>
      <c r="T626" s="290">
        <f t="shared" si="286"/>
        <v>0</v>
      </c>
      <c r="U626" s="291">
        <f t="shared" si="287"/>
        <v>447.95</v>
      </c>
      <c r="V626" s="291">
        <f t="shared" si="291"/>
        <v>-447.95</v>
      </c>
      <c r="W626" s="265">
        <f t="shared" si="288"/>
        <v>0</v>
      </c>
      <c r="X626" s="291">
        <f t="shared" si="292"/>
        <v>-447.95</v>
      </c>
      <c r="Y626" s="170">
        <f t="shared" si="289"/>
        <v>28.05</v>
      </c>
      <c r="Z626" s="291">
        <f t="shared" si="290"/>
        <v>-28.05</v>
      </c>
      <c r="AC626" s="276">
        <f>IF(AI626=1,IF(AC625=MiscData!$F$1,EOMONTH(AC625,-11),EOMONTH(AC625,1)),AC625)</f>
        <v>41912</v>
      </c>
      <c r="AD626" s="275" t="str">
        <f t="shared" si="299"/>
        <v>20140101LGUM_423</v>
      </c>
      <c r="AE626" s="294" t="str">
        <f t="shared" si="300"/>
        <v xml:space="preserve">20140101LS </v>
      </c>
      <c r="AF626" s="618" t="str">
        <f t="shared" si="293"/>
        <v>423</v>
      </c>
      <c r="AH626" s="265">
        <f>MiscData!$X$5</f>
        <v>20140101</v>
      </c>
      <c r="AI626" s="265">
        <f>IF(AI625+1&gt;MiscData!$AC$77,1,AI625+1)</f>
        <v>39</v>
      </c>
      <c r="AJ626" s="265" t="str">
        <f>VLOOKUP(AI626,MiscData!$AC$5:$AD$77,2,FALSE)</f>
        <v>LGUM_423</v>
      </c>
      <c r="AK626" s="265" t="str">
        <f>VLOOKUP(AJ626,MiscData!$AD$5:$AE$77,2,FALSE)</f>
        <v xml:space="preserve">LS </v>
      </c>
      <c r="AT626" s="265" t="s">
        <v>385</v>
      </c>
      <c r="AV626" s="265">
        <v>0</v>
      </c>
    </row>
    <row r="627" spans="1:48">
      <c r="A627" s="275">
        <f t="shared" si="294"/>
        <v>624</v>
      </c>
      <c r="B627" s="276" t="str">
        <f t="shared" si="296"/>
        <v>Sep 2014</v>
      </c>
      <c r="C627" s="277" t="str">
        <f t="shared" si="297"/>
        <v xml:space="preserve">LS </v>
      </c>
      <c r="D627" s="277" t="str">
        <f t="shared" si="298"/>
        <v>LGUM_424</v>
      </c>
      <c r="E627" s="614">
        <f t="shared" si="275"/>
        <v>338</v>
      </c>
      <c r="F627" s="615">
        <v>0</v>
      </c>
      <c r="G627" s="614">
        <f t="shared" si="276"/>
        <v>0</v>
      </c>
      <c r="H627" s="615">
        <v>0</v>
      </c>
      <c r="I627" s="283">
        <f t="shared" si="277"/>
        <v>28.45</v>
      </c>
      <c r="J627" s="283">
        <f t="shared" si="278"/>
        <v>3.9800000000000004</v>
      </c>
      <c r="K627" s="285">
        <f t="shared" si="279"/>
        <v>9616.1</v>
      </c>
      <c r="L627" s="286">
        <v>0</v>
      </c>
      <c r="M627" s="286">
        <v>0</v>
      </c>
      <c r="N627" s="285">
        <f t="shared" si="281"/>
        <v>9616.1</v>
      </c>
      <c r="O627" s="616">
        <f t="shared" si="295"/>
        <v>0</v>
      </c>
      <c r="P627" s="289">
        <f t="shared" si="282"/>
        <v>0</v>
      </c>
      <c r="Q627" s="290">
        <f t="shared" si="283"/>
        <v>0</v>
      </c>
      <c r="R627" s="290">
        <f t="shared" si="284"/>
        <v>0</v>
      </c>
      <c r="S627" s="290">
        <f t="shared" si="285"/>
        <v>0</v>
      </c>
      <c r="T627" s="290">
        <f t="shared" si="286"/>
        <v>0</v>
      </c>
      <c r="U627" s="291">
        <f t="shared" si="287"/>
        <v>9616.1</v>
      </c>
      <c r="V627" s="291">
        <f t="shared" si="291"/>
        <v>-9616.1</v>
      </c>
      <c r="W627" s="265">
        <f t="shared" si="288"/>
        <v>0</v>
      </c>
      <c r="X627" s="291">
        <f t="shared" si="292"/>
        <v>-9616.1</v>
      </c>
      <c r="Y627" s="170">
        <f t="shared" si="289"/>
        <v>1345.24</v>
      </c>
      <c r="Z627" s="291">
        <f t="shared" si="290"/>
        <v>-1345.24</v>
      </c>
      <c r="AC627" s="276">
        <f>IF(AI627=1,IF(AC626=MiscData!$F$1,EOMONTH(AC626,-11),EOMONTH(AC626,1)),AC626)</f>
        <v>41912</v>
      </c>
      <c r="AD627" s="275" t="str">
        <f t="shared" si="299"/>
        <v>20140101LGUM_424</v>
      </c>
      <c r="AE627" s="294" t="str">
        <f t="shared" si="300"/>
        <v xml:space="preserve">20140101LS </v>
      </c>
      <c r="AF627" s="618" t="str">
        <f t="shared" si="293"/>
        <v>424</v>
      </c>
      <c r="AH627" s="265">
        <f>MiscData!$X$5</f>
        <v>20140101</v>
      </c>
      <c r="AI627" s="265">
        <f>IF(AI626+1&gt;MiscData!$AC$77,1,AI626+1)</f>
        <v>40</v>
      </c>
      <c r="AJ627" s="265" t="str">
        <f>VLOOKUP(AI627,MiscData!$AC$5:$AD$77,2,FALSE)</f>
        <v>LGUM_424</v>
      </c>
      <c r="AK627" s="265" t="str">
        <f>VLOOKUP(AJ627,MiscData!$AD$5:$AE$77,2,FALSE)</f>
        <v xml:space="preserve">LS </v>
      </c>
      <c r="AT627" s="265" t="s">
        <v>250</v>
      </c>
      <c r="AV627" s="265">
        <v>0</v>
      </c>
    </row>
    <row r="628" spans="1:48">
      <c r="A628" s="275">
        <f t="shared" si="294"/>
        <v>625</v>
      </c>
      <c r="B628" s="276" t="str">
        <f t="shared" si="296"/>
        <v>Sep 2014</v>
      </c>
      <c r="C628" s="277" t="str">
        <f t="shared" si="297"/>
        <v xml:space="preserve">LS </v>
      </c>
      <c r="D628" s="277" t="str">
        <f t="shared" si="298"/>
        <v>LGUM_425</v>
      </c>
      <c r="E628" s="614">
        <f t="shared" si="275"/>
        <v>30</v>
      </c>
      <c r="F628" s="615">
        <v>0</v>
      </c>
      <c r="G628" s="614">
        <f t="shared" si="276"/>
        <v>0</v>
      </c>
      <c r="H628" s="615">
        <v>0</v>
      </c>
      <c r="I628" s="283">
        <f t="shared" si="277"/>
        <v>34.029999999999994</v>
      </c>
      <c r="J628" s="283">
        <f t="shared" si="278"/>
        <v>4.2799999999999976</v>
      </c>
      <c r="K628" s="285">
        <f t="shared" si="279"/>
        <v>1020.9</v>
      </c>
      <c r="L628" s="286">
        <v>0</v>
      </c>
      <c r="M628" s="286">
        <v>0</v>
      </c>
      <c r="N628" s="285">
        <f t="shared" si="281"/>
        <v>1020.9</v>
      </c>
      <c r="O628" s="616">
        <f t="shared" si="295"/>
        <v>0</v>
      </c>
      <c r="P628" s="289">
        <f t="shared" si="282"/>
        <v>0</v>
      </c>
      <c r="Q628" s="290">
        <f t="shared" si="283"/>
        <v>0</v>
      </c>
      <c r="R628" s="290">
        <f t="shared" si="284"/>
        <v>0</v>
      </c>
      <c r="S628" s="290">
        <f t="shared" si="285"/>
        <v>0</v>
      </c>
      <c r="T628" s="290">
        <f t="shared" si="286"/>
        <v>0</v>
      </c>
      <c r="U628" s="291">
        <f t="shared" si="287"/>
        <v>1020.9</v>
      </c>
      <c r="V628" s="291">
        <f t="shared" si="291"/>
        <v>-1020.9</v>
      </c>
      <c r="W628" s="265">
        <f t="shared" si="288"/>
        <v>0</v>
      </c>
      <c r="X628" s="291">
        <f t="shared" si="292"/>
        <v>-1020.9</v>
      </c>
      <c r="Y628" s="170">
        <f t="shared" si="289"/>
        <v>128.4</v>
      </c>
      <c r="Z628" s="291">
        <f t="shared" si="290"/>
        <v>-128.4</v>
      </c>
      <c r="AC628" s="276">
        <f>IF(AI628=1,IF(AC627=MiscData!$F$1,EOMONTH(AC627,-11),EOMONTH(AC627,1)),AC627)</f>
        <v>41912</v>
      </c>
      <c r="AD628" s="275" t="str">
        <f t="shared" si="299"/>
        <v>20140101LGUM_425</v>
      </c>
      <c r="AE628" s="294" t="str">
        <f t="shared" si="300"/>
        <v xml:space="preserve">20140101LS </v>
      </c>
      <c r="AF628" s="618" t="str">
        <f t="shared" si="293"/>
        <v>425</v>
      </c>
      <c r="AH628" s="265">
        <f>MiscData!$X$5</f>
        <v>20140101</v>
      </c>
      <c r="AI628" s="265">
        <f>IF(AI627+1&gt;MiscData!$AC$77,1,AI627+1)</f>
        <v>41</v>
      </c>
      <c r="AJ628" s="265" t="str">
        <f>VLOOKUP(AI628,MiscData!$AC$5:$AD$77,2,FALSE)</f>
        <v>LGUM_425</v>
      </c>
      <c r="AK628" s="265" t="str">
        <f>VLOOKUP(AJ628,MiscData!$AD$5:$AE$77,2,FALSE)</f>
        <v xml:space="preserve">LS </v>
      </c>
      <c r="AT628" s="265" t="s">
        <v>386</v>
      </c>
      <c r="AV628" s="265">
        <v>0</v>
      </c>
    </row>
    <row r="629" spans="1:48">
      <c r="A629" s="275">
        <f t="shared" si="294"/>
        <v>626</v>
      </c>
      <c r="B629" s="276" t="str">
        <f t="shared" si="296"/>
        <v>Sep 2014</v>
      </c>
      <c r="C629" s="277" t="str">
        <f t="shared" si="297"/>
        <v>RLS</v>
      </c>
      <c r="D629" s="277" t="str">
        <f t="shared" si="298"/>
        <v>LGUM_426</v>
      </c>
      <c r="E629" s="614">
        <f t="shared" si="275"/>
        <v>39</v>
      </c>
      <c r="F629" s="615">
        <v>0</v>
      </c>
      <c r="G629" s="614">
        <f t="shared" si="276"/>
        <v>0</v>
      </c>
      <c r="H629" s="615">
        <v>0</v>
      </c>
      <c r="I629" s="283">
        <f t="shared" si="277"/>
        <v>33.22</v>
      </c>
      <c r="J629" s="283">
        <f t="shared" si="278"/>
        <v>0.75</v>
      </c>
      <c r="K629" s="285">
        <f t="shared" si="279"/>
        <v>1295.58</v>
      </c>
      <c r="L629" s="286">
        <v>0</v>
      </c>
      <c r="M629" s="286">
        <v>0</v>
      </c>
      <c r="N629" s="285">
        <f t="shared" si="281"/>
        <v>1295.58</v>
      </c>
      <c r="O629" s="616">
        <f t="shared" si="295"/>
        <v>0</v>
      </c>
      <c r="P629" s="289">
        <f t="shared" si="282"/>
        <v>0</v>
      </c>
      <c r="Q629" s="290">
        <f t="shared" si="283"/>
        <v>0</v>
      </c>
      <c r="R629" s="290">
        <f t="shared" si="284"/>
        <v>0</v>
      </c>
      <c r="S629" s="290">
        <f t="shared" si="285"/>
        <v>0</v>
      </c>
      <c r="T629" s="290">
        <f t="shared" si="286"/>
        <v>0</v>
      </c>
      <c r="U629" s="291">
        <f t="shared" si="287"/>
        <v>1295.58</v>
      </c>
      <c r="V629" s="291">
        <f t="shared" si="291"/>
        <v>-1295.58</v>
      </c>
      <c r="W629" s="265">
        <f t="shared" si="288"/>
        <v>0</v>
      </c>
      <c r="X629" s="291">
        <f t="shared" si="292"/>
        <v>-1295.58</v>
      </c>
      <c r="Y629" s="170">
        <f t="shared" si="289"/>
        <v>29.25</v>
      </c>
      <c r="Z629" s="291">
        <f t="shared" si="290"/>
        <v>-29.25</v>
      </c>
      <c r="AC629" s="276">
        <f>IF(AI629=1,IF(AC628=MiscData!$F$1,EOMONTH(AC628,-11),EOMONTH(AC628,1)),AC628)</f>
        <v>41912</v>
      </c>
      <c r="AD629" s="275" t="str">
        <f t="shared" si="299"/>
        <v>20140101LGUM_426</v>
      </c>
      <c r="AE629" s="294" t="str">
        <f t="shared" si="300"/>
        <v>20140101RLS</v>
      </c>
      <c r="AF629" s="618" t="str">
        <f t="shared" si="293"/>
        <v>426</v>
      </c>
      <c r="AH629" s="265">
        <f>MiscData!$X$5</f>
        <v>20140101</v>
      </c>
      <c r="AI629" s="265">
        <f>IF(AI628+1&gt;MiscData!$AC$77,1,AI628+1)</f>
        <v>42</v>
      </c>
      <c r="AJ629" s="265" t="str">
        <f>VLOOKUP(AI629,MiscData!$AC$5:$AD$77,2,FALSE)</f>
        <v>LGUM_426</v>
      </c>
      <c r="AK629" s="265" t="str">
        <f>VLOOKUP(AJ629,MiscData!$AD$5:$AE$77,2,FALSE)</f>
        <v>RLS</v>
      </c>
      <c r="AT629" s="265" t="s">
        <v>251</v>
      </c>
      <c r="AV629" s="265">
        <v>0</v>
      </c>
    </row>
    <row r="630" spans="1:48">
      <c r="A630" s="275">
        <f t="shared" si="294"/>
        <v>627</v>
      </c>
      <c r="B630" s="276" t="str">
        <f t="shared" si="296"/>
        <v>Sep 2014</v>
      </c>
      <c r="C630" s="277" t="str">
        <f t="shared" si="297"/>
        <v xml:space="preserve">LS </v>
      </c>
      <c r="D630" s="277" t="str">
        <f t="shared" si="298"/>
        <v>LGUM_427</v>
      </c>
      <c r="E630" s="614">
        <f t="shared" si="275"/>
        <v>51</v>
      </c>
      <c r="F630" s="615">
        <v>0</v>
      </c>
      <c r="G630" s="614">
        <f t="shared" si="276"/>
        <v>0</v>
      </c>
      <c r="H630" s="615">
        <v>0</v>
      </c>
      <c r="I630" s="283">
        <f t="shared" si="277"/>
        <v>35.199999999999996</v>
      </c>
      <c r="J630" s="283">
        <f t="shared" si="278"/>
        <v>0.75</v>
      </c>
      <c r="K630" s="285">
        <f t="shared" si="279"/>
        <v>1795.2</v>
      </c>
      <c r="L630" s="286">
        <v>0</v>
      </c>
      <c r="M630" s="286">
        <v>0</v>
      </c>
      <c r="N630" s="285">
        <f t="shared" si="281"/>
        <v>1795.2</v>
      </c>
      <c r="O630" s="616">
        <f t="shared" si="295"/>
        <v>0</v>
      </c>
      <c r="P630" s="289">
        <f t="shared" si="282"/>
        <v>0</v>
      </c>
      <c r="Q630" s="290">
        <f t="shared" si="283"/>
        <v>0</v>
      </c>
      <c r="R630" s="290">
        <f t="shared" si="284"/>
        <v>0</v>
      </c>
      <c r="S630" s="290">
        <f t="shared" si="285"/>
        <v>0</v>
      </c>
      <c r="T630" s="290">
        <f t="shared" si="286"/>
        <v>0</v>
      </c>
      <c r="U630" s="291">
        <f t="shared" si="287"/>
        <v>1795.2</v>
      </c>
      <c r="V630" s="291">
        <f t="shared" si="291"/>
        <v>-1795.2</v>
      </c>
      <c r="W630" s="265">
        <f t="shared" si="288"/>
        <v>0</v>
      </c>
      <c r="X630" s="291">
        <f t="shared" si="292"/>
        <v>-1795.2</v>
      </c>
      <c r="Y630" s="170">
        <f t="shared" si="289"/>
        <v>38.25</v>
      </c>
      <c r="Z630" s="291">
        <f t="shared" si="290"/>
        <v>-38.25</v>
      </c>
      <c r="AC630" s="276">
        <f>IF(AI630=1,IF(AC629=MiscData!$F$1,EOMONTH(AC629,-11),EOMONTH(AC629,1)),AC629)</f>
        <v>41912</v>
      </c>
      <c r="AD630" s="275" t="str">
        <f t="shared" si="299"/>
        <v>20140101LGUM_427</v>
      </c>
      <c r="AE630" s="294" t="str">
        <f t="shared" si="300"/>
        <v xml:space="preserve">20140101LS </v>
      </c>
      <c r="AF630" s="618" t="str">
        <f t="shared" si="293"/>
        <v>427</v>
      </c>
      <c r="AH630" s="265">
        <f>MiscData!$X$5</f>
        <v>20140101</v>
      </c>
      <c r="AI630" s="265">
        <f>IF(AI629+1&gt;MiscData!$AC$77,1,AI629+1)</f>
        <v>43</v>
      </c>
      <c r="AJ630" s="265" t="str">
        <f>VLOOKUP(AI630,MiscData!$AC$5:$AD$77,2,FALSE)</f>
        <v>LGUM_427</v>
      </c>
      <c r="AK630" s="265" t="str">
        <f>VLOOKUP(AJ630,MiscData!$AD$5:$AE$77,2,FALSE)</f>
        <v xml:space="preserve">LS </v>
      </c>
      <c r="AT630" s="265" t="s">
        <v>523</v>
      </c>
      <c r="AV630" s="265">
        <v>0</v>
      </c>
    </row>
    <row r="631" spans="1:48">
      <c r="A631" s="275">
        <f t="shared" si="294"/>
        <v>628</v>
      </c>
      <c r="B631" s="276" t="str">
        <f t="shared" si="296"/>
        <v>Sep 2014</v>
      </c>
      <c r="C631" s="277" t="str">
        <f t="shared" si="297"/>
        <v>RLS</v>
      </c>
      <c r="D631" s="277" t="str">
        <f t="shared" si="298"/>
        <v>LGUM_428</v>
      </c>
      <c r="E631" s="614">
        <f t="shared" si="275"/>
        <v>189</v>
      </c>
      <c r="F631" s="615">
        <v>0</v>
      </c>
      <c r="G631" s="614">
        <f t="shared" si="276"/>
        <v>0</v>
      </c>
      <c r="H631" s="615">
        <v>0</v>
      </c>
      <c r="I631" s="283">
        <f t="shared" si="277"/>
        <v>34.090000000000003</v>
      </c>
      <c r="J631" s="283">
        <f t="shared" si="278"/>
        <v>1.0600000000000023</v>
      </c>
      <c r="K631" s="285">
        <f t="shared" si="279"/>
        <v>6443.01</v>
      </c>
      <c r="L631" s="286">
        <v>0</v>
      </c>
      <c r="M631" s="286">
        <v>0</v>
      </c>
      <c r="N631" s="285">
        <f t="shared" si="281"/>
        <v>6443.01</v>
      </c>
      <c r="O631" s="616">
        <f t="shared" si="295"/>
        <v>0</v>
      </c>
      <c r="P631" s="289">
        <f t="shared" si="282"/>
        <v>0</v>
      </c>
      <c r="Q631" s="290">
        <f t="shared" si="283"/>
        <v>0</v>
      </c>
      <c r="R631" s="290">
        <f t="shared" si="284"/>
        <v>0</v>
      </c>
      <c r="S631" s="290">
        <f t="shared" si="285"/>
        <v>0</v>
      </c>
      <c r="T631" s="290">
        <f t="shared" si="286"/>
        <v>0</v>
      </c>
      <c r="U631" s="291">
        <f t="shared" si="287"/>
        <v>6443.01</v>
      </c>
      <c r="V631" s="291">
        <f t="shared" si="291"/>
        <v>-6443.01</v>
      </c>
      <c r="W631" s="265">
        <f t="shared" si="288"/>
        <v>0</v>
      </c>
      <c r="X631" s="291">
        <f t="shared" si="292"/>
        <v>-6443.01</v>
      </c>
      <c r="Y631" s="170">
        <f t="shared" si="289"/>
        <v>200.34</v>
      </c>
      <c r="Z631" s="291">
        <f t="shared" si="290"/>
        <v>-200.34</v>
      </c>
      <c r="AC631" s="276">
        <f>IF(AI631=1,IF(AC630=MiscData!$F$1,EOMONTH(AC630,-11),EOMONTH(AC630,1)),AC630)</f>
        <v>41912</v>
      </c>
      <c r="AD631" s="275" t="str">
        <f t="shared" si="299"/>
        <v>20140101LGUM_428</v>
      </c>
      <c r="AE631" s="294" t="str">
        <f t="shared" si="300"/>
        <v>20140101RLS</v>
      </c>
      <c r="AF631" s="618" t="str">
        <f t="shared" si="293"/>
        <v>428</v>
      </c>
      <c r="AH631" s="265">
        <f>MiscData!$X$5</f>
        <v>20140101</v>
      </c>
      <c r="AI631" s="265">
        <f>IF(AI630+1&gt;MiscData!$AC$77,1,AI630+1)</f>
        <v>44</v>
      </c>
      <c r="AJ631" s="265" t="str">
        <f>VLOOKUP(AI631,MiscData!$AC$5:$AD$77,2,FALSE)</f>
        <v>LGUM_428</v>
      </c>
      <c r="AK631" s="265" t="str">
        <f>VLOOKUP(AJ631,MiscData!$AD$5:$AE$77,2,FALSE)</f>
        <v>RLS</v>
      </c>
      <c r="AT631" s="265" t="s">
        <v>527</v>
      </c>
      <c r="AV631" s="265">
        <v>0</v>
      </c>
    </row>
    <row r="632" spans="1:48">
      <c r="A632" s="275">
        <f t="shared" si="294"/>
        <v>629</v>
      </c>
      <c r="B632" s="276" t="str">
        <f t="shared" si="296"/>
        <v>Sep 2014</v>
      </c>
      <c r="C632" s="277" t="str">
        <f t="shared" si="297"/>
        <v xml:space="preserve">LS </v>
      </c>
      <c r="D632" s="277" t="str">
        <f t="shared" si="298"/>
        <v>LGUM_429</v>
      </c>
      <c r="E632" s="614">
        <f t="shared" si="275"/>
        <v>183</v>
      </c>
      <c r="F632" s="615">
        <v>0</v>
      </c>
      <c r="G632" s="614">
        <f t="shared" si="276"/>
        <v>0</v>
      </c>
      <c r="H632" s="615">
        <v>0</v>
      </c>
      <c r="I632" s="283">
        <f t="shared" si="277"/>
        <v>36.07</v>
      </c>
      <c r="J632" s="283">
        <f t="shared" si="278"/>
        <v>1.0599999999999952</v>
      </c>
      <c r="K632" s="285">
        <f t="shared" si="279"/>
        <v>6600.81</v>
      </c>
      <c r="L632" s="286">
        <v>0</v>
      </c>
      <c r="M632" s="286">
        <v>0</v>
      </c>
      <c r="N632" s="285">
        <f t="shared" si="281"/>
        <v>6600.81</v>
      </c>
      <c r="O632" s="616">
        <f t="shared" si="295"/>
        <v>0</v>
      </c>
      <c r="P632" s="289">
        <f t="shared" si="282"/>
        <v>0</v>
      </c>
      <c r="Q632" s="290">
        <f t="shared" si="283"/>
        <v>0</v>
      </c>
      <c r="R632" s="290">
        <f t="shared" si="284"/>
        <v>0</v>
      </c>
      <c r="S632" s="290">
        <f t="shared" si="285"/>
        <v>0</v>
      </c>
      <c r="T632" s="290">
        <f t="shared" si="286"/>
        <v>0</v>
      </c>
      <c r="U632" s="291">
        <f t="shared" si="287"/>
        <v>6600.81</v>
      </c>
      <c r="V632" s="291">
        <f t="shared" si="291"/>
        <v>-6600.81</v>
      </c>
      <c r="W632" s="265">
        <f t="shared" si="288"/>
        <v>0</v>
      </c>
      <c r="X632" s="291">
        <f t="shared" si="292"/>
        <v>-6600.81</v>
      </c>
      <c r="Y632" s="170">
        <f t="shared" si="289"/>
        <v>193.98</v>
      </c>
      <c r="Z632" s="291">
        <f t="shared" si="290"/>
        <v>-193.98</v>
      </c>
      <c r="AC632" s="276">
        <f>IF(AI632=1,IF(AC631=MiscData!$F$1,EOMONTH(AC631,-11),EOMONTH(AC631,1)),AC631)</f>
        <v>41912</v>
      </c>
      <c r="AD632" s="275" t="str">
        <f t="shared" si="299"/>
        <v>20140101LGUM_429</v>
      </c>
      <c r="AE632" s="294" t="str">
        <f t="shared" si="300"/>
        <v xml:space="preserve">20140101LS </v>
      </c>
      <c r="AF632" s="618" t="str">
        <f t="shared" si="293"/>
        <v>429</v>
      </c>
      <c r="AH632" s="265">
        <f>MiscData!$X$5</f>
        <v>20140101</v>
      </c>
      <c r="AI632" s="265">
        <f>IF(AI631+1&gt;MiscData!$AC$77,1,AI631+1)</f>
        <v>45</v>
      </c>
      <c r="AJ632" s="265" t="str">
        <f>VLOOKUP(AI632,MiscData!$AC$5:$AD$77,2,FALSE)</f>
        <v>LGUM_429</v>
      </c>
      <c r="AK632" s="265" t="str">
        <f>VLOOKUP(AJ632,MiscData!$AD$5:$AE$77,2,FALSE)</f>
        <v xml:space="preserve">LS </v>
      </c>
      <c r="AT632" s="265" t="s">
        <v>528</v>
      </c>
      <c r="AV632" s="265">
        <v>0</v>
      </c>
    </row>
    <row r="633" spans="1:48">
      <c r="A633" s="275">
        <f t="shared" si="294"/>
        <v>630</v>
      </c>
      <c r="B633" s="276" t="str">
        <f t="shared" si="296"/>
        <v>Sep 2014</v>
      </c>
      <c r="C633" s="277" t="str">
        <f t="shared" si="297"/>
        <v>RLS</v>
      </c>
      <c r="D633" s="277" t="str">
        <f t="shared" si="298"/>
        <v>LGUM_430</v>
      </c>
      <c r="E633" s="614">
        <f t="shared" si="275"/>
        <v>13</v>
      </c>
      <c r="F633" s="615">
        <v>0</v>
      </c>
      <c r="G633" s="614">
        <f t="shared" si="276"/>
        <v>0</v>
      </c>
      <c r="H633" s="615">
        <v>0</v>
      </c>
      <c r="I633" s="283">
        <f t="shared" si="277"/>
        <v>32.26</v>
      </c>
      <c r="J633" s="283">
        <f t="shared" si="278"/>
        <v>0.75</v>
      </c>
      <c r="K633" s="285">
        <f t="shared" si="279"/>
        <v>419.38</v>
      </c>
      <c r="L633" s="286">
        <v>0</v>
      </c>
      <c r="M633" s="286">
        <v>0</v>
      </c>
      <c r="N633" s="285">
        <f t="shared" si="281"/>
        <v>419.38</v>
      </c>
      <c r="O633" s="616">
        <f t="shared" si="295"/>
        <v>0</v>
      </c>
      <c r="P633" s="289">
        <f t="shared" si="282"/>
        <v>0</v>
      </c>
      <c r="Q633" s="290">
        <f t="shared" si="283"/>
        <v>0</v>
      </c>
      <c r="R633" s="290">
        <f t="shared" si="284"/>
        <v>0</v>
      </c>
      <c r="S633" s="290">
        <f t="shared" si="285"/>
        <v>0</v>
      </c>
      <c r="T633" s="290">
        <f t="shared" si="286"/>
        <v>0</v>
      </c>
      <c r="U633" s="291">
        <f t="shared" si="287"/>
        <v>419.38</v>
      </c>
      <c r="V633" s="291">
        <f t="shared" si="291"/>
        <v>-419.38</v>
      </c>
      <c r="W633" s="265">
        <f t="shared" si="288"/>
        <v>0</v>
      </c>
      <c r="X633" s="291">
        <f t="shared" si="292"/>
        <v>-419.38</v>
      </c>
      <c r="Y633" s="170">
        <f t="shared" si="289"/>
        <v>9.75</v>
      </c>
      <c r="Z633" s="291">
        <f t="shared" si="290"/>
        <v>-9.75</v>
      </c>
      <c r="AC633" s="276">
        <f>IF(AI633=1,IF(AC632=MiscData!$F$1,EOMONTH(AC632,-11),EOMONTH(AC632,1)),AC632)</f>
        <v>41912</v>
      </c>
      <c r="AD633" s="275" t="str">
        <f t="shared" si="299"/>
        <v>20140101LGUM_430</v>
      </c>
      <c r="AE633" s="294" t="str">
        <f t="shared" si="300"/>
        <v>20140101RLS</v>
      </c>
      <c r="AF633" s="618" t="str">
        <f t="shared" si="293"/>
        <v>430</v>
      </c>
      <c r="AH633" s="265">
        <f>MiscData!$X$5</f>
        <v>20140101</v>
      </c>
      <c r="AI633" s="265">
        <f>IF(AI632+1&gt;MiscData!$AC$77,1,AI632+1)</f>
        <v>46</v>
      </c>
      <c r="AJ633" s="265" t="str">
        <f>VLOOKUP(AI633,MiscData!$AC$5:$AD$77,2,FALSE)</f>
        <v>LGUM_430</v>
      </c>
      <c r="AK633" s="265" t="str">
        <f>VLOOKUP(AJ633,MiscData!$AD$5:$AE$77,2,FALSE)</f>
        <v>RLS</v>
      </c>
      <c r="AT633" s="265" t="s">
        <v>252</v>
      </c>
      <c r="AV633" s="265">
        <v>0</v>
      </c>
    </row>
    <row r="634" spans="1:48">
      <c r="A634" s="275">
        <f t="shared" si="294"/>
        <v>631</v>
      </c>
      <c r="B634" s="276" t="str">
        <f t="shared" si="296"/>
        <v>Sep 2014</v>
      </c>
      <c r="C634" s="277" t="str">
        <f t="shared" si="297"/>
        <v xml:space="preserve">LS </v>
      </c>
      <c r="D634" s="277" t="str">
        <f t="shared" si="298"/>
        <v>LGUM_431</v>
      </c>
      <c r="E634" s="614">
        <f t="shared" si="275"/>
        <v>43</v>
      </c>
      <c r="F634" s="615">
        <v>0</v>
      </c>
      <c r="G634" s="614">
        <f t="shared" si="276"/>
        <v>0</v>
      </c>
      <c r="H634" s="615">
        <v>0</v>
      </c>
      <c r="I634" s="283">
        <f t="shared" si="277"/>
        <v>32.93</v>
      </c>
      <c r="J634" s="283">
        <f t="shared" si="278"/>
        <v>0.75</v>
      </c>
      <c r="K634" s="285">
        <f t="shared" si="279"/>
        <v>1415.99</v>
      </c>
      <c r="L634" s="286">
        <v>0</v>
      </c>
      <c r="M634" s="286">
        <v>0</v>
      </c>
      <c r="N634" s="285">
        <f t="shared" si="281"/>
        <v>1415.99</v>
      </c>
      <c r="O634" s="616">
        <f t="shared" si="295"/>
        <v>0</v>
      </c>
      <c r="P634" s="289">
        <f t="shared" si="282"/>
        <v>0</v>
      </c>
      <c r="Q634" s="290">
        <f t="shared" si="283"/>
        <v>0</v>
      </c>
      <c r="R634" s="290">
        <f t="shared" si="284"/>
        <v>0</v>
      </c>
      <c r="S634" s="290">
        <f t="shared" si="285"/>
        <v>0</v>
      </c>
      <c r="T634" s="290">
        <f t="shared" si="286"/>
        <v>0</v>
      </c>
      <c r="U634" s="291">
        <f t="shared" si="287"/>
        <v>1415.99</v>
      </c>
      <c r="V634" s="291">
        <f t="shared" si="291"/>
        <v>-1415.99</v>
      </c>
      <c r="W634" s="265">
        <f t="shared" si="288"/>
        <v>0</v>
      </c>
      <c r="X634" s="291">
        <f t="shared" si="292"/>
        <v>-1415.99</v>
      </c>
      <c r="Y634" s="170">
        <f t="shared" si="289"/>
        <v>32.25</v>
      </c>
      <c r="Z634" s="291">
        <f t="shared" si="290"/>
        <v>-32.25</v>
      </c>
      <c r="AC634" s="276">
        <f>IF(AI634=1,IF(AC633=MiscData!$F$1,EOMONTH(AC633,-11),EOMONTH(AC633,1)),AC633)</f>
        <v>41912</v>
      </c>
      <c r="AD634" s="275" t="str">
        <f t="shared" si="299"/>
        <v>20140101LGUM_431</v>
      </c>
      <c r="AE634" s="294" t="str">
        <f t="shared" si="300"/>
        <v xml:space="preserve">20140101LS </v>
      </c>
      <c r="AF634" s="618" t="str">
        <f t="shared" si="293"/>
        <v>431</v>
      </c>
      <c r="AH634" s="265">
        <f>MiscData!$X$5</f>
        <v>20140101</v>
      </c>
      <c r="AI634" s="265">
        <f>IF(AI633+1&gt;MiscData!$AC$77,1,AI633+1)</f>
        <v>47</v>
      </c>
      <c r="AJ634" s="265" t="str">
        <f>VLOOKUP(AI634,MiscData!$AC$5:$AD$77,2,FALSE)</f>
        <v>LGUM_431</v>
      </c>
      <c r="AK634" s="265" t="str">
        <f>VLOOKUP(AJ634,MiscData!$AD$5:$AE$77,2,FALSE)</f>
        <v xml:space="preserve">LS </v>
      </c>
      <c r="AT634" s="265" t="s">
        <v>253</v>
      </c>
      <c r="AV634" s="265">
        <v>0</v>
      </c>
    </row>
    <row r="635" spans="1:48">
      <c r="A635" s="275">
        <f t="shared" si="294"/>
        <v>632</v>
      </c>
      <c r="B635" s="276" t="str">
        <f t="shared" si="296"/>
        <v>Sep 2014</v>
      </c>
      <c r="C635" s="277" t="str">
        <f t="shared" si="297"/>
        <v>RLS</v>
      </c>
      <c r="D635" s="277" t="str">
        <f t="shared" si="298"/>
        <v>LGUM_432</v>
      </c>
      <c r="E635" s="614">
        <f t="shared" si="275"/>
        <v>10</v>
      </c>
      <c r="F635" s="615">
        <v>0</v>
      </c>
      <c r="G635" s="614">
        <f t="shared" si="276"/>
        <v>0</v>
      </c>
      <c r="H635" s="615">
        <v>0</v>
      </c>
      <c r="I635" s="283">
        <f t="shared" si="277"/>
        <v>34.330000000000005</v>
      </c>
      <c r="J635" s="283">
        <f t="shared" si="278"/>
        <v>1.0600000000000023</v>
      </c>
      <c r="K635" s="285">
        <f t="shared" si="279"/>
        <v>343.3</v>
      </c>
      <c r="L635" s="286">
        <v>0</v>
      </c>
      <c r="M635" s="286">
        <v>0</v>
      </c>
      <c r="N635" s="285">
        <f t="shared" si="281"/>
        <v>343.3</v>
      </c>
      <c r="O635" s="616">
        <f t="shared" si="295"/>
        <v>0</v>
      </c>
      <c r="P635" s="289">
        <f t="shared" si="282"/>
        <v>0</v>
      </c>
      <c r="Q635" s="290">
        <f t="shared" si="283"/>
        <v>0</v>
      </c>
      <c r="R635" s="290">
        <f t="shared" si="284"/>
        <v>0</v>
      </c>
      <c r="S635" s="290">
        <f t="shared" si="285"/>
        <v>0</v>
      </c>
      <c r="T635" s="290">
        <f t="shared" si="286"/>
        <v>0</v>
      </c>
      <c r="U635" s="291">
        <f t="shared" si="287"/>
        <v>343.3</v>
      </c>
      <c r="V635" s="291">
        <f t="shared" si="291"/>
        <v>-343.3</v>
      </c>
      <c r="W635" s="265">
        <f t="shared" si="288"/>
        <v>0</v>
      </c>
      <c r="X635" s="291">
        <f t="shared" si="292"/>
        <v>-343.3</v>
      </c>
      <c r="Y635" s="170">
        <f t="shared" si="289"/>
        <v>10.6</v>
      </c>
      <c r="Z635" s="291">
        <f t="shared" si="290"/>
        <v>-10.6</v>
      </c>
      <c r="AC635" s="276">
        <f>IF(AI635=1,IF(AC634=MiscData!$F$1,EOMONTH(AC634,-11),EOMONTH(AC634,1)),AC634)</f>
        <v>41912</v>
      </c>
      <c r="AD635" s="275" t="str">
        <f t="shared" si="299"/>
        <v>20140101LGUM_432</v>
      </c>
      <c r="AE635" s="294" t="str">
        <f t="shared" si="300"/>
        <v>20140101RLS</v>
      </c>
      <c r="AF635" s="618" t="str">
        <f t="shared" si="293"/>
        <v>432</v>
      </c>
      <c r="AH635" s="265">
        <f>MiscData!$X$5</f>
        <v>20140101</v>
      </c>
      <c r="AI635" s="265">
        <f>IF(AI634+1&gt;MiscData!$AC$77,1,AI634+1)</f>
        <v>48</v>
      </c>
      <c r="AJ635" s="265" t="str">
        <f>VLOOKUP(AI635,MiscData!$AC$5:$AD$77,2,FALSE)</f>
        <v>LGUM_432</v>
      </c>
      <c r="AK635" s="265" t="str">
        <f>VLOOKUP(AJ635,MiscData!$AD$5:$AE$77,2,FALSE)</f>
        <v>RLS</v>
      </c>
      <c r="AT635" s="265" t="s">
        <v>387</v>
      </c>
      <c r="AV635" s="265">
        <v>0</v>
      </c>
    </row>
    <row r="636" spans="1:48">
      <c r="A636" s="275">
        <f t="shared" si="294"/>
        <v>633</v>
      </c>
      <c r="B636" s="276" t="str">
        <f t="shared" si="296"/>
        <v>Sep 2014</v>
      </c>
      <c r="C636" s="277" t="str">
        <f t="shared" si="297"/>
        <v xml:space="preserve">LS </v>
      </c>
      <c r="D636" s="277" t="str">
        <f t="shared" si="298"/>
        <v>LGUM_433</v>
      </c>
      <c r="E636" s="614">
        <f t="shared" si="275"/>
        <v>185</v>
      </c>
      <c r="F636" s="615">
        <v>0</v>
      </c>
      <c r="G636" s="614">
        <f t="shared" si="276"/>
        <v>0</v>
      </c>
      <c r="H636" s="615">
        <v>0</v>
      </c>
      <c r="I636" s="283">
        <f t="shared" si="277"/>
        <v>34.99</v>
      </c>
      <c r="J636" s="283">
        <f t="shared" si="278"/>
        <v>1.0600000000000023</v>
      </c>
      <c r="K636" s="285">
        <f t="shared" si="279"/>
        <v>6473.15</v>
      </c>
      <c r="L636" s="286">
        <v>0</v>
      </c>
      <c r="M636" s="286">
        <v>0</v>
      </c>
      <c r="N636" s="285">
        <f t="shared" si="281"/>
        <v>6473.15</v>
      </c>
      <c r="O636" s="616">
        <f t="shared" si="295"/>
        <v>0</v>
      </c>
      <c r="P636" s="289">
        <f t="shared" si="282"/>
        <v>0</v>
      </c>
      <c r="Q636" s="290">
        <f t="shared" si="283"/>
        <v>0</v>
      </c>
      <c r="R636" s="290">
        <f t="shared" si="284"/>
        <v>0</v>
      </c>
      <c r="S636" s="290">
        <f t="shared" si="285"/>
        <v>0</v>
      </c>
      <c r="T636" s="290">
        <f t="shared" si="286"/>
        <v>0</v>
      </c>
      <c r="U636" s="291">
        <f t="shared" si="287"/>
        <v>6473.15</v>
      </c>
      <c r="V636" s="291">
        <f t="shared" si="291"/>
        <v>-6473.15</v>
      </c>
      <c r="W636" s="265">
        <f t="shared" si="288"/>
        <v>0</v>
      </c>
      <c r="X636" s="291">
        <f t="shared" si="292"/>
        <v>-6473.15</v>
      </c>
      <c r="Y636" s="170">
        <f t="shared" si="289"/>
        <v>196.1</v>
      </c>
      <c r="Z636" s="291">
        <f t="shared" si="290"/>
        <v>-196.1</v>
      </c>
      <c r="AC636" s="276">
        <f>IF(AI636=1,IF(AC635=MiscData!$F$1,EOMONTH(AC635,-11),EOMONTH(AC635,1)),AC635)</f>
        <v>41912</v>
      </c>
      <c r="AD636" s="275" t="str">
        <f t="shared" si="299"/>
        <v>20140101LGUM_433</v>
      </c>
      <c r="AE636" s="294" t="str">
        <f t="shared" si="300"/>
        <v xml:space="preserve">20140101LS </v>
      </c>
      <c r="AF636" s="618" t="str">
        <f t="shared" si="293"/>
        <v>433</v>
      </c>
      <c r="AH636" s="265">
        <f>MiscData!$X$5</f>
        <v>20140101</v>
      </c>
      <c r="AI636" s="265">
        <f>IF(AI635+1&gt;MiscData!$AC$77,1,AI635+1)</f>
        <v>49</v>
      </c>
      <c r="AJ636" s="265" t="str">
        <f>VLOOKUP(AI636,MiscData!$AC$5:$AD$77,2,FALSE)</f>
        <v>LGUM_433</v>
      </c>
      <c r="AK636" s="265" t="str">
        <f>VLOOKUP(AJ636,MiscData!$AD$5:$AE$77,2,FALSE)</f>
        <v xml:space="preserve">LS </v>
      </c>
      <c r="AT636" s="265" t="s">
        <v>254</v>
      </c>
      <c r="AV636" s="265">
        <v>0</v>
      </c>
    </row>
    <row r="637" spans="1:48">
      <c r="A637" s="275">
        <f t="shared" si="294"/>
        <v>634</v>
      </c>
      <c r="B637" s="276" t="str">
        <f t="shared" si="296"/>
        <v>Sep 2014</v>
      </c>
      <c r="C637" s="277" t="str">
        <f t="shared" si="297"/>
        <v xml:space="preserve">LS </v>
      </c>
      <c r="D637" s="277" t="str">
        <f t="shared" si="298"/>
        <v>LGUM_439</v>
      </c>
      <c r="E637" s="614">
        <f t="shared" si="275"/>
        <v>0</v>
      </c>
      <c r="F637" s="615">
        <v>0</v>
      </c>
      <c r="G637" s="614">
        <f t="shared" si="276"/>
        <v>0</v>
      </c>
      <c r="H637" s="615">
        <v>0</v>
      </c>
      <c r="I637" s="283">
        <f t="shared" si="277"/>
        <v>16.459999999999997</v>
      </c>
      <c r="J637" s="283">
        <f t="shared" si="278"/>
        <v>1.6499999999999986</v>
      </c>
      <c r="K637" s="285">
        <f t="shared" si="279"/>
        <v>0</v>
      </c>
      <c r="L637" s="286">
        <v>0</v>
      </c>
      <c r="M637" s="286">
        <v>0</v>
      </c>
      <c r="N637" s="285">
        <f t="shared" si="281"/>
        <v>0</v>
      </c>
      <c r="O637" s="616">
        <f t="shared" si="295"/>
        <v>0</v>
      </c>
      <c r="P637" s="289">
        <f t="shared" si="282"/>
        <v>1</v>
      </c>
      <c r="Q637" s="290">
        <f t="shared" si="283"/>
        <v>0</v>
      </c>
      <c r="R637" s="290">
        <f t="shared" si="284"/>
        <v>0</v>
      </c>
      <c r="S637" s="290">
        <f t="shared" si="285"/>
        <v>0</v>
      </c>
      <c r="T637" s="290">
        <f t="shared" si="286"/>
        <v>0</v>
      </c>
      <c r="U637" s="291">
        <f t="shared" si="287"/>
        <v>0</v>
      </c>
      <c r="V637" s="291">
        <f t="shared" si="291"/>
        <v>0</v>
      </c>
      <c r="W637" s="265">
        <f t="shared" si="288"/>
        <v>0</v>
      </c>
      <c r="X637" s="291">
        <f t="shared" si="292"/>
        <v>0</v>
      </c>
      <c r="Y637" s="170">
        <f t="shared" si="289"/>
        <v>0</v>
      </c>
      <c r="Z637" s="291">
        <f t="shared" si="290"/>
        <v>0</v>
      </c>
      <c r="AC637" s="276">
        <f>IF(AI637=1,IF(AC636=MiscData!$F$1,EOMONTH(AC636,-11),EOMONTH(AC636,1)),AC636)</f>
        <v>41912</v>
      </c>
      <c r="AD637" s="275" t="str">
        <f t="shared" si="299"/>
        <v>20140101LGUM_439</v>
      </c>
      <c r="AE637" s="294" t="str">
        <f t="shared" si="300"/>
        <v xml:space="preserve">20140101LS </v>
      </c>
      <c r="AF637" s="618" t="str">
        <f t="shared" si="293"/>
        <v>439</v>
      </c>
      <c r="AH637" s="265">
        <f>MiscData!$X$5</f>
        <v>20140101</v>
      </c>
      <c r="AI637" s="265">
        <f>IF(AI636+1&gt;MiscData!$AC$77,1,AI636+1)</f>
        <v>50</v>
      </c>
      <c r="AJ637" s="265" t="str">
        <f>VLOOKUP(AI637,MiscData!$AC$5:$AD$77,2,FALSE)</f>
        <v>LGUM_439</v>
      </c>
      <c r="AK637" s="265" t="str">
        <f>VLOOKUP(AJ637,MiscData!$AD$5:$AE$77,2,FALSE)</f>
        <v xml:space="preserve">LS </v>
      </c>
      <c r="AT637" s="265" t="s">
        <v>537</v>
      </c>
      <c r="AV637" s="265">
        <v>0</v>
      </c>
    </row>
    <row r="638" spans="1:48">
      <c r="A638" s="275">
        <f t="shared" si="294"/>
        <v>635</v>
      </c>
      <c r="B638" s="276" t="str">
        <f t="shared" si="296"/>
        <v>Sep 2014</v>
      </c>
      <c r="C638" s="277" t="str">
        <f t="shared" si="297"/>
        <v xml:space="preserve">LS </v>
      </c>
      <c r="D638" s="277" t="str">
        <f t="shared" si="298"/>
        <v>LGUM_440</v>
      </c>
      <c r="E638" s="614">
        <f t="shared" si="275"/>
        <v>2</v>
      </c>
      <c r="F638" s="615">
        <v>0</v>
      </c>
      <c r="G638" s="614">
        <f t="shared" si="276"/>
        <v>0</v>
      </c>
      <c r="H638" s="615">
        <v>0</v>
      </c>
      <c r="I638" s="283">
        <f t="shared" si="277"/>
        <v>18.279999999999998</v>
      </c>
      <c r="J638" s="283">
        <f t="shared" si="278"/>
        <v>2.67</v>
      </c>
      <c r="K638" s="285">
        <f t="shared" si="279"/>
        <v>36.56</v>
      </c>
      <c r="L638" s="286">
        <v>0</v>
      </c>
      <c r="M638" s="286">
        <v>0</v>
      </c>
      <c r="N638" s="285">
        <f t="shared" si="281"/>
        <v>36.56</v>
      </c>
      <c r="O638" s="616">
        <f t="shared" si="295"/>
        <v>0</v>
      </c>
      <c r="P638" s="289">
        <f t="shared" si="282"/>
        <v>0</v>
      </c>
      <c r="Q638" s="290">
        <f t="shared" si="283"/>
        <v>0</v>
      </c>
      <c r="R638" s="290">
        <f t="shared" si="284"/>
        <v>0</v>
      </c>
      <c r="S638" s="290">
        <f t="shared" si="285"/>
        <v>0</v>
      </c>
      <c r="T638" s="290">
        <f t="shared" si="286"/>
        <v>0</v>
      </c>
      <c r="U638" s="291">
        <f t="shared" si="287"/>
        <v>36.56</v>
      </c>
      <c r="V638" s="291">
        <f t="shared" si="291"/>
        <v>-36.56</v>
      </c>
      <c r="W638" s="265">
        <f t="shared" si="288"/>
        <v>0</v>
      </c>
      <c r="X638" s="291">
        <f t="shared" si="292"/>
        <v>-36.56</v>
      </c>
      <c r="Y638" s="170">
        <f t="shared" si="289"/>
        <v>5.34</v>
      </c>
      <c r="Z638" s="291">
        <f t="shared" si="290"/>
        <v>-5.34</v>
      </c>
      <c r="AC638" s="276">
        <f>IF(AI638=1,IF(AC637=MiscData!$F$1,EOMONTH(AC637,-11),EOMONTH(AC637,1)),AC637)</f>
        <v>41912</v>
      </c>
      <c r="AD638" s="275" t="str">
        <f t="shared" si="299"/>
        <v>20140101LGUM_440</v>
      </c>
      <c r="AE638" s="294" t="str">
        <f t="shared" si="300"/>
        <v xml:space="preserve">20140101LS </v>
      </c>
      <c r="AF638" s="618" t="str">
        <f t="shared" si="293"/>
        <v>440</v>
      </c>
      <c r="AH638" s="265">
        <f>MiscData!$X$5</f>
        <v>20140101</v>
      </c>
      <c r="AI638" s="265">
        <f>IF(AI637+1&gt;MiscData!$AC$77,1,AI637+1)</f>
        <v>51</v>
      </c>
      <c r="AJ638" s="265" t="str">
        <f>VLOOKUP(AI638,MiscData!$AC$5:$AD$77,2,FALSE)</f>
        <v>LGUM_440</v>
      </c>
      <c r="AK638" s="265" t="str">
        <f>VLOOKUP(AJ638,MiscData!$AD$5:$AE$77,2,FALSE)</f>
        <v xml:space="preserve">LS </v>
      </c>
      <c r="AT638" s="265" t="s">
        <v>388</v>
      </c>
      <c r="AV638" s="265">
        <v>0</v>
      </c>
    </row>
    <row r="639" spans="1:48">
      <c r="A639" s="275">
        <f t="shared" si="294"/>
        <v>636</v>
      </c>
      <c r="B639" s="276" t="str">
        <f t="shared" si="296"/>
        <v>Sep 2014</v>
      </c>
      <c r="C639" s="277" t="str">
        <f t="shared" si="297"/>
        <v xml:space="preserve">LS </v>
      </c>
      <c r="D639" s="277" t="str">
        <f t="shared" si="298"/>
        <v>LGUM_441</v>
      </c>
      <c r="E639" s="614">
        <f t="shared" si="275"/>
        <v>12</v>
      </c>
      <c r="F639" s="615">
        <v>0</v>
      </c>
      <c r="G639" s="614">
        <f t="shared" si="276"/>
        <v>0</v>
      </c>
      <c r="H639" s="615">
        <v>0</v>
      </c>
      <c r="I639" s="283">
        <f t="shared" si="277"/>
        <v>22.32</v>
      </c>
      <c r="J639" s="283">
        <f t="shared" si="278"/>
        <v>4.2800000000000011</v>
      </c>
      <c r="K639" s="285">
        <f t="shared" si="279"/>
        <v>267.83999999999997</v>
      </c>
      <c r="L639" s="286">
        <v>0</v>
      </c>
      <c r="M639" s="286">
        <v>0</v>
      </c>
      <c r="N639" s="285">
        <f t="shared" si="281"/>
        <v>267.83999999999997</v>
      </c>
      <c r="O639" s="616">
        <f t="shared" si="295"/>
        <v>0</v>
      </c>
      <c r="P639" s="289">
        <f t="shared" si="282"/>
        <v>0</v>
      </c>
      <c r="Q639" s="290">
        <f t="shared" si="283"/>
        <v>0</v>
      </c>
      <c r="R639" s="290">
        <f t="shared" si="284"/>
        <v>0</v>
      </c>
      <c r="S639" s="290">
        <f t="shared" si="285"/>
        <v>0</v>
      </c>
      <c r="T639" s="290">
        <f t="shared" si="286"/>
        <v>0</v>
      </c>
      <c r="U639" s="291">
        <f t="shared" si="287"/>
        <v>267.83999999999997</v>
      </c>
      <c r="V639" s="291">
        <f t="shared" si="291"/>
        <v>-267.83999999999997</v>
      </c>
      <c r="W639" s="265">
        <f t="shared" si="288"/>
        <v>0</v>
      </c>
      <c r="X639" s="291">
        <f t="shared" si="292"/>
        <v>-267.83999999999997</v>
      </c>
      <c r="Y639" s="170">
        <f t="shared" si="289"/>
        <v>51.36</v>
      </c>
      <c r="Z639" s="291">
        <f t="shared" si="290"/>
        <v>-51.36</v>
      </c>
      <c r="AC639" s="276">
        <f>IF(AI639=1,IF(AC638=MiscData!$F$1,EOMONTH(AC638,-11),EOMONTH(AC638,1)),AC638)</f>
        <v>41912</v>
      </c>
      <c r="AD639" s="275" t="str">
        <f t="shared" si="299"/>
        <v>20140101LGUM_441</v>
      </c>
      <c r="AE639" s="294" t="str">
        <f t="shared" si="300"/>
        <v xml:space="preserve">20140101LS </v>
      </c>
      <c r="AF639" s="618" t="str">
        <f t="shared" si="293"/>
        <v>441</v>
      </c>
      <c r="AH639" s="265">
        <f>MiscData!$X$5</f>
        <v>20140101</v>
      </c>
      <c r="AI639" s="265">
        <f>IF(AI638+1&gt;MiscData!$AC$77,1,AI638+1)</f>
        <v>52</v>
      </c>
      <c r="AJ639" s="265" t="str">
        <f>VLOOKUP(AI639,MiscData!$AC$5:$AD$77,2,FALSE)</f>
        <v>LGUM_441</v>
      </c>
      <c r="AK639" s="265" t="str">
        <f>VLOOKUP(AJ639,MiscData!$AD$5:$AE$77,2,FALSE)</f>
        <v xml:space="preserve">LS </v>
      </c>
      <c r="AT639" s="265" t="s">
        <v>256</v>
      </c>
      <c r="AV639" s="265">
        <v>0</v>
      </c>
    </row>
    <row r="640" spans="1:48">
      <c r="A640" s="275">
        <f t="shared" si="294"/>
        <v>637</v>
      </c>
      <c r="B640" s="276" t="str">
        <f t="shared" si="296"/>
        <v>Sep 2014</v>
      </c>
      <c r="C640" s="277" t="str">
        <f t="shared" si="297"/>
        <v xml:space="preserve">LS </v>
      </c>
      <c r="D640" s="277" t="str">
        <f t="shared" si="298"/>
        <v>LGUM_452</v>
      </c>
      <c r="E640" s="614">
        <f t="shared" si="275"/>
        <v>6004</v>
      </c>
      <c r="F640" s="615">
        <v>0</v>
      </c>
      <c r="G640" s="614">
        <f t="shared" si="276"/>
        <v>0</v>
      </c>
      <c r="H640" s="615">
        <v>0</v>
      </c>
      <c r="I640" s="283">
        <f t="shared" si="277"/>
        <v>12.82</v>
      </c>
      <c r="J640" s="283">
        <f t="shared" si="278"/>
        <v>1.6500000000000004</v>
      </c>
      <c r="K640" s="285">
        <f t="shared" si="279"/>
        <v>76971.28</v>
      </c>
      <c r="L640" s="286">
        <v>0</v>
      </c>
      <c r="M640" s="286">
        <v>0</v>
      </c>
      <c r="N640" s="285">
        <f t="shared" si="281"/>
        <v>76971.28</v>
      </c>
      <c r="O640" s="616">
        <f t="shared" si="295"/>
        <v>0</v>
      </c>
      <c r="P640" s="289">
        <f t="shared" si="282"/>
        <v>0</v>
      </c>
      <c r="Q640" s="290">
        <f t="shared" si="283"/>
        <v>0</v>
      </c>
      <c r="R640" s="290">
        <f t="shared" si="284"/>
        <v>0</v>
      </c>
      <c r="S640" s="290">
        <f t="shared" si="285"/>
        <v>0</v>
      </c>
      <c r="T640" s="290">
        <f t="shared" si="286"/>
        <v>0</v>
      </c>
      <c r="U640" s="291">
        <f t="shared" si="287"/>
        <v>76971.28</v>
      </c>
      <c r="V640" s="291">
        <f t="shared" si="291"/>
        <v>-76971.28</v>
      </c>
      <c r="W640" s="265">
        <f t="shared" si="288"/>
        <v>0</v>
      </c>
      <c r="X640" s="291">
        <f t="shared" si="292"/>
        <v>-76971.28</v>
      </c>
      <c r="Y640" s="170">
        <f t="shared" si="289"/>
        <v>9906.6</v>
      </c>
      <c r="Z640" s="291">
        <f t="shared" si="290"/>
        <v>-9906.6</v>
      </c>
      <c r="AC640" s="276">
        <f>IF(AI640=1,IF(AC639=MiscData!$F$1,EOMONTH(AC639,-11),EOMONTH(AC639,1)),AC639)</f>
        <v>41912</v>
      </c>
      <c r="AD640" s="275" t="str">
        <f t="shared" si="299"/>
        <v>20140101LGUM_452</v>
      </c>
      <c r="AE640" s="294" t="str">
        <f t="shared" si="300"/>
        <v xml:space="preserve">20140101LS </v>
      </c>
      <c r="AF640" s="618" t="str">
        <f t="shared" si="293"/>
        <v>452</v>
      </c>
      <c r="AH640" s="265">
        <f>MiscData!$X$5</f>
        <v>20140101</v>
      </c>
      <c r="AI640" s="265">
        <f>IF(AI639+1&gt;MiscData!$AC$77,1,AI639+1)</f>
        <v>53</v>
      </c>
      <c r="AJ640" s="265" t="str">
        <f>VLOOKUP(AI640,MiscData!$AC$5:$AD$77,2,FALSE)</f>
        <v>LGUM_452</v>
      </c>
      <c r="AK640" s="265" t="str">
        <f>VLOOKUP(AJ640,MiscData!$AD$5:$AE$77,2,FALSE)</f>
        <v xml:space="preserve">LS </v>
      </c>
      <c r="AT640" s="265" t="s">
        <v>257</v>
      </c>
      <c r="AV640" s="265">
        <v>0</v>
      </c>
    </row>
    <row r="641" spans="1:48">
      <c r="A641" s="275">
        <f t="shared" si="294"/>
        <v>638</v>
      </c>
      <c r="B641" s="276" t="str">
        <f t="shared" si="296"/>
        <v>Sep 2014</v>
      </c>
      <c r="C641" s="277" t="str">
        <f t="shared" si="297"/>
        <v xml:space="preserve">LS </v>
      </c>
      <c r="D641" s="277" t="str">
        <f t="shared" si="298"/>
        <v>LGUM_453</v>
      </c>
      <c r="E641" s="614">
        <f t="shared" si="275"/>
        <v>8491</v>
      </c>
      <c r="F641" s="615">
        <v>0</v>
      </c>
      <c r="G641" s="614">
        <f t="shared" si="276"/>
        <v>0</v>
      </c>
      <c r="H641" s="615">
        <v>0</v>
      </c>
      <c r="I641" s="283">
        <f t="shared" si="277"/>
        <v>15.08</v>
      </c>
      <c r="J641" s="283">
        <f t="shared" si="278"/>
        <v>3.9800000000000004</v>
      </c>
      <c r="K641" s="285">
        <f t="shared" si="279"/>
        <v>128044.28</v>
      </c>
      <c r="L641" s="286">
        <v>0</v>
      </c>
      <c r="M641" s="286">
        <v>0</v>
      </c>
      <c r="N641" s="285">
        <f t="shared" si="281"/>
        <v>128044.28</v>
      </c>
      <c r="O641" s="616">
        <f t="shared" si="295"/>
        <v>0</v>
      </c>
      <c r="P641" s="289">
        <f t="shared" si="282"/>
        <v>0</v>
      </c>
      <c r="Q641" s="290">
        <f t="shared" si="283"/>
        <v>0</v>
      </c>
      <c r="R641" s="290">
        <f t="shared" si="284"/>
        <v>0</v>
      </c>
      <c r="S641" s="290">
        <f t="shared" si="285"/>
        <v>0</v>
      </c>
      <c r="T641" s="290">
        <f t="shared" si="286"/>
        <v>0</v>
      </c>
      <c r="U641" s="291">
        <f t="shared" si="287"/>
        <v>128044.28</v>
      </c>
      <c r="V641" s="291">
        <f t="shared" si="291"/>
        <v>-128044.28</v>
      </c>
      <c r="W641" s="265">
        <f t="shared" si="288"/>
        <v>0</v>
      </c>
      <c r="X641" s="291">
        <f t="shared" si="292"/>
        <v>-128044.28</v>
      </c>
      <c r="Y641" s="170">
        <f t="shared" si="289"/>
        <v>33794.18</v>
      </c>
      <c r="Z641" s="291">
        <f t="shared" si="290"/>
        <v>-33794.18</v>
      </c>
      <c r="AC641" s="276">
        <f>IF(AI641=1,IF(AC640=MiscData!$F$1,EOMONTH(AC640,-11),EOMONTH(AC640,1)),AC640)</f>
        <v>41912</v>
      </c>
      <c r="AD641" s="275" t="str">
        <f t="shared" si="299"/>
        <v>20140101LGUM_453</v>
      </c>
      <c r="AE641" s="294" t="str">
        <f t="shared" si="300"/>
        <v xml:space="preserve">20140101LS </v>
      </c>
      <c r="AF641" s="618" t="str">
        <f t="shared" si="293"/>
        <v>453</v>
      </c>
      <c r="AH641" s="265">
        <f>MiscData!$X$5</f>
        <v>20140101</v>
      </c>
      <c r="AI641" s="265">
        <f>IF(AI640+1&gt;MiscData!$AC$77,1,AI640+1)</f>
        <v>54</v>
      </c>
      <c r="AJ641" s="265" t="str">
        <f>VLOOKUP(AI641,MiscData!$AC$5:$AD$77,2,FALSE)</f>
        <v>LGUM_453</v>
      </c>
      <c r="AK641" s="265" t="str">
        <f>VLOOKUP(AJ641,MiscData!$AD$5:$AE$77,2,FALSE)</f>
        <v xml:space="preserve">LS </v>
      </c>
      <c r="AT641" s="265" t="s">
        <v>390</v>
      </c>
      <c r="AV641" s="265">
        <v>0</v>
      </c>
    </row>
    <row r="642" spans="1:48">
      <c r="A642" s="275">
        <f t="shared" si="294"/>
        <v>639</v>
      </c>
      <c r="B642" s="276" t="str">
        <f t="shared" si="296"/>
        <v>Sep 2014</v>
      </c>
      <c r="C642" s="277" t="str">
        <f t="shared" si="297"/>
        <v xml:space="preserve">LS </v>
      </c>
      <c r="D642" s="277" t="str">
        <f t="shared" si="298"/>
        <v>LGUM_454</v>
      </c>
      <c r="E642" s="614">
        <f t="shared" si="275"/>
        <v>5352</v>
      </c>
      <c r="F642" s="615">
        <v>0</v>
      </c>
      <c r="G642" s="614">
        <f t="shared" si="276"/>
        <v>0</v>
      </c>
      <c r="H642" s="615">
        <v>0</v>
      </c>
      <c r="I642" s="283">
        <f t="shared" si="277"/>
        <v>17.38</v>
      </c>
      <c r="J642" s="283">
        <f t="shared" si="278"/>
        <v>4.2800000000000011</v>
      </c>
      <c r="K642" s="285">
        <f t="shared" si="279"/>
        <v>93017.76</v>
      </c>
      <c r="L642" s="286">
        <v>0</v>
      </c>
      <c r="M642" s="286">
        <v>0</v>
      </c>
      <c r="N642" s="285">
        <f t="shared" si="281"/>
        <v>93017.76</v>
      </c>
      <c r="O642" s="616">
        <f t="shared" si="295"/>
        <v>0</v>
      </c>
      <c r="P642" s="289">
        <f t="shared" si="282"/>
        <v>0</v>
      </c>
      <c r="Q642" s="290">
        <f t="shared" si="283"/>
        <v>0</v>
      </c>
      <c r="R642" s="290">
        <f t="shared" si="284"/>
        <v>0</v>
      </c>
      <c r="S642" s="290">
        <f t="shared" si="285"/>
        <v>0</v>
      </c>
      <c r="T642" s="290">
        <f t="shared" si="286"/>
        <v>0</v>
      </c>
      <c r="U642" s="291">
        <f t="shared" si="287"/>
        <v>93017.76</v>
      </c>
      <c r="V642" s="291">
        <f t="shared" si="291"/>
        <v>-93017.76</v>
      </c>
      <c r="W642" s="265">
        <f t="shared" si="288"/>
        <v>0</v>
      </c>
      <c r="X642" s="291">
        <f t="shared" si="292"/>
        <v>-93017.76</v>
      </c>
      <c r="Y642" s="170">
        <f t="shared" si="289"/>
        <v>22906.560000000001</v>
      </c>
      <c r="Z642" s="291">
        <f t="shared" si="290"/>
        <v>-22906.560000000001</v>
      </c>
      <c r="AC642" s="276">
        <f>IF(AI642=1,IF(AC641=MiscData!$F$1,EOMONTH(AC641,-11),EOMONTH(AC641,1)),AC641)</f>
        <v>41912</v>
      </c>
      <c r="AD642" s="275" t="str">
        <f t="shared" si="299"/>
        <v>20140101LGUM_454</v>
      </c>
      <c r="AE642" s="294" t="str">
        <f t="shared" si="300"/>
        <v xml:space="preserve">20140101LS </v>
      </c>
      <c r="AF642" s="618" t="str">
        <f t="shared" si="293"/>
        <v>454</v>
      </c>
      <c r="AH642" s="265">
        <f>MiscData!$X$5</f>
        <v>20140101</v>
      </c>
      <c r="AI642" s="265">
        <f>IF(AI641+1&gt;MiscData!$AC$77,1,AI641+1)</f>
        <v>55</v>
      </c>
      <c r="AJ642" s="265" t="str">
        <f>VLOOKUP(AI642,MiscData!$AC$5:$AD$77,2,FALSE)</f>
        <v>LGUM_454</v>
      </c>
      <c r="AK642" s="265" t="str">
        <f>VLOOKUP(AJ642,MiscData!$AD$5:$AE$77,2,FALSE)</f>
        <v xml:space="preserve">LS </v>
      </c>
      <c r="AT642" s="265" t="s">
        <v>258</v>
      </c>
      <c r="AV642" s="265">
        <v>0</v>
      </c>
    </row>
    <row r="643" spans="1:48">
      <c r="A643" s="275">
        <f t="shared" si="294"/>
        <v>640</v>
      </c>
      <c r="B643" s="276" t="str">
        <f t="shared" si="296"/>
        <v>Sep 2014</v>
      </c>
      <c r="C643" s="277" t="str">
        <f t="shared" si="297"/>
        <v xml:space="preserve">LS </v>
      </c>
      <c r="D643" s="277" t="str">
        <f t="shared" si="298"/>
        <v>LGUM_455</v>
      </c>
      <c r="E643" s="614">
        <f t="shared" si="275"/>
        <v>377</v>
      </c>
      <c r="F643" s="615">
        <v>0</v>
      </c>
      <c r="G643" s="614">
        <f t="shared" si="276"/>
        <v>0</v>
      </c>
      <c r="H643" s="615">
        <v>0</v>
      </c>
      <c r="I643" s="283">
        <f t="shared" si="277"/>
        <v>13.77</v>
      </c>
      <c r="J643" s="283">
        <f t="shared" si="278"/>
        <v>1.6499999999999986</v>
      </c>
      <c r="K643" s="285">
        <f t="shared" si="279"/>
        <v>5191.29</v>
      </c>
      <c r="L643" s="286">
        <v>0</v>
      </c>
      <c r="M643" s="286">
        <v>0</v>
      </c>
      <c r="N643" s="285">
        <f t="shared" si="281"/>
        <v>5191.29</v>
      </c>
      <c r="O643" s="616">
        <f t="shared" si="295"/>
        <v>0</v>
      </c>
      <c r="P643" s="289">
        <f t="shared" si="282"/>
        <v>0</v>
      </c>
      <c r="Q643" s="290">
        <f t="shared" si="283"/>
        <v>0</v>
      </c>
      <c r="R643" s="290">
        <f t="shared" si="284"/>
        <v>0</v>
      </c>
      <c r="S643" s="290">
        <f t="shared" si="285"/>
        <v>0</v>
      </c>
      <c r="T643" s="290">
        <f t="shared" si="286"/>
        <v>0</v>
      </c>
      <c r="U643" s="291">
        <f t="shared" si="287"/>
        <v>5191.29</v>
      </c>
      <c r="V643" s="291">
        <f t="shared" si="291"/>
        <v>-5191.29</v>
      </c>
      <c r="W643" s="265">
        <f t="shared" si="288"/>
        <v>0</v>
      </c>
      <c r="X643" s="291">
        <f t="shared" si="292"/>
        <v>-5191.29</v>
      </c>
      <c r="Y643" s="170">
        <f t="shared" si="289"/>
        <v>622.04999999999995</v>
      </c>
      <c r="Z643" s="291">
        <f t="shared" si="290"/>
        <v>-622.04999999999995</v>
      </c>
      <c r="AC643" s="276">
        <f>IF(AI643=1,IF(AC642=MiscData!$F$1,EOMONTH(AC642,-11),EOMONTH(AC642,1)),AC642)</f>
        <v>41912</v>
      </c>
      <c r="AD643" s="275" t="str">
        <f t="shared" si="299"/>
        <v>20140101LGUM_455</v>
      </c>
      <c r="AE643" s="294" t="str">
        <f t="shared" si="300"/>
        <v xml:space="preserve">20140101LS </v>
      </c>
      <c r="AF643" s="618" t="str">
        <f t="shared" si="293"/>
        <v>455</v>
      </c>
      <c r="AH643" s="265">
        <f>MiscData!$X$5</f>
        <v>20140101</v>
      </c>
      <c r="AI643" s="265">
        <f>IF(AI642+1&gt;MiscData!$AC$77,1,AI642+1)</f>
        <v>56</v>
      </c>
      <c r="AJ643" s="265" t="str">
        <f>VLOOKUP(AI643,MiscData!$AC$5:$AD$77,2,FALSE)</f>
        <v>LGUM_455</v>
      </c>
      <c r="AK643" s="265" t="str">
        <f>VLOOKUP(AJ643,MiscData!$AD$5:$AE$77,2,FALSE)</f>
        <v xml:space="preserve">LS </v>
      </c>
      <c r="AT643" s="265" t="s">
        <v>259</v>
      </c>
      <c r="AV643" s="265">
        <v>0</v>
      </c>
    </row>
    <row r="644" spans="1:48">
      <c r="A644" s="275">
        <f t="shared" si="294"/>
        <v>641</v>
      </c>
      <c r="B644" s="276" t="str">
        <f t="shared" si="296"/>
        <v>Sep 2014</v>
      </c>
      <c r="C644" s="277" t="str">
        <f t="shared" si="297"/>
        <v xml:space="preserve">LS </v>
      </c>
      <c r="D644" s="277" t="str">
        <f t="shared" si="298"/>
        <v>LGUM_456</v>
      </c>
      <c r="E644" s="614">
        <f t="shared" ref="E644:E707" si="301">SUMIFS(L_1055_Count_Total,L_1055_Revenue_Month,$B644,L_1055_RateCategory,$D644)</f>
        <v>12386</v>
      </c>
      <c r="F644" s="615">
        <v>0</v>
      </c>
      <c r="G644" s="614">
        <f t="shared" ref="G644:G707" si="302">SUMIFS(L_SBR_KWH,L_SBR_Revenue_Month,$B644,L_SBR_Rate_Category,$D644)</f>
        <v>0</v>
      </c>
      <c r="H644" s="615">
        <v>0</v>
      </c>
      <c r="I644" s="283">
        <f t="shared" ref="I644:I707" si="303">SUMIF(L_LightingRates_Tariff_Rate_Category,$AD644,L_LightingRates_UnitCharge)</f>
        <v>18.21</v>
      </c>
      <c r="J644" s="283">
        <f t="shared" ref="J644:J707" si="304">SUMIF(L_LightingRates_Tariff_Rate_Category,$AD644,L_LightingRates_FAC_Rate)</f>
        <v>4.2800000000000011</v>
      </c>
      <c r="K644" s="285">
        <f t="shared" ref="K644:K707" si="305">ROUND(($E644+$F644)*$I644,2)</f>
        <v>225549.06</v>
      </c>
      <c r="L644" s="286">
        <v>0</v>
      </c>
      <c r="M644" s="286">
        <v>0</v>
      </c>
      <c r="N644" s="285">
        <f t="shared" ref="N644:N707" si="306">SUM(K644:M644)</f>
        <v>225549.06</v>
      </c>
      <c r="O644" s="616">
        <f t="shared" si="295"/>
        <v>0</v>
      </c>
      <c r="P644" s="289">
        <f t="shared" ref="P644:P707" si="307">IF(AND(N644=0,O644=0),1,IF(N644=0,0,O644/N644))</f>
        <v>0</v>
      </c>
      <c r="Q644" s="290">
        <f t="shared" ref="Q644:Q707" si="308">SUMIFS(L_SBR_FAC,L_SBR_Revenue_Month,$B644,L_SBR_Rate_Category,$D644)</f>
        <v>0</v>
      </c>
      <c r="R644" s="290">
        <f t="shared" ref="R644:R707" si="309">SUMIFS(L_SBR_ECR,L_SBR_Revenue_Month,$B644,L_SBR_Rate_Category,$D644)</f>
        <v>0</v>
      </c>
      <c r="S644" s="290">
        <f t="shared" ref="S644:S707" si="310">SUMIFS(L_SBR_MSR,L_SBR_Revenue_Month,$B644,L_SBR_Rate_Category,$D644)</f>
        <v>0</v>
      </c>
      <c r="T644" s="290">
        <f t="shared" ref="T644:T707" si="311">SUMIFS(L_SBR_Revenue_Total,L_SBR_Revenue_Month,$B644,L_SBR_Rate_Category,$D644)</f>
        <v>0</v>
      </c>
      <c r="U644" s="291">
        <f t="shared" ref="U644:U707" si="312">SUM(N644,Q644:S644)</f>
        <v>225549.06</v>
      </c>
      <c r="V644" s="291">
        <f t="shared" si="291"/>
        <v>-225549.06</v>
      </c>
      <c r="W644" s="265">
        <f t="shared" ref="W644:W707" si="313">ROUND(SUMIFS(L_1055_Revenue_Poles_Test_Period,L_1055_Revenue_Month,$B644,L_1055_RateCategory,$D644),2)</f>
        <v>0</v>
      </c>
      <c r="X644" s="291">
        <f t="shared" si="292"/>
        <v>-225549.06</v>
      </c>
      <c r="Y644" s="170">
        <f t="shared" ref="Y644:Y707" si="314">ROUND(E644*J644,2)</f>
        <v>53012.08</v>
      </c>
      <c r="Z644" s="291">
        <f t="shared" ref="Z644:Z707" si="315">O644-Y644</f>
        <v>-53012.08</v>
      </c>
      <c r="AC644" s="276">
        <f>IF(AI644=1,IF(AC643=MiscData!$F$1,EOMONTH(AC643,-11),EOMONTH(AC643,1)),AC643)</f>
        <v>41912</v>
      </c>
      <c r="AD644" s="275" t="str">
        <f t="shared" si="299"/>
        <v>20140101LGUM_456</v>
      </c>
      <c r="AE644" s="294" t="str">
        <f t="shared" si="300"/>
        <v xml:space="preserve">20140101LS </v>
      </c>
      <c r="AF644" s="618" t="str">
        <f t="shared" si="293"/>
        <v>456</v>
      </c>
      <c r="AH644" s="265">
        <f>MiscData!$X$5</f>
        <v>20140101</v>
      </c>
      <c r="AI644" s="265">
        <f>IF(AI643+1&gt;MiscData!$AC$77,1,AI643+1)</f>
        <v>57</v>
      </c>
      <c r="AJ644" s="265" t="str">
        <f>VLOOKUP(AI644,MiscData!$AC$5:$AD$77,2,FALSE)</f>
        <v>LGUM_456</v>
      </c>
      <c r="AK644" s="265" t="str">
        <f>VLOOKUP(AJ644,MiscData!$AD$5:$AE$77,2,FALSE)</f>
        <v xml:space="preserve">LS </v>
      </c>
      <c r="AT644" s="265" t="s">
        <v>261</v>
      </c>
      <c r="AV644" s="265">
        <v>-12.76</v>
      </c>
    </row>
    <row r="645" spans="1:48">
      <c r="A645" s="275">
        <f t="shared" si="294"/>
        <v>642</v>
      </c>
      <c r="B645" s="276" t="str">
        <f t="shared" si="296"/>
        <v>Sep 2014</v>
      </c>
      <c r="C645" s="277" t="str">
        <f t="shared" si="297"/>
        <v xml:space="preserve">LS </v>
      </c>
      <c r="D645" s="277" t="str">
        <f t="shared" si="298"/>
        <v>LGUM_457</v>
      </c>
      <c r="E645" s="614">
        <f t="shared" si="301"/>
        <v>3052</v>
      </c>
      <c r="F645" s="615">
        <v>0</v>
      </c>
      <c r="G645" s="614">
        <f t="shared" si="302"/>
        <v>0</v>
      </c>
      <c r="H645" s="615">
        <v>0</v>
      </c>
      <c r="I645" s="283">
        <f t="shared" si="303"/>
        <v>10.86</v>
      </c>
      <c r="J645" s="283">
        <f t="shared" si="304"/>
        <v>1.0599999999999987</v>
      </c>
      <c r="K645" s="285">
        <f t="shared" si="305"/>
        <v>33144.720000000001</v>
      </c>
      <c r="L645" s="286">
        <v>0</v>
      </c>
      <c r="M645" s="286">
        <v>0</v>
      </c>
      <c r="N645" s="285">
        <f t="shared" si="306"/>
        <v>33144.720000000001</v>
      </c>
      <c r="O645" s="616">
        <f t="shared" si="295"/>
        <v>0</v>
      </c>
      <c r="P645" s="289">
        <f t="shared" si="307"/>
        <v>0</v>
      </c>
      <c r="Q645" s="290">
        <f t="shared" si="308"/>
        <v>0</v>
      </c>
      <c r="R645" s="290">
        <f t="shared" si="309"/>
        <v>0</v>
      </c>
      <c r="S645" s="290">
        <f t="shared" si="310"/>
        <v>0</v>
      </c>
      <c r="T645" s="290">
        <f t="shared" si="311"/>
        <v>0</v>
      </c>
      <c r="U645" s="291">
        <f t="shared" si="312"/>
        <v>33144.720000000001</v>
      </c>
      <c r="V645" s="291">
        <f t="shared" ref="V645:V708" si="316">ROUND(T645-U645,2)</f>
        <v>-33144.720000000001</v>
      </c>
      <c r="W645" s="265">
        <f t="shared" si="313"/>
        <v>0</v>
      </c>
      <c r="X645" s="291">
        <f t="shared" ref="X645:X708" si="317">V645-W645</f>
        <v>-33144.720000000001</v>
      </c>
      <c r="Y645" s="170">
        <f t="shared" si="314"/>
        <v>3235.12</v>
      </c>
      <c r="Z645" s="291">
        <f t="shared" si="315"/>
        <v>-3235.12</v>
      </c>
      <c r="AC645" s="276">
        <f>IF(AI645=1,IF(AC644=MiscData!$F$1,EOMONTH(AC644,-11),EOMONTH(AC644,1)),AC644)</f>
        <v>41912</v>
      </c>
      <c r="AD645" s="275" t="str">
        <f t="shared" si="299"/>
        <v>20140101LGUM_457</v>
      </c>
      <c r="AE645" s="294" t="str">
        <f t="shared" si="300"/>
        <v xml:space="preserve">20140101LS </v>
      </c>
      <c r="AF645" s="618" t="str">
        <f t="shared" ref="AF645:AF708" si="318">RIGHT(AJ645,3)</f>
        <v>457</v>
      </c>
      <c r="AH645" s="265">
        <f>MiscData!$X$5</f>
        <v>20140101</v>
      </c>
      <c r="AI645" s="265">
        <f>IF(AI644+1&gt;MiscData!$AC$77,1,AI644+1)</f>
        <v>58</v>
      </c>
      <c r="AJ645" s="265" t="str">
        <f>VLOOKUP(AI645,MiscData!$AC$5:$AD$77,2,FALSE)</f>
        <v>LGUM_457</v>
      </c>
      <c r="AK645" s="265" t="str">
        <f>VLOOKUP(AJ645,MiscData!$AD$5:$AE$77,2,FALSE)</f>
        <v xml:space="preserve">LS </v>
      </c>
      <c r="AT645" s="265" t="s">
        <v>263</v>
      </c>
      <c r="AV645" s="265">
        <v>0</v>
      </c>
    </row>
    <row r="646" spans="1:48">
      <c r="A646" s="275">
        <f t="shared" si="294"/>
        <v>643</v>
      </c>
      <c r="B646" s="276" t="str">
        <f t="shared" si="296"/>
        <v>Sep 2014</v>
      </c>
      <c r="C646" s="277" t="str">
        <f t="shared" si="297"/>
        <v>RLS</v>
      </c>
      <c r="D646" s="277" t="str">
        <f t="shared" si="298"/>
        <v>LGUM_458</v>
      </c>
      <c r="E646" s="614">
        <f t="shared" si="301"/>
        <v>4</v>
      </c>
      <c r="F646" s="615">
        <v>0</v>
      </c>
      <c r="G646" s="614">
        <f t="shared" si="302"/>
        <v>0</v>
      </c>
      <c r="H646" s="615">
        <v>0</v>
      </c>
      <c r="I646" s="283">
        <f t="shared" si="303"/>
        <v>11.13</v>
      </c>
      <c r="J646" s="283">
        <f t="shared" si="304"/>
        <v>3.7700000000000014</v>
      </c>
      <c r="K646" s="285">
        <f t="shared" si="305"/>
        <v>44.52</v>
      </c>
      <c r="L646" s="286">
        <v>0</v>
      </c>
      <c r="M646" s="286">
        <v>0</v>
      </c>
      <c r="N646" s="285">
        <f t="shared" si="306"/>
        <v>44.52</v>
      </c>
      <c r="O646" s="616">
        <f t="shared" si="295"/>
        <v>0</v>
      </c>
      <c r="P646" s="289">
        <f t="shared" si="307"/>
        <v>0</v>
      </c>
      <c r="Q646" s="290">
        <f t="shared" si="308"/>
        <v>0</v>
      </c>
      <c r="R646" s="290">
        <f t="shared" si="309"/>
        <v>0</v>
      </c>
      <c r="S646" s="290">
        <f t="shared" si="310"/>
        <v>0</v>
      </c>
      <c r="T646" s="290">
        <f t="shared" si="311"/>
        <v>0</v>
      </c>
      <c r="U646" s="291">
        <f t="shared" si="312"/>
        <v>44.52</v>
      </c>
      <c r="V646" s="291">
        <f t="shared" si="316"/>
        <v>-44.52</v>
      </c>
      <c r="W646" s="265">
        <f t="shared" si="313"/>
        <v>0</v>
      </c>
      <c r="X646" s="291">
        <f t="shared" si="317"/>
        <v>-44.52</v>
      </c>
      <c r="Y646" s="170">
        <f t="shared" si="314"/>
        <v>15.08</v>
      </c>
      <c r="Z646" s="291">
        <f t="shared" si="315"/>
        <v>-15.08</v>
      </c>
      <c r="AC646" s="276">
        <f>IF(AI646=1,IF(AC645=MiscData!$F$1,EOMONTH(AC645,-11),EOMONTH(AC645,1)),AC645)</f>
        <v>41912</v>
      </c>
      <c r="AD646" s="275" t="str">
        <f t="shared" si="299"/>
        <v>20140101LGUM_458</v>
      </c>
      <c r="AE646" s="294" t="str">
        <f t="shared" si="300"/>
        <v>20140101RLS</v>
      </c>
      <c r="AF646" s="618" t="str">
        <f t="shared" si="318"/>
        <v>458</v>
      </c>
      <c r="AH646" s="265">
        <f>MiscData!$X$5</f>
        <v>20140101</v>
      </c>
      <c r="AI646" s="265">
        <f>IF(AI645+1&gt;MiscData!$AC$77,1,AI645+1)</f>
        <v>59</v>
      </c>
      <c r="AJ646" s="265" t="str">
        <f>VLOOKUP(AI646,MiscData!$AC$5:$AD$77,2,FALSE)</f>
        <v>LGUM_458</v>
      </c>
      <c r="AK646" s="265" t="str">
        <f>VLOOKUP(AJ646,MiscData!$AD$5:$AE$77,2,FALSE)</f>
        <v>RLS</v>
      </c>
      <c r="AT646" s="265" t="s">
        <v>264</v>
      </c>
      <c r="AV646" s="265">
        <v>0</v>
      </c>
    </row>
    <row r="647" spans="1:48">
      <c r="A647" s="275">
        <f t="shared" ref="A647:A710" si="319">A646+1</f>
        <v>644</v>
      </c>
      <c r="B647" s="276" t="str">
        <f t="shared" si="296"/>
        <v>Sep 2014</v>
      </c>
      <c r="C647" s="277" t="str">
        <f t="shared" si="297"/>
        <v xml:space="preserve">LS </v>
      </c>
      <c r="D647" s="277" t="str">
        <f t="shared" si="298"/>
        <v>LGUM_470</v>
      </c>
      <c r="E647" s="614">
        <f t="shared" si="301"/>
        <v>16</v>
      </c>
      <c r="F647" s="615">
        <v>0</v>
      </c>
      <c r="G647" s="614">
        <f t="shared" si="302"/>
        <v>0</v>
      </c>
      <c r="H647" s="615">
        <v>0</v>
      </c>
      <c r="I647" s="283">
        <f t="shared" si="303"/>
        <v>12.79</v>
      </c>
      <c r="J647" s="283">
        <f t="shared" si="304"/>
        <v>1.3699999999999992</v>
      </c>
      <c r="K647" s="285">
        <f t="shared" si="305"/>
        <v>204.64</v>
      </c>
      <c r="L647" s="286">
        <v>0</v>
      </c>
      <c r="M647" s="286">
        <v>0</v>
      </c>
      <c r="N647" s="285">
        <f t="shared" si="306"/>
        <v>204.64</v>
      </c>
      <c r="O647" s="616">
        <f t="shared" si="295"/>
        <v>0</v>
      </c>
      <c r="P647" s="289">
        <f t="shared" si="307"/>
        <v>0</v>
      </c>
      <c r="Q647" s="290">
        <f t="shared" si="308"/>
        <v>0</v>
      </c>
      <c r="R647" s="290">
        <f t="shared" si="309"/>
        <v>0</v>
      </c>
      <c r="S647" s="290">
        <f t="shared" si="310"/>
        <v>0</v>
      </c>
      <c r="T647" s="290">
        <f t="shared" si="311"/>
        <v>0</v>
      </c>
      <c r="U647" s="291">
        <f t="shared" si="312"/>
        <v>204.64</v>
      </c>
      <c r="V647" s="291">
        <f t="shared" si="316"/>
        <v>-204.64</v>
      </c>
      <c r="W647" s="265">
        <f t="shared" si="313"/>
        <v>0</v>
      </c>
      <c r="X647" s="291">
        <f t="shared" si="317"/>
        <v>-204.64</v>
      </c>
      <c r="Y647" s="170">
        <f t="shared" si="314"/>
        <v>21.92</v>
      </c>
      <c r="Z647" s="291">
        <f t="shared" si="315"/>
        <v>-21.92</v>
      </c>
      <c r="AC647" s="276">
        <f>IF(AI647=1,IF(AC646=MiscData!$F$1,EOMONTH(AC646,-11),EOMONTH(AC646,1)),AC646)</f>
        <v>41912</v>
      </c>
      <c r="AD647" s="275" t="str">
        <f t="shared" si="299"/>
        <v>20140101LGUM_470</v>
      </c>
      <c r="AE647" s="294" t="str">
        <f t="shared" si="300"/>
        <v xml:space="preserve">20140101LS </v>
      </c>
      <c r="AF647" s="618" t="str">
        <f t="shared" si="318"/>
        <v>470</v>
      </c>
      <c r="AH647" s="265">
        <f>MiscData!$X$5</f>
        <v>20140101</v>
      </c>
      <c r="AI647" s="265">
        <f>IF(AI646+1&gt;MiscData!$AC$77,1,AI646+1)</f>
        <v>60</v>
      </c>
      <c r="AJ647" s="265" t="str">
        <f>VLOOKUP(AI647,MiscData!$AC$5:$AD$77,2,FALSE)</f>
        <v>LGUM_470</v>
      </c>
      <c r="AK647" s="265" t="str">
        <f>VLOOKUP(AJ647,MiscData!$AD$5:$AE$77,2,FALSE)</f>
        <v xml:space="preserve">LS </v>
      </c>
      <c r="AT647" s="265" t="s">
        <v>265</v>
      </c>
      <c r="AV647" s="265">
        <v>0</v>
      </c>
    </row>
    <row r="648" spans="1:48">
      <c r="A648" s="275">
        <f t="shared" si="319"/>
        <v>645</v>
      </c>
      <c r="B648" s="276" t="str">
        <f t="shared" si="296"/>
        <v>Sep 2014</v>
      </c>
      <c r="C648" s="277" t="str">
        <f t="shared" si="297"/>
        <v>RLS</v>
      </c>
      <c r="D648" s="277" t="str">
        <f t="shared" si="298"/>
        <v>LGUM_471</v>
      </c>
      <c r="E648" s="614">
        <f t="shared" si="301"/>
        <v>2</v>
      </c>
      <c r="F648" s="615">
        <v>0</v>
      </c>
      <c r="G648" s="614">
        <f t="shared" si="302"/>
        <v>0</v>
      </c>
      <c r="H648" s="615">
        <v>0</v>
      </c>
      <c r="I648" s="283">
        <f t="shared" si="303"/>
        <v>15.07</v>
      </c>
      <c r="J648" s="283">
        <f t="shared" si="304"/>
        <v>1.3699999999999992</v>
      </c>
      <c r="K648" s="285">
        <f t="shared" si="305"/>
        <v>30.14</v>
      </c>
      <c r="L648" s="286">
        <v>0</v>
      </c>
      <c r="M648" s="286">
        <v>0</v>
      </c>
      <c r="N648" s="285">
        <f t="shared" si="306"/>
        <v>30.14</v>
      </c>
      <c r="O648" s="616">
        <f t="shared" si="295"/>
        <v>0</v>
      </c>
      <c r="P648" s="289">
        <f t="shared" si="307"/>
        <v>0</v>
      </c>
      <c r="Q648" s="290">
        <f t="shared" si="308"/>
        <v>0</v>
      </c>
      <c r="R648" s="290">
        <f t="shared" si="309"/>
        <v>0</v>
      </c>
      <c r="S648" s="290">
        <f t="shared" si="310"/>
        <v>0</v>
      </c>
      <c r="T648" s="290">
        <f t="shared" si="311"/>
        <v>0</v>
      </c>
      <c r="U648" s="291">
        <f t="shared" si="312"/>
        <v>30.14</v>
      </c>
      <c r="V648" s="291">
        <f t="shared" si="316"/>
        <v>-30.14</v>
      </c>
      <c r="W648" s="265">
        <f t="shared" si="313"/>
        <v>0</v>
      </c>
      <c r="X648" s="291">
        <f t="shared" si="317"/>
        <v>-30.14</v>
      </c>
      <c r="Y648" s="170">
        <f t="shared" si="314"/>
        <v>2.74</v>
      </c>
      <c r="Z648" s="291">
        <f t="shared" si="315"/>
        <v>-2.74</v>
      </c>
      <c r="AC648" s="276">
        <f>IF(AI648=1,IF(AC647=MiscData!$F$1,EOMONTH(AC647,-11),EOMONTH(AC647,1)),AC647)</f>
        <v>41912</v>
      </c>
      <c r="AD648" s="275" t="str">
        <f t="shared" si="299"/>
        <v>20140101LGUM_471</v>
      </c>
      <c r="AE648" s="294" t="str">
        <f t="shared" si="300"/>
        <v>20140101RLS</v>
      </c>
      <c r="AF648" s="618" t="str">
        <f t="shared" si="318"/>
        <v>471</v>
      </c>
      <c r="AH648" s="265">
        <f>MiscData!$X$5</f>
        <v>20140101</v>
      </c>
      <c r="AI648" s="265">
        <f>IF(AI647+1&gt;MiscData!$AC$77,1,AI647+1)</f>
        <v>61</v>
      </c>
      <c r="AJ648" s="265" t="str">
        <f>VLOOKUP(AI648,MiscData!$AC$5:$AD$77,2,FALSE)</f>
        <v>LGUM_471</v>
      </c>
      <c r="AK648" s="265" t="str">
        <f>VLOOKUP(AJ648,MiscData!$AD$5:$AE$77,2,FALSE)</f>
        <v>RLS</v>
      </c>
      <c r="AT648" s="265" t="s">
        <v>391</v>
      </c>
      <c r="AV648" s="265">
        <v>0</v>
      </c>
    </row>
    <row r="649" spans="1:48">
      <c r="A649" s="275">
        <f t="shared" si="319"/>
        <v>646</v>
      </c>
      <c r="B649" s="276" t="str">
        <f t="shared" si="296"/>
        <v>Sep 2014</v>
      </c>
      <c r="C649" s="277" t="str">
        <f t="shared" si="297"/>
        <v xml:space="preserve">LS </v>
      </c>
      <c r="D649" s="277" t="str">
        <f t="shared" si="298"/>
        <v>LGUM_473</v>
      </c>
      <c r="E649" s="614">
        <f t="shared" si="301"/>
        <v>252</v>
      </c>
      <c r="F649" s="615">
        <v>0</v>
      </c>
      <c r="G649" s="614">
        <f t="shared" si="302"/>
        <v>0</v>
      </c>
      <c r="H649" s="615">
        <v>0</v>
      </c>
      <c r="I649" s="283">
        <f t="shared" si="303"/>
        <v>18.68</v>
      </c>
      <c r="J649" s="283">
        <f t="shared" si="304"/>
        <v>3.1799999999999979</v>
      </c>
      <c r="K649" s="285">
        <f t="shared" si="305"/>
        <v>4707.3599999999997</v>
      </c>
      <c r="L649" s="286">
        <v>0</v>
      </c>
      <c r="M649" s="286">
        <v>0</v>
      </c>
      <c r="N649" s="285">
        <f t="shared" si="306"/>
        <v>4707.3599999999997</v>
      </c>
      <c r="O649" s="616">
        <f t="shared" si="295"/>
        <v>0</v>
      </c>
      <c r="P649" s="289">
        <f t="shared" si="307"/>
        <v>0</v>
      </c>
      <c r="Q649" s="290">
        <f t="shared" si="308"/>
        <v>0</v>
      </c>
      <c r="R649" s="290">
        <f t="shared" si="309"/>
        <v>0</v>
      </c>
      <c r="S649" s="290">
        <f t="shared" si="310"/>
        <v>0</v>
      </c>
      <c r="T649" s="290">
        <f t="shared" si="311"/>
        <v>0</v>
      </c>
      <c r="U649" s="291">
        <f t="shared" si="312"/>
        <v>4707.3599999999997</v>
      </c>
      <c r="V649" s="291">
        <f t="shared" si="316"/>
        <v>-4707.3599999999997</v>
      </c>
      <c r="W649" s="265">
        <f t="shared" si="313"/>
        <v>0</v>
      </c>
      <c r="X649" s="291">
        <f t="shared" si="317"/>
        <v>-4707.3599999999997</v>
      </c>
      <c r="Y649" s="170">
        <f t="shared" si="314"/>
        <v>801.36</v>
      </c>
      <c r="Z649" s="291">
        <f t="shared" si="315"/>
        <v>-801.36</v>
      </c>
      <c r="AC649" s="276">
        <f>IF(AI649=1,IF(AC648=MiscData!$F$1,EOMONTH(AC648,-11),EOMONTH(AC648,1)),AC648)</f>
        <v>41912</v>
      </c>
      <c r="AD649" s="275" t="str">
        <f t="shared" si="299"/>
        <v>20140101LGUM_473</v>
      </c>
      <c r="AE649" s="294" t="str">
        <f t="shared" si="300"/>
        <v xml:space="preserve">20140101LS </v>
      </c>
      <c r="AF649" s="618" t="str">
        <f t="shared" si="318"/>
        <v>473</v>
      </c>
      <c r="AH649" s="265">
        <f>MiscData!$X$5</f>
        <v>20140101</v>
      </c>
      <c r="AI649" s="265">
        <f>IF(AI648+1&gt;MiscData!$AC$77,1,AI648+1)</f>
        <v>62</v>
      </c>
      <c r="AJ649" s="265" t="str">
        <f>VLOOKUP(AI649,MiscData!$AC$5:$AD$77,2,FALSE)</f>
        <v>LGUM_473</v>
      </c>
      <c r="AK649" s="265" t="str">
        <f>VLOOKUP(AJ649,MiscData!$AD$5:$AE$77,2,FALSE)</f>
        <v xml:space="preserve">LS </v>
      </c>
      <c r="AT649" s="265" t="s">
        <v>267</v>
      </c>
      <c r="AV649" s="265">
        <v>0</v>
      </c>
    </row>
    <row r="650" spans="1:48">
      <c r="A650" s="275">
        <f t="shared" si="319"/>
        <v>647</v>
      </c>
      <c r="B650" s="276" t="str">
        <f t="shared" si="296"/>
        <v>Sep 2014</v>
      </c>
      <c r="C650" s="277" t="str">
        <f t="shared" si="297"/>
        <v>RLS</v>
      </c>
      <c r="D650" s="277" t="str">
        <f t="shared" si="298"/>
        <v>LGUM_474</v>
      </c>
      <c r="E650" s="614">
        <f t="shared" si="301"/>
        <v>51</v>
      </c>
      <c r="F650" s="615">
        <v>0</v>
      </c>
      <c r="G650" s="614">
        <f t="shared" si="302"/>
        <v>0</v>
      </c>
      <c r="H650" s="615">
        <v>0</v>
      </c>
      <c r="I650" s="283">
        <f t="shared" si="303"/>
        <v>20.970000000000002</v>
      </c>
      <c r="J650" s="283">
        <f t="shared" si="304"/>
        <v>3.1799999999999997</v>
      </c>
      <c r="K650" s="285">
        <f t="shared" si="305"/>
        <v>1069.47</v>
      </c>
      <c r="L650" s="286">
        <v>0</v>
      </c>
      <c r="M650" s="286">
        <v>0</v>
      </c>
      <c r="N650" s="285">
        <f t="shared" si="306"/>
        <v>1069.47</v>
      </c>
      <c r="O650" s="616">
        <f t="shared" si="295"/>
        <v>0</v>
      </c>
      <c r="P650" s="289">
        <f t="shared" si="307"/>
        <v>0</v>
      </c>
      <c r="Q650" s="290">
        <f t="shared" si="308"/>
        <v>0</v>
      </c>
      <c r="R650" s="290">
        <f t="shared" si="309"/>
        <v>0</v>
      </c>
      <c r="S650" s="290">
        <f t="shared" si="310"/>
        <v>0</v>
      </c>
      <c r="T650" s="290">
        <f t="shared" si="311"/>
        <v>0</v>
      </c>
      <c r="U650" s="291">
        <f t="shared" si="312"/>
        <v>1069.47</v>
      </c>
      <c r="V650" s="291">
        <f t="shared" si="316"/>
        <v>-1069.47</v>
      </c>
      <c r="W650" s="265">
        <f t="shared" si="313"/>
        <v>0</v>
      </c>
      <c r="X650" s="291">
        <f t="shared" si="317"/>
        <v>-1069.47</v>
      </c>
      <c r="Y650" s="170">
        <f t="shared" si="314"/>
        <v>162.18</v>
      </c>
      <c r="Z650" s="291">
        <f t="shared" si="315"/>
        <v>-162.18</v>
      </c>
      <c r="AC650" s="276">
        <f>IF(AI650=1,IF(AC649=MiscData!$F$1,EOMONTH(AC649,-11),EOMONTH(AC649,1)),AC649)</f>
        <v>41912</v>
      </c>
      <c r="AD650" s="275" t="str">
        <f t="shared" si="299"/>
        <v>20140101LGUM_474</v>
      </c>
      <c r="AE650" s="294" t="str">
        <f t="shared" si="300"/>
        <v>20140101RLS</v>
      </c>
      <c r="AF650" s="618" t="str">
        <f t="shared" si="318"/>
        <v>474</v>
      </c>
      <c r="AH650" s="265">
        <f>MiscData!$X$5</f>
        <v>20140101</v>
      </c>
      <c r="AI650" s="265">
        <f>IF(AI649+1&gt;MiscData!$AC$77,1,AI649+1)</f>
        <v>63</v>
      </c>
      <c r="AJ650" s="265" t="str">
        <f>VLOOKUP(AI650,MiscData!$AC$5:$AD$77,2,FALSE)</f>
        <v>LGUM_474</v>
      </c>
      <c r="AK650" s="265" t="str">
        <f>VLOOKUP(AJ650,MiscData!$AD$5:$AE$77,2,FALSE)</f>
        <v>RLS</v>
      </c>
      <c r="AT650" s="265" t="s">
        <v>392</v>
      </c>
      <c r="AV650" s="265">
        <v>0</v>
      </c>
    </row>
    <row r="651" spans="1:48">
      <c r="A651" s="275">
        <f t="shared" si="319"/>
        <v>648</v>
      </c>
      <c r="B651" s="276" t="str">
        <f t="shared" si="296"/>
        <v>Sep 2014</v>
      </c>
      <c r="C651" s="277" t="str">
        <f t="shared" si="297"/>
        <v>RLS</v>
      </c>
      <c r="D651" s="277" t="str">
        <f t="shared" si="298"/>
        <v>LGUM_475</v>
      </c>
      <c r="E651" s="614">
        <f t="shared" si="301"/>
        <v>2</v>
      </c>
      <c r="F651" s="615">
        <v>0</v>
      </c>
      <c r="G651" s="614">
        <f t="shared" si="302"/>
        <v>0</v>
      </c>
      <c r="H651" s="615">
        <v>0</v>
      </c>
      <c r="I651" s="283">
        <f t="shared" si="303"/>
        <v>28.42</v>
      </c>
      <c r="J651" s="283">
        <f t="shared" si="304"/>
        <v>3.1800000000000033</v>
      </c>
      <c r="K651" s="285">
        <f t="shared" si="305"/>
        <v>56.84</v>
      </c>
      <c r="L651" s="286">
        <v>0</v>
      </c>
      <c r="M651" s="286">
        <v>0</v>
      </c>
      <c r="N651" s="285">
        <f t="shared" si="306"/>
        <v>56.84</v>
      </c>
      <c r="O651" s="616">
        <f t="shared" si="295"/>
        <v>0</v>
      </c>
      <c r="P651" s="289">
        <f t="shared" si="307"/>
        <v>0</v>
      </c>
      <c r="Q651" s="290">
        <f t="shared" si="308"/>
        <v>0</v>
      </c>
      <c r="R651" s="290">
        <f t="shared" si="309"/>
        <v>0</v>
      </c>
      <c r="S651" s="290">
        <f t="shared" si="310"/>
        <v>0</v>
      </c>
      <c r="T651" s="290">
        <f t="shared" si="311"/>
        <v>0</v>
      </c>
      <c r="U651" s="291">
        <f t="shared" si="312"/>
        <v>56.84</v>
      </c>
      <c r="V651" s="291">
        <f t="shared" si="316"/>
        <v>-56.84</v>
      </c>
      <c r="W651" s="265">
        <f t="shared" si="313"/>
        <v>0</v>
      </c>
      <c r="X651" s="291">
        <f t="shared" si="317"/>
        <v>-56.84</v>
      </c>
      <c r="Y651" s="170">
        <f t="shared" si="314"/>
        <v>6.36</v>
      </c>
      <c r="Z651" s="291">
        <f t="shared" si="315"/>
        <v>-6.36</v>
      </c>
      <c r="AC651" s="276">
        <f>IF(AI651=1,IF(AC650=MiscData!$F$1,EOMONTH(AC650,-11),EOMONTH(AC650,1)),AC650)</f>
        <v>41912</v>
      </c>
      <c r="AD651" s="275" t="str">
        <f t="shared" si="299"/>
        <v>20140101LGUM_475</v>
      </c>
      <c r="AE651" s="294" t="str">
        <f t="shared" si="300"/>
        <v>20140101RLS</v>
      </c>
      <c r="AF651" s="618" t="str">
        <f t="shared" si="318"/>
        <v>475</v>
      </c>
      <c r="AH651" s="265">
        <f>MiscData!$X$5</f>
        <v>20140101</v>
      </c>
      <c r="AI651" s="265">
        <f>IF(AI650+1&gt;MiscData!$AC$77,1,AI650+1)</f>
        <v>64</v>
      </c>
      <c r="AJ651" s="265" t="str">
        <f>VLOOKUP(AI651,MiscData!$AC$5:$AD$77,2,FALSE)</f>
        <v>LGUM_475</v>
      </c>
      <c r="AK651" s="265" t="str">
        <f>VLOOKUP(AJ651,MiscData!$AD$5:$AE$77,2,FALSE)</f>
        <v>RLS</v>
      </c>
      <c r="AT651" s="265" t="s">
        <v>268</v>
      </c>
      <c r="AV651" s="265">
        <v>0</v>
      </c>
    </row>
    <row r="652" spans="1:48">
      <c r="A652" s="275">
        <f t="shared" si="319"/>
        <v>649</v>
      </c>
      <c r="B652" s="276" t="str">
        <f t="shared" si="296"/>
        <v>Sep 2014</v>
      </c>
      <c r="C652" s="277" t="str">
        <f t="shared" si="297"/>
        <v xml:space="preserve">LS </v>
      </c>
      <c r="D652" s="277" t="str">
        <f t="shared" si="298"/>
        <v>LGUM_476</v>
      </c>
      <c r="E652" s="614">
        <f t="shared" si="301"/>
        <v>308</v>
      </c>
      <c r="F652" s="615">
        <v>0</v>
      </c>
      <c r="G652" s="614">
        <f t="shared" si="302"/>
        <v>0</v>
      </c>
      <c r="H652" s="615">
        <v>0</v>
      </c>
      <c r="I652" s="283">
        <f t="shared" si="303"/>
        <v>39.6</v>
      </c>
      <c r="J652" s="283">
        <f t="shared" si="304"/>
        <v>9.8100000000000023</v>
      </c>
      <c r="K652" s="285">
        <f t="shared" si="305"/>
        <v>12196.8</v>
      </c>
      <c r="L652" s="286">
        <v>0</v>
      </c>
      <c r="M652" s="286">
        <v>0</v>
      </c>
      <c r="N652" s="285">
        <f t="shared" si="306"/>
        <v>12196.8</v>
      </c>
      <c r="O652" s="616">
        <f t="shared" si="295"/>
        <v>0</v>
      </c>
      <c r="P652" s="289">
        <f t="shared" si="307"/>
        <v>0</v>
      </c>
      <c r="Q652" s="290">
        <f t="shared" si="308"/>
        <v>0</v>
      </c>
      <c r="R652" s="290">
        <f t="shared" si="309"/>
        <v>0</v>
      </c>
      <c r="S652" s="290">
        <f t="shared" si="310"/>
        <v>0</v>
      </c>
      <c r="T652" s="290">
        <f t="shared" si="311"/>
        <v>0</v>
      </c>
      <c r="U652" s="291">
        <f t="shared" si="312"/>
        <v>12196.8</v>
      </c>
      <c r="V652" s="291">
        <f t="shared" si="316"/>
        <v>-12196.8</v>
      </c>
      <c r="W652" s="265">
        <f t="shared" si="313"/>
        <v>0</v>
      </c>
      <c r="X652" s="291">
        <f t="shared" si="317"/>
        <v>-12196.8</v>
      </c>
      <c r="Y652" s="170">
        <f t="shared" si="314"/>
        <v>3021.48</v>
      </c>
      <c r="Z652" s="291">
        <f t="shared" si="315"/>
        <v>-3021.48</v>
      </c>
      <c r="AC652" s="276">
        <f>IF(AI652=1,IF(AC651=MiscData!$F$1,EOMONTH(AC651,-11),EOMONTH(AC651,1)),AC651)</f>
        <v>41912</v>
      </c>
      <c r="AD652" s="275" t="str">
        <f t="shared" si="299"/>
        <v>20140101LGUM_476</v>
      </c>
      <c r="AE652" s="294" t="str">
        <f t="shared" si="300"/>
        <v xml:space="preserve">20140101LS </v>
      </c>
      <c r="AF652" s="618" t="str">
        <f t="shared" si="318"/>
        <v>476</v>
      </c>
      <c r="AH652" s="265">
        <f>MiscData!$X$5</f>
        <v>20140101</v>
      </c>
      <c r="AI652" s="265">
        <f>IF(AI651+1&gt;MiscData!$AC$77,1,AI651+1)</f>
        <v>65</v>
      </c>
      <c r="AJ652" s="265" t="str">
        <f>VLOOKUP(AI652,MiscData!$AC$5:$AD$77,2,FALSE)</f>
        <v>LGUM_476</v>
      </c>
      <c r="AK652" s="265" t="str">
        <f>VLOOKUP(AJ652,MiscData!$AD$5:$AE$77,2,FALSE)</f>
        <v xml:space="preserve">LS </v>
      </c>
      <c r="AT652" s="265" t="s">
        <v>269</v>
      </c>
      <c r="AV652" s="265">
        <v>0</v>
      </c>
    </row>
    <row r="653" spans="1:48">
      <c r="A653" s="275">
        <f t="shared" si="319"/>
        <v>650</v>
      </c>
      <c r="B653" s="276" t="str">
        <f t="shared" si="296"/>
        <v>Sep 2014</v>
      </c>
      <c r="C653" s="277" t="str">
        <f t="shared" si="297"/>
        <v>RLS</v>
      </c>
      <c r="D653" s="277" t="str">
        <f t="shared" si="298"/>
        <v>LGUM_477</v>
      </c>
      <c r="E653" s="614">
        <f t="shared" si="301"/>
        <v>57</v>
      </c>
      <c r="F653" s="615">
        <v>0</v>
      </c>
      <c r="G653" s="614">
        <f t="shared" si="302"/>
        <v>0</v>
      </c>
      <c r="H653" s="615">
        <v>0</v>
      </c>
      <c r="I653" s="283">
        <f t="shared" si="303"/>
        <v>42.78</v>
      </c>
      <c r="J653" s="283">
        <f t="shared" si="304"/>
        <v>9.8100000000000023</v>
      </c>
      <c r="K653" s="285">
        <f t="shared" si="305"/>
        <v>2438.46</v>
      </c>
      <c r="L653" s="286">
        <v>0</v>
      </c>
      <c r="M653" s="286">
        <v>0</v>
      </c>
      <c r="N653" s="285">
        <f t="shared" si="306"/>
        <v>2438.46</v>
      </c>
      <c r="O653" s="616">
        <f t="shared" si="295"/>
        <v>0</v>
      </c>
      <c r="P653" s="289">
        <f t="shared" si="307"/>
        <v>0</v>
      </c>
      <c r="Q653" s="290">
        <f t="shared" si="308"/>
        <v>0</v>
      </c>
      <c r="R653" s="290">
        <f t="shared" si="309"/>
        <v>0</v>
      </c>
      <c r="S653" s="290">
        <f t="shared" si="310"/>
        <v>0</v>
      </c>
      <c r="T653" s="290">
        <f t="shared" si="311"/>
        <v>0</v>
      </c>
      <c r="U653" s="291">
        <f t="shared" si="312"/>
        <v>2438.46</v>
      </c>
      <c r="V653" s="291">
        <f t="shared" si="316"/>
        <v>-2438.46</v>
      </c>
      <c r="W653" s="265">
        <f t="shared" si="313"/>
        <v>0</v>
      </c>
      <c r="X653" s="291">
        <f t="shared" si="317"/>
        <v>-2438.46</v>
      </c>
      <c r="Y653" s="170">
        <f t="shared" si="314"/>
        <v>559.16999999999996</v>
      </c>
      <c r="Z653" s="291">
        <f t="shared" si="315"/>
        <v>-559.16999999999996</v>
      </c>
      <c r="AC653" s="276">
        <f>IF(AI653=1,IF(AC652=MiscData!$F$1,EOMONTH(AC652,-11),EOMONTH(AC652,1)),AC652)</f>
        <v>41912</v>
      </c>
      <c r="AD653" s="275" t="str">
        <f t="shared" si="299"/>
        <v>20140101LGUM_477</v>
      </c>
      <c r="AE653" s="294" t="str">
        <f t="shared" si="300"/>
        <v>20140101RLS</v>
      </c>
      <c r="AF653" s="618" t="str">
        <f t="shared" si="318"/>
        <v>477</v>
      </c>
      <c r="AH653" s="265">
        <f>MiscData!$X$5</f>
        <v>20140101</v>
      </c>
      <c r="AI653" s="265">
        <f>IF(AI652+1&gt;MiscData!$AC$77,1,AI652+1)</f>
        <v>66</v>
      </c>
      <c r="AJ653" s="265" t="str">
        <f>VLOOKUP(AI653,MiscData!$AC$5:$AD$77,2,FALSE)</f>
        <v>LGUM_477</v>
      </c>
      <c r="AK653" s="265" t="str">
        <f>VLOOKUP(AJ653,MiscData!$AD$5:$AE$77,2,FALSE)</f>
        <v>RLS</v>
      </c>
      <c r="AT653" s="265" t="s">
        <v>393</v>
      </c>
      <c r="AV653" s="265">
        <v>0</v>
      </c>
    </row>
    <row r="654" spans="1:48">
      <c r="A654" s="275">
        <f t="shared" si="319"/>
        <v>651</v>
      </c>
      <c r="B654" s="276" t="str">
        <f t="shared" si="296"/>
        <v>Sep 2014</v>
      </c>
      <c r="C654" s="277" t="str">
        <f t="shared" si="297"/>
        <v xml:space="preserve">LS </v>
      </c>
      <c r="D654" s="277" t="str">
        <f t="shared" si="298"/>
        <v>LGUM_479</v>
      </c>
      <c r="E654" s="614">
        <f t="shared" si="301"/>
        <v>0</v>
      </c>
      <c r="F654" s="615">
        <v>0</v>
      </c>
      <c r="G654" s="614">
        <f t="shared" si="302"/>
        <v>0</v>
      </c>
      <c r="H654" s="615">
        <v>0</v>
      </c>
      <c r="I654" s="283">
        <f t="shared" si="303"/>
        <v>14.06</v>
      </c>
      <c r="J654" s="283">
        <f t="shared" si="304"/>
        <v>1.370000000000001</v>
      </c>
      <c r="K654" s="285">
        <f t="shared" si="305"/>
        <v>0</v>
      </c>
      <c r="L654" s="286">
        <v>0</v>
      </c>
      <c r="M654" s="286">
        <v>0</v>
      </c>
      <c r="N654" s="285">
        <f t="shared" si="306"/>
        <v>0</v>
      </c>
      <c r="O654" s="616">
        <f t="shared" si="295"/>
        <v>0</v>
      </c>
      <c r="P654" s="289">
        <f t="shared" si="307"/>
        <v>1</v>
      </c>
      <c r="Q654" s="290">
        <f t="shared" si="308"/>
        <v>0</v>
      </c>
      <c r="R654" s="290">
        <f t="shared" si="309"/>
        <v>0</v>
      </c>
      <c r="S654" s="290">
        <f t="shared" si="310"/>
        <v>0</v>
      </c>
      <c r="T654" s="290">
        <f t="shared" si="311"/>
        <v>0</v>
      </c>
      <c r="U654" s="291">
        <f t="shared" si="312"/>
        <v>0</v>
      </c>
      <c r="V654" s="291">
        <f t="shared" si="316"/>
        <v>0</v>
      </c>
      <c r="W654" s="265">
        <f t="shared" si="313"/>
        <v>0</v>
      </c>
      <c r="X654" s="291">
        <f t="shared" si="317"/>
        <v>0</v>
      </c>
      <c r="Y654" s="170">
        <f t="shared" si="314"/>
        <v>0</v>
      </c>
      <c r="Z654" s="291">
        <f t="shared" si="315"/>
        <v>0</v>
      </c>
      <c r="AC654" s="276">
        <f>IF(AI654=1,IF(AC653=MiscData!$F$1,EOMONTH(AC653,-11),EOMONTH(AC653,1)),AC653)</f>
        <v>41912</v>
      </c>
      <c r="AD654" s="275" t="str">
        <f t="shared" si="299"/>
        <v>20140101LGUM_479</v>
      </c>
      <c r="AE654" s="294" t="str">
        <f t="shared" si="300"/>
        <v xml:space="preserve">20140101LS </v>
      </c>
      <c r="AF654" s="618" t="str">
        <f t="shared" si="318"/>
        <v>479</v>
      </c>
      <c r="AH654" s="265">
        <f>MiscData!$X$5</f>
        <v>20140101</v>
      </c>
      <c r="AI654" s="265">
        <f>IF(AI653+1&gt;MiscData!$AC$77,1,AI653+1)</f>
        <v>67</v>
      </c>
      <c r="AJ654" s="265" t="str">
        <f>VLOOKUP(AI654,MiscData!$AC$5:$AD$77,2,FALSE)</f>
        <v>LGUM_479</v>
      </c>
      <c r="AK654" s="265" t="str">
        <f>VLOOKUP(AJ654,MiscData!$AD$5:$AE$77,2,FALSE)</f>
        <v xml:space="preserve">LS </v>
      </c>
      <c r="AT654" s="265" t="s">
        <v>394</v>
      </c>
      <c r="AV654" s="265">
        <v>0</v>
      </c>
    </row>
    <row r="655" spans="1:48">
      <c r="A655" s="275">
        <f t="shared" si="319"/>
        <v>652</v>
      </c>
      <c r="B655" s="276" t="str">
        <f t="shared" si="296"/>
        <v>Sep 2014</v>
      </c>
      <c r="C655" s="277" t="str">
        <f t="shared" si="297"/>
        <v xml:space="preserve">LS </v>
      </c>
      <c r="D655" s="277" t="str">
        <f t="shared" si="298"/>
        <v>LGUM_480</v>
      </c>
      <c r="E655" s="614">
        <f t="shared" si="301"/>
        <v>16</v>
      </c>
      <c r="F655" s="615">
        <v>0</v>
      </c>
      <c r="G655" s="614">
        <f t="shared" si="302"/>
        <v>0</v>
      </c>
      <c r="H655" s="615">
        <v>0</v>
      </c>
      <c r="I655" s="283">
        <f t="shared" si="303"/>
        <v>23.83</v>
      </c>
      <c r="J655" s="283">
        <f t="shared" si="304"/>
        <v>1.370000000000001</v>
      </c>
      <c r="K655" s="285">
        <f t="shared" si="305"/>
        <v>381.28</v>
      </c>
      <c r="L655" s="286">
        <v>0</v>
      </c>
      <c r="M655" s="286">
        <v>0</v>
      </c>
      <c r="N655" s="285">
        <f t="shared" si="306"/>
        <v>381.28</v>
      </c>
      <c r="O655" s="616">
        <f t="shared" si="295"/>
        <v>0</v>
      </c>
      <c r="P655" s="289">
        <f t="shared" si="307"/>
        <v>0</v>
      </c>
      <c r="Q655" s="290">
        <f t="shared" si="308"/>
        <v>0</v>
      </c>
      <c r="R655" s="290">
        <f t="shared" si="309"/>
        <v>0</v>
      </c>
      <c r="S655" s="290">
        <f t="shared" si="310"/>
        <v>0</v>
      </c>
      <c r="T655" s="290">
        <f t="shared" si="311"/>
        <v>0</v>
      </c>
      <c r="U655" s="291">
        <f t="shared" si="312"/>
        <v>381.28</v>
      </c>
      <c r="V655" s="291">
        <f t="shared" si="316"/>
        <v>-381.28</v>
      </c>
      <c r="W655" s="265">
        <f t="shared" si="313"/>
        <v>0</v>
      </c>
      <c r="X655" s="291">
        <f t="shared" si="317"/>
        <v>-381.28</v>
      </c>
      <c r="Y655" s="170">
        <f t="shared" si="314"/>
        <v>21.92</v>
      </c>
      <c r="Z655" s="291">
        <f t="shared" si="315"/>
        <v>-21.92</v>
      </c>
      <c r="AC655" s="276">
        <f>IF(AI655=1,IF(AC654=MiscData!$F$1,EOMONTH(AC654,-11),EOMONTH(AC654,1)),AC654)</f>
        <v>41912</v>
      </c>
      <c r="AD655" s="275" t="str">
        <f t="shared" si="299"/>
        <v>20140101LGUM_480</v>
      </c>
      <c r="AE655" s="294" t="str">
        <f t="shared" si="300"/>
        <v xml:space="preserve">20140101LS </v>
      </c>
      <c r="AF655" s="618" t="str">
        <f t="shared" si="318"/>
        <v>480</v>
      </c>
      <c r="AH655" s="265">
        <f>MiscData!$X$5</f>
        <v>20140101</v>
      </c>
      <c r="AI655" s="265">
        <f>IF(AI654+1&gt;MiscData!$AC$77,1,AI654+1)</f>
        <v>68</v>
      </c>
      <c r="AJ655" s="265" t="str">
        <f>VLOOKUP(AI655,MiscData!$AC$5:$AD$77,2,FALSE)</f>
        <v>LGUM_480</v>
      </c>
      <c r="AK655" s="265" t="str">
        <f>VLOOKUP(AJ655,MiscData!$AD$5:$AE$77,2,FALSE)</f>
        <v xml:space="preserve">LS </v>
      </c>
      <c r="AT655" s="265" t="s">
        <v>398</v>
      </c>
      <c r="AV655" s="265">
        <v>0</v>
      </c>
    </row>
    <row r="656" spans="1:48">
      <c r="A656" s="275">
        <f t="shared" si="319"/>
        <v>653</v>
      </c>
      <c r="B656" s="276" t="str">
        <f t="shared" si="296"/>
        <v>Sep 2014</v>
      </c>
      <c r="C656" s="277" t="str">
        <f t="shared" si="297"/>
        <v xml:space="preserve">LS </v>
      </c>
      <c r="D656" s="277" t="str">
        <f t="shared" si="298"/>
        <v>LGUM_481</v>
      </c>
      <c r="E656" s="614">
        <f t="shared" si="301"/>
        <v>4</v>
      </c>
      <c r="F656" s="615">
        <v>0</v>
      </c>
      <c r="G656" s="614">
        <f t="shared" si="302"/>
        <v>0</v>
      </c>
      <c r="H656" s="615">
        <v>0</v>
      </c>
      <c r="I656" s="283">
        <f t="shared" si="303"/>
        <v>20.46</v>
      </c>
      <c r="J656" s="283">
        <f t="shared" si="304"/>
        <v>3.1800000000000033</v>
      </c>
      <c r="K656" s="285">
        <f t="shared" si="305"/>
        <v>81.84</v>
      </c>
      <c r="L656" s="286">
        <v>0</v>
      </c>
      <c r="M656" s="286">
        <v>0</v>
      </c>
      <c r="N656" s="285">
        <f t="shared" si="306"/>
        <v>81.84</v>
      </c>
      <c r="O656" s="616">
        <f t="shared" si="295"/>
        <v>0</v>
      </c>
      <c r="P656" s="289">
        <f t="shared" si="307"/>
        <v>0</v>
      </c>
      <c r="Q656" s="290">
        <f t="shared" si="308"/>
        <v>0</v>
      </c>
      <c r="R656" s="290">
        <f t="shared" si="309"/>
        <v>0</v>
      </c>
      <c r="S656" s="290">
        <f t="shared" si="310"/>
        <v>0</v>
      </c>
      <c r="T656" s="290">
        <f t="shared" si="311"/>
        <v>0</v>
      </c>
      <c r="U656" s="291">
        <f t="shared" si="312"/>
        <v>81.84</v>
      </c>
      <c r="V656" s="291">
        <f t="shared" si="316"/>
        <v>-81.84</v>
      </c>
      <c r="W656" s="265">
        <f t="shared" si="313"/>
        <v>0</v>
      </c>
      <c r="X656" s="291">
        <f t="shared" si="317"/>
        <v>-81.84</v>
      </c>
      <c r="Y656" s="170">
        <f t="shared" si="314"/>
        <v>12.72</v>
      </c>
      <c r="Z656" s="291">
        <f t="shared" si="315"/>
        <v>-12.72</v>
      </c>
      <c r="AC656" s="276">
        <f>IF(AI656=1,IF(AC655=MiscData!$F$1,EOMONTH(AC655,-11),EOMONTH(AC655,1)),AC655)</f>
        <v>41912</v>
      </c>
      <c r="AD656" s="275" t="str">
        <f t="shared" si="299"/>
        <v>20140101LGUM_481</v>
      </c>
      <c r="AE656" s="294" t="str">
        <f t="shared" si="300"/>
        <v xml:space="preserve">20140101LS </v>
      </c>
      <c r="AF656" s="618" t="str">
        <f t="shared" si="318"/>
        <v>481</v>
      </c>
      <c r="AH656" s="265">
        <f>MiscData!$X$5</f>
        <v>20140101</v>
      </c>
      <c r="AI656" s="265">
        <f>IF(AI655+1&gt;MiscData!$AC$77,1,AI655+1)</f>
        <v>69</v>
      </c>
      <c r="AJ656" s="265" t="str">
        <f>VLOOKUP(AI656,MiscData!$AC$5:$AD$77,2,FALSE)</f>
        <v>LGUM_481</v>
      </c>
      <c r="AK656" s="265" t="str">
        <f>VLOOKUP(AJ656,MiscData!$AD$5:$AE$77,2,FALSE)</f>
        <v xml:space="preserve">LS </v>
      </c>
      <c r="AT656" s="265" t="s">
        <v>395</v>
      </c>
      <c r="AV656" s="265">
        <v>0</v>
      </c>
    </row>
    <row r="657" spans="1:48">
      <c r="A657" s="275">
        <f t="shared" si="319"/>
        <v>654</v>
      </c>
      <c r="B657" s="276" t="str">
        <f t="shared" si="296"/>
        <v>Sep 2014</v>
      </c>
      <c r="C657" s="277" t="str">
        <f t="shared" si="297"/>
        <v xml:space="preserve">LS </v>
      </c>
      <c r="D657" s="277" t="str">
        <f t="shared" si="298"/>
        <v>LGUM_482</v>
      </c>
      <c r="E657" s="614">
        <f t="shared" si="301"/>
        <v>38</v>
      </c>
      <c r="F657" s="615">
        <v>0</v>
      </c>
      <c r="G657" s="614">
        <f t="shared" si="302"/>
        <v>0</v>
      </c>
      <c r="H657" s="615">
        <v>0</v>
      </c>
      <c r="I657" s="283">
        <f t="shared" si="303"/>
        <v>30.21</v>
      </c>
      <c r="J657" s="283">
        <f t="shared" si="304"/>
        <v>3.1800000000000033</v>
      </c>
      <c r="K657" s="285">
        <f t="shared" si="305"/>
        <v>1147.98</v>
      </c>
      <c r="L657" s="286">
        <v>0</v>
      </c>
      <c r="M657" s="286">
        <v>0</v>
      </c>
      <c r="N657" s="285">
        <f t="shared" si="306"/>
        <v>1147.98</v>
      </c>
      <c r="O657" s="616">
        <f t="shared" si="295"/>
        <v>0</v>
      </c>
      <c r="P657" s="289">
        <f t="shared" si="307"/>
        <v>0</v>
      </c>
      <c r="Q657" s="290">
        <f t="shared" si="308"/>
        <v>0</v>
      </c>
      <c r="R657" s="290">
        <f t="shared" si="309"/>
        <v>0</v>
      </c>
      <c r="S657" s="290">
        <f t="shared" si="310"/>
        <v>0</v>
      </c>
      <c r="T657" s="290">
        <f t="shared" si="311"/>
        <v>0</v>
      </c>
      <c r="U657" s="291">
        <f t="shared" si="312"/>
        <v>1147.98</v>
      </c>
      <c r="V657" s="291">
        <f t="shared" si="316"/>
        <v>-1147.98</v>
      </c>
      <c r="W657" s="265">
        <f t="shared" si="313"/>
        <v>0</v>
      </c>
      <c r="X657" s="291">
        <f t="shared" si="317"/>
        <v>-1147.98</v>
      </c>
      <c r="Y657" s="170">
        <f t="shared" si="314"/>
        <v>120.84</v>
      </c>
      <c r="Z657" s="291">
        <f t="shared" si="315"/>
        <v>-120.84</v>
      </c>
      <c r="AC657" s="276">
        <f>IF(AI657=1,IF(AC656=MiscData!$F$1,EOMONTH(AC656,-11),EOMONTH(AC656,1)),AC656)</f>
        <v>41912</v>
      </c>
      <c r="AD657" s="275" t="str">
        <f t="shared" si="299"/>
        <v>20140101LGUM_482</v>
      </c>
      <c r="AE657" s="294" t="str">
        <f t="shared" si="300"/>
        <v xml:space="preserve">20140101LS </v>
      </c>
      <c r="AF657" s="618" t="str">
        <f t="shared" si="318"/>
        <v>482</v>
      </c>
      <c r="AH657" s="265">
        <f>MiscData!$X$5</f>
        <v>20140101</v>
      </c>
      <c r="AI657" s="265">
        <f>IF(AI656+1&gt;MiscData!$AC$77,1,AI656+1)</f>
        <v>70</v>
      </c>
      <c r="AJ657" s="265" t="str">
        <f>VLOOKUP(AI657,MiscData!$AC$5:$AD$77,2,FALSE)</f>
        <v>LGUM_482</v>
      </c>
      <c r="AK657" s="265" t="str">
        <f>VLOOKUP(AJ657,MiscData!$AD$5:$AE$77,2,FALSE)</f>
        <v xml:space="preserve">LS </v>
      </c>
      <c r="AT657" s="265" t="s">
        <v>396</v>
      </c>
      <c r="AV657" s="265">
        <v>0</v>
      </c>
    </row>
    <row r="658" spans="1:48">
      <c r="A658" s="275">
        <f t="shared" si="319"/>
        <v>655</v>
      </c>
      <c r="B658" s="276" t="str">
        <f t="shared" si="296"/>
        <v>Sep 2014</v>
      </c>
      <c r="C658" s="277" t="str">
        <f t="shared" si="297"/>
        <v xml:space="preserve">LS </v>
      </c>
      <c r="D658" s="277" t="str">
        <f t="shared" si="298"/>
        <v>LGUM_483</v>
      </c>
      <c r="E658" s="614">
        <f t="shared" si="301"/>
        <v>2</v>
      </c>
      <c r="F658" s="615">
        <v>0</v>
      </c>
      <c r="G658" s="614">
        <f t="shared" si="302"/>
        <v>0</v>
      </c>
      <c r="H658" s="615">
        <v>0</v>
      </c>
      <c r="I658" s="283">
        <f t="shared" si="303"/>
        <v>42.56</v>
      </c>
      <c r="J658" s="283">
        <f t="shared" si="304"/>
        <v>9.8100000000000023</v>
      </c>
      <c r="K658" s="285">
        <f t="shared" si="305"/>
        <v>85.12</v>
      </c>
      <c r="L658" s="286">
        <v>0</v>
      </c>
      <c r="M658" s="286">
        <v>0</v>
      </c>
      <c r="N658" s="285">
        <f t="shared" si="306"/>
        <v>85.12</v>
      </c>
      <c r="O658" s="616">
        <f t="shared" si="295"/>
        <v>0</v>
      </c>
      <c r="P658" s="289">
        <f t="shared" si="307"/>
        <v>0</v>
      </c>
      <c r="Q658" s="290">
        <f t="shared" si="308"/>
        <v>0</v>
      </c>
      <c r="R658" s="290">
        <f t="shared" si="309"/>
        <v>0</v>
      </c>
      <c r="S658" s="290">
        <f t="shared" si="310"/>
        <v>0</v>
      </c>
      <c r="T658" s="290">
        <f t="shared" si="311"/>
        <v>0</v>
      </c>
      <c r="U658" s="291">
        <f t="shared" si="312"/>
        <v>85.12</v>
      </c>
      <c r="V658" s="291">
        <f t="shared" si="316"/>
        <v>-85.12</v>
      </c>
      <c r="W658" s="265">
        <f t="shared" si="313"/>
        <v>0</v>
      </c>
      <c r="X658" s="291">
        <f t="shared" si="317"/>
        <v>-85.12</v>
      </c>
      <c r="Y658" s="170">
        <f t="shared" si="314"/>
        <v>19.62</v>
      </c>
      <c r="Z658" s="291">
        <f t="shared" si="315"/>
        <v>-19.62</v>
      </c>
      <c r="AC658" s="276">
        <f>IF(AI658=1,IF(AC657=MiscData!$F$1,EOMONTH(AC657,-11),EOMONTH(AC657,1)),AC657)</f>
        <v>41912</v>
      </c>
      <c r="AD658" s="275" t="str">
        <f t="shared" si="299"/>
        <v>20140101LGUM_483</v>
      </c>
      <c r="AE658" s="294" t="str">
        <f t="shared" si="300"/>
        <v xml:space="preserve">20140101LS </v>
      </c>
      <c r="AF658" s="618" t="str">
        <f t="shared" si="318"/>
        <v>483</v>
      </c>
      <c r="AH658" s="265">
        <f>MiscData!$X$5</f>
        <v>20140101</v>
      </c>
      <c r="AI658" s="265">
        <f>IF(AI657+1&gt;MiscData!$AC$77,1,AI657+1)</f>
        <v>71</v>
      </c>
      <c r="AJ658" s="265" t="str">
        <f>VLOOKUP(AI658,MiscData!$AC$5:$AD$77,2,FALSE)</f>
        <v>LGUM_483</v>
      </c>
      <c r="AK658" s="265" t="str">
        <f>VLOOKUP(AJ658,MiscData!$AD$5:$AE$77,2,FALSE)</f>
        <v xml:space="preserve">LS </v>
      </c>
      <c r="AT658" s="265" t="s">
        <v>397</v>
      </c>
      <c r="AV658" s="265">
        <v>0</v>
      </c>
    </row>
    <row r="659" spans="1:48">
      <c r="A659" s="275">
        <f t="shared" si="319"/>
        <v>656</v>
      </c>
      <c r="B659" s="276" t="str">
        <f t="shared" si="296"/>
        <v>Sep 2014</v>
      </c>
      <c r="C659" s="277" t="str">
        <f t="shared" si="297"/>
        <v xml:space="preserve">LS </v>
      </c>
      <c r="D659" s="277" t="str">
        <f t="shared" si="298"/>
        <v>LGUM_484</v>
      </c>
      <c r="E659" s="614">
        <f t="shared" si="301"/>
        <v>13</v>
      </c>
      <c r="F659" s="615">
        <v>0</v>
      </c>
      <c r="G659" s="614">
        <f t="shared" si="302"/>
        <v>0</v>
      </c>
      <c r="H659" s="615">
        <v>0</v>
      </c>
      <c r="I659" s="283">
        <f t="shared" si="303"/>
        <v>52.31</v>
      </c>
      <c r="J659" s="283">
        <f t="shared" si="304"/>
        <v>9.8100000000000023</v>
      </c>
      <c r="K659" s="285">
        <f t="shared" si="305"/>
        <v>680.03</v>
      </c>
      <c r="L659" s="286">
        <v>0</v>
      </c>
      <c r="M659" s="286">
        <v>0</v>
      </c>
      <c r="N659" s="285">
        <f t="shared" si="306"/>
        <v>680.03</v>
      </c>
      <c r="O659" s="616">
        <f t="shared" si="295"/>
        <v>0</v>
      </c>
      <c r="P659" s="289">
        <f t="shared" si="307"/>
        <v>0</v>
      </c>
      <c r="Q659" s="290">
        <f t="shared" si="308"/>
        <v>0</v>
      </c>
      <c r="R659" s="290">
        <f t="shared" si="309"/>
        <v>0</v>
      </c>
      <c r="S659" s="290">
        <f t="shared" si="310"/>
        <v>0</v>
      </c>
      <c r="T659" s="290">
        <f t="shared" si="311"/>
        <v>0</v>
      </c>
      <c r="U659" s="291">
        <f t="shared" si="312"/>
        <v>680.03</v>
      </c>
      <c r="V659" s="291">
        <f t="shared" si="316"/>
        <v>-680.03</v>
      </c>
      <c r="W659" s="265">
        <f t="shared" si="313"/>
        <v>0</v>
      </c>
      <c r="X659" s="291">
        <f t="shared" si="317"/>
        <v>-680.03</v>
      </c>
      <c r="Y659" s="170">
        <f t="shared" si="314"/>
        <v>127.53</v>
      </c>
      <c r="Z659" s="291">
        <f t="shared" si="315"/>
        <v>-127.53</v>
      </c>
      <c r="AC659" s="276">
        <f>IF(AI659=1,IF(AC658=MiscData!$F$1,EOMONTH(AC658,-11),EOMONTH(AC658,1)),AC658)</f>
        <v>41912</v>
      </c>
      <c r="AD659" s="275" t="str">
        <f t="shared" si="299"/>
        <v>20140101LGUM_484</v>
      </c>
      <c r="AE659" s="294" t="str">
        <f t="shared" si="300"/>
        <v xml:space="preserve">20140101LS </v>
      </c>
      <c r="AF659" s="618" t="str">
        <f t="shared" si="318"/>
        <v>484</v>
      </c>
      <c r="AH659" s="265">
        <f>MiscData!$X$5</f>
        <v>20140101</v>
      </c>
      <c r="AI659" s="265">
        <f>IF(AI658+1&gt;MiscData!$AC$77,1,AI658+1)</f>
        <v>72</v>
      </c>
      <c r="AJ659" s="265" t="str">
        <f>VLOOKUP(AI659,MiscData!$AC$5:$AD$77,2,FALSE)</f>
        <v>LGUM_484</v>
      </c>
      <c r="AK659" s="265" t="str">
        <f>VLOOKUP(AJ659,MiscData!$AD$5:$AE$77,2,FALSE)</f>
        <v xml:space="preserve">LS </v>
      </c>
      <c r="AT659" s="265" t="s">
        <v>270</v>
      </c>
      <c r="AV659" s="265">
        <v>0</v>
      </c>
    </row>
    <row r="660" spans="1:48">
      <c r="A660" s="275">
        <f t="shared" si="319"/>
        <v>657</v>
      </c>
      <c r="B660" s="276" t="str">
        <f t="shared" si="296"/>
        <v>Sep 2014</v>
      </c>
      <c r="C660" s="277" t="str">
        <f t="shared" si="297"/>
        <v>ODL</v>
      </c>
      <c r="D660" s="277" t="str">
        <f t="shared" si="298"/>
        <v>ODL</v>
      </c>
      <c r="E660" s="614">
        <f t="shared" si="301"/>
        <v>0</v>
      </c>
      <c r="F660" s="615">
        <v>0</v>
      </c>
      <c r="G660" s="614">
        <f t="shared" si="302"/>
        <v>8028025</v>
      </c>
      <c r="H660" s="615">
        <v>0</v>
      </c>
      <c r="I660" s="283">
        <f t="shared" si="303"/>
        <v>0</v>
      </c>
      <c r="J660" s="283">
        <f t="shared" si="304"/>
        <v>0</v>
      </c>
      <c r="K660" s="285">
        <f t="shared" si="305"/>
        <v>0</v>
      </c>
      <c r="L660" s="286">
        <v>0</v>
      </c>
      <c r="M660" s="286">
        <v>0</v>
      </c>
      <c r="N660" s="285">
        <f t="shared" si="306"/>
        <v>0</v>
      </c>
      <c r="O660" s="616">
        <f t="shared" si="295"/>
        <v>1480791</v>
      </c>
      <c r="P660" s="289">
        <f t="shared" si="307"/>
        <v>0</v>
      </c>
      <c r="Q660" s="290">
        <f t="shared" si="308"/>
        <v>-40969</v>
      </c>
      <c r="R660" s="290">
        <f t="shared" si="309"/>
        <v>27269</v>
      </c>
      <c r="S660" s="290">
        <f t="shared" si="310"/>
        <v>0</v>
      </c>
      <c r="T660" s="290">
        <f t="shared" si="311"/>
        <v>1467091</v>
      </c>
      <c r="U660" s="291">
        <f t="shared" si="312"/>
        <v>-13700</v>
      </c>
      <c r="V660" s="291">
        <f t="shared" si="316"/>
        <v>1480791</v>
      </c>
      <c r="W660" s="265">
        <f t="shared" si="313"/>
        <v>0</v>
      </c>
      <c r="X660" s="291">
        <f t="shared" si="317"/>
        <v>1480791</v>
      </c>
      <c r="Y660" s="170">
        <f t="shared" si="314"/>
        <v>0</v>
      </c>
      <c r="Z660" s="291">
        <f t="shared" si="315"/>
        <v>1480791</v>
      </c>
      <c r="AC660" s="276">
        <f>IF(AI660=1,IF(AC659=MiscData!$F$1,EOMONTH(AC659,-11),EOMONTH(AC659,1)),AC659)</f>
        <v>41912</v>
      </c>
      <c r="AD660" s="275" t="str">
        <f t="shared" si="299"/>
        <v>20140101ODL</v>
      </c>
      <c r="AE660" s="294" t="str">
        <f t="shared" si="300"/>
        <v>20140101ODL</v>
      </c>
      <c r="AF660" s="618" t="str">
        <f t="shared" si="318"/>
        <v>ODL</v>
      </c>
      <c r="AH660" s="265">
        <f>MiscData!$X$5</f>
        <v>20140101</v>
      </c>
      <c r="AI660" s="265">
        <f>IF(AI659+1&gt;MiscData!$AC$77,1,AI659+1)</f>
        <v>73</v>
      </c>
      <c r="AJ660" s="265" t="str">
        <f>VLOOKUP(AI660,MiscData!$AC$5:$AD$77,2,FALSE)</f>
        <v>ODL</v>
      </c>
      <c r="AK660" s="265" t="str">
        <f>VLOOKUP(AJ660,MiscData!$AD$5:$AE$77,2,FALSE)</f>
        <v>ODL</v>
      </c>
      <c r="AT660" s="265" t="s">
        <v>271</v>
      </c>
      <c r="AV660" s="265">
        <v>-5.89</v>
      </c>
    </row>
    <row r="661" spans="1:48">
      <c r="A661" s="275">
        <f t="shared" si="319"/>
        <v>658</v>
      </c>
      <c r="B661" s="276" t="str">
        <f t="shared" si="296"/>
        <v>Oct 2014</v>
      </c>
      <c r="C661" s="277" t="str">
        <f t="shared" si="297"/>
        <v>RLS</v>
      </c>
      <c r="D661" s="277" t="str">
        <f t="shared" si="298"/>
        <v>LGUM_201</v>
      </c>
      <c r="E661" s="614">
        <f t="shared" si="301"/>
        <v>74</v>
      </c>
      <c r="F661" s="615">
        <v>0</v>
      </c>
      <c r="G661" s="614">
        <f t="shared" si="302"/>
        <v>0</v>
      </c>
      <c r="H661" s="615">
        <v>0</v>
      </c>
      <c r="I661" s="283">
        <f t="shared" si="303"/>
        <v>8.14</v>
      </c>
      <c r="J661" s="283">
        <f t="shared" si="304"/>
        <v>1.0899999999999999</v>
      </c>
      <c r="K661" s="285">
        <f t="shared" si="305"/>
        <v>602.36</v>
      </c>
      <c r="L661" s="286">
        <v>0</v>
      </c>
      <c r="M661" s="286">
        <v>0</v>
      </c>
      <c r="N661" s="285">
        <f t="shared" si="306"/>
        <v>602.36</v>
      </c>
      <c r="O661" s="616">
        <f t="shared" si="295"/>
        <v>0</v>
      </c>
      <c r="P661" s="289">
        <f t="shared" si="307"/>
        <v>0</v>
      </c>
      <c r="Q661" s="290">
        <f t="shared" si="308"/>
        <v>0</v>
      </c>
      <c r="R661" s="290">
        <f t="shared" si="309"/>
        <v>0</v>
      </c>
      <c r="S661" s="290">
        <f t="shared" si="310"/>
        <v>0</v>
      </c>
      <c r="T661" s="290">
        <f t="shared" si="311"/>
        <v>0</v>
      </c>
      <c r="U661" s="291">
        <f t="shared" si="312"/>
        <v>602.36</v>
      </c>
      <c r="V661" s="291">
        <f t="shared" si="316"/>
        <v>-602.36</v>
      </c>
      <c r="W661" s="265">
        <f t="shared" si="313"/>
        <v>0</v>
      </c>
      <c r="X661" s="291">
        <f t="shared" si="317"/>
        <v>-602.36</v>
      </c>
      <c r="Y661" s="170">
        <f t="shared" si="314"/>
        <v>80.66</v>
      </c>
      <c r="Z661" s="291">
        <f t="shared" si="315"/>
        <v>-80.66</v>
      </c>
      <c r="AC661" s="276">
        <f>IF(AI661=1,IF(AC660=MiscData!$F$1,EOMONTH(AC660,-11),EOMONTH(AC660,1)),AC660)</f>
        <v>41943</v>
      </c>
      <c r="AD661" s="275" t="str">
        <f t="shared" si="299"/>
        <v>20140101LGUM_201</v>
      </c>
      <c r="AE661" s="294" t="str">
        <f t="shared" si="300"/>
        <v>20140101RLS</v>
      </c>
      <c r="AF661" s="618" t="str">
        <f t="shared" si="318"/>
        <v>201</v>
      </c>
      <c r="AH661" s="265">
        <f>MiscData!$X$5</f>
        <v>20140101</v>
      </c>
      <c r="AI661" s="265">
        <f>IF(AI660+1&gt;MiscData!$AC$77,1,AI660+1)</f>
        <v>1</v>
      </c>
      <c r="AJ661" s="265" t="str">
        <f>VLOOKUP(AI661,MiscData!$AC$5:$AD$77,2,FALSE)</f>
        <v>LGUM_201</v>
      </c>
      <c r="AK661" s="265" t="str">
        <f>VLOOKUP(AJ661,MiscData!$AD$5:$AE$77,2,FALSE)</f>
        <v>RLS</v>
      </c>
      <c r="AT661" s="265" t="s">
        <v>272</v>
      </c>
      <c r="AV661" s="265">
        <v>0</v>
      </c>
    </row>
    <row r="662" spans="1:48">
      <c r="A662" s="275">
        <f t="shared" si="319"/>
        <v>659</v>
      </c>
      <c r="B662" s="276" t="str">
        <f t="shared" si="296"/>
        <v>Oct 2014</v>
      </c>
      <c r="C662" s="277" t="str">
        <f t="shared" si="297"/>
        <v>RLS</v>
      </c>
      <c r="D662" s="277" t="str">
        <f t="shared" si="298"/>
        <v>LGUM_203</v>
      </c>
      <c r="E662" s="614">
        <f t="shared" si="301"/>
        <v>3692</v>
      </c>
      <c r="F662" s="615">
        <v>0</v>
      </c>
      <c r="G662" s="614">
        <f t="shared" si="302"/>
        <v>0</v>
      </c>
      <c r="H662" s="615">
        <v>0</v>
      </c>
      <c r="I662" s="283">
        <f t="shared" si="303"/>
        <v>10.959999999999999</v>
      </c>
      <c r="J662" s="283">
        <f t="shared" si="304"/>
        <v>2.7099999999999991</v>
      </c>
      <c r="K662" s="285">
        <f t="shared" si="305"/>
        <v>40464.32</v>
      </c>
      <c r="L662" s="286">
        <v>0</v>
      </c>
      <c r="M662" s="286">
        <v>0</v>
      </c>
      <c r="N662" s="285">
        <f t="shared" si="306"/>
        <v>40464.32</v>
      </c>
      <c r="O662" s="616">
        <f t="shared" si="295"/>
        <v>0</v>
      </c>
      <c r="P662" s="289">
        <f t="shared" si="307"/>
        <v>0</v>
      </c>
      <c r="Q662" s="290">
        <f t="shared" si="308"/>
        <v>0</v>
      </c>
      <c r="R662" s="290">
        <f t="shared" si="309"/>
        <v>0</v>
      </c>
      <c r="S662" s="290">
        <f t="shared" si="310"/>
        <v>0</v>
      </c>
      <c r="T662" s="290">
        <f t="shared" si="311"/>
        <v>0</v>
      </c>
      <c r="U662" s="291">
        <f t="shared" si="312"/>
        <v>40464.32</v>
      </c>
      <c r="V662" s="291">
        <f t="shared" si="316"/>
        <v>-40464.32</v>
      </c>
      <c r="W662" s="265">
        <f t="shared" si="313"/>
        <v>0</v>
      </c>
      <c r="X662" s="291">
        <f t="shared" si="317"/>
        <v>-40464.32</v>
      </c>
      <c r="Y662" s="170">
        <f t="shared" si="314"/>
        <v>10005.32</v>
      </c>
      <c r="Z662" s="291">
        <f t="shared" si="315"/>
        <v>-10005.32</v>
      </c>
      <c r="AC662" s="276">
        <f>IF(AI662=1,IF(AC661=MiscData!$F$1,EOMONTH(AC661,-11),EOMONTH(AC661,1)),AC661)</f>
        <v>41943</v>
      </c>
      <c r="AD662" s="275" t="str">
        <f t="shared" si="299"/>
        <v>20140101LGUM_203</v>
      </c>
      <c r="AE662" s="294" t="str">
        <f t="shared" si="300"/>
        <v>20140101RLS</v>
      </c>
      <c r="AF662" s="618" t="str">
        <f t="shared" si="318"/>
        <v>203</v>
      </c>
      <c r="AH662" s="265">
        <f>MiscData!$X$5</f>
        <v>20140101</v>
      </c>
      <c r="AI662" s="265">
        <f>IF(AI661+1&gt;MiscData!$AC$77,1,AI661+1)</f>
        <v>2</v>
      </c>
      <c r="AJ662" s="265" t="str">
        <f>VLOOKUP(AI662,MiscData!$AC$5:$AD$77,2,FALSE)</f>
        <v>LGUM_203</v>
      </c>
      <c r="AK662" s="265" t="str">
        <f>VLOOKUP(AJ662,MiscData!$AD$5:$AE$77,2,FALSE)</f>
        <v>RLS</v>
      </c>
      <c r="AT662" s="265" t="s">
        <v>273</v>
      </c>
      <c r="AV662" s="265">
        <v>-6.02</v>
      </c>
    </row>
    <row r="663" spans="1:48">
      <c r="A663" s="275">
        <f t="shared" si="319"/>
        <v>660</v>
      </c>
      <c r="B663" s="276" t="str">
        <f t="shared" si="296"/>
        <v>Oct 2014</v>
      </c>
      <c r="C663" s="277" t="str">
        <f t="shared" si="297"/>
        <v>RLS</v>
      </c>
      <c r="D663" s="277" t="str">
        <f t="shared" si="298"/>
        <v>LGUM_204</v>
      </c>
      <c r="E663" s="614">
        <f t="shared" si="301"/>
        <v>3739</v>
      </c>
      <c r="F663" s="615">
        <v>0</v>
      </c>
      <c r="G663" s="614">
        <f t="shared" si="302"/>
        <v>0</v>
      </c>
      <c r="H663" s="615">
        <v>0</v>
      </c>
      <c r="I663" s="283">
        <f t="shared" si="303"/>
        <v>13.510000000000002</v>
      </c>
      <c r="J663" s="283">
        <f t="shared" si="304"/>
        <v>4.2000000000000011</v>
      </c>
      <c r="K663" s="285">
        <f t="shared" si="305"/>
        <v>50513.89</v>
      </c>
      <c r="L663" s="286">
        <v>0</v>
      </c>
      <c r="M663" s="286">
        <v>0</v>
      </c>
      <c r="N663" s="285">
        <f t="shared" si="306"/>
        <v>50513.89</v>
      </c>
      <c r="O663" s="616">
        <f t="shared" si="295"/>
        <v>0</v>
      </c>
      <c r="P663" s="289">
        <f t="shared" si="307"/>
        <v>0</v>
      </c>
      <c r="Q663" s="290">
        <f t="shared" si="308"/>
        <v>0</v>
      </c>
      <c r="R663" s="290">
        <f t="shared" si="309"/>
        <v>0</v>
      </c>
      <c r="S663" s="290">
        <f t="shared" si="310"/>
        <v>0</v>
      </c>
      <c r="T663" s="290">
        <f t="shared" si="311"/>
        <v>0</v>
      </c>
      <c r="U663" s="291">
        <f t="shared" si="312"/>
        <v>50513.89</v>
      </c>
      <c r="V663" s="291">
        <f t="shared" si="316"/>
        <v>-50513.89</v>
      </c>
      <c r="W663" s="265">
        <f t="shared" si="313"/>
        <v>0</v>
      </c>
      <c r="X663" s="291">
        <f t="shared" si="317"/>
        <v>-50513.89</v>
      </c>
      <c r="Y663" s="170">
        <f t="shared" si="314"/>
        <v>15703.8</v>
      </c>
      <c r="Z663" s="291">
        <f t="shared" si="315"/>
        <v>-15703.8</v>
      </c>
      <c r="AC663" s="276">
        <f>IF(AI663=1,IF(AC662=MiscData!$F$1,EOMONTH(AC662,-11),EOMONTH(AC662,1)),AC662)</f>
        <v>41943</v>
      </c>
      <c r="AD663" s="275" t="str">
        <f t="shared" si="299"/>
        <v>20140101LGUM_204</v>
      </c>
      <c r="AE663" s="294" t="str">
        <f t="shared" si="300"/>
        <v>20140101RLS</v>
      </c>
      <c r="AF663" s="618" t="str">
        <f t="shared" si="318"/>
        <v>204</v>
      </c>
      <c r="AH663" s="265">
        <f>MiscData!$X$5</f>
        <v>20140101</v>
      </c>
      <c r="AI663" s="265">
        <f>IF(AI662+1&gt;MiscData!$AC$77,1,AI662+1)</f>
        <v>3</v>
      </c>
      <c r="AJ663" s="265" t="str">
        <f>VLOOKUP(AI663,MiscData!$AC$5:$AD$77,2,FALSE)</f>
        <v>LGUM_204</v>
      </c>
      <c r="AK663" s="265" t="str">
        <f>VLOOKUP(AJ663,MiscData!$AD$5:$AE$77,2,FALSE)</f>
        <v>RLS</v>
      </c>
      <c r="AT663" s="265" t="s">
        <v>275</v>
      </c>
      <c r="AV663" s="265">
        <v>0</v>
      </c>
    </row>
    <row r="664" spans="1:48">
      <c r="A664" s="275">
        <f t="shared" si="319"/>
        <v>661</v>
      </c>
      <c r="B664" s="276" t="str">
        <f t="shared" si="296"/>
        <v>Oct 2014</v>
      </c>
      <c r="C664" s="277" t="str">
        <f t="shared" si="297"/>
        <v>RLS</v>
      </c>
      <c r="D664" s="277" t="str">
        <f t="shared" si="298"/>
        <v>LGUM_206</v>
      </c>
      <c r="E664" s="614">
        <f t="shared" si="301"/>
        <v>93</v>
      </c>
      <c r="F664" s="615">
        <v>0</v>
      </c>
      <c r="G664" s="614">
        <f t="shared" si="302"/>
        <v>0</v>
      </c>
      <c r="H664" s="615">
        <v>0</v>
      </c>
      <c r="I664" s="283">
        <f t="shared" si="303"/>
        <v>12.450000000000001</v>
      </c>
      <c r="J664" s="283">
        <f t="shared" si="304"/>
        <v>1.0899999999999999</v>
      </c>
      <c r="K664" s="285">
        <f t="shared" si="305"/>
        <v>1157.8499999999999</v>
      </c>
      <c r="L664" s="286">
        <v>0</v>
      </c>
      <c r="M664" s="286">
        <v>0</v>
      </c>
      <c r="N664" s="285">
        <f t="shared" si="306"/>
        <v>1157.8499999999999</v>
      </c>
      <c r="O664" s="616">
        <f t="shared" si="295"/>
        <v>0</v>
      </c>
      <c r="P664" s="289">
        <f t="shared" si="307"/>
        <v>0</v>
      </c>
      <c r="Q664" s="290">
        <f t="shared" si="308"/>
        <v>0</v>
      </c>
      <c r="R664" s="290">
        <f t="shared" si="309"/>
        <v>0</v>
      </c>
      <c r="S664" s="290">
        <f t="shared" si="310"/>
        <v>0</v>
      </c>
      <c r="T664" s="290">
        <f t="shared" si="311"/>
        <v>0</v>
      </c>
      <c r="U664" s="291">
        <f t="shared" si="312"/>
        <v>1157.8499999999999</v>
      </c>
      <c r="V664" s="291">
        <f t="shared" si="316"/>
        <v>-1157.8499999999999</v>
      </c>
      <c r="W664" s="265">
        <f t="shared" si="313"/>
        <v>0</v>
      </c>
      <c r="X664" s="291">
        <f t="shared" si="317"/>
        <v>-1157.8499999999999</v>
      </c>
      <c r="Y664" s="170">
        <f t="shared" si="314"/>
        <v>101.37</v>
      </c>
      <c r="Z664" s="291">
        <f t="shared" si="315"/>
        <v>-101.37</v>
      </c>
      <c r="AC664" s="276">
        <f>IF(AI664=1,IF(AC663=MiscData!$F$1,EOMONTH(AC663,-11),EOMONTH(AC663,1)),AC663)</f>
        <v>41943</v>
      </c>
      <c r="AD664" s="275" t="str">
        <f t="shared" si="299"/>
        <v>20140101LGUM_206</v>
      </c>
      <c r="AE664" s="294" t="str">
        <f t="shared" si="300"/>
        <v>20140101RLS</v>
      </c>
      <c r="AF664" s="618" t="str">
        <f t="shared" si="318"/>
        <v>206</v>
      </c>
      <c r="AH664" s="265">
        <f>MiscData!$X$5</f>
        <v>20140101</v>
      </c>
      <c r="AI664" s="265">
        <f>IF(AI663+1&gt;MiscData!$AC$77,1,AI663+1)</f>
        <v>4</v>
      </c>
      <c r="AJ664" s="265" t="str">
        <f>VLOOKUP(AI664,MiscData!$AC$5:$AD$77,2,FALSE)</f>
        <v>LGUM_206</v>
      </c>
      <c r="AK664" s="265" t="str">
        <f>VLOOKUP(AJ664,MiscData!$AD$5:$AE$77,2,FALSE)</f>
        <v>RLS</v>
      </c>
      <c r="AT664" s="265" t="s">
        <v>276</v>
      </c>
      <c r="AV664" s="265">
        <v>0</v>
      </c>
    </row>
    <row r="665" spans="1:48">
      <c r="A665" s="275">
        <f t="shared" si="319"/>
        <v>662</v>
      </c>
      <c r="B665" s="276" t="str">
        <f t="shared" si="296"/>
        <v>Oct 2014</v>
      </c>
      <c r="C665" s="277" t="str">
        <f t="shared" si="297"/>
        <v>RLS</v>
      </c>
      <c r="D665" s="277" t="str">
        <f t="shared" si="298"/>
        <v>LGUM_207</v>
      </c>
      <c r="E665" s="614">
        <f t="shared" si="301"/>
        <v>786</v>
      </c>
      <c r="F665" s="615">
        <v>0</v>
      </c>
      <c r="G665" s="614">
        <f t="shared" si="302"/>
        <v>0</v>
      </c>
      <c r="H665" s="615">
        <v>0</v>
      </c>
      <c r="I665" s="283">
        <f t="shared" si="303"/>
        <v>15.54</v>
      </c>
      <c r="J665" s="283">
        <f t="shared" si="304"/>
        <v>4.2000000000000011</v>
      </c>
      <c r="K665" s="285">
        <f t="shared" si="305"/>
        <v>12214.44</v>
      </c>
      <c r="L665" s="286">
        <v>0</v>
      </c>
      <c r="M665" s="286">
        <v>0</v>
      </c>
      <c r="N665" s="285">
        <f t="shared" si="306"/>
        <v>12214.44</v>
      </c>
      <c r="O665" s="616">
        <f t="shared" si="295"/>
        <v>0</v>
      </c>
      <c r="P665" s="289">
        <f t="shared" si="307"/>
        <v>0</v>
      </c>
      <c r="Q665" s="290">
        <f t="shared" si="308"/>
        <v>0</v>
      </c>
      <c r="R665" s="290">
        <f t="shared" si="309"/>
        <v>0</v>
      </c>
      <c r="S665" s="290">
        <f t="shared" si="310"/>
        <v>0</v>
      </c>
      <c r="T665" s="290">
        <f t="shared" si="311"/>
        <v>0</v>
      </c>
      <c r="U665" s="291">
        <f t="shared" si="312"/>
        <v>12214.44</v>
      </c>
      <c r="V665" s="291">
        <f t="shared" si="316"/>
        <v>-12214.44</v>
      </c>
      <c r="W665" s="265">
        <f t="shared" si="313"/>
        <v>0</v>
      </c>
      <c r="X665" s="291">
        <f t="shared" si="317"/>
        <v>-12214.44</v>
      </c>
      <c r="Y665" s="170">
        <f t="shared" si="314"/>
        <v>3301.2</v>
      </c>
      <c r="Z665" s="291">
        <f t="shared" si="315"/>
        <v>-3301.2</v>
      </c>
      <c r="AC665" s="276">
        <f>IF(AI665=1,IF(AC664=MiscData!$F$1,EOMONTH(AC664,-11),EOMONTH(AC664,1)),AC664)</f>
        <v>41943</v>
      </c>
      <c r="AD665" s="275" t="str">
        <f t="shared" si="299"/>
        <v>20140101LGUM_207</v>
      </c>
      <c r="AE665" s="294" t="str">
        <f t="shared" si="300"/>
        <v>20140101RLS</v>
      </c>
      <c r="AF665" s="618" t="str">
        <f t="shared" si="318"/>
        <v>207</v>
      </c>
      <c r="AH665" s="265">
        <f>MiscData!$X$5</f>
        <v>20140101</v>
      </c>
      <c r="AI665" s="265">
        <f>IF(AI664+1&gt;MiscData!$AC$77,1,AI664+1)</f>
        <v>5</v>
      </c>
      <c r="AJ665" s="265" t="str">
        <f>VLOOKUP(AI665,MiscData!$AC$5:$AD$77,2,FALSE)</f>
        <v>LGUM_207</v>
      </c>
      <c r="AK665" s="265" t="str">
        <f>VLOOKUP(AJ665,MiscData!$AD$5:$AE$77,2,FALSE)</f>
        <v>RLS</v>
      </c>
      <c r="AT665" s="265" t="s">
        <v>277</v>
      </c>
      <c r="AV665" s="265">
        <v>0</v>
      </c>
    </row>
    <row r="666" spans="1:48">
      <c r="A666" s="275">
        <f t="shared" si="319"/>
        <v>663</v>
      </c>
      <c r="B666" s="276" t="str">
        <f t="shared" si="296"/>
        <v>Oct 2014</v>
      </c>
      <c r="C666" s="277" t="str">
        <f t="shared" si="297"/>
        <v>RLS</v>
      </c>
      <c r="D666" s="277" t="str">
        <f t="shared" si="298"/>
        <v>LGUM_208</v>
      </c>
      <c r="E666" s="614">
        <f t="shared" si="301"/>
        <v>1414</v>
      </c>
      <c r="F666" s="615">
        <v>0</v>
      </c>
      <c r="G666" s="614">
        <f t="shared" si="302"/>
        <v>0</v>
      </c>
      <c r="H666" s="615">
        <v>0</v>
      </c>
      <c r="I666" s="283">
        <f t="shared" si="303"/>
        <v>14.24</v>
      </c>
      <c r="J666" s="283">
        <f t="shared" si="304"/>
        <v>1.9100000000000001</v>
      </c>
      <c r="K666" s="285">
        <f t="shared" si="305"/>
        <v>20135.36</v>
      </c>
      <c r="L666" s="286">
        <v>0</v>
      </c>
      <c r="M666" s="286">
        <v>0</v>
      </c>
      <c r="N666" s="285">
        <f t="shared" si="306"/>
        <v>20135.36</v>
      </c>
      <c r="O666" s="616">
        <f t="shared" si="295"/>
        <v>0</v>
      </c>
      <c r="P666" s="289">
        <f t="shared" si="307"/>
        <v>0</v>
      </c>
      <c r="Q666" s="290">
        <f t="shared" si="308"/>
        <v>0</v>
      </c>
      <c r="R666" s="290">
        <f t="shared" si="309"/>
        <v>0</v>
      </c>
      <c r="S666" s="290">
        <f t="shared" si="310"/>
        <v>0</v>
      </c>
      <c r="T666" s="290">
        <f t="shared" si="311"/>
        <v>0</v>
      </c>
      <c r="U666" s="291">
        <f t="shared" si="312"/>
        <v>20135.36</v>
      </c>
      <c r="V666" s="291">
        <f t="shared" si="316"/>
        <v>-20135.36</v>
      </c>
      <c r="W666" s="265">
        <f t="shared" si="313"/>
        <v>0</v>
      </c>
      <c r="X666" s="291">
        <f t="shared" si="317"/>
        <v>-20135.36</v>
      </c>
      <c r="Y666" s="170">
        <f t="shared" si="314"/>
        <v>2700.74</v>
      </c>
      <c r="Z666" s="291">
        <f t="shared" si="315"/>
        <v>-2700.74</v>
      </c>
      <c r="AC666" s="276">
        <f>IF(AI666=1,IF(AC665=MiscData!$F$1,EOMONTH(AC665,-11),EOMONTH(AC665,1)),AC665)</f>
        <v>41943</v>
      </c>
      <c r="AD666" s="275" t="str">
        <f t="shared" si="299"/>
        <v>20140101LGUM_208</v>
      </c>
      <c r="AE666" s="294" t="str">
        <f t="shared" si="300"/>
        <v>20140101RLS</v>
      </c>
      <c r="AF666" s="618" t="str">
        <f t="shared" si="318"/>
        <v>208</v>
      </c>
      <c r="AH666" s="265">
        <f>MiscData!$X$5</f>
        <v>20140101</v>
      </c>
      <c r="AI666" s="265">
        <f>IF(AI665+1&gt;MiscData!$AC$77,1,AI665+1)</f>
        <v>6</v>
      </c>
      <c r="AJ666" s="265" t="str">
        <f>VLOOKUP(AI666,MiscData!$AC$5:$AD$77,2,FALSE)</f>
        <v>LGUM_208</v>
      </c>
      <c r="AK666" s="265" t="str">
        <f>VLOOKUP(AJ666,MiscData!$AD$5:$AE$77,2,FALSE)</f>
        <v>RLS</v>
      </c>
      <c r="AT666" s="265" t="s">
        <v>278</v>
      </c>
      <c r="AV666" s="265">
        <v>-9.8699999999999992</v>
      </c>
    </row>
    <row r="667" spans="1:48">
      <c r="A667" s="275">
        <f t="shared" si="319"/>
        <v>664</v>
      </c>
      <c r="B667" s="276" t="str">
        <f t="shared" si="296"/>
        <v>Oct 2014</v>
      </c>
      <c r="C667" s="277" t="str">
        <f t="shared" si="297"/>
        <v>RLS</v>
      </c>
      <c r="D667" s="277" t="str">
        <f t="shared" si="298"/>
        <v>LGUM_209</v>
      </c>
      <c r="E667" s="614">
        <f t="shared" si="301"/>
        <v>44</v>
      </c>
      <c r="F667" s="615">
        <v>0</v>
      </c>
      <c r="G667" s="614">
        <f t="shared" si="302"/>
        <v>0</v>
      </c>
      <c r="H667" s="615">
        <v>0</v>
      </c>
      <c r="I667" s="283">
        <f t="shared" si="303"/>
        <v>27.69</v>
      </c>
      <c r="J667" s="283">
        <f t="shared" si="304"/>
        <v>10.170000000000002</v>
      </c>
      <c r="K667" s="285">
        <f t="shared" si="305"/>
        <v>1218.3599999999999</v>
      </c>
      <c r="L667" s="286">
        <v>0</v>
      </c>
      <c r="M667" s="286">
        <v>0</v>
      </c>
      <c r="N667" s="285">
        <f t="shared" si="306"/>
        <v>1218.3599999999999</v>
      </c>
      <c r="O667" s="616">
        <f t="shared" si="295"/>
        <v>0</v>
      </c>
      <c r="P667" s="289">
        <f t="shared" si="307"/>
        <v>0</v>
      </c>
      <c r="Q667" s="290">
        <f t="shared" si="308"/>
        <v>0</v>
      </c>
      <c r="R667" s="290">
        <f t="shared" si="309"/>
        <v>0</v>
      </c>
      <c r="S667" s="290">
        <f t="shared" si="310"/>
        <v>0</v>
      </c>
      <c r="T667" s="290">
        <f t="shared" si="311"/>
        <v>0</v>
      </c>
      <c r="U667" s="291">
        <f t="shared" si="312"/>
        <v>1218.3599999999999</v>
      </c>
      <c r="V667" s="291">
        <f t="shared" si="316"/>
        <v>-1218.3599999999999</v>
      </c>
      <c r="W667" s="265">
        <f t="shared" si="313"/>
        <v>0</v>
      </c>
      <c r="X667" s="291">
        <f t="shared" si="317"/>
        <v>-1218.3599999999999</v>
      </c>
      <c r="Y667" s="170">
        <f t="shared" si="314"/>
        <v>447.48</v>
      </c>
      <c r="Z667" s="291">
        <f t="shared" si="315"/>
        <v>-447.48</v>
      </c>
      <c r="AC667" s="276">
        <f>IF(AI667=1,IF(AC666=MiscData!$F$1,EOMONTH(AC666,-11),EOMONTH(AC666,1)),AC666)</f>
        <v>41943</v>
      </c>
      <c r="AD667" s="275" t="str">
        <f t="shared" si="299"/>
        <v>20140101LGUM_209</v>
      </c>
      <c r="AE667" s="294" t="str">
        <f t="shared" si="300"/>
        <v>20140101RLS</v>
      </c>
      <c r="AF667" s="618" t="str">
        <f t="shared" si="318"/>
        <v>209</v>
      </c>
      <c r="AH667" s="265">
        <f>MiscData!$X$5</f>
        <v>20140101</v>
      </c>
      <c r="AI667" s="265">
        <f>IF(AI666+1&gt;MiscData!$AC$77,1,AI666+1)</f>
        <v>7</v>
      </c>
      <c r="AJ667" s="265" t="str">
        <f>VLOOKUP(AI667,MiscData!$AC$5:$AD$77,2,FALSE)</f>
        <v>LGUM_209</v>
      </c>
      <c r="AK667" s="265" t="str">
        <f>VLOOKUP(AJ667,MiscData!$AD$5:$AE$77,2,FALSE)</f>
        <v>RLS</v>
      </c>
      <c r="AT667" s="265" t="s">
        <v>279</v>
      </c>
      <c r="AV667" s="265">
        <v>0</v>
      </c>
    </row>
    <row r="668" spans="1:48">
      <c r="A668" s="275">
        <f t="shared" si="319"/>
        <v>665</v>
      </c>
      <c r="B668" s="276" t="str">
        <f t="shared" si="296"/>
        <v>Oct 2014</v>
      </c>
      <c r="C668" s="277" t="str">
        <f t="shared" si="297"/>
        <v>RLS</v>
      </c>
      <c r="D668" s="277" t="str">
        <f t="shared" si="298"/>
        <v>LGUM_210</v>
      </c>
      <c r="E668" s="614">
        <f t="shared" si="301"/>
        <v>352</v>
      </c>
      <c r="F668" s="615">
        <v>0</v>
      </c>
      <c r="G668" s="614">
        <f t="shared" si="302"/>
        <v>0</v>
      </c>
      <c r="H668" s="615">
        <v>0</v>
      </c>
      <c r="I668" s="283">
        <f t="shared" si="303"/>
        <v>28.89</v>
      </c>
      <c r="J668" s="283">
        <f t="shared" si="304"/>
        <v>10.170000000000002</v>
      </c>
      <c r="K668" s="285">
        <f t="shared" si="305"/>
        <v>10169.280000000001</v>
      </c>
      <c r="L668" s="286">
        <v>0</v>
      </c>
      <c r="M668" s="286">
        <v>0</v>
      </c>
      <c r="N668" s="285">
        <f t="shared" si="306"/>
        <v>10169.280000000001</v>
      </c>
      <c r="O668" s="616">
        <f t="shared" si="295"/>
        <v>0</v>
      </c>
      <c r="P668" s="289">
        <f t="shared" si="307"/>
        <v>0</v>
      </c>
      <c r="Q668" s="290">
        <f t="shared" si="308"/>
        <v>0</v>
      </c>
      <c r="R668" s="290">
        <f t="shared" si="309"/>
        <v>0</v>
      </c>
      <c r="S668" s="290">
        <f t="shared" si="310"/>
        <v>0</v>
      </c>
      <c r="T668" s="290">
        <f t="shared" si="311"/>
        <v>0</v>
      </c>
      <c r="U668" s="291">
        <f t="shared" si="312"/>
        <v>10169.280000000001</v>
      </c>
      <c r="V668" s="291">
        <f t="shared" si="316"/>
        <v>-10169.280000000001</v>
      </c>
      <c r="W668" s="265">
        <f t="shared" si="313"/>
        <v>0</v>
      </c>
      <c r="X668" s="291">
        <f t="shared" si="317"/>
        <v>-10169.280000000001</v>
      </c>
      <c r="Y668" s="170">
        <f t="shared" si="314"/>
        <v>3579.84</v>
      </c>
      <c r="Z668" s="291">
        <f t="shared" si="315"/>
        <v>-3579.84</v>
      </c>
      <c r="AC668" s="276">
        <f>IF(AI668=1,IF(AC667=MiscData!$F$1,EOMONTH(AC667,-11),EOMONTH(AC667,1)),AC667)</f>
        <v>41943</v>
      </c>
      <c r="AD668" s="275" t="str">
        <f t="shared" si="299"/>
        <v>20140101LGUM_210</v>
      </c>
      <c r="AE668" s="294" t="str">
        <f t="shared" si="300"/>
        <v>20140101RLS</v>
      </c>
      <c r="AF668" s="618" t="str">
        <f t="shared" si="318"/>
        <v>210</v>
      </c>
      <c r="AH668" s="265">
        <f>MiscData!$X$5</f>
        <v>20140101</v>
      </c>
      <c r="AI668" s="265">
        <f>IF(AI667+1&gt;MiscData!$AC$77,1,AI667+1)</f>
        <v>8</v>
      </c>
      <c r="AJ668" s="265" t="str">
        <f>VLOOKUP(AI668,MiscData!$AC$5:$AD$77,2,FALSE)</f>
        <v>LGUM_210</v>
      </c>
      <c r="AK668" s="265" t="str">
        <f>VLOOKUP(AJ668,MiscData!$AD$5:$AE$77,2,FALSE)</f>
        <v>RLS</v>
      </c>
      <c r="AT668" s="265" t="s">
        <v>280</v>
      </c>
      <c r="AV668" s="265">
        <v>0</v>
      </c>
    </row>
    <row r="669" spans="1:48">
      <c r="A669" s="275">
        <f t="shared" si="319"/>
        <v>666</v>
      </c>
      <c r="B669" s="276" t="str">
        <f t="shared" si="296"/>
        <v>Oct 2014</v>
      </c>
      <c r="C669" s="277" t="str">
        <f t="shared" si="297"/>
        <v>RLS</v>
      </c>
      <c r="D669" s="277" t="str">
        <f t="shared" si="298"/>
        <v>LGUM_252</v>
      </c>
      <c r="E669" s="614">
        <f t="shared" si="301"/>
        <v>3890</v>
      </c>
      <c r="F669" s="615">
        <v>0</v>
      </c>
      <c r="G669" s="614">
        <f t="shared" si="302"/>
        <v>0</v>
      </c>
      <c r="H669" s="615">
        <v>0</v>
      </c>
      <c r="I669" s="283">
        <f t="shared" si="303"/>
        <v>9.57</v>
      </c>
      <c r="J669" s="283">
        <f t="shared" si="304"/>
        <v>1.9099999999999993</v>
      </c>
      <c r="K669" s="285">
        <f t="shared" si="305"/>
        <v>37227.300000000003</v>
      </c>
      <c r="L669" s="286">
        <v>0</v>
      </c>
      <c r="M669" s="286">
        <v>0</v>
      </c>
      <c r="N669" s="285">
        <f t="shared" si="306"/>
        <v>37227.300000000003</v>
      </c>
      <c r="O669" s="616">
        <f t="shared" si="295"/>
        <v>0</v>
      </c>
      <c r="P669" s="289">
        <f t="shared" si="307"/>
        <v>0</v>
      </c>
      <c r="Q669" s="290">
        <f t="shared" si="308"/>
        <v>0</v>
      </c>
      <c r="R669" s="290">
        <f t="shared" si="309"/>
        <v>0</v>
      </c>
      <c r="S669" s="290">
        <f t="shared" si="310"/>
        <v>0</v>
      </c>
      <c r="T669" s="290">
        <f t="shared" si="311"/>
        <v>0</v>
      </c>
      <c r="U669" s="291">
        <f t="shared" si="312"/>
        <v>37227.300000000003</v>
      </c>
      <c r="V669" s="291">
        <f t="shared" si="316"/>
        <v>-37227.300000000003</v>
      </c>
      <c r="W669" s="265">
        <f t="shared" si="313"/>
        <v>0</v>
      </c>
      <c r="X669" s="291">
        <f t="shared" si="317"/>
        <v>-37227.300000000003</v>
      </c>
      <c r="Y669" s="170">
        <f t="shared" si="314"/>
        <v>7429.9</v>
      </c>
      <c r="Z669" s="291">
        <f t="shared" si="315"/>
        <v>-7429.9</v>
      </c>
      <c r="AC669" s="276">
        <f>IF(AI669=1,IF(AC668=MiscData!$F$1,EOMONTH(AC668,-11),EOMONTH(AC668,1)),AC668)</f>
        <v>41943</v>
      </c>
      <c r="AD669" s="275" t="str">
        <f t="shared" si="299"/>
        <v>20140101LGUM_252</v>
      </c>
      <c r="AE669" s="294" t="str">
        <f t="shared" si="300"/>
        <v>20140101RLS</v>
      </c>
      <c r="AF669" s="618" t="str">
        <f t="shared" si="318"/>
        <v>252</v>
      </c>
      <c r="AH669" s="265">
        <f>MiscData!$X$5</f>
        <v>20140101</v>
      </c>
      <c r="AI669" s="265">
        <f>IF(AI668+1&gt;MiscData!$AC$77,1,AI668+1)</f>
        <v>9</v>
      </c>
      <c r="AJ669" s="265" t="str">
        <f>VLOOKUP(AI669,MiscData!$AC$5:$AD$77,2,FALSE)</f>
        <v>LGUM_252</v>
      </c>
      <c r="AK669" s="265" t="str">
        <f>VLOOKUP(AJ669,MiscData!$AD$5:$AE$77,2,FALSE)</f>
        <v>RLS</v>
      </c>
      <c r="AT669" s="265" t="s">
        <v>281</v>
      </c>
      <c r="AV669" s="265">
        <v>0</v>
      </c>
    </row>
    <row r="670" spans="1:48">
      <c r="A670" s="275">
        <f t="shared" si="319"/>
        <v>667</v>
      </c>
      <c r="B670" s="276" t="str">
        <f t="shared" si="296"/>
        <v>Oct 2014</v>
      </c>
      <c r="C670" s="277" t="str">
        <f t="shared" si="297"/>
        <v>RLS</v>
      </c>
      <c r="D670" s="277" t="str">
        <f t="shared" si="298"/>
        <v>LGUM_266</v>
      </c>
      <c r="E670" s="614">
        <f t="shared" si="301"/>
        <v>1954</v>
      </c>
      <c r="F670" s="615">
        <v>0</v>
      </c>
      <c r="G670" s="614">
        <f t="shared" si="302"/>
        <v>0</v>
      </c>
      <c r="H670" s="615">
        <v>0</v>
      </c>
      <c r="I670" s="283">
        <f t="shared" si="303"/>
        <v>27.34</v>
      </c>
      <c r="J670" s="283">
        <f t="shared" si="304"/>
        <v>2.8000000000000007</v>
      </c>
      <c r="K670" s="285">
        <f t="shared" si="305"/>
        <v>53422.36</v>
      </c>
      <c r="L670" s="286">
        <v>0</v>
      </c>
      <c r="M670" s="286">
        <v>0</v>
      </c>
      <c r="N670" s="285">
        <f t="shared" si="306"/>
        <v>53422.36</v>
      </c>
      <c r="O670" s="616">
        <f t="shared" si="295"/>
        <v>0</v>
      </c>
      <c r="P670" s="289">
        <f t="shared" si="307"/>
        <v>0</v>
      </c>
      <c r="Q670" s="290">
        <f t="shared" si="308"/>
        <v>0</v>
      </c>
      <c r="R670" s="290">
        <f t="shared" si="309"/>
        <v>0</v>
      </c>
      <c r="S670" s="290">
        <f t="shared" si="310"/>
        <v>0</v>
      </c>
      <c r="T670" s="290">
        <f t="shared" si="311"/>
        <v>0</v>
      </c>
      <c r="U670" s="291">
        <f t="shared" si="312"/>
        <v>53422.36</v>
      </c>
      <c r="V670" s="291">
        <f t="shared" si="316"/>
        <v>-53422.36</v>
      </c>
      <c r="W670" s="265">
        <f t="shared" si="313"/>
        <v>0</v>
      </c>
      <c r="X670" s="291">
        <f t="shared" si="317"/>
        <v>-53422.36</v>
      </c>
      <c r="Y670" s="170">
        <f t="shared" si="314"/>
        <v>5471.2</v>
      </c>
      <c r="Z670" s="291">
        <f t="shared" si="315"/>
        <v>-5471.2</v>
      </c>
      <c r="AC670" s="276">
        <f>IF(AI670=1,IF(AC669=MiscData!$F$1,EOMONTH(AC669,-11),EOMONTH(AC669,1)),AC669)</f>
        <v>41943</v>
      </c>
      <c r="AD670" s="275" t="str">
        <f t="shared" si="299"/>
        <v>20140101LGUM_266</v>
      </c>
      <c r="AE670" s="294" t="str">
        <f t="shared" si="300"/>
        <v>20140101RLS</v>
      </c>
      <c r="AF670" s="618" t="str">
        <f t="shared" si="318"/>
        <v>266</v>
      </c>
      <c r="AH670" s="265">
        <f>MiscData!$X$5</f>
        <v>20140101</v>
      </c>
      <c r="AI670" s="265">
        <f>IF(AI669+1&gt;MiscData!$AC$77,1,AI669+1)</f>
        <v>10</v>
      </c>
      <c r="AJ670" s="265" t="str">
        <f>VLOOKUP(AI670,MiscData!$AC$5:$AD$77,2,FALSE)</f>
        <v>LGUM_266</v>
      </c>
      <c r="AK670" s="265" t="str">
        <f>VLOOKUP(AJ670,MiscData!$AD$5:$AE$77,2,FALSE)</f>
        <v>RLS</v>
      </c>
      <c r="AT670" s="265" t="s">
        <v>283</v>
      </c>
      <c r="AV670" s="265">
        <v>-10.75</v>
      </c>
    </row>
    <row r="671" spans="1:48">
      <c r="A671" s="275">
        <f t="shared" si="319"/>
        <v>668</v>
      </c>
      <c r="B671" s="276" t="str">
        <f t="shared" si="296"/>
        <v>Oct 2014</v>
      </c>
      <c r="C671" s="277" t="str">
        <f t="shared" si="297"/>
        <v>RLS</v>
      </c>
      <c r="D671" s="277" t="str">
        <f t="shared" si="298"/>
        <v>LGUM_267</v>
      </c>
      <c r="E671" s="614">
        <f t="shared" si="301"/>
        <v>2198</v>
      </c>
      <c r="F671" s="615">
        <v>0</v>
      </c>
      <c r="G671" s="614">
        <f t="shared" si="302"/>
        <v>0</v>
      </c>
      <c r="H671" s="615">
        <v>0</v>
      </c>
      <c r="I671" s="283">
        <f t="shared" si="303"/>
        <v>31.4</v>
      </c>
      <c r="J671" s="283">
        <f t="shared" si="304"/>
        <v>4.4499999999999993</v>
      </c>
      <c r="K671" s="285">
        <f t="shared" si="305"/>
        <v>69017.2</v>
      </c>
      <c r="L671" s="286">
        <v>0</v>
      </c>
      <c r="M671" s="286">
        <v>0</v>
      </c>
      <c r="N671" s="285">
        <f t="shared" si="306"/>
        <v>69017.2</v>
      </c>
      <c r="O671" s="616">
        <f t="shared" si="295"/>
        <v>0</v>
      </c>
      <c r="P671" s="289">
        <f t="shared" si="307"/>
        <v>0</v>
      </c>
      <c r="Q671" s="290">
        <f t="shared" si="308"/>
        <v>0</v>
      </c>
      <c r="R671" s="290">
        <f t="shared" si="309"/>
        <v>0</v>
      </c>
      <c r="S671" s="290">
        <f t="shared" si="310"/>
        <v>0</v>
      </c>
      <c r="T671" s="290">
        <f t="shared" si="311"/>
        <v>0</v>
      </c>
      <c r="U671" s="291">
        <f t="shared" si="312"/>
        <v>69017.2</v>
      </c>
      <c r="V671" s="291">
        <f t="shared" si="316"/>
        <v>-69017.2</v>
      </c>
      <c r="W671" s="265">
        <f t="shared" si="313"/>
        <v>0</v>
      </c>
      <c r="X671" s="291">
        <f t="shared" si="317"/>
        <v>-69017.2</v>
      </c>
      <c r="Y671" s="170">
        <f t="shared" si="314"/>
        <v>9781.1</v>
      </c>
      <c r="Z671" s="291">
        <f t="shared" si="315"/>
        <v>-9781.1</v>
      </c>
      <c r="AC671" s="276">
        <f>IF(AI671=1,IF(AC670=MiscData!$F$1,EOMONTH(AC670,-11),EOMONTH(AC670,1)),AC670)</f>
        <v>41943</v>
      </c>
      <c r="AD671" s="275" t="str">
        <f t="shared" si="299"/>
        <v>20140101LGUM_267</v>
      </c>
      <c r="AE671" s="294" t="str">
        <f t="shared" si="300"/>
        <v>20140101RLS</v>
      </c>
      <c r="AF671" s="618" t="str">
        <f t="shared" si="318"/>
        <v>267</v>
      </c>
      <c r="AH671" s="265">
        <f>MiscData!$X$5</f>
        <v>20140101</v>
      </c>
      <c r="AI671" s="265">
        <f>IF(AI670+1&gt;MiscData!$AC$77,1,AI670+1)</f>
        <v>11</v>
      </c>
      <c r="AJ671" s="265" t="str">
        <f>VLOOKUP(AI671,MiscData!$AC$5:$AD$77,2,FALSE)</f>
        <v>LGUM_267</v>
      </c>
      <c r="AK671" s="265" t="str">
        <f>VLOOKUP(AJ671,MiscData!$AD$5:$AE$77,2,FALSE)</f>
        <v>RLS</v>
      </c>
      <c r="AT671" s="265" t="s">
        <v>285</v>
      </c>
      <c r="AV671" s="265">
        <v>0</v>
      </c>
    </row>
    <row r="672" spans="1:48">
      <c r="A672" s="275">
        <f t="shared" si="319"/>
        <v>669</v>
      </c>
      <c r="B672" s="276" t="str">
        <f t="shared" si="296"/>
        <v>Oct 2014</v>
      </c>
      <c r="C672" s="277" t="str">
        <f t="shared" si="297"/>
        <v>RLS</v>
      </c>
      <c r="D672" s="277" t="str">
        <f t="shared" si="298"/>
        <v>LGUM_274</v>
      </c>
      <c r="E672" s="614">
        <f t="shared" si="301"/>
        <v>16140</v>
      </c>
      <c r="F672" s="615">
        <v>0</v>
      </c>
      <c r="G672" s="614">
        <f t="shared" si="302"/>
        <v>0</v>
      </c>
      <c r="H672" s="615">
        <v>0</v>
      </c>
      <c r="I672" s="283">
        <f t="shared" si="303"/>
        <v>17.189999999999998</v>
      </c>
      <c r="J672" s="283">
        <f t="shared" si="304"/>
        <v>1.2699999999999996</v>
      </c>
      <c r="K672" s="285">
        <f t="shared" si="305"/>
        <v>277446.59999999998</v>
      </c>
      <c r="L672" s="286">
        <v>0</v>
      </c>
      <c r="M672" s="286">
        <v>0</v>
      </c>
      <c r="N672" s="285">
        <f t="shared" si="306"/>
        <v>277446.59999999998</v>
      </c>
      <c r="O672" s="616">
        <f t="shared" si="295"/>
        <v>0</v>
      </c>
      <c r="P672" s="289">
        <f t="shared" si="307"/>
        <v>0</v>
      </c>
      <c r="Q672" s="290">
        <f t="shared" si="308"/>
        <v>0</v>
      </c>
      <c r="R672" s="290">
        <f t="shared" si="309"/>
        <v>0</v>
      </c>
      <c r="S672" s="290">
        <f t="shared" si="310"/>
        <v>0</v>
      </c>
      <c r="T672" s="290">
        <f t="shared" si="311"/>
        <v>0</v>
      </c>
      <c r="U672" s="291">
        <f t="shared" si="312"/>
        <v>277446.59999999998</v>
      </c>
      <c r="V672" s="291">
        <f t="shared" si="316"/>
        <v>-277446.59999999998</v>
      </c>
      <c r="W672" s="265">
        <f t="shared" si="313"/>
        <v>0</v>
      </c>
      <c r="X672" s="291">
        <f t="shared" si="317"/>
        <v>-277446.59999999998</v>
      </c>
      <c r="Y672" s="170">
        <f t="shared" si="314"/>
        <v>20497.8</v>
      </c>
      <c r="Z672" s="291">
        <f t="shared" si="315"/>
        <v>-20497.8</v>
      </c>
      <c r="AC672" s="276">
        <f>IF(AI672=1,IF(AC671=MiscData!$F$1,EOMONTH(AC671,-11),EOMONTH(AC671,1)),AC671)</f>
        <v>41943</v>
      </c>
      <c r="AD672" s="275" t="str">
        <f t="shared" si="299"/>
        <v>20140101LGUM_274</v>
      </c>
      <c r="AE672" s="294" t="str">
        <f t="shared" si="300"/>
        <v>20140101RLS</v>
      </c>
      <c r="AF672" s="618" t="str">
        <f t="shared" si="318"/>
        <v>274</v>
      </c>
      <c r="AH672" s="265">
        <f>MiscData!$X$5</f>
        <v>20140101</v>
      </c>
      <c r="AI672" s="265">
        <f>IF(AI671+1&gt;MiscData!$AC$77,1,AI671+1)</f>
        <v>12</v>
      </c>
      <c r="AJ672" s="265" t="str">
        <f>VLOOKUP(AI672,MiscData!$AC$5:$AD$77,2,FALSE)</f>
        <v>LGUM_274</v>
      </c>
      <c r="AK672" s="265" t="str">
        <f>VLOOKUP(AJ672,MiscData!$AD$5:$AE$77,2,FALSE)</f>
        <v>RLS</v>
      </c>
      <c r="AT672" s="265" t="s">
        <v>287</v>
      </c>
      <c r="AV672" s="265">
        <v>0</v>
      </c>
    </row>
    <row r="673" spans="1:48">
      <c r="A673" s="275">
        <f t="shared" si="319"/>
        <v>670</v>
      </c>
      <c r="B673" s="276" t="str">
        <f t="shared" si="296"/>
        <v>Oct 2014</v>
      </c>
      <c r="C673" s="277" t="str">
        <f t="shared" si="297"/>
        <v>RLS</v>
      </c>
      <c r="D673" s="277" t="str">
        <f t="shared" si="298"/>
        <v>LGUM_275</v>
      </c>
      <c r="E673" s="614">
        <f t="shared" si="301"/>
        <v>514</v>
      </c>
      <c r="F673" s="615">
        <v>0</v>
      </c>
      <c r="G673" s="614">
        <f t="shared" si="302"/>
        <v>0</v>
      </c>
      <c r="H673" s="615">
        <v>0</v>
      </c>
      <c r="I673" s="283">
        <f t="shared" si="303"/>
        <v>24.89</v>
      </c>
      <c r="J673" s="283">
        <f t="shared" si="304"/>
        <v>1.7899999999999991</v>
      </c>
      <c r="K673" s="285">
        <f t="shared" si="305"/>
        <v>12793.46</v>
      </c>
      <c r="L673" s="286">
        <v>0</v>
      </c>
      <c r="M673" s="286">
        <v>0</v>
      </c>
      <c r="N673" s="285">
        <f t="shared" si="306"/>
        <v>12793.46</v>
      </c>
      <c r="O673" s="616">
        <f t="shared" si="295"/>
        <v>0</v>
      </c>
      <c r="P673" s="289">
        <f t="shared" si="307"/>
        <v>0</v>
      </c>
      <c r="Q673" s="290">
        <f t="shared" si="308"/>
        <v>0</v>
      </c>
      <c r="R673" s="290">
        <f t="shared" si="309"/>
        <v>0</v>
      </c>
      <c r="S673" s="290">
        <f t="shared" si="310"/>
        <v>0</v>
      </c>
      <c r="T673" s="290">
        <f t="shared" si="311"/>
        <v>0</v>
      </c>
      <c r="U673" s="291">
        <f t="shared" si="312"/>
        <v>12793.46</v>
      </c>
      <c r="V673" s="291">
        <f t="shared" si="316"/>
        <v>-12793.46</v>
      </c>
      <c r="W673" s="265">
        <f t="shared" si="313"/>
        <v>0</v>
      </c>
      <c r="X673" s="291">
        <f t="shared" si="317"/>
        <v>-12793.46</v>
      </c>
      <c r="Y673" s="170">
        <f t="shared" si="314"/>
        <v>920.06</v>
      </c>
      <c r="Z673" s="291">
        <f t="shared" si="315"/>
        <v>-920.06</v>
      </c>
      <c r="AC673" s="276">
        <f>IF(AI673=1,IF(AC672=MiscData!$F$1,EOMONTH(AC672,-11),EOMONTH(AC672,1)),AC672)</f>
        <v>41943</v>
      </c>
      <c r="AD673" s="275" t="str">
        <f t="shared" si="299"/>
        <v>20140101LGUM_275</v>
      </c>
      <c r="AE673" s="294" t="str">
        <f t="shared" si="300"/>
        <v>20140101RLS</v>
      </c>
      <c r="AF673" s="618" t="str">
        <f t="shared" si="318"/>
        <v>275</v>
      </c>
      <c r="AH673" s="265">
        <f>MiscData!$X$5</f>
        <v>20140101</v>
      </c>
      <c r="AI673" s="265">
        <f>IF(AI672+1&gt;MiscData!$AC$77,1,AI672+1)</f>
        <v>13</v>
      </c>
      <c r="AJ673" s="265" t="str">
        <f>VLOOKUP(AI673,MiscData!$AC$5:$AD$77,2,FALSE)</f>
        <v>LGUM_275</v>
      </c>
      <c r="AK673" s="265" t="str">
        <f>VLOOKUP(AJ673,MiscData!$AD$5:$AE$77,2,FALSE)</f>
        <v>RLS</v>
      </c>
      <c r="AT673" s="265" t="s">
        <v>288</v>
      </c>
      <c r="AV673" s="265">
        <v>0</v>
      </c>
    </row>
    <row r="674" spans="1:48">
      <c r="A674" s="275">
        <f t="shared" si="319"/>
        <v>671</v>
      </c>
      <c r="B674" s="276" t="str">
        <f t="shared" si="296"/>
        <v>Oct 2014</v>
      </c>
      <c r="C674" s="277" t="str">
        <f t="shared" si="297"/>
        <v>RLS</v>
      </c>
      <c r="D674" s="277" t="str">
        <f t="shared" si="298"/>
        <v>LGUM_276</v>
      </c>
      <c r="E674" s="614">
        <f t="shared" si="301"/>
        <v>1245</v>
      </c>
      <c r="F674" s="615">
        <v>0</v>
      </c>
      <c r="G674" s="614">
        <f t="shared" si="302"/>
        <v>0</v>
      </c>
      <c r="H674" s="615">
        <v>0</v>
      </c>
      <c r="I674" s="283">
        <f t="shared" si="303"/>
        <v>14.17</v>
      </c>
      <c r="J674" s="283">
        <f t="shared" si="304"/>
        <v>0.88000000000000078</v>
      </c>
      <c r="K674" s="285">
        <f t="shared" si="305"/>
        <v>17641.650000000001</v>
      </c>
      <c r="L674" s="286">
        <v>0</v>
      </c>
      <c r="M674" s="286">
        <v>0</v>
      </c>
      <c r="N674" s="285">
        <f t="shared" si="306"/>
        <v>17641.650000000001</v>
      </c>
      <c r="O674" s="616">
        <f t="shared" si="295"/>
        <v>0</v>
      </c>
      <c r="P674" s="289">
        <f t="shared" si="307"/>
        <v>0</v>
      </c>
      <c r="Q674" s="290">
        <f t="shared" si="308"/>
        <v>0</v>
      </c>
      <c r="R674" s="290">
        <f t="shared" si="309"/>
        <v>0</v>
      </c>
      <c r="S674" s="290">
        <f t="shared" si="310"/>
        <v>0</v>
      </c>
      <c r="T674" s="290">
        <f t="shared" si="311"/>
        <v>0</v>
      </c>
      <c r="U674" s="291">
        <f t="shared" si="312"/>
        <v>17641.650000000001</v>
      </c>
      <c r="V674" s="291">
        <f t="shared" si="316"/>
        <v>-17641.650000000001</v>
      </c>
      <c r="W674" s="265">
        <f t="shared" si="313"/>
        <v>0</v>
      </c>
      <c r="X674" s="291">
        <f t="shared" si="317"/>
        <v>-17641.650000000001</v>
      </c>
      <c r="Y674" s="170">
        <f t="shared" si="314"/>
        <v>1095.5999999999999</v>
      </c>
      <c r="Z674" s="291">
        <f t="shared" si="315"/>
        <v>-1095.5999999999999</v>
      </c>
      <c r="AC674" s="276">
        <f>IF(AI674=1,IF(AC673=MiscData!$F$1,EOMONTH(AC673,-11),EOMONTH(AC673,1)),AC673)</f>
        <v>41943</v>
      </c>
      <c r="AD674" s="275" t="str">
        <f t="shared" si="299"/>
        <v>20140101LGUM_276</v>
      </c>
      <c r="AE674" s="294" t="str">
        <f t="shared" si="300"/>
        <v>20140101RLS</v>
      </c>
      <c r="AF674" s="618" t="str">
        <f t="shared" si="318"/>
        <v>276</v>
      </c>
      <c r="AH674" s="265">
        <f>MiscData!$X$5</f>
        <v>20140101</v>
      </c>
      <c r="AI674" s="265">
        <f>IF(AI673+1&gt;MiscData!$AC$77,1,AI673+1)</f>
        <v>14</v>
      </c>
      <c r="AJ674" s="265" t="str">
        <f>VLOOKUP(AI674,MiscData!$AC$5:$AD$77,2,FALSE)</f>
        <v>LGUM_276</v>
      </c>
      <c r="AK674" s="265" t="str">
        <f>VLOOKUP(AJ674,MiscData!$AD$5:$AE$77,2,FALSE)</f>
        <v>RLS</v>
      </c>
      <c r="AT674" s="265" t="s">
        <v>289</v>
      </c>
      <c r="AV674" s="265">
        <v>0</v>
      </c>
    </row>
    <row r="675" spans="1:48">
      <c r="A675" s="275">
        <f t="shared" si="319"/>
        <v>672</v>
      </c>
      <c r="B675" s="276" t="str">
        <f t="shared" si="296"/>
        <v>Oct 2014</v>
      </c>
      <c r="C675" s="277" t="str">
        <f t="shared" si="297"/>
        <v>RLS</v>
      </c>
      <c r="D675" s="277" t="str">
        <f t="shared" si="298"/>
        <v>LGUM_277</v>
      </c>
      <c r="E675" s="614">
        <f t="shared" si="301"/>
        <v>2195</v>
      </c>
      <c r="F675" s="615">
        <v>0</v>
      </c>
      <c r="G675" s="614">
        <f t="shared" si="302"/>
        <v>0</v>
      </c>
      <c r="H675" s="615">
        <v>0</v>
      </c>
      <c r="I675" s="283">
        <f t="shared" si="303"/>
        <v>22.15</v>
      </c>
      <c r="J675" s="283">
        <f t="shared" si="304"/>
        <v>1.7900000000000027</v>
      </c>
      <c r="K675" s="285">
        <f t="shared" si="305"/>
        <v>48619.25</v>
      </c>
      <c r="L675" s="286">
        <v>0</v>
      </c>
      <c r="M675" s="286">
        <v>0</v>
      </c>
      <c r="N675" s="285">
        <f t="shared" si="306"/>
        <v>48619.25</v>
      </c>
      <c r="O675" s="616">
        <f t="shared" si="295"/>
        <v>0</v>
      </c>
      <c r="P675" s="289">
        <f t="shared" si="307"/>
        <v>0</v>
      </c>
      <c r="Q675" s="290">
        <f t="shared" si="308"/>
        <v>0</v>
      </c>
      <c r="R675" s="290">
        <f t="shared" si="309"/>
        <v>0</v>
      </c>
      <c r="S675" s="290">
        <f t="shared" si="310"/>
        <v>0</v>
      </c>
      <c r="T675" s="290">
        <f t="shared" si="311"/>
        <v>0</v>
      </c>
      <c r="U675" s="291">
        <f t="shared" si="312"/>
        <v>48619.25</v>
      </c>
      <c r="V675" s="291">
        <f t="shared" si="316"/>
        <v>-48619.25</v>
      </c>
      <c r="W675" s="265">
        <f t="shared" si="313"/>
        <v>0</v>
      </c>
      <c r="X675" s="291">
        <f t="shared" si="317"/>
        <v>-48619.25</v>
      </c>
      <c r="Y675" s="170">
        <f t="shared" si="314"/>
        <v>3929.05</v>
      </c>
      <c r="Z675" s="291">
        <f t="shared" si="315"/>
        <v>-3929.05</v>
      </c>
      <c r="AC675" s="276">
        <f>IF(AI675=1,IF(AC674=MiscData!$F$1,EOMONTH(AC674,-11),EOMONTH(AC674,1)),AC674)</f>
        <v>41943</v>
      </c>
      <c r="AD675" s="275" t="str">
        <f t="shared" si="299"/>
        <v>20140101LGUM_277</v>
      </c>
      <c r="AE675" s="294" t="str">
        <f t="shared" si="300"/>
        <v>20140101RLS</v>
      </c>
      <c r="AF675" s="618" t="str">
        <f t="shared" si="318"/>
        <v>277</v>
      </c>
      <c r="AH675" s="265">
        <f>MiscData!$X$5</f>
        <v>20140101</v>
      </c>
      <c r="AI675" s="265">
        <f>IF(AI674+1&gt;MiscData!$AC$77,1,AI674+1)</f>
        <v>15</v>
      </c>
      <c r="AJ675" s="265" t="str">
        <f>VLOOKUP(AI675,MiscData!$AC$5:$AD$77,2,FALSE)</f>
        <v>LGUM_277</v>
      </c>
      <c r="AK675" s="265" t="str">
        <f>VLOOKUP(AJ675,MiscData!$AD$5:$AE$77,2,FALSE)</f>
        <v>RLS</v>
      </c>
      <c r="AT675" s="265" t="s">
        <v>290</v>
      </c>
      <c r="AV675" s="265">
        <v>0</v>
      </c>
    </row>
    <row r="676" spans="1:48">
      <c r="A676" s="275">
        <f t="shared" si="319"/>
        <v>673</v>
      </c>
      <c r="B676" s="276" t="str">
        <f t="shared" si="296"/>
        <v>Oct 2014</v>
      </c>
      <c r="C676" s="277" t="str">
        <f t="shared" si="297"/>
        <v>RLS</v>
      </c>
      <c r="D676" s="277" t="str">
        <f t="shared" si="298"/>
        <v>LGUM_278</v>
      </c>
      <c r="E676" s="614">
        <f t="shared" si="301"/>
        <v>16</v>
      </c>
      <c r="F676" s="615">
        <v>0</v>
      </c>
      <c r="G676" s="614">
        <f t="shared" si="302"/>
        <v>0</v>
      </c>
      <c r="H676" s="615">
        <v>0</v>
      </c>
      <c r="I676" s="283">
        <f t="shared" si="303"/>
        <v>72.550000000000011</v>
      </c>
      <c r="J676" s="283">
        <f t="shared" si="304"/>
        <v>9.8400000000000034</v>
      </c>
      <c r="K676" s="285">
        <f t="shared" si="305"/>
        <v>1160.8</v>
      </c>
      <c r="L676" s="286">
        <v>0</v>
      </c>
      <c r="M676" s="286">
        <v>0</v>
      </c>
      <c r="N676" s="285">
        <f t="shared" si="306"/>
        <v>1160.8</v>
      </c>
      <c r="O676" s="616">
        <f t="shared" ref="O676:O739" si="320">T676-SUM(Q676:S676)-SUMIFS(L_1055_Revenue_Poles_Test_Period,L_1055_RateCategory,$D676,L_1055_Revenue_Month,$B676)</f>
        <v>0</v>
      </c>
      <c r="P676" s="289">
        <f t="shared" si="307"/>
        <v>0</v>
      </c>
      <c r="Q676" s="290">
        <f t="shared" si="308"/>
        <v>0</v>
      </c>
      <c r="R676" s="290">
        <f t="shared" si="309"/>
        <v>0</v>
      </c>
      <c r="S676" s="290">
        <f t="shared" si="310"/>
        <v>0</v>
      </c>
      <c r="T676" s="290">
        <f t="shared" si="311"/>
        <v>0</v>
      </c>
      <c r="U676" s="291">
        <f t="shared" si="312"/>
        <v>1160.8</v>
      </c>
      <c r="V676" s="291">
        <f t="shared" si="316"/>
        <v>-1160.8</v>
      </c>
      <c r="W676" s="265">
        <f t="shared" si="313"/>
        <v>0</v>
      </c>
      <c r="X676" s="291">
        <f t="shared" si="317"/>
        <v>-1160.8</v>
      </c>
      <c r="Y676" s="170">
        <f t="shared" si="314"/>
        <v>157.44</v>
      </c>
      <c r="Z676" s="291">
        <f t="shared" si="315"/>
        <v>-157.44</v>
      </c>
      <c r="AC676" s="276">
        <f>IF(AI676=1,IF(AC675=MiscData!$F$1,EOMONTH(AC675,-11),EOMONTH(AC675,1)),AC675)</f>
        <v>41943</v>
      </c>
      <c r="AD676" s="275" t="str">
        <f t="shared" si="299"/>
        <v>20140101LGUM_278</v>
      </c>
      <c r="AE676" s="294" t="str">
        <f t="shared" si="300"/>
        <v>20140101RLS</v>
      </c>
      <c r="AF676" s="618" t="str">
        <f t="shared" si="318"/>
        <v>278</v>
      </c>
      <c r="AH676" s="265">
        <f>MiscData!$X$5</f>
        <v>20140101</v>
      </c>
      <c r="AI676" s="265">
        <f>IF(AI675+1&gt;MiscData!$AC$77,1,AI675+1)</f>
        <v>16</v>
      </c>
      <c r="AJ676" s="265" t="str">
        <f>VLOOKUP(AI676,MiscData!$AC$5:$AD$77,2,FALSE)</f>
        <v>LGUM_278</v>
      </c>
      <c r="AK676" s="265" t="str">
        <f>VLOOKUP(AJ676,MiscData!$AD$5:$AE$77,2,FALSE)</f>
        <v>RLS</v>
      </c>
      <c r="AT676" s="265" t="s">
        <v>291</v>
      </c>
      <c r="AV676" s="265">
        <v>0</v>
      </c>
    </row>
    <row r="677" spans="1:48">
      <c r="A677" s="275">
        <f t="shared" si="319"/>
        <v>674</v>
      </c>
      <c r="B677" s="276" t="str">
        <f t="shared" si="296"/>
        <v>Oct 2014</v>
      </c>
      <c r="C677" s="277" t="str">
        <f t="shared" si="297"/>
        <v>RLS</v>
      </c>
      <c r="D677" s="277" t="str">
        <f t="shared" si="298"/>
        <v>LGUM_279</v>
      </c>
      <c r="E677" s="614">
        <f t="shared" si="301"/>
        <v>11</v>
      </c>
      <c r="F677" s="615">
        <v>0</v>
      </c>
      <c r="G677" s="614">
        <f t="shared" si="302"/>
        <v>0</v>
      </c>
      <c r="H677" s="615">
        <v>0</v>
      </c>
      <c r="I677" s="283">
        <f t="shared" si="303"/>
        <v>41.43</v>
      </c>
      <c r="J677" s="283">
        <f t="shared" si="304"/>
        <v>9.8399999999999963</v>
      </c>
      <c r="K677" s="285">
        <f t="shared" si="305"/>
        <v>455.73</v>
      </c>
      <c r="L677" s="286">
        <v>0</v>
      </c>
      <c r="M677" s="286">
        <v>0</v>
      </c>
      <c r="N677" s="285">
        <f t="shared" si="306"/>
        <v>455.73</v>
      </c>
      <c r="O677" s="616">
        <f t="shared" si="320"/>
        <v>0</v>
      </c>
      <c r="P677" s="289">
        <f t="shared" si="307"/>
        <v>0</v>
      </c>
      <c r="Q677" s="290">
        <f t="shared" si="308"/>
        <v>0</v>
      </c>
      <c r="R677" s="290">
        <f t="shared" si="309"/>
        <v>0</v>
      </c>
      <c r="S677" s="290">
        <f t="shared" si="310"/>
        <v>0</v>
      </c>
      <c r="T677" s="290">
        <f t="shared" si="311"/>
        <v>0</v>
      </c>
      <c r="U677" s="291">
        <f t="shared" si="312"/>
        <v>455.73</v>
      </c>
      <c r="V677" s="291">
        <f t="shared" si="316"/>
        <v>-455.73</v>
      </c>
      <c r="W677" s="265">
        <f t="shared" si="313"/>
        <v>0</v>
      </c>
      <c r="X677" s="291">
        <f t="shared" si="317"/>
        <v>-455.73</v>
      </c>
      <c r="Y677" s="170">
        <f t="shared" si="314"/>
        <v>108.24</v>
      </c>
      <c r="Z677" s="291">
        <f t="shared" si="315"/>
        <v>-108.24</v>
      </c>
      <c r="AC677" s="276">
        <f>IF(AI677=1,IF(AC676=MiscData!$F$1,EOMONTH(AC676,-11),EOMONTH(AC676,1)),AC676)</f>
        <v>41943</v>
      </c>
      <c r="AD677" s="275" t="str">
        <f t="shared" si="299"/>
        <v>20140101LGUM_279</v>
      </c>
      <c r="AE677" s="294" t="str">
        <f t="shared" si="300"/>
        <v>20140101RLS</v>
      </c>
      <c r="AF677" s="618" t="str">
        <f t="shared" si="318"/>
        <v>279</v>
      </c>
      <c r="AH677" s="265">
        <f>MiscData!$X$5</f>
        <v>20140101</v>
      </c>
      <c r="AI677" s="265">
        <f>IF(AI676+1&gt;MiscData!$AC$77,1,AI676+1)</f>
        <v>17</v>
      </c>
      <c r="AJ677" s="265" t="str">
        <f>VLOOKUP(AI677,MiscData!$AC$5:$AD$77,2,FALSE)</f>
        <v>LGUM_279</v>
      </c>
      <c r="AK677" s="265" t="str">
        <f>VLOOKUP(AJ677,MiscData!$AD$5:$AE$77,2,FALSE)</f>
        <v>RLS</v>
      </c>
      <c r="AT677" s="265" t="s">
        <v>571</v>
      </c>
      <c r="AV677" s="265">
        <v>0</v>
      </c>
    </row>
    <row r="678" spans="1:48">
      <c r="A678" s="275">
        <f t="shared" si="319"/>
        <v>675</v>
      </c>
      <c r="B678" s="276" t="str">
        <f t="shared" si="296"/>
        <v>Oct 2014</v>
      </c>
      <c r="C678" s="277" t="str">
        <f t="shared" si="297"/>
        <v>RLS</v>
      </c>
      <c r="D678" s="277" t="str">
        <f t="shared" si="298"/>
        <v>LGUM_280</v>
      </c>
      <c r="E678" s="614">
        <f t="shared" si="301"/>
        <v>44</v>
      </c>
      <c r="F678" s="615">
        <v>0</v>
      </c>
      <c r="G678" s="614">
        <f t="shared" si="302"/>
        <v>0</v>
      </c>
      <c r="H678" s="615">
        <v>0</v>
      </c>
      <c r="I678" s="283">
        <f t="shared" si="303"/>
        <v>19.38</v>
      </c>
      <c r="J678" s="283">
        <f t="shared" si="304"/>
        <v>0.87999999999999901</v>
      </c>
      <c r="K678" s="285">
        <f t="shared" si="305"/>
        <v>852.72</v>
      </c>
      <c r="L678" s="286">
        <v>0</v>
      </c>
      <c r="M678" s="286">
        <v>0</v>
      </c>
      <c r="N678" s="285">
        <f t="shared" si="306"/>
        <v>852.72</v>
      </c>
      <c r="O678" s="616">
        <f t="shared" si="320"/>
        <v>0</v>
      </c>
      <c r="P678" s="289">
        <f t="shared" si="307"/>
        <v>0</v>
      </c>
      <c r="Q678" s="290">
        <f t="shared" si="308"/>
        <v>0</v>
      </c>
      <c r="R678" s="290">
        <f t="shared" si="309"/>
        <v>0</v>
      </c>
      <c r="S678" s="290">
        <f t="shared" si="310"/>
        <v>0</v>
      </c>
      <c r="T678" s="290">
        <f t="shared" si="311"/>
        <v>0</v>
      </c>
      <c r="U678" s="291">
        <f t="shared" si="312"/>
        <v>852.72</v>
      </c>
      <c r="V678" s="291">
        <f t="shared" si="316"/>
        <v>-852.72</v>
      </c>
      <c r="W678" s="265">
        <f t="shared" si="313"/>
        <v>0</v>
      </c>
      <c r="X678" s="291">
        <f t="shared" si="317"/>
        <v>-852.72</v>
      </c>
      <c r="Y678" s="170">
        <f t="shared" si="314"/>
        <v>38.72</v>
      </c>
      <c r="Z678" s="291">
        <f t="shared" si="315"/>
        <v>-38.72</v>
      </c>
      <c r="AC678" s="276">
        <f>IF(AI678=1,IF(AC677=MiscData!$F$1,EOMONTH(AC677,-11),EOMONTH(AC677,1)),AC677)</f>
        <v>41943</v>
      </c>
      <c r="AD678" s="275" t="str">
        <f t="shared" si="299"/>
        <v>20140101LGUM_280</v>
      </c>
      <c r="AE678" s="294" t="str">
        <f t="shared" si="300"/>
        <v>20140101RLS</v>
      </c>
      <c r="AF678" s="618" t="str">
        <f t="shared" si="318"/>
        <v>280</v>
      </c>
      <c r="AH678" s="265">
        <f>MiscData!$X$5</f>
        <v>20140101</v>
      </c>
      <c r="AI678" s="265">
        <f>IF(AI677+1&gt;MiscData!$AC$77,1,AI677+1)</f>
        <v>18</v>
      </c>
      <c r="AJ678" s="265" t="str">
        <f>VLOOKUP(AI678,MiscData!$AC$5:$AD$77,2,FALSE)</f>
        <v>LGUM_280</v>
      </c>
      <c r="AK678" s="265" t="str">
        <f>VLOOKUP(AJ678,MiscData!$AD$5:$AE$77,2,FALSE)</f>
        <v>RLS</v>
      </c>
      <c r="AT678" s="265" t="s">
        <v>573</v>
      </c>
      <c r="AV678" s="265">
        <v>0</v>
      </c>
    </row>
    <row r="679" spans="1:48">
      <c r="A679" s="275">
        <f t="shared" si="319"/>
        <v>676</v>
      </c>
      <c r="B679" s="276" t="str">
        <f t="shared" si="296"/>
        <v>Oct 2014</v>
      </c>
      <c r="C679" s="277" t="str">
        <f t="shared" si="297"/>
        <v>RLS</v>
      </c>
      <c r="D679" s="277" t="str">
        <f t="shared" si="298"/>
        <v>LGUM_281</v>
      </c>
      <c r="E679" s="614">
        <f t="shared" si="301"/>
        <v>232</v>
      </c>
      <c r="F679" s="615">
        <v>0</v>
      </c>
      <c r="G679" s="614">
        <f t="shared" si="302"/>
        <v>0</v>
      </c>
      <c r="H679" s="615">
        <v>0</v>
      </c>
      <c r="I679" s="283">
        <f t="shared" si="303"/>
        <v>20.349999999999998</v>
      </c>
      <c r="J679" s="283">
        <f t="shared" si="304"/>
        <v>1.2699999999999996</v>
      </c>
      <c r="K679" s="285">
        <f t="shared" si="305"/>
        <v>4721.2</v>
      </c>
      <c r="L679" s="286">
        <v>0</v>
      </c>
      <c r="M679" s="286">
        <v>0</v>
      </c>
      <c r="N679" s="285">
        <f t="shared" si="306"/>
        <v>4721.2</v>
      </c>
      <c r="O679" s="616">
        <f t="shared" si="320"/>
        <v>0</v>
      </c>
      <c r="P679" s="289">
        <f t="shared" si="307"/>
        <v>0</v>
      </c>
      <c r="Q679" s="290">
        <f t="shared" si="308"/>
        <v>0</v>
      </c>
      <c r="R679" s="290">
        <f t="shared" si="309"/>
        <v>0</v>
      </c>
      <c r="S679" s="290">
        <f t="shared" si="310"/>
        <v>0</v>
      </c>
      <c r="T679" s="290">
        <f t="shared" si="311"/>
        <v>0</v>
      </c>
      <c r="U679" s="291">
        <f t="shared" si="312"/>
        <v>4721.2</v>
      </c>
      <c r="V679" s="291">
        <f t="shared" si="316"/>
        <v>-4721.2</v>
      </c>
      <c r="W679" s="265">
        <f t="shared" si="313"/>
        <v>0</v>
      </c>
      <c r="X679" s="291">
        <f t="shared" si="317"/>
        <v>-4721.2</v>
      </c>
      <c r="Y679" s="170">
        <f t="shared" si="314"/>
        <v>294.64</v>
      </c>
      <c r="Z679" s="291">
        <f t="shared" si="315"/>
        <v>-294.64</v>
      </c>
      <c r="AC679" s="276">
        <f>IF(AI679=1,IF(AC678=MiscData!$F$1,EOMONTH(AC678,-11),EOMONTH(AC678,1)),AC678)</f>
        <v>41943</v>
      </c>
      <c r="AD679" s="275" t="str">
        <f t="shared" si="299"/>
        <v>20140101LGUM_281</v>
      </c>
      <c r="AE679" s="294" t="str">
        <f t="shared" si="300"/>
        <v>20140101RLS</v>
      </c>
      <c r="AF679" s="618" t="str">
        <f t="shared" si="318"/>
        <v>281</v>
      </c>
      <c r="AH679" s="265">
        <f>MiscData!$X$5</f>
        <v>20140101</v>
      </c>
      <c r="AI679" s="265">
        <f>IF(AI678+1&gt;MiscData!$AC$77,1,AI678+1)</f>
        <v>19</v>
      </c>
      <c r="AJ679" s="265" t="str">
        <f>VLOOKUP(AI679,MiscData!$AC$5:$AD$77,2,FALSE)</f>
        <v>LGUM_281</v>
      </c>
      <c r="AK679" s="265" t="str">
        <f>VLOOKUP(AJ679,MiscData!$AD$5:$AE$77,2,FALSE)</f>
        <v>RLS</v>
      </c>
      <c r="AT679" s="265" t="s">
        <v>292</v>
      </c>
      <c r="AV679" s="265">
        <v>0</v>
      </c>
    </row>
    <row r="680" spans="1:48">
      <c r="A680" s="275">
        <f t="shared" si="319"/>
        <v>677</v>
      </c>
      <c r="B680" s="276" t="str">
        <f t="shared" si="296"/>
        <v>Oct 2014</v>
      </c>
      <c r="C680" s="277" t="str">
        <f t="shared" si="297"/>
        <v>RLS</v>
      </c>
      <c r="D680" s="277" t="str">
        <f t="shared" si="298"/>
        <v>LGUM_282</v>
      </c>
      <c r="E680" s="614">
        <f t="shared" si="301"/>
        <v>100</v>
      </c>
      <c r="F680" s="615">
        <v>0</v>
      </c>
      <c r="G680" s="614">
        <f t="shared" si="302"/>
        <v>0</v>
      </c>
      <c r="H680" s="615">
        <v>0</v>
      </c>
      <c r="I680" s="283">
        <f t="shared" si="303"/>
        <v>19.53</v>
      </c>
      <c r="J680" s="283">
        <f t="shared" si="304"/>
        <v>0.87999999999999901</v>
      </c>
      <c r="K680" s="285">
        <f t="shared" si="305"/>
        <v>1953</v>
      </c>
      <c r="L680" s="286">
        <v>0</v>
      </c>
      <c r="M680" s="286">
        <v>0</v>
      </c>
      <c r="N680" s="285">
        <f t="shared" si="306"/>
        <v>1953</v>
      </c>
      <c r="O680" s="616">
        <f t="shared" si="320"/>
        <v>0</v>
      </c>
      <c r="P680" s="289">
        <f t="shared" si="307"/>
        <v>0</v>
      </c>
      <c r="Q680" s="290">
        <f t="shared" si="308"/>
        <v>0</v>
      </c>
      <c r="R680" s="290">
        <f t="shared" si="309"/>
        <v>0</v>
      </c>
      <c r="S680" s="290">
        <f t="shared" si="310"/>
        <v>0</v>
      </c>
      <c r="T680" s="290">
        <f t="shared" si="311"/>
        <v>0</v>
      </c>
      <c r="U680" s="291">
        <f t="shared" si="312"/>
        <v>1953</v>
      </c>
      <c r="V680" s="291">
        <f t="shared" si="316"/>
        <v>-1953</v>
      </c>
      <c r="W680" s="265">
        <f t="shared" si="313"/>
        <v>0</v>
      </c>
      <c r="X680" s="291">
        <f t="shared" si="317"/>
        <v>-1953</v>
      </c>
      <c r="Y680" s="170">
        <f t="shared" si="314"/>
        <v>88</v>
      </c>
      <c r="Z680" s="291">
        <f t="shared" si="315"/>
        <v>-88</v>
      </c>
      <c r="AC680" s="276">
        <f>IF(AI680=1,IF(AC679=MiscData!$F$1,EOMONTH(AC679,-11),EOMONTH(AC679,1)),AC679)</f>
        <v>41943</v>
      </c>
      <c r="AD680" s="275" t="str">
        <f t="shared" si="299"/>
        <v>20140101LGUM_282</v>
      </c>
      <c r="AE680" s="294" t="str">
        <f t="shared" si="300"/>
        <v>20140101RLS</v>
      </c>
      <c r="AF680" s="618" t="str">
        <f t="shared" si="318"/>
        <v>282</v>
      </c>
      <c r="AH680" s="265">
        <f>MiscData!$X$5</f>
        <v>20140101</v>
      </c>
      <c r="AI680" s="265">
        <f>IF(AI679+1&gt;MiscData!$AC$77,1,AI679+1)</f>
        <v>20</v>
      </c>
      <c r="AJ680" s="265" t="str">
        <f>VLOOKUP(AI680,MiscData!$AC$5:$AD$77,2,FALSE)</f>
        <v>LGUM_282</v>
      </c>
      <c r="AK680" s="265" t="str">
        <f>VLOOKUP(AJ680,MiscData!$AD$5:$AE$77,2,FALSE)</f>
        <v>RLS</v>
      </c>
      <c r="AT680" s="265" t="s">
        <v>293</v>
      </c>
      <c r="AV680" s="265">
        <v>0</v>
      </c>
    </row>
    <row r="681" spans="1:48">
      <c r="A681" s="275">
        <f t="shared" si="319"/>
        <v>678</v>
      </c>
      <c r="B681" s="276" t="str">
        <f t="shared" si="296"/>
        <v>Oct 2014</v>
      </c>
      <c r="C681" s="277" t="str">
        <f t="shared" si="297"/>
        <v>RLS</v>
      </c>
      <c r="D681" s="277" t="str">
        <f t="shared" si="298"/>
        <v>LGUM_283</v>
      </c>
      <c r="E681" s="614">
        <f t="shared" si="301"/>
        <v>77</v>
      </c>
      <c r="F681" s="615">
        <v>0</v>
      </c>
      <c r="G681" s="614">
        <f t="shared" si="302"/>
        <v>0</v>
      </c>
      <c r="H681" s="615">
        <v>0</v>
      </c>
      <c r="I681" s="283">
        <f t="shared" si="303"/>
        <v>20.819999999999997</v>
      </c>
      <c r="J681" s="283">
        <f t="shared" si="304"/>
        <v>1.2699999999999996</v>
      </c>
      <c r="K681" s="285">
        <f t="shared" si="305"/>
        <v>1603.14</v>
      </c>
      <c r="L681" s="286">
        <v>0</v>
      </c>
      <c r="M681" s="286">
        <v>0</v>
      </c>
      <c r="N681" s="285">
        <f t="shared" si="306"/>
        <v>1603.14</v>
      </c>
      <c r="O681" s="616">
        <f t="shared" si="320"/>
        <v>0</v>
      </c>
      <c r="P681" s="289">
        <f t="shared" si="307"/>
        <v>0</v>
      </c>
      <c r="Q681" s="290">
        <f t="shared" si="308"/>
        <v>0</v>
      </c>
      <c r="R681" s="290">
        <f t="shared" si="309"/>
        <v>0</v>
      </c>
      <c r="S681" s="290">
        <f t="shared" si="310"/>
        <v>0</v>
      </c>
      <c r="T681" s="290">
        <f t="shared" si="311"/>
        <v>0</v>
      </c>
      <c r="U681" s="291">
        <f t="shared" si="312"/>
        <v>1603.14</v>
      </c>
      <c r="V681" s="291">
        <f t="shared" si="316"/>
        <v>-1603.14</v>
      </c>
      <c r="W681" s="265">
        <f t="shared" si="313"/>
        <v>0</v>
      </c>
      <c r="X681" s="291">
        <f t="shared" si="317"/>
        <v>-1603.14</v>
      </c>
      <c r="Y681" s="170">
        <f t="shared" si="314"/>
        <v>97.79</v>
      </c>
      <c r="Z681" s="291">
        <f t="shared" si="315"/>
        <v>-97.79</v>
      </c>
      <c r="AC681" s="276">
        <f>IF(AI681=1,IF(AC680=MiscData!$F$1,EOMONTH(AC680,-11),EOMONTH(AC680,1)),AC680)</f>
        <v>41943</v>
      </c>
      <c r="AD681" s="275" t="str">
        <f t="shared" si="299"/>
        <v>20140101LGUM_283</v>
      </c>
      <c r="AE681" s="294" t="str">
        <f t="shared" si="300"/>
        <v>20140101RLS</v>
      </c>
      <c r="AF681" s="618" t="str">
        <f t="shared" si="318"/>
        <v>283</v>
      </c>
      <c r="AH681" s="265">
        <f>MiscData!$X$5</f>
        <v>20140101</v>
      </c>
      <c r="AI681" s="265">
        <f>IF(AI680+1&gt;MiscData!$AC$77,1,AI680+1)</f>
        <v>21</v>
      </c>
      <c r="AJ681" s="265" t="str">
        <f>VLOOKUP(AI681,MiscData!$AC$5:$AD$77,2,FALSE)</f>
        <v>LGUM_283</v>
      </c>
      <c r="AK681" s="265" t="str">
        <f>VLOOKUP(AJ681,MiscData!$AD$5:$AE$77,2,FALSE)</f>
        <v>RLS</v>
      </c>
      <c r="AT681" s="265" t="s">
        <v>294</v>
      </c>
      <c r="AV681" s="265">
        <v>0</v>
      </c>
    </row>
    <row r="682" spans="1:48">
      <c r="A682" s="275">
        <f t="shared" si="319"/>
        <v>679</v>
      </c>
      <c r="B682" s="276" t="str">
        <f t="shared" ref="B682:B745" si="321">TEXT(AC682,"mmm yyyy")</f>
        <v>Oct 2014</v>
      </c>
      <c r="C682" s="277" t="str">
        <f t="shared" ref="C682:C745" si="322">AK682</f>
        <v>RLS</v>
      </c>
      <c r="D682" s="277" t="str">
        <f t="shared" ref="D682:D745" si="323">AJ682</f>
        <v>LGUM_314</v>
      </c>
      <c r="E682" s="614">
        <f t="shared" si="301"/>
        <v>539</v>
      </c>
      <c r="F682" s="615">
        <v>0</v>
      </c>
      <c r="G682" s="614">
        <f t="shared" si="302"/>
        <v>0</v>
      </c>
      <c r="H682" s="615">
        <v>0</v>
      </c>
      <c r="I682" s="283">
        <f t="shared" si="303"/>
        <v>19.2</v>
      </c>
      <c r="J682" s="283">
        <f t="shared" si="304"/>
        <v>2.7100000000000009</v>
      </c>
      <c r="K682" s="285">
        <f t="shared" si="305"/>
        <v>10348.799999999999</v>
      </c>
      <c r="L682" s="286">
        <v>0</v>
      </c>
      <c r="M682" s="286">
        <v>0</v>
      </c>
      <c r="N682" s="285">
        <f t="shared" si="306"/>
        <v>10348.799999999999</v>
      </c>
      <c r="O682" s="616">
        <f t="shared" si="320"/>
        <v>0</v>
      </c>
      <c r="P682" s="289">
        <f t="shared" si="307"/>
        <v>0</v>
      </c>
      <c r="Q682" s="290">
        <f t="shared" si="308"/>
        <v>0</v>
      </c>
      <c r="R682" s="290">
        <f t="shared" si="309"/>
        <v>0</v>
      </c>
      <c r="S682" s="290">
        <f t="shared" si="310"/>
        <v>0</v>
      </c>
      <c r="T682" s="290">
        <f t="shared" si="311"/>
        <v>0</v>
      </c>
      <c r="U682" s="291">
        <f t="shared" si="312"/>
        <v>10348.799999999999</v>
      </c>
      <c r="V682" s="291">
        <f t="shared" si="316"/>
        <v>-10348.799999999999</v>
      </c>
      <c r="W682" s="265">
        <f t="shared" si="313"/>
        <v>0</v>
      </c>
      <c r="X682" s="291">
        <f t="shared" si="317"/>
        <v>-10348.799999999999</v>
      </c>
      <c r="Y682" s="170">
        <f t="shared" si="314"/>
        <v>1460.69</v>
      </c>
      <c r="Z682" s="291">
        <f t="shared" si="315"/>
        <v>-1460.69</v>
      </c>
      <c r="AC682" s="276">
        <f>IF(AI682=1,IF(AC681=MiscData!$F$1,EOMONTH(AC681,-11),EOMONTH(AC681,1)),AC681)</f>
        <v>41943</v>
      </c>
      <c r="AD682" s="275" t="str">
        <f t="shared" ref="AD682:AD745" si="324">CONCATENATE(AH682&amp;AJ682)</f>
        <v>20140101LGUM_314</v>
      </c>
      <c r="AE682" s="294" t="str">
        <f t="shared" ref="AE682:AE745" si="325">CONCATENATE(AH682&amp;AK682)</f>
        <v>20140101RLS</v>
      </c>
      <c r="AF682" s="618" t="str">
        <f t="shared" si="318"/>
        <v>314</v>
      </c>
      <c r="AH682" s="265">
        <f>MiscData!$X$5</f>
        <v>20140101</v>
      </c>
      <c r="AI682" s="265">
        <f>IF(AI681+1&gt;MiscData!$AC$77,1,AI681+1)</f>
        <v>22</v>
      </c>
      <c r="AJ682" s="265" t="str">
        <f>VLOOKUP(AI682,MiscData!$AC$5:$AD$77,2,FALSE)</f>
        <v>LGUM_314</v>
      </c>
      <c r="AK682" s="265" t="str">
        <f>VLOOKUP(AJ682,MiscData!$AD$5:$AE$77,2,FALSE)</f>
        <v>RLS</v>
      </c>
      <c r="AT682" s="265" t="s">
        <v>295</v>
      </c>
      <c r="AV682" s="265">
        <v>0</v>
      </c>
    </row>
    <row r="683" spans="1:48">
      <c r="A683" s="275">
        <f t="shared" si="319"/>
        <v>680</v>
      </c>
      <c r="B683" s="276" t="str">
        <f t="shared" si="321"/>
        <v>Oct 2014</v>
      </c>
      <c r="C683" s="277" t="str">
        <f t="shared" si="322"/>
        <v>RLS</v>
      </c>
      <c r="D683" s="277" t="str">
        <f t="shared" si="323"/>
        <v>LGUM_315</v>
      </c>
      <c r="E683" s="614">
        <f t="shared" si="301"/>
        <v>516</v>
      </c>
      <c r="F683" s="615">
        <v>0</v>
      </c>
      <c r="G683" s="614">
        <f t="shared" si="302"/>
        <v>0</v>
      </c>
      <c r="H683" s="615">
        <v>0</v>
      </c>
      <c r="I683" s="283">
        <f t="shared" si="303"/>
        <v>22.949999999999996</v>
      </c>
      <c r="J683" s="283">
        <f t="shared" si="304"/>
        <v>4.1999999999999993</v>
      </c>
      <c r="K683" s="285">
        <f t="shared" si="305"/>
        <v>11842.2</v>
      </c>
      <c r="L683" s="286">
        <v>0</v>
      </c>
      <c r="M683" s="286">
        <v>0</v>
      </c>
      <c r="N683" s="285">
        <f t="shared" si="306"/>
        <v>11842.2</v>
      </c>
      <c r="O683" s="616">
        <f t="shared" si="320"/>
        <v>0</v>
      </c>
      <c r="P683" s="289">
        <f t="shared" si="307"/>
        <v>0</v>
      </c>
      <c r="Q683" s="290">
        <f t="shared" si="308"/>
        <v>0</v>
      </c>
      <c r="R683" s="290">
        <f t="shared" si="309"/>
        <v>0</v>
      </c>
      <c r="S683" s="290">
        <f t="shared" si="310"/>
        <v>0</v>
      </c>
      <c r="T683" s="290">
        <f t="shared" si="311"/>
        <v>0</v>
      </c>
      <c r="U683" s="291">
        <f t="shared" si="312"/>
        <v>11842.2</v>
      </c>
      <c r="V683" s="291">
        <f t="shared" si="316"/>
        <v>-11842.2</v>
      </c>
      <c r="W683" s="265">
        <f t="shared" si="313"/>
        <v>0</v>
      </c>
      <c r="X683" s="291">
        <f t="shared" si="317"/>
        <v>-11842.2</v>
      </c>
      <c r="Y683" s="170">
        <f t="shared" si="314"/>
        <v>2167.1999999999998</v>
      </c>
      <c r="Z683" s="291">
        <f t="shared" si="315"/>
        <v>-2167.1999999999998</v>
      </c>
      <c r="AC683" s="276">
        <f>IF(AI683=1,IF(AC682=MiscData!$F$1,EOMONTH(AC682,-11),EOMONTH(AC682,1)),AC682)</f>
        <v>41943</v>
      </c>
      <c r="AD683" s="275" t="str">
        <f t="shared" si="324"/>
        <v>20140101LGUM_315</v>
      </c>
      <c r="AE683" s="294" t="str">
        <f t="shared" si="325"/>
        <v>20140101RLS</v>
      </c>
      <c r="AF683" s="618" t="str">
        <f t="shared" si="318"/>
        <v>315</v>
      </c>
      <c r="AH683" s="265">
        <f>MiscData!$X$5</f>
        <v>20140101</v>
      </c>
      <c r="AI683" s="265">
        <f>IF(AI682+1&gt;MiscData!$AC$77,1,AI682+1)</f>
        <v>23</v>
      </c>
      <c r="AJ683" s="265" t="str">
        <f>VLOOKUP(AI683,MiscData!$AC$5:$AD$77,2,FALSE)</f>
        <v>LGUM_315</v>
      </c>
      <c r="AK683" s="265" t="str">
        <f>VLOOKUP(AJ683,MiscData!$AD$5:$AE$77,2,FALSE)</f>
        <v>RLS</v>
      </c>
      <c r="AT683" s="265" t="s">
        <v>296</v>
      </c>
      <c r="AV683" s="265">
        <v>0</v>
      </c>
    </row>
    <row r="684" spans="1:48">
      <c r="A684" s="275">
        <f t="shared" si="319"/>
        <v>681</v>
      </c>
      <c r="B684" s="276" t="str">
        <f t="shared" si="321"/>
        <v>Oct 2014</v>
      </c>
      <c r="C684" s="277" t="str">
        <f t="shared" si="322"/>
        <v>RLS</v>
      </c>
      <c r="D684" s="277" t="str">
        <f t="shared" si="323"/>
        <v>LGUM_318</v>
      </c>
      <c r="E684" s="614">
        <f t="shared" si="301"/>
        <v>52</v>
      </c>
      <c r="F684" s="615">
        <v>0</v>
      </c>
      <c r="G684" s="614">
        <f t="shared" si="302"/>
        <v>0</v>
      </c>
      <c r="H684" s="615">
        <v>0</v>
      </c>
      <c r="I684" s="283">
        <f t="shared" si="303"/>
        <v>17.419999999999998</v>
      </c>
      <c r="J684" s="283">
        <f t="shared" si="304"/>
        <v>1.9100000000000001</v>
      </c>
      <c r="K684" s="285">
        <f t="shared" si="305"/>
        <v>905.84</v>
      </c>
      <c r="L684" s="286">
        <v>0</v>
      </c>
      <c r="M684" s="286">
        <v>0</v>
      </c>
      <c r="N684" s="285">
        <f t="shared" si="306"/>
        <v>905.84</v>
      </c>
      <c r="O684" s="616">
        <f t="shared" si="320"/>
        <v>0</v>
      </c>
      <c r="P684" s="289">
        <f t="shared" si="307"/>
        <v>0</v>
      </c>
      <c r="Q684" s="290">
        <f t="shared" si="308"/>
        <v>0</v>
      </c>
      <c r="R684" s="290">
        <f t="shared" si="309"/>
        <v>0</v>
      </c>
      <c r="S684" s="290">
        <f t="shared" si="310"/>
        <v>0</v>
      </c>
      <c r="T684" s="290">
        <f t="shared" si="311"/>
        <v>0</v>
      </c>
      <c r="U684" s="291">
        <f t="shared" si="312"/>
        <v>905.84</v>
      </c>
      <c r="V684" s="291">
        <f t="shared" si="316"/>
        <v>-905.84</v>
      </c>
      <c r="W684" s="265">
        <f t="shared" si="313"/>
        <v>0</v>
      </c>
      <c r="X684" s="291">
        <f t="shared" si="317"/>
        <v>-905.84</v>
      </c>
      <c r="Y684" s="170">
        <f t="shared" si="314"/>
        <v>99.32</v>
      </c>
      <c r="Z684" s="291">
        <f t="shared" si="315"/>
        <v>-99.32</v>
      </c>
      <c r="AC684" s="276">
        <f>IF(AI684=1,IF(AC683=MiscData!$F$1,EOMONTH(AC683,-11),EOMONTH(AC683,1)),AC683)</f>
        <v>41943</v>
      </c>
      <c r="AD684" s="275" t="str">
        <f t="shared" si="324"/>
        <v>20140101LGUM_318</v>
      </c>
      <c r="AE684" s="294" t="str">
        <f t="shared" si="325"/>
        <v>20140101RLS</v>
      </c>
      <c r="AF684" s="618" t="str">
        <f t="shared" si="318"/>
        <v>318</v>
      </c>
      <c r="AH684" s="265">
        <f>MiscData!$X$5</f>
        <v>20140101</v>
      </c>
      <c r="AI684" s="265">
        <f>IF(AI683+1&gt;MiscData!$AC$77,1,AI683+1)</f>
        <v>24</v>
      </c>
      <c r="AJ684" s="265" t="str">
        <f>VLOOKUP(AI684,MiscData!$AC$5:$AD$77,2,FALSE)</f>
        <v>LGUM_318</v>
      </c>
      <c r="AK684" s="265" t="str">
        <f>VLOOKUP(AJ684,MiscData!$AD$5:$AE$77,2,FALSE)</f>
        <v>RLS</v>
      </c>
      <c r="AT684" s="265" t="s">
        <v>577</v>
      </c>
      <c r="AV684" s="265">
        <v>0</v>
      </c>
    </row>
    <row r="685" spans="1:48">
      <c r="A685" s="275">
        <f t="shared" si="319"/>
        <v>682</v>
      </c>
      <c r="B685" s="276" t="str">
        <f t="shared" si="321"/>
        <v>Oct 2014</v>
      </c>
      <c r="C685" s="277" t="str">
        <f t="shared" si="322"/>
        <v>RLS</v>
      </c>
      <c r="D685" s="277" t="str">
        <f t="shared" si="323"/>
        <v>LGUM_347</v>
      </c>
      <c r="E685" s="614">
        <f t="shared" si="301"/>
        <v>0</v>
      </c>
      <c r="F685" s="615">
        <v>0</v>
      </c>
      <c r="G685" s="614">
        <f t="shared" si="302"/>
        <v>0</v>
      </c>
      <c r="H685" s="615">
        <v>0</v>
      </c>
      <c r="I685" s="283">
        <f t="shared" si="303"/>
        <v>22.939999999999998</v>
      </c>
      <c r="J685" s="283">
        <f t="shared" si="304"/>
        <v>26.14</v>
      </c>
      <c r="K685" s="285">
        <f t="shared" si="305"/>
        <v>0</v>
      </c>
      <c r="L685" s="286">
        <v>0</v>
      </c>
      <c r="M685" s="286">
        <v>0</v>
      </c>
      <c r="N685" s="285">
        <f t="shared" si="306"/>
        <v>0</v>
      </c>
      <c r="O685" s="616">
        <f t="shared" si="320"/>
        <v>0</v>
      </c>
      <c r="P685" s="289">
        <f t="shared" si="307"/>
        <v>1</v>
      </c>
      <c r="Q685" s="290">
        <f t="shared" si="308"/>
        <v>0</v>
      </c>
      <c r="R685" s="290">
        <f t="shared" si="309"/>
        <v>0</v>
      </c>
      <c r="S685" s="290">
        <f t="shared" si="310"/>
        <v>0</v>
      </c>
      <c r="T685" s="290">
        <f t="shared" si="311"/>
        <v>0</v>
      </c>
      <c r="U685" s="291">
        <f t="shared" si="312"/>
        <v>0</v>
      </c>
      <c r="V685" s="291">
        <f t="shared" si="316"/>
        <v>0</v>
      </c>
      <c r="W685" s="265">
        <f t="shared" si="313"/>
        <v>0</v>
      </c>
      <c r="X685" s="291">
        <f t="shared" si="317"/>
        <v>0</v>
      </c>
      <c r="Y685" s="170">
        <f t="shared" si="314"/>
        <v>0</v>
      </c>
      <c r="Z685" s="291">
        <f t="shared" si="315"/>
        <v>0</v>
      </c>
      <c r="AC685" s="276">
        <f>IF(AI685=1,IF(AC684=MiscData!$F$1,EOMONTH(AC684,-11),EOMONTH(AC684,1)),AC684)</f>
        <v>41943</v>
      </c>
      <c r="AD685" s="275" t="str">
        <f t="shared" si="324"/>
        <v>20140101LGUM_347</v>
      </c>
      <c r="AE685" s="294" t="str">
        <f t="shared" si="325"/>
        <v>20140101RLS</v>
      </c>
      <c r="AF685" s="618" t="str">
        <f t="shared" si="318"/>
        <v>347</v>
      </c>
      <c r="AH685" s="265">
        <f>MiscData!$X$5</f>
        <v>20140101</v>
      </c>
      <c r="AI685" s="265">
        <f>IF(AI684+1&gt;MiscData!$AC$77,1,AI684+1)</f>
        <v>25</v>
      </c>
      <c r="AJ685" s="265" t="str">
        <f>VLOOKUP(AI685,MiscData!$AC$5:$AD$77,2,FALSE)</f>
        <v>LGUM_347</v>
      </c>
      <c r="AK685" s="265" t="str">
        <f>VLOOKUP(AJ685,MiscData!$AD$5:$AE$77,2,FALSE)</f>
        <v>RLS</v>
      </c>
      <c r="AT685" s="265" t="s">
        <v>579</v>
      </c>
      <c r="AV685" s="265">
        <v>0</v>
      </c>
    </row>
    <row r="686" spans="1:48">
      <c r="A686" s="275">
        <f t="shared" si="319"/>
        <v>683</v>
      </c>
      <c r="B686" s="276" t="str">
        <f t="shared" si="321"/>
        <v>Oct 2014</v>
      </c>
      <c r="C686" s="277" t="str">
        <f t="shared" si="322"/>
        <v>RLS</v>
      </c>
      <c r="D686" s="277" t="str">
        <f t="shared" si="323"/>
        <v>LGUM_348</v>
      </c>
      <c r="E686" s="614">
        <f t="shared" si="301"/>
        <v>38</v>
      </c>
      <c r="F686" s="615">
        <v>0</v>
      </c>
      <c r="G686" s="614">
        <f t="shared" si="302"/>
        <v>0</v>
      </c>
      <c r="H686" s="615">
        <v>0</v>
      </c>
      <c r="I686" s="283">
        <f t="shared" si="303"/>
        <v>13.12</v>
      </c>
      <c r="J686" s="283">
        <f t="shared" si="304"/>
        <v>2.9800000000000004</v>
      </c>
      <c r="K686" s="285">
        <f t="shared" si="305"/>
        <v>498.56</v>
      </c>
      <c r="L686" s="286">
        <v>0</v>
      </c>
      <c r="M686" s="286">
        <v>0</v>
      </c>
      <c r="N686" s="285">
        <f t="shared" si="306"/>
        <v>498.56</v>
      </c>
      <c r="O686" s="616">
        <f t="shared" si="320"/>
        <v>0</v>
      </c>
      <c r="P686" s="289">
        <f t="shared" si="307"/>
        <v>0</v>
      </c>
      <c r="Q686" s="290">
        <f t="shared" si="308"/>
        <v>0</v>
      </c>
      <c r="R686" s="290">
        <f t="shared" si="309"/>
        <v>0</v>
      </c>
      <c r="S686" s="290">
        <f t="shared" si="310"/>
        <v>0</v>
      </c>
      <c r="T686" s="290">
        <f t="shared" si="311"/>
        <v>0</v>
      </c>
      <c r="U686" s="291">
        <f t="shared" si="312"/>
        <v>498.56</v>
      </c>
      <c r="V686" s="291">
        <f t="shared" si="316"/>
        <v>-498.56</v>
      </c>
      <c r="W686" s="265">
        <f t="shared" si="313"/>
        <v>0</v>
      </c>
      <c r="X686" s="291">
        <f t="shared" si="317"/>
        <v>-498.56</v>
      </c>
      <c r="Y686" s="170">
        <f t="shared" si="314"/>
        <v>113.24</v>
      </c>
      <c r="Z686" s="291">
        <f t="shared" si="315"/>
        <v>-113.24</v>
      </c>
      <c r="AC686" s="276">
        <f>IF(AI686=1,IF(AC685=MiscData!$F$1,EOMONTH(AC685,-11),EOMONTH(AC685,1)),AC685)</f>
        <v>41943</v>
      </c>
      <c r="AD686" s="275" t="str">
        <f t="shared" si="324"/>
        <v>20140101LGUM_348</v>
      </c>
      <c r="AE686" s="294" t="str">
        <f t="shared" si="325"/>
        <v>20140101RLS</v>
      </c>
      <c r="AF686" s="618" t="str">
        <f t="shared" si="318"/>
        <v>348</v>
      </c>
      <c r="AH686" s="265">
        <f>MiscData!$X$5</f>
        <v>20140101</v>
      </c>
      <c r="AI686" s="265">
        <f>IF(AI685+1&gt;MiscData!$AC$77,1,AI685+1)</f>
        <v>26</v>
      </c>
      <c r="AJ686" s="265" t="str">
        <f>VLOOKUP(AI686,MiscData!$AC$5:$AD$77,2,FALSE)</f>
        <v>LGUM_348</v>
      </c>
      <c r="AK686" s="265" t="str">
        <f>VLOOKUP(AJ686,MiscData!$AD$5:$AE$77,2,FALSE)</f>
        <v>RLS</v>
      </c>
      <c r="AT686" s="265" t="s">
        <v>581</v>
      </c>
      <c r="AV686" s="265">
        <v>0</v>
      </c>
    </row>
    <row r="687" spans="1:48">
      <c r="A687" s="275">
        <f t="shared" si="319"/>
        <v>684</v>
      </c>
      <c r="B687" s="276" t="str">
        <f t="shared" si="321"/>
        <v>Oct 2014</v>
      </c>
      <c r="C687" s="277" t="str">
        <f t="shared" si="322"/>
        <v>RLS</v>
      </c>
      <c r="D687" s="277" t="str">
        <f t="shared" si="323"/>
        <v>LGUM_349</v>
      </c>
      <c r="E687" s="614">
        <f t="shared" si="301"/>
        <v>16</v>
      </c>
      <c r="F687" s="615">
        <v>0</v>
      </c>
      <c r="G687" s="614">
        <f t="shared" si="302"/>
        <v>0</v>
      </c>
      <c r="H687" s="615">
        <v>0</v>
      </c>
      <c r="I687" s="283">
        <f t="shared" si="303"/>
        <v>9.0200000000000014</v>
      </c>
      <c r="J687" s="283">
        <f t="shared" si="304"/>
        <v>0.91000000000000014</v>
      </c>
      <c r="K687" s="285">
        <f t="shared" si="305"/>
        <v>144.32</v>
      </c>
      <c r="L687" s="286">
        <v>0</v>
      </c>
      <c r="M687" s="286">
        <v>0</v>
      </c>
      <c r="N687" s="285">
        <f t="shared" si="306"/>
        <v>144.32</v>
      </c>
      <c r="O687" s="616">
        <f t="shared" si="320"/>
        <v>0</v>
      </c>
      <c r="P687" s="289">
        <f t="shared" si="307"/>
        <v>0</v>
      </c>
      <c r="Q687" s="290">
        <f t="shared" si="308"/>
        <v>0</v>
      </c>
      <c r="R687" s="290">
        <f t="shared" si="309"/>
        <v>0</v>
      </c>
      <c r="S687" s="290">
        <f t="shared" si="310"/>
        <v>0</v>
      </c>
      <c r="T687" s="290">
        <f t="shared" si="311"/>
        <v>0</v>
      </c>
      <c r="U687" s="291">
        <f t="shared" si="312"/>
        <v>144.32</v>
      </c>
      <c r="V687" s="291">
        <f t="shared" si="316"/>
        <v>-144.32</v>
      </c>
      <c r="W687" s="265">
        <f t="shared" si="313"/>
        <v>0</v>
      </c>
      <c r="X687" s="291">
        <f t="shared" si="317"/>
        <v>-144.32</v>
      </c>
      <c r="Y687" s="170">
        <f t="shared" si="314"/>
        <v>14.56</v>
      </c>
      <c r="Z687" s="291">
        <f t="shared" si="315"/>
        <v>-14.56</v>
      </c>
      <c r="AC687" s="276">
        <f>IF(AI687=1,IF(AC686=MiscData!$F$1,EOMONTH(AC686,-11),EOMONTH(AC686,1)),AC686)</f>
        <v>41943</v>
      </c>
      <c r="AD687" s="275" t="str">
        <f t="shared" si="324"/>
        <v>20140101LGUM_349</v>
      </c>
      <c r="AE687" s="294" t="str">
        <f t="shared" si="325"/>
        <v>20140101RLS</v>
      </c>
      <c r="AF687" s="618" t="str">
        <f t="shared" si="318"/>
        <v>349</v>
      </c>
      <c r="AH687" s="265">
        <f>MiscData!$X$5</f>
        <v>20140101</v>
      </c>
      <c r="AI687" s="265">
        <f>IF(AI686+1&gt;MiscData!$AC$77,1,AI686+1)</f>
        <v>27</v>
      </c>
      <c r="AJ687" s="265" t="str">
        <f>VLOOKUP(AI687,MiscData!$AC$5:$AD$77,2,FALSE)</f>
        <v>LGUM_349</v>
      </c>
      <c r="AK687" s="265" t="str">
        <f>VLOOKUP(AJ687,MiscData!$AD$5:$AE$77,2,FALSE)</f>
        <v>RLS</v>
      </c>
      <c r="AT687" s="265" t="s">
        <v>297</v>
      </c>
      <c r="AV687" s="265">
        <v>0</v>
      </c>
    </row>
    <row r="688" spans="1:48">
      <c r="A688" s="275">
        <f t="shared" si="319"/>
        <v>685</v>
      </c>
      <c r="B688" s="276" t="str">
        <f t="shared" si="321"/>
        <v>Oct 2014</v>
      </c>
      <c r="C688" s="277" t="str">
        <f t="shared" si="322"/>
        <v xml:space="preserve">LS </v>
      </c>
      <c r="D688" s="277" t="str">
        <f t="shared" si="323"/>
        <v>LGUM_400</v>
      </c>
      <c r="E688" s="614">
        <f t="shared" si="301"/>
        <v>47</v>
      </c>
      <c r="F688" s="615">
        <v>0</v>
      </c>
      <c r="G688" s="614">
        <f t="shared" si="302"/>
        <v>0</v>
      </c>
      <c r="H688" s="615">
        <v>0</v>
      </c>
      <c r="I688" s="283">
        <f t="shared" si="303"/>
        <v>23.89</v>
      </c>
      <c r="J688" s="283">
        <f t="shared" si="304"/>
        <v>1.0199999999999996</v>
      </c>
      <c r="K688" s="285">
        <f t="shared" si="305"/>
        <v>1122.83</v>
      </c>
      <c r="L688" s="286">
        <v>0</v>
      </c>
      <c r="M688" s="286">
        <v>0</v>
      </c>
      <c r="N688" s="285">
        <f t="shared" si="306"/>
        <v>1122.83</v>
      </c>
      <c r="O688" s="616">
        <f t="shared" si="320"/>
        <v>0</v>
      </c>
      <c r="P688" s="289">
        <f t="shared" si="307"/>
        <v>0</v>
      </c>
      <c r="Q688" s="290">
        <f t="shared" si="308"/>
        <v>0</v>
      </c>
      <c r="R688" s="290">
        <f t="shared" si="309"/>
        <v>0</v>
      </c>
      <c r="S688" s="290">
        <f t="shared" si="310"/>
        <v>0</v>
      </c>
      <c r="T688" s="290">
        <f t="shared" si="311"/>
        <v>0</v>
      </c>
      <c r="U688" s="291">
        <f t="shared" si="312"/>
        <v>1122.83</v>
      </c>
      <c r="V688" s="291">
        <f t="shared" si="316"/>
        <v>-1122.83</v>
      </c>
      <c r="W688" s="265">
        <f t="shared" si="313"/>
        <v>0</v>
      </c>
      <c r="X688" s="291">
        <f t="shared" si="317"/>
        <v>-1122.83</v>
      </c>
      <c r="Y688" s="170">
        <f t="shared" si="314"/>
        <v>47.94</v>
      </c>
      <c r="Z688" s="291">
        <f t="shared" si="315"/>
        <v>-47.94</v>
      </c>
      <c r="AC688" s="276">
        <f>IF(AI688=1,IF(AC687=MiscData!$F$1,EOMONTH(AC687,-11),EOMONTH(AC687,1)),AC687)</f>
        <v>41943</v>
      </c>
      <c r="AD688" s="275" t="str">
        <f t="shared" si="324"/>
        <v>20140101LGUM_400</v>
      </c>
      <c r="AE688" s="294" t="str">
        <f t="shared" si="325"/>
        <v xml:space="preserve">20140101LS </v>
      </c>
      <c r="AF688" s="618" t="str">
        <f t="shared" si="318"/>
        <v>400</v>
      </c>
      <c r="AH688" s="265">
        <f>MiscData!$X$5</f>
        <v>20140101</v>
      </c>
      <c r="AI688" s="265">
        <f>IF(AI687+1&gt;MiscData!$AC$77,1,AI687+1)</f>
        <v>28</v>
      </c>
      <c r="AJ688" s="265" t="str">
        <f>VLOOKUP(AI688,MiscData!$AC$5:$AD$77,2,FALSE)</f>
        <v>LGUM_400</v>
      </c>
      <c r="AK688" s="265" t="str">
        <f>VLOOKUP(AJ688,MiscData!$AD$5:$AE$77,2,FALSE)</f>
        <v xml:space="preserve">LS </v>
      </c>
      <c r="AT688" s="265" t="s">
        <v>299</v>
      </c>
      <c r="AV688" s="265">
        <v>0</v>
      </c>
    </row>
    <row r="689" spans="1:48">
      <c r="A689" s="275">
        <f t="shared" si="319"/>
        <v>686</v>
      </c>
      <c r="B689" s="276" t="str">
        <f t="shared" si="321"/>
        <v>Oct 2014</v>
      </c>
      <c r="C689" s="277" t="str">
        <f t="shared" si="322"/>
        <v xml:space="preserve">LS </v>
      </c>
      <c r="D689" s="277" t="str">
        <f t="shared" si="323"/>
        <v>LGUM_401</v>
      </c>
      <c r="E689" s="614">
        <f t="shared" si="301"/>
        <v>4</v>
      </c>
      <c r="F689" s="615">
        <v>0</v>
      </c>
      <c r="G689" s="614">
        <f t="shared" si="302"/>
        <v>0</v>
      </c>
      <c r="H689" s="615">
        <v>0</v>
      </c>
      <c r="I689" s="283">
        <f t="shared" si="303"/>
        <v>24.9</v>
      </c>
      <c r="J689" s="283">
        <f t="shared" si="304"/>
        <v>1.0599999999999987</v>
      </c>
      <c r="K689" s="285">
        <f t="shared" si="305"/>
        <v>99.6</v>
      </c>
      <c r="L689" s="286">
        <v>0</v>
      </c>
      <c r="M689" s="286">
        <v>0</v>
      </c>
      <c r="N689" s="285">
        <f t="shared" si="306"/>
        <v>99.6</v>
      </c>
      <c r="O689" s="616">
        <f t="shared" si="320"/>
        <v>0</v>
      </c>
      <c r="P689" s="289">
        <f t="shared" si="307"/>
        <v>0</v>
      </c>
      <c r="Q689" s="290">
        <f t="shared" si="308"/>
        <v>0</v>
      </c>
      <c r="R689" s="290">
        <f t="shared" si="309"/>
        <v>0</v>
      </c>
      <c r="S689" s="290">
        <f t="shared" si="310"/>
        <v>0</v>
      </c>
      <c r="T689" s="290">
        <f t="shared" si="311"/>
        <v>0</v>
      </c>
      <c r="U689" s="291">
        <f t="shared" si="312"/>
        <v>99.6</v>
      </c>
      <c r="V689" s="291">
        <f t="shared" si="316"/>
        <v>-99.6</v>
      </c>
      <c r="W689" s="265">
        <f t="shared" si="313"/>
        <v>0</v>
      </c>
      <c r="X689" s="291">
        <f t="shared" si="317"/>
        <v>-99.6</v>
      </c>
      <c r="Y689" s="170">
        <f t="shared" si="314"/>
        <v>4.24</v>
      </c>
      <c r="Z689" s="291">
        <f t="shared" si="315"/>
        <v>-4.24</v>
      </c>
      <c r="AC689" s="276">
        <f>IF(AI689=1,IF(AC688=MiscData!$F$1,EOMONTH(AC688,-11),EOMONTH(AC688,1)),AC688)</f>
        <v>41943</v>
      </c>
      <c r="AD689" s="275" t="str">
        <f t="shared" si="324"/>
        <v>20140101LGUM_401</v>
      </c>
      <c r="AE689" s="294" t="str">
        <f t="shared" si="325"/>
        <v xml:space="preserve">20140101LS </v>
      </c>
      <c r="AF689" s="618" t="str">
        <f t="shared" si="318"/>
        <v>401</v>
      </c>
      <c r="AH689" s="265">
        <f>MiscData!$X$5</f>
        <v>20140101</v>
      </c>
      <c r="AI689" s="265">
        <f>IF(AI688+1&gt;MiscData!$AC$77,1,AI688+1)</f>
        <v>29</v>
      </c>
      <c r="AJ689" s="265" t="str">
        <f>VLOOKUP(AI689,MiscData!$AC$5:$AD$77,2,FALSE)</f>
        <v>LGUM_401</v>
      </c>
      <c r="AK689" s="265" t="str">
        <f>VLOOKUP(AJ689,MiscData!$AD$5:$AE$77,2,FALSE)</f>
        <v xml:space="preserve">LS </v>
      </c>
      <c r="AT689" s="265" t="s">
        <v>301</v>
      </c>
      <c r="AV689" s="265">
        <v>0</v>
      </c>
    </row>
    <row r="690" spans="1:48">
      <c r="A690" s="275">
        <f t="shared" si="319"/>
        <v>687</v>
      </c>
      <c r="B690" s="276" t="str">
        <f t="shared" si="321"/>
        <v>Oct 2014</v>
      </c>
      <c r="C690" s="277" t="str">
        <f t="shared" si="322"/>
        <v xml:space="preserve">LS </v>
      </c>
      <c r="D690" s="277" t="str">
        <f t="shared" si="323"/>
        <v>LGUM_412</v>
      </c>
      <c r="E690" s="614">
        <f t="shared" si="301"/>
        <v>215</v>
      </c>
      <c r="F690" s="615">
        <v>0</v>
      </c>
      <c r="G690" s="614">
        <f t="shared" si="302"/>
        <v>0</v>
      </c>
      <c r="H690" s="615">
        <v>0</v>
      </c>
      <c r="I690" s="283">
        <f t="shared" si="303"/>
        <v>19.79</v>
      </c>
      <c r="J690" s="283">
        <f t="shared" si="304"/>
        <v>0.74999999999999645</v>
      </c>
      <c r="K690" s="285">
        <f t="shared" si="305"/>
        <v>4254.8500000000004</v>
      </c>
      <c r="L690" s="286">
        <v>0</v>
      </c>
      <c r="M690" s="286">
        <v>0</v>
      </c>
      <c r="N690" s="285">
        <f t="shared" si="306"/>
        <v>4254.8500000000004</v>
      </c>
      <c r="O690" s="616">
        <f t="shared" si="320"/>
        <v>0</v>
      </c>
      <c r="P690" s="289">
        <f t="shared" si="307"/>
        <v>0</v>
      </c>
      <c r="Q690" s="290">
        <f t="shared" si="308"/>
        <v>0</v>
      </c>
      <c r="R690" s="290">
        <f t="shared" si="309"/>
        <v>0</v>
      </c>
      <c r="S690" s="290">
        <f t="shared" si="310"/>
        <v>0</v>
      </c>
      <c r="T690" s="290">
        <f t="shared" si="311"/>
        <v>0</v>
      </c>
      <c r="U690" s="291">
        <f t="shared" si="312"/>
        <v>4254.8500000000004</v>
      </c>
      <c r="V690" s="291">
        <f t="shared" si="316"/>
        <v>-4254.8500000000004</v>
      </c>
      <c r="W690" s="265">
        <f t="shared" si="313"/>
        <v>0</v>
      </c>
      <c r="X690" s="291">
        <f t="shared" si="317"/>
        <v>-4254.8500000000004</v>
      </c>
      <c r="Y690" s="170">
        <f t="shared" si="314"/>
        <v>161.25</v>
      </c>
      <c r="Z690" s="291">
        <f t="shared" si="315"/>
        <v>-161.25</v>
      </c>
      <c r="AC690" s="276">
        <f>IF(AI690=1,IF(AC689=MiscData!$F$1,EOMONTH(AC689,-11),EOMONTH(AC689,1)),AC689)</f>
        <v>41943</v>
      </c>
      <c r="AD690" s="275" t="str">
        <f t="shared" si="324"/>
        <v>20140101LGUM_412</v>
      </c>
      <c r="AE690" s="294" t="str">
        <f t="shared" si="325"/>
        <v xml:space="preserve">20140101LS </v>
      </c>
      <c r="AF690" s="618" t="str">
        <f t="shared" si="318"/>
        <v>412</v>
      </c>
      <c r="AH690" s="265">
        <f>MiscData!$X$5</f>
        <v>20140101</v>
      </c>
      <c r="AI690" s="265">
        <f>IF(AI689+1&gt;MiscData!$AC$77,1,AI689+1)</f>
        <v>30</v>
      </c>
      <c r="AJ690" s="265" t="str">
        <f>VLOOKUP(AI690,MiscData!$AC$5:$AD$77,2,FALSE)</f>
        <v>LGUM_412</v>
      </c>
      <c r="AK690" s="265" t="str">
        <f>VLOOKUP(AJ690,MiscData!$AD$5:$AE$77,2,FALSE)</f>
        <v xml:space="preserve">LS </v>
      </c>
      <c r="AT690" s="265" t="s">
        <v>302</v>
      </c>
      <c r="AV690" s="265">
        <v>-8.4</v>
      </c>
    </row>
    <row r="691" spans="1:48">
      <c r="A691" s="275">
        <f t="shared" si="319"/>
        <v>688</v>
      </c>
      <c r="B691" s="276" t="str">
        <f t="shared" si="321"/>
        <v>Oct 2014</v>
      </c>
      <c r="C691" s="277" t="str">
        <f t="shared" si="322"/>
        <v xml:space="preserve">LS </v>
      </c>
      <c r="D691" s="277" t="str">
        <f t="shared" si="323"/>
        <v>LGUM_413</v>
      </c>
      <c r="E691" s="614">
        <f t="shared" si="301"/>
        <v>2015</v>
      </c>
      <c r="F691" s="615">
        <v>0</v>
      </c>
      <c r="G691" s="614">
        <f t="shared" si="302"/>
        <v>0</v>
      </c>
      <c r="H691" s="615">
        <v>0</v>
      </c>
      <c r="I691" s="283">
        <f t="shared" si="303"/>
        <v>20.49</v>
      </c>
      <c r="J691" s="283">
        <f t="shared" si="304"/>
        <v>1.0599999999999987</v>
      </c>
      <c r="K691" s="285">
        <f t="shared" si="305"/>
        <v>41287.35</v>
      </c>
      <c r="L691" s="286">
        <v>0</v>
      </c>
      <c r="M691" s="286">
        <v>0</v>
      </c>
      <c r="N691" s="285">
        <f t="shared" si="306"/>
        <v>41287.35</v>
      </c>
      <c r="O691" s="616">
        <f t="shared" si="320"/>
        <v>0</v>
      </c>
      <c r="P691" s="289">
        <f t="shared" si="307"/>
        <v>0</v>
      </c>
      <c r="Q691" s="290">
        <f t="shared" si="308"/>
        <v>0</v>
      </c>
      <c r="R691" s="290">
        <f t="shared" si="309"/>
        <v>0</v>
      </c>
      <c r="S691" s="290">
        <f t="shared" si="310"/>
        <v>0</v>
      </c>
      <c r="T691" s="290">
        <f t="shared" si="311"/>
        <v>0</v>
      </c>
      <c r="U691" s="291">
        <f t="shared" si="312"/>
        <v>41287.35</v>
      </c>
      <c r="V691" s="291">
        <f t="shared" si="316"/>
        <v>-41287.35</v>
      </c>
      <c r="W691" s="265">
        <f t="shared" si="313"/>
        <v>0</v>
      </c>
      <c r="X691" s="291">
        <f t="shared" si="317"/>
        <v>-41287.35</v>
      </c>
      <c r="Y691" s="170">
        <f t="shared" si="314"/>
        <v>2135.9</v>
      </c>
      <c r="Z691" s="291">
        <f t="shared" si="315"/>
        <v>-2135.9</v>
      </c>
      <c r="AC691" s="276">
        <f>IF(AI691=1,IF(AC690=MiscData!$F$1,EOMONTH(AC690,-11),EOMONTH(AC690,1)),AC690)</f>
        <v>41943</v>
      </c>
      <c r="AD691" s="275" t="str">
        <f t="shared" si="324"/>
        <v>20140101LGUM_413</v>
      </c>
      <c r="AE691" s="294" t="str">
        <f t="shared" si="325"/>
        <v xml:space="preserve">20140101LS </v>
      </c>
      <c r="AF691" s="618" t="str">
        <f t="shared" si="318"/>
        <v>413</v>
      </c>
      <c r="AH691" s="265">
        <f>MiscData!$X$5</f>
        <v>20140101</v>
      </c>
      <c r="AI691" s="265">
        <f>IF(AI690+1&gt;MiscData!$AC$77,1,AI690+1)</f>
        <v>31</v>
      </c>
      <c r="AJ691" s="265" t="str">
        <f>VLOOKUP(AI691,MiscData!$AC$5:$AD$77,2,FALSE)</f>
        <v>LGUM_413</v>
      </c>
      <c r="AK691" s="265" t="str">
        <f>VLOOKUP(AJ691,MiscData!$AD$5:$AE$77,2,FALSE)</f>
        <v xml:space="preserve">LS </v>
      </c>
      <c r="AT691" s="265" t="s">
        <v>303</v>
      </c>
      <c r="AV691" s="265">
        <v>0</v>
      </c>
    </row>
    <row r="692" spans="1:48">
      <c r="A692" s="275">
        <f t="shared" si="319"/>
        <v>689</v>
      </c>
      <c r="B692" s="276" t="str">
        <f t="shared" si="321"/>
        <v>Oct 2014</v>
      </c>
      <c r="C692" s="277" t="str">
        <f t="shared" si="322"/>
        <v xml:space="preserve">LS </v>
      </c>
      <c r="D692" s="277" t="str">
        <f t="shared" si="323"/>
        <v>LGUM_415</v>
      </c>
      <c r="E692" s="614">
        <f t="shared" si="301"/>
        <v>26</v>
      </c>
      <c r="F692" s="615">
        <v>0</v>
      </c>
      <c r="G692" s="614">
        <f t="shared" si="302"/>
        <v>0</v>
      </c>
      <c r="H692" s="615">
        <v>0</v>
      </c>
      <c r="I692" s="283">
        <f t="shared" si="303"/>
        <v>20.18</v>
      </c>
      <c r="J692" s="283">
        <f t="shared" si="304"/>
        <v>0.75</v>
      </c>
      <c r="K692" s="285">
        <f t="shared" si="305"/>
        <v>524.67999999999995</v>
      </c>
      <c r="L692" s="286">
        <v>0</v>
      </c>
      <c r="M692" s="286">
        <v>0</v>
      </c>
      <c r="N692" s="285">
        <f t="shared" si="306"/>
        <v>524.67999999999995</v>
      </c>
      <c r="O692" s="616">
        <f t="shared" si="320"/>
        <v>0</v>
      </c>
      <c r="P692" s="289">
        <f t="shared" si="307"/>
        <v>0</v>
      </c>
      <c r="Q692" s="290">
        <f t="shared" si="308"/>
        <v>0</v>
      </c>
      <c r="R692" s="290">
        <f t="shared" si="309"/>
        <v>0</v>
      </c>
      <c r="S692" s="290">
        <f t="shared" si="310"/>
        <v>0</v>
      </c>
      <c r="T692" s="290">
        <f t="shared" si="311"/>
        <v>0</v>
      </c>
      <c r="U692" s="291">
        <f t="shared" si="312"/>
        <v>524.67999999999995</v>
      </c>
      <c r="V692" s="291">
        <f t="shared" si="316"/>
        <v>-524.67999999999995</v>
      </c>
      <c r="W692" s="265">
        <f t="shared" si="313"/>
        <v>0</v>
      </c>
      <c r="X692" s="291">
        <f t="shared" si="317"/>
        <v>-524.67999999999995</v>
      </c>
      <c r="Y692" s="170">
        <f t="shared" si="314"/>
        <v>19.5</v>
      </c>
      <c r="Z692" s="291">
        <f t="shared" si="315"/>
        <v>-19.5</v>
      </c>
      <c r="AC692" s="276">
        <f>IF(AI692=1,IF(AC691=MiscData!$F$1,EOMONTH(AC691,-11),EOMONTH(AC691,1)),AC691)</f>
        <v>41943</v>
      </c>
      <c r="AD692" s="275" t="str">
        <f t="shared" si="324"/>
        <v>20140101LGUM_415</v>
      </c>
      <c r="AE692" s="294" t="str">
        <f t="shared" si="325"/>
        <v xml:space="preserve">20140101LS </v>
      </c>
      <c r="AF692" s="618" t="str">
        <f t="shared" si="318"/>
        <v>415</v>
      </c>
      <c r="AH692" s="265">
        <f>MiscData!$X$5</f>
        <v>20140101</v>
      </c>
      <c r="AI692" s="265">
        <f>IF(AI691+1&gt;MiscData!$AC$77,1,AI691+1)</f>
        <v>32</v>
      </c>
      <c r="AJ692" s="265" t="str">
        <f>VLOOKUP(AI692,MiscData!$AC$5:$AD$77,2,FALSE)</f>
        <v>LGUM_415</v>
      </c>
      <c r="AK692" s="265" t="str">
        <f>VLOOKUP(AJ692,MiscData!$AD$5:$AE$77,2,FALSE)</f>
        <v xml:space="preserve">LS </v>
      </c>
      <c r="AT692" s="265" t="s">
        <v>304</v>
      </c>
      <c r="AV692" s="265">
        <v>0</v>
      </c>
    </row>
    <row r="693" spans="1:48">
      <c r="A693" s="275">
        <f t="shared" si="319"/>
        <v>690</v>
      </c>
      <c r="B693" s="276" t="str">
        <f t="shared" si="321"/>
        <v>Oct 2014</v>
      </c>
      <c r="C693" s="277" t="str">
        <f t="shared" si="322"/>
        <v xml:space="preserve">LS </v>
      </c>
      <c r="D693" s="277" t="str">
        <f t="shared" si="323"/>
        <v>LGUM_416</v>
      </c>
      <c r="E693" s="614">
        <f t="shared" si="301"/>
        <v>1726</v>
      </c>
      <c r="F693" s="615">
        <v>0</v>
      </c>
      <c r="G693" s="614">
        <f t="shared" si="302"/>
        <v>0</v>
      </c>
      <c r="H693" s="615">
        <v>0</v>
      </c>
      <c r="I693" s="283">
        <f t="shared" si="303"/>
        <v>22.56</v>
      </c>
      <c r="J693" s="283">
        <f t="shared" si="304"/>
        <v>1.0599999999999987</v>
      </c>
      <c r="K693" s="285">
        <f t="shared" si="305"/>
        <v>38938.559999999998</v>
      </c>
      <c r="L693" s="286">
        <v>0</v>
      </c>
      <c r="M693" s="286">
        <v>0</v>
      </c>
      <c r="N693" s="285">
        <f t="shared" si="306"/>
        <v>38938.559999999998</v>
      </c>
      <c r="O693" s="616">
        <f t="shared" si="320"/>
        <v>0</v>
      </c>
      <c r="P693" s="289">
        <f t="shared" si="307"/>
        <v>0</v>
      </c>
      <c r="Q693" s="290">
        <f t="shared" si="308"/>
        <v>0</v>
      </c>
      <c r="R693" s="290">
        <f t="shared" si="309"/>
        <v>0</v>
      </c>
      <c r="S693" s="290">
        <f t="shared" si="310"/>
        <v>0</v>
      </c>
      <c r="T693" s="290">
        <f t="shared" si="311"/>
        <v>0</v>
      </c>
      <c r="U693" s="291">
        <f t="shared" si="312"/>
        <v>38938.559999999998</v>
      </c>
      <c r="V693" s="291">
        <f t="shared" si="316"/>
        <v>-38938.559999999998</v>
      </c>
      <c r="W693" s="265">
        <f t="shared" si="313"/>
        <v>0</v>
      </c>
      <c r="X693" s="291">
        <f t="shared" si="317"/>
        <v>-38938.559999999998</v>
      </c>
      <c r="Y693" s="170">
        <f t="shared" si="314"/>
        <v>1829.56</v>
      </c>
      <c r="Z693" s="291">
        <f t="shared" si="315"/>
        <v>-1829.56</v>
      </c>
      <c r="AC693" s="276">
        <f>IF(AI693=1,IF(AC692=MiscData!$F$1,EOMONTH(AC692,-11),EOMONTH(AC692,1)),AC692)</f>
        <v>41943</v>
      </c>
      <c r="AD693" s="275" t="str">
        <f t="shared" si="324"/>
        <v>20140101LGUM_416</v>
      </c>
      <c r="AE693" s="294" t="str">
        <f t="shared" si="325"/>
        <v xml:space="preserve">20140101LS </v>
      </c>
      <c r="AF693" s="618" t="str">
        <f t="shared" si="318"/>
        <v>416</v>
      </c>
      <c r="AH693" s="265">
        <f>MiscData!$X$5</f>
        <v>20140101</v>
      </c>
      <c r="AI693" s="265">
        <f>IF(AI692+1&gt;MiscData!$AC$77,1,AI692+1)</f>
        <v>33</v>
      </c>
      <c r="AJ693" s="265" t="str">
        <f>VLOOKUP(AI693,MiscData!$AC$5:$AD$77,2,FALSE)</f>
        <v>LGUM_416</v>
      </c>
      <c r="AK693" s="265" t="str">
        <f>VLOOKUP(AJ693,MiscData!$AD$5:$AE$77,2,FALSE)</f>
        <v xml:space="preserve">LS </v>
      </c>
      <c r="AT693" s="265" t="s">
        <v>585</v>
      </c>
      <c r="AV693" s="265">
        <v>0</v>
      </c>
    </row>
    <row r="694" spans="1:48">
      <c r="A694" s="275">
        <f t="shared" si="319"/>
        <v>691</v>
      </c>
      <c r="B694" s="276" t="str">
        <f t="shared" si="321"/>
        <v>Oct 2014</v>
      </c>
      <c r="C694" s="277" t="str">
        <f t="shared" si="322"/>
        <v>RLS</v>
      </c>
      <c r="D694" s="277" t="str">
        <f t="shared" si="323"/>
        <v>LGUM_417</v>
      </c>
      <c r="E694" s="614">
        <f t="shared" si="301"/>
        <v>34</v>
      </c>
      <c r="F694" s="615">
        <v>0</v>
      </c>
      <c r="G694" s="614">
        <f t="shared" si="302"/>
        <v>0</v>
      </c>
      <c r="H694" s="615">
        <v>0</v>
      </c>
      <c r="I694" s="283">
        <f t="shared" si="303"/>
        <v>23.68</v>
      </c>
      <c r="J694" s="283">
        <f t="shared" si="304"/>
        <v>1.0300000000000011</v>
      </c>
      <c r="K694" s="285">
        <f t="shared" si="305"/>
        <v>805.12</v>
      </c>
      <c r="L694" s="286">
        <v>0</v>
      </c>
      <c r="M694" s="286">
        <v>0</v>
      </c>
      <c r="N694" s="285">
        <f t="shared" si="306"/>
        <v>805.12</v>
      </c>
      <c r="O694" s="616">
        <f t="shared" si="320"/>
        <v>0</v>
      </c>
      <c r="P694" s="289">
        <f t="shared" si="307"/>
        <v>0</v>
      </c>
      <c r="Q694" s="290">
        <f t="shared" si="308"/>
        <v>0</v>
      </c>
      <c r="R694" s="290">
        <f t="shared" si="309"/>
        <v>0</v>
      </c>
      <c r="S694" s="290">
        <f t="shared" si="310"/>
        <v>0</v>
      </c>
      <c r="T694" s="290">
        <f t="shared" si="311"/>
        <v>0</v>
      </c>
      <c r="U694" s="291">
        <f t="shared" si="312"/>
        <v>805.12</v>
      </c>
      <c r="V694" s="291">
        <f t="shared" si="316"/>
        <v>-805.12</v>
      </c>
      <c r="W694" s="265">
        <f t="shared" si="313"/>
        <v>0</v>
      </c>
      <c r="X694" s="291">
        <f t="shared" si="317"/>
        <v>-805.12</v>
      </c>
      <c r="Y694" s="170">
        <f t="shared" si="314"/>
        <v>35.020000000000003</v>
      </c>
      <c r="Z694" s="291">
        <f t="shared" si="315"/>
        <v>-35.020000000000003</v>
      </c>
      <c r="AC694" s="276">
        <f>IF(AI694=1,IF(AC693=MiscData!$F$1,EOMONTH(AC693,-11),EOMONTH(AC693,1)),AC693)</f>
        <v>41943</v>
      </c>
      <c r="AD694" s="275" t="str">
        <f t="shared" si="324"/>
        <v>20140101LGUM_417</v>
      </c>
      <c r="AE694" s="294" t="str">
        <f t="shared" si="325"/>
        <v>20140101RLS</v>
      </c>
      <c r="AF694" s="618" t="str">
        <f t="shared" si="318"/>
        <v>417</v>
      </c>
      <c r="AH694" s="265">
        <f>MiscData!$X$5</f>
        <v>20140101</v>
      </c>
      <c r="AI694" s="265">
        <f>IF(AI693+1&gt;MiscData!$AC$77,1,AI693+1)</f>
        <v>34</v>
      </c>
      <c r="AJ694" s="265" t="str">
        <f>VLOOKUP(AI694,MiscData!$AC$5:$AD$77,2,FALSE)</f>
        <v>LGUM_417</v>
      </c>
      <c r="AK694" s="265" t="str">
        <f>VLOOKUP(AJ694,MiscData!$AD$5:$AE$77,2,FALSE)</f>
        <v>RLS</v>
      </c>
      <c r="AT694" s="265" t="s">
        <v>305</v>
      </c>
      <c r="AV694" s="265">
        <v>0</v>
      </c>
    </row>
    <row r="695" spans="1:48">
      <c r="A695" s="275">
        <f t="shared" si="319"/>
        <v>692</v>
      </c>
      <c r="B695" s="276" t="str">
        <f t="shared" si="321"/>
        <v>Oct 2014</v>
      </c>
      <c r="C695" s="277" t="str">
        <f t="shared" si="322"/>
        <v>RLS</v>
      </c>
      <c r="D695" s="277" t="str">
        <f t="shared" si="323"/>
        <v>LGUM_419</v>
      </c>
      <c r="E695" s="614">
        <f t="shared" si="301"/>
        <v>108</v>
      </c>
      <c r="F695" s="615">
        <v>0</v>
      </c>
      <c r="G695" s="614">
        <f t="shared" si="302"/>
        <v>0</v>
      </c>
      <c r="H695" s="615">
        <v>0</v>
      </c>
      <c r="I695" s="283">
        <f t="shared" si="303"/>
        <v>24.77</v>
      </c>
      <c r="J695" s="283">
        <f t="shared" si="304"/>
        <v>1.6499999999999986</v>
      </c>
      <c r="K695" s="285">
        <f t="shared" si="305"/>
        <v>2675.16</v>
      </c>
      <c r="L695" s="286">
        <v>0</v>
      </c>
      <c r="M695" s="286">
        <v>0</v>
      </c>
      <c r="N695" s="285">
        <f t="shared" si="306"/>
        <v>2675.16</v>
      </c>
      <c r="O695" s="616">
        <f t="shared" si="320"/>
        <v>0</v>
      </c>
      <c r="P695" s="289">
        <f t="shared" si="307"/>
        <v>0</v>
      </c>
      <c r="Q695" s="290">
        <f t="shared" si="308"/>
        <v>0</v>
      </c>
      <c r="R695" s="290">
        <f t="shared" si="309"/>
        <v>0</v>
      </c>
      <c r="S695" s="290">
        <f t="shared" si="310"/>
        <v>0</v>
      </c>
      <c r="T695" s="290">
        <f t="shared" si="311"/>
        <v>0</v>
      </c>
      <c r="U695" s="291">
        <f t="shared" si="312"/>
        <v>2675.16</v>
      </c>
      <c r="V695" s="291">
        <f t="shared" si="316"/>
        <v>-2675.16</v>
      </c>
      <c r="W695" s="265">
        <f t="shared" si="313"/>
        <v>0</v>
      </c>
      <c r="X695" s="291">
        <f t="shared" si="317"/>
        <v>-2675.16</v>
      </c>
      <c r="Y695" s="170">
        <f t="shared" si="314"/>
        <v>178.2</v>
      </c>
      <c r="Z695" s="291">
        <f t="shared" si="315"/>
        <v>-178.2</v>
      </c>
      <c r="AC695" s="276">
        <f>IF(AI695=1,IF(AC694=MiscData!$F$1,EOMONTH(AC694,-11),EOMONTH(AC694,1)),AC694)</f>
        <v>41943</v>
      </c>
      <c r="AD695" s="275" t="str">
        <f t="shared" si="324"/>
        <v>20140101LGUM_419</v>
      </c>
      <c r="AE695" s="294" t="str">
        <f t="shared" si="325"/>
        <v>20140101RLS</v>
      </c>
      <c r="AF695" s="618" t="str">
        <f t="shared" si="318"/>
        <v>419</v>
      </c>
      <c r="AH695" s="265">
        <f>MiscData!$X$5</f>
        <v>20140101</v>
      </c>
      <c r="AI695" s="265">
        <f>IF(AI694+1&gt;MiscData!$AC$77,1,AI694+1)</f>
        <v>35</v>
      </c>
      <c r="AJ695" s="265" t="str">
        <f>VLOOKUP(AI695,MiscData!$AC$5:$AD$77,2,FALSE)</f>
        <v>LGUM_419</v>
      </c>
      <c r="AK695" s="265" t="str">
        <f>VLOOKUP(AJ695,MiscData!$AD$5:$AE$77,2,FALSE)</f>
        <v>RLS</v>
      </c>
      <c r="AT695" s="265" t="s">
        <v>306</v>
      </c>
      <c r="AV695" s="265">
        <v>0</v>
      </c>
    </row>
    <row r="696" spans="1:48">
      <c r="A696" s="275">
        <f t="shared" si="319"/>
        <v>693</v>
      </c>
      <c r="B696" s="276" t="str">
        <f t="shared" si="321"/>
        <v>Oct 2014</v>
      </c>
      <c r="C696" s="277" t="str">
        <f t="shared" si="322"/>
        <v xml:space="preserve">LS </v>
      </c>
      <c r="D696" s="277" t="str">
        <f t="shared" si="323"/>
        <v>LGUM_420</v>
      </c>
      <c r="E696" s="614">
        <f t="shared" si="301"/>
        <v>52</v>
      </c>
      <c r="F696" s="615">
        <v>0</v>
      </c>
      <c r="G696" s="614">
        <f t="shared" si="302"/>
        <v>0</v>
      </c>
      <c r="H696" s="615">
        <v>0</v>
      </c>
      <c r="I696" s="283">
        <f t="shared" si="303"/>
        <v>29.889999999999997</v>
      </c>
      <c r="J696" s="283">
        <f t="shared" si="304"/>
        <v>1.6499999999999986</v>
      </c>
      <c r="K696" s="285">
        <f t="shared" si="305"/>
        <v>1554.28</v>
      </c>
      <c r="L696" s="286">
        <v>0</v>
      </c>
      <c r="M696" s="286">
        <v>0</v>
      </c>
      <c r="N696" s="285">
        <f t="shared" si="306"/>
        <v>1554.28</v>
      </c>
      <c r="O696" s="616">
        <f t="shared" si="320"/>
        <v>0</v>
      </c>
      <c r="P696" s="289">
        <f t="shared" si="307"/>
        <v>0</v>
      </c>
      <c r="Q696" s="290">
        <f t="shared" si="308"/>
        <v>0</v>
      </c>
      <c r="R696" s="290">
        <f t="shared" si="309"/>
        <v>0</v>
      </c>
      <c r="S696" s="290">
        <f t="shared" si="310"/>
        <v>0</v>
      </c>
      <c r="T696" s="290">
        <f t="shared" si="311"/>
        <v>0</v>
      </c>
      <c r="U696" s="291">
        <f t="shared" si="312"/>
        <v>1554.28</v>
      </c>
      <c r="V696" s="291">
        <f t="shared" si="316"/>
        <v>-1554.28</v>
      </c>
      <c r="W696" s="265">
        <f t="shared" si="313"/>
        <v>0</v>
      </c>
      <c r="X696" s="291">
        <f t="shared" si="317"/>
        <v>-1554.28</v>
      </c>
      <c r="Y696" s="170">
        <f t="shared" si="314"/>
        <v>85.8</v>
      </c>
      <c r="Z696" s="291">
        <f t="shared" si="315"/>
        <v>-85.8</v>
      </c>
      <c r="AC696" s="276">
        <f>IF(AI696=1,IF(AC695=MiscData!$F$1,EOMONTH(AC695,-11),EOMONTH(AC695,1)),AC695)</f>
        <v>41943</v>
      </c>
      <c r="AD696" s="275" t="str">
        <f t="shared" si="324"/>
        <v>20140101LGUM_420</v>
      </c>
      <c r="AE696" s="294" t="str">
        <f t="shared" si="325"/>
        <v xml:space="preserve">20140101LS </v>
      </c>
      <c r="AF696" s="618" t="str">
        <f t="shared" si="318"/>
        <v>420</v>
      </c>
      <c r="AH696" s="265">
        <f>MiscData!$X$5</f>
        <v>20140101</v>
      </c>
      <c r="AI696" s="265">
        <f>IF(AI695+1&gt;MiscData!$AC$77,1,AI695+1)</f>
        <v>36</v>
      </c>
      <c r="AJ696" s="265" t="str">
        <f>VLOOKUP(AI696,MiscData!$AC$5:$AD$77,2,FALSE)</f>
        <v>LGUM_420</v>
      </c>
      <c r="AK696" s="265" t="str">
        <f>VLOOKUP(AJ696,MiscData!$AD$5:$AE$77,2,FALSE)</f>
        <v xml:space="preserve">LS </v>
      </c>
      <c r="AT696" s="265" t="s">
        <v>307</v>
      </c>
      <c r="AV696" s="265">
        <v>0</v>
      </c>
    </row>
    <row r="697" spans="1:48">
      <c r="A697" s="275">
        <f t="shared" si="319"/>
        <v>694</v>
      </c>
      <c r="B697" s="276" t="str">
        <f t="shared" si="321"/>
        <v>Oct 2014</v>
      </c>
      <c r="C697" s="277" t="str">
        <f t="shared" si="322"/>
        <v xml:space="preserve">LS </v>
      </c>
      <c r="D697" s="277" t="str">
        <f t="shared" si="323"/>
        <v>LGUM_421</v>
      </c>
      <c r="E697" s="614">
        <f t="shared" si="301"/>
        <v>169</v>
      </c>
      <c r="F697" s="615">
        <v>0</v>
      </c>
      <c r="G697" s="614">
        <f t="shared" si="302"/>
        <v>0</v>
      </c>
      <c r="H697" s="615">
        <v>0</v>
      </c>
      <c r="I697" s="283">
        <f t="shared" si="303"/>
        <v>32.860000000000007</v>
      </c>
      <c r="J697" s="283">
        <f t="shared" si="304"/>
        <v>2.6700000000000017</v>
      </c>
      <c r="K697" s="285">
        <f t="shared" si="305"/>
        <v>5553.34</v>
      </c>
      <c r="L697" s="286">
        <v>0</v>
      </c>
      <c r="M697" s="286">
        <v>0</v>
      </c>
      <c r="N697" s="285">
        <f t="shared" si="306"/>
        <v>5553.34</v>
      </c>
      <c r="O697" s="616">
        <f t="shared" si="320"/>
        <v>0</v>
      </c>
      <c r="P697" s="289">
        <f t="shared" si="307"/>
        <v>0</v>
      </c>
      <c r="Q697" s="290">
        <f t="shared" si="308"/>
        <v>0</v>
      </c>
      <c r="R697" s="290">
        <f t="shared" si="309"/>
        <v>0</v>
      </c>
      <c r="S697" s="290">
        <f t="shared" si="310"/>
        <v>0</v>
      </c>
      <c r="T697" s="290">
        <f t="shared" si="311"/>
        <v>0</v>
      </c>
      <c r="U697" s="291">
        <f t="shared" si="312"/>
        <v>5553.34</v>
      </c>
      <c r="V697" s="291">
        <f t="shared" si="316"/>
        <v>-5553.34</v>
      </c>
      <c r="W697" s="265">
        <f t="shared" si="313"/>
        <v>0</v>
      </c>
      <c r="X697" s="291">
        <f t="shared" si="317"/>
        <v>-5553.34</v>
      </c>
      <c r="Y697" s="170">
        <f t="shared" si="314"/>
        <v>451.23</v>
      </c>
      <c r="Z697" s="291">
        <f t="shared" si="315"/>
        <v>-451.23</v>
      </c>
      <c r="AC697" s="276">
        <f>IF(AI697=1,IF(AC696=MiscData!$F$1,EOMONTH(AC696,-11),EOMONTH(AC696,1)),AC696)</f>
        <v>41943</v>
      </c>
      <c r="AD697" s="275" t="str">
        <f t="shared" si="324"/>
        <v>20140101LGUM_421</v>
      </c>
      <c r="AE697" s="294" t="str">
        <f t="shared" si="325"/>
        <v xml:space="preserve">20140101LS </v>
      </c>
      <c r="AF697" s="618" t="str">
        <f t="shared" si="318"/>
        <v>421</v>
      </c>
      <c r="AH697" s="265">
        <f>MiscData!$X$5</f>
        <v>20140101</v>
      </c>
      <c r="AI697" s="265">
        <f>IF(AI696+1&gt;MiscData!$AC$77,1,AI696+1)</f>
        <v>37</v>
      </c>
      <c r="AJ697" s="265" t="str">
        <f>VLOOKUP(AI697,MiscData!$AC$5:$AD$77,2,FALSE)</f>
        <v>LGUM_421</v>
      </c>
      <c r="AK697" s="265" t="str">
        <f>VLOOKUP(AJ697,MiscData!$AD$5:$AE$77,2,FALSE)</f>
        <v xml:space="preserve">LS </v>
      </c>
      <c r="AT697" s="265" t="s">
        <v>308</v>
      </c>
      <c r="AV697" s="265">
        <v>0</v>
      </c>
    </row>
    <row r="698" spans="1:48">
      <c r="A698" s="275">
        <f t="shared" si="319"/>
        <v>695</v>
      </c>
      <c r="B698" s="276" t="str">
        <f t="shared" si="321"/>
        <v>Oct 2014</v>
      </c>
      <c r="C698" s="277" t="str">
        <f t="shared" si="322"/>
        <v xml:space="preserve">LS </v>
      </c>
      <c r="D698" s="277" t="str">
        <f t="shared" si="323"/>
        <v>LGUM_422</v>
      </c>
      <c r="E698" s="614">
        <f t="shared" si="301"/>
        <v>346</v>
      </c>
      <c r="F698" s="615">
        <v>0</v>
      </c>
      <c r="G698" s="614">
        <f t="shared" si="302"/>
        <v>0</v>
      </c>
      <c r="H698" s="615">
        <v>0</v>
      </c>
      <c r="I698" s="283">
        <f t="shared" si="303"/>
        <v>38.389999999999993</v>
      </c>
      <c r="J698" s="283">
        <f t="shared" si="304"/>
        <v>4.279999999999994</v>
      </c>
      <c r="K698" s="285">
        <f t="shared" si="305"/>
        <v>13282.94</v>
      </c>
      <c r="L698" s="286">
        <v>0</v>
      </c>
      <c r="M698" s="286">
        <v>0</v>
      </c>
      <c r="N698" s="285">
        <f t="shared" si="306"/>
        <v>13282.94</v>
      </c>
      <c r="O698" s="616">
        <f t="shared" si="320"/>
        <v>0</v>
      </c>
      <c r="P698" s="289">
        <f t="shared" si="307"/>
        <v>0</v>
      </c>
      <c r="Q698" s="290">
        <f t="shared" si="308"/>
        <v>0</v>
      </c>
      <c r="R698" s="290">
        <f t="shared" si="309"/>
        <v>0</v>
      </c>
      <c r="S698" s="290">
        <f t="shared" si="310"/>
        <v>0</v>
      </c>
      <c r="T698" s="290">
        <f t="shared" si="311"/>
        <v>0</v>
      </c>
      <c r="U698" s="291">
        <f t="shared" si="312"/>
        <v>13282.94</v>
      </c>
      <c r="V698" s="291">
        <f t="shared" si="316"/>
        <v>-13282.94</v>
      </c>
      <c r="W698" s="265">
        <f t="shared" si="313"/>
        <v>0</v>
      </c>
      <c r="X698" s="291">
        <f t="shared" si="317"/>
        <v>-13282.94</v>
      </c>
      <c r="Y698" s="170">
        <f t="shared" si="314"/>
        <v>1480.88</v>
      </c>
      <c r="Z698" s="291">
        <f t="shared" si="315"/>
        <v>-1480.88</v>
      </c>
      <c r="AC698" s="276">
        <f>IF(AI698=1,IF(AC697=MiscData!$F$1,EOMONTH(AC697,-11),EOMONTH(AC697,1)),AC697)</f>
        <v>41943</v>
      </c>
      <c r="AD698" s="275" t="str">
        <f t="shared" si="324"/>
        <v>20140101LGUM_422</v>
      </c>
      <c r="AE698" s="294" t="str">
        <f t="shared" si="325"/>
        <v xml:space="preserve">20140101LS </v>
      </c>
      <c r="AF698" s="618" t="str">
        <f t="shared" si="318"/>
        <v>422</v>
      </c>
      <c r="AH698" s="265">
        <f>MiscData!$X$5</f>
        <v>20140101</v>
      </c>
      <c r="AI698" s="265">
        <f>IF(AI697+1&gt;MiscData!$AC$77,1,AI697+1)</f>
        <v>38</v>
      </c>
      <c r="AJ698" s="265" t="str">
        <f>VLOOKUP(AI698,MiscData!$AC$5:$AD$77,2,FALSE)</f>
        <v>LGUM_422</v>
      </c>
      <c r="AK698" s="265" t="str">
        <f>VLOOKUP(AJ698,MiscData!$AD$5:$AE$77,2,FALSE)</f>
        <v xml:space="preserve">LS </v>
      </c>
      <c r="AT698" s="265" t="s">
        <v>309</v>
      </c>
      <c r="AV698" s="265">
        <v>0</v>
      </c>
    </row>
    <row r="699" spans="1:48">
      <c r="A699" s="275">
        <f t="shared" si="319"/>
        <v>696</v>
      </c>
      <c r="B699" s="276" t="str">
        <f t="shared" si="321"/>
        <v>Oct 2014</v>
      </c>
      <c r="C699" s="277" t="str">
        <f t="shared" si="322"/>
        <v xml:space="preserve">LS </v>
      </c>
      <c r="D699" s="277" t="str">
        <f t="shared" si="323"/>
        <v>LGUM_423</v>
      </c>
      <c r="E699" s="614">
        <f t="shared" si="301"/>
        <v>17</v>
      </c>
      <c r="F699" s="615">
        <v>0</v>
      </c>
      <c r="G699" s="614">
        <f t="shared" si="302"/>
        <v>0</v>
      </c>
      <c r="H699" s="615">
        <v>0</v>
      </c>
      <c r="I699" s="283">
        <f t="shared" si="303"/>
        <v>26.349999999999998</v>
      </c>
      <c r="J699" s="283">
        <f t="shared" si="304"/>
        <v>1.6500000000000021</v>
      </c>
      <c r="K699" s="285">
        <f t="shared" si="305"/>
        <v>447.95</v>
      </c>
      <c r="L699" s="286">
        <v>0</v>
      </c>
      <c r="M699" s="286">
        <v>0</v>
      </c>
      <c r="N699" s="285">
        <f t="shared" si="306"/>
        <v>447.95</v>
      </c>
      <c r="O699" s="616">
        <f t="shared" si="320"/>
        <v>0</v>
      </c>
      <c r="P699" s="289">
        <f t="shared" si="307"/>
        <v>0</v>
      </c>
      <c r="Q699" s="290">
        <f t="shared" si="308"/>
        <v>0</v>
      </c>
      <c r="R699" s="290">
        <f t="shared" si="309"/>
        <v>0</v>
      </c>
      <c r="S699" s="290">
        <f t="shared" si="310"/>
        <v>0</v>
      </c>
      <c r="T699" s="290">
        <f t="shared" si="311"/>
        <v>0</v>
      </c>
      <c r="U699" s="291">
        <f t="shared" si="312"/>
        <v>447.95</v>
      </c>
      <c r="V699" s="291">
        <f t="shared" si="316"/>
        <v>-447.95</v>
      </c>
      <c r="W699" s="265">
        <f t="shared" si="313"/>
        <v>0</v>
      </c>
      <c r="X699" s="291">
        <f t="shared" si="317"/>
        <v>-447.95</v>
      </c>
      <c r="Y699" s="170">
        <f t="shared" si="314"/>
        <v>28.05</v>
      </c>
      <c r="Z699" s="291">
        <f t="shared" si="315"/>
        <v>-28.05</v>
      </c>
      <c r="AC699" s="276">
        <f>IF(AI699=1,IF(AC698=MiscData!$F$1,EOMONTH(AC698,-11),EOMONTH(AC698,1)),AC698)</f>
        <v>41943</v>
      </c>
      <c r="AD699" s="275" t="str">
        <f t="shared" si="324"/>
        <v>20140101LGUM_423</v>
      </c>
      <c r="AE699" s="294" t="str">
        <f t="shared" si="325"/>
        <v xml:space="preserve">20140101LS </v>
      </c>
      <c r="AF699" s="618" t="str">
        <f t="shared" si="318"/>
        <v>423</v>
      </c>
      <c r="AH699" s="265">
        <f>MiscData!$X$5</f>
        <v>20140101</v>
      </c>
      <c r="AI699" s="265">
        <f>IF(AI698+1&gt;MiscData!$AC$77,1,AI698+1)</f>
        <v>39</v>
      </c>
      <c r="AJ699" s="265" t="str">
        <f>VLOOKUP(AI699,MiscData!$AC$5:$AD$77,2,FALSE)</f>
        <v>LGUM_423</v>
      </c>
      <c r="AK699" s="265" t="str">
        <f>VLOOKUP(AJ699,MiscData!$AD$5:$AE$77,2,FALSE)</f>
        <v xml:space="preserve">LS </v>
      </c>
      <c r="AT699" s="265" t="s">
        <v>310</v>
      </c>
      <c r="AV699" s="265">
        <v>0</v>
      </c>
    </row>
    <row r="700" spans="1:48">
      <c r="A700" s="275">
        <f t="shared" si="319"/>
        <v>697</v>
      </c>
      <c r="B700" s="276" t="str">
        <f t="shared" si="321"/>
        <v>Oct 2014</v>
      </c>
      <c r="C700" s="277" t="str">
        <f t="shared" si="322"/>
        <v xml:space="preserve">LS </v>
      </c>
      <c r="D700" s="277" t="str">
        <f t="shared" si="323"/>
        <v>LGUM_424</v>
      </c>
      <c r="E700" s="614">
        <f t="shared" si="301"/>
        <v>343</v>
      </c>
      <c r="F700" s="615">
        <v>0</v>
      </c>
      <c r="G700" s="614">
        <f t="shared" si="302"/>
        <v>0</v>
      </c>
      <c r="H700" s="615">
        <v>0</v>
      </c>
      <c r="I700" s="283">
        <f t="shared" si="303"/>
        <v>28.45</v>
      </c>
      <c r="J700" s="283">
        <f t="shared" si="304"/>
        <v>3.9800000000000004</v>
      </c>
      <c r="K700" s="285">
        <f t="shared" si="305"/>
        <v>9758.35</v>
      </c>
      <c r="L700" s="286">
        <v>0</v>
      </c>
      <c r="M700" s="286">
        <v>0</v>
      </c>
      <c r="N700" s="285">
        <f t="shared" si="306"/>
        <v>9758.35</v>
      </c>
      <c r="O700" s="616">
        <f t="shared" si="320"/>
        <v>0</v>
      </c>
      <c r="P700" s="289">
        <f t="shared" si="307"/>
        <v>0</v>
      </c>
      <c r="Q700" s="290">
        <f t="shared" si="308"/>
        <v>0</v>
      </c>
      <c r="R700" s="290">
        <f t="shared" si="309"/>
        <v>0</v>
      </c>
      <c r="S700" s="290">
        <f t="shared" si="310"/>
        <v>0</v>
      </c>
      <c r="T700" s="290">
        <f t="shared" si="311"/>
        <v>0</v>
      </c>
      <c r="U700" s="291">
        <f t="shared" si="312"/>
        <v>9758.35</v>
      </c>
      <c r="V700" s="291">
        <f t="shared" si="316"/>
        <v>-9758.35</v>
      </c>
      <c r="W700" s="265">
        <f t="shared" si="313"/>
        <v>0</v>
      </c>
      <c r="X700" s="291">
        <f t="shared" si="317"/>
        <v>-9758.35</v>
      </c>
      <c r="Y700" s="170">
        <f t="shared" si="314"/>
        <v>1365.14</v>
      </c>
      <c r="Z700" s="291">
        <f t="shared" si="315"/>
        <v>-1365.14</v>
      </c>
      <c r="AC700" s="276">
        <f>IF(AI700=1,IF(AC699=MiscData!$F$1,EOMONTH(AC699,-11),EOMONTH(AC699,1)),AC699)</f>
        <v>41943</v>
      </c>
      <c r="AD700" s="275" t="str">
        <f t="shared" si="324"/>
        <v>20140101LGUM_424</v>
      </c>
      <c r="AE700" s="294" t="str">
        <f t="shared" si="325"/>
        <v xml:space="preserve">20140101LS </v>
      </c>
      <c r="AF700" s="618" t="str">
        <f t="shared" si="318"/>
        <v>424</v>
      </c>
      <c r="AH700" s="265">
        <f>MiscData!$X$5</f>
        <v>20140101</v>
      </c>
      <c r="AI700" s="265">
        <f>IF(AI699+1&gt;MiscData!$AC$77,1,AI699+1)</f>
        <v>40</v>
      </c>
      <c r="AJ700" s="265" t="str">
        <f>VLOOKUP(AI700,MiscData!$AC$5:$AD$77,2,FALSE)</f>
        <v>LGUM_424</v>
      </c>
      <c r="AK700" s="265" t="str">
        <f>VLOOKUP(AJ700,MiscData!$AD$5:$AE$77,2,FALSE)</f>
        <v xml:space="preserve">LS </v>
      </c>
      <c r="AT700" s="265" t="s">
        <v>311</v>
      </c>
      <c r="AV700" s="265">
        <v>0</v>
      </c>
    </row>
    <row r="701" spans="1:48">
      <c r="A701" s="275">
        <f t="shared" si="319"/>
        <v>698</v>
      </c>
      <c r="B701" s="276" t="str">
        <f t="shared" si="321"/>
        <v>Oct 2014</v>
      </c>
      <c r="C701" s="277" t="str">
        <f t="shared" si="322"/>
        <v xml:space="preserve">LS </v>
      </c>
      <c r="D701" s="277" t="str">
        <f t="shared" si="323"/>
        <v>LGUM_425</v>
      </c>
      <c r="E701" s="614">
        <f t="shared" si="301"/>
        <v>32</v>
      </c>
      <c r="F701" s="615">
        <v>0</v>
      </c>
      <c r="G701" s="614">
        <f t="shared" si="302"/>
        <v>0</v>
      </c>
      <c r="H701" s="615">
        <v>0</v>
      </c>
      <c r="I701" s="283">
        <f t="shared" si="303"/>
        <v>34.029999999999994</v>
      </c>
      <c r="J701" s="283">
        <f t="shared" si="304"/>
        <v>4.2799999999999976</v>
      </c>
      <c r="K701" s="285">
        <f t="shared" si="305"/>
        <v>1088.96</v>
      </c>
      <c r="L701" s="286">
        <v>0</v>
      </c>
      <c r="M701" s="286">
        <v>0</v>
      </c>
      <c r="N701" s="285">
        <f t="shared" si="306"/>
        <v>1088.96</v>
      </c>
      <c r="O701" s="616">
        <f t="shared" si="320"/>
        <v>0</v>
      </c>
      <c r="P701" s="289">
        <f t="shared" si="307"/>
        <v>0</v>
      </c>
      <c r="Q701" s="290">
        <f t="shared" si="308"/>
        <v>0</v>
      </c>
      <c r="R701" s="290">
        <f t="shared" si="309"/>
        <v>0</v>
      </c>
      <c r="S701" s="290">
        <f t="shared" si="310"/>
        <v>0</v>
      </c>
      <c r="T701" s="290">
        <f t="shared" si="311"/>
        <v>0</v>
      </c>
      <c r="U701" s="291">
        <f t="shared" si="312"/>
        <v>1088.96</v>
      </c>
      <c r="V701" s="291">
        <f t="shared" si="316"/>
        <v>-1088.96</v>
      </c>
      <c r="W701" s="265">
        <f t="shared" si="313"/>
        <v>0</v>
      </c>
      <c r="X701" s="291">
        <f t="shared" si="317"/>
        <v>-1088.96</v>
      </c>
      <c r="Y701" s="170">
        <f t="shared" si="314"/>
        <v>136.96</v>
      </c>
      <c r="Z701" s="291">
        <f t="shared" si="315"/>
        <v>-136.96</v>
      </c>
      <c r="AC701" s="276">
        <f>IF(AI701=1,IF(AC700=MiscData!$F$1,EOMONTH(AC700,-11),EOMONTH(AC700,1)),AC700)</f>
        <v>41943</v>
      </c>
      <c r="AD701" s="275" t="str">
        <f t="shared" si="324"/>
        <v>20140101LGUM_425</v>
      </c>
      <c r="AE701" s="294" t="str">
        <f t="shared" si="325"/>
        <v xml:space="preserve">20140101LS </v>
      </c>
      <c r="AF701" s="618" t="str">
        <f t="shared" si="318"/>
        <v>425</v>
      </c>
      <c r="AH701" s="265">
        <f>MiscData!$X$5</f>
        <v>20140101</v>
      </c>
      <c r="AI701" s="265">
        <f>IF(AI700+1&gt;MiscData!$AC$77,1,AI700+1)</f>
        <v>41</v>
      </c>
      <c r="AJ701" s="265" t="str">
        <f>VLOOKUP(AI701,MiscData!$AC$5:$AD$77,2,FALSE)</f>
        <v>LGUM_425</v>
      </c>
      <c r="AK701" s="265" t="str">
        <f>VLOOKUP(AJ701,MiscData!$AD$5:$AE$77,2,FALSE)</f>
        <v xml:space="preserve">LS </v>
      </c>
      <c r="AT701" s="265" t="s">
        <v>312</v>
      </c>
      <c r="AV701" s="265">
        <v>0</v>
      </c>
    </row>
    <row r="702" spans="1:48">
      <c r="A702" s="275">
        <f t="shared" si="319"/>
        <v>699</v>
      </c>
      <c r="B702" s="276" t="str">
        <f t="shared" si="321"/>
        <v>Oct 2014</v>
      </c>
      <c r="C702" s="277" t="str">
        <f t="shared" si="322"/>
        <v>RLS</v>
      </c>
      <c r="D702" s="277" t="str">
        <f t="shared" si="323"/>
        <v>LGUM_426</v>
      </c>
      <c r="E702" s="614">
        <f t="shared" si="301"/>
        <v>39</v>
      </c>
      <c r="F702" s="615">
        <v>0</v>
      </c>
      <c r="G702" s="614">
        <f t="shared" si="302"/>
        <v>0</v>
      </c>
      <c r="H702" s="615">
        <v>0</v>
      </c>
      <c r="I702" s="283">
        <f t="shared" si="303"/>
        <v>33.22</v>
      </c>
      <c r="J702" s="283">
        <f t="shared" si="304"/>
        <v>0.75</v>
      </c>
      <c r="K702" s="285">
        <f t="shared" si="305"/>
        <v>1295.58</v>
      </c>
      <c r="L702" s="286">
        <v>0</v>
      </c>
      <c r="M702" s="286">
        <v>0</v>
      </c>
      <c r="N702" s="285">
        <f t="shared" si="306"/>
        <v>1295.58</v>
      </c>
      <c r="O702" s="616">
        <f t="shared" si="320"/>
        <v>0</v>
      </c>
      <c r="P702" s="289">
        <f t="shared" si="307"/>
        <v>0</v>
      </c>
      <c r="Q702" s="290">
        <f t="shared" si="308"/>
        <v>0</v>
      </c>
      <c r="R702" s="290">
        <f t="shared" si="309"/>
        <v>0</v>
      </c>
      <c r="S702" s="290">
        <f t="shared" si="310"/>
        <v>0</v>
      </c>
      <c r="T702" s="290">
        <f t="shared" si="311"/>
        <v>0</v>
      </c>
      <c r="U702" s="291">
        <f t="shared" si="312"/>
        <v>1295.58</v>
      </c>
      <c r="V702" s="291">
        <f t="shared" si="316"/>
        <v>-1295.58</v>
      </c>
      <c r="W702" s="265">
        <f t="shared" si="313"/>
        <v>0</v>
      </c>
      <c r="X702" s="291">
        <f t="shared" si="317"/>
        <v>-1295.58</v>
      </c>
      <c r="Y702" s="170">
        <f t="shared" si="314"/>
        <v>29.25</v>
      </c>
      <c r="Z702" s="291">
        <f t="shared" si="315"/>
        <v>-29.25</v>
      </c>
      <c r="AC702" s="276">
        <f>IF(AI702=1,IF(AC701=MiscData!$F$1,EOMONTH(AC701,-11),EOMONTH(AC701,1)),AC701)</f>
        <v>41943</v>
      </c>
      <c r="AD702" s="275" t="str">
        <f t="shared" si="324"/>
        <v>20140101LGUM_426</v>
      </c>
      <c r="AE702" s="294" t="str">
        <f t="shared" si="325"/>
        <v>20140101RLS</v>
      </c>
      <c r="AF702" s="618" t="str">
        <f t="shared" si="318"/>
        <v>426</v>
      </c>
      <c r="AH702" s="265">
        <f>MiscData!$X$5</f>
        <v>20140101</v>
      </c>
      <c r="AI702" s="265">
        <f>IF(AI701+1&gt;MiscData!$AC$77,1,AI701+1)</f>
        <v>42</v>
      </c>
      <c r="AJ702" s="265" t="str">
        <f>VLOOKUP(AI702,MiscData!$AC$5:$AD$77,2,FALSE)</f>
        <v>LGUM_426</v>
      </c>
      <c r="AK702" s="265" t="str">
        <f>VLOOKUP(AJ702,MiscData!$AD$5:$AE$77,2,FALSE)</f>
        <v>RLS</v>
      </c>
      <c r="AT702" s="265" t="s">
        <v>313</v>
      </c>
      <c r="AV702" s="265">
        <v>0</v>
      </c>
    </row>
    <row r="703" spans="1:48">
      <c r="A703" s="275">
        <f t="shared" si="319"/>
        <v>700</v>
      </c>
      <c r="B703" s="276" t="str">
        <f t="shared" si="321"/>
        <v>Oct 2014</v>
      </c>
      <c r="C703" s="277" t="str">
        <f t="shared" si="322"/>
        <v xml:space="preserve">LS </v>
      </c>
      <c r="D703" s="277" t="str">
        <f t="shared" si="323"/>
        <v>LGUM_427</v>
      </c>
      <c r="E703" s="614">
        <f t="shared" si="301"/>
        <v>51</v>
      </c>
      <c r="F703" s="615">
        <v>0</v>
      </c>
      <c r="G703" s="614">
        <f t="shared" si="302"/>
        <v>0</v>
      </c>
      <c r="H703" s="615">
        <v>0</v>
      </c>
      <c r="I703" s="283">
        <f t="shared" si="303"/>
        <v>35.199999999999996</v>
      </c>
      <c r="J703" s="283">
        <f t="shared" si="304"/>
        <v>0.75</v>
      </c>
      <c r="K703" s="285">
        <f t="shared" si="305"/>
        <v>1795.2</v>
      </c>
      <c r="L703" s="286">
        <v>0</v>
      </c>
      <c r="M703" s="286">
        <v>0</v>
      </c>
      <c r="N703" s="285">
        <f t="shared" si="306"/>
        <v>1795.2</v>
      </c>
      <c r="O703" s="616">
        <f t="shared" si="320"/>
        <v>0</v>
      </c>
      <c r="P703" s="289">
        <f t="shared" si="307"/>
        <v>0</v>
      </c>
      <c r="Q703" s="290">
        <f t="shared" si="308"/>
        <v>0</v>
      </c>
      <c r="R703" s="290">
        <f t="shared" si="309"/>
        <v>0</v>
      </c>
      <c r="S703" s="290">
        <f t="shared" si="310"/>
        <v>0</v>
      </c>
      <c r="T703" s="290">
        <f t="shared" si="311"/>
        <v>0</v>
      </c>
      <c r="U703" s="291">
        <f t="shared" si="312"/>
        <v>1795.2</v>
      </c>
      <c r="V703" s="291">
        <f t="shared" si="316"/>
        <v>-1795.2</v>
      </c>
      <c r="W703" s="265">
        <f t="shared" si="313"/>
        <v>0</v>
      </c>
      <c r="X703" s="291">
        <f t="shared" si="317"/>
        <v>-1795.2</v>
      </c>
      <c r="Y703" s="170">
        <f t="shared" si="314"/>
        <v>38.25</v>
      </c>
      <c r="Z703" s="291">
        <f t="shared" si="315"/>
        <v>-38.25</v>
      </c>
      <c r="AC703" s="276">
        <f>IF(AI703=1,IF(AC702=MiscData!$F$1,EOMONTH(AC702,-11),EOMONTH(AC702,1)),AC702)</f>
        <v>41943</v>
      </c>
      <c r="AD703" s="275" t="str">
        <f t="shared" si="324"/>
        <v>20140101LGUM_427</v>
      </c>
      <c r="AE703" s="294" t="str">
        <f t="shared" si="325"/>
        <v xml:space="preserve">20140101LS </v>
      </c>
      <c r="AF703" s="618" t="str">
        <f t="shared" si="318"/>
        <v>427</v>
      </c>
      <c r="AH703" s="265">
        <f>MiscData!$X$5</f>
        <v>20140101</v>
      </c>
      <c r="AI703" s="265">
        <f>IF(AI702+1&gt;MiscData!$AC$77,1,AI702+1)</f>
        <v>43</v>
      </c>
      <c r="AJ703" s="265" t="str">
        <f>VLOOKUP(AI703,MiscData!$AC$5:$AD$77,2,FALSE)</f>
        <v>LGUM_427</v>
      </c>
      <c r="AK703" s="265" t="str">
        <f>VLOOKUP(AJ703,MiscData!$AD$5:$AE$77,2,FALSE)</f>
        <v xml:space="preserve">LS </v>
      </c>
      <c r="AT703" s="265" t="s">
        <v>314</v>
      </c>
      <c r="AV703" s="265">
        <v>0</v>
      </c>
    </row>
    <row r="704" spans="1:48">
      <c r="A704" s="275">
        <f t="shared" si="319"/>
        <v>701</v>
      </c>
      <c r="B704" s="276" t="str">
        <f t="shared" si="321"/>
        <v>Oct 2014</v>
      </c>
      <c r="C704" s="277" t="str">
        <f t="shared" si="322"/>
        <v>RLS</v>
      </c>
      <c r="D704" s="277" t="str">
        <f t="shared" si="323"/>
        <v>LGUM_428</v>
      </c>
      <c r="E704" s="614">
        <f t="shared" si="301"/>
        <v>189</v>
      </c>
      <c r="F704" s="615">
        <v>0</v>
      </c>
      <c r="G704" s="614">
        <f t="shared" si="302"/>
        <v>0</v>
      </c>
      <c r="H704" s="615">
        <v>0</v>
      </c>
      <c r="I704" s="283">
        <f t="shared" si="303"/>
        <v>34.090000000000003</v>
      </c>
      <c r="J704" s="283">
        <f t="shared" si="304"/>
        <v>1.0600000000000023</v>
      </c>
      <c r="K704" s="285">
        <f t="shared" si="305"/>
        <v>6443.01</v>
      </c>
      <c r="L704" s="286">
        <v>0</v>
      </c>
      <c r="M704" s="286">
        <v>0</v>
      </c>
      <c r="N704" s="285">
        <f t="shared" si="306"/>
        <v>6443.01</v>
      </c>
      <c r="O704" s="616">
        <f t="shared" si="320"/>
        <v>0</v>
      </c>
      <c r="P704" s="289">
        <f t="shared" si="307"/>
        <v>0</v>
      </c>
      <c r="Q704" s="290">
        <f t="shared" si="308"/>
        <v>0</v>
      </c>
      <c r="R704" s="290">
        <f t="shared" si="309"/>
        <v>0</v>
      </c>
      <c r="S704" s="290">
        <f t="shared" si="310"/>
        <v>0</v>
      </c>
      <c r="T704" s="290">
        <f t="shared" si="311"/>
        <v>0</v>
      </c>
      <c r="U704" s="291">
        <f t="shared" si="312"/>
        <v>6443.01</v>
      </c>
      <c r="V704" s="291">
        <f t="shared" si="316"/>
        <v>-6443.01</v>
      </c>
      <c r="W704" s="265">
        <f t="shared" si="313"/>
        <v>0</v>
      </c>
      <c r="X704" s="291">
        <f t="shared" si="317"/>
        <v>-6443.01</v>
      </c>
      <c r="Y704" s="170">
        <f t="shared" si="314"/>
        <v>200.34</v>
      </c>
      <c r="Z704" s="291">
        <f t="shared" si="315"/>
        <v>-200.34</v>
      </c>
      <c r="AC704" s="276">
        <f>IF(AI704=1,IF(AC703=MiscData!$F$1,EOMONTH(AC703,-11),EOMONTH(AC703,1)),AC703)</f>
        <v>41943</v>
      </c>
      <c r="AD704" s="275" t="str">
        <f t="shared" si="324"/>
        <v>20140101LGUM_428</v>
      </c>
      <c r="AE704" s="294" t="str">
        <f t="shared" si="325"/>
        <v>20140101RLS</v>
      </c>
      <c r="AF704" s="618" t="str">
        <f t="shared" si="318"/>
        <v>428</v>
      </c>
      <c r="AH704" s="265">
        <f>MiscData!$X$5</f>
        <v>20140101</v>
      </c>
      <c r="AI704" s="265">
        <f>IF(AI703+1&gt;MiscData!$AC$77,1,AI703+1)</f>
        <v>44</v>
      </c>
      <c r="AJ704" s="265" t="str">
        <f>VLOOKUP(AI704,MiscData!$AC$5:$AD$77,2,FALSE)</f>
        <v>LGUM_428</v>
      </c>
      <c r="AK704" s="265" t="str">
        <f>VLOOKUP(AJ704,MiscData!$AD$5:$AE$77,2,FALSE)</f>
        <v>RLS</v>
      </c>
      <c r="AT704" s="265" t="s">
        <v>592</v>
      </c>
      <c r="AV704" s="265">
        <v>0</v>
      </c>
    </row>
    <row r="705" spans="1:48">
      <c r="A705" s="275">
        <f t="shared" si="319"/>
        <v>702</v>
      </c>
      <c r="B705" s="276" t="str">
        <f t="shared" si="321"/>
        <v>Oct 2014</v>
      </c>
      <c r="C705" s="277" t="str">
        <f t="shared" si="322"/>
        <v xml:space="preserve">LS </v>
      </c>
      <c r="D705" s="277" t="str">
        <f t="shared" si="323"/>
        <v>LGUM_429</v>
      </c>
      <c r="E705" s="614">
        <f t="shared" si="301"/>
        <v>182</v>
      </c>
      <c r="F705" s="615">
        <v>0</v>
      </c>
      <c r="G705" s="614">
        <f t="shared" si="302"/>
        <v>0</v>
      </c>
      <c r="H705" s="615">
        <v>0</v>
      </c>
      <c r="I705" s="283">
        <f t="shared" si="303"/>
        <v>36.07</v>
      </c>
      <c r="J705" s="283">
        <f t="shared" si="304"/>
        <v>1.0599999999999952</v>
      </c>
      <c r="K705" s="285">
        <f t="shared" si="305"/>
        <v>6564.74</v>
      </c>
      <c r="L705" s="286">
        <v>0</v>
      </c>
      <c r="M705" s="286">
        <v>0</v>
      </c>
      <c r="N705" s="285">
        <f t="shared" si="306"/>
        <v>6564.74</v>
      </c>
      <c r="O705" s="616">
        <f t="shared" si="320"/>
        <v>0</v>
      </c>
      <c r="P705" s="289">
        <f t="shared" si="307"/>
        <v>0</v>
      </c>
      <c r="Q705" s="290">
        <f t="shared" si="308"/>
        <v>0</v>
      </c>
      <c r="R705" s="290">
        <f t="shared" si="309"/>
        <v>0</v>
      </c>
      <c r="S705" s="290">
        <f t="shared" si="310"/>
        <v>0</v>
      </c>
      <c r="T705" s="290">
        <f t="shared" si="311"/>
        <v>0</v>
      </c>
      <c r="U705" s="291">
        <f t="shared" si="312"/>
        <v>6564.74</v>
      </c>
      <c r="V705" s="291">
        <f t="shared" si="316"/>
        <v>-6564.74</v>
      </c>
      <c r="W705" s="265">
        <f t="shared" si="313"/>
        <v>0</v>
      </c>
      <c r="X705" s="291">
        <f t="shared" si="317"/>
        <v>-6564.74</v>
      </c>
      <c r="Y705" s="170">
        <f t="shared" si="314"/>
        <v>192.92</v>
      </c>
      <c r="Z705" s="291">
        <f t="shared" si="315"/>
        <v>-192.92</v>
      </c>
      <c r="AC705" s="276">
        <f>IF(AI705=1,IF(AC704=MiscData!$F$1,EOMONTH(AC704,-11),EOMONTH(AC704,1)),AC704)</f>
        <v>41943</v>
      </c>
      <c r="AD705" s="275" t="str">
        <f t="shared" si="324"/>
        <v>20140101LGUM_429</v>
      </c>
      <c r="AE705" s="294" t="str">
        <f t="shared" si="325"/>
        <v xml:space="preserve">20140101LS </v>
      </c>
      <c r="AF705" s="618" t="str">
        <f t="shared" si="318"/>
        <v>429</v>
      </c>
      <c r="AH705" s="265">
        <f>MiscData!$X$5</f>
        <v>20140101</v>
      </c>
      <c r="AI705" s="265">
        <f>IF(AI704+1&gt;MiscData!$AC$77,1,AI704+1)</f>
        <v>45</v>
      </c>
      <c r="AJ705" s="265" t="str">
        <f>VLOOKUP(AI705,MiscData!$AC$5:$AD$77,2,FALSE)</f>
        <v>LGUM_429</v>
      </c>
      <c r="AK705" s="265" t="str">
        <f>VLOOKUP(AJ705,MiscData!$AD$5:$AE$77,2,FALSE)</f>
        <v xml:space="preserve">LS </v>
      </c>
      <c r="AT705" s="265" t="s">
        <v>593</v>
      </c>
      <c r="AV705" s="265">
        <v>0</v>
      </c>
    </row>
    <row r="706" spans="1:48">
      <c r="A706" s="275">
        <f t="shared" si="319"/>
        <v>703</v>
      </c>
      <c r="B706" s="276" t="str">
        <f t="shared" si="321"/>
        <v>Oct 2014</v>
      </c>
      <c r="C706" s="277" t="str">
        <f t="shared" si="322"/>
        <v>RLS</v>
      </c>
      <c r="D706" s="277" t="str">
        <f t="shared" si="323"/>
        <v>LGUM_430</v>
      </c>
      <c r="E706" s="614">
        <f t="shared" si="301"/>
        <v>13</v>
      </c>
      <c r="F706" s="615">
        <v>0</v>
      </c>
      <c r="G706" s="614">
        <f t="shared" si="302"/>
        <v>0</v>
      </c>
      <c r="H706" s="615">
        <v>0</v>
      </c>
      <c r="I706" s="283">
        <f t="shared" si="303"/>
        <v>32.26</v>
      </c>
      <c r="J706" s="283">
        <f t="shared" si="304"/>
        <v>0.75</v>
      </c>
      <c r="K706" s="285">
        <f t="shared" si="305"/>
        <v>419.38</v>
      </c>
      <c r="L706" s="286">
        <v>0</v>
      </c>
      <c r="M706" s="286">
        <v>0</v>
      </c>
      <c r="N706" s="285">
        <f t="shared" si="306"/>
        <v>419.38</v>
      </c>
      <c r="O706" s="616">
        <f t="shared" si="320"/>
        <v>0</v>
      </c>
      <c r="P706" s="289">
        <f t="shared" si="307"/>
        <v>0</v>
      </c>
      <c r="Q706" s="290">
        <f t="shared" si="308"/>
        <v>0</v>
      </c>
      <c r="R706" s="290">
        <f t="shared" si="309"/>
        <v>0</v>
      </c>
      <c r="S706" s="290">
        <f t="shared" si="310"/>
        <v>0</v>
      </c>
      <c r="T706" s="290">
        <f t="shared" si="311"/>
        <v>0</v>
      </c>
      <c r="U706" s="291">
        <f t="shared" si="312"/>
        <v>419.38</v>
      </c>
      <c r="V706" s="291">
        <f t="shared" si="316"/>
        <v>-419.38</v>
      </c>
      <c r="W706" s="265">
        <f t="shared" si="313"/>
        <v>0</v>
      </c>
      <c r="X706" s="291">
        <f t="shared" si="317"/>
        <v>-419.38</v>
      </c>
      <c r="Y706" s="170">
        <f t="shared" si="314"/>
        <v>9.75</v>
      </c>
      <c r="Z706" s="291">
        <f t="shared" si="315"/>
        <v>-9.75</v>
      </c>
      <c r="AC706" s="276">
        <f>IF(AI706=1,IF(AC705=MiscData!$F$1,EOMONTH(AC705,-11),EOMONTH(AC705,1)),AC705)</f>
        <v>41943</v>
      </c>
      <c r="AD706" s="275" t="str">
        <f t="shared" si="324"/>
        <v>20140101LGUM_430</v>
      </c>
      <c r="AE706" s="294" t="str">
        <f t="shared" si="325"/>
        <v>20140101RLS</v>
      </c>
      <c r="AF706" s="618" t="str">
        <f t="shared" si="318"/>
        <v>430</v>
      </c>
      <c r="AH706" s="265">
        <f>MiscData!$X$5</f>
        <v>20140101</v>
      </c>
      <c r="AI706" s="265">
        <f>IF(AI705+1&gt;MiscData!$AC$77,1,AI705+1)</f>
        <v>46</v>
      </c>
      <c r="AJ706" s="265" t="str">
        <f>VLOOKUP(AI706,MiscData!$AC$5:$AD$77,2,FALSE)</f>
        <v>LGUM_430</v>
      </c>
      <c r="AK706" s="265" t="str">
        <f>VLOOKUP(AJ706,MiscData!$AD$5:$AE$77,2,FALSE)</f>
        <v>RLS</v>
      </c>
      <c r="AT706" s="265" t="s">
        <v>315</v>
      </c>
      <c r="AV706" s="265">
        <v>0</v>
      </c>
    </row>
    <row r="707" spans="1:48">
      <c r="A707" s="275">
        <f t="shared" si="319"/>
        <v>704</v>
      </c>
      <c r="B707" s="276" t="str">
        <f t="shared" si="321"/>
        <v>Oct 2014</v>
      </c>
      <c r="C707" s="277" t="str">
        <f t="shared" si="322"/>
        <v xml:space="preserve">LS </v>
      </c>
      <c r="D707" s="277" t="str">
        <f t="shared" si="323"/>
        <v>LGUM_431</v>
      </c>
      <c r="E707" s="614">
        <f t="shared" si="301"/>
        <v>43</v>
      </c>
      <c r="F707" s="615">
        <v>0</v>
      </c>
      <c r="G707" s="614">
        <f t="shared" si="302"/>
        <v>0</v>
      </c>
      <c r="H707" s="615">
        <v>0</v>
      </c>
      <c r="I707" s="283">
        <f t="shared" si="303"/>
        <v>32.93</v>
      </c>
      <c r="J707" s="283">
        <f t="shared" si="304"/>
        <v>0.75</v>
      </c>
      <c r="K707" s="285">
        <f t="shared" si="305"/>
        <v>1415.99</v>
      </c>
      <c r="L707" s="286">
        <v>0</v>
      </c>
      <c r="M707" s="286">
        <v>0</v>
      </c>
      <c r="N707" s="285">
        <f t="shared" si="306"/>
        <v>1415.99</v>
      </c>
      <c r="O707" s="616">
        <f t="shared" si="320"/>
        <v>0</v>
      </c>
      <c r="P707" s="289">
        <f t="shared" si="307"/>
        <v>0</v>
      </c>
      <c r="Q707" s="290">
        <f t="shared" si="308"/>
        <v>0</v>
      </c>
      <c r="R707" s="290">
        <f t="shared" si="309"/>
        <v>0</v>
      </c>
      <c r="S707" s="290">
        <f t="shared" si="310"/>
        <v>0</v>
      </c>
      <c r="T707" s="290">
        <f t="shared" si="311"/>
        <v>0</v>
      </c>
      <c r="U707" s="291">
        <f t="shared" si="312"/>
        <v>1415.99</v>
      </c>
      <c r="V707" s="291">
        <f t="shared" si="316"/>
        <v>-1415.99</v>
      </c>
      <c r="W707" s="265">
        <f t="shared" si="313"/>
        <v>0</v>
      </c>
      <c r="X707" s="291">
        <f t="shared" si="317"/>
        <v>-1415.99</v>
      </c>
      <c r="Y707" s="170">
        <f t="shared" si="314"/>
        <v>32.25</v>
      </c>
      <c r="Z707" s="291">
        <f t="shared" si="315"/>
        <v>-32.25</v>
      </c>
      <c r="AC707" s="276">
        <f>IF(AI707=1,IF(AC706=MiscData!$F$1,EOMONTH(AC706,-11),EOMONTH(AC706,1)),AC706)</f>
        <v>41943</v>
      </c>
      <c r="AD707" s="275" t="str">
        <f t="shared" si="324"/>
        <v>20140101LGUM_431</v>
      </c>
      <c r="AE707" s="294" t="str">
        <f t="shared" si="325"/>
        <v xml:space="preserve">20140101LS </v>
      </c>
      <c r="AF707" s="618" t="str">
        <f t="shared" si="318"/>
        <v>431</v>
      </c>
      <c r="AH707" s="265">
        <f>MiscData!$X$5</f>
        <v>20140101</v>
      </c>
      <c r="AI707" s="265">
        <f>IF(AI706+1&gt;MiscData!$AC$77,1,AI706+1)</f>
        <v>47</v>
      </c>
      <c r="AJ707" s="265" t="str">
        <f>VLOOKUP(AI707,MiscData!$AC$5:$AD$77,2,FALSE)</f>
        <v>LGUM_431</v>
      </c>
      <c r="AK707" s="265" t="str">
        <f>VLOOKUP(AJ707,MiscData!$AD$5:$AE$77,2,FALSE)</f>
        <v xml:space="preserve">LS </v>
      </c>
      <c r="AT707" s="265" t="s">
        <v>316</v>
      </c>
      <c r="AV707" s="265">
        <v>0</v>
      </c>
    </row>
    <row r="708" spans="1:48">
      <c r="A708" s="275">
        <f t="shared" si="319"/>
        <v>705</v>
      </c>
      <c r="B708" s="276" t="str">
        <f t="shared" si="321"/>
        <v>Oct 2014</v>
      </c>
      <c r="C708" s="277" t="str">
        <f t="shared" si="322"/>
        <v>RLS</v>
      </c>
      <c r="D708" s="277" t="str">
        <f t="shared" si="323"/>
        <v>LGUM_432</v>
      </c>
      <c r="E708" s="614">
        <f t="shared" ref="E708:E771" si="326">SUMIFS(L_1055_Count_Total,L_1055_Revenue_Month,$B708,L_1055_RateCategory,$D708)</f>
        <v>10</v>
      </c>
      <c r="F708" s="615">
        <v>0</v>
      </c>
      <c r="G708" s="614">
        <f t="shared" ref="G708:G771" si="327">SUMIFS(L_SBR_KWH,L_SBR_Revenue_Month,$B708,L_SBR_Rate_Category,$D708)</f>
        <v>0</v>
      </c>
      <c r="H708" s="615">
        <v>0</v>
      </c>
      <c r="I708" s="283">
        <f t="shared" ref="I708:I771" si="328">SUMIF(L_LightingRates_Tariff_Rate_Category,$AD708,L_LightingRates_UnitCharge)</f>
        <v>34.330000000000005</v>
      </c>
      <c r="J708" s="283">
        <f t="shared" ref="J708:J771" si="329">SUMIF(L_LightingRates_Tariff_Rate_Category,$AD708,L_LightingRates_FAC_Rate)</f>
        <v>1.0600000000000023</v>
      </c>
      <c r="K708" s="285">
        <f t="shared" ref="K708:K771" si="330">ROUND(($E708+$F708)*$I708,2)</f>
        <v>343.3</v>
      </c>
      <c r="L708" s="286">
        <v>0</v>
      </c>
      <c r="M708" s="286">
        <v>0</v>
      </c>
      <c r="N708" s="285">
        <f t="shared" ref="N708:N723" si="331">SUM(K708:M708)</f>
        <v>343.3</v>
      </c>
      <c r="O708" s="616">
        <f t="shared" si="320"/>
        <v>0</v>
      </c>
      <c r="P708" s="289">
        <f t="shared" ref="P708:P723" si="332">IF(AND(N708=0,O708=0),1,IF(N708=0,0,O708/N708))</f>
        <v>0</v>
      </c>
      <c r="Q708" s="290">
        <f t="shared" ref="Q708:Q771" si="333">SUMIFS(L_SBR_FAC,L_SBR_Revenue_Month,$B708,L_SBR_Rate_Category,$D708)</f>
        <v>0</v>
      </c>
      <c r="R708" s="290">
        <f t="shared" ref="R708:R771" si="334">SUMIFS(L_SBR_ECR,L_SBR_Revenue_Month,$B708,L_SBR_Rate_Category,$D708)</f>
        <v>0</v>
      </c>
      <c r="S708" s="290">
        <f t="shared" ref="S708:S771" si="335">SUMIFS(L_SBR_MSR,L_SBR_Revenue_Month,$B708,L_SBR_Rate_Category,$D708)</f>
        <v>0</v>
      </c>
      <c r="T708" s="290">
        <f t="shared" ref="T708:T771" si="336">SUMIFS(L_SBR_Revenue_Total,L_SBR_Revenue_Month,$B708,L_SBR_Rate_Category,$D708)</f>
        <v>0</v>
      </c>
      <c r="U708" s="291">
        <f t="shared" ref="U708:U771" si="337">SUM(N708,Q708:S708)</f>
        <v>343.3</v>
      </c>
      <c r="V708" s="291">
        <f t="shared" si="316"/>
        <v>-343.3</v>
      </c>
      <c r="W708" s="265">
        <f t="shared" ref="W708:W771" si="338">ROUND(SUMIFS(L_1055_Revenue_Poles_Test_Period,L_1055_Revenue_Month,$B708,L_1055_RateCategory,$D708),2)</f>
        <v>0</v>
      </c>
      <c r="X708" s="291">
        <f t="shared" si="317"/>
        <v>-343.3</v>
      </c>
      <c r="Y708" s="170">
        <f t="shared" ref="Y708:Y771" si="339">ROUND(E708*J708,2)</f>
        <v>10.6</v>
      </c>
      <c r="Z708" s="291">
        <f t="shared" ref="Z708:Z771" si="340">O708-Y708</f>
        <v>-10.6</v>
      </c>
      <c r="AC708" s="276">
        <f>IF(AI708=1,IF(AC707=MiscData!$F$1,EOMONTH(AC707,-11),EOMONTH(AC707,1)),AC707)</f>
        <v>41943</v>
      </c>
      <c r="AD708" s="275" t="str">
        <f t="shared" si="324"/>
        <v>20140101LGUM_432</v>
      </c>
      <c r="AE708" s="294" t="str">
        <f t="shared" si="325"/>
        <v>20140101RLS</v>
      </c>
      <c r="AF708" s="618" t="str">
        <f t="shared" si="318"/>
        <v>432</v>
      </c>
      <c r="AH708" s="265">
        <f>MiscData!$X$5</f>
        <v>20140101</v>
      </c>
      <c r="AI708" s="265">
        <f>IF(AI707+1&gt;MiscData!$AC$77,1,AI707+1)</f>
        <v>48</v>
      </c>
      <c r="AJ708" s="265" t="str">
        <f>VLOOKUP(AI708,MiscData!$AC$5:$AD$77,2,FALSE)</f>
        <v>LGUM_432</v>
      </c>
      <c r="AK708" s="265" t="str">
        <f>VLOOKUP(AJ708,MiscData!$AD$5:$AE$77,2,FALSE)</f>
        <v>RLS</v>
      </c>
      <c r="AT708" s="265" t="s">
        <v>317</v>
      </c>
      <c r="AV708" s="265">
        <v>0</v>
      </c>
    </row>
    <row r="709" spans="1:48">
      <c r="A709" s="275">
        <f t="shared" si="319"/>
        <v>706</v>
      </c>
      <c r="B709" s="276" t="str">
        <f t="shared" si="321"/>
        <v>Oct 2014</v>
      </c>
      <c r="C709" s="277" t="str">
        <f t="shared" si="322"/>
        <v xml:space="preserve">LS </v>
      </c>
      <c r="D709" s="277" t="str">
        <f t="shared" si="323"/>
        <v>LGUM_433</v>
      </c>
      <c r="E709" s="614">
        <f t="shared" si="326"/>
        <v>204</v>
      </c>
      <c r="F709" s="615">
        <v>0</v>
      </c>
      <c r="G709" s="614">
        <f t="shared" si="327"/>
        <v>0</v>
      </c>
      <c r="H709" s="615">
        <v>0</v>
      </c>
      <c r="I709" s="283">
        <f t="shared" si="328"/>
        <v>34.99</v>
      </c>
      <c r="J709" s="283">
        <f t="shared" si="329"/>
        <v>1.0600000000000023</v>
      </c>
      <c r="K709" s="285">
        <f t="shared" si="330"/>
        <v>7137.96</v>
      </c>
      <c r="L709" s="286">
        <v>0</v>
      </c>
      <c r="M709" s="286">
        <v>0</v>
      </c>
      <c r="N709" s="285">
        <f t="shared" si="331"/>
        <v>7137.96</v>
      </c>
      <c r="O709" s="616">
        <f t="shared" si="320"/>
        <v>0</v>
      </c>
      <c r="P709" s="289">
        <f t="shared" si="332"/>
        <v>0</v>
      </c>
      <c r="Q709" s="290">
        <f t="shared" si="333"/>
        <v>0</v>
      </c>
      <c r="R709" s="290">
        <f t="shared" si="334"/>
        <v>0</v>
      </c>
      <c r="S709" s="290">
        <f t="shared" si="335"/>
        <v>0</v>
      </c>
      <c r="T709" s="290">
        <f t="shared" si="336"/>
        <v>0</v>
      </c>
      <c r="U709" s="291">
        <f t="shared" si="337"/>
        <v>7137.96</v>
      </c>
      <c r="V709" s="291">
        <f t="shared" ref="V709:V772" si="341">ROUND(T709-U709,2)</f>
        <v>-7137.96</v>
      </c>
      <c r="W709" s="265">
        <f t="shared" si="338"/>
        <v>0</v>
      </c>
      <c r="X709" s="291">
        <f t="shared" ref="X709:X772" si="342">V709-W709</f>
        <v>-7137.96</v>
      </c>
      <c r="Y709" s="170">
        <f t="shared" si="339"/>
        <v>216.24</v>
      </c>
      <c r="Z709" s="291">
        <f t="shared" si="340"/>
        <v>-216.24</v>
      </c>
      <c r="AC709" s="276">
        <f>IF(AI709=1,IF(AC708=MiscData!$F$1,EOMONTH(AC708,-11),EOMONTH(AC708,1)),AC708)</f>
        <v>41943</v>
      </c>
      <c r="AD709" s="275" t="str">
        <f t="shared" si="324"/>
        <v>20140101LGUM_433</v>
      </c>
      <c r="AE709" s="294" t="str">
        <f t="shared" si="325"/>
        <v xml:space="preserve">20140101LS </v>
      </c>
      <c r="AF709" s="618" t="str">
        <f t="shared" ref="AF709:AF772" si="343">RIGHT(AJ709,3)</f>
        <v>433</v>
      </c>
      <c r="AH709" s="265">
        <f>MiscData!$X$5</f>
        <v>20140101</v>
      </c>
      <c r="AI709" s="265">
        <f>IF(AI708+1&gt;MiscData!$AC$77,1,AI708+1)</f>
        <v>49</v>
      </c>
      <c r="AJ709" s="265" t="str">
        <f>VLOOKUP(AI709,MiscData!$AC$5:$AD$77,2,FALSE)</f>
        <v>LGUM_433</v>
      </c>
      <c r="AK709" s="265" t="str">
        <f>VLOOKUP(AJ709,MiscData!$AD$5:$AE$77,2,FALSE)</f>
        <v xml:space="preserve">LS </v>
      </c>
      <c r="AT709" s="265" t="s">
        <v>318</v>
      </c>
      <c r="AV709" s="265">
        <v>0</v>
      </c>
    </row>
    <row r="710" spans="1:48">
      <c r="A710" s="275">
        <f t="shared" si="319"/>
        <v>707</v>
      </c>
      <c r="B710" s="276" t="str">
        <f t="shared" si="321"/>
        <v>Oct 2014</v>
      </c>
      <c r="C710" s="277" t="str">
        <f t="shared" si="322"/>
        <v xml:space="preserve">LS </v>
      </c>
      <c r="D710" s="277" t="str">
        <f t="shared" si="323"/>
        <v>LGUM_439</v>
      </c>
      <c r="E710" s="614">
        <f t="shared" si="326"/>
        <v>0</v>
      </c>
      <c r="F710" s="615">
        <v>0</v>
      </c>
      <c r="G710" s="614">
        <f t="shared" si="327"/>
        <v>0</v>
      </c>
      <c r="H710" s="615">
        <v>0</v>
      </c>
      <c r="I710" s="283">
        <f t="shared" si="328"/>
        <v>16.459999999999997</v>
      </c>
      <c r="J710" s="283">
        <f t="shared" si="329"/>
        <v>1.6499999999999986</v>
      </c>
      <c r="K710" s="285">
        <f t="shared" si="330"/>
        <v>0</v>
      </c>
      <c r="L710" s="286">
        <v>0</v>
      </c>
      <c r="M710" s="286">
        <v>0</v>
      </c>
      <c r="N710" s="285">
        <f t="shared" si="331"/>
        <v>0</v>
      </c>
      <c r="O710" s="616">
        <f t="shared" si="320"/>
        <v>0</v>
      </c>
      <c r="P710" s="289">
        <f t="shared" si="332"/>
        <v>1</v>
      </c>
      <c r="Q710" s="290">
        <f t="shared" si="333"/>
        <v>0</v>
      </c>
      <c r="R710" s="290">
        <f t="shared" si="334"/>
        <v>0</v>
      </c>
      <c r="S710" s="290">
        <f t="shared" si="335"/>
        <v>0</v>
      </c>
      <c r="T710" s="290">
        <f t="shared" si="336"/>
        <v>0</v>
      </c>
      <c r="U710" s="291">
        <f t="shared" si="337"/>
        <v>0</v>
      </c>
      <c r="V710" s="291">
        <f t="shared" si="341"/>
        <v>0</v>
      </c>
      <c r="W710" s="265">
        <f t="shared" si="338"/>
        <v>0</v>
      </c>
      <c r="X710" s="291">
        <f t="shared" si="342"/>
        <v>0</v>
      </c>
      <c r="Y710" s="170">
        <f t="shared" si="339"/>
        <v>0</v>
      </c>
      <c r="Z710" s="291">
        <f t="shared" si="340"/>
        <v>0</v>
      </c>
      <c r="AC710" s="276">
        <f>IF(AI710=1,IF(AC709=MiscData!$F$1,EOMONTH(AC709,-11),EOMONTH(AC709,1)),AC709)</f>
        <v>41943</v>
      </c>
      <c r="AD710" s="275" t="str">
        <f t="shared" si="324"/>
        <v>20140101LGUM_439</v>
      </c>
      <c r="AE710" s="294" t="str">
        <f t="shared" si="325"/>
        <v xml:space="preserve">20140101LS </v>
      </c>
      <c r="AF710" s="618" t="str">
        <f t="shared" si="343"/>
        <v>439</v>
      </c>
      <c r="AH710" s="265">
        <f>MiscData!$X$5</f>
        <v>20140101</v>
      </c>
      <c r="AI710" s="265">
        <f>IF(AI709+1&gt;MiscData!$AC$77,1,AI709+1)</f>
        <v>50</v>
      </c>
      <c r="AJ710" s="265" t="str">
        <f>VLOOKUP(AI710,MiscData!$AC$5:$AD$77,2,FALSE)</f>
        <v>LGUM_439</v>
      </c>
      <c r="AK710" s="265" t="str">
        <f>VLOOKUP(AJ710,MiscData!$AD$5:$AE$77,2,FALSE)</f>
        <v xml:space="preserve">LS </v>
      </c>
      <c r="AT710" s="265" t="s">
        <v>319</v>
      </c>
      <c r="AV710" s="265">
        <v>0</v>
      </c>
    </row>
    <row r="711" spans="1:48">
      <c r="A711" s="275">
        <f t="shared" ref="A711:A774" si="344">A710+1</f>
        <v>708</v>
      </c>
      <c r="B711" s="276" t="str">
        <f t="shared" si="321"/>
        <v>Oct 2014</v>
      </c>
      <c r="C711" s="277" t="str">
        <f t="shared" si="322"/>
        <v xml:space="preserve">LS </v>
      </c>
      <c r="D711" s="277" t="str">
        <f t="shared" si="323"/>
        <v>LGUM_440</v>
      </c>
      <c r="E711" s="614">
        <f t="shared" si="326"/>
        <v>2</v>
      </c>
      <c r="F711" s="615">
        <v>0</v>
      </c>
      <c r="G711" s="614">
        <f t="shared" si="327"/>
        <v>0</v>
      </c>
      <c r="H711" s="615">
        <v>0</v>
      </c>
      <c r="I711" s="283">
        <f t="shared" si="328"/>
        <v>18.279999999999998</v>
      </c>
      <c r="J711" s="283">
        <f t="shared" si="329"/>
        <v>2.67</v>
      </c>
      <c r="K711" s="285">
        <f t="shared" si="330"/>
        <v>36.56</v>
      </c>
      <c r="L711" s="286">
        <v>0</v>
      </c>
      <c r="M711" s="286">
        <v>0</v>
      </c>
      <c r="N711" s="285">
        <f t="shared" si="331"/>
        <v>36.56</v>
      </c>
      <c r="O711" s="616">
        <f t="shared" si="320"/>
        <v>0</v>
      </c>
      <c r="P711" s="289">
        <f t="shared" si="332"/>
        <v>0</v>
      </c>
      <c r="Q711" s="290">
        <f t="shared" si="333"/>
        <v>0</v>
      </c>
      <c r="R711" s="290">
        <f t="shared" si="334"/>
        <v>0</v>
      </c>
      <c r="S711" s="290">
        <f t="shared" si="335"/>
        <v>0</v>
      </c>
      <c r="T711" s="290">
        <f t="shared" si="336"/>
        <v>0</v>
      </c>
      <c r="U711" s="291">
        <f t="shared" si="337"/>
        <v>36.56</v>
      </c>
      <c r="V711" s="291">
        <f t="shared" si="341"/>
        <v>-36.56</v>
      </c>
      <c r="W711" s="265">
        <f t="shared" si="338"/>
        <v>0</v>
      </c>
      <c r="X711" s="291">
        <f t="shared" si="342"/>
        <v>-36.56</v>
      </c>
      <c r="Y711" s="170">
        <f t="shared" si="339"/>
        <v>5.34</v>
      </c>
      <c r="Z711" s="291">
        <f t="shared" si="340"/>
        <v>-5.34</v>
      </c>
      <c r="AC711" s="276">
        <f>IF(AI711=1,IF(AC710=MiscData!$F$1,EOMONTH(AC710,-11),EOMONTH(AC710,1)),AC710)</f>
        <v>41943</v>
      </c>
      <c r="AD711" s="275" t="str">
        <f t="shared" si="324"/>
        <v>20140101LGUM_440</v>
      </c>
      <c r="AE711" s="294" t="str">
        <f t="shared" si="325"/>
        <v xml:space="preserve">20140101LS </v>
      </c>
      <c r="AF711" s="618" t="str">
        <f t="shared" si="343"/>
        <v>440</v>
      </c>
      <c r="AH711" s="265">
        <f>MiscData!$X$5</f>
        <v>20140101</v>
      </c>
      <c r="AI711" s="265">
        <f>IF(AI710+1&gt;MiscData!$AC$77,1,AI710+1)</f>
        <v>51</v>
      </c>
      <c r="AJ711" s="265" t="str">
        <f>VLOOKUP(AI711,MiscData!$AC$5:$AD$77,2,FALSE)</f>
        <v>LGUM_440</v>
      </c>
      <c r="AK711" s="265" t="str">
        <f>VLOOKUP(AJ711,MiscData!$AD$5:$AE$77,2,FALSE)</f>
        <v xml:space="preserve">LS </v>
      </c>
      <c r="AT711" s="265" t="s">
        <v>320</v>
      </c>
      <c r="AV711" s="265">
        <v>0</v>
      </c>
    </row>
    <row r="712" spans="1:48">
      <c r="A712" s="275">
        <f t="shared" si="344"/>
        <v>709</v>
      </c>
      <c r="B712" s="276" t="str">
        <f t="shared" si="321"/>
        <v>Oct 2014</v>
      </c>
      <c r="C712" s="277" t="str">
        <f t="shared" si="322"/>
        <v xml:space="preserve">LS </v>
      </c>
      <c r="D712" s="277" t="str">
        <f t="shared" si="323"/>
        <v>LGUM_441</v>
      </c>
      <c r="E712" s="614">
        <f t="shared" si="326"/>
        <v>13</v>
      </c>
      <c r="F712" s="615">
        <v>0</v>
      </c>
      <c r="G712" s="614">
        <f t="shared" si="327"/>
        <v>0</v>
      </c>
      <c r="H712" s="615">
        <v>0</v>
      </c>
      <c r="I712" s="283">
        <f t="shared" si="328"/>
        <v>22.32</v>
      </c>
      <c r="J712" s="283">
        <f t="shared" si="329"/>
        <v>4.2800000000000011</v>
      </c>
      <c r="K712" s="285">
        <f t="shared" si="330"/>
        <v>290.16000000000003</v>
      </c>
      <c r="L712" s="286">
        <v>0</v>
      </c>
      <c r="M712" s="286">
        <v>0</v>
      </c>
      <c r="N712" s="285">
        <f t="shared" si="331"/>
        <v>290.16000000000003</v>
      </c>
      <c r="O712" s="616">
        <f t="shared" si="320"/>
        <v>0</v>
      </c>
      <c r="P712" s="289">
        <f t="shared" si="332"/>
        <v>0</v>
      </c>
      <c r="Q712" s="290">
        <f t="shared" si="333"/>
        <v>0</v>
      </c>
      <c r="R712" s="290">
        <f t="shared" si="334"/>
        <v>0</v>
      </c>
      <c r="S712" s="290">
        <f t="shared" si="335"/>
        <v>0</v>
      </c>
      <c r="T712" s="290">
        <f t="shared" si="336"/>
        <v>0</v>
      </c>
      <c r="U712" s="291">
        <f t="shared" si="337"/>
        <v>290.16000000000003</v>
      </c>
      <c r="V712" s="291">
        <f t="shared" si="341"/>
        <v>-290.16000000000003</v>
      </c>
      <c r="W712" s="265">
        <f t="shared" si="338"/>
        <v>0</v>
      </c>
      <c r="X712" s="291">
        <f t="shared" si="342"/>
        <v>-290.16000000000003</v>
      </c>
      <c r="Y712" s="170">
        <f t="shared" si="339"/>
        <v>55.64</v>
      </c>
      <c r="Z712" s="291">
        <f t="shared" si="340"/>
        <v>-55.64</v>
      </c>
      <c r="AC712" s="276">
        <f>IF(AI712=1,IF(AC711=MiscData!$F$1,EOMONTH(AC711,-11),EOMONTH(AC711,1)),AC711)</f>
        <v>41943</v>
      </c>
      <c r="AD712" s="275" t="str">
        <f t="shared" si="324"/>
        <v>20140101LGUM_441</v>
      </c>
      <c r="AE712" s="294" t="str">
        <f t="shared" si="325"/>
        <v xml:space="preserve">20140101LS </v>
      </c>
      <c r="AF712" s="618" t="str">
        <f t="shared" si="343"/>
        <v>441</v>
      </c>
      <c r="AH712" s="265">
        <f>MiscData!$X$5</f>
        <v>20140101</v>
      </c>
      <c r="AI712" s="265">
        <f>IF(AI711+1&gt;MiscData!$AC$77,1,AI711+1)</f>
        <v>52</v>
      </c>
      <c r="AJ712" s="265" t="str">
        <f>VLOOKUP(AI712,MiscData!$AC$5:$AD$77,2,FALSE)</f>
        <v>LGUM_441</v>
      </c>
      <c r="AK712" s="265" t="str">
        <f>VLOOKUP(AJ712,MiscData!$AD$5:$AE$77,2,FALSE)</f>
        <v xml:space="preserve">LS </v>
      </c>
      <c r="AT712" s="265" t="s">
        <v>321</v>
      </c>
      <c r="AV712" s="265">
        <v>0</v>
      </c>
    </row>
    <row r="713" spans="1:48">
      <c r="A713" s="275">
        <f t="shared" si="344"/>
        <v>710</v>
      </c>
      <c r="B713" s="276" t="str">
        <f t="shared" si="321"/>
        <v>Oct 2014</v>
      </c>
      <c r="C713" s="277" t="str">
        <f t="shared" si="322"/>
        <v xml:space="preserve">LS </v>
      </c>
      <c r="D713" s="277" t="str">
        <f t="shared" si="323"/>
        <v>LGUM_452</v>
      </c>
      <c r="E713" s="614">
        <f t="shared" si="326"/>
        <v>6017</v>
      </c>
      <c r="F713" s="615">
        <v>0</v>
      </c>
      <c r="G713" s="614">
        <f t="shared" si="327"/>
        <v>0</v>
      </c>
      <c r="H713" s="615">
        <v>0</v>
      </c>
      <c r="I713" s="283">
        <f t="shared" si="328"/>
        <v>12.82</v>
      </c>
      <c r="J713" s="283">
        <f t="shared" si="329"/>
        <v>1.6500000000000004</v>
      </c>
      <c r="K713" s="285">
        <f t="shared" si="330"/>
        <v>77137.94</v>
      </c>
      <c r="L713" s="286">
        <v>0</v>
      </c>
      <c r="M713" s="286">
        <v>0</v>
      </c>
      <c r="N713" s="285">
        <f t="shared" si="331"/>
        <v>77137.94</v>
      </c>
      <c r="O713" s="616">
        <f t="shared" si="320"/>
        <v>0</v>
      </c>
      <c r="P713" s="289">
        <f t="shared" si="332"/>
        <v>0</v>
      </c>
      <c r="Q713" s="290">
        <f t="shared" si="333"/>
        <v>0</v>
      </c>
      <c r="R713" s="290">
        <f t="shared" si="334"/>
        <v>0</v>
      </c>
      <c r="S713" s="290">
        <f t="shared" si="335"/>
        <v>0</v>
      </c>
      <c r="T713" s="290">
        <f t="shared" si="336"/>
        <v>0</v>
      </c>
      <c r="U713" s="291">
        <f t="shared" si="337"/>
        <v>77137.94</v>
      </c>
      <c r="V713" s="291">
        <f t="shared" si="341"/>
        <v>-77137.94</v>
      </c>
      <c r="W713" s="265">
        <f t="shared" si="338"/>
        <v>0</v>
      </c>
      <c r="X713" s="291">
        <f t="shared" si="342"/>
        <v>-77137.94</v>
      </c>
      <c r="Y713" s="170">
        <f t="shared" si="339"/>
        <v>9928.0499999999993</v>
      </c>
      <c r="Z713" s="291">
        <f t="shared" si="340"/>
        <v>-9928.0499999999993</v>
      </c>
      <c r="AC713" s="276">
        <f>IF(AI713=1,IF(AC712=MiscData!$F$1,EOMONTH(AC712,-11),EOMONTH(AC712,1)),AC712)</f>
        <v>41943</v>
      </c>
      <c r="AD713" s="275" t="str">
        <f t="shared" si="324"/>
        <v>20140101LGUM_452</v>
      </c>
      <c r="AE713" s="294" t="str">
        <f t="shared" si="325"/>
        <v xml:space="preserve">20140101LS </v>
      </c>
      <c r="AF713" s="618" t="str">
        <f t="shared" si="343"/>
        <v>452</v>
      </c>
      <c r="AH713" s="265">
        <f>MiscData!$X$5</f>
        <v>20140101</v>
      </c>
      <c r="AI713" s="265">
        <f>IF(AI712+1&gt;MiscData!$AC$77,1,AI712+1)</f>
        <v>53</v>
      </c>
      <c r="AJ713" s="265" t="str">
        <f>VLOOKUP(AI713,MiscData!$AC$5:$AD$77,2,FALSE)</f>
        <v>LGUM_452</v>
      </c>
      <c r="AK713" s="265" t="str">
        <f>VLOOKUP(AJ713,MiscData!$AD$5:$AE$77,2,FALSE)</f>
        <v xml:space="preserve">LS </v>
      </c>
      <c r="AT713" s="265" t="s">
        <v>322</v>
      </c>
      <c r="AV713" s="265">
        <v>0</v>
      </c>
    </row>
    <row r="714" spans="1:48">
      <c r="A714" s="275">
        <f t="shared" si="344"/>
        <v>711</v>
      </c>
      <c r="B714" s="276" t="str">
        <f t="shared" si="321"/>
        <v>Oct 2014</v>
      </c>
      <c r="C714" s="277" t="str">
        <f t="shared" si="322"/>
        <v xml:space="preserve">LS </v>
      </c>
      <c r="D714" s="277" t="str">
        <f t="shared" si="323"/>
        <v>LGUM_453</v>
      </c>
      <c r="E714" s="614">
        <f t="shared" si="326"/>
        <v>8515</v>
      </c>
      <c r="F714" s="615">
        <v>0</v>
      </c>
      <c r="G714" s="614">
        <f t="shared" si="327"/>
        <v>0</v>
      </c>
      <c r="H714" s="615">
        <v>0</v>
      </c>
      <c r="I714" s="283">
        <f t="shared" si="328"/>
        <v>15.08</v>
      </c>
      <c r="J714" s="283">
        <f t="shared" si="329"/>
        <v>3.9800000000000004</v>
      </c>
      <c r="K714" s="285">
        <f t="shared" si="330"/>
        <v>128406.2</v>
      </c>
      <c r="L714" s="286">
        <v>0</v>
      </c>
      <c r="M714" s="286">
        <v>0</v>
      </c>
      <c r="N714" s="285">
        <f t="shared" si="331"/>
        <v>128406.2</v>
      </c>
      <c r="O714" s="616">
        <f t="shared" si="320"/>
        <v>0</v>
      </c>
      <c r="P714" s="289">
        <f t="shared" si="332"/>
        <v>0</v>
      </c>
      <c r="Q714" s="290">
        <f t="shared" si="333"/>
        <v>0</v>
      </c>
      <c r="R714" s="290">
        <f t="shared" si="334"/>
        <v>0</v>
      </c>
      <c r="S714" s="290">
        <f t="shared" si="335"/>
        <v>0</v>
      </c>
      <c r="T714" s="290">
        <f t="shared" si="336"/>
        <v>0</v>
      </c>
      <c r="U714" s="291">
        <f t="shared" si="337"/>
        <v>128406.2</v>
      </c>
      <c r="V714" s="291">
        <f t="shared" si="341"/>
        <v>-128406.2</v>
      </c>
      <c r="W714" s="265">
        <f t="shared" si="338"/>
        <v>0</v>
      </c>
      <c r="X714" s="291">
        <f t="shared" si="342"/>
        <v>-128406.2</v>
      </c>
      <c r="Y714" s="170">
        <f t="shared" si="339"/>
        <v>33889.699999999997</v>
      </c>
      <c r="Z714" s="291">
        <f t="shared" si="340"/>
        <v>-33889.699999999997</v>
      </c>
      <c r="AC714" s="276">
        <f>IF(AI714=1,IF(AC713=MiscData!$F$1,EOMONTH(AC713,-11),EOMONTH(AC713,1)),AC713)</f>
        <v>41943</v>
      </c>
      <c r="AD714" s="275" t="str">
        <f t="shared" si="324"/>
        <v>20140101LGUM_453</v>
      </c>
      <c r="AE714" s="294" t="str">
        <f t="shared" si="325"/>
        <v xml:space="preserve">20140101LS </v>
      </c>
      <c r="AF714" s="618" t="str">
        <f t="shared" si="343"/>
        <v>453</v>
      </c>
      <c r="AH714" s="265">
        <f>MiscData!$X$5</f>
        <v>20140101</v>
      </c>
      <c r="AI714" s="265">
        <f>IF(AI713+1&gt;MiscData!$AC$77,1,AI713+1)</f>
        <v>54</v>
      </c>
      <c r="AJ714" s="265" t="str">
        <f>VLOOKUP(AI714,MiscData!$AC$5:$AD$77,2,FALSE)</f>
        <v>LGUM_453</v>
      </c>
      <c r="AK714" s="265" t="str">
        <f>VLOOKUP(AJ714,MiscData!$AD$5:$AE$77,2,FALSE)</f>
        <v xml:space="preserve">LS </v>
      </c>
      <c r="AT714" s="265" t="s">
        <v>323</v>
      </c>
      <c r="AV714" s="265">
        <v>0</v>
      </c>
    </row>
    <row r="715" spans="1:48">
      <c r="A715" s="275">
        <f t="shared" si="344"/>
        <v>712</v>
      </c>
      <c r="B715" s="276" t="str">
        <f t="shared" si="321"/>
        <v>Oct 2014</v>
      </c>
      <c r="C715" s="277" t="str">
        <f t="shared" si="322"/>
        <v xml:space="preserve">LS </v>
      </c>
      <c r="D715" s="277" t="str">
        <f t="shared" si="323"/>
        <v>LGUM_454</v>
      </c>
      <c r="E715" s="614">
        <f t="shared" si="326"/>
        <v>5364</v>
      </c>
      <c r="F715" s="615">
        <v>0</v>
      </c>
      <c r="G715" s="614">
        <f t="shared" si="327"/>
        <v>0</v>
      </c>
      <c r="H715" s="615">
        <v>0</v>
      </c>
      <c r="I715" s="283">
        <f t="shared" si="328"/>
        <v>17.38</v>
      </c>
      <c r="J715" s="283">
        <f t="shared" si="329"/>
        <v>4.2800000000000011</v>
      </c>
      <c r="K715" s="285">
        <f t="shared" si="330"/>
        <v>93226.32</v>
      </c>
      <c r="L715" s="286">
        <v>0</v>
      </c>
      <c r="M715" s="286">
        <v>0</v>
      </c>
      <c r="N715" s="285">
        <f t="shared" si="331"/>
        <v>93226.32</v>
      </c>
      <c r="O715" s="616">
        <f t="shared" si="320"/>
        <v>0</v>
      </c>
      <c r="P715" s="289">
        <f t="shared" si="332"/>
        <v>0</v>
      </c>
      <c r="Q715" s="290">
        <f t="shared" si="333"/>
        <v>0</v>
      </c>
      <c r="R715" s="290">
        <f t="shared" si="334"/>
        <v>0</v>
      </c>
      <c r="S715" s="290">
        <f t="shared" si="335"/>
        <v>0</v>
      </c>
      <c r="T715" s="290">
        <f t="shared" si="336"/>
        <v>0</v>
      </c>
      <c r="U715" s="291">
        <f t="shared" si="337"/>
        <v>93226.32</v>
      </c>
      <c r="V715" s="291">
        <f t="shared" si="341"/>
        <v>-93226.32</v>
      </c>
      <c r="W715" s="265">
        <f t="shared" si="338"/>
        <v>0</v>
      </c>
      <c r="X715" s="291">
        <f t="shared" si="342"/>
        <v>-93226.32</v>
      </c>
      <c r="Y715" s="170">
        <f t="shared" si="339"/>
        <v>22957.919999999998</v>
      </c>
      <c r="Z715" s="291">
        <f t="shared" si="340"/>
        <v>-22957.919999999998</v>
      </c>
      <c r="AC715" s="276">
        <f>IF(AI715=1,IF(AC714=MiscData!$F$1,EOMONTH(AC714,-11),EOMONTH(AC714,1)),AC714)</f>
        <v>41943</v>
      </c>
      <c r="AD715" s="275" t="str">
        <f t="shared" si="324"/>
        <v>20140101LGUM_454</v>
      </c>
      <c r="AE715" s="294" t="str">
        <f t="shared" si="325"/>
        <v xml:space="preserve">20140101LS </v>
      </c>
      <c r="AF715" s="618" t="str">
        <f t="shared" si="343"/>
        <v>454</v>
      </c>
      <c r="AH715" s="265">
        <f>MiscData!$X$5</f>
        <v>20140101</v>
      </c>
      <c r="AI715" s="265">
        <f>IF(AI714+1&gt;MiscData!$AC$77,1,AI714+1)</f>
        <v>55</v>
      </c>
      <c r="AJ715" s="265" t="str">
        <f>VLOOKUP(AI715,MiscData!$AC$5:$AD$77,2,FALSE)</f>
        <v>LGUM_454</v>
      </c>
      <c r="AK715" s="265" t="str">
        <f>VLOOKUP(AJ715,MiscData!$AD$5:$AE$77,2,FALSE)</f>
        <v xml:space="preserve">LS </v>
      </c>
      <c r="AT715" s="265" t="s">
        <v>324</v>
      </c>
      <c r="AV715" s="265">
        <v>0</v>
      </c>
    </row>
    <row r="716" spans="1:48">
      <c r="A716" s="275">
        <f t="shared" si="344"/>
        <v>713</v>
      </c>
      <c r="B716" s="276" t="str">
        <f t="shared" si="321"/>
        <v>Oct 2014</v>
      </c>
      <c r="C716" s="277" t="str">
        <f t="shared" si="322"/>
        <v xml:space="preserve">LS </v>
      </c>
      <c r="D716" s="277" t="str">
        <f t="shared" si="323"/>
        <v>LGUM_455</v>
      </c>
      <c r="E716" s="614">
        <f t="shared" si="326"/>
        <v>388</v>
      </c>
      <c r="F716" s="615">
        <v>0</v>
      </c>
      <c r="G716" s="614">
        <f t="shared" si="327"/>
        <v>0</v>
      </c>
      <c r="H716" s="615">
        <v>0</v>
      </c>
      <c r="I716" s="283">
        <f t="shared" si="328"/>
        <v>13.77</v>
      </c>
      <c r="J716" s="283">
        <f t="shared" si="329"/>
        <v>1.6499999999999986</v>
      </c>
      <c r="K716" s="285">
        <f t="shared" si="330"/>
        <v>5342.76</v>
      </c>
      <c r="L716" s="286">
        <v>0</v>
      </c>
      <c r="M716" s="286">
        <v>0</v>
      </c>
      <c r="N716" s="285">
        <f t="shared" si="331"/>
        <v>5342.76</v>
      </c>
      <c r="O716" s="616">
        <f t="shared" si="320"/>
        <v>0</v>
      </c>
      <c r="P716" s="289">
        <f t="shared" si="332"/>
        <v>0</v>
      </c>
      <c r="Q716" s="290">
        <f t="shared" si="333"/>
        <v>0</v>
      </c>
      <c r="R716" s="290">
        <f t="shared" si="334"/>
        <v>0</v>
      </c>
      <c r="S716" s="290">
        <f t="shared" si="335"/>
        <v>0</v>
      </c>
      <c r="T716" s="290">
        <f t="shared" si="336"/>
        <v>0</v>
      </c>
      <c r="U716" s="291">
        <f t="shared" si="337"/>
        <v>5342.76</v>
      </c>
      <c r="V716" s="291">
        <f t="shared" si="341"/>
        <v>-5342.76</v>
      </c>
      <c r="W716" s="265">
        <f t="shared" si="338"/>
        <v>0</v>
      </c>
      <c r="X716" s="291">
        <f t="shared" si="342"/>
        <v>-5342.76</v>
      </c>
      <c r="Y716" s="170">
        <f t="shared" si="339"/>
        <v>640.20000000000005</v>
      </c>
      <c r="Z716" s="291">
        <f t="shared" si="340"/>
        <v>-640.20000000000005</v>
      </c>
      <c r="AC716" s="276">
        <f>IF(AI716=1,IF(AC715=MiscData!$F$1,EOMONTH(AC715,-11),EOMONTH(AC715,1)),AC715)</f>
        <v>41943</v>
      </c>
      <c r="AD716" s="275" t="str">
        <f t="shared" si="324"/>
        <v>20140101LGUM_455</v>
      </c>
      <c r="AE716" s="294" t="str">
        <f t="shared" si="325"/>
        <v xml:space="preserve">20140101LS </v>
      </c>
      <c r="AF716" s="618" t="str">
        <f t="shared" si="343"/>
        <v>455</v>
      </c>
      <c r="AH716" s="265">
        <f>MiscData!$X$5</f>
        <v>20140101</v>
      </c>
      <c r="AI716" s="265">
        <f>IF(AI715+1&gt;MiscData!$AC$77,1,AI715+1)</f>
        <v>56</v>
      </c>
      <c r="AJ716" s="265" t="str">
        <f>VLOOKUP(AI716,MiscData!$AC$5:$AD$77,2,FALSE)</f>
        <v>LGUM_455</v>
      </c>
      <c r="AK716" s="265" t="str">
        <f>VLOOKUP(AJ716,MiscData!$AD$5:$AE$77,2,FALSE)</f>
        <v xml:space="preserve">LS </v>
      </c>
      <c r="AT716" s="265" t="s">
        <v>325</v>
      </c>
      <c r="AV716" s="265">
        <v>0</v>
      </c>
    </row>
    <row r="717" spans="1:48">
      <c r="A717" s="275">
        <f t="shared" si="344"/>
        <v>714</v>
      </c>
      <c r="B717" s="276" t="str">
        <f t="shared" si="321"/>
        <v>Oct 2014</v>
      </c>
      <c r="C717" s="277" t="str">
        <f t="shared" si="322"/>
        <v xml:space="preserve">LS </v>
      </c>
      <c r="D717" s="277" t="str">
        <f t="shared" si="323"/>
        <v>LGUM_456</v>
      </c>
      <c r="E717" s="614">
        <f t="shared" si="326"/>
        <v>12437</v>
      </c>
      <c r="F717" s="615">
        <v>0</v>
      </c>
      <c r="G717" s="614">
        <f t="shared" si="327"/>
        <v>0</v>
      </c>
      <c r="H717" s="615">
        <v>0</v>
      </c>
      <c r="I717" s="283">
        <f t="shared" si="328"/>
        <v>18.21</v>
      </c>
      <c r="J717" s="283">
        <f t="shared" si="329"/>
        <v>4.2800000000000011</v>
      </c>
      <c r="K717" s="285">
        <f t="shared" si="330"/>
        <v>226477.77</v>
      </c>
      <c r="L717" s="286">
        <v>0</v>
      </c>
      <c r="M717" s="286">
        <v>0</v>
      </c>
      <c r="N717" s="285">
        <f t="shared" si="331"/>
        <v>226477.77</v>
      </c>
      <c r="O717" s="616">
        <f t="shared" si="320"/>
        <v>0</v>
      </c>
      <c r="P717" s="289">
        <f t="shared" si="332"/>
        <v>0</v>
      </c>
      <c r="Q717" s="290">
        <f t="shared" si="333"/>
        <v>0</v>
      </c>
      <c r="R717" s="290">
        <f t="shared" si="334"/>
        <v>0</v>
      </c>
      <c r="S717" s="290">
        <f t="shared" si="335"/>
        <v>0</v>
      </c>
      <c r="T717" s="290">
        <f t="shared" si="336"/>
        <v>0</v>
      </c>
      <c r="U717" s="291">
        <f t="shared" si="337"/>
        <v>226477.77</v>
      </c>
      <c r="V717" s="291">
        <f t="shared" si="341"/>
        <v>-226477.77</v>
      </c>
      <c r="W717" s="265">
        <f t="shared" si="338"/>
        <v>0</v>
      </c>
      <c r="X717" s="291">
        <f t="shared" si="342"/>
        <v>-226477.77</v>
      </c>
      <c r="Y717" s="170">
        <f t="shared" si="339"/>
        <v>53230.36</v>
      </c>
      <c r="Z717" s="291">
        <f t="shared" si="340"/>
        <v>-53230.36</v>
      </c>
      <c r="AC717" s="276">
        <f>IF(AI717=1,IF(AC716=MiscData!$F$1,EOMONTH(AC716,-11),EOMONTH(AC716,1)),AC716)</f>
        <v>41943</v>
      </c>
      <c r="AD717" s="275" t="str">
        <f t="shared" si="324"/>
        <v>20140101LGUM_456</v>
      </c>
      <c r="AE717" s="294" t="str">
        <f t="shared" si="325"/>
        <v xml:space="preserve">20140101LS </v>
      </c>
      <c r="AF717" s="618" t="str">
        <f t="shared" si="343"/>
        <v>456</v>
      </c>
      <c r="AH717" s="265">
        <f>MiscData!$X$5</f>
        <v>20140101</v>
      </c>
      <c r="AI717" s="265">
        <f>IF(AI716+1&gt;MiscData!$AC$77,1,AI716+1)</f>
        <v>57</v>
      </c>
      <c r="AJ717" s="265" t="str">
        <f>VLOOKUP(AI717,MiscData!$AC$5:$AD$77,2,FALSE)</f>
        <v>LGUM_456</v>
      </c>
      <c r="AK717" s="265" t="str">
        <f>VLOOKUP(AJ717,MiscData!$AD$5:$AE$77,2,FALSE)</f>
        <v xml:space="preserve">LS </v>
      </c>
      <c r="AT717" s="265" t="s">
        <v>326</v>
      </c>
      <c r="AV717" s="265">
        <v>0</v>
      </c>
    </row>
    <row r="718" spans="1:48">
      <c r="A718" s="275">
        <f t="shared" si="344"/>
        <v>715</v>
      </c>
      <c r="B718" s="276" t="str">
        <f t="shared" si="321"/>
        <v>Oct 2014</v>
      </c>
      <c r="C718" s="277" t="str">
        <f t="shared" si="322"/>
        <v xml:space="preserve">LS </v>
      </c>
      <c r="D718" s="277" t="str">
        <f t="shared" si="323"/>
        <v>LGUM_457</v>
      </c>
      <c r="E718" s="614">
        <f t="shared" si="326"/>
        <v>3068</v>
      </c>
      <c r="F718" s="615">
        <v>0</v>
      </c>
      <c r="G718" s="614">
        <f t="shared" si="327"/>
        <v>0</v>
      </c>
      <c r="H718" s="615">
        <v>0</v>
      </c>
      <c r="I718" s="283">
        <f t="shared" si="328"/>
        <v>10.86</v>
      </c>
      <c r="J718" s="283">
        <f t="shared" si="329"/>
        <v>1.0599999999999987</v>
      </c>
      <c r="K718" s="285">
        <f t="shared" si="330"/>
        <v>33318.480000000003</v>
      </c>
      <c r="L718" s="286">
        <v>0</v>
      </c>
      <c r="M718" s="286">
        <v>0</v>
      </c>
      <c r="N718" s="285">
        <f t="shared" si="331"/>
        <v>33318.480000000003</v>
      </c>
      <c r="O718" s="616">
        <f t="shared" si="320"/>
        <v>0</v>
      </c>
      <c r="P718" s="289">
        <f t="shared" si="332"/>
        <v>0</v>
      </c>
      <c r="Q718" s="290">
        <f t="shared" si="333"/>
        <v>0</v>
      </c>
      <c r="R718" s="290">
        <f t="shared" si="334"/>
        <v>0</v>
      </c>
      <c r="S718" s="290">
        <f t="shared" si="335"/>
        <v>0</v>
      </c>
      <c r="T718" s="290">
        <f t="shared" si="336"/>
        <v>0</v>
      </c>
      <c r="U718" s="291">
        <f t="shared" si="337"/>
        <v>33318.480000000003</v>
      </c>
      <c r="V718" s="291">
        <f t="shared" si="341"/>
        <v>-33318.480000000003</v>
      </c>
      <c r="W718" s="265">
        <f t="shared" si="338"/>
        <v>0</v>
      </c>
      <c r="X718" s="291">
        <f t="shared" si="342"/>
        <v>-33318.480000000003</v>
      </c>
      <c r="Y718" s="170">
        <f t="shared" si="339"/>
        <v>3252.08</v>
      </c>
      <c r="Z718" s="291">
        <f t="shared" si="340"/>
        <v>-3252.08</v>
      </c>
      <c r="AC718" s="276">
        <f>IF(AI718=1,IF(AC717=MiscData!$F$1,EOMONTH(AC717,-11),EOMONTH(AC717,1)),AC717)</f>
        <v>41943</v>
      </c>
      <c r="AD718" s="275" t="str">
        <f t="shared" si="324"/>
        <v>20140101LGUM_457</v>
      </c>
      <c r="AE718" s="294" t="str">
        <f t="shared" si="325"/>
        <v xml:space="preserve">20140101LS </v>
      </c>
      <c r="AF718" s="618" t="str">
        <f t="shared" si="343"/>
        <v>457</v>
      </c>
      <c r="AH718" s="265">
        <f>MiscData!$X$5</f>
        <v>20140101</v>
      </c>
      <c r="AI718" s="265">
        <f>IF(AI717+1&gt;MiscData!$AC$77,1,AI717+1)</f>
        <v>58</v>
      </c>
      <c r="AJ718" s="265" t="str">
        <f>VLOOKUP(AI718,MiscData!$AC$5:$AD$77,2,FALSE)</f>
        <v>LGUM_457</v>
      </c>
      <c r="AK718" s="265" t="str">
        <f>VLOOKUP(AJ718,MiscData!$AD$5:$AE$77,2,FALSE)</f>
        <v xml:space="preserve">LS </v>
      </c>
      <c r="AT718" s="265" t="s">
        <v>327</v>
      </c>
      <c r="AV718" s="265">
        <v>0</v>
      </c>
    </row>
    <row r="719" spans="1:48">
      <c r="A719" s="275">
        <f t="shared" si="344"/>
        <v>716</v>
      </c>
      <c r="B719" s="276" t="str">
        <f t="shared" si="321"/>
        <v>Oct 2014</v>
      </c>
      <c r="C719" s="277" t="str">
        <f t="shared" si="322"/>
        <v>RLS</v>
      </c>
      <c r="D719" s="277" t="str">
        <f t="shared" si="323"/>
        <v>LGUM_458</v>
      </c>
      <c r="E719" s="614">
        <f t="shared" si="326"/>
        <v>5</v>
      </c>
      <c r="F719" s="615">
        <v>0</v>
      </c>
      <c r="G719" s="614">
        <f t="shared" si="327"/>
        <v>0</v>
      </c>
      <c r="H719" s="615">
        <v>0</v>
      </c>
      <c r="I719" s="283">
        <f t="shared" si="328"/>
        <v>11.13</v>
      </c>
      <c r="J719" s="283">
        <f t="shared" si="329"/>
        <v>3.7700000000000014</v>
      </c>
      <c r="K719" s="285">
        <f t="shared" si="330"/>
        <v>55.65</v>
      </c>
      <c r="L719" s="286">
        <v>0</v>
      </c>
      <c r="M719" s="286">
        <v>0</v>
      </c>
      <c r="N719" s="285">
        <f t="shared" si="331"/>
        <v>55.65</v>
      </c>
      <c r="O719" s="616">
        <f t="shared" si="320"/>
        <v>0</v>
      </c>
      <c r="P719" s="289">
        <f t="shared" si="332"/>
        <v>0</v>
      </c>
      <c r="Q719" s="290">
        <f t="shared" si="333"/>
        <v>0</v>
      </c>
      <c r="R719" s="290">
        <f t="shared" si="334"/>
        <v>0</v>
      </c>
      <c r="S719" s="290">
        <f t="shared" si="335"/>
        <v>0</v>
      </c>
      <c r="T719" s="290">
        <f t="shared" si="336"/>
        <v>0</v>
      </c>
      <c r="U719" s="291">
        <f t="shared" si="337"/>
        <v>55.65</v>
      </c>
      <c r="V719" s="291">
        <f t="shared" si="341"/>
        <v>-55.65</v>
      </c>
      <c r="W719" s="265">
        <f t="shared" si="338"/>
        <v>0</v>
      </c>
      <c r="X719" s="291">
        <f t="shared" si="342"/>
        <v>-55.65</v>
      </c>
      <c r="Y719" s="170">
        <f t="shared" si="339"/>
        <v>18.850000000000001</v>
      </c>
      <c r="Z719" s="291">
        <f t="shared" si="340"/>
        <v>-18.850000000000001</v>
      </c>
      <c r="AC719" s="276">
        <f>IF(AI719=1,IF(AC718=MiscData!$F$1,EOMONTH(AC718,-11),EOMONTH(AC718,1)),AC718)</f>
        <v>41943</v>
      </c>
      <c r="AD719" s="275" t="str">
        <f t="shared" si="324"/>
        <v>20140101LGUM_458</v>
      </c>
      <c r="AE719" s="294" t="str">
        <f t="shared" si="325"/>
        <v>20140101RLS</v>
      </c>
      <c r="AF719" s="618" t="str">
        <f t="shared" si="343"/>
        <v>458</v>
      </c>
      <c r="AH719" s="265">
        <f>MiscData!$X$5</f>
        <v>20140101</v>
      </c>
      <c r="AI719" s="265">
        <f>IF(AI718+1&gt;MiscData!$AC$77,1,AI718+1)</f>
        <v>59</v>
      </c>
      <c r="AJ719" s="265" t="str">
        <f>VLOOKUP(AI719,MiscData!$AC$5:$AD$77,2,FALSE)</f>
        <v>LGUM_458</v>
      </c>
      <c r="AK719" s="265" t="str">
        <f>VLOOKUP(AJ719,MiscData!$AD$5:$AE$77,2,FALSE)</f>
        <v>RLS</v>
      </c>
      <c r="AT719" s="265" t="s">
        <v>328</v>
      </c>
      <c r="AV719" s="265">
        <v>0</v>
      </c>
    </row>
    <row r="720" spans="1:48">
      <c r="A720" s="275">
        <f t="shared" si="344"/>
        <v>717</v>
      </c>
      <c r="B720" s="276" t="str">
        <f t="shared" si="321"/>
        <v>Oct 2014</v>
      </c>
      <c r="C720" s="277" t="str">
        <f t="shared" si="322"/>
        <v xml:space="preserve">LS </v>
      </c>
      <c r="D720" s="277" t="str">
        <f t="shared" si="323"/>
        <v>LGUM_470</v>
      </c>
      <c r="E720" s="614">
        <f t="shared" si="326"/>
        <v>17</v>
      </c>
      <c r="F720" s="615">
        <v>0</v>
      </c>
      <c r="G720" s="614">
        <f t="shared" si="327"/>
        <v>0</v>
      </c>
      <c r="H720" s="615">
        <v>0</v>
      </c>
      <c r="I720" s="283">
        <f t="shared" si="328"/>
        <v>12.79</v>
      </c>
      <c r="J720" s="283">
        <f t="shared" si="329"/>
        <v>1.3699999999999992</v>
      </c>
      <c r="K720" s="285">
        <f t="shared" si="330"/>
        <v>217.43</v>
      </c>
      <c r="L720" s="286">
        <v>0</v>
      </c>
      <c r="M720" s="286">
        <v>0</v>
      </c>
      <c r="N720" s="285">
        <f t="shared" si="331"/>
        <v>217.43</v>
      </c>
      <c r="O720" s="616">
        <f t="shared" si="320"/>
        <v>0</v>
      </c>
      <c r="P720" s="289">
        <f t="shared" si="332"/>
        <v>0</v>
      </c>
      <c r="Q720" s="290">
        <f t="shared" si="333"/>
        <v>0</v>
      </c>
      <c r="R720" s="290">
        <f t="shared" si="334"/>
        <v>0</v>
      </c>
      <c r="S720" s="290">
        <f t="shared" si="335"/>
        <v>0</v>
      </c>
      <c r="T720" s="290">
        <f t="shared" si="336"/>
        <v>0</v>
      </c>
      <c r="U720" s="291">
        <f t="shared" si="337"/>
        <v>217.43</v>
      </c>
      <c r="V720" s="291">
        <f t="shared" si="341"/>
        <v>-217.43</v>
      </c>
      <c r="W720" s="265">
        <f t="shared" si="338"/>
        <v>0</v>
      </c>
      <c r="X720" s="291">
        <f t="shared" si="342"/>
        <v>-217.43</v>
      </c>
      <c r="Y720" s="170">
        <f t="shared" si="339"/>
        <v>23.29</v>
      </c>
      <c r="Z720" s="291">
        <f t="shared" si="340"/>
        <v>-23.29</v>
      </c>
      <c r="AC720" s="276">
        <f>IF(AI720=1,IF(AC719=MiscData!$F$1,EOMONTH(AC719,-11),EOMONTH(AC719,1)),AC719)</f>
        <v>41943</v>
      </c>
      <c r="AD720" s="275" t="str">
        <f t="shared" si="324"/>
        <v>20140101LGUM_470</v>
      </c>
      <c r="AE720" s="294" t="str">
        <f t="shared" si="325"/>
        <v xml:space="preserve">20140101LS </v>
      </c>
      <c r="AF720" s="618" t="str">
        <f t="shared" si="343"/>
        <v>470</v>
      </c>
      <c r="AH720" s="265">
        <f>MiscData!$X$5</f>
        <v>20140101</v>
      </c>
      <c r="AI720" s="265">
        <f>IF(AI719+1&gt;MiscData!$AC$77,1,AI719+1)</f>
        <v>60</v>
      </c>
      <c r="AJ720" s="265" t="str">
        <f>VLOOKUP(AI720,MiscData!$AC$5:$AD$77,2,FALSE)</f>
        <v>LGUM_470</v>
      </c>
      <c r="AK720" s="265" t="str">
        <f>VLOOKUP(AJ720,MiscData!$AD$5:$AE$77,2,FALSE)</f>
        <v xml:space="preserve">LS </v>
      </c>
      <c r="AT720" s="265" t="s">
        <v>377</v>
      </c>
      <c r="AV720" s="265">
        <v>0</v>
      </c>
    </row>
    <row r="721" spans="1:48">
      <c r="A721" s="275">
        <f t="shared" si="344"/>
        <v>718</v>
      </c>
      <c r="B721" s="276" t="str">
        <f t="shared" si="321"/>
        <v>Oct 2014</v>
      </c>
      <c r="C721" s="277" t="str">
        <f t="shared" si="322"/>
        <v>RLS</v>
      </c>
      <c r="D721" s="277" t="str">
        <f t="shared" si="323"/>
        <v>LGUM_471</v>
      </c>
      <c r="E721" s="614">
        <f t="shared" si="326"/>
        <v>2</v>
      </c>
      <c r="F721" s="615">
        <v>0</v>
      </c>
      <c r="G721" s="614">
        <f t="shared" si="327"/>
        <v>0</v>
      </c>
      <c r="H721" s="615">
        <v>0</v>
      </c>
      <c r="I721" s="283">
        <f t="shared" si="328"/>
        <v>15.07</v>
      </c>
      <c r="J721" s="283">
        <f t="shared" si="329"/>
        <v>1.3699999999999992</v>
      </c>
      <c r="K721" s="285">
        <f t="shared" si="330"/>
        <v>30.14</v>
      </c>
      <c r="L721" s="286">
        <v>0</v>
      </c>
      <c r="M721" s="286">
        <v>0</v>
      </c>
      <c r="N721" s="285">
        <f t="shared" si="331"/>
        <v>30.14</v>
      </c>
      <c r="O721" s="616">
        <f t="shared" si="320"/>
        <v>0</v>
      </c>
      <c r="P721" s="289">
        <f t="shared" si="332"/>
        <v>0</v>
      </c>
      <c r="Q721" s="290">
        <f t="shared" si="333"/>
        <v>0</v>
      </c>
      <c r="R721" s="290">
        <f t="shared" si="334"/>
        <v>0</v>
      </c>
      <c r="S721" s="290">
        <f t="shared" si="335"/>
        <v>0</v>
      </c>
      <c r="T721" s="290">
        <f t="shared" si="336"/>
        <v>0</v>
      </c>
      <c r="U721" s="291">
        <f t="shared" si="337"/>
        <v>30.14</v>
      </c>
      <c r="V721" s="291">
        <f t="shared" si="341"/>
        <v>-30.14</v>
      </c>
      <c r="W721" s="265">
        <f t="shared" si="338"/>
        <v>0</v>
      </c>
      <c r="X721" s="291">
        <f t="shared" si="342"/>
        <v>-30.14</v>
      </c>
      <c r="Y721" s="170">
        <f t="shared" si="339"/>
        <v>2.74</v>
      </c>
      <c r="Z721" s="291">
        <f t="shared" si="340"/>
        <v>-2.74</v>
      </c>
      <c r="AC721" s="276">
        <f>IF(AI721=1,IF(AC720=MiscData!$F$1,EOMONTH(AC720,-11),EOMONTH(AC720,1)),AC720)</f>
        <v>41943</v>
      </c>
      <c r="AD721" s="275" t="str">
        <f t="shared" si="324"/>
        <v>20140101LGUM_471</v>
      </c>
      <c r="AE721" s="294" t="str">
        <f t="shared" si="325"/>
        <v>20140101RLS</v>
      </c>
      <c r="AF721" s="618" t="str">
        <f t="shared" si="343"/>
        <v>471</v>
      </c>
      <c r="AH721" s="265">
        <f>MiscData!$X$5</f>
        <v>20140101</v>
      </c>
      <c r="AI721" s="265">
        <f>IF(AI720+1&gt;MiscData!$AC$77,1,AI720+1)</f>
        <v>61</v>
      </c>
      <c r="AJ721" s="265" t="str">
        <f>VLOOKUP(AI721,MiscData!$AC$5:$AD$77,2,FALSE)</f>
        <v>LGUM_471</v>
      </c>
      <c r="AK721" s="265" t="str">
        <f>VLOOKUP(AJ721,MiscData!$AD$5:$AE$77,2,FALSE)</f>
        <v>RLS</v>
      </c>
      <c r="AT721" s="265" t="s">
        <v>737</v>
      </c>
      <c r="AV721" s="265">
        <v>0</v>
      </c>
    </row>
    <row r="722" spans="1:48">
      <c r="A722" s="275">
        <f t="shared" si="344"/>
        <v>719</v>
      </c>
      <c r="B722" s="276" t="str">
        <f t="shared" si="321"/>
        <v>Oct 2014</v>
      </c>
      <c r="C722" s="277" t="str">
        <f t="shared" si="322"/>
        <v xml:space="preserve">LS </v>
      </c>
      <c r="D722" s="277" t="str">
        <f t="shared" si="323"/>
        <v>LGUM_473</v>
      </c>
      <c r="E722" s="614">
        <f t="shared" si="326"/>
        <v>266</v>
      </c>
      <c r="F722" s="615">
        <v>0</v>
      </c>
      <c r="G722" s="614">
        <f t="shared" si="327"/>
        <v>0</v>
      </c>
      <c r="H722" s="615">
        <v>0</v>
      </c>
      <c r="I722" s="283">
        <f t="shared" si="328"/>
        <v>18.68</v>
      </c>
      <c r="J722" s="283">
        <f t="shared" si="329"/>
        <v>3.1799999999999979</v>
      </c>
      <c r="K722" s="285">
        <f t="shared" si="330"/>
        <v>4968.88</v>
      </c>
      <c r="L722" s="286">
        <v>0</v>
      </c>
      <c r="M722" s="286">
        <v>0</v>
      </c>
      <c r="N722" s="285">
        <f t="shared" si="331"/>
        <v>4968.88</v>
      </c>
      <c r="O722" s="616">
        <f t="shared" si="320"/>
        <v>0</v>
      </c>
      <c r="P722" s="289">
        <f t="shared" si="332"/>
        <v>0</v>
      </c>
      <c r="Q722" s="290">
        <f t="shared" si="333"/>
        <v>0</v>
      </c>
      <c r="R722" s="290">
        <f t="shared" si="334"/>
        <v>0</v>
      </c>
      <c r="S722" s="290">
        <f t="shared" si="335"/>
        <v>0</v>
      </c>
      <c r="T722" s="290">
        <f t="shared" si="336"/>
        <v>0</v>
      </c>
      <c r="U722" s="291">
        <f t="shared" si="337"/>
        <v>4968.88</v>
      </c>
      <c r="V722" s="291">
        <f t="shared" si="341"/>
        <v>-4968.88</v>
      </c>
      <c r="W722" s="265">
        <f t="shared" si="338"/>
        <v>0</v>
      </c>
      <c r="X722" s="291">
        <f t="shared" si="342"/>
        <v>-4968.88</v>
      </c>
      <c r="Y722" s="170">
        <f t="shared" si="339"/>
        <v>845.88</v>
      </c>
      <c r="Z722" s="291">
        <f t="shared" si="340"/>
        <v>-845.88</v>
      </c>
      <c r="AC722" s="276">
        <f>IF(AI722=1,IF(AC721=MiscData!$F$1,EOMONTH(AC721,-11),EOMONTH(AC721,1)),AC721)</f>
        <v>41943</v>
      </c>
      <c r="AD722" s="275" t="str">
        <f t="shared" si="324"/>
        <v>20140101LGUM_473</v>
      </c>
      <c r="AE722" s="294" t="str">
        <f t="shared" si="325"/>
        <v xml:space="preserve">20140101LS </v>
      </c>
      <c r="AF722" s="618" t="str">
        <f t="shared" si="343"/>
        <v>473</v>
      </c>
      <c r="AH722" s="265">
        <f>MiscData!$X$5</f>
        <v>20140101</v>
      </c>
      <c r="AI722" s="265">
        <f>IF(AI721+1&gt;MiscData!$AC$77,1,AI721+1)</f>
        <v>62</v>
      </c>
      <c r="AJ722" s="265" t="str">
        <f>VLOOKUP(AI722,MiscData!$AC$5:$AD$77,2,FALSE)</f>
        <v>LGUM_473</v>
      </c>
      <c r="AK722" s="265" t="str">
        <f>VLOOKUP(AJ722,MiscData!$AD$5:$AE$77,2,FALSE)</f>
        <v xml:space="preserve">LS </v>
      </c>
      <c r="AT722" s="265" t="s">
        <v>329</v>
      </c>
      <c r="AV722" s="265">
        <v>13134.16</v>
      </c>
    </row>
    <row r="723" spans="1:48">
      <c r="A723" s="275">
        <f t="shared" si="344"/>
        <v>720</v>
      </c>
      <c r="B723" s="276" t="str">
        <f t="shared" si="321"/>
        <v>Oct 2014</v>
      </c>
      <c r="C723" s="277" t="str">
        <f t="shared" si="322"/>
        <v>RLS</v>
      </c>
      <c r="D723" s="277" t="str">
        <f t="shared" si="323"/>
        <v>LGUM_474</v>
      </c>
      <c r="E723" s="614">
        <f t="shared" si="326"/>
        <v>51</v>
      </c>
      <c r="F723" s="615">
        <v>0</v>
      </c>
      <c r="G723" s="614">
        <f t="shared" si="327"/>
        <v>0</v>
      </c>
      <c r="H723" s="615">
        <v>0</v>
      </c>
      <c r="I723" s="283">
        <f t="shared" si="328"/>
        <v>20.970000000000002</v>
      </c>
      <c r="J723" s="283">
        <f t="shared" si="329"/>
        <v>3.1799999999999997</v>
      </c>
      <c r="K723" s="285">
        <f t="shared" si="330"/>
        <v>1069.47</v>
      </c>
      <c r="L723" s="286">
        <v>0</v>
      </c>
      <c r="M723" s="286">
        <v>0</v>
      </c>
      <c r="N723" s="285">
        <f t="shared" si="331"/>
        <v>1069.47</v>
      </c>
      <c r="O723" s="616">
        <f t="shared" si="320"/>
        <v>0</v>
      </c>
      <c r="P723" s="289">
        <f t="shared" si="332"/>
        <v>0</v>
      </c>
      <c r="Q723" s="290">
        <f t="shared" si="333"/>
        <v>0</v>
      </c>
      <c r="R723" s="290">
        <f t="shared" si="334"/>
        <v>0</v>
      </c>
      <c r="S723" s="290">
        <f t="shared" si="335"/>
        <v>0</v>
      </c>
      <c r="T723" s="290">
        <f t="shared" si="336"/>
        <v>0</v>
      </c>
      <c r="U723" s="291">
        <f t="shared" si="337"/>
        <v>1069.47</v>
      </c>
      <c r="V723" s="291">
        <f t="shared" si="341"/>
        <v>-1069.47</v>
      </c>
      <c r="W723" s="265">
        <f t="shared" si="338"/>
        <v>0</v>
      </c>
      <c r="X723" s="291">
        <f t="shared" si="342"/>
        <v>-1069.47</v>
      </c>
      <c r="Y723" s="170">
        <f t="shared" si="339"/>
        <v>162.18</v>
      </c>
      <c r="Z723" s="291">
        <f t="shared" si="340"/>
        <v>-162.18</v>
      </c>
      <c r="AC723" s="276">
        <f>IF(AI723=1,IF(AC722=MiscData!$F$1,EOMONTH(AC722,-11),EOMONTH(AC722,1)),AC722)</f>
        <v>41943</v>
      </c>
      <c r="AD723" s="275" t="str">
        <f t="shared" si="324"/>
        <v>20140101LGUM_474</v>
      </c>
      <c r="AE723" s="294" t="str">
        <f t="shared" si="325"/>
        <v>20140101RLS</v>
      </c>
      <c r="AF723" s="618" t="str">
        <f t="shared" si="343"/>
        <v>474</v>
      </c>
      <c r="AH723" s="265">
        <f>MiscData!$X$5</f>
        <v>20140101</v>
      </c>
      <c r="AI723" s="265">
        <f>IF(AI722+1&gt;MiscData!$AC$77,1,AI722+1)</f>
        <v>63</v>
      </c>
      <c r="AJ723" s="265" t="str">
        <f>VLOOKUP(AI723,MiscData!$AC$5:$AD$77,2,FALSE)</f>
        <v>LGUM_474</v>
      </c>
      <c r="AK723" s="265" t="str">
        <f>VLOOKUP(AJ723,MiscData!$AD$5:$AE$77,2,FALSE)</f>
        <v>RLS</v>
      </c>
      <c r="AT723" s="265" t="s">
        <v>330</v>
      </c>
      <c r="AV723" s="265">
        <v>81229.47</v>
      </c>
    </row>
    <row r="724" spans="1:48">
      <c r="A724" s="275">
        <f t="shared" si="344"/>
        <v>721</v>
      </c>
      <c r="B724" s="276" t="str">
        <f t="shared" si="321"/>
        <v>Oct 2014</v>
      </c>
      <c r="C724" s="277" t="str">
        <f t="shared" si="322"/>
        <v>RLS</v>
      </c>
      <c r="D724" s="277" t="str">
        <f t="shared" si="323"/>
        <v>LGUM_475</v>
      </c>
      <c r="E724" s="614">
        <f>SUMIFS(L_1055_Count_Total,L_1055_Revenue_Month,$B724,L_1055_RateCategory,$D724)</f>
        <v>2</v>
      </c>
      <c r="F724" s="615">
        <v>0</v>
      </c>
      <c r="G724" s="614">
        <f t="shared" si="327"/>
        <v>0</v>
      </c>
      <c r="H724" s="615">
        <v>0</v>
      </c>
      <c r="I724" s="283">
        <f t="shared" si="328"/>
        <v>28.42</v>
      </c>
      <c r="J724" s="283">
        <f t="shared" si="329"/>
        <v>3.1800000000000033</v>
      </c>
      <c r="K724" s="285">
        <f>ROUND(($E724+$F724)*$I724,2)</f>
        <v>56.84</v>
      </c>
      <c r="L724" s="286">
        <v>0</v>
      </c>
      <c r="M724" s="286">
        <v>0</v>
      </c>
      <c r="N724" s="285">
        <f>SUM(K724:M724)</f>
        <v>56.84</v>
      </c>
      <c r="O724" s="616">
        <f t="shared" si="320"/>
        <v>0</v>
      </c>
      <c r="P724" s="289">
        <f>IF(AND(N724=0,O724=0),1,IF(N724=0,0,O724/N724))</f>
        <v>0</v>
      </c>
      <c r="Q724" s="290">
        <f t="shared" si="333"/>
        <v>0</v>
      </c>
      <c r="R724" s="290">
        <f t="shared" si="334"/>
        <v>0</v>
      </c>
      <c r="S724" s="290">
        <f t="shared" si="335"/>
        <v>0</v>
      </c>
      <c r="T724" s="290">
        <f t="shared" si="336"/>
        <v>0</v>
      </c>
      <c r="U724" s="291">
        <f t="shared" si="337"/>
        <v>56.84</v>
      </c>
      <c r="V724" s="291">
        <f t="shared" si="341"/>
        <v>-56.84</v>
      </c>
      <c r="W724" s="265">
        <f t="shared" si="338"/>
        <v>0</v>
      </c>
      <c r="X724" s="291">
        <f t="shared" si="342"/>
        <v>-56.84</v>
      </c>
      <c r="Y724" s="170">
        <f t="shared" si="339"/>
        <v>6.36</v>
      </c>
      <c r="Z724" s="291">
        <f t="shared" si="340"/>
        <v>-6.36</v>
      </c>
      <c r="AC724" s="276">
        <f>IF(AI724=1,IF(AC723=MiscData!$F$1,EOMONTH(AC723,-11),EOMONTH(AC723,1)),AC723)</f>
        <v>41943</v>
      </c>
      <c r="AD724" s="275" t="str">
        <f t="shared" si="324"/>
        <v>20140101LGUM_475</v>
      </c>
      <c r="AE724" s="294" t="str">
        <f t="shared" si="325"/>
        <v>20140101RLS</v>
      </c>
      <c r="AF724" s="618" t="str">
        <f t="shared" si="343"/>
        <v>475</v>
      </c>
      <c r="AH724" s="265">
        <f>MiscData!$X$5</f>
        <v>20140101</v>
      </c>
      <c r="AI724" s="265">
        <f>IF(AI723+1&gt;MiscData!$AC$77,1,AI723+1)</f>
        <v>64</v>
      </c>
      <c r="AJ724" s="265" t="str">
        <f>VLOOKUP(AI724,MiscData!$AC$5:$AD$77,2,FALSE)</f>
        <v>LGUM_475</v>
      </c>
      <c r="AK724" s="265" t="str">
        <f>VLOOKUP(AJ724,MiscData!$AD$5:$AE$77,2,FALSE)</f>
        <v>RLS</v>
      </c>
      <c r="AT724" s="265" t="s">
        <v>331</v>
      </c>
      <c r="AV724" s="265">
        <v>-7.42</v>
      </c>
    </row>
    <row r="725" spans="1:48">
      <c r="A725" s="275">
        <f t="shared" si="344"/>
        <v>722</v>
      </c>
      <c r="B725" s="276" t="str">
        <f t="shared" si="321"/>
        <v>Oct 2014</v>
      </c>
      <c r="C725" s="277" t="str">
        <f t="shared" si="322"/>
        <v xml:space="preserve">LS </v>
      </c>
      <c r="D725" s="277" t="str">
        <f t="shared" si="323"/>
        <v>LGUM_476</v>
      </c>
      <c r="E725" s="614">
        <f t="shared" si="326"/>
        <v>338</v>
      </c>
      <c r="F725" s="615">
        <v>0</v>
      </c>
      <c r="G725" s="614">
        <f t="shared" si="327"/>
        <v>0</v>
      </c>
      <c r="H725" s="615">
        <v>0</v>
      </c>
      <c r="I725" s="283">
        <f t="shared" si="328"/>
        <v>39.6</v>
      </c>
      <c r="J725" s="283">
        <f t="shared" si="329"/>
        <v>9.8100000000000023</v>
      </c>
      <c r="K725" s="285">
        <f t="shared" si="330"/>
        <v>13384.8</v>
      </c>
      <c r="L725" s="286">
        <v>0</v>
      </c>
      <c r="M725" s="286">
        <v>0</v>
      </c>
      <c r="N725" s="285">
        <f t="shared" ref="N725:N788" si="345">SUM(K725:M725)</f>
        <v>13384.8</v>
      </c>
      <c r="O725" s="616">
        <f t="shared" si="320"/>
        <v>0</v>
      </c>
      <c r="P725" s="289">
        <f t="shared" ref="P725:P788" si="346">IF(AND(N725=0,O725=0),1,IF(N725=0,0,O725/N725))</f>
        <v>0</v>
      </c>
      <c r="Q725" s="290">
        <f t="shared" si="333"/>
        <v>0</v>
      </c>
      <c r="R725" s="290">
        <f t="shared" si="334"/>
        <v>0</v>
      </c>
      <c r="S725" s="290">
        <f t="shared" si="335"/>
        <v>0</v>
      </c>
      <c r="T725" s="290">
        <f t="shared" si="336"/>
        <v>0</v>
      </c>
      <c r="U725" s="291">
        <f t="shared" si="337"/>
        <v>13384.8</v>
      </c>
      <c r="V725" s="291">
        <f t="shared" si="341"/>
        <v>-13384.8</v>
      </c>
      <c r="W725" s="265">
        <f t="shared" si="338"/>
        <v>0</v>
      </c>
      <c r="X725" s="291">
        <f t="shared" si="342"/>
        <v>-13384.8</v>
      </c>
      <c r="Y725" s="170">
        <f t="shared" si="339"/>
        <v>3315.78</v>
      </c>
      <c r="Z725" s="291">
        <f t="shared" si="340"/>
        <v>-3315.78</v>
      </c>
      <c r="AC725" s="276">
        <f>IF(AI725=1,IF(AC724=MiscData!$F$1,EOMONTH(AC724,-11),EOMONTH(AC724,1)),AC724)</f>
        <v>41943</v>
      </c>
      <c r="AD725" s="275" t="str">
        <f t="shared" si="324"/>
        <v>20140101LGUM_476</v>
      </c>
      <c r="AE725" s="294" t="str">
        <f t="shared" si="325"/>
        <v xml:space="preserve">20140101LS </v>
      </c>
      <c r="AF725" s="618" t="str">
        <f t="shared" si="343"/>
        <v>476</v>
      </c>
      <c r="AH725" s="265">
        <f>MiscData!$X$5</f>
        <v>20140101</v>
      </c>
      <c r="AI725" s="265">
        <f>IF(AI724+1&gt;MiscData!$AC$77,1,AI724+1)</f>
        <v>65</v>
      </c>
      <c r="AJ725" s="265" t="str">
        <f>VLOOKUP(AI725,MiscData!$AC$5:$AD$77,2,FALSE)</f>
        <v>LGUM_476</v>
      </c>
      <c r="AK725" s="265" t="str">
        <f>VLOOKUP(AJ725,MiscData!$AD$5:$AE$77,2,FALSE)</f>
        <v xml:space="preserve">LS </v>
      </c>
      <c r="AT725" s="265" t="s">
        <v>332</v>
      </c>
      <c r="AV725" s="265">
        <v>0</v>
      </c>
    </row>
    <row r="726" spans="1:48">
      <c r="A726" s="275">
        <f t="shared" si="344"/>
        <v>723</v>
      </c>
      <c r="B726" s="276" t="str">
        <f t="shared" si="321"/>
        <v>Oct 2014</v>
      </c>
      <c r="C726" s="277" t="str">
        <f t="shared" si="322"/>
        <v>RLS</v>
      </c>
      <c r="D726" s="277" t="str">
        <f t="shared" si="323"/>
        <v>LGUM_477</v>
      </c>
      <c r="E726" s="614">
        <f t="shared" si="326"/>
        <v>57</v>
      </c>
      <c r="F726" s="615">
        <v>0</v>
      </c>
      <c r="G726" s="614">
        <f t="shared" si="327"/>
        <v>0</v>
      </c>
      <c r="H726" s="615">
        <v>0</v>
      </c>
      <c r="I726" s="283">
        <f t="shared" si="328"/>
        <v>42.78</v>
      </c>
      <c r="J726" s="283">
        <f t="shared" si="329"/>
        <v>9.8100000000000023</v>
      </c>
      <c r="K726" s="285">
        <f t="shared" si="330"/>
        <v>2438.46</v>
      </c>
      <c r="L726" s="286">
        <v>0</v>
      </c>
      <c r="M726" s="286">
        <v>0</v>
      </c>
      <c r="N726" s="285">
        <f t="shared" si="345"/>
        <v>2438.46</v>
      </c>
      <c r="O726" s="616">
        <f t="shared" si="320"/>
        <v>0</v>
      </c>
      <c r="P726" s="289">
        <f t="shared" si="346"/>
        <v>0</v>
      </c>
      <c r="Q726" s="290">
        <f t="shared" si="333"/>
        <v>0</v>
      </c>
      <c r="R726" s="290">
        <f t="shared" si="334"/>
        <v>0</v>
      </c>
      <c r="S726" s="290">
        <f t="shared" si="335"/>
        <v>0</v>
      </c>
      <c r="T726" s="290">
        <f t="shared" si="336"/>
        <v>0</v>
      </c>
      <c r="U726" s="291">
        <f t="shared" si="337"/>
        <v>2438.46</v>
      </c>
      <c r="V726" s="291">
        <f t="shared" si="341"/>
        <v>-2438.46</v>
      </c>
      <c r="W726" s="265">
        <f t="shared" si="338"/>
        <v>0</v>
      </c>
      <c r="X726" s="291">
        <f t="shared" si="342"/>
        <v>-2438.46</v>
      </c>
      <c r="Y726" s="170">
        <f t="shared" si="339"/>
        <v>559.16999999999996</v>
      </c>
      <c r="Z726" s="291">
        <f t="shared" si="340"/>
        <v>-559.16999999999996</v>
      </c>
      <c r="AC726" s="276">
        <f>IF(AI726=1,IF(AC725=MiscData!$F$1,EOMONTH(AC725,-11),EOMONTH(AC725,1)),AC725)</f>
        <v>41943</v>
      </c>
      <c r="AD726" s="275" t="str">
        <f t="shared" si="324"/>
        <v>20140101LGUM_477</v>
      </c>
      <c r="AE726" s="294" t="str">
        <f t="shared" si="325"/>
        <v>20140101RLS</v>
      </c>
      <c r="AF726" s="618" t="str">
        <f t="shared" si="343"/>
        <v>477</v>
      </c>
      <c r="AH726" s="265">
        <f>MiscData!$X$5</f>
        <v>20140101</v>
      </c>
      <c r="AI726" s="265">
        <f>IF(AI725+1&gt;MiscData!$AC$77,1,AI725+1)</f>
        <v>66</v>
      </c>
      <c r="AJ726" s="265" t="str">
        <f>VLOOKUP(AI726,MiscData!$AC$5:$AD$77,2,FALSE)</f>
        <v>LGUM_477</v>
      </c>
      <c r="AK726" s="265" t="str">
        <f>VLOOKUP(AJ726,MiscData!$AD$5:$AE$77,2,FALSE)</f>
        <v>RLS</v>
      </c>
      <c r="AT726" s="265" t="s">
        <v>333</v>
      </c>
      <c r="AV726" s="265">
        <v>47745.8</v>
      </c>
    </row>
    <row r="727" spans="1:48">
      <c r="A727" s="275">
        <f t="shared" si="344"/>
        <v>724</v>
      </c>
      <c r="B727" s="276" t="str">
        <f t="shared" si="321"/>
        <v>Oct 2014</v>
      </c>
      <c r="C727" s="277" t="str">
        <f t="shared" si="322"/>
        <v xml:space="preserve">LS </v>
      </c>
      <c r="D727" s="277" t="str">
        <f t="shared" si="323"/>
        <v>LGUM_479</v>
      </c>
      <c r="E727" s="614">
        <f t="shared" si="326"/>
        <v>0</v>
      </c>
      <c r="F727" s="615">
        <v>0</v>
      </c>
      <c r="G727" s="614">
        <f t="shared" si="327"/>
        <v>0</v>
      </c>
      <c r="H727" s="615">
        <v>0</v>
      </c>
      <c r="I727" s="283">
        <f t="shared" si="328"/>
        <v>14.06</v>
      </c>
      <c r="J727" s="283">
        <f t="shared" si="329"/>
        <v>1.370000000000001</v>
      </c>
      <c r="K727" s="285">
        <f t="shared" si="330"/>
        <v>0</v>
      </c>
      <c r="L727" s="286">
        <v>0</v>
      </c>
      <c r="M727" s="286">
        <v>0</v>
      </c>
      <c r="N727" s="285">
        <f t="shared" si="345"/>
        <v>0</v>
      </c>
      <c r="O727" s="616">
        <f t="shared" si="320"/>
        <v>0</v>
      </c>
      <c r="P727" s="289">
        <f t="shared" si="346"/>
        <v>1</v>
      </c>
      <c r="Q727" s="290">
        <f t="shared" si="333"/>
        <v>0</v>
      </c>
      <c r="R727" s="290">
        <f t="shared" si="334"/>
        <v>0</v>
      </c>
      <c r="S727" s="290">
        <f t="shared" si="335"/>
        <v>0</v>
      </c>
      <c r="T727" s="290">
        <f t="shared" si="336"/>
        <v>0</v>
      </c>
      <c r="U727" s="291">
        <f t="shared" si="337"/>
        <v>0</v>
      </c>
      <c r="V727" s="291">
        <f t="shared" si="341"/>
        <v>0</v>
      </c>
      <c r="W727" s="265">
        <f t="shared" si="338"/>
        <v>0</v>
      </c>
      <c r="X727" s="291">
        <f t="shared" si="342"/>
        <v>0</v>
      </c>
      <c r="Y727" s="170">
        <f t="shared" si="339"/>
        <v>0</v>
      </c>
      <c r="Z727" s="291">
        <f t="shared" si="340"/>
        <v>0</v>
      </c>
      <c r="AC727" s="276">
        <f>IF(AI727=1,IF(AC726=MiscData!$F$1,EOMONTH(AC726,-11),EOMONTH(AC726,1)),AC726)</f>
        <v>41943</v>
      </c>
      <c r="AD727" s="275" t="str">
        <f t="shared" si="324"/>
        <v>20140101LGUM_479</v>
      </c>
      <c r="AE727" s="294" t="str">
        <f t="shared" si="325"/>
        <v xml:space="preserve">20140101LS </v>
      </c>
      <c r="AF727" s="618" t="str">
        <f t="shared" si="343"/>
        <v>479</v>
      </c>
      <c r="AH727" s="265">
        <f>MiscData!$X$5</f>
        <v>20140101</v>
      </c>
      <c r="AI727" s="265">
        <f>IF(AI726+1&gt;MiscData!$AC$77,1,AI726+1)</f>
        <v>67</v>
      </c>
      <c r="AJ727" s="265" t="str">
        <f>VLOOKUP(AI727,MiscData!$AC$5:$AD$77,2,FALSE)</f>
        <v>LGUM_479</v>
      </c>
      <c r="AK727" s="265" t="str">
        <f>VLOOKUP(AJ727,MiscData!$AD$5:$AE$77,2,FALSE)</f>
        <v xml:space="preserve">LS </v>
      </c>
      <c r="AT727" s="265" t="s">
        <v>334</v>
      </c>
      <c r="AV727" s="265">
        <v>0</v>
      </c>
    </row>
    <row r="728" spans="1:48">
      <c r="A728" s="275">
        <f t="shared" si="344"/>
        <v>725</v>
      </c>
      <c r="B728" s="276" t="str">
        <f t="shared" si="321"/>
        <v>Oct 2014</v>
      </c>
      <c r="C728" s="277" t="str">
        <f t="shared" si="322"/>
        <v xml:space="preserve">LS </v>
      </c>
      <c r="D728" s="277" t="str">
        <f t="shared" si="323"/>
        <v>LGUM_480</v>
      </c>
      <c r="E728" s="614">
        <f t="shared" si="326"/>
        <v>18</v>
      </c>
      <c r="F728" s="615">
        <v>0</v>
      </c>
      <c r="G728" s="614">
        <f t="shared" si="327"/>
        <v>0</v>
      </c>
      <c r="H728" s="615">
        <v>0</v>
      </c>
      <c r="I728" s="283">
        <f t="shared" si="328"/>
        <v>23.83</v>
      </c>
      <c r="J728" s="283">
        <f t="shared" si="329"/>
        <v>1.370000000000001</v>
      </c>
      <c r="K728" s="285">
        <f t="shared" si="330"/>
        <v>428.94</v>
      </c>
      <c r="L728" s="286">
        <v>0</v>
      </c>
      <c r="M728" s="286">
        <v>0</v>
      </c>
      <c r="N728" s="285">
        <f t="shared" si="345"/>
        <v>428.94</v>
      </c>
      <c r="O728" s="616">
        <f t="shared" si="320"/>
        <v>0</v>
      </c>
      <c r="P728" s="289">
        <f t="shared" si="346"/>
        <v>0</v>
      </c>
      <c r="Q728" s="290">
        <f t="shared" si="333"/>
        <v>0</v>
      </c>
      <c r="R728" s="290">
        <f t="shared" si="334"/>
        <v>0</v>
      </c>
      <c r="S728" s="290">
        <f t="shared" si="335"/>
        <v>0</v>
      </c>
      <c r="T728" s="290">
        <f t="shared" si="336"/>
        <v>0</v>
      </c>
      <c r="U728" s="291">
        <f t="shared" si="337"/>
        <v>428.94</v>
      </c>
      <c r="V728" s="291">
        <f t="shared" si="341"/>
        <v>-428.94</v>
      </c>
      <c r="W728" s="265">
        <f t="shared" si="338"/>
        <v>0</v>
      </c>
      <c r="X728" s="291">
        <f t="shared" si="342"/>
        <v>-428.94</v>
      </c>
      <c r="Y728" s="170">
        <f t="shared" si="339"/>
        <v>24.66</v>
      </c>
      <c r="Z728" s="291">
        <f t="shared" si="340"/>
        <v>-24.66</v>
      </c>
      <c r="AC728" s="276">
        <f>IF(AI728=1,IF(AC727=MiscData!$F$1,EOMONTH(AC727,-11),EOMONTH(AC727,1)),AC727)</f>
        <v>41943</v>
      </c>
      <c r="AD728" s="275" t="str">
        <f t="shared" si="324"/>
        <v>20140101LGUM_480</v>
      </c>
      <c r="AE728" s="294" t="str">
        <f t="shared" si="325"/>
        <v xml:space="preserve">20140101LS </v>
      </c>
      <c r="AF728" s="618" t="str">
        <f t="shared" si="343"/>
        <v>480</v>
      </c>
      <c r="AH728" s="265">
        <f>MiscData!$X$5</f>
        <v>20140101</v>
      </c>
      <c r="AI728" s="265">
        <f>IF(AI727+1&gt;MiscData!$AC$77,1,AI727+1)</f>
        <v>68</v>
      </c>
      <c r="AJ728" s="265" t="str">
        <f>VLOOKUP(AI728,MiscData!$AC$5:$AD$77,2,FALSE)</f>
        <v>LGUM_480</v>
      </c>
      <c r="AK728" s="265" t="str">
        <f>VLOOKUP(AJ728,MiscData!$AD$5:$AE$77,2,FALSE)</f>
        <v xml:space="preserve">LS </v>
      </c>
      <c r="AT728" s="265" t="s">
        <v>335</v>
      </c>
      <c r="AV728" s="265">
        <v>0</v>
      </c>
    </row>
    <row r="729" spans="1:48">
      <c r="A729" s="275">
        <f t="shared" si="344"/>
        <v>726</v>
      </c>
      <c r="B729" s="276" t="str">
        <f t="shared" si="321"/>
        <v>Oct 2014</v>
      </c>
      <c r="C729" s="277" t="str">
        <f t="shared" si="322"/>
        <v xml:space="preserve">LS </v>
      </c>
      <c r="D729" s="277" t="str">
        <f t="shared" si="323"/>
        <v>LGUM_481</v>
      </c>
      <c r="E729" s="614">
        <f t="shared" si="326"/>
        <v>4</v>
      </c>
      <c r="F729" s="615">
        <v>0</v>
      </c>
      <c r="G729" s="614">
        <f t="shared" si="327"/>
        <v>0</v>
      </c>
      <c r="H729" s="615">
        <v>0</v>
      </c>
      <c r="I729" s="283">
        <f t="shared" si="328"/>
        <v>20.46</v>
      </c>
      <c r="J729" s="283">
        <f t="shared" si="329"/>
        <v>3.1800000000000033</v>
      </c>
      <c r="K729" s="285">
        <f t="shared" si="330"/>
        <v>81.84</v>
      </c>
      <c r="L729" s="286">
        <v>0</v>
      </c>
      <c r="M729" s="286">
        <v>0</v>
      </c>
      <c r="N729" s="285">
        <f t="shared" si="345"/>
        <v>81.84</v>
      </c>
      <c r="O729" s="616">
        <f t="shared" si="320"/>
        <v>0</v>
      </c>
      <c r="P729" s="289">
        <f t="shared" si="346"/>
        <v>0</v>
      </c>
      <c r="Q729" s="290">
        <f t="shared" si="333"/>
        <v>0</v>
      </c>
      <c r="R729" s="290">
        <f t="shared" si="334"/>
        <v>0</v>
      </c>
      <c r="S729" s="290">
        <f t="shared" si="335"/>
        <v>0</v>
      </c>
      <c r="T729" s="290">
        <f t="shared" si="336"/>
        <v>0</v>
      </c>
      <c r="U729" s="291">
        <f t="shared" si="337"/>
        <v>81.84</v>
      </c>
      <c r="V729" s="291">
        <f t="shared" si="341"/>
        <v>-81.84</v>
      </c>
      <c r="W729" s="265">
        <f t="shared" si="338"/>
        <v>0</v>
      </c>
      <c r="X729" s="291">
        <f t="shared" si="342"/>
        <v>-81.84</v>
      </c>
      <c r="Y729" s="170">
        <f t="shared" si="339"/>
        <v>12.72</v>
      </c>
      <c r="Z729" s="291">
        <f t="shared" si="340"/>
        <v>-12.72</v>
      </c>
      <c r="AC729" s="276">
        <f>IF(AI729=1,IF(AC728=MiscData!$F$1,EOMONTH(AC728,-11),EOMONTH(AC728,1)),AC728)</f>
        <v>41943</v>
      </c>
      <c r="AD729" s="275" t="str">
        <f t="shared" si="324"/>
        <v>20140101LGUM_481</v>
      </c>
      <c r="AE729" s="294" t="str">
        <f t="shared" si="325"/>
        <v xml:space="preserve">20140101LS </v>
      </c>
      <c r="AF729" s="618" t="str">
        <f t="shared" si="343"/>
        <v>481</v>
      </c>
      <c r="AH729" s="265">
        <f>MiscData!$X$5</f>
        <v>20140101</v>
      </c>
      <c r="AI729" s="265">
        <f>IF(AI728+1&gt;MiscData!$AC$77,1,AI728+1)</f>
        <v>69</v>
      </c>
      <c r="AJ729" s="265" t="str">
        <f>VLOOKUP(AI729,MiscData!$AC$5:$AD$77,2,FALSE)</f>
        <v>LGUM_481</v>
      </c>
      <c r="AK729" s="265" t="str">
        <f>VLOOKUP(AJ729,MiscData!$AD$5:$AE$77,2,FALSE)</f>
        <v xml:space="preserve">LS </v>
      </c>
      <c r="AT729" s="265" t="s">
        <v>336</v>
      </c>
      <c r="AV729" s="265">
        <v>0</v>
      </c>
    </row>
    <row r="730" spans="1:48">
      <c r="A730" s="275">
        <f t="shared" si="344"/>
        <v>727</v>
      </c>
      <c r="B730" s="276" t="str">
        <f t="shared" si="321"/>
        <v>Oct 2014</v>
      </c>
      <c r="C730" s="277" t="str">
        <f t="shared" si="322"/>
        <v xml:space="preserve">LS </v>
      </c>
      <c r="D730" s="277" t="str">
        <f t="shared" si="323"/>
        <v>LGUM_482</v>
      </c>
      <c r="E730" s="614">
        <f t="shared" si="326"/>
        <v>38</v>
      </c>
      <c r="F730" s="615">
        <v>0</v>
      </c>
      <c r="G730" s="614">
        <f t="shared" si="327"/>
        <v>0</v>
      </c>
      <c r="H730" s="615">
        <v>0</v>
      </c>
      <c r="I730" s="283">
        <f t="shared" si="328"/>
        <v>30.21</v>
      </c>
      <c r="J730" s="283">
        <f t="shared" si="329"/>
        <v>3.1800000000000033</v>
      </c>
      <c r="K730" s="285">
        <f t="shared" si="330"/>
        <v>1147.98</v>
      </c>
      <c r="L730" s="286">
        <v>0</v>
      </c>
      <c r="M730" s="286">
        <v>0</v>
      </c>
      <c r="N730" s="285">
        <f t="shared" si="345"/>
        <v>1147.98</v>
      </c>
      <c r="O730" s="616">
        <f t="shared" si="320"/>
        <v>0</v>
      </c>
      <c r="P730" s="289">
        <f t="shared" si="346"/>
        <v>0</v>
      </c>
      <c r="Q730" s="290">
        <f t="shared" si="333"/>
        <v>0</v>
      </c>
      <c r="R730" s="290">
        <f t="shared" si="334"/>
        <v>0</v>
      </c>
      <c r="S730" s="290">
        <f t="shared" si="335"/>
        <v>0</v>
      </c>
      <c r="T730" s="290">
        <f t="shared" si="336"/>
        <v>0</v>
      </c>
      <c r="U730" s="291">
        <f t="shared" si="337"/>
        <v>1147.98</v>
      </c>
      <c r="V730" s="291">
        <f t="shared" si="341"/>
        <v>-1147.98</v>
      </c>
      <c r="W730" s="265">
        <f t="shared" si="338"/>
        <v>0</v>
      </c>
      <c r="X730" s="291">
        <f t="shared" si="342"/>
        <v>-1147.98</v>
      </c>
      <c r="Y730" s="170">
        <f t="shared" si="339"/>
        <v>120.84</v>
      </c>
      <c r="Z730" s="291">
        <f t="shared" si="340"/>
        <v>-120.84</v>
      </c>
      <c r="AC730" s="276">
        <f>IF(AI730=1,IF(AC729=MiscData!$F$1,EOMONTH(AC729,-11),EOMONTH(AC729,1)),AC729)</f>
        <v>41943</v>
      </c>
      <c r="AD730" s="275" t="str">
        <f t="shared" si="324"/>
        <v>20140101LGUM_482</v>
      </c>
      <c r="AE730" s="294" t="str">
        <f t="shared" si="325"/>
        <v xml:space="preserve">20140101LS </v>
      </c>
      <c r="AF730" s="618" t="str">
        <f t="shared" si="343"/>
        <v>482</v>
      </c>
      <c r="AH730" s="265">
        <f>MiscData!$X$5</f>
        <v>20140101</v>
      </c>
      <c r="AI730" s="265">
        <f>IF(AI729+1&gt;MiscData!$AC$77,1,AI729+1)</f>
        <v>70</v>
      </c>
      <c r="AJ730" s="265" t="str">
        <f>VLOOKUP(AI730,MiscData!$AC$5:$AD$77,2,FALSE)</f>
        <v>LGUM_482</v>
      </c>
      <c r="AK730" s="265" t="str">
        <f>VLOOKUP(AJ730,MiscData!$AD$5:$AE$77,2,FALSE)</f>
        <v xml:space="preserve">LS </v>
      </c>
      <c r="AT730" s="265" t="s">
        <v>337</v>
      </c>
      <c r="AV730" s="265">
        <v>0</v>
      </c>
    </row>
    <row r="731" spans="1:48">
      <c r="A731" s="275">
        <f t="shared" si="344"/>
        <v>728</v>
      </c>
      <c r="B731" s="276" t="str">
        <f t="shared" si="321"/>
        <v>Oct 2014</v>
      </c>
      <c r="C731" s="277" t="str">
        <f t="shared" si="322"/>
        <v xml:space="preserve">LS </v>
      </c>
      <c r="D731" s="277" t="str">
        <f t="shared" si="323"/>
        <v>LGUM_483</v>
      </c>
      <c r="E731" s="614">
        <f t="shared" si="326"/>
        <v>2</v>
      </c>
      <c r="F731" s="615">
        <v>0</v>
      </c>
      <c r="G731" s="614">
        <f t="shared" si="327"/>
        <v>0</v>
      </c>
      <c r="H731" s="615">
        <v>0</v>
      </c>
      <c r="I731" s="283">
        <f t="shared" si="328"/>
        <v>42.56</v>
      </c>
      <c r="J731" s="283">
        <f t="shared" si="329"/>
        <v>9.8100000000000023</v>
      </c>
      <c r="K731" s="285">
        <f t="shared" si="330"/>
        <v>85.12</v>
      </c>
      <c r="L731" s="286">
        <v>0</v>
      </c>
      <c r="M731" s="286">
        <v>0</v>
      </c>
      <c r="N731" s="285">
        <f t="shared" si="345"/>
        <v>85.12</v>
      </c>
      <c r="O731" s="616">
        <f t="shared" si="320"/>
        <v>0</v>
      </c>
      <c r="P731" s="289">
        <f t="shared" si="346"/>
        <v>0</v>
      </c>
      <c r="Q731" s="290">
        <f t="shared" si="333"/>
        <v>0</v>
      </c>
      <c r="R731" s="290">
        <f t="shared" si="334"/>
        <v>0</v>
      </c>
      <c r="S731" s="290">
        <f t="shared" si="335"/>
        <v>0</v>
      </c>
      <c r="T731" s="290">
        <f t="shared" si="336"/>
        <v>0</v>
      </c>
      <c r="U731" s="291">
        <f t="shared" si="337"/>
        <v>85.12</v>
      </c>
      <c r="V731" s="291">
        <f t="shared" si="341"/>
        <v>-85.12</v>
      </c>
      <c r="W731" s="265">
        <f t="shared" si="338"/>
        <v>0</v>
      </c>
      <c r="X731" s="291">
        <f t="shared" si="342"/>
        <v>-85.12</v>
      </c>
      <c r="Y731" s="170">
        <f t="shared" si="339"/>
        <v>19.62</v>
      </c>
      <c r="Z731" s="291">
        <f t="shared" si="340"/>
        <v>-19.62</v>
      </c>
      <c r="AC731" s="276">
        <f>IF(AI731=1,IF(AC730=MiscData!$F$1,EOMONTH(AC730,-11),EOMONTH(AC730,1)),AC730)</f>
        <v>41943</v>
      </c>
      <c r="AD731" s="275" t="str">
        <f t="shared" si="324"/>
        <v>20140101LGUM_483</v>
      </c>
      <c r="AE731" s="294" t="str">
        <f t="shared" si="325"/>
        <v xml:space="preserve">20140101LS </v>
      </c>
      <c r="AF731" s="618" t="str">
        <f t="shared" si="343"/>
        <v>483</v>
      </c>
      <c r="AH731" s="265">
        <f>MiscData!$X$5</f>
        <v>20140101</v>
      </c>
      <c r="AI731" s="265">
        <f>IF(AI730+1&gt;MiscData!$AC$77,1,AI730+1)</f>
        <v>71</v>
      </c>
      <c r="AJ731" s="265" t="str">
        <f>VLOOKUP(AI731,MiscData!$AC$5:$AD$77,2,FALSE)</f>
        <v>LGUM_483</v>
      </c>
      <c r="AK731" s="265" t="str">
        <f>VLOOKUP(AJ731,MiscData!$AD$5:$AE$77,2,FALSE)</f>
        <v xml:space="preserve">LS </v>
      </c>
      <c r="AT731" s="265" t="s">
        <v>338</v>
      </c>
      <c r="AV731" s="265">
        <v>-175.79</v>
      </c>
    </row>
    <row r="732" spans="1:48">
      <c r="A732" s="275">
        <f t="shared" si="344"/>
        <v>729</v>
      </c>
      <c r="B732" s="276" t="str">
        <f t="shared" si="321"/>
        <v>Oct 2014</v>
      </c>
      <c r="C732" s="277" t="str">
        <f t="shared" si="322"/>
        <v xml:space="preserve">LS </v>
      </c>
      <c r="D732" s="277" t="str">
        <f t="shared" si="323"/>
        <v>LGUM_484</v>
      </c>
      <c r="E732" s="614">
        <f t="shared" si="326"/>
        <v>13</v>
      </c>
      <c r="F732" s="615">
        <v>0</v>
      </c>
      <c r="G732" s="614">
        <f t="shared" si="327"/>
        <v>0</v>
      </c>
      <c r="H732" s="615">
        <v>0</v>
      </c>
      <c r="I732" s="283">
        <f t="shared" si="328"/>
        <v>52.31</v>
      </c>
      <c r="J732" s="283">
        <f t="shared" si="329"/>
        <v>9.8100000000000023</v>
      </c>
      <c r="K732" s="285">
        <f t="shared" si="330"/>
        <v>680.03</v>
      </c>
      <c r="L732" s="286">
        <v>0</v>
      </c>
      <c r="M732" s="286">
        <v>0</v>
      </c>
      <c r="N732" s="285">
        <f t="shared" si="345"/>
        <v>680.03</v>
      </c>
      <c r="O732" s="616">
        <f t="shared" si="320"/>
        <v>0</v>
      </c>
      <c r="P732" s="289">
        <f t="shared" si="346"/>
        <v>0</v>
      </c>
      <c r="Q732" s="290">
        <f t="shared" si="333"/>
        <v>0</v>
      </c>
      <c r="R732" s="290">
        <f t="shared" si="334"/>
        <v>0</v>
      </c>
      <c r="S732" s="290">
        <f t="shared" si="335"/>
        <v>0</v>
      </c>
      <c r="T732" s="290">
        <f t="shared" si="336"/>
        <v>0</v>
      </c>
      <c r="U732" s="291">
        <f t="shared" si="337"/>
        <v>680.03</v>
      </c>
      <c r="V732" s="291">
        <f t="shared" si="341"/>
        <v>-680.03</v>
      </c>
      <c r="W732" s="265">
        <f t="shared" si="338"/>
        <v>0</v>
      </c>
      <c r="X732" s="291">
        <f t="shared" si="342"/>
        <v>-680.03</v>
      </c>
      <c r="Y732" s="170">
        <f t="shared" si="339"/>
        <v>127.53</v>
      </c>
      <c r="Z732" s="291">
        <f t="shared" si="340"/>
        <v>-127.53</v>
      </c>
      <c r="AC732" s="276">
        <f>IF(AI732=1,IF(AC731=MiscData!$F$1,EOMONTH(AC731,-11),EOMONTH(AC731,1)),AC731)</f>
        <v>41943</v>
      </c>
      <c r="AD732" s="275" t="str">
        <f t="shared" si="324"/>
        <v>20140101LGUM_484</v>
      </c>
      <c r="AE732" s="294" t="str">
        <f t="shared" si="325"/>
        <v xml:space="preserve">20140101LS </v>
      </c>
      <c r="AF732" s="618" t="str">
        <f t="shared" si="343"/>
        <v>484</v>
      </c>
      <c r="AH732" s="265">
        <f>MiscData!$X$5</f>
        <v>20140101</v>
      </c>
      <c r="AI732" s="265">
        <f>IF(AI731+1&gt;MiscData!$AC$77,1,AI731+1)</f>
        <v>72</v>
      </c>
      <c r="AJ732" s="265" t="str">
        <f>VLOOKUP(AI732,MiscData!$AC$5:$AD$77,2,FALSE)</f>
        <v>LGUM_484</v>
      </c>
      <c r="AK732" s="265" t="str">
        <f>VLOOKUP(AJ732,MiscData!$AD$5:$AE$77,2,FALSE)</f>
        <v xml:space="preserve">LS </v>
      </c>
      <c r="AT732" s="265" t="s">
        <v>339</v>
      </c>
      <c r="AV732" s="265">
        <v>-80.989999999999995</v>
      </c>
    </row>
    <row r="733" spans="1:48">
      <c r="A733" s="275">
        <f t="shared" si="344"/>
        <v>730</v>
      </c>
      <c r="B733" s="276" t="str">
        <f t="shared" si="321"/>
        <v>Oct 2014</v>
      </c>
      <c r="C733" s="277" t="str">
        <f t="shared" si="322"/>
        <v>ODL</v>
      </c>
      <c r="D733" s="277" t="str">
        <f t="shared" si="323"/>
        <v>ODL</v>
      </c>
      <c r="E733" s="614">
        <f t="shared" si="326"/>
        <v>0</v>
      </c>
      <c r="F733" s="615">
        <v>0</v>
      </c>
      <c r="G733" s="614">
        <f t="shared" si="327"/>
        <v>8482303</v>
      </c>
      <c r="H733" s="615">
        <v>0</v>
      </c>
      <c r="I733" s="283">
        <f t="shared" si="328"/>
        <v>0</v>
      </c>
      <c r="J733" s="283">
        <f t="shared" si="329"/>
        <v>0</v>
      </c>
      <c r="K733" s="285">
        <f t="shared" si="330"/>
        <v>0</v>
      </c>
      <c r="L733" s="286">
        <v>0</v>
      </c>
      <c r="M733" s="286">
        <v>0</v>
      </c>
      <c r="N733" s="285">
        <f t="shared" si="345"/>
        <v>0</v>
      </c>
      <c r="O733" s="616">
        <f t="shared" si="320"/>
        <v>1492426</v>
      </c>
      <c r="P733" s="289">
        <f t="shared" si="346"/>
        <v>0</v>
      </c>
      <c r="Q733" s="290">
        <f t="shared" si="333"/>
        <v>-9325</v>
      </c>
      <c r="R733" s="290">
        <f t="shared" si="334"/>
        <v>41183</v>
      </c>
      <c r="S733" s="290">
        <f t="shared" si="335"/>
        <v>0</v>
      </c>
      <c r="T733" s="290">
        <f t="shared" si="336"/>
        <v>1524284</v>
      </c>
      <c r="U733" s="291">
        <f t="shared" si="337"/>
        <v>31858</v>
      </c>
      <c r="V733" s="291">
        <f t="shared" si="341"/>
        <v>1492426</v>
      </c>
      <c r="W733" s="265">
        <f t="shared" si="338"/>
        <v>0</v>
      </c>
      <c r="X733" s="291">
        <f t="shared" si="342"/>
        <v>1492426</v>
      </c>
      <c r="Y733" s="170">
        <f t="shared" si="339"/>
        <v>0</v>
      </c>
      <c r="Z733" s="291">
        <f t="shared" si="340"/>
        <v>1492426</v>
      </c>
      <c r="AC733" s="276">
        <f>IF(AI733=1,IF(AC732=MiscData!$F$1,EOMONTH(AC732,-11),EOMONTH(AC732,1)),AC732)</f>
        <v>41943</v>
      </c>
      <c r="AD733" s="275" t="str">
        <f t="shared" si="324"/>
        <v>20140101ODL</v>
      </c>
      <c r="AE733" s="294" t="str">
        <f t="shared" si="325"/>
        <v>20140101ODL</v>
      </c>
      <c r="AF733" s="618" t="str">
        <f t="shared" si="343"/>
        <v>ODL</v>
      </c>
      <c r="AH733" s="265">
        <f>MiscData!$X$5</f>
        <v>20140101</v>
      </c>
      <c r="AI733" s="265">
        <f>IF(AI732+1&gt;MiscData!$AC$77,1,AI732+1)</f>
        <v>73</v>
      </c>
      <c r="AJ733" s="265" t="str">
        <f>VLOOKUP(AI733,MiscData!$AC$5:$AD$77,2,FALSE)</f>
        <v>ODL</v>
      </c>
      <c r="AK733" s="265" t="str">
        <f>VLOOKUP(AJ733,MiscData!$AD$5:$AE$77,2,FALSE)</f>
        <v>ODL</v>
      </c>
      <c r="AT733" s="265" t="s">
        <v>340</v>
      </c>
      <c r="AV733" s="265">
        <v>0</v>
      </c>
    </row>
    <row r="734" spans="1:48">
      <c r="A734" s="275">
        <f t="shared" si="344"/>
        <v>731</v>
      </c>
      <c r="B734" s="276" t="str">
        <f t="shared" si="321"/>
        <v>Nov 2014</v>
      </c>
      <c r="C734" s="277" t="str">
        <f t="shared" si="322"/>
        <v>RLS</v>
      </c>
      <c r="D734" s="277" t="str">
        <f t="shared" si="323"/>
        <v>LGUM_201</v>
      </c>
      <c r="E734" s="614">
        <f t="shared" si="326"/>
        <v>75</v>
      </c>
      <c r="F734" s="615">
        <v>0</v>
      </c>
      <c r="G734" s="614">
        <f t="shared" si="327"/>
        <v>0</v>
      </c>
      <c r="H734" s="615">
        <v>0</v>
      </c>
      <c r="I734" s="283">
        <f t="shared" si="328"/>
        <v>8.14</v>
      </c>
      <c r="J734" s="283">
        <f t="shared" si="329"/>
        <v>1.0899999999999999</v>
      </c>
      <c r="K734" s="285">
        <f t="shared" si="330"/>
        <v>610.5</v>
      </c>
      <c r="L734" s="286">
        <v>0</v>
      </c>
      <c r="M734" s="286">
        <v>0</v>
      </c>
      <c r="N734" s="285">
        <f t="shared" si="345"/>
        <v>610.5</v>
      </c>
      <c r="O734" s="616">
        <f t="shared" si="320"/>
        <v>0</v>
      </c>
      <c r="P734" s="289">
        <f t="shared" si="346"/>
        <v>0</v>
      </c>
      <c r="Q734" s="290">
        <f t="shared" si="333"/>
        <v>0</v>
      </c>
      <c r="R734" s="290">
        <f t="shared" si="334"/>
        <v>0</v>
      </c>
      <c r="S734" s="290">
        <f t="shared" si="335"/>
        <v>0</v>
      </c>
      <c r="T734" s="290">
        <f t="shared" si="336"/>
        <v>0</v>
      </c>
      <c r="U734" s="291">
        <f t="shared" si="337"/>
        <v>610.5</v>
      </c>
      <c r="V734" s="291">
        <f t="shared" si="341"/>
        <v>-610.5</v>
      </c>
      <c r="W734" s="265">
        <f t="shared" si="338"/>
        <v>0</v>
      </c>
      <c r="X734" s="291">
        <f t="shared" si="342"/>
        <v>-610.5</v>
      </c>
      <c r="Y734" s="170">
        <f t="shared" si="339"/>
        <v>81.75</v>
      </c>
      <c r="Z734" s="291">
        <f t="shared" si="340"/>
        <v>-81.75</v>
      </c>
      <c r="AC734" s="276">
        <f>IF(AI734=1,IF(AC733=MiscData!$F$1,EOMONTH(AC733,-11),EOMONTH(AC733,1)),AC733)</f>
        <v>41973</v>
      </c>
      <c r="AD734" s="275" t="str">
        <f t="shared" si="324"/>
        <v>20140101LGUM_201</v>
      </c>
      <c r="AE734" s="294" t="str">
        <f t="shared" si="325"/>
        <v>20140101RLS</v>
      </c>
      <c r="AF734" s="618" t="str">
        <f t="shared" si="343"/>
        <v>201</v>
      </c>
      <c r="AH734" s="265">
        <f>MiscData!$X$5</f>
        <v>20140101</v>
      </c>
      <c r="AI734" s="265">
        <f>IF(AI733+1&gt;MiscData!$AC$77,1,AI733+1)</f>
        <v>1</v>
      </c>
      <c r="AJ734" s="265" t="str">
        <f>VLOOKUP(AI734,MiscData!$AC$5:$AD$77,2,FALSE)</f>
        <v>LGUM_201</v>
      </c>
      <c r="AK734" s="265" t="str">
        <f>VLOOKUP(AJ734,MiscData!$AD$5:$AE$77,2,FALSE)</f>
        <v>RLS</v>
      </c>
      <c r="AT734" s="265" t="s">
        <v>341</v>
      </c>
      <c r="AV734" s="265">
        <v>0</v>
      </c>
    </row>
    <row r="735" spans="1:48">
      <c r="A735" s="275">
        <f t="shared" si="344"/>
        <v>732</v>
      </c>
      <c r="B735" s="276" t="str">
        <f t="shared" si="321"/>
        <v>Nov 2014</v>
      </c>
      <c r="C735" s="277" t="str">
        <f t="shared" si="322"/>
        <v>RLS</v>
      </c>
      <c r="D735" s="277" t="str">
        <f t="shared" si="323"/>
        <v>LGUM_203</v>
      </c>
      <c r="E735" s="614">
        <f t="shared" si="326"/>
        <v>4574</v>
      </c>
      <c r="F735" s="615">
        <v>0</v>
      </c>
      <c r="G735" s="614">
        <f t="shared" si="327"/>
        <v>0</v>
      </c>
      <c r="H735" s="615">
        <v>0</v>
      </c>
      <c r="I735" s="283">
        <f t="shared" si="328"/>
        <v>10.959999999999999</v>
      </c>
      <c r="J735" s="283">
        <f t="shared" si="329"/>
        <v>2.7099999999999991</v>
      </c>
      <c r="K735" s="285">
        <f t="shared" si="330"/>
        <v>50131.040000000001</v>
      </c>
      <c r="L735" s="286">
        <v>0</v>
      </c>
      <c r="M735" s="286">
        <v>0</v>
      </c>
      <c r="N735" s="285">
        <f t="shared" si="345"/>
        <v>50131.040000000001</v>
      </c>
      <c r="O735" s="616">
        <f t="shared" si="320"/>
        <v>0</v>
      </c>
      <c r="P735" s="289">
        <f t="shared" si="346"/>
        <v>0</v>
      </c>
      <c r="Q735" s="290">
        <f t="shared" si="333"/>
        <v>0</v>
      </c>
      <c r="R735" s="290">
        <f t="shared" si="334"/>
        <v>0</v>
      </c>
      <c r="S735" s="290">
        <f t="shared" si="335"/>
        <v>0</v>
      </c>
      <c r="T735" s="290">
        <f t="shared" si="336"/>
        <v>0</v>
      </c>
      <c r="U735" s="291">
        <f t="shared" si="337"/>
        <v>50131.040000000001</v>
      </c>
      <c r="V735" s="291">
        <f t="shared" si="341"/>
        <v>-50131.040000000001</v>
      </c>
      <c r="W735" s="265">
        <f t="shared" si="338"/>
        <v>0</v>
      </c>
      <c r="X735" s="291">
        <f t="shared" si="342"/>
        <v>-50131.040000000001</v>
      </c>
      <c r="Y735" s="170">
        <f t="shared" si="339"/>
        <v>12395.54</v>
      </c>
      <c r="Z735" s="291">
        <f t="shared" si="340"/>
        <v>-12395.54</v>
      </c>
      <c r="AC735" s="276">
        <f>IF(AI735=1,IF(AC734=MiscData!$F$1,EOMONTH(AC734,-11),EOMONTH(AC734,1)),AC734)</f>
        <v>41973</v>
      </c>
      <c r="AD735" s="275" t="str">
        <f t="shared" si="324"/>
        <v>20140101LGUM_203</v>
      </c>
      <c r="AE735" s="294" t="str">
        <f t="shared" si="325"/>
        <v>20140101RLS</v>
      </c>
      <c r="AF735" s="618" t="str">
        <f t="shared" si="343"/>
        <v>203</v>
      </c>
      <c r="AH735" s="265">
        <f>MiscData!$X$5</f>
        <v>20140101</v>
      </c>
      <c r="AI735" s="265">
        <f>IF(AI734+1&gt;MiscData!$AC$77,1,AI734+1)</f>
        <v>2</v>
      </c>
      <c r="AJ735" s="265" t="str">
        <f>VLOOKUP(AI735,MiscData!$AC$5:$AD$77,2,FALSE)</f>
        <v>LGUM_203</v>
      </c>
      <c r="AK735" s="265" t="str">
        <f>VLOOKUP(AJ735,MiscData!$AD$5:$AE$77,2,FALSE)</f>
        <v>RLS</v>
      </c>
      <c r="AT735" s="265" t="s">
        <v>342</v>
      </c>
      <c r="AV735" s="265">
        <v>0</v>
      </c>
    </row>
    <row r="736" spans="1:48">
      <c r="A736" s="275">
        <f t="shared" si="344"/>
        <v>733</v>
      </c>
      <c r="B736" s="276" t="str">
        <f t="shared" si="321"/>
        <v>Nov 2014</v>
      </c>
      <c r="C736" s="277" t="str">
        <f t="shared" si="322"/>
        <v>RLS</v>
      </c>
      <c r="D736" s="277" t="str">
        <f t="shared" si="323"/>
        <v>LGUM_204</v>
      </c>
      <c r="E736" s="614">
        <f t="shared" si="326"/>
        <v>3813</v>
      </c>
      <c r="F736" s="615">
        <v>0</v>
      </c>
      <c r="G736" s="614">
        <f t="shared" si="327"/>
        <v>0</v>
      </c>
      <c r="H736" s="615">
        <v>0</v>
      </c>
      <c r="I736" s="283">
        <f t="shared" si="328"/>
        <v>13.510000000000002</v>
      </c>
      <c r="J736" s="283">
        <f t="shared" si="329"/>
        <v>4.2000000000000011</v>
      </c>
      <c r="K736" s="285">
        <f t="shared" si="330"/>
        <v>51513.63</v>
      </c>
      <c r="L736" s="286">
        <v>0</v>
      </c>
      <c r="M736" s="286">
        <v>0</v>
      </c>
      <c r="N736" s="285">
        <f t="shared" si="345"/>
        <v>51513.63</v>
      </c>
      <c r="O736" s="616">
        <f t="shared" si="320"/>
        <v>0</v>
      </c>
      <c r="P736" s="289">
        <f t="shared" si="346"/>
        <v>0</v>
      </c>
      <c r="Q736" s="290">
        <f t="shared" si="333"/>
        <v>0</v>
      </c>
      <c r="R736" s="290">
        <f t="shared" si="334"/>
        <v>0</v>
      </c>
      <c r="S736" s="290">
        <f t="shared" si="335"/>
        <v>0</v>
      </c>
      <c r="T736" s="290">
        <f t="shared" si="336"/>
        <v>0</v>
      </c>
      <c r="U736" s="291">
        <f t="shared" si="337"/>
        <v>51513.63</v>
      </c>
      <c r="V736" s="291">
        <f t="shared" si="341"/>
        <v>-51513.63</v>
      </c>
      <c r="W736" s="265">
        <f t="shared" si="338"/>
        <v>0</v>
      </c>
      <c r="X736" s="291">
        <f t="shared" si="342"/>
        <v>-51513.63</v>
      </c>
      <c r="Y736" s="170">
        <f t="shared" si="339"/>
        <v>16014.6</v>
      </c>
      <c r="Z736" s="291">
        <f t="shared" si="340"/>
        <v>-16014.6</v>
      </c>
      <c r="AC736" s="276">
        <f>IF(AI736=1,IF(AC735=MiscData!$F$1,EOMONTH(AC735,-11),EOMONTH(AC735,1)),AC735)</f>
        <v>41973</v>
      </c>
      <c r="AD736" s="275" t="str">
        <f t="shared" si="324"/>
        <v>20140101LGUM_204</v>
      </c>
      <c r="AE736" s="294" t="str">
        <f t="shared" si="325"/>
        <v>20140101RLS</v>
      </c>
      <c r="AF736" s="618" t="str">
        <f t="shared" si="343"/>
        <v>204</v>
      </c>
      <c r="AH736" s="265">
        <f>MiscData!$X$5</f>
        <v>20140101</v>
      </c>
      <c r="AI736" s="265">
        <f>IF(AI735+1&gt;MiscData!$AC$77,1,AI735+1)</f>
        <v>3</v>
      </c>
      <c r="AJ736" s="265" t="str">
        <f>VLOOKUP(AI736,MiscData!$AC$5:$AD$77,2,FALSE)</f>
        <v>LGUM_204</v>
      </c>
      <c r="AK736" s="265" t="str">
        <f>VLOOKUP(AJ736,MiscData!$AD$5:$AE$77,2,FALSE)</f>
        <v>RLS</v>
      </c>
      <c r="AT736" s="265" t="s">
        <v>343</v>
      </c>
      <c r="AV736" s="265">
        <v>0</v>
      </c>
    </row>
    <row r="737" spans="1:48">
      <c r="A737" s="275">
        <f t="shared" si="344"/>
        <v>734</v>
      </c>
      <c r="B737" s="276" t="str">
        <f t="shared" si="321"/>
        <v>Nov 2014</v>
      </c>
      <c r="C737" s="277" t="str">
        <f t="shared" si="322"/>
        <v>RLS</v>
      </c>
      <c r="D737" s="277" t="str">
        <f t="shared" si="323"/>
        <v>LGUM_206</v>
      </c>
      <c r="E737" s="614">
        <f t="shared" si="326"/>
        <v>95</v>
      </c>
      <c r="F737" s="615">
        <v>0</v>
      </c>
      <c r="G737" s="614">
        <f t="shared" si="327"/>
        <v>0</v>
      </c>
      <c r="H737" s="615">
        <v>0</v>
      </c>
      <c r="I737" s="283">
        <f t="shared" si="328"/>
        <v>12.450000000000001</v>
      </c>
      <c r="J737" s="283">
        <f t="shared" si="329"/>
        <v>1.0899999999999999</v>
      </c>
      <c r="K737" s="285">
        <f t="shared" si="330"/>
        <v>1182.75</v>
      </c>
      <c r="L737" s="286">
        <v>0</v>
      </c>
      <c r="M737" s="286">
        <v>0</v>
      </c>
      <c r="N737" s="285">
        <f t="shared" si="345"/>
        <v>1182.75</v>
      </c>
      <c r="O737" s="616">
        <f t="shared" si="320"/>
        <v>0</v>
      </c>
      <c r="P737" s="289">
        <f t="shared" si="346"/>
        <v>0</v>
      </c>
      <c r="Q737" s="290">
        <f t="shared" si="333"/>
        <v>0</v>
      </c>
      <c r="R737" s="290">
        <f t="shared" si="334"/>
        <v>0</v>
      </c>
      <c r="S737" s="290">
        <f t="shared" si="335"/>
        <v>0</v>
      </c>
      <c r="T737" s="290">
        <f t="shared" si="336"/>
        <v>0</v>
      </c>
      <c r="U737" s="291">
        <f t="shared" si="337"/>
        <v>1182.75</v>
      </c>
      <c r="V737" s="291">
        <f t="shared" si="341"/>
        <v>-1182.75</v>
      </c>
      <c r="W737" s="265">
        <f t="shared" si="338"/>
        <v>0</v>
      </c>
      <c r="X737" s="291">
        <f t="shared" si="342"/>
        <v>-1182.75</v>
      </c>
      <c r="Y737" s="170">
        <f t="shared" si="339"/>
        <v>103.55</v>
      </c>
      <c r="Z737" s="291">
        <f t="shared" si="340"/>
        <v>-103.55</v>
      </c>
      <c r="AC737" s="276">
        <f>IF(AI737=1,IF(AC736=MiscData!$F$1,EOMONTH(AC736,-11),EOMONTH(AC736,1)),AC736)</f>
        <v>41973</v>
      </c>
      <c r="AD737" s="275" t="str">
        <f t="shared" si="324"/>
        <v>20140101LGUM_206</v>
      </c>
      <c r="AE737" s="294" t="str">
        <f t="shared" si="325"/>
        <v>20140101RLS</v>
      </c>
      <c r="AF737" s="618" t="str">
        <f t="shared" si="343"/>
        <v>206</v>
      </c>
      <c r="AH737" s="265">
        <f>MiscData!$X$5</f>
        <v>20140101</v>
      </c>
      <c r="AI737" s="265">
        <f>IF(AI736+1&gt;MiscData!$AC$77,1,AI736+1)</f>
        <v>4</v>
      </c>
      <c r="AJ737" s="265" t="str">
        <f>VLOOKUP(AI737,MiscData!$AC$5:$AD$77,2,FALSE)</f>
        <v>LGUM_206</v>
      </c>
      <c r="AK737" s="265" t="str">
        <f>VLOOKUP(AJ737,MiscData!$AD$5:$AE$77,2,FALSE)</f>
        <v>RLS</v>
      </c>
      <c r="AT737" s="265" t="s">
        <v>344</v>
      </c>
      <c r="AV737" s="265">
        <v>0</v>
      </c>
    </row>
    <row r="738" spans="1:48">
      <c r="A738" s="275">
        <f t="shared" si="344"/>
        <v>735</v>
      </c>
      <c r="B738" s="276" t="str">
        <f t="shared" si="321"/>
        <v>Nov 2014</v>
      </c>
      <c r="C738" s="277" t="str">
        <f t="shared" si="322"/>
        <v>RLS</v>
      </c>
      <c r="D738" s="277" t="str">
        <f t="shared" si="323"/>
        <v>LGUM_207</v>
      </c>
      <c r="E738" s="614">
        <f t="shared" si="326"/>
        <v>756</v>
      </c>
      <c r="F738" s="615">
        <v>0</v>
      </c>
      <c r="G738" s="614">
        <f t="shared" si="327"/>
        <v>0</v>
      </c>
      <c r="H738" s="615">
        <v>0</v>
      </c>
      <c r="I738" s="283">
        <f t="shared" si="328"/>
        <v>15.54</v>
      </c>
      <c r="J738" s="283">
        <f t="shared" si="329"/>
        <v>4.2000000000000011</v>
      </c>
      <c r="K738" s="285">
        <f t="shared" si="330"/>
        <v>11748.24</v>
      </c>
      <c r="L738" s="286">
        <v>0</v>
      </c>
      <c r="M738" s="286">
        <v>0</v>
      </c>
      <c r="N738" s="285">
        <f t="shared" si="345"/>
        <v>11748.24</v>
      </c>
      <c r="O738" s="616">
        <f t="shared" si="320"/>
        <v>0</v>
      </c>
      <c r="P738" s="289">
        <f t="shared" si="346"/>
        <v>0</v>
      </c>
      <c r="Q738" s="290">
        <f t="shared" si="333"/>
        <v>0</v>
      </c>
      <c r="R738" s="290">
        <f t="shared" si="334"/>
        <v>0</v>
      </c>
      <c r="S738" s="290">
        <f t="shared" si="335"/>
        <v>0</v>
      </c>
      <c r="T738" s="290">
        <f t="shared" si="336"/>
        <v>0</v>
      </c>
      <c r="U738" s="291">
        <f t="shared" si="337"/>
        <v>11748.24</v>
      </c>
      <c r="V738" s="291">
        <f t="shared" si="341"/>
        <v>-11748.24</v>
      </c>
      <c r="W738" s="265">
        <f t="shared" si="338"/>
        <v>0</v>
      </c>
      <c r="X738" s="291">
        <f t="shared" si="342"/>
        <v>-11748.24</v>
      </c>
      <c r="Y738" s="170">
        <f t="shared" si="339"/>
        <v>3175.2</v>
      </c>
      <c r="Z738" s="291">
        <f t="shared" si="340"/>
        <v>-3175.2</v>
      </c>
      <c r="AC738" s="276">
        <f>IF(AI738=1,IF(AC737=MiscData!$F$1,EOMONTH(AC737,-11),EOMONTH(AC737,1)),AC737)</f>
        <v>41973</v>
      </c>
      <c r="AD738" s="275" t="str">
        <f t="shared" si="324"/>
        <v>20140101LGUM_207</v>
      </c>
      <c r="AE738" s="294" t="str">
        <f t="shared" si="325"/>
        <v>20140101RLS</v>
      </c>
      <c r="AF738" s="618" t="str">
        <f t="shared" si="343"/>
        <v>207</v>
      </c>
      <c r="AH738" s="265">
        <f>MiscData!$X$5</f>
        <v>20140101</v>
      </c>
      <c r="AI738" s="265">
        <f>IF(AI737+1&gt;MiscData!$AC$77,1,AI737+1)</f>
        <v>5</v>
      </c>
      <c r="AJ738" s="265" t="str">
        <f>VLOOKUP(AI738,MiscData!$AC$5:$AD$77,2,FALSE)</f>
        <v>LGUM_207</v>
      </c>
      <c r="AK738" s="265" t="str">
        <f>VLOOKUP(AJ738,MiscData!$AD$5:$AE$77,2,FALSE)</f>
        <v>RLS</v>
      </c>
      <c r="AT738" s="265" t="s">
        <v>345</v>
      </c>
      <c r="AV738" s="265">
        <v>23120.86</v>
      </c>
    </row>
    <row r="739" spans="1:48">
      <c r="A739" s="275">
        <f t="shared" si="344"/>
        <v>736</v>
      </c>
      <c r="B739" s="276" t="str">
        <f t="shared" si="321"/>
        <v>Nov 2014</v>
      </c>
      <c r="C739" s="277" t="str">
        <f t="shared" si="322"/>
        <v>RLS</v>
      </c>
      <c r="D739" s="277" t="str">
        <f t="shared" si="323"/>
        <v>LGUM_208</v>
      </c>
      <c r="E739" s="614">
        <f t="shared" si="326"/>
        <v>1399</v>
      </c>
      <c r="F739" s="615">
        <v>0</v>
      </c>
      <c r="G739" s="614">
        <f t="shared" si="327"/>
        <v>0</v>
      </c>
      <c r="H739" s="615">
        <v>0</v>
      </c>
      <c r="I739" s="283">
        <f t="shared" si="328"/>
        <v>14.24</v>
      </c>
      <c r="J739" s="283">
        <f t="shared" si="329"/>
        <v>1.9100000000000001</v>
      </c>
      <c r="K739" s="285">
        <f t="shared" si="330"/>
        <v>19921.759999999998</v>
      </c>
      <c r="L739" s="286">
        <v>0</v>
      </c>
      <c r="M739" s="286">
        <v>0</v>
      </c>
      <c r="N739" s="285">
        <f t="shared" si="345"/>
        <v>19921.759999999998</v>
      </c>
      <c r="O739" s="616">
        <f t="shared" si="320"/>
        <v>0</v>
      </c>
      <c r="P739" s="289">
        <f t="shared" si="346"/>
        <v>0</v>
      </c>
      <c r="Q739" s="290">
        <f t="shared" si="333"/>
        <v>0</v>
      </c>
      <c r="R739" s="290">
        <f t="shared" si="334"/>
        <v>0</v>
      </c>
      <c r="S739" s="290">
        <f t="shared" si="335"/>
        <v>0</v>
      </c>
      <c r="T739" s="290">
        <f t="shared" si="336"/>
        <v>0</v>
      </c>
      <c r="U739" s="291">
        <f t="shared" si="337"/>
        <v>19921.759999999998</v>
      </c>
      <c r="V739" s="291">
        <f t="shared" si="341"/>
        <v>-19921.759999999998</v>
      </c>
      <c r="W739" s="265">
        <f t="shared" si="338"/>
        <v>0</v>
      </c>
      <c r="X739" s="291">
        <f t="shared" si="342"/>
        <v>-19921.759999999998</v>
      </c>
      <c r="Y739" s="170">
        <f t="shared" si="339"/>
        <v>2672.09</v>
      </c>
      <c r="Z739" s="291">
        <f t="shared" si="340"/>
        <v>-2672.09</v>
      </c>
      <c r="AC739" s="276">
        <f>IF(AI739=1,IF(AC738=MiscData!$F$1,EOMONTH(AC738,-11),EOMONTH(AC738,1)),AC738)</f>
        <v>41973</v>
      </c>
      <c r="AD739" s="275" t="str">
        <f t="shared" si="324"/>
        <v>20140101LGUM_208</v>
      </c>
      <c r="AE739" s="294" t="str">
        <f t="shared" si="325"/>
        <v>20140101RLS</v>
      </c>
      <c r="AF739" s="618" t="str">
        <f t="shared" si="343"/>
        <v>208</v>
      </c>
      <c r="AH739" s="265">
        <f>MiscData!$X$5</f>
        <v>20140101</v>
      </c>
      <c r="AI739" s="265">
        <f>IF(AI738+1&gt;MiscData!$AC$77,1,AI738+1)</f>
        <v>6</v>
      </c>
      <c r="AJ739" s="265" t="str">
        <f>VLOOKUP(AI739,MiscData!$AC$5:$AD$77,2,FALSE)</f>
        <v>LGUM_208</v>
      </c>
      <c r="AK739" s="265" t="str">
        <f>VLOOKUP(AJ739,MiscData!$AD$5:$AE$77,2,FALSE)</f>
        <v>RLS</v>
      </c>
      <c r="AT739" s="265" t="s">
        <v>346</v>
      </c>
      <c r="AV739" s="265">
        <v>8546.02</v>
      </c>
    </row>
    <row r="740" spans="1:48">
      <c r="A740" s="275">
        <f t="shared" si="344"/>
        <v>737</v>
      </c>
      <c r="B740" s="276" t="str">
        <f t="shared" si="321"/>
        <v>Nov 2014</v>
      </c>
      <c r="C740" s="277" t="str">
        <f t="shared" si="322"/>
        <v>RLS</v>
      </c>
      <c r="D740" s="277" t="str">
        <f t="shared" si="323"/>
        <v>LGUM_209</v>
      </c>
      <c r="E740" s="614">
        <f t="shared" si="326"/>
        <v>45</v>
      </c>
      <c r="F740" s="615">
        <v>0</v>
      </c>
      <c r="G740" s="614">
        <f t="shared" si="327"/>
        <v>0</v>
      </c>
      <c r="H740" s="615">
        <v>0</v>
      </c>
      <c r="I740" s="283">
        <f t="shared" si="328"/>
        <v>27.69</v>
      </c>
      <c r="J740" s="283">
        <f t="shared" si="329"/>
        <v>10.170000000000002</v>
      </c>
      <c r="K740" s="285">
        <f t="shared" si="330"/>
        <v>1246.05</v>
      </c>
      <c r="L740" s="286">
        <v>0</v>
      </c>
      <c r="M740" s="286">
        <v>0</v>
      </c>
      <c r="N740" s="285">
        <f t="shared" si="345"/>
        <v>1246.05</v>
      </c>
      <c r="O740" s="616">
        <f t="shared" ref="O740:O815" si="347">T740-SUM(Q740:S740)-SUMIFS(L_1055_Revenue_Poles_Test_Period,L_1055_RateCategory,$D740,L_1055_Revenue_Month,$B740)</f>
        <v>0</v>
      </c>
      <c r="P740" s="289">
        <f t="shared" si="346"/>
        <v>0</v>
      </c>
      <c r="Q740" s="290">
        <f t="shared" si="333"/>
        <v>0</v>
      </c>
      <c r="R740" s="290">
        <f t="shared" si="334"/>
        <v>0</v>
      </c>
      <c r="S740" s="290">
        <f t="shared" si="335"/>
        <v>0</v>
      </c>
      <c r="T740" s="290">
        <f t="shared" si="336"/>
        <v>0</v>
      </c>
      <c r="U740" s="291">
        <f t="shared" si="337"/>
        <v>1246.05</v>
      </c>
      <c r="V740" s="291">
        <f t="shared" si="341"/>
        <v>-1246.05</v>
      </c>
      <c r="W740" s="265">
        <f t="shared" si="338"/>
        <v>0</v>
      </c>
      <c r="X740" s="291">
        <f t="shared" si="342"/>
        <v>-1246.05</v>
      </c>
      <c r="Y740" s="170">
        <f t="shared" si="339"/>
        <v>457.65</v>
      </c>
      <c r="Z740" s="291">
        <f t="shared" si="340"/>
        <v>-457.65</v>
      </c>
      <c r="AC740" s="276">
        <f>IF(AI740=1,IF(AC739=MiscData!$F$1,EOMONTH(AC739,-11),EOMONTH(AC739,1)),AC739)</f>
        <v>41973</v>
      </c>
      <c r="AD740" s="275" t="str">
        <f t="shared" si="324"/>
        <v>20140101LGUM_209</v>
      </c>
      <c r="AE740" s="294" t="str">
        <f t="shared" si="325"/>
        <v>20140101RLS</v>
      </c>
      <c r="AF740" s="618" t="str">
        <f t="shared" si="343"/>
        <v>209</v>
      </c>
      <c r="AH740" s="265">
        <f>MiscData!$X$5</f>
        <v>20140101</v>
      </c>
      <c r="AI740" s="265">
        <f>IF(AI739+1&gt;MiscData!$AC$77,1,AI739+1)</f>
        <v>7</v>
      </c>
      <c r="AJ740" s="265" t="str">
        <f>VLOOKUP(AI740,MiscData!$AC$5:$AD$77,2,FALSE)</f>
        <v>LGUM_209</v>
      </c>
      <c r="AK740" s="265" t="str">
        <f>VLOOKUP(AJ740,MiscData!$AD$5:$AE$77,2,FALSE)</f>
        <v>RLS</v>
      </c>
      <c r="AT740" s="265" t="s">
        <v>347</v>
      </c>
      <c r="AV740" s="265">
        <v>0</v>
      </c>
    </row>
    <row r="741" spans="1:48">
      <c r="A741" s="275">
        <f t="shared" si="344"/>
        <v>738</v>
      </c>
      <c r="B741" s="276" t="str">
        <f t="shared" si="321"/>
        <v>Nov 2014</v>
      </c>
      <c r="C741" s="277" t="str">
        <f t="shared" si="322"/>
        <v>RLS</v>
      </c>
      <c r="D741" s="277" t="str">
        <f t="shared" si="323"/>
        <v>LGUM_210</v>
      </c>
      <c r="E741" s="614">
        <f t="shared" si="326"/>
        <v>355</v>
      </c>
      <c r="F741" s="615">
        <v>0</v>
      </c>
      <c r="G741" s="614">
        <f t="shared" si="327"/>
        <v>0</v>
      </c>
      <c r="H741" s="615">
        <v>0</v>
      </c>
      <c r="I741" s="283">
        <f t="shared" si="328"/>
        <v>28.89</v>
      </c>
      <c r="J741" s="283">
        <f t="shared" si="329"/>
        <v>10.170000000000002</v>
      </c>
      <c r="K741" s="285">
        <f t="shared" si="330"/>
        <v>10255.950000000001</v>
      </c>
      <c r="L741" s="286">
        <v>0</v>
      </c>
      <c r="M741" s="286">
        <v>0</v>
      </c>
      <c r="N741" s="285">
        <f t="shared" si="345"/>
        <v>10255.950000000001</v>
      </c>
      <c r="O741" s="616">
        <f t="shared" si="347"/>
        <v>0</v>
      </c>
      <c r="P741" s="289">
        <f t="shared" si="346"/>
        <v>0</v>
      </c>
      <c r="Q741" s="290">
        <f t="shared" si="333"/>
        <v>0</v>
      </c>
      <c r="R741" s="290">
        <f t="shared" si="334"/>
        <v>0</v>
      </c>
      <c r="S741" s="290">
        <f t="shared" si="335"/>
        <v>0</v>
      </c>
      <c r="T741" s="290">
        <f t="shared" si="336"/>
        <v>0</v>
      </c>
      <c r="U741" s="291">
        <f t="shared" si="337"/>
        <v>10255.950000000001</v>
      </c>
      <c r="V741" s="291">
        <f t="shared" si="341"/>
        <v>-10255.950000000001</v>
      </c>
      <c r="W741" s="265">
        <f t="shared" si="338"/>
        <v>0</v>
      </c>
      <c r="X741" s="291">
        <f t="shared" si="342"/>
        <v>-10255.950000000001</v>
      </c>
      <c r="Y741" s="170">
        <f t="shared" si="339"/>
        <v>3610.35</v>
      </c>
      <c r="Z741" s="291">
        <f t="shared" si="340"/>
        <v>-3610.35</v>
      </c>
      <c r="AC741" s="276">
        <f>IF(AI741=1,IF(AC740=MiscData!$F$1,EOMONTH(AC740,-11),EOMONTH(AC740,1)),AC740)</f>
        <v>41973</v>
      </c>
      <c r="AD741" s="275" t="str">
        <f t="shared" si="324"/>
        <v>20140101LGUM_210</v>
      </c>
      <c r="AE741" s="294" t="str">
        <f t="shared" si="325"/>
        <v>20140101RLS</v>
      </c>
      <c r="AF741" s="618" t="str">
        <f t="shared" si="343"/>
        <v>210</v>
      </c>
      <c r="AH741" s="265">
        <f>MiscData!$X$5</f>
        <v>20140101</v>
      </c>
      <c r="AI741" s="265">
        <f>IF(AI740+1&gt;MiscData!$AC$77,1,AI740+1)</f>
        <v>8</v>
      </c>
      <c r="AJ741" s="265" t="str">
        <f>VLOOKUP(AI741,MiscData!$AC$5:$AD$77,2,FALSE)</f>
        <v>LGUM_210</v>
      </c>
      <c r="AK741" s="265" t="str">
        <f>VLOOKUP(AJ741,MiscData!$AD$5:$AE$77,2,FALSE)</f>
        <v>RLS</v>
      </c>
      <c r="AT741" s="265" t="s">
        <v>348</v>
      </c>
      <c r="AV741" s="265">
        <v>7361.13</v>
      </c>
    </row>
    <row r="742" spans="1:48">
      <c r="A742" s="275">
        <f t="shared" si="344"/>
        <v>739</v>
      </c>
      <c r="B742" s="276" t="str">
        <f t="shared" si="321"/>
        <v>Nov 2014</v>
      </c>
      <c r="C742" s="277" t="str">
        <f t="shared" si="322"/>
        <v>RLS</v>
      </c>
      <c r="D742" s="277" t="str">
        <f t="shared" si="323"/>
        <v>LGUM_252</v>
      </c>
      <c r="E742" s="614">
        <f t="shared" si="326"/>
        <v>3990</v>
      </c>
      <c r="F742" s="615">
        <v>0</v>
      </c>
      <c r="G742" s="614">
        <f t="shared" si="327"/>
        <v>0</v>
      </c>
      <c r="H742" s="615">
        <v>0</v>
      </c>
      <c r="I742" s="283">
        <f t="shared" si="328"/>
        <v>9.57</v>
      </c>
      <c r="J742" s="283">
        <f t="shared" si="329"/>
        <v>1.9099999999999993</v>
      </c>
      <c r="K742" s="285">
        <f t="shared" si="330"/>
        <v>38184.300000000003</v>
      </c>
      <c r="L742" s="286">
        <v>0</v>
      </c>
      <c r="M742" s="286">
        <v>0</v>
      </c>
      <c r="N742" s="285">
        <f t="shared" si="345"/>
        <v>38184.300000000003</v>
      </c>
      <c r="O742" s="616">
        <f t="shared" si="347"/>
        <v>0</v>
      </c>
      <c r="P742" s="289">
        <f t="shared" si="346"/>
        <v>0</v>
      </c>
      <c r="Q742" s="290">
        <f t="shared" si="333"/>
        <v>0</v>
      </c>
      <c r="R742" s="290">
        <f t="shared" si="334"/>
        <v>0</v>
      </c>
      <c r="S742" s="290">
        <f t="shared" si="335"/>
        <v>0</v>
      </c>
      <c r="T742" s="290">
        <f t="shared" si="336"/>
        <v>0</v>
      </c>
      <c r="U742" s="291">
        <f t="shared" si="337"/>
        <v>38184.300000000003</v>
      </c>
      <c r="V742" s="291">
        <f t="shared" si="341"/>
        <v>-38184.300000000003</v>
      </c>
      <c r="W742" s="265">
        <f t="shared" si="338"/>
        <v>0</v>
      </c>
      <c r="X742" s="291">
        <f t="shared" si="342"/>
        <v>-38184.300000000003</v>
      </c>
      <c r="Y742" s="170">
        <f t="shared" si="339"/>
        <v>7620.9</v>
      </c>
      <c r="Z742" s="291">
        <f t="shared" si="340"/>
        <v>-7620.9</v>
      </c>
      <c r="AC742" s="276">
        <f>IF(AI742=1,IF(AC741=MiscData!$F$1,EOMONTH(AC741,-11),EOMONTH(AC741,1)),AC741)</f>
        <v>41973</v>
      </c>
      <c r="AD742" s="275" t="str">
        <f t="shared" si="324"/>
        <v>20140101LGUM_252</v>
      </c>
      <c r="AE742" s="294" t="str">
        <f t="shared" si="325"/>
        <v>20140101RLS</v>
      </c>
      <c r="AF742" s="618" t="str">
        <f t="shared" si="343"/>
        <v>252</v>
      </c>
      <c r="AH742" s="265">
        <f>MiscData!$X$5</f>
        <v>20140101</v>
      </c>
      <c r="AI742" s="265">
        <f>IF(AI741+1&gt;MiscData!$AC$77,1,AI741+1)</f>
        <v>9</v>
      </c>
      <c r="AJ742" s="265" t="str">
        <f>VLOOKUP(AI742,MiscData!$AC$5:$AD$77,2,FALSE)</f>
        <v>LGUM_252</v>
      </c>
      <c r="AK742" s="265" t="str">
        <f>VLOOKUP(AJ742,MiscData!$AD$5:$AE$77,2,FALSE)</f>
        <v>RLS</v>
      </c>
      <c r="AT742" s="265" t="s">
        <v>376</v>
      </c>
      <c r="AV742" s="265">
        <v>0</v>
      </c>
    </row>
    <row r="743" spans="1:48">
      <c r="A743" s="275">
        <f t="shared" si="344"/>
        <v>740</v>
      </c>
      <c r="B743" s="276" t="str">
        <f t="shared" si="321"/>
        <v>Nov 2014</v>
      </c>
      <c r="C743" s="277" t="str">
        <f t="shared" si="322"/>
        <v>RLS</v>
      </c>
      <c r="D743" s="277" t="str">
        <f t="shared" si="323"/>
        <v>LGUM_266</v>
      </c>
      <c r="E743" s="614">
        <f t="shared" si="326"/>
        <v>2011</v>
      </c>
      <c r="F743" s="615">
        <v>0</v>
      </c>
      <c r="G743" s="614">
        <f t="shared" si="327"/>
        <v>0</v>
      </c>
      <c r="H743" s="615">
        <v>0</v>
      </c>
      <c r="I743" s="283">
        <f t="shared" si="328"/>
        <v>27.34</v>
      </c>
      <c r="J743" s="283">
        <f t="shared" si="329"/>
        <v>2.8000000000000007</v>
      </c>
      <c r="K743" s="285">
        <f t="shared" si="330"/>
        <v>54980.74</v>
      </c>
      <c r="L743" s="286">
        <v>0</v>
      </c>
      <c r="M743" s="286">
        <v>0</v>
      </c>
      <c r="N743" s="285">
        <f t="shared" si="345"/>
        <v>54980.74</v>
      </c>
      <c r="O743" s="616">
        <f t="shared" si="347"/>
        <v>0</v>
      </c>
      <c r="P743" s="289">
        <f t="shared" si="346"/>
        <v>0</v>
      </c>
      <c r="Q743" s="290">
        <f t="shared" si="333"/>
        <v>0</v>
      </c>
      <c r="R743" s="290">
        <f t="shared" si="334"/>
        <v>0</v>
      </c>
      <c r="S743" s="290">
        <f t="shared" si="335"/>
        <v>0</v>
      </c>
      <c r="T743" s="290">
        <f t="shared" si="336"/>
        <v>0</v>
      </c>
      <c r="U743" s="291">
        <f t="shared" si="337"/>
        <v>54980.74</v>
      </c>
      <c r="V743" s="291">
        <f t="shared" si="341"/>
        <v>-54980.74</v>
      </c>
      <c r="W743" s="265">
        <f t="shared" si="338"/>
        <v>0</v>
      </c>
      <c r="X743" s="291">
        <f t="shared" si="342"/>
        <v>-54980.74</v>
      </c>
      <c r="Y743" s="170">
        <f t="shared" si="339"/>
        <v>5630.8</v>
      </c>
      <c r="Z743" s="291">
        <f t="shared" si="340"/>
        <v>-5630.8</v>
      </c>
      <c r="AC743" s="276">
        <f>IF(AI743=1,IF(AC742=MiscData!$F$1,EOMONTH(AC742,-11),EOMONTH(AC742,1)),AC742)</f>
        <v>41973</v>
      </c>
      <c r="AD743" s="275" t="str">
        <f t="shared" si="324"/>
        <v>20140101LGUM_266</v>
      </c>
      <c r="AE743" s="294" t="str">
        <f t="shared" si="325"/>
        <v>20140101RLS</v>
      </c>
      <c r="AF743" s="618" t="str">
        <f t="shared" si="343"/>
        <v>266</v>
      </c>
      <c r="AH743" s="265">
        <f>MiscData!$X$5</f>
        <v>20140101</v>
      </c>
      <c r="AI743" s="265">
        <f>IF(AI742+1&gt;MiscData!$AC$77,1,AI742+1)</f>
        <v>10</v>
      </c>
      <c r="AJ743" s="265" t="str">
        <f>VLOOKUP(AI743,MiscData!$AC$5:$AD$77,2,FALSE)</f>
        <v>LGUM_266</v>
      </c>
      <c r="AK743" s="265" t="str">
        <f>VLOOKUP(AJ743,MiscData!$AD$5:$AE$77,2,FALSE)</f>
        <v>RLS</v>
      </c>
      <c r="AT743" s="265" t="s">
        <v>349</v>
      </c>
      <c r="AV743" s="265">
        <v>5011.67</v>
      </c>
    </row>
    <row r="744" spans="1:48">
      <c r="A744" s="275">
        <f t="shared" si="344"/>
        <v>741</v>
      </c>
      <c r="B744" s="276" t="str">
        <f t="shared" si="321"/>
        <v>Nov 2014</v>
      </c>
      <c r="C744" s="277" t="str">
        <f t="shared" si="322"/>
        <v>RLS</v>
      </c>
      <c r="D744" s="277" t="str">
        <f t="shared" si="323"/>
        <v>LGUM_267</v>
      </c>
      <c r="E744" s="614">
        <f t="shared" si="326"/>
        <v>2201</v>
      </c>
      <c r="F744" s="615">
        <v>0</v>
      </c>
      <c r="G744" s="614">
        <f t="shared" si="327"/>
        <v>0</v>
      </c>
      <c r="H744" s="615">
        <v>0</v>
      </c>
      <c r="I744" s="283">
        <f t="shared" si="328"/>
        <v>31.4</v>
      </c>
      <c r="J744" s="283">
        <f t="shared" si="329"/>
        <v>4.4499999999999993</v>
      </c>
      <c r="K744" s="285">
        <f t="shared" si="330"/>
        <v>69111.399999999994</v>
      </c>
      <c r="L744" s="286">
        <v>0</v>
      </c>
      <c r="M744" s="286">
        <v>0</v>
      </c>
      <c r="N744" s="285">
        <f t="shared" si="345"/>
        <v>69111.399999999994</v>
      </c>
      <c r="O744" s="616">
        <f t="shared" si="347"/>
        <v>0</v>
      </c>
      <c r="P744" s="289">
        <f t="shared" si="346"/>
        <v>0</v>
      </c>
      <c r="Q744" s="290">
        <f t="shared" si="333"/>
        <v>0</v>
      </c>
      <c r="R744" s="290">
        <f t="shared" si="334"/>
        <v>0</v>
      </c>
      <c r="S744" s="290">
        <f t="shared" si="335"/>
        <v>0</v>
      </c>
      <c r="T744" s="290">
        <f t="shared" si="336"/>
        <v>0</v>
      </c>
      <c r="U744" s="291">
        <f t="shared" si="337"/>
        <v>69111.399999999994</v>
      </c>
      <c r="V744" s="291">
        <f t="shared" si="341"/>
        <v>-69111.399999999994</v>
      </c>
      <c r="W744" s="265">
        <f t="shared" si="338"/>
        <v>0</v>
      </c>
      <c r="X744" s="291">
        <f t="shared" si="342"/>
        <v>-69111.399999999994</v>
      </c>
      <c r="Y744" s="170">
        <f t="shared" si="339"/>
        <v>9794.4500000000007</v>
      </c>
      <c r="Z744" s="291">
        <f t="shared" si="340"/>
        <v>-9794.4500000000007</v>
      </c>
      <c r="AC744" s="276">
        <f>IF(AI744=1,IF(AC743=MiscData!$F$1,EOMONTH(AC743,-11),EOMONTH(AC743,1)),AC743)</f>
        <v>41973</v>
      </c>
      <c r="AD744" s="275" t="str">
        <f t="shared" si="324"/>
        <v>20140101LGUM_267</v>
      </c>
      <c r="AE744" s="294" t="str">
        <f t="shared" si="325"/>
        <v>20140101RLS</v>
      </c>
      <c r="AF744" s="618" t="str">
        <f t="shared" si="343"/>
        <v>267</v>
      </c>
      <c r="AH744" s="265">
        <f>MiscData!$X$5</f>
        <v>20140101</v>
      </c>
      <c r="AI744" s="265">
        <f>IF(AI743+1&gt;MiscData!$AC$77,1,AI743+1)</f>
        <v>11</v>
      </c>
      <c r="AJ744" s="265" t="str">
        <f>VLOOKUP(AI744,MiscData!$AC$5:$AD$77,2,FALSE)</f>
        <v>LGUM_267</v>
      </c>
      <c r="AK744" s="265" t="str">
        <f>VLOOKUP(AJ744,MiscData!$AD$5:$AE$77,2,FALSE)</f>
        <v>RLS</v>
      </c>
      <c r="AT744" s="265" t="s">
        <v>350</v>
      </c>
      <c r="AV744" s="265">
        <v>0</v>
      </c>
    </row>
    <row r="745" spans="1:48">
      <c r="A745" s="275">
        <f t="shared" si="344"/>
        <v>742</v>
      </c>
      <c r="B745" s="276" t="str">
        <f t="shared" si="321"/>
        <v>Nov 2014</v>
      </c>
      <c r="C745" s="277" t="str">
        <f t="shared" si="322"/>
        <v>RLS</v>
      </c>
      <c r="D745" s="277" t="str">
        <f t="shared" si="323"/>
        <v>LGUM_274</v>
      </c>
      <c r="E745" s="614">
        <f t="shared" si="326"/>
        <v>16583</v>
      </c>
      <c r="F745" s="615">
        <v>0</v>
      </c>
      <c r="G745" s="614">
        <f t="shared" si="327"/>
        <v>0</v>
      </c>
      <c r="H745" s="615">
        <v>0</v>
      </c>
      <c r="I745" s="283">
        <f t="shared" si="328"/>
        <v>17.189999999999998</v>
      </c>
      <c r="J745" s="283">
        <f t="shared" si="329"/>
        <v>1.2699999999999996</v>
      </c>
      <c r="K745" s="285">
        <f t="shared" si="330"/>
        <v>285061.77</v>
      </c>
      <c r="L745" s="286">
        <v>0</v>
      </c>
      <c r="M745" s="286">
        <v>0</v>
      </c>
      <c r="N745" s="285">
        <f t="shared" si="345"/>
        <v>285061.77</v>
      </c>
      <c r="O745" s="616">
        <f t="shared" si="347"/>
        <v>0</v>
      </c>
      <c r="P745" s="289">
        <f t="shared" si="346"/>
        <v>0</v>
      </c>
      <c r="Q745" s="290">
        <f t="shared" si="333"/>
        <v>0</v>
      </c>
      <c r="R745" s="290">
        <f t="shared" si="334"/>
        <v>0</v>
      </c>
      <c r="S745" s="290">
        <f t="shared" si="335"/>
        <v>0</v>
      </c>
      <c r="T745" s="290">
        <f t="shared" si="336"/>
        <v>0</v>
      </c>
      <c r="U745" s="291">
        <f t="shared" si="337"/>
        <v>285061.77</v>
      </c>
      <c r="V745" s="291">
        <f t="shared" si="341"/>
        <v>-285061.77</v>
      </c>
      <c r="W745" s="265">
        <f t="shared" si="338"/>
        <v>0</v>
      </c>
      <c r="X745" s="291">
        <f t="shared" si="342"/>
        <v>-285061.77</v>
      </c>
      <c r="Y745" s="170">
        <f t="shared" si="339"/>
        <v>21060.41</v>
      </c>
      <c r="Z745" s="291">
        <f t="shared" si="340"/>
        <v>-21060.41</v>
      </c>
      <c r="AC745" s="276">
        <f>IF(AI745=1,IF(AC744=MiscData!$F$1,EOMONTH(AC744,-11),EOMONTH(AC744,1)),AC744)</f>
        <v>41973</v>
      </c>
      <c r="AD745" s="275" t="str">
        <f t="shared" si="324"/>
        <v>20140101LGUM_274</v>
      </c>
      <c r="AE745" s="294" t="str">
        <f t="shared" si="325"/>
        <v>20140101RLS</v>
      </c>
      <c r="AF745" s="618" t="str">
        <f t="shared" si="343"/>
        <v>274</v>
      </c>
      <c r="AH745" s="265">
        <f>MiscData!$X$5</f>
        <v>20140101</v>
      </c>
      <c r="AI745" s="265">
        <f>IF(AI744+1&gt;MiscData!$AC$77,1,AI744+1)</f>
        <v>12</v>
      </c>
      <c r="AJ745" s="265" t="str">
        <f>VLOOKUP(AI745,MiscData!$AC$5:$AD$77,2,FALSE)</f>
        <v>LGUM_274</v>
      </c>
      <c r="AK745" s="265" t="str">
        <f>VLOOKUP(AJ745,MiscData!$AD$5:$AE$77,2,FALSE)</f>
        <v>RLS</v>
      </c>
      <c r="AT745" s="265" t="s">
        <v>351</v>
      </c>
      <c r="AV745" s="265">
        <v>0</v>
      </c>
    </row>
    <row r="746" spans="1:48">
      <c r="A746" s="275">
        <f t="shared" si="344"/>
        <v>743</v>
      </c>
      <c r="B746" s="276" t="str">
        <f t="shared" ref="B746:B777" si="348">TEXT(AC746,"mmm yyyy")</f>
        <v>Nov 2014</v>
      </c>
      <c r="C746" s="277" t="str">
        <f t="shared" ref="C746:C777" si="349">AK746</f>
        <v>RLS</v>
      </c>
      <c r="D746" s="277" t="str">
        <f t="shared" ref="D746:D777" si="350">AJ746</f>
        <v>LGUM_275</v>
      </c>
      <c r="E746" s="614">
        <f t="shared" si="326"/>
        <v>515</v>
      </c>
      <c r="F746" s="615">
        <v>0</v>
      </c>
      <c r="G746" s="614">
        <f t="shared" si="327"/>
        <v>0</v>
      </c>
      <c r="H746" s="615">
        <v>0</v>
      </c>
      <c r="I746" s="283">
        <f t="shared" si="328"/>
        <v>24.89</v>
      </c>
      <c r="J746" s="283">
        <f t="shared" si="329"/>
        <v>1.7899999999999991</v>
      </c>
      <c r="K746" s="285">
        <f t="shared" si="330"/>
        <v>12818.35</v>
      </c>
      <c r="L746" s="286">
        <v>0</v>
      </c>
      <c r="M746" s="286">
        <v>0</v>
      </c>
      <c r="N746" s="285">
        <f t="shared" si="345"/>
        <v>12818.35</v>
      </c>
      <c r="O746" s="616">
        <f t="shared" si="347"/>
        <v>0</v>
      </c>
      <c r="P746" s="289">
        <f t="shared" si="346"/>
        <v>0</v>
      </c>
      <c r="Q746" s="290">
        <f t="shared" si="333"/>
        <v>0</v>
      </c>
      <c r="R746" s="290">
        <f t="shared" si="334"/>
        <v>0</v>
      </c>
      <c r="S746" s="290">
        <f t="shared" si="335"/>
        <v>0</v>
      </c>
      <c r="T746" s="290">
        <f t="shared" si="336"/>
        <v>0</v>
      </c>
      <c r="U746" s="291">
        <f t="shared" si="337"/>
        <v>12818.35</v>
      </c>
      <c r="V746" s="291">
        <f t="shared" si="341"/>
        <v>-12818.35</v>
      </c>
      <c r="W746" s="265">
        <f t="shared" si="338"/>
        <v>0</v>
      </c>
      <c r="X746" s="291">
        <f t="shared" si="342"/>
        <v>-12818.35</v>
      </c>
      <c r="Y746" s="170">
        <f t="shared" si="339"/>
        <v>921.85</v>
      </c>
      <c r="Z746" s="291">
        <f t="shared" si="340"/>
        <v>-921.85</v>
      </c>
      <c r="AC746" s="276">
        <f>IF(AI746=1,IF(AC745=MiscData!$F$1,EOMONTH(AC745,-11),EOMONTH(AC745,1)),AC745)</f>
        <v>41973</v>
      </c>
      <c r="AD746" s="275" t="str">
        <f t="shared" ref="AD746:AD777" si="351">CONCATENATE(AH746&amp;AJ746)</f>
        <v>20140101LGUM_275</v>
      </c>
      <c r="AE746" s="294" t="str">
        <f t="shared" ref="AE746:AE777" si="352">CONCATENATE(AH746&amp;AK746)</f>
        <v>20140101RLS</v>
      </c>
      <c r="AF746" s="618" t="str">
        <f t="shared" si="343"/>
        <v>275</v>
      </c>
      <c r="AH746" s="265">
        <f>MiscData!$X$5</f>
        <v>20140101</v>
      </c>
      <c r="AI746" s="265">
        <f>IF(AI745+1&gt;MiscData!$AC$77,1,AI745+1)</f>
        <v>13</v>
      </c>
      <c r="AJ746" s="265" t="str">
        <f>VLOOKUP(AI746,MiscData!$AC$5:$AD$77,2,FALSE)</f>
        <v>LGUM_275</v>
      </c>
      <c r="AK746" s="265" t="str">
        <f>VLOOKUP(AJ746,MiscData!$AD$5:$AE$77,2,FALSE)</f>
        <v>RLS</v>
      </c>
      <c r="AT746" s="265" t="s">
        <v>631</v>
      </c>
      <c r="AV746" s="265">
        <v>0</v>
      </c>
    </row>
    <row r="747" spans="1:48">
      <c r="A747" s="275">
        <f t="shared" si="344"/>
        <v>744</v>
      </c>
      <c r="B747" s="276" t="str">
        <f t="shared" si="348"/>
        <v>Nov 2014</v>
      </c>
      <c r="C747" s="277" t="str">
        <f t="shared" si="349"/>
        <v>RLS</v>
      </c>
      <c r="D747" s="277" t="str">
        <f t="shared" si="350"/>
        <v>LGUM_276</v>
      </c>
      <c r="E747" s="614">
        <f t="shared" si="326"/>
        <v>1301</v>
      </c>
      <c r="F747" s="615">
        <v>0</v>
      </c>
      <c r="G747" s="614">
        <f t="shared" si="327"/>
        <v>0</v>
      </c>
      <c r="H747" s="615">
        <v>0</v>
      </c>
      <c r="I747" s="283">
        <f t="shared" si="328"/>
        <v>14.17</v>
      </c>
      <c r="J747" s="283">
        <f t="shared" si="329"/>
        <v>0.88000000000000078</v>
      </c>
      <c r="K747" s="285">
        <f t="shared" si="330"/>
        <v>18435.169999999998</v>
      </c>
      <c r="L747" s="286">
        <v>0</v>
      </c>
      <c r="M747" s="286">
        <v>0</v>
      </c>
      <c r="N747" s="285">
        <f t="shared" si="345"/>
        <v>18435.169999999998</v>
      </c>
      <c r="O747" s="616">
        <f t="shared" si="347"/>
        <v>0</v>
      </c>
      <c r="P747" s="289">
        <f t="shared" si="346"/>
        <v>0</v>
      </c>
      <c r="Q747" s="290">
        <f t="shared" si="333"/>
        <v>0</v>
      </c>
      <c r="R747" s="290">
        <f t="shared" si="334"/>
        <v>0</v>
      </c>
      <c r="S747" s="290">
        <f t="shared" si="335"/>
        <v>0</v>
      </c>
      <c r="T747" s="290">
        <f t="shared" si="336"/>
        <v>0</v>
      </c>
      <c r="U747" s="291">
        <f t="shared" si="337"/>
        <v>18435.169999999998</v>
      </c>
      <c r="V747" s="291">
        <f t="shared" si="341"/>
        <v>-18435.169999999998</v>
      </c>
      <c r="W747" s="265">
        <f t="shared" si="338"/>
        <v>0</v>
      </c>
      <c r="X747" s="291">
        <f t="shared" si="342"/>
        <v>-18435.169999999998</v>
      </c>
      <c r="Y747" s="170">
        <f t="shared" si="339"/>
        <v>1144.8800000000001</v>
      </c>
      <c r="Z747" s="291">
        <f t="shared" si="340"/>
        <v>-1144.8800000000001</v>
      </c>
      <c r="AC747" s="276">
        <f>IF(AI747=1,IF(AC746=MiscData!$F$1,EOMONTH(AC746,-11),EOMONTH(AC746,1)),AC746)</f>
        <v>41973</v>
      </c>
      <c r="AD747" s="275" t="str">
        <f t="shared" si="351"/>
        <v>20140101LGUM_276</v>
      </c>
      <c r="AE747" s="294" t="str">
        <f t="shared" si="352"/>
        <v>20140101RLS</v>
      </c>
      <c r="AF747" s="618" t="str">
        <f t="shared" si="343"/>
        <v>276</v>
      </c>
      <c r="AH747" s="265">
        <f>MiscData!$X$5</f>
        <v>20140101</v>
      </c>
      <c r="AI747" s="265">
        <f>IF(AI746+1&gt;MiscData!$AC$77,1,AI746+1)</f>
        <v>14</v>
      </c>
      <c r="AJ747" s="265" t="str">
        <f>VLOOKUP(AI747,MiscData!$AC$5:$AD$77,2,FALSE)</f>
        <v>LGUM_276</v>
      </c>
      <c r="AK747" s="265" t="str">
        <f>VLOOKUP(AJ747,MiscData!$AD$5:$AE$77,2,FALSE)</f>
        <v>RLS</v>
      </c>
      <c r="AT747" s="265" t="s">
        <v>352</v>
      </c>
      <c r="AV747" s="265">
        <v>0</v>
      </c>
    </row>
    <row r="748" spans="1:48">
      <c r="A748" s="275">
        <f t="shared" si="344"/>
        <v>745</v>
      </c>
      <c r="B748" s="276" t="str">
        <f t="shared" si="348"/>
        <v>Nov 2014</v>
      </c>
      <c r="C748" s="277" t="str">
        <f t="shared" si="349"/>
        <v>RLS</v>
      </c>
      <c r="D748" s="277" t="str">
        <f t="shared" si="350"/>
        <v>LGUM_277</v>
      </c>
      <c r="E748" s="614">
        <f t="shared" si="326"/>
        <v>2244</v>
      </c>
      <c r="F748" s="615">
        <v>0</v>
      </c>
      <c r="G748" s="614">
        <f t="shared" si="327"/>
        <v>0</v>
      </c>
      <c r="H748" s="615">
        <v>0</v>
      </c>
      <c r="I748" s="283">
        <f t="shared" si="328"/>
        <v>22.15</v>
      </c>
      <c r="J748" s="283">
        <f t="shared" si="329"/>
        <v>1.7900000000000027</v>
      </c>
      <c r="K748" s="285">
        <f t="shared" si="330"/>
        <v>49704.6</v>
      </c>
      <c r="L748" s="286">
        <v>0</v>
      </c>
      <c r="M748" s="286">
        <v>0</v>
      </c>
      <c r="N748" s="285">
        <f t="shared" si="345"/>
        <v>49704.6</v>
      </c>
      <c r="O748" s="616">
        <f t="shared" si="347"/>
        <v>0</v>
      </c>
      <c r="P748" s="289">
        <f t="shared" si="346"/>
        <v>0</v>
      </c>
      <c r="Q748" s="290">
        <f t="shared" si="333"/>
        <v>0</v>
      </c>
      <c r="R748" s="290">
        <f t="shared" si="334"/>
        <v>0</v>
      </c>
      <c r="S748" s="290">
        <f t="shared" si="335"/>
        <v>0</v>
      </c>
      <c r="T748" s="290">
        <f t="shared" si="336"/>
        <v>0</v>
      </c>
      <c r="U748" s="291">
        <f t="shared" si="337"/>
        <v>49704.6</v>
      </c>
      <c r="V748" s="291">
        <f t="shared" si="341"/>
        <v>-49704.6</v>
      </c>
      <c r="W748" s="265">
        <f t="shared" si="338"/>
        <v>0</v>
      </c>
      <c r="X748" s="291">
        <f t="shared" si="342"/>
        <v>-49704.6</v>
      </c>
      <c r="Y748" s="170">
        <f t="shared" si="339"/>
        <v>4016.76</v>
      </c>
      <c r="Z748" s="291">
        <f t="shared" si="340"/>
        <v>-4016.76</v>
      </c>
      <c r="AC748" s="276">
        <f>IF(AI748=1,IF(AC747=MiscData!$F$1,EOMONTH(AC747,-11),EOMONTH(AC747,1)),AC747)</f>
        <v>41973</v>
      </c>
      <c r="AD748" s="275" t="str">
        <f t="shared" si="351"/>
        <v>20140101LGUM_277</v>
      </c>
      <c r="AE748" s="294" t="str">
        <f t="shared" si="352"/>
        <v>20140101RLS</v>
      </c>
      <c r="AF748" s="618" t="str">
        <f t="shared" si="343"/>
        <v>277</v>
      </c>
      <c r="AH748" s="265">
        <f>MiscData!$X$5</f>
        <v>20140101</v>
      </c>
      <c r="AI748" s="265">
        <f>IF(AI747+1&gt;MiscData!$AC$77,1,AI747+1)</f>
        <v>15</v>
      </c>
      <c r="AJ748" s="265" t="str">
        <f>VLOOKUP(AI748,MiscData!$AC$5:$AD$77,2,FALSE)</f>
        <v>LGUM_277</v>
      </c>
      <c r="AK748" s="265" t="str">
        <f>VLOOKUP(AJ748,MiscData!$AD$5:$AE$77,2,FALSE)</f>
        <v>RLS</v>
      </c>
      <c r="AT748" s="265" t="s">
        <v>353</v>
      </c>
      <c r="AV748" s="265">
        <v>0</v>
      </c>
    </row>
    <row r="749" spans="1:48">
      <c r="A749" s="275">
        <f t="shared" si="344"/>
        <v>746</v>
      </c>
      <c r="B749" s="276" t="str">
        <f t="shared" si="348"/>
        <v>Nov 2014</v>
      </c>
      <c r="C749" s="277" t="str">
        <f t="shared" si="349"/>
        <v>RLS</v>
      </c>
      <c r="D749" s="277" t="str">
        <f t="shared" si="350"/>
        <v>LGUM_278</v>
      </c>
      <c r="E749" s="614">
        <f t="shared" si="326"/>
        <v>16</v>
      </c>
      <c r="F749" s="615">
        <v>0</v>
      </c>
      <c r="G749" s="614">
        <f t="shared" si="327"/>
        <v>0</v>
      </c>
      <c r="H749" s="615">
        <v>0</v>
      </c>
      <c r="I749" s="283">
        <f t="shared" si="328"/>
        <v>72.550000000000011</v>
      </c>
      <c r="J749" s="283">
        <f t="shared" si="329"/>
        <v>9.8400000000000034</v>
      </c>
      <c r="K749" s="285">
        <f t="shared" si="330"/>
        <v>1160.8</v>
      </c>
      <c r="L749" s="286">
        <v>0</v>
      </c>
      <c r="M749" s="286">
        <v>0</v>
      </c>
      <c r="N749" s="285">
        <f t="shared" si="345"/>
        <v>1160.8</v>
      </c>
      <c r="O749" s="616">
        <f t="shared" si="347"/>
        <v>0</v>
      </c>
      <c r="P749" s="289">
        <f t="shared" si="346"/>
        <v>0</v>
      </c>
      <c r="Q749" s="290">
        <f t="shared" si="333"/>
        <v>0</v>
      </c>
      <c r="R749" s="290">
        <f t="shared" si="334"/>
        <v>0</v>
      </c>
      <c r="S749" s="290">
        <f t="shared" si="335"/>
        <v>0</v>
      </c>
      <c r="T749" s="290">
        <f t="shared" si="336"/>
        <v>0</v>
      </c>
      <c r="U749" s="291">
        <f t="shared" si="337"/>
        <v>1160.8</v>
      </c>
      <c r="V749" s="291">
        <f t="shared" si="341"/>
        <v>-1160.8</v>
      </c>
      <c r="W749" s="265">
        <f t="shared" si="338"/>
        <v>0</v>
      </c>
      <c r="X749" s="291">
        <f t="shared" si="342"/>
        <v>-1160.8</v>
      </c>
      <c r="Y749" s="170">
        <f t="shared" si="339"/>
        <v>157.44</v>
      </c>
      <c r="Z749" s="291">
        <f t="shared" si="340"/>
        <v>-157.44</v>
      </c>
      <c r="AC749" s="276">
        <f>IF(AI749=1,IF(AC748=MiscData!$F$1,EOMONTH(AC748,-11),EOMONTH(AC748,1)),AC748)</f>
        <v>41973</v>
      </c>
      <c r="AD749" s="275" t="str">
        <f t="shared" si="351"/>
        <v>20140101LGUM_278</v>
      </c>
      <c r="AE749" s="294" t="str">
        <f t="shared" si="352"/>
        <v>20140101RLS</v>
      </c>
      <c r="AF749" s="618" t="str">
        <f t="shared" si="343"/>
        <v>278</v>
      </c>
      <c r="AH749" s="265">
        <f>MiscData!$X$5</f>
        <v>20140101</v>
      </c>
      <c r="AI749" s="265">
        <f>IF(AI748+1&gt;MiscData!$AC$77,1,AI748+1)</f>
        <v>16</v>
      </c>
      <c r="AJ749" s="265" t="str">
        <f>VLOOKUP(AI749,MiscData!$AC$5:$AD$77,2,FALSE)</f>
        <v>LGUM_278</v>
      </c>
      <c r="AK749" s="265" t="str">
        <f>VLOOKUP(AJ749,MiscData!$AD$5:$AE$77,2,FALSE)</f>
        <v>RLS</v>
      </c>
      <c r="AT749" s="265" t="s">
        <v>729</v>
      </c>
      <c r="AV749" s="265">
        <v>0</v>
      </c>
    </row>
    <row r="750" spans="1:48">
      <c r="A750" s="275">
        <f t="shared" si="344"/>
        <v>747</v>
      </c>
      <c r="B750" s="276" t="str">
        <f t="shared" si="348"/>
        <v>Nov 2014</v>
      </c>
      <c r="C750" s="277" t="str">
        <f t="shared" si="349"/>
        <v>RLS</v>
      </c>
      <c r="D750" s="277" t="str">
        <f t="shared" si="350"/>
        <v>LGUM_279</v>
      </c>
      <c r="E750" s="614">
        <f t="shared" si="326"/>
        <v>11</v>
      </c>
      <c r="F750" s="615">
        <v>0</v>
      </c>
      <c r="G750" s="614">
        <f t="shared" si="327"/>
        <v>0</v>
      </c>
      <c r="H750" s="615">
        <v>0</v>
      </c>
      <c r="I750" s="283">
        <f t="shared" si="328"/>
        <v>41.43</v>
      </c>
      <c r="J750" s="283">
        <f t="shared" si="329"/>
        <v>9.8399999999999963</v>
      </c>
      <c r="K750" s="285">
        <f t="shared" si="330"/>
        <v>455.73</v>
      </c>
      <c r="L750" s="286">
        <v>0</v>
      </c>
      <c r="M750" s="286">
        <v>0</v>
      </c>
      <c r="N750" s="285">
        <f t="shared" si="345"/>
        <v>455.73</v>
      </c>
      <c r="O750" s="616">
        <f t="shared" si="347"/>
        <v>0</v>
      </c>
      <c r="P750" s="289">
        <f t="shared" si="346"/>
        <v>0</v>
      </c>
      <c r="Q750" s="290">
        <f t="shared" si="333"/>
        <v>0</v>
      </c>
      <c r="R750" s="290">
        <f t="shared" si="334"/>
        <v>0</v>
      </c>
      <c r="S750" s="290">
        <f t="shared" si="335"/>
        <v>0</v>
      </c>
      <c r="T750" s="290">
        <f t="shared" si="336"/>
        <v>0</v>
      </c>
      <c r="U750" s="291">
        <f t="shared" si="337"/>
        <v>455.73</v>
      </c>
      <c r="V750" s="291">
        <f t="shared" si="341"/>
        <v>-455.73</v>
      </c>
      <c r="W750" s="265">
        <f t="shared" si="338"/>
        <v>0</v>
      </c>
      <c r="X750" s="291">
        <f t="shared" si="342"/>
        <v>-455.73</v>
      </c>
      <c r="Y750" s="170">
        <f t="shared" si="339"/>
        <v>108.24</v>
      </c>
      <c r="Z750" s="291">
        <f t="shared" si="340"/>
        <v>-108.24</v>
      </c>
      <c r="AC750" s="276">
        <f>IF(AI750=1,IF(AC749=MiscData!$F$1,EOMONTH(AC749,-11),EOMONTH(AC749,1)),AC749)</f>
        <v>41973</v>
      </c>
      <c r="AD750" s="275" t="str">
        <f t="shared" si="351"/>
        <v>20140101LGUM_279</v>
      </c>
      <c r="AE750" s="294" t="str">
        <f t="shared" si="352"/>
        <v>20140101RLS</v>
      </c>
      <c r="AF750" s="618" t="str">
        <f t="shared" si="343"/>
        <v>279</v>
      </c>
      <c r="AH750" s="265">
        <f>MiscData!$X$5</f>
        <v>20140101</v>
      </c>
      <c r="AI750" s="265">
        <f>IF(AI749+1&gt;MiscData!$AC$77,1,AI749+1)</f>
        <v>17</v>
      </c>
      <c r="AJ750" s="265" t="str">
        <f>VLOOKUP(AI750,MiscData!$AC$5:$AD$77,2,FALSE)</f>
        <v>LGUM_279</v>
      </c>
      <c r="AK750" s="265" t="str">
        <f>VLOOKUP(AJ750,MiscData!$AD$5:$AE$77,2,FALSE)</f>
        <v>RLS</v>
      </c>
      <c r="AT750" s="265" t="s">
        <v>730</v>
      </c>
      <c r="AV750" s="265">
        <v>0</v>
      </c>
    </row>
    <row r="751" spans="1:48">
      <c r="A751" s="275">
        <f t="shared" si="344"/>
        <v>748</v>
      </c>
      <c r="B751" s="276" t="str">
        <f t="shared" si="348"/>
        <v>Nov 2014</v>
      </c>
      <c r="C751" s="277" t="str">
        <f t="shared" si="349"/>
        <v>RLS</v>
      </c>
      <c r="D751" s="277" t="str">
        <f t="shared" si="350"/>
        <v>LGUM_280</v>
      </c>
      <c r="E751" s="614">
        <f t="shared" si="326"/>
        <v>45</v>
      </c>
      <c r="F751" s="615">
        <v>0</v>
      </c>
      <c r="G751" s="614">
        <f t="shared" si="327"/>
        <v>0</v>
      </c>
      <c r="H751" s="615">
        <v>0</v>
      </c>
      <c r="I751" s="283">
        <f t="shared" si="328"/>
        <v>19.38</v>
      </c>
      <c r="J751" s="283">
        <f t="shared" si="329"/>
        <v>0.87999999999999901</v>
      </c>
      <c r="K751" s="285">
        <f t="shared" si="330"/>
        <v>872.1</v>
      </c>
      <c r="L751" s="286">
        <v>0</v>
      </c>
      <c r="M751" s="286">
        <v>0</v>
      </c>
      <c r="N751" s="285">
        <f t="shared" si="345"/>
        <v>872.1</v>
      </c>
      <c r="O751" s="616">
        <f t="shared" si="347"/>
        <v>0</v>
      </c>
      <c r="P751" s="289">
        <f t="shared" si="346"/>
        <v>0</v>
      </c>
      <c r="Q751" s="290">
        <f t="shared" si="333"/>
        <v>0</v>
      </c>
      <c r="R751" s="290">
        <f t="shared" si="334"/>
        <v>0</v>
      </c>
      <c r="S751" s="290">
        <f t="shared" si="335"/>
        <v>0</v>
      </c>
      <c r="T751" s="290">
        <f t="shared" si="336"/>
        <v>0</v>
      </c>
      <c r="U751" s="291">
        <f t="shared" si="337"/>
        <v>872.1</v>
      </c>
      <c r="V751" s="291">
        <f t="shared" si="341"/>
        <v>-872.1</v>
      </c>
      <c r="W751" s="265">
        <f t="shared" si="338"/>
        <v>0</v>
      </c>
      <c r="X751" s="291">
        <f t="shared" si="342"/>
        <v>-872.1</v>
      </c>
      <c r="Y751" s="170">
        <f t="shared" si="339"/>
        <v>39.6</v>
      </c>
      <c r="Z751" s="291">
        <f t="shared" si="340"/>
        <v>-39.6</v>
      </c>
      <c r="AC751" s="276">
        <f>IF(AI751=1,IF(AC750=MiscData!$F$1,EOMONTH(AC750,-11),EOMONTH(AC750,1)),AC750)</f>
        <v>41973</v>
      </c>
      <c r="AD751" s="275" t="str">
        <f t="shared" si="351"/>
        <v>20140101LGUM_280</v>
      </c>
      <c r="AE751" s="294" t="str">
        <f t="shared" si="352"/>
        <v>20140101RLS</v>
      </c>
      <c r="AF751" s="618" t="str">
        <f t="shared" si="343"/>
        <v>280</v>
      </c>
      <c r="AH751" s="265">
        <f>MiscData!$X$5</f>
        <v>20140101</v>
      </c>
      <c r="AI751" s="265">
        <f>IF(AI750+1&gt;MiscData!$AC$77,1,AI750+1)</f>
        <v>18</v>
      </c>
      <c r="AJ751" s="265" t="str">
        <f>VLOOKUP(AI751,MiscData!$AC$5:$AD$77,2,FALSE)</f>
        <v>LGUM_280</v>
      </c>
      <c r="AK751" s="265" t="str">
        <f>VLOOKUP(AJ751,MiscData!$AD$5:$AE$77,2,FALSE)</f>
        <v>RLS</v>
      </c>
      <c r="AT751" s="265" t="s">
        <v>378</v>
      </c>
      <c r="AV751" s="265">
        <v>0</v>
      </c>
    </row>
    <row r="752" spans="1:48">
      <c r="A752" s="275">
        <f t="shared" si="344"/>
        <v>749</v>
      </c>
      <c r="B752" s="276" t="str">
        <f t="shared" si="348"/>
        <v>Nov 2014</v>
      </c>
      <c r="C752" s="277" t="str">
        <f t="shared" si="349"/>
        <v>RLS</v>
      </c>
      <c r="D752" s="277" t="str">
        <f t="shared" si="350"/>
        <v>LGUM_281</v>
      </c>
      <c r="E752" s="614">
        <f t="shared" si="326"/>
        <v>239</v>
      </c>
      <c r="F752" s="615">
        <v>0</v>
      </c>
      <c r="G752" s="614">
        <f t="shared" si="327"/>
        <v>0</v>
      </c>
      <c r="H752" s="615">
        <v>0</v>
      </c>
      <c r="I752" s="283">
        <f t="shared" si="328"/>
        <v>20.349999999999998</v>
      </c>
      <c r="J752" s="283">
        <f t="shared" si="329"/>
        <v>1.2699999999999996</v>
      </c>
      <c r="K752" s="285">
        <f t="shared" si="330"/>
        <v>4863.6499999999996</v>
      </c>
      <c r="L752" s="286">
        <v>0</v>
      </c>
      <c r="M752" s="286">
        <v>0</v>
      </c>
      <c r="N752" s="285">
        <f t="shared" si="345"/>
        <v>4863.6499999999996</v>
      </c>
      <c r="O752" s="616">
        <f t="shared" si="347"/>
        <v>0</v>
      </c>
      <c r="P752" s="289">
        <f t="shared" si="346"/>
        <v>0</v>
      </c>
      <c r="Q752" s="290">
        <f t="shared" si="333"/>
        <v>0</v>
      </c>
      <c r="R752" s="290">
        <f t="shared" si="334"/>
        <v>0</v>
      </c>
      <c r="S752" s="290">
        <f t="shared" si="335"/>
        <v>0</v>
      </c>
      <c r="T752" s="290">
        <f t="shared" si="336"/>
        <v>0</v>
      </c>
      <c r="U752" s="291">
        <f t="shared" si="337"/>
        <v>4863.6499999999996</v>
      </c>
      <c r="V752" s="291">
        <f t="shared" si="341"/>
        <v>-4863.6499999999996</v>
      </c>
      <c r="W752" s="265">
        <f t="shared" si="338"/>
        <v>0</v>
      </c>
      <c r="X752" s="291">
        <f t="shared" si="342"/>
        <v>-4863.6499999999996</v>
      </c>
      <c r="Y752" s="170">
        <f t="shared" si="339"/>
        <v>303.52999999999997</v>
      </c>
      <c r="Z752" s="291">
        <f t="shared" si="340"/>
        <v>-303.52999999999997</v>
      </c>
      <c r="AC752" s="276">
        <f>IF(AI752=1,IF(AC751=MiscData!$F$1,EOMONTH(AC751,-11),EOMONTH(AC751,1)),AC751)</f>
        <v>41973</v>
      </c>
      <c r="AD752" s="275" t="str">
        <f t="shared" si="351"/>
        <v>20140101LGUM_281</v>
      </c>
      <c r="AE752" s="294" t="str">
        <f t="shared" si="352"/>
        <v>20140101RLS</v>
      </c>
      <c r="AF752" s="618" t="str">
        <f t="shared" si="343"/>
        <v>281</v>
      </c>
      <c r="AH752" s="265">
        <f>MiscData!$X$5</f>
        <v>20140101</v>
      </c>
      <c r="AI752" s="265">
        <f>IF(AI751+1&gt;MiscData!$AC$77,1,AI751+1)</f>
        <v>19</v>
      </c>
      <c r="AJ752" s="265" t="str">
        <f>VLOOKUP(AI752,MiscData!$AC$5:$AD$77,2,FALSE)</f>
        <v>LGUM_281</v>
      </c>
      <c r="AK752" s="265" t="str">
        <f>VLOOKUP(AJ752,MiscData!$AD$5:$AE$77,2,FALSE)</f>
        <v>RLS</v>
      </c>
      <c r="AT752" s="265" t="s">
        <v>354</v>
      </c>
      <c r="AV752" s="265">
        <v>1513.33</v>
      </c>
    </row>
    <row r="753" spans="1:48">
      <c r="A753" s="275">
        <f t="shared" si="344"/>
        <v>750</v>
      </c>
      <c r="B753" s="276" t="str">
        <f t="shared" si="348"/>
        <v>Nov 2014</v>
      </c>
      <c r="C753" s="277" t="str">
        <f t="shared" si="349"/>
        <v>RLS</v>
      </c>
      <c r="D753" s="277" t="str">
        <f t="shared" si="350"/>
        <v>LGUM_282</v>
      </c>
      <c r="E753" s="614">
        <f t="shared" si="326"/>
        <v>103</v>
      </c>
      <c r="F753" s="615">
        <v>0</v>
      </c>
      <c r="G753" s="614">
        <f t="shared" si="327"/>
        <v>0</v>
      </c>
      <c r="H753" s="615">
        <v>0</v>
      </c>
      <c r="I753" s="283">
        <f t="shared" si="328"/>
        <v>19.53</v>
      </c>
      <c r="J753" s="283">
        <f t="shared" si="329"/>
        <v>0.87999999999999901</v>
      </c>
      <c r="K753" s="285">
        <f t="shared" si="330"/>
        <v>2011.59</v>
      </c>
      <c r="L753" s="286">
        <v>0</v>
      </c>
      <c r="M753" s="286">
        <v>0</v>
      </c>
      <c r="N753" s="285">
        <f t="shared" si="345"/>
        <v>2011.59</v>
      </c>
      <c r="O753" s="616">
        <f t="shared" si="347"/>
        <v>0</v>
      </c>
      <c r="P753" s="289">
        <f t="shared" si="346"/>
        <v>0</v>
      </c>
      <c r="Q753" s="290">
        <f t="shared" si="333"/>
        <v>0</v>
      </c>
      <c r="R753" s="290">
        <f t="shared" si="334"/>
        <v>0</v>
      </c>
      <c r="S753" s="290">
        <f t="shared" si="335"/>
        <v>0</v>
      </c>
      <c r="T753" s="290">
        <f t="shared" si="336"/>
        <v>0</v>
      </c>
      <c r="U753" s="291">
        <f t="shared" si="337"/>
        <v>2011.59</v>
      </c>
      <c r="V753" s="291">
        <f t="shared" si="341"/>
        <v>-2011.59</v>
      </c>
      <c r="W753" s="265">
        <f t="shared" si="338"/>
        <v>0</v>
      </c>
      <c r="X753" s="291">
        <f t="shared" si="342"/>
        <v>-2011.59</v>
      </c>
      <c r="Y753" s="170">
        <f t="shared" si="339"/>
        <v>90.64</v>
      </c>
      <c r="Z753" s="291">
        <f t="shared" si="340"/>
        <v>-90.64</v>
      </c>
      <c r="AC753" s="276">
        <f>IF(AI753=1,IF(AC752=MiscData!$F$1,EOMONTH(AC752,-11),EOMONTH(AC752,1)),AC752)</f>
        <v>41973</v>
      </c>
      <c r="AD753" s="275" t="str">
        <f t="shared" si="351"/>
        <v>20140101LGUM_282</v>
      </c>
      <c r="AE753" s="294" t="str">
        <f t="shared" si="352"/>
        <v>20140101RLS</v>
      </c>
      <c r="AF753" s="618" t="str">
        <f t="shared" si="343"/>
        <v>282</v>
      </c>
      <c r="AH753" s="265">
        <f>MiscData!$X$5</f>
        <v>20140101</v>
      </c>
      <c r="AI753" s="265">
        <f>IF(AI752+1&gt;MiscData!$AC$77,1,AI752+1)</f>
        <v>20</v>
      </c>
      <c r="AJ753" s="265" t="str">
        <f>VLOOKUP(AI753,MiscData!$AC$5:$AD$77,2,FALSE)</f>
        <v>LGUM_282</v>
      </c>
      <c r="AK753" s="265" t="str">
        <f>VLOOKUP(AJ753,MiscData!$AD$5:$AE$77,2,FALSE)</f>
        <v>RLS</v>
      </c>
      <c r="AT753" s="265" t="s">
        <v>355</v>
      </c>
      <c r="AV753" s="265">
        <v>111.17</v>
      </c>
    </row>
    <row r="754" spans="1:48">
      <c r="A754" s="275">
        <f t="shared" si="344"/>
        <v>751</v>
      </c>
      <c r="B754" s="276" t="str">
        <f t="shared" si="348"/>
        <v>Nov 2014</v>
      </c>
      <c r="C754" s="277" t="str">
        <f t="shared" si="349"/>
        <v>RLS</v>
      </c>
      <c r="D754" s="277" t="str">
        <f t="shared" si="350"/>
        <v>LGUM_283</v>
      </c>
      <c r="E754" s="614">
        <f t="shared" si="326"/>
        <v>79</v>
      </c>
      <c r="F754" s="615">
        <v>0</v>
      </c>
      <c r="G754" s="614">
        <f t="shared" si="327"/>
        <v>0</v>
      </c>
      <c r="H754" s="615">
        <v>0</v>
      </c>
      <c r="I754" s="283">
        <f t="shared" si="328"/>
        <v>20.819999999999997</v>
      </c>
      <c r="J754" s="283">
        <f t="shared" si="329"/>
        <v>1.2699999999999996</v>
      </c>
      <c r="K754" s="285">
        <f t="shared" si="330"/>
        <v>1644.78</v>
      </c>
      <c r="L754" s="286">
        <v>0</v>
      </c>
      <c r="M754" s="286">
        <v>0</v>
      </c>
      <c r="N754" s="285">
        <f t="shared" si="345"/>
        <v>1644.78</v>
      </c>
      <c r="O754" s="616">
        <f t="shared" si="347"/>
        <v>0</v>
      </c>
      <c r="P754" s="289">
        <f t="shared" si="346"/>
        <v>0</v>
      </c>
      <c r="Q754" s="290">
        <f t="shared" si="333"/>
        <v>0</v>
      </c>
      <c r="R754" s="290">
        <f t="shared" si="334"/>
        <v>0</v>
      </c>
      <c r="S754" s="290">
        <f t="shared" si="335"/>
        <v>0</v>
      </c>
      <c r="T754" s="290">
        <f t="shared" si="336"/>
        <v>0</v>
      </c>
      <c r="U754" s="291">
        <f t="shared" si="337"/>
        <v>1644.78</v>
      </c>
      <c r="V754" s="291">
        <f t="shared" si="341"/>
        <v>-1644.78</v>
      </c>
      <c r="W754" s="265">
        <f t="shared" si="338"/>
        <v>0</v>
      </c>
      <c r="X754" s="291">
        <f t="shared" si="342"/>
        <v>-1644.78</v>
      </c>
      <c r="Y754" s="170">
        <f t="shared" si="339"/>
        <v>100.33</v>
      </c>
      <c r="Z754" s="291">
        <f t="shared" si="340"/>
        <v>-100.33</v>
      </c>
      <c r="AC754" s="276">
        <f>IF(AI754=1,IF(AC753=MiscData!$F$1,EOMONTH(AC753,-11),EOMONTH(AC753,1)),AC753)</f>
        <v>41973</v>
      </c>
      <c r="AD754" s="275" t="str">
        <f t="shared" si="351"/>
        <v>20140101LGUM_283</v>
      </c>
      <c r="AE754" s="294" t="str">
        <f t="shared" si="352"/>
        <v>20140101RLS</v>
      </c>
      <c r="AF754" s="618" t="str">
        <f t="shared" si="343"/>
        <v>283</v>
      </c>
      <c r="AH754" s="265">
        <f>MiscData!$X$5</f>
        <v>20140101</v>
      </c>
      <c r="AI754" s="265">
        <f>IF(AI753+1&gt;MiscData!$AC$77,1,AI753+1)</f>
        <v>21</v>
      </c>
      <c r="AJ754" s="265" t="str">
        <f>VLOOKUP(AI754,MiscData!$AC$5:$AD$77,2,FALSE)</f>
        <v>LGUM_283</v>
      </c>
      <c r="AK754" s="265" t="str">
        <f>VLOOKUP(AJ754,MiscData!$AD$5:$AE$77,2,FALSE)</f>
        <v>RLS</v>
      </c>
      <c r="AT754" s="265" t="s">
        <v>356</v>
      </c>
      <c r="AV754" s="265">
        <v>7.06</v>
      </c>
    </row>
    <row r="755" spans="1:48">
      <c r="A755" s="275">
        <f t="shared" si="344"/>
        <v>752</v>
      </c>
      <c r="B755" s="276" t="str">
        <f t="shared" si="348"/>
        <v>Nov 2014</v>
      </c>
      <c r="C755" s="277" t="str">
        <f t="shared" si="349"/>
        <v>RLS</v>
      </c>
      <c r="D755" s="277" t="str">
        <f t="shared" si="350"/>
        <v>LGUM_314</v>
      </c>
      <c r="E755" s="614">
        <f t="shared" si="326"/>
        <v>552</v>
      </c>
      <c r="F755" s="615">
        <v>0</v>
      </c>
      <c r="G755" s="614">
        <f t="shared" si="327"/>
        <v>0</v>
      </c>
      <c r="H755" s="615">
        <v>0</v>
      </c>
      <c r="I755" s="283">
        <f t="shared" si="328"/>
        <v>19.2</v>
      </c>
      <c r="J755" s="283">
        <f t="shared" si="329"/>
        <v>2.7100000000000009</v>
      </c>
      <c r="K755" s="285">
        <f t="shared" si="330"/>
        <v>10598.4</v>
      </c>
      <c r="L755" s="286">
        <v>0</v>
      </c>
      <c r="M755" s="286">
        <v>0</v>
      </c>
      <c r="N755" s="285">
        <f t="shared" si="345"/>
        <v>10598.4</v>
      </c>
      <c r="O755" s="616">
        <f t="shared" si="347"/>
        <v>0</v>
      </c>
      <c r="P755" s="289">
        <f t="shared" si="346"/>
        <v>0</v>
      </c>
      <c r="Q755" s="290">
        <f t="shared" si="333"/>
        <v>0</v>
      </c>
      <c r="R755" s="290">
        <f t="shared" si="334"/>
        <v>0</v>
      </c>
      <c r="S755" s="290">
        <f t="shared" si="335"/>
        <v>0</v>
      </c>
      <c r="T755" s="290">
        <f t="shared" si="336"/>
        <v>0</v>
      </c>
      <c r="U755" s="291">
        <f t="shared" si="337"/>
        <v>10598.4</v>
      </c>
      <c r="V755" s="291">
        <f t="shared" si="341"/>
        <v>-10598.4</v>
      </c>
      <c r="W755" s="265">
        <f t="shared" si="338"/>
        <v>0</v>
      </c>
      <c r="X755" s="291">
        <f t="shared" si="342"/>
        <v>-10598.4</v>
      </c>
      <c r="Y755" s="170">
        <f t="shared" si="339"/>
        <v>1495.92</v>
      </c>
      <c r="Z755" s="291">
        <f t="shared" si="340"/>
        <v>-1495.92</v>
      </c>
      <c r="AC755" s="276">
        <f>IF(AI755=1,IF(AC754=MiscData!$F$1,EOMONTH(AC754,-11),EOMONTH(AC754,1)),AC754)</f>
        <v>41973</v>
      </c>
      <c r="AD755" s="275" t="str">
        <f t="shared" si="351"/>
        <v>20140101LGUM_314</v>
      </c>
      <c r="AE755" s="294" t="str">
        <f t="shared" si="352"/>
        <v>20140101RLS</v>
      </c>
      <c r="AF755" s="618" t="str">
        <f t="shared" si="343"/>
        <v>314</v>
      </c>
      <c r="AH755" s="265">
        <f>MiscData!$X$5</f>
        <v>20140101</v>
      </c>
      <c r="AI755" s="265">
        <f>IF(AI754+1&gt;MiscData!$AC$77,1,AI754+1)</f>
        <v>22</v>
      </c>
      <c r="AJ755" s="265" t="str">
        <f>VLOOKUP(AI755,MiscData!$AC$5:$AD$77,2,FALSE)</f>
        <v>LGUM_314</v>
      </c>
      <c r="AK755" s="265" t="str">
        <f>VLOOKUP(AJ755,MiscData!$AD$5:$AE$77,2,FALSE)</f>
        <v>RLS</v>
      </c>
      <c r="AT755" s="265" t="s">
        <v>357</v>
      </c>
      <c r="AV755" s="265">
        <v>13.11</v>
      </c>
    </row>
    <row r="756" spans="1:48">
      <c r="A756" s="275">
        <f t="shared" si="344"/>
        <v>753</v>
      </c>
      <c r="B756" s="276" t="str">
        <f t="shared" si="348"/>
        <v>Nov 2014</v>
      </c>
      <c r="C756" s="277" t="str">
        <f t="shared" si="349"/>
        <v>RLS</v>
      </c>
      <c r="D756" s="277" t="str">
        <f t="shared" si="350"/>
        <v>LGUM_315</v>
      </c>
      <c r="E756" s="614">
        <f t="shared" si="326"/>
        <v>529</v>
      </c>
      <c r="F756" s="615">
        <v>0</v>
      </c>
      <c r="G756" s="614">
        <f t="shared" si="327"/>
        <v>0</v>
      </c>
      <c r="H756" s="615">
        <v>0</v>
      </c>
      <c r="I756" s="283">
        <f t="shared" si="328"/>
        <v>22.949999999999996</v>
      </c>
      <c r="J756" s="283">
        <f t="shared" si="329"/>
        <v>4.1999999999999993</v>
      </c>
      <c r="K756" s="285">
        <f t="shared" si="330"/>
        <v>12140.55</v>
      </c>
      <c r="L756" s="286">
        <v>0</v>
      </c>
      <c r="M756" s="286">
        <v>0</v>
      </c>
      <c r="N756" s="285">
        <f t="shared" si="345"/>
        <v>12140.55</v>
      </c>
      <c r="O756" s="616">
        <f t="shared" si="347"/>
        <v>0</v>
      </c>
      <c r="P756" s="289">
        <f t="shared" si="346"/>
        <v>0</v>
      </c>
      <c r="Q756" s="290">
        <f t="shared" si="333"/>
        <v>0</v>
      </c>
      <c r="R756" s="290">
        <f t="shared" si="334"/>
        <v>0</v>
      </c>
      <c r="S756" s="290">
        <f t="shared" si="335"/>
        <v>0</v>
      </c>
      <c r="T756" s="290">
        <f t="shared" si="336"/>
        <v>0</v>
      </c>
      <c r="U756" s="291">
        <f t="shared" si="337"/>
        <v>12140.55</v>
      </c>
      <c r="V756" s="291">
        <f t="shared" si="341"/>
        <v>-12140.55</v>
      </c>
      <c r="W756" s="265">
        <f t="shared" si="338"/>
        <v>0</v>
      </c>
      <c r="X756" s="291">
        <f t="shared" si="342"/>
        <v>-12140.55</v>
      </c>
      <c r="Y756" s="170">
        <f t="shared" si="339"/>
        <v>2221.8000000000002</v>
      </c>
      <c r="Z756" s="291">
        <f t="shared" si="340"/>
        <v>-2221.8000000000002</v>
      </c>
      <c r="AC756" s="276">
        <f>IF(AI756=1,IF(AC755=MiscData!$F$1,EOMONTH(AC755,-11),EOMONTH(AC755,1)),AC755)</f>
        <v>41973</v>
      </c>
      <c r="AD756" s="275" t="str">
        <f t="shared" si="351"/>
        <v>20140101LGUM_315</v>
      </c>
      <c r="AE756" s="294" t="str">
        <f t="shared" si="352"/>
        <v>20140101RLS</v>
      </c>
      <c r="AF756" s="618" t="str">
        <f t="shared" si="343"/>
        <v>315</v>
      </c>
      <c r="AH756" s="265">
        <f>MiscData!$X$5</f>
        <v>20140101</v>
      </c>
      <c r="AI756" s="265">
        <f>IF(AI755+1&gt;MiscData!$AC$77,1,AI755+1)</f>
        <v>23</v>
      </c>
      <c r="AJ756" s="265" t="str">
        <f>VLOOKUP(AI756,MiscData!$AC$5:$AD$77,2,FALSE)</f>
        <v>LGUM_315</v>
      </c>
      <c r="AK756" s="265" t="str">
        <f>VLOOKUP(AJ756,MiscData!$AD$5:$AE$77,2,FALSE)</f>
        <v>RLS</v>
      </c>
      <c r="AT756" s="265" t="s">
        <v>358</v>
      </c>
      <c r="AV756" s="265">
        <v>-34.6</v>
      </c>
    </row>
    <row r="757" spans="1:48">
      <c r="A757" s="275">
        <f t="shared" si="344"/>
        <v>754</v>
      </c>
      <c r="B757" s="276" t="str">
        <f t="shared" si="348"/>
        <v>Nov 2014</v>
      </c>
      <c r="C757" s="277" t="str">
        <f t="shared" si="349"/>
        <v>RLS</v>
      </c>
      <c r="D757" s="277" t="str">
        <f t="shared" si="350"/>
        <v>LGUM_318</v>
      </c>
      <c r="E757" s="614">
        <f t="shared" si="326"/>
        <v>54</v>
      </c>
      <c r="F757" s="615">
        <v>0</v>
      </c>
      <c r="G757" s="614">
        <f t="shared" si="327"/>
        <v>0</v>
      </c>
      <c r="H757" s="615">
        <v>0</v>
      </c>
      <c r="I757" s="283">
        <f t="shared" si="328"/>
        <v>17.419999999999998</v>
      </c>
      <c r="J757" s="283">
        <f t="shared" si="329"/>
        <v>1.9100000000000001</v>
      </c>
      <c r="K757" s="285">
        <f t="shared" si="330"/>
        <v>940.68</v>
      </c>
      <c r="L757" s="286">
        <v>0</v>
      </c>
      <c r="M757" s="286">
        <v>0</v>
      </c>
      <c r="N757" s="285">
        <f t="shared" si="345"/>
        <v>940.68</v>
      </c>
      <c r="O757" s="616">
        <f t="shared" si="347"/>
        <v>0</v>
      </c>
      <c r="P757" s="289">
        <f t="shared" si="346"/>
        <v>0</v>
      </c>
      <c r="Q757" s="290">
        <f t="shared" si="333"/>
        <v>0</v>
      </c>
      <c r="R757" s="290">
        <f t="shared" si="334"/>
        <v>0</v>
      </c>
      <c r="S757" s="290">
        <f t="shared" si="335"/>
        <v>0</v>
      </c>
      <c r="T757" s="290">
        <f t="shared" si="336"/>
        <v>0</v>
      </c>
      <c r="U757" s="291">
        <f t="shared" si="337"/>
        <v>940.68</v>
      </c>
      <c r="V757" s="291">
        <f t="shared" si="341"/>
        <v>-940.68</v>
      </c>
      <c r="W757" s="265">
        <f t="shared" si="338"/>
        <v>0</v>
      </c>
      <c r="X757" s="291">
        <f t="shared" si="342"/>
        <v>-940.68</v>
      </c>
      <c r="Y757" s="170">
        <f t="shared" si="339"/>
        <v>103.14</v>
      </c>
      <c r="Z757" s="291">
        <f t="shared" si="340"/>
        <v>-103.14</v>
      </c>
      <c r="AC757" s="276">
        <f>IF(AI757=1,IF(AC756=MiscData!$F$1,EOMONTH(AC756,-11),EOMONTH(AC756,1)),AC756)</f>
        <v>41973</v>
      </c>
      <c r="AD757" s="275" t="str">
        <f t="shared" si="351"/>
        <v>20140101LGUM_318</v>
      </c>
      <c r="AE757" s="294" t="str">
        <f t="shared" si="352"/>
        <v>20140101RLS</v>
      </c>
      <c r="AF757" s="618" t="str">
        <f t="shared" si="343"/>
        <v>318</v>
      </c>
      <c r="AH757" s="265">
        <f>MiscData!$X$5</f>
        <v>20140101</v>
      </c>
      <c r="AI757" s="265">
        <f>IF(AI756+1&gt;MiscData!$AC$77,1,AI756+1)</f>
        <v>24</v>
      </c>
      <c r="AJ757" s="265" t="str">
        <f>VLOOKUP(AI757,MiscData!$AC$5:$AD$77,2,FALSE)</f>
        <v>LGUM_318</v>
      </c>
      <c r="AK757" s="265" t="str">
        <f>VLOOKUP(AJ757,MiscData!$AD$5:$AE$77,2,FALSE)</f>
        <v>RLS</v>
      </c>
      <c r="AT757" s="265" t="s">
        <v>359</v>
      </c>
      <c r="AV757" s="265">
        <v>19.899999999999999</v>
      </c>
    </row>
    <row r="758" spans="1:48">
      <c r="A758" s="275">
        <f t="shared" si="344"/>
        <v>755</v>
      </c>
      <c r="B758" s="276" t="str">
        <f t="shared" si="348"/>
        <v>Nov 2014</v>
      </c>
      <c r="C758" s="277" t="str">
        <f t="shared" si="349"/>
        <v>RLS</v>
      </c>
      <c r="D758" s="277" t="str">
        <f t="shared" si="350"/>
        <v>LGUM_347</v>
      </c>
      <c r="E758" s="614">
        <f t="shared" si="326"/>
        <v>0</v>
      </c>
      <c r="F758" s="615">
        <v>0</v>
      </c>
      <c r="G758" s="614">
        <f t="shared" si="327"/>
        <v>0</v>
      </c>
      <c r="H758" s="615">
        <v>0</v>
      </c>
      <c r="I758" s="283">
        <f t="shared" si="328"/>
        <v>22.939999999999998</v>
      </c>
      <c r="J758" s="283">
        <f t="shared" si="329"/>
        <v>26.14</v>
      </c>
      <c r="K758" s="285">
        <f t="shared" si="330"/>
        <v>0</v>
      </c>
      <c r="L758" s="286">
        <v>0</v>
      </c>
      <c r="M758" s="286">
        <v>0</v>
      </c>
      <c r="N758" s="285">
        <f t="shared" si="345"/>
        <v>0</v>
      </c>
      <c r="O758" s="616">
        <f t="shared" si="347"/>
        <v>0</v>
      </c>
      <c r="P758" s="289">
        <f t="shared" si="346"/>
        <v>1</v>
      </c>
      <c r="Q758" s="290">
        <f t="shared" si="333"/>
        <v>0</v>
      </c>
      <c r="R758" s="290">
        <f t="shared" si="334"/>
        <v>0</v>
      </c>
      <c r="S758" s="290">
        <f t="shared" si="335"/>
        <v>0</v>
      </c>
      <c r="T758" s="290">
        <f t="shared" si="336"/>
        <v>0</v>
      </c>
      <c r="U758" s="291">
        <f t="shared" si="337"/>
        <v>0</v>
      </c>
      <c r="V758" s="291">
        <f t="shared" si="341"/>
        <v>0</v>
      </c>
      <c r="W758" s="265">
        <f t="shared" si="338"/>
        <v>0</v>
      </c>
      <c r="X758" s="291">
        <f t="shared" si="342"/>
        <v>0</v>
      </c>
      <c r="Y758" s="170">
        <f t="shared" si="339"/>
        <v>0</v>
      </c>
      <c r="Z758" s="291">
        <f t="shared" si="340"/>
        <v>0</v>
      </c>
      <c r="AC758" s="276">
        <f>IF(AI758=1,IF(AC757=MiscData!$F$1,EOMONTH(AC757,-11),EOMONTH(AC757,1)),AC757)</f>
        <v>41973</v>
      </c>
      <c r="AD758" s="275" t="str">
        <f t="shared" si="351"/>
        <v>20140101LGUM_347</v>
      </c>
      <c r="AE758" s="294" t="str">
        <f t="shared" si="352"/>
        <v>20140101RLS</v>
      </c>
      <c r="AF758" s="618" t="str">
        <f t="shared" si="343"/>
        <v>347</v>
      </c>
      <c r="AH758" s="265">
        <f>MiscData!$X$5</f>
        <v>20140101</v>
      </c>
      <c r="AI758" s="265">
        <f>IF(AI757+1&gt;MiscData!$AC$77,1,AI757+1)</f>
        <v>25</v>
      </c>
      <c r="AJ758" s="265" t="str">
        <f>VLOOKUP(AI758,MiscData!$AC$5:$AD$77,2,FALSE)</f>
        <v>LGUM_347</v>
      </c>
      <c r="AK758" s="265" t="str">
        <f>VLOOKUP(AJ758,MiscData!$AD$5:$AE$77,2,FALSE)</f>
        <v>RLS</v>
      </c>
      <c r="AT758" s="265" t="s">
        <v>360</v>
      </c>
      <c r="AV758" s="265">
        <v>0</v>
      </c>
    </row>
    <row r="759" spans="1:48">
      <c r="A759" s="275">
        <f t="shared" si="344"/>
        <v>756</v>
      </c>
      <c r="B759" s="276" t="str">
        <f t="shared" si="348"/>
        <v>Nov 2014</v>
      </c>
      <c r="C759" s="277" t="str">
        <f t="shared" si="349"/>
        <v>RLS</v>
      </c>
      <c r="D759" s="277" t="str">
        <f t="shared" si="350"/>
        <v>LGUM_348</v>
      </c>
      <c r="E759" s="614">
        <f t="shared" si="326"/>
        <v>39</v>
      </c>
      <c r="F759" s="615">
        <v>0</v>
      </c>
      <c r="G759" s="614">
        <f t="shared" si="327"/>
        <v>0</v>
      </c>
      <c r="H759" s="615">
        <v>0</v>
      </c>
      <c r="I759" s="283">
        <f t="shared" si="328"/>
        <v>13.12</v>
      </c>
      <c r="J759" s="283">
        <f t="shared" si="329"/>
        <v>2.9800000000000004</v>
      </c>
      <c r="K759" s="285">
        <f t="shared" si="330"/>
        <v>511.68</v>
      </c>
      <c r="L759" s="286">
        <v>0</v>
      </c>
      <c r="M759" s="286">
        <v>0</v>
      </c>
      <c r="N759" s="285">
        <f t="shared" si="345"/>
        <v>511.68</v>
      </c>
      <c r="O759" s="616">
        <f t="shared" si="347"/>
        <v>0</v>
      </c>
      <c r="P759" s="289">
        <f t="shared" si="346"/>
        <v>0</v>
      </c>
      <c r="Q759" s="290">
        <f t="shared" si="333"/>
        <v>0</v>
      </c>
      <c r="R759" s="290">
        <f t="shared" si="334"/>
        <v>0</v>
      </c>
      <c r="S759" s="290">
        <f t="shared" si="335"/>
        <v>0</v>
      </c>
      <c r="T759" s="290">
        <f t="shared" si="336"/>
        <v>0</v>
      </c>
      <c r="U759" s="291">
        <f t="shared" si="337"/>
        <v>511.68</v>
      </c>
      <c r="V759" s="291">
        <f t="shared" si="341"/>
        <v>-511.68</v>
      </c>
      <c r="W759" s="265">
        <f t="shared" si="338"/>
        <v>0</v>
      </c>
      <c r="X759" s="291">
        <f t="shared" si="342"/>
        <v>-511.68</v>
      </c>
      <c r="Y759" s="170">
        <f t="shared" si="339"/>
        <v>116.22</v>
      </c>
      <c r="Z759" s="291">
        <f t="shared" si="340"/>
        <v>-116.22</v>
      </c>
      <c r="AC759" s="276">
        <f>IF(AI759=1,IF(AC758=MiscData!$F$1,EOMONTH(AC758,-11),EOMONTH(AC758,1)),AC758)</f>
        <v>41973</v>
      </c>
      <c r="AD759" s="275" t="str">
        <f t="shared" si="351"/>
        <v>20140101LGUM_348</v>
      </c>
      <c r="AE759" s="294" t="str">
        <f t="shared" si="352"/>
        <v>20140101RLS</v>
      </c>
      <c r="AF759" s="618" t="str">
        <f t="shared" si="343"/>
        <v>348</v>
      </c>
      <c r="AH759" s="265">
        <f>MiscData!$X$5</f>
        <v>20140101</v>
      </c>
      <c r="AI759" s="265">
        <f>IF(AI758+1&gt;MiscData!$AC$77,1,AI758+1)</f>
        <v>26</v>
      </c>
      <c r="AJ759" s="265" t="str">
        <f>VLOOKUP(AI759,MiscData!$AC$5:$AD$77,2,FALSE)</f>
        <v>LGUM_348</v>
      </c>
      <c r="AK759" s="265" t="str">
        <f>VLOOKUP(AJ759,MiscData!$AD$5:$AE$77,2,FALSE)</f>
        <v>RLS</v>
      </c>
      <c r="AT759" s="265" t="s">
        <v>361</v>
      </c>
      <c r="AV759" s="265">
        <v>0</v>
      </c>
    </row>
    <row r="760" spans="1:48">
      <c r="A760" s="275">
        <f t="shared" si="344"/>
        <v>757</v>
      </c>
      <c r="B760" s="276" t="str">
        <f t="shared" si="348"/>
        <v>Nov 2014</v>
      </c>
      <c r="C760" s="277" t="str">
        <f t="shared" si="349"/>
        <v>RLS</v>
      </c>
      <c r="D760" s="277" t="str">
        <f t="shared" si="350"/>
        <v>LGUM_349</v>
      </c>
      <c r="E760" s="614">
        <f t="shared" si="326"/>
        <v>16</v>
      </c>
      <c r="F760" s="615">
        <v>0</v>
      </c>
      <c r="G760" s="614">
        <f t="shared" si="327"/>
        <v>0</v>
      </c>
      <c r="H760" s="615">
        <v>0</v>
      </c>
      <c r="I760" s="283">
        <f t="shared" si="328"/>
        <v>9.0200000000000014</v>
      </c>
      <c r="J760" s="283">
        <f t="shared" si="329"/>
        <v>0.91000000000000014</v>
      </c>
      <c r="K760" s="285">
        <f t="shared" si="330"/>
        <v>144.32</v>
      </c>
      <c r="L760" s="286">
        <v>0</v>
      </c>
      <c r="M760" s="286">
        <v>0</v>
      </c>
      <c r="N760" s="285">
        <f t="shared" si="345"/>
        <v>144.32</v>
      </c>
      <c r="O760" s="616">
        <f t="shared" si="347"/>
        <v>0</v>
      </c>
      <c r="P760" s="289">
        <f t="shared" si="346"/>
        <v>0</v>
      </c>
      <c r="Q760" s="290">
        <f t="shared" si="333"/>
        <v>0</v>
      </c>
      <c r="R760" s="290">
        <f t="shared" si="334"/>
        <v>0</v>
      </c>
      <c r="S760" s="290">
        <f t="shared" si="335"/>
        <v>0</v>
      </c>
      <c r="T760" s="290">
        <f t="shared" si="336"/>
        <v>0</v>
      </c>
      <c r="U760" s="291">
        <f t="shared" si="337"/>
        <v>144.32</v>
      </c>
      <c r="V760" s="291">
        <f t="shared" si="341"/>
        <v>-144.32</v>
      </c>
      <c r="W760" s="265">
        <f t="shared" si="338"/>
        <v>0</v>
      </c>
      <c r="X760" s="291">
        <f t="shared" si="342"/>
        <v>-144.32</v>
      </c>
      <c r="Y760" s="170">
        <f t="shared" si="339"/>
        <v>14.56</v>
      </c>
      <c r="Z760" s="291">
        <f t="shared" si="340"/>
        <v>-14.56</v>
      </c>
      <c r="AC760" s="276">
        <f>IF(AI760=1,IF(AC759=MiscData!$F$1,EOMONTH(AC759,-11),EOMONTH(AC759,1)),AC759)</f>
        <v>41973</v>
      </c>
      <c r="AD760" s="275" t="str">
        <f t="shared" si="351"/>
        <v>20140101LGUM_349</v>
      </c>
      <c r="AE760" s="294" t="str">
        <f t="shared" si="352"/>
        <v>20140101RLS</v>
      </c>
      <c r="AF760" s="618" t="str">
        <f t="shared" si="343"/>
        <v>349</v>
      </c>
      <c r="AH760" s="265">
        <f>MiscData!$X$5</f>
        <v>20140101</v>
      </c>
      <c r="AI760" s="265">
        <f>IF(AI759+1&gt;MiscData!$AC$77,1,AI759+1)</f>
        <v>27</v>
      </c>
      <c r="AJ760" s="265" t="str">
        <f>VLOOKUP(AI760,MiscData!$AC$5:$AD$77,2,FALSE)</f>
        <v>LGUM_349</v>
      </c>
      <c r="AK760" s="265" t="str">
        <f>VLOOKUP(AJ760,MiscData!$AD$5:$AE$77,2,FALSE)</f>
        <v>RLS</v>
      </c>
      <c r="AT760" s="265" t="s">
        <v>362</v>
      </c>
      <c r="AV760" s="265">
        <v>0</v>
      </c>
    </row>
    <row r="761" spans="1:48">
      <c r="A761" s="275">
        <f t="shared" si="344"/>
        <v>758</v>
      </c>
      <c r="B761" s="276" t="str">
        <f t="shared" si="348"/>
        <v>Nov 2014</v>
      </c>
      <c r="C761" s="277" t="str">
        <f t="shared" si="349"/>
        <v xml:space="preserve">LS </v>
      </c>
      <c r="D761" s="277" t="str">
        <f t="shared" si="350"/>
        <v>LGUM_400</v>
      </c>
      <c r="E761" s="614">
        <f t="shared" si="326"/>
        <v>32</v>
      </c>
      <c r="F761" s="615">
        <v>0</v>
      </c>
      <c r="G761" s="614">
        <f t="shared" si="327"/>
        <v>0</v>
      </c>
      <c r="H761" s="615">
        <v>0</v>
      </c>
      <c r="I761" s="283">
        <f t="shared" si="328"/>
        <v>23.89</v>
      </c>
      <c r="J761" s="283">
        <f t="shared" si="329"/>
        <v>1.0199999999999996</v>
      </c>
      <c r="K761" s="285">
        <f t="shared" si="330"/>
        <v>764.48</v>
      </c>
      <c r="L761" s="286">
        <v>0</v>
      </c>
      <c r="M761" s="286">
        <v>0</v>
      </c>
      <c r="N761" s="285">
        <f t="shared" si="345"/>
        <v>764.48</v>
      </c>
      <c r="O761" s="616">
        <f t="shared" si="347"/>
        <v>0</v>
      </c>
      <c r="P761" s="289">
        <f t="shared" si="346"/>
        <v>0</v>
      </c>
      <c r="Q761" s="290">
        <f t="shared" si="333"/>
        <v>0</v>
      </c>
      <c r="R761" s="290">
        <f t="shared" si="334"/>
        <v>0</v>
      </c>
      <c r="S761" s="290">
        <f t="shared" si="335"/>
        <v>0</v>
      </c>
      <c r="T761" s="290">
        <f t="shared" si="336"/>
        <v>0</v>
      </c>
      <c r="U761" s="291">
        <f t="shared" si="337"/>
        <v>764.48</v>
      </c>
      <c r="V761" s="291">
        <f t="shared" si="341"/>
        <v>-764.48</v>
      </c>
      <c r="W761" s="265">
        <f t="shared" si="338"/>
        <v>0</v>
      </c>
      <c r="X761" s="291">
        <f t="shared" si="342"/>
        <v>-764.48</v>
      </c>
      <c r="Y761" s="170">
        <f t="shared" si="339"/>
        <v>32.64</v>
      </c>
      <c r="Z761" s="291">
        <f t="shared" si="340"/>
        <v>-32.64</v>
      </c>
      <c r="AC761" s="276">
        <f>IF(AI761=1,IF(AC760=MiscData!$F$1,EOMONTH(AC760,-11),EOMONTH(AC760,1)),AC760)</f>
        <v>41973</v>
      </c>
      <c r="AD761" s="275" t="str">
        <f t="shared" si="351"/>
        <v>20140101LGUM_400</v>
      </c>
      <c r="AE761" s="294" t="str">
        <f t="shared" si="352"/>
        <v xml:space="preserve">20140101LS </v>
      </c>
      <c r="AF761" s="618" t="str">
        <f t="shared" si="343"/>
        <v>400</v>
      </c>
      <c r="AH761" s="265">
        <f>MiscData!$X$5</f>
        <v>20140101</v>
      </c>
      <c r="AI761" s="265">
        <f>IF(AI760+1&gt;MiscData!$AC$77,1,AI760+1)</f>
        <v>28</v>
      </c>
      <c r="AJ761" s="265" t="str">
        <f>VLOOKUP(AI761,MiscData!$AC$5:$AD$77,2,FALSE)</f>
        <v>LGUM_400</v>
      </c>
      <c r="AK761" s="265" t="str">
        <f>VLOOKUP(AJ761,MiscData!$AD$5:$AE$77,2,FALSE)</f>
        <v xml:space="preserve">LS </v>
      </c>
      <c r="AT761" s="265" t="s">
        <v>363</v>
      </c>
      <c r="AV761" s="265">
        <v>0</v>
      </c>
    </row>
    <row r="762" spans="1:48">
      <c r="A762" s="275">
        <f t="shared" si="344"/>
        <v>759</v>
      </c>
      <c r="B762" s="276" t="str">
        <f t="shared" si="348"/>
        <v>Nov 2014</v>
      </c>
      <c r="C762" s="277" t="str">
        <f t="shared" si="349"/>
        <v xml:space="preserve">LS </v>
      </c>
      <c r="D762" s="277" t="str">
        <f t="shared" si="350"/>
        <v>LGUM_401</v>
      </c>
      <c r="E762" s="614">
        <f t="shared" si="326"/>
        <v>4</v>
      </c>
      <c r="F762" s="615">
        <v>0</v>
      </c>
      <c r="G762" s="614">
        <f t="shared" si="327"/>
        <v>0</v>
      </c>
      <c r="H762" s="615">
        <v>0</v>
      </c>
      <c r="I762" s="283">
        <f t="shared" si="328"/>
        <v>24.9</v>
      </c>
      <c r="J762" s="283">
        <f t="shared" si="329"/>
        <v>1.0599999999999987</v>
      </c>
      <c r="K762" s="285">
        <f t="shared" si="330"/>
        <v>99.6</v>
      </c>
      <c r="L762" s="286">
        <v>0</v>
      </c>
      <c r="M762" s="286">
        <v>0</v>
      </c>
      <c r="N762" s="285">
        <f t="shared" si="345"/>
        <v>99.6</v>
      </c>
      <c r="O762" s="616">
        <f t="shared" si="347"/>
        <v>0</v>
      </c>
      <c r="P762" s="289">
        <f t="shared" si="346"/>
        <v>0</v>
      </c>
      <c r="Q762" s="290">
        <f t="shared" si="333"/>
        <v>0</v>
      </c>
      <c r="R762" s="290">
        <f t="shared" si="334"/>
        <v>0</v>
      </c>
      <c r="S762" s="290">
        <f t="shared" si="335"/>
        <v>0</v>
      </c>
      <c r="T762" s="290">
        <f t="shared" si="336"/>
        <v>0</v>
      </c>
      <c r="U762" s="291">
        <f t="shared" si="337"/>
        <v>99.6</v>
      </c>
      <c r="V762" s="291">
        <f t="shared" si="341"/>
        <v>-99.6</v>
      </c>
      <c r="W762" s="265">
        <f t="shared" si="338"/>
        <v>0</v>
      </c>
      <c r="X762" s="291">
        <f t="shared" si="342"/>
        <v>-99.6</v>
      </c>
      <c r="Y762" s="170">
        <f t="shared" si="339"/>
        <v>4.24</v>
      </c>
      <c r="Z762" s="291">
        <f t="shared" si="340"/>
        <v>-4.24</v>
      </c>
      <c r="AC762" s="276">
        <f>IF(AI762=1,IF(AC761=MiscData!$F$1,EOMONTH(AC761,-11),EOMONTH(AC761,1)),AC761)</f>
        <v>41973</v>
      </c>
      <c r="AD762" s="275" t="str">
        <f t="shared" si="351"/>
        <v>20140101LGUM_401</v>
      </c>
      <c r="AE762" s="294" t="str">
        <f t="shared" si="352"/>
        <v xml:space="preserve">20140101LS </v>
      </c>
      <c r="AF762" s="618" t="str">
        <f t="shared" si="343"/>
        <v>401</v>
      </c>
      <c r="AH762" s="265">
        <f>MiscData!$X$5</f>
        <v>20140101</v>
      </c>
      <c r="AI762" s="265">
        <f>IF(AI761+1&gt;MiscData!$AC$77,1,AI761+1)</f>
        <v>29</v>
      </c>
      <c r="AJ762" s="265" t="str">
        <f>VLOOKUP(AI762,MiscData!$AC$5:$AD$77,2,FALSE)</f>
        <v>LGUM_401</v>
      </c>
      <c r="AK762" s="265" t="str">
        <f>VLOOKUP(AJ762,MiscData!$AD$5:$AE$77,2,FALSE)</f>
        <v xml:space="preserve">LS </v>
      </c>
      <c r="AT762" s="265" t="s">
        <v>364</v>
      </c>
      <c r="AV762" s="265">
        <v>0</v>
      </c>
    </row>
    <row r="763" spans="1:48">
      <c r="A763" s="275">
        <f t="shared" si="344"/>
        <v>760</v>
      </c>
      <c r="B763" s="276" t="str">
        <f t="shared" si="348"/>
        <v>Nov 2014</v>
      </c>
      <c r="C763" s="277" t="str">
        <f t="shared" si="349"/>
        <v xml:space="preserve">LS </v>
      </c>
      <c r="D763" s="277" t="str">
        <f t="shared" si="350"/>
        <v>LGUM_412</v>
      </c>
      <c r="E763" s="614">
        <f t="shared" si="326"/>
        <v>220</v>
      </c>
      <c r="F763" s="615">
        <v>0</v>
      </c>
      <c r="G763" s="614">
        <f t="shared" si="327"/>
        <v>0</v>
      </c>
      <c r="H763" s="615">
        <v>0</v>
      </c>
      <c r="I763" s="283">
        <f t="shared" si="328"/>
        <v>19.79</v>
      </c>
      <c r="J763" s="283">
        <f t="shared" si="329"/>
        <v>0.74999999999999645</v>
      </c>
      <c r="K763" s="285">
        <f t="shared" si="330"/>
        <v>4353.8</v>
      </c>
      <c r="L763" s="286">
        <v>0</v>
      </c>
      <c r="M763" s="286">
        <v>0</v>
      </c>
      <c r="N763" s="285">
        <f t="shared" si="345"/>
        <v>4353.8</v>
      </c>
      <c r="O763" s="616">
        <f t="shared" si="347"/>
        <v>0</v>
      </c>
      <c r="P763" s="289">
        <f t="shared" si="346"/>
        <v>0</v>
      </c>
      <c r="Q763" s="290">
        <f t="shared" si="333"/>
        <v>0</v>
      </c>
      <c r="R763" s="290">
        <f t="shared" si="334"/>
        <v>0</v>
      </c>
      <c r="S763" s="290">
        <f t="shared" si="335"/>
        <v>0</v>
      </c>
      <c r="T763" s="290">
        <f t="shared" si="336"/>
        <v>0</v>
      </c>
      <c r="U763" s="291">
        <f t="shared" si="337"/>
        <v>4353.8</v>
      </c>
      <c r="V763" s="291">
        <f t="shared" si="341"/>
        <v>-4353.8</v>
      </c>
      <c r="W763" s="265">
        <f t="shared" si="338"/>
        <v>0</v>
      </c>
      <c r="X763" s="291">
        <f t="shared" si="342"/>
        <v>-4353.8</v>
      </c>
      <c r="Y763" s="170">
        <f t="shared" si="339"/>
        <v>165</v>
      </c>
      <c r="Z763" s="291">
        <f t="shared" si="340"/>
        <v>-165</v>
      </c>
      <c r="AC763" s="276">
        <f>IF(AI763=1,IF(AC762=MiscData!$F$1,EOMONTH(AC762,-11),EOMONTH(AC762,1)),AC762)</f>
        <v>41973</v>
      </c>
      <c r="AD763" s="275" t="str">
        <f t="shared" si="351"/>
        <v>20140101LGUM_412</v>
      </c>
      <c r="AE763" s="294" t="str">
        <f t="shared" si="352"/>
        <v xml:space="preserve">20140101LS </v>
      </c>
      <c r="AF763" s="618" t="str">
        <f t="shared" si="343"/>
        <v>412</v>
      </c>
      <c r="AH763" s="265">
        <f>MiscData!$X$5</f>
        <v>20140101</v>
      </c>
      <c r="AI763" s="265">
        <f>IF(AI762+1&gt;MiscData!$AC$77,1,AI762+1)</f>
        <v>30</v>
      </c>
      <c r="AJ763" s="265" t="str">
        <f>VLOOKUP(AI763,MiscData!$AC$5:$AD$77,2,FALSE)</f>
        <v>LGUM_412</v>
      </c>
      <c r="AK763" s="265" t="str">
        <f>VLOOKUP(AJ763,MiscData!$AD$5:$AE$77,2,FALSE)</f>
        <v xml:space="preserve">LS </v>
      </c>
      <c r="AT763" s="265" t="s">
        <v>365</v>
      </c>
      <c r="AV763" s="265">
        <v>0</v>
      </c>
    </row>
    <row r="764" spans="1:48">
      <c r="A764" s="275">
        <f t="shared" si="344"/>
        <v>761</v>
      </c>
      <c r="B764" s="276" t="str">
        <f t="shared" si="348"/>
        <v>Nov 2014</v>
      </c>
      <c r="C764" s="277" t="str">
        <f t="shared" si="349"/>
        <v xml:space="preserve">LS </v>
      </c>
      <c r="D764" s="277" t="str">
        <f t="shared" si="350"/>
        <v>LGUM_413</v>
      </c>
      <c r="E764" s="614">
        <f t="shared" si="326"/>
        <v>2034</v>
      </c>
      <c r="F764" s="615">
        <v>0</v>
      </c>
      <c r="G764" s="614">
        <f t="shared" si="327"/>
        <v>0</v>
      </c>
      <c r="H764" s="615">
        <v>0</v>
      </c>
      <c r="I764" s="283">
        <f t="shared" si="328"/>
        <v>20.49</v>
      </c>
      <c r="J764" s="283">
        <f t="shared" si="329"/>
        <v>1.0599999999999987</v>
      </c>
      <c r="K764" s="285">
        <f t="shared" si="330"/>
        <v>41676.660000000003</v>
      </c>
      <c r="L764" s="286">
        <v>0</v>
      </c>
      <c r="M764" s="286">
        <v>0</v>
      </c>
      <c r="N764" s="285">
        <f t="shared" si="345"/>
        <v>41676.660000000003</v>
      </c>
      <c r="O764" s="616">
        <f t="shared" si="347"/>
        <v>0</v>
      </c>
      <c r="P764" s="289">
        <f t="shared" si="346"/>
        <v>0</v>
      </c>
      <c r="Q764" s="290">
        <f t="shared" si="333"/>
        <v>0</v>
      </c>
      <c r="R764" s="290">
        <f t="shared" si="334"/>
        <v>0</v>
      </c>
      <c r="S764" s="290">
        <f t="shared" si="335"/>
        <v>0</v>
      </c>
      <c r="T764" s="290">
        <f t="shared" si="336"/>
        <v>0</v>
      </c>
      <c r="U764" s="291">
        <f t="shared" si="337"/>
        <v>41676.660000000003</v>
      </c>
      <c r="V764" s="291">
        <f t="shared" si="341"/>
        <v>-41676.660000000003</v>
      </c>
      <c r="W764" s="265">
        <f t="shared" si="338"/>
        <v>0</v>
      </c>
      <c r="X764" s="291">
        <f t="shared" si="342"/>
        <v>-41676.660000000003</v>
      </c>
      <c r="Y764" s="170">
        <f t="shared" si="339"/>
        <v>2156.04</v>
      </c>
      <c r="Z764" s="291">
        <f t="shared" si="340"/>
        <v>-2156.04</v>
      </c>
      <c r="AC764" s="276">
        <f>IF(AI764=1,IF(AC763=MiscData!$F$1,EOMONTH(AC763,-11),EOMONTH(AC763,1)),AC763)</f>
        <v>41973</v>
      </c>
      <c r="AD764" s="275" t="str">
        <f t="shared" si="351"/>
        <v>20140101LGUM_413</v>
      </c>
      <c r="AE764" s="294" t="str">
        <f t="shared" si="352"/>
        <v xml:space="preserve">20140101LS </v>
      </c>
      <c r="AF764" s="618" t="str">
        <f t="shared" si="343"/>
        <v>413</v>
      </c>
      <c r="AH764" s="265">
        <f>MiscData!$X$5</f>
        <v>20140101</v>
      </c>
      <c r="AI764" s="265">
        <f>IF(AI763+1&gt;MiscData!$AC$77,1,AI763+1)</f>
        <v>31</v>
      </c>
      <c r="AJ764" s="265" t="str">
        <f>VLOOKUP(AI764,MiscData!$AC$5:$AD$77,2,FALSE)</f>
        <v>LGUM_413</v>
      </c>
      <c r="AK764" s="265" t="str">
        <f>VLOOKUP(AJ764,MiscData!$AD$5:$AE$77,2,FALSE)</f>
        <v xml:space="preserve">LS </v>
      </c>
      <c r="AT764" s="265" t="s">
        <v>366</v>
      </c>
      <c r="AV764" s="265">
        <v>0</v>
      </c>
    </row>
    <row r="765" spans="1:48">
      <c r="A765" s="275">
        <f t="shared" si="344"/>
        <v>762</v>
      </c>
      <c r="B765" s="276" t="str">
        <f t="shared" si="348"/>
        <v>Nov 2014</v>
      </c>
      <c r="C765" s="277" t="str">
        <f t="shared" si="349"/>
        <v xml:space="preserve">LS </v>
      </c>
      <c r="D765" s="277" t="str">
        <f t="shared" si="350"/>
        <v>LGUM_415</v>
      </c>
      <c r="E765" s="614">
        <f t="shared" si="326"/>
        <v>27</v>
      </c>
      <c r="F765" s="615">
        <v>0</v>
      </c>
      <c r="G765" s="614">
        <f t="shared" si="327"/>
        <v>0</v>
      </c>
      <c r="H765" s="615">
        <v>0</v>
      </c>
      <c r="I765" s="283">
        <f t="shared" si="328"/>
        <v>20.18</v>
      </c>
      <c r="J765" s="283">
        <f t="shared" si="329"/>
        <v>0.75</v>
      </c>
      <c r="K765" s="285">
        <f t="shared" si="330"/>
        <v>544.86</v>
      </c>
      <c r="L765" s="286">
        <v>0</v>
      </c>
      <c r="M765" s="286">
        <v>0</v>
      </c>
      <c r="N765" s="285">
        <f t="shared" si="345"/>
        <v>544.86</v>
      </c>
      <c r="O765" s="616">
        <f t="shared" si="347"/>
        <v>0</v>
      </c>
      <c r="P765" s="289">
        <f t="shared" si="346"/>
        <v>0</v>
      </c>
      <c r="Q765" s="290">
        <f t="shared" si="333"/>
        <v>0</v>
      </c>
      <c r="R765" s="290">
        <f t="shared" si="334"/>
        <v>0</v>
      </c>
      <c r="S765" s="290">
        <f t="shared" si="335"/>
        <v>0</v>
      </c>
      <c r="T765" s="290">
        <f t="shared" si="336"/>
        <v>0</v>
      </c>
      <c r="U765" s="291">
        <f t="shared" si="337"/>
        <v>544.86</v>
      </c>
      <c r="V765" s="291">
        <f t="shared" si="341"/>
        <v>-544.86</v>
      </c>
      <c r="W765" s="265">
        <f t="shared" si="338"/>
        <v>0</v>
      </c>
      <c r="X765" s="291">
        <f t="shared" si="342"/>
        <v>-544.86</v>
      </c>
      <c r="Y765" s="170">
        <f t="shared" si="339"/>
        <v>20.25</v>
      </c>
      <c r="Z765" s="291">
        <f t="shared" si="340"/>
        <v>-20.25</v>
      </c>
      <c r="AC765" s="276">
        <f>IF(AI765=1,IF(AC764=MiscData!$F$1,EOMONTH(AC764,-11),EOMONTH(AC764,1)),AC764)</f>
        <v>41973</v>
      </c>
      <c r="AD765" s="275" t="str">
        <f t="shared" si="351"/>
        <v>20140101LGUM_415</v>
      </c>
      <c r="AE765" s="294" t="str">
        <f t="shared" si="352"/>
        <v xml:space="preserve">20140101LS </v>
      </c>
      <c r="AF765" s="618" t="str">
        <f t="shared" si="343"/>
        <v>415</v>
      </c>
      <c r="AH765" s="265">
        <f>MiscData!$X$5</f>
        <v>20140101</v>
      </c>
      <c r="AI765" s="265">
        <f>IF(AI764+1&gt;MiscData!$AC$77,1,AI764+1)</f>
        <v>32</v>
      </c>
      <c r="AJ765" s="265" t="str">
        <f>VLOOKUP(AI765,MiscData!$AC$5:$AD$77,2,FALSE)</f>
        <v>LGUM_415</v>
      </c>
      <c r="AK765" s="265" t="str">
        <f>VLOOKUP(AJ765,MiscData!$AD$5:$AE$77,2,FALSE)</f>
        <v xml:space="preserve">LS </v>
      </c>
      <c r="AT765" s="265" t="s">
        <v>648</v>
      </c>
      <c r="AV765" s="265">
        <v>0</v>
      </c>
    </row>
    <row r="766" spans="1:48">
      <c r="A766" s="275">
        <f t="shared" si="344"/>
        <v>763</v>
      </c>
      <c r="B766" s="276" t="str">
        <f t="shared" si="348"/>
        <v>Nov 2014</v>
      </c>
      <c r="C766" s="277" t="str">
        <f t="shared" si="349"/>
        <v xml:space="preserve">LS </v>
      </c>
      <c r="D766" s="277" t="str">
        <f t="shared" si="350"/>
        <v>LGUM_416</v>
      </c>
      <c r="E766" s="614">
        <f t="shared" si="326"/>
        <v>1779</v>
      </c>
      <c r="F766" s="615">
        <v>0</v>
      </c>
      <c r="G766" s="614">
        <f t="shared" si="327"/>
        <v>0</v>
      </c>
      <c r="H766" s="615">
        <v>0</v>
      </c>
      <c r="I766" s="283">
        <f t="shared" si="328"/>
        <v>22.56</v>
      </c>
      <c r="J766" s="283">
        <f t="shared" si="329"/>
        <v>1.0599999999999987</v>
      </c>
      <c r="K766" s="285">
        <f t="shared" si="330"/>
        <v>40134.239999999998</v>
      </c>
      <c r="L766" s="286">
        <v>0</v>
      </c>
      <c r="M766" s="286">
        <v>0</v>
      </c>
      <c r="N766" s="285">
        <f t="shared" si="345"/>
        <v>40134.239999999998</v>
      </c>
      <c r="O766" s="616">
        <f t="shared" si="347"/>
        <v>0</v>
      </c>
      <c r="P766" s="289">
        <f t="shared" si="346"/>
        <v>0</v>
      </c>
      <c r="Q766" s="290">
        <f t="shared" si="333"/>
        <v>0</v>
      </c>
      <c r="R766" s="290">
        <f t="shared" si="334"/>
        <v>0</v>
      </c>
      <c r="S766" s="290">
        <f t="shared" si="335"/>
        <v>0</v>
      </c>
      <c r="T766" s="290">
        <f t="shared" si="336"/>
        <v>0</v>
      </c>
      <c r="U766" s="291">
        <f t="shared" si="337"/>
        <v>40134.239999999998</v>
      </c>
      <c r="V766" s="291">
        <f t="shared" si="341"/>
        <v>-40134.239999999998</v>
      </c>
      <c r="W766" s="265">
        <f t="shared" si="338"/>
        <v>0</v>
      </c>
      <c r="X766" s="291">
        <f t="shared" si="342"/>
        <v>-40134.239999999998</v>
      </c>
      <c r="Y766" s="170">
        <f t="shared" si="339"/>
        <v>1885.74</v>
      </c>
      <c r="Z766" s="291">
        <f t="shared" si="340"/>
        <v>-1885.74</v>
      </c>
      <c r="AC766" s="276">
        <f>IF(AI766=1,IF(AC765=MiscData!$F$1,EOMONTH(AC765,-11),EOMONTH(AC765,1)),AC765)</f>
        <v>41973</v>
      </c>
      <c r="AD766" s="275" t="str">
        <f t="shared" si="351"/>
        <v>20140101LGUM_416</v>
      </c>
      <c r="AE766" s="294" t="str">
        <f t="shared" si="352"/>
        <v xml:space="preserve">20140101LS </v>
      </c>
      <c r="AF766" s="618" t="str">
        <f t="shared" si="343"/>
        <v>416</v>
      </c>
      <c r="AH766" s="265">
        <f>MiscData!$X$5</f>
        <v>20140101</v>
      </c>
      <c r="AI766" s="265">
        <f>IF(AI765+1&gt;MiscData!$AC$77,1,AI765+1)</f>
        <v>33</v>
      </c>
      <c r="AJ766" s="265" t="str">
        <f>VLOOKUP(AI766,MiscData!$AC$5:$AD$77,2,FALSE)</f>
        <v>LGUM_416</v>
      </c>
      <c r="AK766" s="265" t="str">
        <f>VLOOKUP(AJ766,MiscData!$AD$5:$AE$77,2,FALSE)</f>
        <v xml:space="preserve">LS </v>
      </c>
      <c r="AT766" s="265" t="s">
        <v>367</v>
      </c>
      <c r="AV766" s="265">
        <v>102.82</v>
      </c>
    </row>
    <row r="767" spans="1:48">
      <c r="A767" s="275">
        <f t="shared" si="344"/>
        <v>764</v>
      </c>
      <c r="B767" s="276" t="str">
        <f t="shared" si="348"/>
        <v>Nov 2014</v>
      </c>
      <c r="C767" s="277" t="str">
        <f t="shared" si="349"/>
        <v>RLS</v>
      </c>
      <c r="D767" s="277" t="str">
        <f t="shared" si="350"/>
        <v>LGUM_417</v>
      </c>
      <c r="E767" s="614">
        <f t="shared" si="326"/>
        <v>35</v>
      </c>
      <c r="F767" s="615">
        <v>0</v>
      </c>
      <c r="G767" s="614">
        <f t="shared" si="327"/>
        <v>0</v>
      </c>
      <c r="H767" s="615">
        <v>0</v>
      </c>
      <c r="I767" s="283">
        <f t="shared" si="328"/>
        <v>23.68</v>
      </c>
      <c r="J767" s="283">
        <f t="shared" si="329"/>
        <v>1.0300000000000011</v>
      </c>
      <c r="K767" s="285">
        <f t="shared" si="330"/>
        <v>828.8</v>
      </c>
      <c r="L767" s="286">
        <v>0</v>
      </c>
      <c r="M767" s="286">
        <v>0</v>
      </c>
      <c r="N767" s="285">
        <f t="shared" si="345"/>
        <v>828.8</v>
      </c>
      <c r="O767" s="616">
        <f t="shared" si="347"/>
        <v>0</v>
      </c>
      <c r="P767" s="289">
        <f t="shared" si="346"/>
        <v>0</v>
      </c>
      <c r="Q767" s="290">
        <f t="shared" si="333"/>
        <v>0</v>
      </c>
      <c r="R767" s="290">
        <f t="shared" si="334"/>
        <v>0</v>
      </c>
      <c r="S767" s="290">
        <f t="shared" si="335"/>
        <v>0</v>
      </c>
      <c r="T767" s="290">
        <f t="shared" si="336"/>
        <v>0</v>
      </c>
      <c r="U767" s="291">
        <f t="shared" si="337"/>
        <v>828.8</v>
      </c>
      <c r="V767" s="291">
        <f t="shared" si="341"/>
        <v>-828.8</v>
      </c>
      <c r="W767" s="265">
        <f t="shared" si="338"/>
        <v>0</v>
      </c>
      <c r="X767" s="291">
        <f t="shared" si="342"/>
        <v>-828.8</v>
      </c>
      <c r="Y767" s="170">
        <f t="shared" si="339"/>
        <v>36.049999999999997</v>
      </c>
      <c r="Z767" s="291">
        <f t="shared" si="340"/>
        <v>-36.049999999999997</v>
      </c>
      <c r="AC767" s="276">
        <f>IF(AI767=1,IF(AC766=MiscData!$F$1,EOMONTH(AC766,-11),EOMONTH(AC766,1)),AC766)</f>
        <v>41973</v>
      </c>
      <c r="AD767" s="275" t="str">
        <f t="shared" si="351"/>
        <v>20140101LGUM_417</v>
      </c>
      <c r="AE767" s="294" t="str">
        <f t="shared" si="352"/>
        <v>20140101RLS</v>
      </c>
      <c r="AF767" s="618" t="str">
        <f t="shared" si="343"/>
        <v>417</v>
      </c>
      <c r="AH767" s="265">
        <f>MiscData!$X$5</f>
        <v>20140101</v>
      </c>
      <c r="AI767" s="265">
        <f>IF(AI766+1&gt;MiscData!$AC$77,1,AI766+1)</f>
        <v>34</v>
      </c>
      <c r="AJ767" s="265" t="str">
        <f>VLOOKUP(AI767,MiscData!$AC$5:$AD$77,2,FALSE)</f>
        <v>LGUM_417</v>
      </c>
      <c r="AK767" s="265" t="str">
        <f>VLOOKUP(AJ767,MiscData!$AD$5:$AE$77,2,FALSE)</f>
        <v>RLS</v>
      </c>
      <c r="AT767" s="265" t="s">
        <v>368</v>
      </c>
      <c r="AV767" s="265">
        <v>0</v>
      </c>
    </row>
    <row r="768" spans="1:48">
      <c r="A768" s="275">
        <f t="shared" si="344"/>
        <v>765</v>
      </c>
      <c r="B768" s="276" t="str">
        <f t="shared" si="348"/>
        <v>Nov 2014</v>
      </c>
      <c r="C768" s="277" t="str">
        <f t="shared" si="349"/>
        <v>RLS</v>
      </c>
      <c r="D768" s="277" t="str">
        <f t="shared" si="350"/>
        <v>LGUM_419</v>
      </c>
      <c r="E768" s="614">
        <f t="shared" si="326"/>
        <v>111</v>
      </c>
      <c r="F768" s="615">
        <v>0</v>
      </c>
      <c r="G768" s="614">
        <f t="shared" si="327"/>
        <v>0</v>
      </c>
      <c r="H768" s="615">
        <v>0</v>
      </c>
      <c r="I768" s="283">
        <f t="shared" si="328"/>
        <v>24.77</v>
      </c>
      <c r="J768" s="283">
        <f t="shared" si="329"/>
        <v>1.6499999999999986</v>
      </c>
      <c r="K768" s="285">
        <f t="shared" si="330"/>
        <v>2749.47</v>
      </c>
      <c r="L768" s="286">
        <v>0</v>
      </c>
      <c r="M768" s="286">
        <v>0</v>
      </c>
      <c r="N768" s="285">
        <f t="shared" si="345"/>
        <v>2749.47</v>
      </c>
      <c r="O768" s="616">
        <f t="shared" si="347"/>
        <v>0</v>
      </c>
      <c r="P768" s="289">
        <f t="shared" si="346"/>
        <v>0</v>
      </c>
      <c r="Q768" s="290">
        <f t="shared" si="333"/>
        <v>0</v>
      </c>
      <c r="R768" s="290">
        <f t="shared" si="334"/>
        <v>0</v>
      </c>
      <c r="S768" s="290">
        <f t="shared" si="335"/>
        <v>0</v>
      </c>
      <c r="T768" s="290">
        <f t="shared" si="336"/>
        <v>0</v>
      </c>
      <c r="U768" s="291">
        <f t="shared" si="337"/>
        <v>2749.47</v>
      </c>
      <c r="V768" s="291">
        <f t="shared" si="341"/>
        <v>-2749.47</v>
      </c>
      <c r="W768" s="265">
        <f t="shared" si="338"/>
        <v>0</v>
      </c>
      <c r="X768" s="291">
        <f t="shared" si="342"/>
        <v>-2749.47</v>
      </c>
      <c r="Y768" s="170">
        <f t="shared" si="339"/>
        <v>183.15</v>
      </c>
      <c r="Z768" s="291">
        <f t="shared" si="340"/>
        <v>-183.15</v>
      </c>
      <c r="AC768" s="276">
        <f>IF(AI768=1,IF(AC767=MiscData!$F$1,EOMONTH(AC767,-11),EOMONTH(AC767,1)),AC767)</f>
        <v>41973</v>
      </c>
      <c r="AD768" s="275" t="str">
        <f t="shared" si="351"/>
        <v>20140101LGUM_419</v>
      </c>
      <c r="AE768" s="294" t="str">
        <f t="shared" si="352"/>
        <v>20140101RLS</v>
      </c>
      <c r="AF768" s="618" t="str">
        <f t="shared" si="343"/>
        <v>419</v>
      </c>
      <c r="AH768" s="265">
        <f>MiscData!$X$5</f>
        <v>20140101</v>
      </c>
      <c r="AI768" s="265">
        <f>IF(AI767+1&gt;MiscData!$AC$77,1,AI767+1)</f>
        <v>35</v>
      </c>
      <c r="AJ768" s="265" t="str">
        <f>VLOOKUP(AI768,MiscData!$AC$5:$AD$77,2,FALSE)</f>
        <v>LGUM_419</v>
      </c>
      <c r="AK768" s="265" t="str">
        <f>VLOOKUP(AJ768,MiscData!$AD$5:$AE$77,2,FALSE)</f>
        <v>RLS</v>
      </c>
      <c r="AT768" s="265" t="s">
        <v>369</v>
      </c>
      <c r="AV768" s="265">
        <v>0</v>
      </c>
    </row>
    <row r="769" spans="1:48">
      <c r="A769" s="275">
        <f t="shared" si="344"/>
        <v>766</v>
      </c>
      <c r="B769" s="276" t="str">
        <f t="shared" si="348"/>
        <v>Nov 2014</v>
      </c>
      <c r="C769" s="277" t="str">
        <f t="shared" si="349"/>
        <v xml:space="preserve">LS </v>
      </c>
      <c r="D769" s="277" t="str">
        <f t="shared" si="350"/>
        <v>LGUM_420</v>
      </c>
      <c r="E769" s="614">
        <f t="shared" si="326"/>
        <v>53</v>
      </c>
      <c r="F769" s="615">
        <v>0</v>
      </c>
      <c r="G769" s="614">
        <f t="shared" si="327"/>
        <v>0</v>
      </c>
      <c r="H769" s="615">
        <v>0</v>
      </c>
      <c r="I769" s="283">
        <f t="shared" si="328"/>
        <v>29.889999999999997</v>
      </c>
      <c r="J769" s="283">
        <f t="shared" si="329"/>
        <v>1.6499999999999986</v>
      </c>
      <c r="K769" s="285">
        <f t="shared" si="330"/>
        <v>1584.17</v>
      </c>
      <c r="L769" s="286">
        <v>0</v>
      </c>
      <c r="M769" s="286">
        <v>0</v>
      </c>
      <c r="N769" s="285">
        <f t="shared" si="345"/>
        <v>1584.17</v>
      </c>
      <c r="O769" s="616">
        <f t="shared" si="347"/>
        <v>0</v>
      </c>
      <c r="P769" s="289">
        <f t="shared" si="346"/>
        <v>0</v>
      </c>
      <c r="Q769" s="290">
        <f t="shared" si="333"/>
        <v>0</v>
      </c>
      <c r="R769" s="290">
        <f t="shared" si="334"/>
        <v>0</v>
      </c>
      <c r="S769" s="290">
        <f t="shared" si="335"/>
        <v>0</v>
      </c>
      <c r="T769" s="290">
        <f t="shared" si="336"/>
        <v>0</v>
      </c>
      <c r="U769" s="291">
        <f t="shared" si="337"/>
        <v>1584.17</v>
      </c>
      <c r="V769" s="291">
        <f t="shared" si="341"/>
        <v>-1584.17</v>
      </c>
      <c r="W769" s="265">
        <f t="shared" si="338"/>
        <v>0</v>
      </c>
      <c r="X769" s="291">
        <f t="shared" si="342"/>
        <v>-1584.17</v>
      </c>
      <c r="Y769" s="170">
        <f t="shared" si="339"/>
        <v>87.45</v>
      </c>
      <c r="Z769" s="291">
        <f t="shared" si="340"/>
        <v>-87.45</v>
      </c>
      <c r="AC769" s="276">
        <f>IF(AI769=1,IF(AC768=MiscData!$F$1,EOMONTH(AC768,-11),EOMONTH(AC768,1)),AC768)</f>
        <v>41973</v>
      </c>
      <c r="AD769" s="275" t="str">
        <f t="shared" si="351"/>
        <v>20140101LGUM_420</v>
      </c>
      <c r="AE769" s="294" t="str">
        <f t="shared" si="352"/>
        <v xml:space="preserve">20140101LS </v>
      </c>
      <c r="AF769" s="618" t="str">
        <f t="shared" si="343"/>
        <v>420</v>
      </c>
      <c r="AH769" s="265">
        <f>MiscData!$X$5</f>
        <v>20140101</v>
      </c>
      <c r="AI769" s="265">
        <f>IF(AI768+1&gt;MiscData!$AC$77,1,AI768+1)</f>
        <v>36</v>
      </c>
      <c r="AJ769" s="265" t="str">
        <f>VLOOKUP(AI769,MiscData!$AC$5:$AD$77,2,FALSE)</f>
        <v>LGUM_420</v>
      </c>
      <c r="AK769" s="265" t="str">
        <f>VLOOKUP(AJ769,MiscData!$AD$5:$AE$77,2,FALSE)</f>
        <v xml:space="preserve">LS </v>
      </c>
      <c r="AT769" s="265" t="s">
        <v>370</v>
      </c>
      <c r="AV769" s="265">
        <v>80.569999999999993</v>
      </c>
    </row>
    <row r="770" spans="1:48">
      <c r="A770" s="275">
        <f t="shared" si="344"/>
        <v>767</v>
      </c>
      <c r="B770" s="276" t="str">
        <f t="shared" si="348"/>
        <v>Nov 2014</v>
      </c>
      <c r="C770" s="277" t="str">
        <f t="shared" si="349"/>
        <v xml:space="preserve">LS </v>
      </c>
      <c r="D770" s="277" t="str">
        <f t="shared" si="350"/>
        <v>LGUM_421</v>
      </c>
      <c r="E770" s="614">
        <f t="shared" si="326"/>
        <v>174</v>
      </c>
      <c r="F770" s="615">
        <v>0</v>
      </c>
      <c r="G770" s="614">
        <f t="shared" si="327"/>
        <v>0</v>
      </c>
      <c r="H770" s="615">
        <v>0</v>
      </c>
      <c r="I770" s="283">
        <f t="shared" si="328"/>
        <v>32.860000000000007</v>
      </c>
      <c r="J770" s="283">
        <f t="shared" si="329"/>
        <v>2.6700000000000017</v>
      </c>
      <c r="K770" s="285">
        <f t="shared" si="330"/>
        <v>5717.64</v>
      </c>
      <c r="L770" s="286">
        <v>0</v>
      </c>
      <c r="M770" s="286">
        <v>0</v>
      </c>
      <c r="N770" s="285">
        <f t="shared" si="345"/>
        <v>5717.64</v>
      </c>
      <c r="O770" s="616">
        <f t="shared" si="347"/>
        <v>0</v>
      </c>
      <c r="P770" s="289">
        <f t="shared" si="346"/>
        <v>0</v>
      </c>
      <c r="Q770" s="290">
        <f t="shared" si="333"/>
        <v>0</v>
      </c>
      <c r="R770" s="290">
        <f t="shared" si="334"/>
        <v>0</v>
      </c>
      <c r="S770" s="290">
        <f t="shared" si="335"/>
        <v>0</v>
      </c>
      <c r="T770" s="290">
        <f t="shared" si="336"/>
        <v>0</v>
      </c>
      <c r="U770" s="291">
        <f t="shared" si="337"/>
        <v>5717.64</v>
      </c>
      <c r="V770" s="291">
        <f t="shared" si="341"/>
        <v>-5717.64</v>
      </c>
      <c r="W770" s="265">
        <f t="shared" si="338"/>
        <v>0</v>
      </c>
      <c r="X770" s="291">
        <f t="shared" si="342"/>
        <v>-5717.64</v>
      </c>
      <c r="Y770" s="170">
        <f t="shared" si="339"/>
        <v>464.58</v>
      </c>
      <c r="Z770" s="291">
        <f t="shared" si="340"/>
        <v>-464.58</v>
      </c>
      <c r="AC770" s="276">
        <f>IF(AI770=1,IF(AC769=MiscData!$F$1,EOMONTH(AC769,-11),EOMONTH(AC769,1)),AC769)</f>
        <v>41973</v>
      </c>
      <c r="AD770" s="275" t="str">
        <f t="shared" si="351"/>
        <v>20140101LGUM_421</v>
      </c>
      <c r="AE770" s="294" t="str">
        <f t="shared" si="352"/>
        <v xml:space="preserve">20140101LS </v>
      </c>
      <c r="AF770" s="618" t="str">
        <f t="shared" si="343"/>
        <v>421</v>
      </c>
      <c r="AH770" s="265">
        <f>MiscData!$X$5</f>
        <v>20140101</v>
      </c>
      <c r="AI770" s="265">
        <f>IF(AI769+1&gt;MiscData!$AC$77,1,AI769+1)</f>
        <v>37</v>
      </c>
      <c r="AJ770" s="265" t="str">
        <f>VLOOKUP(AI770,MiscData!$AC$5:$AD$77,2,FALSE)</f>
        <v>LGUM_421</v>
      </c>
      <c r="AK770" s="265" t="str">
        <f>VLOOKUP(AJ770,MiscData!$AD$5:$AE$77,2,FALSE)</f>
        <v xml:space="preserve">LS </v>
      </c>
      <c r="AT770" s="265" t="s">
        <v>371</v>
      </c>
      <c r="AV770" s="265">
        <v>0</v>
      </c>
    </row>
    <row r="771" spans="1:48">
      <c r="A771" s="275">
        <f t="shared" si="344"/>
        <v>768</v>
      </c>
      <c r="B771" s="276" t="str">
        <f t="shared" si="348"/>
        <v>Nov 2014</v>
      </c>
      <c r="C771" s="277" t="str">
        <f t="shared" si="349"/>
        <v xml:space="preserve">LS </v>
      </c>
      <c r="D771" s="277" t="str">
        <f t="shared" si="350"/>
        <v>LGUM_422</v>
      </c>
      <c r="E771" s="614">
        <f t="shared" si="326"/>
        <v>359</v>
      </c>
      <c r="F771" s="615">
        <v>0</v>
      </c>
      <c r="G771" s="614">
        <f t="shared" si="327"/>
        <v>0</v>
      </c>
      <c r="H771" s="615">
        <v>0</v>
      </c>
      <c r="I771" s="283">
        <f t="shared" si="328"/>
        <v>38.389999999999993</v>
      </c>
      <c r="J771" s="283">
        <f t="shared" si="329"/>
        <v>4.279999999999994</v>
      </c>
      <c r="K771" s="285">
        <f t="shared" si="330"/>
        <v>13782.01</v>
      </c>
      <c r="L771" s="286">
        <v>0</v>
      </c>
      <c r="M771" s="286">
        <v>0</v>
      </c>
      <c r="N771" s="285">
        <f t="shared" si="345"/>
        <v>13782.01</v>
      </c>
      <c r="O771" s="616">
        <f t="shared" si="347"/>
        <v>0</v>
      </c>
      <c r="P771" s="289">
        <f t="shared" si="346"/>
        <v>0</v>
      </c>
      <c r="Q771" s="290">
        <f t="shared" si="333"/>
        <v>0</v>
      </c>
      <c r="R771" s="290">
        <f t="shared" si="334"/>
        <v>0</v>
      </c>
      <c r="S771" s="290">
        <f t="shared" si="335"/>
        <v>0</v>
      </c>
      <c r="T771" s="290">
        <f t="shared" si="336"/>
        <v>0</v>
      </c>
      <c r="U771" s="291">
        <f t="shared" si="337"/>
        <v>13782.01</v>
      </c>
      <c r="V771" s="291">
        <f t="shared" si="341"/>
        <v>-13782.01</v>
      </c>
      <c r="W771" s="265">
        <f t="shared" si="338"/>
        <v>0</v>
      </c>
      <c r="X771" s="291">
        <f t="shared" si="342"/>
        <v>-13782.01</v>
      </c>
      <c r="Y771" s="170">
        <f t="shared" si="339"/>
        <v>1536.52</v>
      </c>
      <c r="Z771" s="291">
        <f t="shared" si="340"/>
        <v>-1536.52</v>
      </c>
      <c r="AC771" s="276">
        <f>IF(AI771=1,IF(AC770=MiscData!$F$1,EOMONTH(AC770,-11),EOMONTH(AC770,1)),AC770)</f>
        <v>41973</v>
      </c>
      <c r="AD771" s="275" t="str">
        <f t="shared" si="351"/>
        <v>20140101LGUM_422</v>
      </c>
      <c r="AE771" s="294" t="str">
        <f t="shared" si="352"/>
        <v xml:space="preserve">20140101LS </v>
      </c>
      <c r="AF771" s="618" t="str">
        <f t="shared" si="343"/>
        <v>422</v>
      </c>
      <c r="AH771" s="265">
        <f>MiscData!$X$5</f>
        <v>20140101</v>
      </c>
      <c r="AI771" s="265">
        <f>IF(AI770+1&gt;MiscData!$AC$77,1,AI770+1)</f>
        <v>38</v>
      </c>
      <c r="AJ771" s="265" t="str">
        <f>VLOOKUP(AI771,MiscData!$AC$5:$AD$77,2,FALSE)</f>
        <v>LGUM_422</v>
      </c>
      <c r="AK771" s="265" t="str">
        <f>VLOOKUP(AJ771,MiscData!$AD$5:$AE$77,2,FALSE)</f>
        <v xml:space="preserve">LS </v>
      </c>
      <c r="AT771" s="265" t="s">
        <v>655</v>
      </c>
      <c r="AV771" s="265">
        <v>0</v>
      </c>
    </row>
    <row r="772" spans="1:48">
      <c r="A772" s="275">
        <f t="shared" si="344"/>
        <v>769</v>
      </c>
      <c r="B772" s="276" t="str">
        <f t="shared" si="348"/>
        <v>Nov 2014</v>
      </c>
      <c r="C772" s="277" t="str">
        <f t="shared" si="349"/>
        <v xml:space="preserve">LS </v>
      </c>
      <c r="D772" s="277" t="str">
        <f t="shared" si="350"/>
        <v>LGUM_423</v>
      </c>
      <c r="E772" s="614">
        <f t="shared" ref="E772:E847" si="353">SUMIFS(L_1055_Count_Total,L_1055_Revenue_Month,$B772,L_1055_RateCategory,$D772)</f>
        <v>17</v>
      </c>
      <c r="F772" s="615">
        <v>0</v>
      </c>
      <c r="G772" s="614">
        <f t="shared" ref="G772:G835" si="354">SUMIFS(L_SBR_KWH,L_SBR_Revenue_Month,$B772,L_SBR_Rate_Category,$D772)</f>
        <v>0</v>
      </c>
      <c r="H772" s="615">
        <v>0</v>
      </c>
      <c r="I772" s="283">
        <f t="shared" ref="I772:I847" si="355">SUMIF(L_LightingRates_Tariff_Rate_Category,$AD772,L_LightingRates_UnitCharge)</f>
        <v>26.349999999999998</v>
      </c>
      <c r="J772" s="283">
        <f t="shared" ref="J772:J847" si="356">SUMIF(L_LightingRates_Tariff_Rate_Category,$AD772,L_LightingRates_FAC_Rate)</f>
        <v>1.6500000000000021</v>
      </c>
      <c r="K772" s="285">
        <f t="shared" ref="K772:K847" si="357">ROUND(($E772+$F772)*$I772,2)</f>
        <v>447.95</v>
      </c>
      <c r="L772" s="286">
        <v>0</v>
      </c>
      <c r="M772" s="286">
        <v>0</v>
      </c>
      <c r="N772" s="285">
        <f t="shared" si="345"/>
        <v>447.95</v>
      </c>
      <c r="O772" s="616">
        <f t="shared" si="347"/>
        <v>0</v>
      </c>
      <c r="P772" s="289">
        <f t="shared" si="346"/>
        <v>0</v>
      </c>
      <c r="Q772" s="290">
        <f t="shared" ref="Q772:Q847" si="358">SUMIFS(L_SBR_FAC,L_SBR_Revenue_Month,$B772,L_SBR_Rate_Category,$D772)</f>
        <v>0</v>
      </c>
      <c r="R772" s="290">
        <f t="shared" ref="R772:R847" si="359">SUMIFS(L_SBR_ECR,L_SBR_Revenue_Month,$B772,L_SBR_Rate_Category,$D772)</f>
        <v>0</v>
      </c>
      <c r="S772" s="290">
        <f t="shared" ref="S772:S847" si="360">SUMIFS(L_SBR_MSR,L_SBR_Revenue_Month,$B772,L_SBR_Rate_Category,$D772)</f>
        <v>0</v>
      </c>
      <c r="T772" s="290">
        <f t="shared" ref="T772:T847" si="361">SUMIFS(L_SBR_Revenue_Total,L_SBR_Revenue_Month,$B772,L_SBR_Rate_Category,$D772)</f>
        <v>0</v>
      </c>
      <c r="U772" s="291">
        <f t="shared" ref="U772:U847" si="362">SUM(N772,Q772:S772)</f>
        <v>447.95</v>
      </c>
      <c r="V772" s="291">
        <f t="shared" si="341"/>
        <v>-447.95</v>
      </c>
      <c r="W772" s="265">
        <f t="shared" ref="W772:W847" si="363">ROUND(SUMIFS(L_1055_Revenue_Poles_Test_Period,L_1055_Revenue_Month,$B772,L_1055_RateCategory,$D772),2)</f>
        <v>0</v>
      </c>
      <c r="X772" s="291">
        <f t="shared" si="342"/>
        <v>-447.95</v>
      </c>
      <c r="Y772" s="170">
        <f t="shared" ref="Y772:Y847" si="364">ROUND(E772*J772,2)</f>
        <v>28.05</v>
      </c>
      <c r="Z772" s="291">
        <f t="shared" ref="Z772:Z847" si="365">O772-Y772</f>
        <v>-28.05</v>
      </c>
      <c r="AC772" s="276">
        <f>IF(AI772=1,IF(AC771=MiscData!$F$1,EOMONTH(AC771,-11),EOMONTH(AC771,1)),AC771)</f>
        <v>41973</v>
      </c>
      <c r="AD772" s="275" t="str">
        <f t="shared" si="351"/>
        <v>20140101LGUM_423</v>
      </c>
      <c r="AE772" s="294" t="str">
        <f t="shared" si="352"/>
        <v xml:space="preserve">20140101LS </v>
      </c>
      <c r="AF772" s="618" t="str">
        <f t="shared" si="343"/>
        <v>423</v>
      </c>
      <c r="AH772" s="265">
        <f>MiscData!$X$5</f>
        <v>20140101</v>
      </c>
      <c r="AI772" s="265">
        <f>IF(AI771+1&gt;MiscData!$AC$77,1,AI771+1)</f>
        <v>39</v>
      </c>
      <c r="AJ772" s="265" t="str">
        <f>VLOOKUP(AI772,MiscData!$AC$5:$AD$77,2,FALSE)</f>
        <v>LGUM_423</v>
      </c>
      <c r="AK772" s="265" t="str">
        <f>VLOOKUP(AJ772,MiscData!$AD$5:$AE$77,2,FALSE)</f>
        <v xml:space="preserve">LS </v>
      </c>
      <c r="AT772" s="265" t="s">
        <v>657</v>
      </c>
      <c r="AV772" s="265">
        <v>0</v>
      </c>
    </row>
    <row r="773" spans="1:48">
      <c r="A773" s="275">
        <f t="shared" si="344"/>
        <v>770</v>
      </c>
      <c r="B773" s="276" t="str">
        <f t="shared" si="348"/>
        <v>Nov 2014</v>
      </c>
      <c r="C773" s="277" t="str">
        <f t="shared" si="349"/>
        <v xml:space="preserve">LS </v>
      </c>
      <c r="D773" s="277" t="str">
        <f t="shared" si="350"/>
        <v>LGUM_424</v>
      </c>
      <c r="E773" s="614">
        <f t="shared" si="353"/>
        <v>363</v>
      </c>
      <c r="F773" s="615">
        <v>0</v>
      </c>
      <c r="G773" s="614">
        <f t="shared" si="354"/>
        <v>0</v>
      </c>
      <c r="H773" s="615">
        <v>0</v>
      </c>
      <c r="I773" s="283">
        <f t="shared" si="355"/>
        <v>28.45</v>
      </c>
      <c r="J773" s="283">
        <f t="shared" si="356"/>
        <v>3.9800000000000004</v>
      </c>
      <c r="K773" s="285">
        <f t="shared" si="357"/>
        <v>10327.35</v>
      </c>
      <c r="L773" s="286">
        <v>0</v>
      </c>
      <c r="M773" s="286">
        <v>0</v>
      </c>
      <c r="N773" s="285">
        <f t="shared" si="345"/>
        <v>10327.35</v>
      </c>
      <c r="O773" s="616">
        <f t="shared" si="347"/>
        <v>0</v>
      </c>
      <c r="P773" s="289">
        <f t="shared" si="346"/>
        <v>0</v>
      </c>
      <c r="Q773" s="290">
        <f t="shared" si="358"/>
        <v>0</v>
      </c>
      <c r="R773" s="290">
        <f t="shared" si="359"/>
        <v>0</v>
      </c>
      <c r="S773" s="290">
        <f t="shared" si="360"/>
        <v>0</v>
      </c>
      <c r="T773" s="290">
        <f t="shared" si="361"/>
        <v>0</v>
      </c>
      <c r="U773" s="291">
        <f t="shared" si="362"/>
        <v>10327.35</v>
      </c>
      <c r="V773" s="291">
        <f t="shared" ref="V773:V848" si="366">ROUND(T773-U773,2)</f>
        <v>-10327.35</v>
      </c>
      <c r="W773" s="265">
        <f t="shared" si="363"/>
        <v>0</v>
      </c>
      <c r="X773" s="291">
        <f t="shared" ref="X773:X848" si="367">V773-W773</f>
        <v>-10327.35</v>
      </c>
      <c r="Y773" s="170">
        <f t="shared" si="364"/>
        <v>1444.74</v>
      </c>
      <c r="Z773" s="291">
        <f t="shared" si="365"/>
        <v>-1444.74</v>
      </c>
      <c r="AC773" s="276">
        <f>IF(AI773=1,IF(AC772=MiscData!$F$1,EOMONTH(AC772,-11),EOMONTH(AC772,1)),AC772)</f>
        <v>41973</v>
      </c>
      <c r="AD773" s="275" t="str">
        <f t="shared" si="351"/>
        <v>20140101LGUM_424</v>
      </c>
      <c r="AE773" s="294" t="str">
        <f t="shared" si="352"/>
        <v xml:space="preserve">20140101LS </v>
      </c>
      <c r="AF773" s="618" t="str">
        <f t="shared" ref="AF773:AF848" si="368">RIGHT(AJ773,3)</f>
        <v>424</v>
      </c>
      <c r="AH773" s="265">
        <f>MiscData!$X$5</f>
        <v>20140101</v>
      </c>
      <c r="AI773" s="265">
        <f>IF(AI772+1&gt;MiscData!$AC$77,1,AI772+1)</f>
        <v>40</v>
      </c>
      <c r="AJ773" s="265" t="str">
        <f>VLOOKUP(AI773,MiscData!$AC$5:$AD$77,2,FALSE)</f>
        <v>LGUM_424</v>
      </c>
      <c r="AK773" s="265" t="str">
        <f>VLOOKUP(AJ773,MiscData!$AD$5:$AE$77,2,FALSE)</f>
        <v xml:space="preserve">LS </v>
      </c>
      <c r="AT773" s="265" t="s">
        <v>659</v>
      </c>
      <c r="AV773" s="265">
        <v>0</v>
      </c>
    </row>
    <row r="774" spans="1:48">
      <c r="A774" s="275">
        <f t="shared" si="344"/>
        <v>771</v>
      </c>
      <c r="B774" s="276" t="str">
        <f t="shared" si="348"/>
        <v>Nov 2014</v>
      </c>
      <c r="C774" s="277" t="str">
        <f t="shared" si="349"/>
        <v xml:space="preserve">LS </v>
      </c>
      <c r="D774" s="277" t="str">
        <f t="shared" si="350"/>
        <v>LGUM_425</v>
      </c>
      <c r="E774" s="614">
        <f t="shared" si="353"/>
        <v>31</v>
      </c>
      <c r="F774" s="615">
        <v>0</v>
      </c>
      <c r="G774" s="614">
        <f t="shared" si="354"/>
        <v>0</v>
      </c>
      <c r="H774" s="615">
        <v>0</v>
      </c>
      <c r="I774" s="283">
        <f t="shared" si="355"/>
        <v>34.029999999999994</v>
      </c>
      <c r="J774" s="283">
        <f t="shared" si="356"/>
        <v>4.2799999999999976</v>
      </c>
      <c r="K774" s="285">
        <f t="shared" si="357"/>
        <v>1054.93</v>
      </c>
      <c r="L774" s="286">
        <v>0</v>
      </c>
      <c r="M774" s="286">
        <v>0</v>
      </c>
      <c r="N774" s="285">
        <f t="shared" si="345"/>
        <v>1054.93</v>
      </c>
      <c r="O774" s="616">
        <f t="shared" si="347"/>
        <v>0</v>
      </c>
      <c r="P774" s="289">
        <f t="shared" si="346"/>
        <v>0</v>
      </c>
      <c r="Q774" s="290">
        <f t="shared" si="358"/>
        <v>0</v>
      </c>
      <c r="R774" s="290">
        <f t="shared" si="359"/>
        <v>0</v>
      </c>
      <c r="S774" s="290">
        <f t="shared" si="360"/>
        <v>0</v>
      </c>
      <c r="T774" s="290">
        <f t="shared" si="361"/>
        <v>0</v>
      </c>
      <c r="U774" s="291">
        <f t="shared" si="362"/>
        <v>1054.93</v>
      </c>
      <c r="V774" s="291">
        <f t="shared" si="366"/>
        <v>-1054.93</v>
      </c>
      <c r="W774" s="265">
        <f t="shared" si="363"/>
        <v>0</v>
      </c>
      <c r="X774" s="291">
        <f t="shared" si="367"/>
        <v>-1054.93</v>
      </c>
      <c r="Y774" s="170">
        <f t="shared" si="364"/>
        <v>132.68</v>
      </c>
      <c r="Z774" s="291">
        <f t="shared" si="365"/>
        <v>-132.68</v>
      </c>
      <c r="AC774" s="276">
        <f>IF(AI774=1,IF(AC773=MiscData!$F$1,EOMONTH(AC773,-11),EOMONTH(AC773,1)),AC773)</f>
        <v>41973</v>
      </c>
      <c r="AD774" s="275" t="str">
        <f t="shared" si="351"/>
        <v>20140101LGUM_425</v>
      </c>
      <c r="AE774" s="294" t="str">
        <f t="shared" si="352"/>
        <v xml:space="preserve">20140101LS </v>
      </c>
      <c r="AF774" s="618" t="str">
        <f t="shared" si="368"/>
        <v>425</v>
      </c>
      <c r="AH774" s="265">
        <f>MiscData!$X$5</f>
        <v>20140101</v>
      </c>
      <c r="AI774" s="265">
        <f>IF(AI773+1&gt;MiscData!$AC$77,1,AI773+1)</f>
        <v>41</v>
      </c>
      <c r="AJ774" s="265" t="str">
        <f>VLOOKUP(AI774,MiscData!$AC$5:$AD$77,2,FALSE)</f>
        <v>LGUM_425</v>
      </c>
      <c r="AK774" s="265" t="str">
        <f>VLOOKUP(AJ774,MiscData!$AD$5:$AE$77,2,FALSE)</f>
        <v xml:space="preserve">LS </v>
      </c>
      <c r="AT774" s="265" t="s">
        <v>399</v>
      </c>
      <c r="AV774" s="265">
        <v>0</v>
      </c>
    </row>
    <row r="775" spans="1:48">
      <c r="A775" s="275">
        <f t="shared" ref="A775:A850" si="369">A774+1</f>
        <v>772</v>
      </c>
      <c r="B775" s="276" t="str">
        <f t="shared" si="348"/>
        <v>Nov 2014</v>
      </c>
      <c r="C775" s="277" t="str">
        <f t="shared" si="349"/>
        <v>RLS</v>
      </c>
      <c r="D775" s="277" t="str">
        <f t="shared" si="350"/>
        <v>LGUM_426</v>
      </c>
      <c r="E775" s="614">
        <f t="shared" si="353"/>
        <v>40</v>
      </c>
      <c r="F775" s="615">
        <v>0</v>
      </c>
      <c r="G775" s="614">
        <f t="shared" si="354"/>
        <v>0</v>
      </c>
      <c r="H775" s="615">
        <v>0</v>
      </c>
      <c r="I775" s="283">
        <f t="shared" si="355"/>
        <v>33.22</v>
      </c>
      <c r="J775" s="283">
        <f t="shared" si="356"/>
        <v>0.75</v>
      </c>
      <c r="K775" s="285">
        <f t="shared" si="357"/>
        <v>1328.8</v>
      </c>
      <c r="L775" s="286">
        <v>0</v>
      </c>
      <c r="M775" s="286">
        <v>0</v>
      </c>
      <c r="N775" s="285">
        <f t="shared" si="345"/>
        <v>1328.8</v>
      </c>
      <c r="O775" s="616">
        <f t="shared" si="347"/>
        <v>0</v>
      </c>
      <c r="P775" s="289">
        <f t="shared" si="346"/>
        <v>0</v>
      </c>
      <c r="Q775" s="290">
        <f t="shared" si="358"/>
        <v>0</v>
      </c>
      <c r="R775" s="290">
        <f t="shared" si="359"/>
        <v>0</v>
      </c>
      <c r="S775" s="290">
        <f t="shared" si="360"/>
        <v>0</v>
      </c>
      <c r="T775" s="290">
        <f t="shared" si="361"/>
        <v>0</v>
      </c>
      <c r="U775" s="291">
        <f t="shared" si="362"/>
        <v>1328.8</v>
      </c>
      <c r="V775" s="291">
        <f t="shared" si="366"/>
        <v>-1328.8</v>
      </c>
      <c r="W775" s="265">
        <f t="shared" si="363"/>
        <v>0</v>
      </c>
      <c r="X775" s="291">
        <f t="shared" si="367"/>
        <v>-1328.8</v>
      </c>
      <c r="Y775" s="170">
        <f t="shared" si="364"/>
        <v>30</v>
      </c>
      <c r="Z775" s="291">
        <f t="shared" si="365"/>
        <v>-30</v>
      </c>
      <c r="AC775" s="276">
        <f>IF(AI775=1,IF(AC774=MiscData!$F$1,EOMONTH(AC774,-11),EOMONTH(AC774,1)),AC774)</f>
        <v>41973</v>
      </c>
      <c r="AD775" s="275" t="str">
        <f t="shared" si="351"/>
        <v>20140101LGUM_426</v>
      </c>
      <c r="AE775" s="294" t="str">
        <f t="shared" si="352"/>
        <v>20140101RLS</v>
      </c>
      <c r="AF775" s="618" t="str">
        <f t="shared" si="368"/>
        <v>426</v>
      </c>
      <c r="AH775" s="265">
        <f>MiscData!$X$5</f>
        <v>20140101</v>
      </c>
      <c r="AI775" s="265">
        <f>IF(AI774+1&gt;MiscData!$AC$77,1,AI774+1)</f>
        <v>42</v>
      </c>
      <c r="AJ775" s="265" t="str">
        <f>VLOOKUP(AI775,MiscData!$AC$5:$AD$77,2,FALSE)</f>
        <v>LGUM_426</v>
      </c>
      <c r="AK775" s="265" t="str">
        <f>VLOOKUP(AJ775,MiscData!$AD$5:$AE$77,2,FALSE)</f>
        <v>RLS</v>
      </c>
      <c r="AT775" s="265" t="s">
        <v>372</v>
      </c>
      <c r="AV775" s="265">
        <v>0</v>
      </c>
    </row>
    <row r="776" spans="1:48">
      <c r="A776" s="275">
        <f t="shared" si="369"/>
        <v>773</v>
      </c>
      <c r="B776" s="276" t="str">
        <f t="shared" si="348"/>
        <v>Nov 2014</v>
      </c>
      <c r="C776" s="277" t="str">
        <f t="shared" si="349"/>
        <v xml:space="preserve">LS </v>
      </c>
      <c r="D776" s="277" t="str">
        <f t="shared" si="350"/>
        <v>LGUM_427</v>
      </c>
      <c r="E776" s="614">
        <f t="shared" si="353"/>
        <v>52</v>
      </c>
      <c r="F776" s="615">
        <v>0</v>
      </c>
      <c r="G776" s="614">
        <f t="shared" si="354"/>
        <v>0</v>
      </c>
      <c r="H776" s="615">
        <v>0</v>
      </c>
      <c r="I776" s="283">
        <f t="shared" si="355"/>
        <v>35.199999999999996</v>
      </c>
      <c r="J776" s="283">
        <f t="shared" si="356"/>
        <v>0.75</v>
      </c>
      <c r="K776" s="285">
        <f t="shared" si="357"/>
        <v>1830.4</v>
      </c>
      <c r="L776" s="286">
        <v>0</v>
      </c>
      <c r="M776" s="286">
        <v>0</v>
      </c>
      <c r="N776" s="285">
        <f t="shared" si="345"/>
        <v>1830.4</v>
      </c>
      <c r="O776" s="616">
        <f t="shared" si="347"/>
        <v>0</v>
      </c>
      <c r="P776" s="289">
        <f t="shared" si="346"/>
        <v>0</v>
      </c>
      <c r="Q776" s="290">
        <f t="shared" si="358"/>
        <v>0</v>
      </c>
      <c r="R776" s="290">
        <f t="shared" si="359"/>
        <v>0</v>
      </c>
      <c r="S776" s="290">
        <f t="shared" si="360"/>
        <v>0</v>
      </c>
      <c r="T776" s="290">
        <f t="shared" si="361"/>
        <v>0</v>
      </c>
      <c r="U776" s="291">
        <f t="shared" si="362"/>
        <v>1830.4</v>
      </c>
      <c r="V776" s="291">
        <f t="shared" si="366"/>
        <v>-1830.4</v>
      </c>
      <c r="W776" s="265">
        <f t="shared" si="363"/>
        <v>0</v>
      </c>
      <c r="X776" s="291">
        <f t="shared" si="367"/>
        <v>-1830.4</v>
      </c>
      <c r="Y776" s="170">
        <f t="shared" si="364"/>
        <v>39</v>
      </c>
      <c r="Z776" s="291">
        <f t="shared" si="365"/>
        <v>-39</v>
      </c>
      <c r="AC776" s="276">
        <f>IF(AI776=1,IF(AC775=MiscData!$F$1,EOMONTH(AC775,-11),EOMONTH(AC775,1)),AC775)</f>
        <v>41973</v>
      </c>
      <c r="AD776" s="275" t="str">
        <f t="shared" si="351"/>
        <v>20140101LGUM_427</v>
      </c>
      <c r="AE776" s="294" t="str">
        <f t="shared" si="352"/>
        <v xml:space="preserve">20140101LS </v>
      </c>
      <c r="AF776" s="618" t="str">
        <f t="shared" si="368"/>
        <v>427</v>
      </c>
      <c r="AH776" s="265">
        <f>MiscData!$X$5</f>
        <v>20140101</v>
      </c>
      <c r="AI776" s="265">
        <f>IF(AI775+1&gt;MiscData!$AC$77,1,AI775+1)</f>
        <v>43</v>
      </c>
      <c r="AJ776" s="265" t="str">
        <f>VLOOKUP(AI776,MiscData!$AC$5:$AD$77,2,FALSE)</f>
        <v>LGUM_427</v>
      </c>
      <c r="AK776" s="265" t="str">
        <f>VLOOKUP(AJ776,MiscData!$AD$5:$AE$77,2,FALSE)</f>
        <v xml:space="preserve">LS </v>
      </c>
      <c r="AT776" s="265" t="s">
        <v>373</v>
      </c>
      <c r="AV776" s="265">
        <v>0</v>
      </c>
    </row>
    <row r="777" spans="1:48">
      <c r="A777" s="275">
        <f t="shared" si="369"/>
        <v>774</v>
      </c>
      <c r="B777" s="276" t="str">
        <f t="shared" si="348"/>
        <v>Nov 2014</v>
      </c>
      <c r="C777" s="277" t="str">
        <f t="shared" si="349"/>
        <v>RLS</v>
      </c>
      <c r="D777" s="277" t="str">
        <f t="shared" si="350"/>
        <v>LGUM_428</v>
      </c>
      <c r="E777" s="614">
        <f t="shared" si="353"/>
        <v>195</v>
      </c>
      <c r="F777" s="615">
        <v>0</v>
      </c>
      <c r="G777" s="614">
        <f t="shared" si="354"/>
        <v>0</v>
      </c>
      <c r="H777" s="615">
        <v>0</v>
      </c>
      <c r="I777" s="283">
        <f t="shared" si="355"/>
        <v>34.090000000000003</v>
      </c>
      <c r="J777" s="283">
        <f t="shared" si="356"/>
        <v>1.0600000000000023</v>
      </c>
      <c r="K777" s="285">
        <f t="shared" si="357"/>
        <v>6647.55</v>
      </c>
      <c r="L777" s="286">
        <v>0</v>
      </c>
      <c r="M777" s="286">
        <v>0</v>
      </c>
      <c r="N777" s="285">
        <f t="shared" si="345"/>
        <v>6647.55</v>
      </c>
      <c r="O777" s="616">
        <f t="shared" si="347"/>
        <v>0</v>
      </c>
      <c r="P777" s="289">
        <f t="shared" si="346"/>
        <v>0</v>
      </c>
      <c r="Q777" s="290">
        <f t="shared" si="358"/>
        <v>0</v>
      </c>
      <c r="R777" s="290">
        <f t="shared" si="359"/>
        <v>0</v>
      </c>
      <c r="S777" s="290">
        <f t="shared" si="360"/>
        <v>0</v>
      </c>
      <c r="T777" s="290">
        <f t="shared" si="361"/>
        <v>0</v>
      </c>
      <c r="U777" s="291">
        <f t="shared" si="362"/>
        <v>6647.55</v>
      </c>
      <c r="V777" s="291">
        <f t="shared" si="366"/>
        <v>-6647.55</v>
      </c>
      <c r="W777" s="265">
        <f t="shared" si="363"/>
        <v>0</v>
      </c>
      <c r="X777" s="291">
        <f t="shared" si="367"/>
        <v>-6647.55</v>
      </c>
      <c r="Y777" s="170">
        <f t="shared" si="364"/>
        <v>206.7</v>
      </c>
      <c r="Z777" s="291">
        <f t="shared" si="365"/>
        <v>-206.7</v>
      </c>
      <c r="AC777" s="276">
        <f>IF(AI777=1,IF(AC776=MiscData!$F$1,EOMONTH(AC776,-11),EOMONTH(AC776,1)),AC776)</f>
        <v>41973</v>
      </c>
      <c r="AD777" s="275" t="str">
        <f t="shared" si="351"/>
        <v>20140101LGUM_428</v>
      </c>
      <c r="AE777" s="294" t="str">
        <f t="shared" si="352"/>
        <v>20140101RLS</v>
      </c>
      <c r="AF777" s="618" t="str">
        <f t="shared" si="368"/>
        <v>428</v>
      </c>
      <c r="AH777" s="265">
        <f>MiscData!$X$5</f>
        <v>20140101</v>
      </c>
      <c r="AI777" s="265">
        <f>IF(AI776+1&gt;MiscData!$AC$77,1,AI776+1)</f>
        <v>44</v>
      </c>
      <c r="AJ777" s="265" t="str">
        <f>VLOOKUP(AI777,MiscData!$AC$5:$AD$77,2,FALSE)</f>
        <v>LGUM_428</v>
      </c>
      <c r="AK777" s="265" t="str">
        <f>VLOOKUP(AJ777,MiscData!$AD$5:$AE$77,2,FALSE)</f>
        <v>RLS</v>
      </c>
      <c r="AT777" s="265" t="s">
        <v>374</v>
      </c>
      <c r="AV777" s="265">
        <v>0</v>
      </c>
    </row>
    <row r="778" spans="1:48">
      <c r="A778" s="275">
        <f t="shared" si="369"/>
        <v>775</v>
      </c>
      <c r="B778" s="276" t="str">
        <f t="shared" ref="B778:B821" si="370">TEXT(AC778,"mmm yyyy")</f>
        <v>Nov 2014</v>
      </c>
      <c r="C778" s="277" t="str">
        <f t="shared" ref="C778:C821" si="371">AK778</f>
        <v xml:space="preserve">LS </v>
      </c>
      <c r="D778" s="277" t="str">
        <f t="shared" ref="D778:D821" si="372">AJ778</f>
        <v>LGUM_429</v>
      </c>
      <c r="E778" s="614">
        <f t="shared" si="353"/>
        <v>188</v>
      </c>
      <c r="F778" s="615">
        <v>0</v>
      </c>
      <c r="G778" s="614">
        <f t="shared" si="354"/>
        <v>0</v>
      </c>
      <c r="H778" s="615">
        <v>0</v>
      </c>
      <c r="I778" s="283">
        <f t="shared" si="355"/>
        <v>36.07</v>
      </c>
      <c r="J778" s="283">
        <f t="shared" si="356"/>
        <v>1.0599999999999952</v>
      </c>
      <c r="K778" s="285">
        <f t="shared" si="357"/>
        <v>6781.16</v>
      </c>
      <c r="L778" s="286">
        <v>0</v>
      </c>
      <c r="M778" s="286">
        <v>0</v>
      </c>
      <c r="N778" s="285">
        <f t="shared" si="345"/>
        <v>6781.16</v>
      </c>
      <c r="O778" s="616">
        <f t="shared" si="347"/>
        <v>0</v>
      </c>
      <c r="P778" s="289">
        <f t="shared" si="346"/>
        <v>0</v>
      </c>
      <c r="Q778" s="290">
        <f t="shared" si="358"/>
        <v>0</v>
      </c>
      <c r="R778" s="290">
        <f t="shared" si="359"/>
        <v>0</v>
      </c>
      <c r="S778" s="290">
        <f t="shared" si="360"/>
        <v>0</v>
      </c>
      <c r="T778" s="290">
        <f t="shared" si="361"/>
        <v>0</v>
      </c>
      <c r="U778" s="291">
        <f t="shared" si="362"/>
        <v>6781.16</v>
      </c>
      <c r="V778" s="291">
        <f t="shared" si="366"/>
        <v>-6781.16</v>
      </c>
      <c r="W778" s="265">
        <f t="shared" si="363"/>
        <v>0</v>
      </c>
      <c r="X778" s="291">
        <f t="shared" si="367"/>
        <v>-6781.16</v>
      </c>
      <c r="Y778" s="170">
        <f t="shared" si="364"/>
        <v>199.28</v>
      </c>
      <c r="Z778" s="291">
        <f t="shared" si="365"/>
        <v>-199.28</v>
      </c>
      <c r="AC778" s="276">
        <f>IF(AI778=1,IF(AC777=MiscData!$F$1,EOMONTH(AC777,-11),EOMONTH(AC777,1)),AC777)</f>
        <v>41973</v>
      </c>
      <c r="AD778" s="275" t="str">
        <f t="shared" ref="AD778:AD827" si="373">CONCATENATE(AH778&amp;AJ778)</f>
        <v>20140101LGUM_429</v>
      </c>
      <c r="AE778" s="294" t="str">
        <f t="shared" ref="AE778:AE827" si="374">CONCATENATE(AH778&amp;AK778)</f>
        <v xml:space="preserve">20140101LS </v>
      </c>
      <c r="AF778" s="618" t="str">
        <f t="shared" si="368"/>
        <v>429</v>
      </c>
      <c r="AH778" s="265">
        <f>MiscData!$X$5</f>
        <v>20140101</v>
      </c>
      <c r="AI778" s="265">
        <f>IF(AI777+1&gt;MiscData!$AC$77,1,AI777+1)</f>
        <v>45</v>
      </c>
      <c r="AJ778" s="265" t="str">
        <f>VLOOKUP(AI778,MiscData!$AC$5:$AD$77,2,FALSE)</f>
        <v>LGUM_429</v>
      </c>
      <c r="AK778" s="265" t="str">
        <f>VLOOKUP(AJ778,MiscData!$AD$5:$AE$77,2,FALSE)</f>
        <v xml:space="preserve">LS </v>
      </c>
      <c r="AT778" s="265" t="s">
        <v>164</v>
      </c>
      <c r="AV778" s="265">
        <v>-3.68</v>
      </c>
    </row>
    <row r="779" spans="1:48">
      <c r="A779" s="275">
        <f t="shared" si="369"/>
        <v>776</v>
      </c>
      <c r="B779" s="276" t="str">
        <f t="shared" si="370"/>
        <v>Nov 2014</v>
      </c>
      <c r="C779" s="277" t="str">
        <f t="shared" si="371"/>
        <v>RLS</v>
      </c>
      <c r="D779" s="277" t="str">
        <f t="shared" si="372"/>
        <v>LGUM_430</v>
      </c>
      <c r="E779" s="614">
        <f t="shared" si="353"/>
        <v>13</v>
      </c>
      <c r="F779" s="615">
        <v>0</v>
      </c>
      <c r="G779" s="614">
        <f t="shared" si="354"/>
        <v>0</v>
      </c>
      <c r="H779" s="615">
        <v>0</v>
      </c>
      <c r="I779" s="283">
        <f t="shared" si="355"/>
        <v>32.26</v>
      </c>
      <c r="J779" s="283">
        <f t="shared" si="356"/>
        <v>0.75</v>
      </c>
      <c r="K779" s="285">
        <f t="shared" si="357"/>
        <v>419.38</v>
      </c>
      <c r="L779" s="286">
        <v>0</v>
      </c>
      <c r="M779" s="286">
        <v>0</v>
      </c>
      <c r="N779" s="285">
        <f t="shared" si="345"/>
        <v>419.38</v>
      </c>
      <c r="O779" s="616">
        <f t="shared" si="347"/>
        <v>0</v>
      </c>
      <c r="P779" s="289">
        <f t="shared" si="346"/>
        <v>0</v>
      </c>
      <c r="Q779" s="290">
        <f t="shared" si="358"/>
        <v>0</v>
      </c>
      <c r="R779" s="290">
        <f t="shared" si="359"/>
        <v>0</v>
      </c>
      <c r="S779" s="290">
        <f t="shared" si="360"/>
        <v>0</v>
      </c>
      <c r="T779" s="290">
        <f t="shared" si="361"/>
        <v>0</v>
      </c>
      <c r="U779" s="291">
        <f t="shared" si="362"/>
        <v>419.38</v>
      </c>
      <c r="V779" s="291">
        <f t="shared" si="366"/>
        <v>-419.38</v>
      </c>
      <c r="W779" s="265">
        <f t="shared" si="363"/>
        <v>0</v>
      </c>
      <c r="X779" s="291">
        <f t="shared" si="367"/>
        <v>-419.38</v>
      </c>
      <c r="Y779" s="170">
        <f t="shared" si="364"/>
        <v>9.75</v>
      </c>
      <c r="Z779" s="291">
        <f t="shared" si="365"/>
        <v>-9.75</v>
      </c>
      <c r="AC779" s="276">
        <f>IF(AI779=1,IF(AC778=MiscData!$F$1,EOMONTH(AC778,-11),EOMONTH(AC778,1)),AC778)</f>
        <v>41973</v>
      </c>
      <c r="AD779" s="275" t="str">
        <f t="shared" si="373"/>
        <v>20140101LGUM_430</v>
      </c>
      <c r="AE779" s="294" t="str">
        <f t="shared" si="374"/>
        <v>20140101RLS</v>
      </c>
      <c r="AF779" s="618" t="str">
        <f t="shared" si="368"/>
        <v>430</v>
      </c>
      <c r="AH779" s="265">
        <f>MiscData!$X$5</f>
        <v>20140101</v>
      </c>
      <c r="AI779" s="265">
        <f>IF(AI778+1&gt;MiscData!$AC$77,1,AI778+1)</f>
        <v>46</v>
      </c>
      <c r="AJ779" s="265" t="str">
        <f>VLOOKUP(AI779,MiscData!$AC$5:$AD$77,2,FALSE)</f>
        <v>LGUM_430</v>
      </c>
      <c r="AK779" s="265" t="str">
        <f>VLOOKUP(AJ779,MiscData!$AD$5:$AE$77,2,FALSE)</f>
        <v>RLS</v>
      </c>
      <c r="AT779" s="265" t="s">
        <v>165</v>
      </c>
      <c r="AV779" s="265">
        <v>-68.010000000000005</v>
      </c>
    </row>
    <row r="780" spans="1:48">
      <c r="A780" s="275">
        <f t="shared" si="369"/>
        <v>777</v>
      </c>
      <c r="B780" s="276" t="str">
        <f t="shared" si="370"/>
        <v>Nov 2014</v>
      </c>
      <c r="C780" s="277" t="str">
        <f t="shared" si="371"/>
        <v xml:space="preserve">LS </v>
      </c>
      <c r="D780" s="277" t="str">
        <f t="shared" si="372"/>
        <v>LGUM_431</v>
      </c>
      <c r="E780" s="614">
        <f t="shared" si="353"/>
        <v>44</v>
      </c>
      <c r="F780" s="615">
        <v>0</v>
      </c>
      <c r="G780" s="614">
        <f t="shared" si="354"/>
        <v>0</v>
      </c>
      <c r="H780" s="615">
        <v>0</v>
      </c>
      <c r="I780" s="283">
        <f t="shared" si="355"/>
        <v>32.93</v>
      </c>
      <c r="J780" s="283">
        <f t="shared" si="356"/>
        <v>0.75</v>
      </c>
      <c r="K780" s="285">
        <f t="shared" si="357"/>
        <v>1448.92</v>
      </c>
      <c r="L780" s="286">
        <v>0</v>
      </c>
      <c r="M780" s="286">
        <v>0</v>
      </c>
      <c r="N780" s="285">
        <f t="shared" si="345"/>
        <v>1448.92</v>
      </c>
      <c r="O780" s="616">
        <f t="shared" si="347"/>
        <v>0</v>
      </c>
      <c r="P780" s="289">
        <f t="shared" si="346"/>
        <v>0</v>
      </c>
      <c r="Q780" s="290">
        <f t="shared" si="358"/>
        <v>0</v>
      </c>
      <c r="R780" s="290">
        <f t="shared" si="359"/>
        <v>0</v>
      </c>
      <c r="S780" s="290">
        <f t="shared" si="360"/>
        <v>0</v>
      </c>
      <c r="T780" s="290">
        <f t="shared" si="361"/>
        <v>0</v>
      </c>
      <c r="U780" s="291">
        <f t="shared" si="362"/>
        <v>1448.92</v>
      </c>
      <c r="V780" s="291">
        <f t="shared" si="366"/>
        <v>-1448.92</v>
      </c>
      <c r="W780" s="265">
        <f t="shared" si="363"/>
        <v>0</v>
      </c>
      <c r="X780" s="291">
        <f t="shared" si="367"/>
        <v>-1448.92</v>
      </c>
      <c r="Y780" s="170">
        <f t="shared" si="364"/>
        <v>33</v>
      </c>
      <c r="Z780" s="291">
        <f t="shared" si="365"/>
        <v>-33</v>
      </c>
      <c r="AC780" s="276">
        <f>IF(AI780=1,IF(AC779=MiscData!$F$1,EOMONTH(AC779,-11),EOMONTH(AC779,1)),AC779)</f>
        <v>41973</v>
      </c>
      <c r="AD780" s="275" t="str">
        <f t="shared" si="373"/>
        <v>20140101LGUM_431</v>
      </c>
      <c r="AE780" s="294" t="str">
        <f t="shared" si="374"/>
        <v xml:space="preserve">20140101LS </v>
      </c>
      <c r="AF780" s="618" t="str">
        <f t="shared" si="368"/>
        <v>431</v>
      </c>
      <c r="AH780" s="265">
        <f>MiscData!$X$5</f>
        <v>20140101</v>
      </c>
      <c r="AI780" s="265">
        <f>IF(AI779+1&gt;MiscData!$AC$77,1,AI779+1)</f>
        <v>47</v>
      </c>
      <c r="AJ780" s="265" t="str">
        <f>VLOOKUP(AI780,MiscData!$AC$5:$AD$77,2,FALSE)</f>
        <v>LGUM_431</v>
      </c>
      <c r="AK780" s="265" t="str">
        <f>VLOOKUP(AJ780,MiscData!$AD$5:$AE$77,2,FALSE)</f>
        <v xml:space="preserve">LS </v>
      </c>
      <c r="AT780" s="265" t="s">
        <v>166</v>
      </c>
      <c r="AV780" s="265">
        <v>-6.79</v>
      </c>
    </row>
    <row r="781" spans="1:48">
      <c r="A781" s="275">
        <f t="shared" si="369"/>
        <v>778</v>
      </c>
      <c r="B781" s="276" t="str">
        <f t="shared" si="370"/>
        <v>Nov 2014</v>
      </c>
      <c r="C781" s="277" t="str">
        <f t="shared" si="371"/>
        <v>RLS</v>
      </c>
      <c r="D781" s="277" t="str">
        <f t="shared" si="372"/>
        <v>LGUM_432</v>
      </c>
      <c r="E781" s="614">
        <f t="shared" si="353"/>
        <v>10</v>
      </c>
      <c r="F781" s="615">
        <v>0</v>
      </c>
      <c r="G781" s="614">
        <f t="shared" si="354"/>
        <v>0</v>
      </c>
      <c r="H781" s="615">
        <v>0</v>
      </c>
      <c r="I781" s="283">
        <f t="shared" si="355"/>
        <v>34.330000000000005</v>
      </c>
      <c r="J781" s="283">
        <f t="shared" si="356"/>
        <v>1.0600000000000023</v>
      </c>
      <c r="K781" s="285">
        <f t="shared" si="357"/>
        <v>343.3</v>
      </c>
      <c r="L781" s="286">
        <v>0</v>
      </c>
      <c r="M781" s="286">
        <v>0</v>
      </c>
      <c r="N781" s="285">
        <f t="shared" si="345"/>
        <v>343.3</v>
      </c>
      <c r="O781" s="616">
        <f t="shared" si="347"/>
        <v>0</v>
      </c>
      <c r="P781" s="289">
        <f t="shared" si="346"/>
        <v>0</v>
      </c>
      <c r="Q781" s="290">
        <f t="shared" si="358"/>
        <v>0</v>
      </c>
      <c r="R781" s="290">
        <f t="shared" si="359"/>
        <v>0</v>
      </c>
      <c r="S781" s="290">
        <f t="shared" si="360"/>
        <v>0</v>
      </c>
      <c r="T781" s="290">
        <f t="shared" si="361"/>
        <v>0</v>
      </c>
      <c r="U781" s="291">
        <f t="shared" si="362"/>
        <v>343.3</v>
      </c>
      <c r="V781" s="291">
        <f t="shared" si="366"/>
        <v>-343.3</v>
      </c>
      <c r="W781" s="265">
        <f t="shared" si="363"/>
        <v>0</v>
      </c>
      <c r="X781" s="291">
        <f t="shared" si="367"/>
        <v>-343.3</v>
      </c>
      <c r="Y781" s="170">
        <f t="shared" si="364"/>
        <v>10.6</v>
      </c>
      <c r="Z781" s="291">
        <f t="shared" si="365"/>
        <v>-10.6</v>
      </c>
      <c r="AC781" s="276">
        <f>IF(AI781=1,IF(AC780=MiscData!$F$1,EOMONTH(AC780,-11),EOMONTH(AC780,1)),AC780)</f>
        <v>41973</v>
      </c>
      <c r="AD781" s="275" t="str">
        <f t="shared" si="373"/>
        <v>20140101LGUM_432</v>
      </c>
      <c r="AE781" s="294" t="str">
        <f t="shared" si="374"/>
        <v>20140101RLS</v>
      </c>
      <c r="AF781" s="618" t="str">
        <f t="shared" si="368"/>
        <v>432</v>
      </c>
      <c r="AH781" s="265">
        <f>MiscData!$X$5</f>
        <v>20140101</v>
      </c>
      <c r="AI781" s="265">
        <f>IF(AI780+1&gt;MiscData!$AC$77,1,AI780+1)</f>
        <v>48</v>
      </c>
      <c r="AJ781" s="265" t="str">
        <f>VLOOKUP(AI781,MiscData!$AC$5:$AD$77,2,FALSE)</f>
        <v>LGUM_432</v>
      </c>
      <c r="AK781" s="265" t="str">
        <f>VLOOKUP(AJ781,MiscData!$AD$5:$AE$77,2,FALSE)</f>
        <v>RLS</v>
      </c>
      <c r="AT781" s="265" t="s">
        <v>167</v>
      </c>
      <c r="AV781" s="265">
        <v>7.11</v>
      </c>
    </row>
    <row r="782" spans="1:48">
      <c r="A782" s="275">
        <f t="shared" si="369"/>
        <v>779</v>
      </c>
      <c r="B782" s="276" t="str">
        <f t="shared" si="370"/>
        <v>Nov 2014</v>
      </c>
      <c r="C782" s="277" t="str">
        <f t="shared" si="371"/>
        <v xml:space="preserve">LS </v>
      </c>
      <c r="D782" s="277" t="str">
        <f t="shared" si="372"/>
        <v>LGUM_433</v>
      </c>
      <c r="E782" s="614">
        <f t="shared" si="353"/>
        <v>170</v>
      </c>
      <c r="F782" s="615">
        <v>0</v>
      </c>
      <c r="G782" s="614">
        <f t="shared" si="354"/>
        <v>0</v>
      </c>
      <c r="H782" s="615">
        <v>0</v>
      </c>
      <c r="I782" s="283">
        <f t="shared" si="355"/>
        <v>34.99</v>
      </c>
      <c r="J782" s="283">
        <f t="shared" si="356"/>
        <v>1.0600000000000023</v>
      </c>
      <c r="K782" s="285">
        <f t="shared" si="357"/>
        <v>5948.3</v>
      </c>
      <c r="L782" s="286">
        <v>0</v>
      </c>
      <c r="M782" s="286">
        <v>0</v>
      </c>
      <c r="N782" s="285">
        <f t="shared" si="345"/>
        <v>5948.3</v>
      </c>
      <c r="O782" s="616">
        <f t="shared" si="347"/>
        <v>0</v>
      </c>
      <c r="P782" s="289">
        <f t="shared" si="346"/>
        <v>0</v>
      </c>
      <c r="Q782" s="290">
        <f t="shared" si="358"/>
        <v>0</v>
      </c>
      <c r="R782" s="290">
        <f t="shared" si="359"/>
        <v>0</v>
      </c>
      <c r="S782" s="290">
        <f t="shared" si="360"/>
        <v>0</v>
      </c>
      <c r="T782" s="290">
        <f t="shared" si="361"/>
        <v>0</v>
      </c>
      <c r="U782" s="291">
        <f t="shared" si="362"/>
        <v>5948.3</v>
      </c>
      <c r="V782" s="291">
        <f t="shared" si="366"/>
        <v>-5948.3</v>
      </c>
      <c r="W782" s="265">
        <f t="shared" si="363"/>
        <v>0</v>
      </c>
      <c r="X782" s="291">
        <f t="shared" si="367"/>
        <v>-5948.3</v>
      </c>
      <c r="Y782" s="170">
        <f t="shared" si="364"/>
        <v>180.2</v>
      </c>
      <c r="Z782" s="291">
        <f t="shared" si="365"/>
        <v>-180.2</v>
      </c>
      <c r="AC782" s="276">
        <f>IF(AI782=1,IF(AC781=MiscData!$F$1,EOMONTH(AC781,-11),EOMONTH(AC781,1)),AC781)</f>
        <v>41973</v>
      </c>
      <c r="AD782" s="275" t="str">
        <f t="shared" si="373"/>
        <v>20140101LGUM_433</v>
      </c>
      <c r="AE782" s="294" t="str">
        <f t="shared" si="374"/>
        <v xml:space="preserve">20140101LS </v>
      </c>
      <c r="AF782" s="618" t="str">
        <f t="shared" si="368"/>
        <v>433</v>
      </c>
      <c r="AH782" s="265">
        <f>MiscData!$X$5</f>
        <v>20140101</v>
      </c>
      <c r="AI782" s="265">
        <f>IF(AI781+1&gt;MiscData!$AC$77,1,AI781+1)</f>
        <v>49</v>
      </c>
      <c r="AJ782" s="265" t="str">
        <f>VLOOKUP(AI782,MiscData!$AC$5:$AD$77,2,FALSE)</f>
        <v>LGUM_433</v>
      </c>
      <c r="AK782" s="265" t="str">
        <f>VLOOKUP(AJ782,MiscData!$AD$5:$AE$77,2,FALSE)</f>
        <v xml:space="preserve">LS </v>
      </c>
      <c r="AT782" s="265" t="s">
        <v>168</v>
      </c>
      <c r="AV782" s="265">
        <v>-14.08</v>
      </c>
    </row>
    <row r="783" spans="1:48">
      <c r="A783" s="275">
        <f t="shared" si="369"/>
        <v>780</v>
      </c>
      <c r="B783" s="276" t="str">
        <f t="shared" si="370"/>
        <v>Nov 2014</v>
      </c>
      <c r="C783" s="277" t="str">
        <f t="shared" si="371"/>
        <v xml:space="preserve">LS </v>
      </c>
      <c r="D783" s="277" t="str">
        <f t="shared" si="372"/>
        <v>LGUM_439</v>
      </c>
      <c r="E783" s="614">
        <f t="shared" si="353"/>
        <v>0</v>
      </c>
      <c r="F783" s="615">
        <v>0</v>
      </c>
      <c r="G783" s="614">
        <f t="shared" si="354"/>
        <v>0</v>
      </c>
      <c r="H783" s="615">
        <v>0</v>
      </c>
      <c r="I783" s="283">
        <f t="shared" si="355"/>
        <v>16.459999999999997</v>
      </c>
      <c r="J783" s="283">
        <f t="shared" si="356"/>
        <v>1.6499999999999986</v>
      </c>
      <c r="K783" s="285">
        <f t="shared" si="357"/>
        <v>0</v>
      </c>
      <c r="L783" s="286">
        <v>0</v>
      </c>
      <c r="M783" s="286">
        <v>0</v>
      </c>
      <c r="N783" s="285">
        <f t="shared" si="345"/>
        <v>0</v>
      </c>
      <c r="O783" s="616">
        <f t="shared" si="347"/>
        <v>0</v>
      </c>
      <c r="P783" s="289">
        <f t="shared" si="346"/>
        <v>1</v>
      </c>
      <c r="Q783" s="290">
        <f t="shared" si="358"/>
        <v>0</v>
      </c>
      <c r="R783" s="290">
        <f t="shared" si="359"/>
        <v>0</v>
      </c>
      <c r="S783" s="290">
        <f t="shared" si="360"/>
        <v>0</v>
      </c>
      <c r="T783" s="290">
        <f t="shared" si="361"/>
        <v>0</v>
      </c>
      <c r="U783" s="291">
        <f t="shared" si="362"/>
        <v>0</v>
      </c>
      <c r="V783" s="291">
        <f t="shared" si="366"/>
        <v>0</v>
      </c>
      <c r="W783" s="265">
        <f t="shared" si="363"/>
        <v>0</v>
      </c>
      <c r="X783" s="291">
        <f t="shared" si="367"/>
        <v>0</v>
      </c>
      <c r="Y783" s="170">
        <f t="shared" si="364"/>
        <v>0</v>
      </c>
      <c r="Z783" s="291">
        <f t="shared" si="365"/>
        <v>0</v>
      </c>
      <c r="AC783" s="276">
        <f>IF(AI783=1,IF(AC782=MiscData!$F$1,EOMONTH(AC782,-11),EOMONTH(AC782,1)),AC782)</f>
        <v>41973</v>
      </c>
      <c r="AD783" s="275" t="str">
        <f t="shared" si="373"/>
        <v>20140101LGUM_439</v>
      </c>
      <c r="AE783" s="294" t="str">
        <f t="shared" si="374"/>
        <v xml:space="preserve">20140101LS </v>
      </c>
      <c r="AF783" s="618" t="str">
        <f t="shared" si="368"/>
        <v>439</v>
      </c>
      <c r="AH783" s="265">
        <f>MiscData!$X$5</f>
        <v>20140101</v>
      </c>
      <c r="AI783" s="265">
        <f>IF(AI782+1&gt;MiscData!$AC$77,1,AI782+1)</f>
        <v>50</v>
      </c>
      <c r="AJ783" s="265" t="str">
        <f>VLOOKUP(AI783,MiscData!$AC$5:$AD$77,2,FALSE)</f>
        <v>LGUM_439</v>
      </c>
      <c r="AK783" s="265" t="str">
        <f>VLOOKUP(AJ783,MiscData!$AD$5:$AE$77,2,FALSE)</f>
        <v xml:space="preserve">LS </v>
      </c>
      <c r="AT783" s="265" t="s">
        <v>504</v>
      </c>
      <c r="AV783" s="265">
        <v>0</v>
      </c>
    </row>
    <row r="784" spans="1:48">
      <c r="A784" s="275">
        <f t="shared" si="369"/>
        <v>781</v>
      </c>
      <c r="B784" s="276" t="str">
        <f t="shared" si="370"/>
        <v>Nov 2014</v>
      </c>
      <c r="C784" s="277" t="str">
        <f t="shared" si="371"/>
        <v xml:space="preserve">LS </v>
      </c>
      <c r="D784" s="277" t="str">
        <f t="shared" si="372"/>
        <v>LGUM_440</v>
      </c>
      <c r="E784" s="614">
        <f t="shared" si="353"/>
        <v>2</v>
      </c>
      <c r="F784" s="615">
        <v>0</v>
      </c>
      <c r="G784" s="614">
        <f t="shared" si="354"/>
        <v>0</v>
      </c>
      <c r="H784" s="615">
        <v>0</v>
      </c>
      <c r="I784" s="283">
        <f t="shared" si="355"/>
        <v>18.279999999999998</v>
      </c>
      <c r="J784" s="283">
        <f t="shared" si="356"/>
        <v>2.67</v>
      </c>
      <c r="K784" s="285">
        <f t="shared" si="357"/>
        <v>36.56</v>
      </c>
      <c r="L784" s="286">
        <v>0</v>
      </c>
      <c r="M784" s="286">
        <v>0</v>
      </c>
      <c r="N784" s="285">
        <f t="shared" si="345"/>
        <v>36.56</v>
      </c>
      <c r="O784" s="616">
        <f t="shared" si="347"/>
        <v>0</v>
      </c>
      <c r="P784" s="289">
        <f t="shared" si="346"/>
        <v>0</v>
      </c>
      <c r="Q784" s="290">
        <f t="shared" si="358"/>
        <v>0</v>
      </c>
      <c r="R784" s="290">
        <f t="shared" si="359"/>
        <v>0</v>
      </c>
      <c r="S784" s="290">
        <f t="shared" si="360"/>
        <v>0</v>
      </c>
      <c r="T784" s="290">
        <f t="shared" si="361"/>
        <v>0</v>
      </c>
      <c r="U784" s="291">
        <f t="shared" si="362"/>
        <v>36.56</v>
      </c>
      <c r="V784" s="291">
        <f t="shared" si="366"/>
        <v>-36.56</v>
      </c>
      <c r="W784" s="265">
        <f t="shared" si="363"/>
        <v>0</v>
      </c>
      <c r="X784" s="291">
        <f t="shared" si="367"/>
        <v>-36.56</v>
      </c>
      <c r="Y784" s="170">
        <f t="shared" si="364"/>
        <v>5.34</v>
      </c>
      <c r="Z784" s="291">
        <f t="shared" si="365"/>
        <v>-5.34</v>
      </c>
      <c r="AC784" s="276">
        <f>IF(AI784=1,IF(AC783=MiscData!$F$1,EOMONTH(AC783,-11),EOMONTH(AC783,1)),AC783)</f>
        <v>41973</v>
      </c>
      <c r="AD784" s="275" t="str">
        <f t="shared" si="373"/>
        <v>20140101LGUM_440</v>
      </c>
      <c r="AE784" s="294" t="str">
        <f t="shared" si="374"/>
        <v xml:space="preserve">20140101LS </v>
      </c>
      <c r="AF784" s="618" t="str">
        <f t="shared" si="368"/>
        <v>440</v>
      </c>
      <c r="AH784" s="265">
        <f>MiscData!$X$5</f>
        <v>20140101</v>
      </c>
      <c r="AI784" s="265">
        <f>IF(AI783+1&gt;MiscData!$AC$77,1,AI783+1)</f>
        <v>51</v>
      </c>
      <c r="AJ784" s="265" t="str">
        <f>VLOOKUP(AI784,MiscData!$AC$5:$AD$77,2,FALSE)</f>
        <v>LGUM_440</v>
      </c>
      <c r="AK784" s="265" t="str">
        <f>VLOOKUP(AJ784,MiscData!$AD$5:$AE$77,2,FALSE)</f>
        <v xml:space="preserve">LS </v>
      </c>
      <c r="AT784" s="265" t="s">
        <v>169</v>
      </c>
      <c r="AV784" s="265">
        <v>0</v>
      </c>
    </row>
    <row r="785" spans="1:48">
      <c r="A785" s="275">
        <f t="shared" si="369"/>
        <v>782</v>
      </c>
      <c r="B785" s="276" t="str">
        <f t="shared" si="370"/>
        <v>Nov 2014</v>
      </c>
      <c r="C785" s="277" t="str">
        <f t="shared" si="371"/>
        <v xml:space="preserve">LS </v>
      </c>
      <c r="D785" s="277" t="str">
        <f t="shared" si="372"/>
        <v>LGUM_441</v>
      </c>
      <c r="E785" s="614">
        <f t="shared" si="353"/>
        <v>13</v>
      </c>
      <c r="F785" s="615">
        <v>0</v>
      </c>
      <c r="G785" s="614">
        <f t="shared" si="354"/>
        <v>0</v>
      </c>
      <c r="H785" s="615">
        <v>0</v>
      </c>
      <c r="I785" s="283">
        <f t="shared" si="355"/>
        <v>22.32</v>
      </c>
      <c r="J785" s="283">
        <f t="shared" si="356"/>
        <v>4.2800000000000011</v>
      </c>
      <c r="K785" s="285">
        <f t="shared" si="357"/>
        <v>290.16000000000003</v>
      </c>
      <c r="L785" s="286">
        <v>0</v>
      </c>
      <c r="M785" s="286">
        <v>0</v>
      </c>
      <c r="N785" s="285">
        <f t="shared" si="345"/>
        <v>290.16000000000003</v>
      </c>
      <c r="O785" s="616">
        <f t="shared" si="347"/>
        <v>0</v>
      </c>
      <c r="P785" s="289">
        <f t="shared" si="346"/>
        <v>0</v>
      </c>
      <c r="Q785" s="290">
        <f t="shared" si="358"/>
        <v>0</v>
      </c>
      <c r="R785" s="290">
        <f t="shared" si="359"/>
        <v>0</v>
      </c>
      <c r="S785" s="290">
        <f t="shared" si="360"/>
        <v>0</v>
      </c>
      <c r="T785" s="290">
        <f t="shared" si="361"/>
        <v>0</v>
      </c>
      <c r="U785" s="291">
        <f t="shared" si="362"/>
        <v>290.16000000000003</v>
      </c>
      <c r="V785" s="291">
        <f t="shared" si="366"/>
        <v>-290.16000000000003</v>
      </c>
      <c r="W785" s="265">
        <f t="shared" si="363"/>
        <v>0</v>
      </c>
      <c r="X785" s="291">
        <f t="shared" si="367"/>
        <v>-290.16000000000003</v>
      </c>
      <c r="Y785" s="170">
        <f t="shared" si="364"/>
        <v>55.64</v>
      </c>
      <c r="Z785" s="291">
        <f t="shared" si="365"/>
        <v>-55.64</v>
      </c>
      <c r="AC785" s="276">
        <f>IF(AI785=1,IF(AC784=MiscData!$F$1,EOMONTH(AC784,-11),EOMONTH(AC784,1)),AC784)</f>
        <v>41973</v>
      </c>
      <c r="AD785" s="275" t="str">
        <f t="shared" si="373"/>
        <v>20140101LGUM_441</v>
      </c>
      <c r="AE785" s="294" t="str">
        <f t="shared" si="374"/>
        <v xml:space="preserve">20140101LS </v>
      </c>
      <c r="AF785" s="618" t="str">
        <f t="shared" si="368"/>
        <v>441</v>
      </c>
      <c r="AH785" s="265">
        <f>MiscData!$X$5</f>
        <v>20140101</v>
      </c>
      <c r="AI785" s="265">
        <f>IF(AI784+1&gt;MiscData!$AC$77,1,AI784+1)</f>
        <v>52</v>
      </c>
      <c r="AJ785" s="265" t="str">
        <f>VLOOKUP(AI785,MiscData!$AC$5:$AD$77,2,FALSE)</f>
        <v>LGUM_441</v>
      </c>
      <c r="AK785" s="265" t="str">
        <f>VLOOKUP(AJ785,MiscData!$AD$5:$AE$77,2,FALSE)</f>
        <v xml:space="preserve">LS </v>
      </c>
      <c r="AT785" s="265" t="s">
        <v>170</v>
      </c>
      <c r="AV785" s="265">
        <v>0</v>
      </c>
    </row>
    <row r="786" spans="1:48">
      <c r="A786" s="275">
        <f t="shared" si="369"/>
        <v>783</v>
      </c>
      <c r="B786" s="276" t="str">
        <f t="shared" si="370"/>
        <v>Nov 2014</v>
      </c>
      <c r="C786" s="277" t="str">
        <f t="shared" si="371"/>
        <v xml:space="preserve">LS </v>
      </c>
      <c r="D786" s="277" t="str">
        <f t="shared" si="372"/>
        <v>LGUM_452</v>
      </c>
      <c r="E786" s="614">
        <f t="shared" si="353"/>
        <v>6201</v>
      </c>
      <c r="F786" s="615">
        <v>0</v>
      </c>
      <c r="G786" s="614">
        <f t="shared" si="354"/>
        <v>0</v>
      </c>
      <c r="H786" s="615">
        <v>0</v>
      </c>
      <c r="I786" s="283">
        <f t="shared" si="355"/>
        <v>12.82</v>
      </c>
      <c r="J786" s="283">
        <f t="shared" si="356"/>
        <v>1.6500000000000004</v>
      </c>
      <c r="K786" s="285">
        <f t="shared" si="357"/>
        <v>79496.820000000007</v>
      </c>
      <c r="L786" s="286">
        <v>0</v>
      </c>
      <c r="M786" s="286">
        <v>0</v>
      </c>
      <c r="N786" s="285">
        <f t="shared" si="345"/>
        <v>79496.820000000007</v>
      </c>
      <c r="O786" s="616">
        <f t="shared" si="347"/>
        <v>0</v>
      </c>
      <c r="P786" s="289">
        <f t="shared" si="346"/>
        <v>0</v>
      </c>
      <c r="Q786" s="290">
        <f t="shared" si="358"/>
        <v>0</v>
      </c>
      <c r="R786" s="290">
        <f t="shared" si="359"/>
        <v>0</v>
      </c>
      <c r="S786" s="290">
        <f t="shared" si="360"/>
        <v>0</v>
      </c>
      <c r="T786" s="290">
        <f t="shared" si="361"/>
        <v>0</v>
      </c>
      <c r="U786" s="291">
        <f t="shared" si="362"/>
        <v>79496.820000000007</v>
      </c>
      <c r="V786" s="291">
        <f t="shared" si="366"/>
        <v>-79496.820000000007</v>
      </c>
      <c r="W786" s="265">
        <f t="shared" si="363"/>
        <v>0</v>
      </c>
      <c r="X786" s="291">
        <f t="shared" si="367"/>
        <v>-79496.820000000007</v>
      </c>
      <c r="Y786" s="170">
        <f t="shared" si="364"/>
        <v>10231.65</v>
      </c>
      <c r="Z786" s="291">
        <f t="shared" si="365"/>
        <v>-10231.65</v>
      </c>
      <c r="AC786" s="276">
        <f>IF(AI786=1,IF(AC785=MiscData!$F$1,EOMONTH(AC785,-11),EOMONTH(AC785,1)),AC785)</f>
        <v>41973</v>
      </c>
      <c r="AD786" s="275" t="str">
        <f t="shared" si="373"/>
        <v>20140101LGUM_452</v>
      </c>
      <c r="AE786" s="294" t="str">
        <f t="shared" si="374"/>
        <v xml:space="preserve">20140101LS </v>
      </c>
      <c r="AF786" s="618" t="str">
        <f t="shared" si="368"/>
        <v>452</v>
      </c>
      <c r="AH786" s="265">
        <f>MiscData!$X$5</f>
        <v>20140101</v>
      </c>
      <c r="AI786" s="265">
        <f>IF(AI785+1&gt;MiscData!$AC$77,1,AI785+1)</f>
        <v>53</v>
      </c>
      <c r="AJ786" s="265" t="str">
        <f>VLOOKUP(AI786,MiscData!$AC$5:$AD$77,2,FALSE)</f>
        <v>LGUM_452</v>
      </c>
      <c r="AK786" s="265" t="str">
        <f>VLOOKUP(AJ786,MiscData!$AD$5:$AE$77,2,FALSE)</f>
        <v xml:space="preserve">LS </v>
      </c>
      <c r="AT786" s="265" t="s">
        <v>508</v>
      </c>
      <c r="AV786" s="265">
        <v>0</v>
      </c>
    </row>
    <row r="787" spans="1:48">
      <c r="A787" s="275">
        <f t="shared" si="369"/>
        <v>784</v>
      </c>
      <c r="B787" s="276" t="str">
        <f t="shared" si="370"/>
        <v>Nov 2014</v>
      </c>
      <c r="C787" s="277" t="str">
        <f t="shared" si="371"/>
        <v xml:space="preserve">LS </v>
      </c>
      <c r="D787" s="277" t="str">
        <f t="shared" si="372"/>
        <v>LGUM_453</v>
      </c>
      <c r="E787" s="614">
        <f t="shared" si="353"/>
        <v>7960</v>
      </c>
      <c r="F787" s="615">
        <v>0</v>
      </c>
      <c r="G787" s="614">
        <f t="shared" si="354"/>
        <v>0</v>
      </c>
      <c r="H787" s="615">
        <v>0</v>
      </c>
      <c r="I787" s="283">
        <f t="shared" si="355"/>
        <v>15.08</v>
      </c>
      <c r="J787" s="283">
        <f t="shared" si="356"/>
        <v>3.9800000000000004</v>
      </c>
      <c r="K787" s="285">
        <f t="shared" si="357"/>
        <v>120036.8</v>
      </c>
      <c r="L787" s="286">
        <v>0</v>
      </c>
      <c r="M787" s="286">
        <v>0</v>
      </c>
      <c r="N787" s="285">
        <f t="shared" si="345"/>
        <v>120036.8</v>
      </c>
      <c r="O787" s="616">
        <f t="shared" si="347"/>
        <v>0</v>
      </c>
      <c r="P787" s="289">
        <f t="shared" si="346"/>
        <v>0</v>
      </c>
      <c r="Q787" s="290">
        <f t="shared" si="358"/>
        <v>0</v>
      </c>
      <c r="R787" s="290">
        <f t="shared" si="359"/>
        <v>0</v>
      </c>
      <c r="S787" s="290">
        <f t="shared" si="360"/>
        <v>0</v>
      </c>
      <c r="T787" s="290">
        <f t="shared" si="361"/>
        <v>0</v>
      </c>
      <c r="U787" s="291">
        <f t="shared" si="362"/>
        <v>120036.8</v>
      </c>
      <c r="V787" s="291">
        <f t="shared" si="366"/>
        <v>-120036.8</v>
      </c>
      <c r="W787" s="265">
        <f t="shared" si="363"/>
        <v>0</v>
      </c>
      <c r="X787" s="291">
        <f t="shared" si="367"/>
        <v>-120036.8</v>
      </c>
      <c r="Y787" s="170">
        <f t="shared" si="364"/>
        <v>31680.799999999999</v>
      </c>
      <c r="Z787" s="291">
        <f t="shared" si="365"/>
        <v>-31680.799999999999</v>
      </c>
      <c r="AC787" s="276">
        <f>IF(AI787=1,IF(AC786=MiscData!$F$1,EOMONTH(AC786,-11),EOMONTH(AC786,1)),AC786)</f>
        <v>41973</v>
      </c>
      <c r="AD787" s="275" t="str">
        <f t="shared" si="373"/>
        <v>20140101LGUM_453</v>
      </c>
      <c r="AE787" s="294" t="str">
        <f t="shared" si="374"/>
        <v xml:space="preserve">20140101LS </v>
      </c>
      <c r="AF787" s="618" t="str">
        <f t="shared" si="368"/>
        <v>453</v>
      </c>
      <c r="AH787" s="265">
        <f>MiscData!$X$5</f>
        <v>20140101</v>
      </c>
      <c r="AI787" s="265">
        <f>IF(AI786+1&gt;MiscData!$AC$77,1,AI786+1)</f>
        <v>54</v>
      </c>
      <c r="AJ787" s="265" t="str">
        <f>VLOOKUP(AI787,MiscData!$AC$5:$AD$77,2,FALSE)</f>
        <v>LGUM_453</v>
      </c>
      <c r="AK787" s="265" t="str">
        <f>VLOOKUP(AJ787,MiscData!$AD$5:$AE$77,2,FALSE)</f>
        <v xml:space="preserve">LS </v>
      </c>
      <c r="AT787" s="265" t="s">
        <v>171</v>
      </c>
      <c r="AV787" s="265">
        <v>0</v>
      </c>
    </row>
    <row r="788" spans="1:48">
      <c r="A788" s="275">
        <f t="shared" si="369"/>
        <v>785</v>
      </c>
      <c r="B788" s="276" t="str">
        <f t="shared" si="370"/>
        <v>Nov 2014</v>
      </c>
      <c r="C788" s="277" t="str">
        <f t="shared" si="371"/>
        <v xml:space="preserve">LS </v>
      </c>
      <c r="D788" s="277" t="str">
        <f t="shared" si="372"/>
        <v>LGUM_454</v>
      </c>
      <c r="E788" s="614">
        <f t="shared" si="353"/>
        <v>5475</v>
      </c>
      <c r="F788" s="615">
        <v>0</v>
      </c>
      <c r="G788" s="614">
        <f t="shared" si="354"/>
        <v>0</v>
      </c>
      <c r="H788" s="615">
        <v>0</v>
      </c>
      <c r="I788" s="283">
        <f t="shared" si="355"/>
        <v>17.38</v>
      </c>
      <c r="J788" s="283">
        <f t="shared" si="356"/>
        <v>4.2800000000000011</v>
      </c>
      <c r="K788" s="285">
        <f t="shared" si="357"/>
        <v>95155.5</v>
      </c>
      <c r="L788" s="286">
        <v>0</v>
      </c>
      <c r="M788" s="286">
        <v>0</v>
      </c>
      <c r="N788" s="285">
        <f t="shared" si="345"/>
        <v>95155.5</v>
      </c>
      <c r="O788" s="616">
        <f t="shared" si="347"/>
        <v>0</v>
      </c>
      <c r="P788" s="289">
        <f t="shared" si="346"/>
        <v>0</v>
      </c>
      <c r="Q788" s="290">
        <f t="shared" si="358"/>
        <v>0</v>
      </c>
      <c r="R788" s="290">
        <f t="shared" si="359"/>
        <v>0</v>
      </c>
      <c r="S788" s="290">
        <f t="shared" si="360"/>
        <v>0</v>
      </c>
      <c r="T788" s="290">
        <f t="shared" si="361"/>
        <v>0</v>
      </c>
      <c r="U788" s="291">
        <f t="shared" si="362"/>
        <v>95155.5</v>
      </c>
      <c r="V788" s="291">
        <f t="shared" si="366"/>
        <v>-95155.5</v>
      </c>
      <c r="W788" s="265">
        <f t="shared" si="363"/>
        <v>0</v>
      </c>
      <c r="X788" s="291">
        <f t="shared" si="367"/>
        <v>-95155.5</v>
      </c>
      <c r="Y788" s="170">
        <f t="shared" si="364"/>
        <v>23433</v>
      </c>
      <c r="Z788" s="291">
        <f t="shared" si="365"/>
        <v>-23433</v>
      </c>
      <c r="AC788" s="276">
        <f>IF(AI788=1,IF(AC787=MiscData!$F$1,EOMONTH(AC787,-11),EOMONTH(AC787,1)),AC787)</f>
        <v>41973</v>
      </c>
      <c r="AD788" s="275" t="str">
        <f t="shared" si="373"/>
        <v>20140101LGUM_454</v>
      </c>
      <c r="AE788" s="294" t="str">
        <f t="shared" si="374"/>
        <v xml:space="preserve">20140101LS </v>
      </c>
      <c r="AF788" s="618" t="str">
        <f t="shared" si="368"/>
        <v>454</v>
      </c>
      <c r="AH788" s="265">
        <f>MiscData!$X$5</f>
        <v>20140101</v>
      </c>
      <c r="AI788" s="265">
        <f>IF(AI787+1&gt;MiscData!$AC$77,1,AI787+1)</f>
        <v>55</v>
      </c>
      <c r="AJ788" s="265" t="str">
        <f>VLOOKUP(AI788,MiscData!$AC$5:$AD$77,2,FALSE)</f>
        <v>LGUM_454</v>
      </c>
      <c r="AK788" s="265" t="str">
        <f>VLOOKUP(AJ788,MiscData!$AD$5:$AE$77,2,FALSE)</f>
        <v xml:space="preserve">LS </v>
      </c>
      <c r="AT788" s="265" t="s">
        <v>172</v>
      </c>
      <c r="AV788" s="265">
        <v>0</v>
      </c>
    </row>
    <row r="789" spans="1:48">
      <c r="A789" s="275">
        <f t="shared" si="369"/>
        <v>786</v>
      </c>
      <c r="B789" s="276" t="str">
        <f t="shared" si="370"/>
        <v>Nov 2014</v>
      </c>
      <c r="C789" s="277" t="str">
        <f t="shared" si="371"/>
        <v xml:space="preserve">LS </v>
      </c>
      <c r="D789" s="277" t="str">
        <f t="shared" si="372"/>
        <v>LGUM_455</v>
      </c>
      <c r="E789" s="614">
        <f t="shared" si="353"/>
        <v>403</v>
      </c>
      <c r="F789" s="615">
        <v>0</v>
      </c>
      <c r="G789" s="614">
        <f t="shared" si="354"/>
        <v>0</v>
      </c>
      <c r="H789" s="615">
        <v>0</v>
      </c>
      <c r="I789" s="283">
        <f t="shared" si="355"/>
        <v>13.77</v>
      </c>
      <c r="J789" s="283">
        <f t="shared" si="356"/>
        <v>1.6499999999999986</v>
      </c>
      <c r="K789" s="285">
        <f t="shared" si="357"/>
        <v>5549.31</v>
      </c>
      <c r="L789" s="286">
        <v>0</v>
      </c>
      <c r="M789" s="286">
        <v>0</v>
      </c>
      <c r="N789" s="285">
        <f t="shared" ref="N789:N864" si="375">SUM(K789:M789)</f>
        <v>5549.31</v>
      </c>
      <c r="O789" s="616">
        <f t="shared" si="347"/>
        <v>0</v>
      </c>
      <c r="P789" s="289">
        <f t="shared" ref="P789:P864" si="376">IF(AND(N789=0,O789=0),1,IF(N789=0,0,O789/N789))</f>
        <v>0</v>
      </c>
      <c r="Q789" s="290">
        <f t="shared" si="358"/>
        <v>0</v>
      </c>
      <c r="R789" s="290">
        <f t="shared" si="359"/>
        <v>0</v>
      </c>
      <c r="S789" s="290">
        <f t="shared" si="360"/>
        <v>0</v>
      </c>
      <c r="T789" s="290">
        <f t="shared" si="361"/>
        <v>0</v>
      </c>
      <c r="U789" s="291">
        <f t="shared" si="362"/>
        <v>5549.31</v>
      </c>
      <c r="V789" s="291">
        <f t="shared" si="366"/>
        <v>-5549.31</v>
      </c>
      <c r="W789" s="265">
        <f t="shared" si="363"/>
        <v>0</v>
      </c>
      <c r="X789" s="291">
        <f t="shared" si="367"/>
        <v>-5549.31</v>
      </c>
      <c r="Y789" s="170">
        <f t="shared" si="364"/>
        <v>664.95</v>
      </c>
      <c r="Z789" s="291">
        <f t="shared" si="365"/>
        <v>-664.95</v>
      </c>
      <c r="AC789" s="276">
        <f>IF(AI789=1,IF(AC788=MiscData!$F$1,EOMONTH(AC788,-11),EOMONTH(AC788,1)),AC788)</f>
        <v>41973</v>
      </c>
      <c r="AD789" s="275" t="str">
        <f t="shared" si="373"/>
        <v>20140101LGUM_455</v>
      </c>
      <c r="AE789" s="294" t="str">
        <f t="shared" si="374"/>
        <v xml:space="preserve">20140101LS </v>
      </c>
      <c r="AF789" s="618" t="str">
        <f t="shared" si="368"/>
        <v>455</v>
      </c>
      <c r="AH789" s="265">
        <f>MiscData!$X$5</f>
        <v>20140101</v>
      </c>
      <c r="AI789" s="265">
        <f>IF(AI788+1&gt;MiscData!$AC$77,1,AI788+1)</f>
        <v>56</v>
      </c>
      <c r="AJ789" s="265" t="str">
        <f>VLOOKUP(AI789,MiscData!$AC$5:$AD$77,2,FALSE)</f>
        <v>LGUM_455</v>
      </c>
      <c r="AK789" s="265" t="str">
        <f>VLOOKUP(AJ789,MiscData!$AD$5:$AE$77,2,FALSE)</f>
        <v xml:space="preserve">LS </v>
      </c>
      <c r="AT789" s="265" t="s">
        <v>173</v>
      </c>
      <c r="AV789" s="265">
        <v>0</v>
      </c>
    </row>
    <row r="790" spans="1:48">
      <c r="A790" s="275">
        <f t="shared" si="369"/>
        <v>787</v>
      </c>
      <c r="B790" s="276" t="str">
        <f t="shared" si="370"/>
        <v>Nov 2014</v>
      </c>
      <c r="C790" s="277" t="str">
        <f t="shared" si="371"/>
        <v xml:space="preserve">LS </v>
      </c>
      <c r="D790" s="277" t="str">
        <f t="shared" si="372"/>
        <v>LGUM_456</v>
      </c>
      <c r="E790" s="614">
        <f t="shared" si="353"/>
        <v>12619</v>
      </c>
      <c r="F790" s="615">
        <v>0</v>
      </c>
      <c r="G790" s="614">
        <f t="shared" si="354"/>
        <v>0</v>
      </c>
      <c r="H790" s="615">
        <v>0</v>
      </c>
      <c r="I790" s="283">
        <f t="shared" si="355"/>
        <v>18.21</v>
      </c>
      <c r="J790" s="283">
        <f t="shared" si="356"/>
        <v>4.2800000000000011</v>
      </c>
      <c r="K790" s="285">
        <f t="shared" si="357"/>
        <v>229791.99</v>
      </c>
      <c r="L790" s="286">
        <v>0</v>
      </c>
      <c r="M790" s="286">
        <v>0</v>
      </c>
      <c r="N790" s="285">
        <f t="shared" si="375"/>
        <v>229791.99</v>
      </c>
      <c r="O790" s="616">
        <f t="shared" si="347"/>
        <v>0</v>
      </c>
      <c r="P790" s="289">
        <f t="shared" si="376"/>
        <v>0</v>
      </c>
      <c r="Q790" s="290">
        <f t="shared" si="358"/>
        <v>0</v>
      </c>
      <c r="R790" s="290">
        <f t="shared" si="359"/>
        <v>0</v>
      </c>
      <c r="S790" s="290">
        <f t="shared" si="360"/>
        <v>0</v>
      </c>
      <c r="T790" s="290">
        <f t="shared" si="361"/>
        <v>0</v>
      </c>
      <c r="U790" s="291">
        <f t="shared" si="362"/>
        <v>229791.99</v>
      </c>
      <c r="V790" s="291">
        <f t="shared" si="366"/>
        <v>-229791.99</v>
      </c>
      <c r="W790" s="265">
        <f t="shared" si="363"/>
        <v>0</v>
      </c>
      <c r="X790" s="291">
        <f t="shared" si="367"/>
        <v>-229791.99</v>
      </c>
      <c r="Y790" s="170">
        <f t="shared" si="364"/>
        <v>54009.32</v>
      </c>
      <c r="Z790" s="291">
        <f t="shared" si="365"/>
        <v>-54009.32</v>
      </c>
      <c r="AC790" s="276">
        <f>IF(AI790=1,IF(AC789=MiscData!$F$1,EOMONTH(AC789,-11),EOMONTH(AC789,1)),AC789)</f>
        <v>41973</v>
      </c>
      <c r="AD790" s="275" t="str">
        <f t="shared" si="373"/>
        <v>20140101LGUM_456</v>
      </c>
      <c r="AE790" s="294" t="str">
        <f t="shared" si="374"/>
        <v xml:space="preserve">20140101LS </v>
      </c>
      <c r="AF790" s="618" t="str">
        <f t="shared" si="368"/>
        <v>456</v>
      </c>
      <c r="AH790" s="265">
        <f>MiscData!$X$5</f>
        <v>20140101</v>
      </c>
      <c r="AI790" s="265">
        <f>IF(AI789+1&gt;MiscData!$AC$77,1,AI789+1)</f>
        <v>57</v>
      </c>
      <c r="AJ790" s="265" t="str">
        <f>VLOOKUP(AI790,MiscData!$AC$5:$AD$77,2,FALSE)</f>
        <v>LGUM_456</v>
      </c>
      <c r="AK790" s="265" t="str">
        <f>VLOOKUP(AJ790,MiscData!$AD$5:$AE$77,2,FALSE)</f>
        <v xml:space="preserve">LS </v>
      </c>
      <c r="AT790" s="265" t="s">
        <v>174</v>
      </c>
      <c r="AV790" s="265">
        <v>0</v>
      </c>
    </row>
    <row r="791" spans="1:48">
      <c r="A791" s="275">
        <f t="shared" si="369"/>
        <v>788</v>
      </c>
      <c r="B791" s="276" t="str">
        <f t="shared" si="370"/>
        <v>Nov 2014</v>
      </c>
      <c r="C791" s="277" t="str">
        <f t="shared" si="371"/>
        <v xml:space="preserve">LS </v>
      </c>
      <c r="D791" s="277" t="str">
        <f t="shared" si="372"/>
        <v>LGUM_457</v>
      </c>
      <c r="E791" s="614">
        <f t="shared" si="353"/>
        <v>3170</v>
      </c>
      <c r="F791" s="615">
        <v>0</v>
      </c>
      <c r="G791" s="614">
        <f t="shared" si="354"/>
        <v>0</v>
      </c>
      <c r="H791" s="615">
        <v>0</v>
      </c>
      <c r="I791" s="283">
        <f t="shared" si="355"/>
        <v>10.86</v>
      </c>
      <c r="J791" s="283">
        <f t="shared" si="356"/>
        <v>1.0599999999999987</v>
      </c>
      <c r="K791" s="285">
        <f t="shared" si="357"/>
        <v>34426.199999999997</v>
      </c>
      <c r="L791" s="286">
        <v>0</v>
      </c>
      <c r="M791" s="286">
        <v>0</v>
      </c>
      <c r="N791" s="285">
        <f t="shared" si="375"/>
        <v>34426.199999999997</v>
      </c>
      <c r="O791" s="616">
        <f t="shared" si="347"/>
        <v>0</v>
      </c>
      <c r="P791" s="289">
        <f t="shared" si="376"/>
        <v>0</v>
      </c>
      <c r="Q791" s="290">
        <f t="shared" si="358"/>
        <v>0</v>
      </c>
      <c r="R791" s="290">
        <f t="shared" si="359"/>
        <v>0</v>
      </c>
      <c r="S791" s="290">
        <f t="shared" si="360"/>
        <v>0</v>
      </c>
      <c r="T791" s="290">
        <f t="shared" si="361"/>
        <v>0</v>
      </c>
      <c r="U791" s="291">
        <f t="shared" si="362"/>
        <v>34426.199999999997</v>
      </c>
      <c r="V791" s="291">
        <f t="shared" si="366"/>
        <v>-34426.199999999997</v>
      </c>
      <c r="W791" s="265">
        <f t="shared" si="363"/>
        <v>0</v>
      </c>
      <c r="X791" s="291">
        <f t="shared" si="367"/>
        <v>-34426.199999999997</v>
      </c>
      <c r="Y791" s="170">
        <f t="shared" si="364"/>
        <v>3360.2</v>
      </c>
      <c r="Z791" s="291">
        <f t="shared" si="365"/>
        <v>-3360.2</v>
      </c>
      <c r="AC791" s="276">
        <f>IF(AI791=1,IF(AC790=MiscData!$F$1,EOMONTH(AC790,-11),EOMONTH(AC790,1)),AC790)</f>
        <v>41973</v>
      </c>
      <c r="AD791" s="275" t="str">
        <f t="shared" si="373"/>
        <v>20140101LGUM_457</v>
      </c>
      <c r="AE791" s="294" t="str">
        <f t="shared" si="374"/>
        <v xml:space="preserve">20140101LS </v>
      </c>
      <c r="AF791" s="618" t="str">
        <f t="shared" si="368"/>
        <v>457</v>
      </c>
      <c r="AH791" s="265">
        <f>MiscData!$X$5</f>
        <v>20140101</v>
      </c>
      <c r="AI791" s="265">
        <f>IF(AI790+1&gt;MiscData!$AC$77,1,AI790+1)</f>
        <v>58</v>
      </c>
      <c r="AJ791" s="265" t="str">
        <f>VLOOKUP(AI791,MiscData!$AC$5:$AD$77,2,FALSE)</f>
        <v>LGUM_457</v>
      </c>
      <c r="AK791" s="265" t="str">
        <f>VLOOKUP(AJ791,MiscData!$AD$5:$AE$77,2,FALSE)</f>
        <v xml:space="preserve">LS </v>
      </c>
      <c r="AT791" s="265" t="s">
        <v>514</v>
      </c>
      <c r="AV791" s="265">
        <v>0</v>
      </c>
    </row>
    <row r="792" spans="1:48">
      <c r="A792" s="275">
        <f t="shared" si="369"/>
        <v>789</v>
      </c>
      <c r="B792" s="276" t="str">
        <f t="shared" si="370"/>
        <v>Nov 2014</v>
      </c>
      <c r="C792" s="277" t="str">
        <f t="shared" si="371"/>
        <v>RLS</v>
      </c>
      <c r="D792" s="277" t="str">
        <f t="shared" si="372"/>
        <v>LGUM_458</v>
      </c>
      <c r="E792" s="614">
        <f t="shared" si="353"/>
        <v>5</v>
      </c>
      <c r="F792" s="615">
        <v>0</v>
      </c>
      <c r="G792" s="614">
        <f t="shared" si="354"/>
        <v>0</v>
      </c>
      <c r="H792" s="615">
        <v>0</v>
      </c>
      <c r="I792" s="283">
        <f t="shared" si="355"/>
        <v>11.13</v>
      </c>
      <c r="J792" s="283">
        <f t="shared" si="356"/>
        <v>3.7700000000000014</v>
      </c>
      <c r="K792" s="285">
        <f t="shared" si="357"/>
        <v>55.65</v>
      </c>
      <c r="L792" s="286">
        <v>0</v>
      </c>
      <c r="M792" s="286">
        <v>0</v>
      </c>
      <c r="N792" s="285">
        <f t="shared" si="375"/>
        <v>55.65</v>
      </c>
      <c r="O792" s="616">
        <f t="shared" si="347"/>
        <v>0</v>
      </c>
      <c r="P792" s="289">
        <f t="shared" si="376"/>
        <v>0</v>
      </c>
      <c r="Q792" s="290">
        <f t="shared" si="358"/>
        <v>0</v>
      </c>
      <c r="R792" s="290">
        <f t="shared" si="359"/>
        <v>0</v>
      </c>
      <c r="S792" s="290">
        <f t="shared" si="360"/>
        <v>0</v>
      </c>
      <c r="T792" s="290">
        <f t="shared" si="361"/>
        <v>0</v>
      </c>
      <c r="U792" s="291">
        <f t="shared" si="362"/>
        <v>55.65</v>
      </c>
      <c r="V792" s="291">
        <f t="shared" si="366"/>
        <v>-55.65</v>
      </c>
      <c r="W792" s="265">
        <f t="shared" si="363"/>
        <v>0</v>
      </c>
      <c r="X792" s="291">
        <f t="shared" si="367"/>
        <v>-55.65</v>
      </c>
      <c r="Y792" s="170">
        <f t="shared" si="364"/>
        <v>18.850000000000001</v>
      </c>
      <c r="Z792" s="291">
        <f t="shared" si="365"/>
        <v>-18.850000000000001</v>
      </c>
      <c r="AC792" s="276">
        <f>IF(AI792=1,IF(AC791=MiscData!$F$1,EOMONTH(AC791,-11),EOMONTH(AC791,1)),AC791)</f>
        <v>41973</v>
      </c>
      <c r="AD792" s="275" t="str">
        <f t="shared" si="373"/>
        <v>20140101LGUM_458</v>
      </c>
      <c r="AE792" s="294" t="str">
        <f t="shared" si="374"/>
        <v>20140101RLS</v>
      </c>
      <c r="AF792" s="618" t="str">
        <f t="shared" si="368"/>
        <v>458</v>
      </c>
      <c r="AH792" s="265">
        <f>MiscData!$X$5</f>
        <v>20140101</v>
      </c>
      <c r="AI792" s="265">
        <f>IF(AI791+1&gt;MiscData!$AC$77,1,AI791+1)</f>
        <v>59</v>
      </c>
      <c r="AJ792" s="265" t="str">
        <f>VLOOKUP(AI792,MiscData!$AC$5:$AD$77,2,FALSE)</f>
        <v>LGUM_458</v>
      </c>
      <c r="AK792" s="265" t="str">
        <f>VLOOKUP(AJ792,MiscData!$AD$5:$AE$77,2,FALSE)</f>
        <v>RLS</v>
      </c>
      <c r="AT792" s="265" t="s">
        <v>516</v>
      </c>
      <c r="AV792" s="265">
        <v>0</v>
      </c>
    </row>
    <row r="793" spans="1:48">
      <c r="A793" s="275">
        <f t="shared" si="369"/>
        <v>790</v>
      </c>
      <c r="B793" s="276" t="str">
        <f t="shared" si="370"/>
        <v>Nov 2014</v>
      </c>
      <c r="C793" s="277" t="str">
        <f t="shared" si="371"/>
        <v xml:space="preserve">LS </v>
      </c>
      <c r="D793" s="277" t="str">
        <f t="shared" si="372"/>
        <v>LGUM_470</v>
      </c>
      <c r="E793" s="614">
        <f t="shared" si="353"/>
        <v>17</v>
      </c>
      <c r="F793" s="615">
        <v>0</v>
      </c>
      <c r="G793" s="614">
        <f t="shared" si="354"/>
        <v>0</v>
      </c>
      <c r="H793" s="615">
        <v>0</v>
      </c>
      <c r="I793" s="283">
        <f t="shared" si="355"/>
        <v>12.79</v>
      </c>
      <c r="J793" s="283">
        <f t="shared" si="356"/>
        <v>1.3699999999999992</v>
      </c>
      <c r="K793" s="285">
        <f t="shared" si="357"/>
        <v>217.43</v>
      </c>
      <c r="L793" s="286">
        <v>0</v>
      </c>
      <c r="M793" s="286">
        <v>0</v>
      </c>
      <c r="N793" s="285">
        <f t="shared" si="375"/>
        <v>217.43</v>
      </c>
      <c r="O793" s="616">
        <f t="shared" si="347"/>
        <v>0</v>
      </c>
      <c r="P793" s="289">
        <f t="shared" si="376"/>
        <v>0</v>
      </c>
      <c r="Q793" s="290">
        <f t="shared" si="358"/>
        <v>0</v>
      </c>
      <c r="R793" s="290">
        <f t="shared" si="359"/>
        <v>0</v>
      </c>
      <c r="S793" s="290">
        <f t="shared" si="360"/>
        <v>0</v>
      </c>
      <c r="T793" s="290">
        <f t="shared" si="361"/>
        <v>0</v>
      </c>
      <c r="U793" s="291">
        <f t="shared" si="362"/>
        <v>217.43</v>
      </c>
      <c r="V793" s="291">
        <f t="shared" si="366"/>
        <v>-217.43</v>
      </c>
      <c r="W793" s="265">
        <f t="shared" si="363"/>
        <v>0</v>
      </c>
      <c r="X793" s="291">
        <f t="shared" si="367"/>
        <v>-217.43</v>
      </c>
      <c r="Y793" s="170">
        <f t="shared" si="364"/>
        <v>23.29</v>
      </c>
      <c r="Z793" s="291">
        <f t="shared" si="365"/>
        <v>-23.29</v>
      </c>
      <c r="AC793" s="276">
        <f>IF(AI793=1,IF(AC792=MiscData!$F$1,EOMONTH(AC792,-11),EOMONTH(AC792,1)),AC792)</f>
        <v>41973</v>
      </c>
      <c r="AD793" s="275" t="str">
        <f t="shared" si="373"/>
        <v>20140101LGUM_470</v>
      </c>
      <c r="AE793" s="294" t="str">
        <f t="shared" si="374"/>
        <v xml:space="preserve">20140101LS </v>
      </c>
      <c r="AF793" s="618" t="str">
        <f t="shared" si="368"/>
        <v>470</v>
      </c>
      <c r="AH793" s="265">
        <f>MiscData!$X$5</f>
        <v>20140101</v>
      </c>
      <c r="AI793" s="265">
        <f>IF(AI792+1&gt;MiscData!$AC$77,1,AI792+1)</f>
        <v>60</v>
      </c>
      <c r="AJ793" s="265" t="str">
        <f>VLOOKUP(AI793,MiscData!$AC$5:$AD$77,2,FALSE)</f>
        <v>LGUM_470</v>
      </c>
      <c r="AK793" s="265" t="str">
        <f>VLOOKUP(AJ793,MiscData!$AD$5:$AE$77,2,FALSE)</f>
        <v xml:space="preserve">LS </v>
      </c>
      <c r="AT793" s="265" t="s">
        <v>175</v>
      </c>
      <c r="AV793" s="265">
        <v>0</v>
      </c>
    </row>
    <row r="794" spans="1:48">
      <c r="A794" s="275">
        <f t="shared" si="369"/>
        <v>791</v>
      </c>
      <c r="B794" s="276" t="str">
        <f t="shared" si="370"/>
        <v>Nov 2014</v>
      </c>
      <c r="C794" s="277" t="str">
        <f t="shared" si="371"/>
        <v>RLS</v>
      </c>
      <c r="D794" s="277" t="str">
        <f t="shared" si="372"/>
        <v>LGUM_471</v>
      </c>
      <c r="E794" s="614">
        <f t="shared" si="353"/>
        <v>2</v>
      </c>
      <c r="F794" s="615">
        <v>0</v>
      </c>
      <c r="G794" s="614">
        <f t="shared" si="354"/>
        <v>0</v>
      </c>
      <c r="H794" s="615">
        <v>0</v>
      </c>
      <c r="I794" s="283">
        <f t="shared" si="355"/>
        <v>15.07</v>
      </c>
      <c r="J794" s="283">
        <f t="shared" si="356"/>
        <v>1.3699999999999992</v>
      </c>
      <c r="K794" s="285">
        <f t="shared" si="357"/>
        <v>30.14</v>
      </c>
      <c r="L794" s="286">
        <v>0</v>
      </c>
      <c r="M794" s="286">
        <v>0</v>
      </c>
      <c r="N794" s="285">
        <f t="shared" si="375"/>
        <v>30.14</v>
      </c>
      <c r="O794" s="616">
        <f t="shared" si="347"/>
        <v>0</v>
      </c>
      <c r="P794" s="289">
        <f t="shared" si="376"/>
        <v>0</v>
      </c>
      <c r="Q794" s="290">
        <f t="shared" si="358"/>
        <v>0</v>
      </c>
      <c r="R794" s="290">
        <f t="shared" si="359"/>
        <v>0</v>
      </c>
      <c r="S794" s="290">
        <f t="shared" si="360"/>
        <v>0</v>
      </c>
      <c r="T794" s="290">
        <f t="shared" si="361"/>
        <v>0</v>
      </c>
      <c r="U794" s="291">
        <f t="shared" si="362"/>
        <v>30.14</v>
      </c>
      <c r="V794" s="291">
        <f t="shared" si="366"/>
        <v>-30.14</v>
      </c>
      <c r="W794" s="265">
        <f t="shared" si="363"/>
        <v>0</v>
      </c>
      <c r="X794" s="291">
        <f t="shared" si="367"/>
        <v>-30.14</v>
      </c>
      <c r="Y794" s="170">
        <f t="shared" si="364"/>
        <v>2.74</v>
      </c>
      <c r="Z794" s="291">
        <f t="shared" si="365"/>
        <v>-2.74</v>
      </c>
      <c r="AC794" s="276">
        <f>IF(AI794=1,IF(AC793=MiscData!$F$1,EOMONTH(AC793,-11),EOMONTH(AC793,1)),AC793)</f>
        <v>41973</v>
      </c>
      <c r="AD794" s="275" t="str">
        <f t="shared" si="373"/>
        <v>20140101LGUM_471</v>
      </c>
      <c r="AE794" s="294" t="str">
        <f t="shared" si="374"/>
        <v>20140101RLS</v>
      </c>
      <c r="AF794" s="618" t="str">
        <f t="shared" si="368"/>
        <v>471</v>
      </c>
      <c r="AH794" s="265">
        <f>MiscData!$X$5</f>
        <v>20140101</v>
      </c>
      <c r="AI794" s="265">
        <f>IF(AI793+1&gt;MiscData!$AC$77,1,AI793+1)</f>
        <v>61</v>
      </c>
      <c r="AJ794" s="265" t="str">
        <f>VLOOKUP(AI794,MiscData!$AC$5:$AD$77,2,FALSE)</f>
        <v>LGUM_471</v>
      </c>
      <c r="AK794" s="265" t="str">
        <f>VLOOKUP(AJ794,MiscData!$AD$5:$AE$77,2,FALSE)</f>
        <v>RLS</v>
      </c>
      <c r="AT794" s="265" t="s">
        <v>176</v>
      </c>
      <c r="AV794" s="265">
        <v>0</v>
      </c>
    </row>
    <row r="795" spans="1:48">
      <c r="A795" s="275">
        <f>A782+1</f>
        <v>780</v>
      </c>
      <c r="B795" s="276" t="str">
        <f t="shared" ref="B795:B806" si="377">TEXT(AC795,"mmm yyyy")</f>
        <v>Nov 2014</v>
      </c>
      <c r="C795" s="277" t="str">
        <f t="shared" ref="C795:C806" si="378">AK795</f>
        <v xml:space="preserve">LS </v>
      </c>
      <c r="D795" s="277" t="str">
        <f t="shared" ref="D795:D806" si="379">AJ795</f>
        <v>LGUM_473</v>
      </c>
      <c r="E795" s="614">
        <f t="shared" si="353"/>
        <v>268</v>
      </c>
      <c r="F795" s="615">
        <v>0</v>
      </c>
      <c r="G795" s="614">
        <f t="shared" si="354"/>
        <v>0</v>
      </c>
      <c r="H795" s="615">
        <v>0</v>
      </c>
      <c r="I795" s="283">
        <f t="shared" si="355"/>
        <v>18.68</v>
      </c>
      <c r="J795" s="283">
        <f t="shared" si="356"/>
        <v>3.1799999999999979</v>
      </c>
      <c r="K795" s="285">
        <f t="shared" si="357"/>
        <v>5006.24</v>
      </c>
      <c r="L795" s="286">
        <v>0</v>
      </c>
      <c r="M795" s="286">
        <v>0</v>
      </c>
      <c r="N795" s="285">
        <f t="shared" ref="N795:N806" si="380">SUM(K795:M795)</f>
        <v>5006.24</v>
      </c>
      <c r="O795" s="616">
        <f t="shared" ref="O795:O806" si="381">T795-SUM(Q795:S795)-SUMIFS(L_1055_Revenue_Poles_Test_Period,L_1055_RateCategory,$D795,L_1055_Revenue_Month,$B795)</f>
        <v>0</v>
      </c>
      <c r="P795" s="289">
        <f t="shared" ref="P795:P806" si="382">IF(AND(N795=0,O795=0),1,IF(N795=0,0,O795/N795))</f>
        <v>0</v>
      </c>
      <c r="Q795" s="290">
        <f t="shared" si="358"/>
        <v>0</v>
      </c>
      <c r="R795" s="290">
        <f t="shared" si="359"/>
        <v>0</v>
      </c>
      <c r="S795" s="290">
        <f t="shared" si="360"/>
        <v>0</v>
      </c>
      <c r="T795" s="290">
        <f t="shared" si="361"/>
        <v>0</v>
      </c>
      <c r="U795" s="291">
        <f t="shared" ref="U795:U806" si="383">SUM(N795,Q795:S795)</f>
        <v>5006.24</v>
      </c>
      <c r="V795" s="291">
        <f t="shared" ref="V795:V806" si="384">ROUND(T795-U795,2)</f>
        <v>-5006.24</v>
      </c>
      <c r="W795" s="265">
        <f t="shared" si="363"/>
        <v>0</v>
      </c>
      <c r="X795" s="291">
        <f t="shared" ref="X795:X806" si="385">V795-W795</f>
        <v>-5006.24</v>
      </c>
      <c r="Y795" s="170">
        <f t="shared" ref="Y795:Y806" si="386">ROUND(E795*J795,2)</f>
        <v>852.24</v>
      </c>
      <c r="Z795" s="291">
        <f t="shared" ref="Z795:Z806" si="387">O795-Y795</f>
        <v>-852.24</v>
      </c>
      <c r="AC795" s="276">
        <f>IF(AI795=1,IF(AC782=MiscData!$F$1,EOMONTH(AC782,-11),EOMONTH(AC782,1)),AC782)</f>
        <v>41973</v>
      </c>
      <c r="AD795" s="275" t="str">
        <f t="shared" ref="AD795:AD806" si="388">CONCATENATE(AH795&amp;AJ795)</f>
        <v>20140101LGUM_473</v>
      </c>
      <c r="AE795" s="294" t="str">
        <f t="shared" ref="AE795:AE806" si="389">CONCATENATE(AH795&amp;AK795)</f>
        <v xml:space="preserve">20140101LS </v>
      </c>
      <c r="AF795" s="618" t="str">
        <f t="shared" ref="AF795:AF806" si="390">RIGHT(AJ795,3)</f>
        <v>473</v>
      </c>
      <c r="AH795" s="265">
        <f>MiscData!$X$5</f>
        <v>20140101</v>
      </c>
      <c r="AI795" s="265">
        <f>IF(AI794+1&gt;MiscData!$AC$77,1,AI794+1)</f>
        <v>62</v>
      </c>
      <c r="AJ795" s="265" t="str">
        <f>VLOOKUP(AI795,MiscData!$AC$5:$AD$77,2,FALSE)</f>
        <v>LGUM_473</v>
      </c>
      <c r="AK795" s="265" t="str">
        <f>VLOOKUP(AJ795,MiscData!$AD$5:$AE$77,2,FALSE)</f>
        <v xml:space="preserve">LS </v>
      </c>
      <c r="AT795" s="265" t="s">
        <v>177</v>
      </c>
      <c r="AV795" s="265">
        <v>0</v>
      </c>
    </row>
    <row r="796" spans="1:48">
      <c r="A796" s="275">
        <f t="shared" si="369"/>
        <v>781</v>
      </c>
      <c r="B796" s="276" t="str">
        <f t="shared" si="377"/>
        <v>Nov 2014</v>
      </c>
      <c r="C796" s="277" t="str">
        <f t="shared" si="378"/>
        <v>RLS</v>
      </c>
      <c r="D796" s="277" t="str">
        <f t="shared" si="379"/>
        <v>LGUM_474</v>
      </c>
      <c r="E796" s="614">
        <f t="shared" si="353"/>
        <v>52</v>
      </c>
      <c r="F796" s="615">
        <v>0</v>
      </c>
      <c r="G796" s="614">
        <f t="shared" si="354"/>
        <v>0</v>
      </c>
      <c r="H796" s="615">
        <v>0</v>
      </c>
      <c r="I796" s="283">
        <f t="shared" si="355"/>
        <v>20.970000000000002</v>
      </c>
      <c r="J796" s="283">
        <f t="shared" si="356"/>
        <v>3.1799999999999997</v>
      </c>
      <c r="K796" s="285">
        <f t="shared" si="357"/>
        <v>1090.44</v>
      </c>
      <c r="L796" s="286">
        <v>0</v>
      </c>
      <c r="M796" s="286">
        <v>0</v>
      </c>
      <c r="N796" s="285">
        <f t="shared" si="380"/>
        <v>1090.44</v>
      </c>
      <c r="O796" s="616">
        <f t="shared" si="381"/>
        <v>0</v>
      </c>
      <c r="P796" s="289">
        <f t="shared" si="382"/>
        <v>0</v>
      </c>
      <c r="Q796" s="290">
        <f t="shared" si="358"/>
        <v>0</v>
      </c>
      <c r="R796" s="290">
        <f t="shared" si="359"/>
        <v>0</v>
      </c>
      <c r="S796" s="290">
        <f t="shared" si="360"/>
        <v>0</v>
      </c>
      <c r="T796" s="290">
        <f t="shared" si="361"/>
        <v>0</v>
      </c>
      <c r="U796" s="291">
        <f t="shared" si="383"/>
        <v>1090.44</v>
      </c>
      <c r="V796" s="291">
        <f t="shared" si="384"/>
        <v>-1090.44</v>
      </c>
      <c r="W796" s="265">
        <f t="shared" si="363"/>
        <v>0</v>
      </c>
      <c r="X796" s="291">
        <f t="shared" si="385"/>
        <v>-1090.44</v>
      </c>
      <c r="Y796" s="170">
        <f t="shared" si="386"/>
        <v>165.36</v>
      </c>
      <c r="Z796" s="291">
        <f t="shared" si="387"/>
        <v>-165.36</v>
      </c>
      <c r="AC796" s="276">
        <f>IF(AI796=1,IF(AC795=MiscData!$F$1,EOMONTH(AC795,-11),EOMONTH(AC795,1)),AC795)</f>
        <v>41973</v>
      </c>
      <c r="AD796" s="275" t="str">
        <f t="shared" si="388"/>
        <v>20140101LGUM_474</v>
      </c>
      <c r="AE796" s="294" t="str">
        <f t="shared" si="389"/>
        <v>20140101RLS</v>
      </c>
      <c r="AF796" s="618" t="str">
        <f t="shared" si="390"/>
        <v>474</v>
      </c>
      <c r="AH796" s="265">
        <f>MiscData!$X$5</f>
        <v>20140101</v>
      </c>
      <c r="AI796" s="265">
        <f>IF(AI795+1&gt;MiscData!$AC$77,1,AI795+1)</f>
        <v>63</v>
      </c>
      <c r="AJ796" s="265" t="str">
        <f>VLOOKUP(AI796,MiscData!$AC$5:$AD$77,2,FALSE)</f>
        <v>LGUM_474</v>
      </c>
      <c r="AK796" s="265" t="str">
        <f>VLOOKUP(AJ796,MiscData!$AD$5:$AE$77,2,FALSE)</f>
        <v>RLS</v>
      </c>
      <c r="AT796" s="265" t="s">
        <v>521</v>
      </c>
      <c r="AV796" s="265">
        <v>0</v>
      </c>
    </row>
    <row r="797" spans="1:48">
      <c r="A797" s="275">
        <f t="shared" si="369"/>
        <v>782</v>
      </c>
      <c r="B797" s="276" t="str">
        <f t="shared" si="377"/>
        <v>Nov 2014</v>
      </c>
      <c r="C797" s="277" t="str">
        <f t="shared" si="378"/>
        <v>RLS</v>
      </c>
      <c r="D797" s="277" t="str">
        <f t="shared" si="379"/>
        <v>LGUM_475</v>
      </c>
      <c r="E797" s="614">
        <f t="shared" si="353"/>
        <v>2</v>
      </c>
      <c r="F797" s="615">
        <v>0</v>
      </c>
      <c r="G797" s="614">
        <f t="shared" si="354"/>
        <v>0</v>
      </c>
      <c r="H797" s="615">
        <v>0</v>
      </c>
      <c r="I797" s="283">
        <f t="shared" si="355"/>
        <v>28.42</v>
      </c>
      <c r="J797" s="283">
        <f t="shared" si="356"/>
        <v>3.1800000000000033</v>
      </c>
      <c r="K797" s="285">
        <f t="shared" si="357"/>
        <v>56.84</v>
      </c>
      <c r="L797" s="286">
        <v>0</v>
      </c>
      <c r="M797" s="286">
        <v>0</v>
      </c>
      <c r="N797" s="285">
        <f t="shared" si="380"/>
        <v>56.84</v>
      </c>
      <c r="O797" s="616">
        <f t="shared" si="381"/>
        <v>0</v>
      </c>
      <c r="P797" s="289">
        <f t="shared" si="382"/>
        <v>0</v>
      </c>
      <c r="Q797" s="290">
        <f t="shared" si="358"/>
        <v>0</v>
      </c>
      <c r="R797" s="290">
        <f t="shared" si="359"/>
        <v>0</v>
      </c>
      <c r="S797" s="290">
        <f t="shared" si="360"/>
        <v>0</v>
      </c>
      <c r="T797" s="290">
        <f t="shared" si="361"/>
        <v>0</v>
      </c>
      <c r="U797" s="291">
        <f t="shared" si="383"/>
        <v>56.84</v>
      </c>
      <c r="V797" s="291">
        <f t="shared" si="384"/>
        <v>-56.84</v>
      </c>
      <c r="W797" s="265">
        <f t="shared" si="363"/>
        <v>0</v>
      </c>
      <c r="X797" s="291">
        <f t="shared" si="385"/>
        <v>-56.84</v>
      </c>
      <c r="Y797" s="170">
        <f t="shared" si="386"/>
        <v>6.36</v>
      </c>
      <c r="Z797" s="291">
        <f t="shared" si="387"/>
        <v>-6.36</v>
      </c>
      <c r="AC797" s="276">
        <f>IF(AI797=1,IF(AC796=MiscData!$F$1,EOMONTH(AC796,-11),EOMONTH(AC796,1)),AC796)</f>
        <v>41973</v>
      </c>
      <c r="AD797" s="275" t="str">
        <f t="shared" si="388"/>
        <v>20140101LGUM_475</v>
      </c>
      <c r="AE797" s="294" t="str">
        <f t="shared" si="389"/>
        <v>20140101RLS</v>
      </c>
      <c r="AF797" s="618" t="str">
        <f t="shared" si="390"/>
        <v>475</v>
      </c>
      <c r="AH797" s="265">
        <f>MiscData!$X$5</f>
        <v>20140101</v>
      </c>
      <c r="AI797" s="265">
        <f>IF(AI796+1&gt;MiscData!$AC$77,1,AI796+1)</f>
        <v>64</v>
      </c>
      <c r="AJ797" s="265" t="str">
        <f>VLOOKUP(AI797,MiscData!$AC$5:$AD$77,2,FALSE)</f>
        <v>LGUM_475</v>
      </c>
      <c r="AK797" s="265" t="str">
        <f>VLOOKUP(AJ797,MiscData!$AD$5:$AE$77,2,FALSE)</f>
        <v>RLS</v>
      </c>
      <c r="AT797" s="265" t="s">
        <v>524</v>
      </c>
      <c r="AV797" s="265">
        <v>0</v>
      </c>
    </row>
    <row r="798" spans="1:48">
      <c r="A798" s="275">
        <f t="shared" si="369"/>
        <v>783</v>
      </c>
      <c r="B798" s="276" t="str">
        <f t="shared" si="377"/>
        <v>Nov 2014</v>
      </c>
      <c r="C798" s="277" t="str">
        <f t="shared" si="378"/>
        <v xml:space="preserve">LS </v>
      </c>
      <c r="D798" s="277" t="str">
        <f t="shared" si="379"/>
        <v>LGUM_476</v>
      </c>
      <c r="E798" s="614">
        <f t="shared" si="353"/>
        <v>339</v>
      </c>
      <c r="F798" s="615">
        <v>0</v>
      </c>
      <c r="G798" s="614">
        <f t="shared" si="354"/>
        <v>0</v>
      </c>
      <c r="H798" s="615">
        <v>0</v>
      </c>
      <c r="I798" s="283">
        <f t="shared" si="355"/>
        <v>39.6</v>
      </c>
      <c r="J798" s="283">
        <f t="shared" si="356"/>
        <v>9.8100000000000023</v>
      </c>
      <c r="K798" s="285">
        <f t="shared" si="357"/>
        <v>13424.4</v>
      </c>
      <c r="L798" s="286">
        <v>0</v>
      </c>
      <c r="M798" s="286">
        <v>0</v>
      </c>
      <c r="N798" s="285">
        <f t="shared" si="380"/>
        <v>13424.4</v>
      </c>
      <c r="O798" s="616">
        <f t="shared" si="381"/>
        <v>0</v>
      </c>
      <c r="P798" s="289">
        <f t="shared" si="382"/>
        <v>0</v>
      </c>
      <c r="Q798" s="290">
        <f t="shared" si="358"/>
        <v>0</v>
      </c>
      <c r="R798" s="290">
        <f t="shared" si="359"/>
        <v>0</v>
      </c>
      <c r="S798" s="290">
        <f t="shared" si="360"/>
        <v>0</v>
      </c>
      <c r="T798" s="290">
        <f t="shared" si="361"/>
        <v>0</v>
      </c>
      <c r="U798" s="291">
        <f t="shared" si="383"/>
        <v>13424.4</v>
      </c>
      <c r="V798" s="291">
        <f t="shared" si="384"/>
        <v>-13424.4</v>
      </c>
      <c r="W798" s="265">
        <f t="shared" si="363"/>
        <v>0</v>
      </c>
      <c r="X798" s="291">
        <f t="shared" si="385"/>
        <v>-13424.4</v>
      </c>
      <c r="Y798" s="170">
        <f t="shared" si="386"/>
        <v>3325.59</v>
      </c>
      <c r="Z798" s="291">
        <f t="shared" si="387"/>
        <v>-3325.59</v>
      </c>
      <c r="AC798" s="276">
        <f>IF(AI798=1,IF(AC797=MiscData!$F$1,EOMONTH(AC797,-11),EOMONTH(AC797,1)),AC797)</f>
        <v>41973</v>
      </c>
      <c r="AD798" s="275" t="str">
        <f t="shared" si="388"/>
        <v>20140101LGUM_476</v>
      </c>
      <c r="AE798" s="294" t="str">
        <f t="shared" si="389"/>
        <v xml:space="preserve">20140101LS </v>
      </c>
      <c r="AF798" s="618" t="str">
        <f t="shared" si="390"/>
        <v>476</v>
      </c>
      <c r="AH798" s="265">
        <f>MiscData!$X$5</f>
        <v>20140101</v>
      </c>
      <c r="AI798" s="265">
        <f>IF(AI797+1&gt;MiscData!$AC$77,1,AI797+1)</f>
        <v>65</v>
      </c>
      <c r="AJ798" s="265" t="str">
        <f>VLOOKUP(AI798,MiscData!$AC$5:$AD$77,2,FALSE)</f>
        <v>LGUM_476</v>
      </c>
      <c r="AK798" s="265" t="str">
        <f>VLOOKUP(AJ798,MiscData!$AD$5:$AE$77,2,FALSE)</f>
        <v xml:space="preserve">LS </v>
      </c>
      <c r="AT798" s="265" t="s">
        <v>178</v>
      </c>
      <c r="AV798" s="265">
        <v>0</v>
      </c>
    </row>
    <row r="799" spans="1:48">
      <c r="A799" s="275">
        <f t="shared" si="369"/>
        <v>784</v>
      </c>
      <c r="B799" s="276" t="str">
        <f t="shared" si="377"/>
        <v>Nov 2014</v>
      </c>
      <c r="C799" s="277" t="str">
        <f t="shared" si="378"/>
        <v>RLS</v>
      </c>
      <c r="D799" s="277" t="str">
        <f t="shared" si="379"/>
        <v>LGUM_477</v>
      </c>
      <c r="E799" s="614">
        <f t="shared" si="353"/>
        <v>59</v>
      </c>
      <c r="F799" s="615">
        <v>0</v>
      </c>
      <c r="G799" s="614">
        <f t="shared" si="354"/>
        <v>0</v>
      </c>
      <c r="H799" s="615">
        <v>0</v>
      </c>
      <c r="I799" s="283">
        <f t="shared" si="355"/>
        <v>42.78</v>
      </c>
      <c r="J799" s="283">
        <f t="shared" si="356"/>
        <v>9.8100000000000023</v>
      </c>
      <c r="K799" s="285">
        <f t="shared" si="357"/>
        <v>2524.02</v>
      </c>
      <c r="L799" s="286">
        <v>0</v>
      </c>
      <c r="M799" s="286">
        <v>0</v>
      </c>
      <c r="N799" s="285">
        <f t="shared" si="380"/>
        <v>2524.02</v>
      </c>
      <c r="O799" s="616">
        <f t="shared" si="381"/>
        <v>0</v>
      </c>
      <c r="P799" s="289">
        <f t="shared" si="382"/>
        <v>0</v>
      </c>
      <c r="Q799" s="290">
        <f t="shared" si="358"/>
        <v>0</v>
      </c>
      <c r="R799" s="290">
        <f t="shared" si="359"/>
        <v>0</v>
      </c>
      <c r="S799" s="290">
        <f t="shared" si="360"/>
        <v>0</v>
      </c>
      <c r="T799" s="290">
        <f t="shared" si="361"/>
        <v>0</v>
      </c>
      <c r="U799" s="291">
        <f t="shared" si="383"/>
        <v>2524.02</v>
      </c>
      <c r="V799" s="291">
        <f t="shared" si="384"/>
        <v>-2524.02</v>
      </c>
      <c r="W799" s="265">
        <f t="shared" si="363"/>
        <v>0</v>
      </c>
      <c r="X799" s="291">
        <f t="shared" si="385"/>
        <v>-2524.02</v>
      </c>
      <c r="Y799" s="170">
        <f t="shared" si="386"/>
        <v>578.79</v>
      </c>
      <c r="Z799" s="291">
        <f t="shared" si="387"/>
        <v>-578.79</v>
      </c>
      <c r="AC799" s="276">
        <f>IF(AI799=1,IF(AC798=MiscData!$F$1,EOMONTH(AC798,-11),EOMONTH(AC798,1)),AC798)</f>
        <v>41973</v>
      </c>
      <c r="AD799" s="275" t="str">
        <f t="shared" si="388"/>
        <v>20140101LGUM_477</v>
      </c>
      <c r="AE799" s="294" t="str">
        <f t="shared" si="389"/>
        <v>20140101RLS</v>
      </c>
      <c r="AF799" s="618" t="str">
        <f t="shared" si="390"/>
        <v>477</v>
      </c>
      <c r="AH799" s="265">
        <f>MiscData!$X$5</f>
        <v>20140101</v>
      </c>
      <c r="AI799" s="265">
        <f>IF(AI798+1&gt;MiscData!$AC$77,1,AI798+1)</f>
        <v>66</v>
      </c>
      <c r="AJ799" s="265" t="str">
        <f>VLOOKUP(AI799,MiscData!$AC$5:$AD$77,2,FALSE)</f>
        <v>LGUM_477</v>
      </c>
      <c r="AK799" s="265" t="str">
        <f>VLOOKUP(AJ799,MiscData!$AD$5:$AE$77,2,FALSE)</f>
        <v>RLS</v>
      </c>
      <c r="AT799" s="265" t="s">
        <v>179</v>
      </c>
      <c r="AV799" s="265">
        <v>0</v>
      </c>
    </row>
    <row r="800" spans="1:48">
      <c r="A800" s="275">
        <f t="shared" si="369"/>
        <v>785</v>
      </c>
      <c r="B800" s="276" t="str">
        <f t="shared" si="377"/>
        <v>Nov 2014</v>
      </c>
      <c r="C800" s="277" t="str">
        <f t="shared" si="378"/>
        <v xml:space="preserve">LS </v>
      </c>
      <c r="D800" s="277" t="str">
        <f t="shared" si="379"/>
        <v>LGUM_479</v>
      </c>
      <c r="E800" s="614">
        <f t="shared" si="353"/>
        <v>0</v>
      </c>
      <c r="F800" s="615">
        <v>0</v>
      </c>
      <c r="G800" s="614">
        <f t="shared" si="354"/>
        <v>0</v>
      </c>
      <c r="H800" s="615">
        <v>0</v>
      </c>
      <c r="I800" s="283">
        <f t="shared" si="355"/>
        <v>14.06</v>
      </c>
      <c r="J800" s="283">
        <f t="shared" si="356"/>
        <v>1.370000000000001</v>
      </c>
      <c r="K800" s="285">
        <f t="shared" si="357"/>
        <v>0</v>
      </c>
      <c r="L800" s="286">
        <v>0</v>
      </c>
      <c r="M800" s="286">
        <v>0</v>
      </c>
      <c r="N800" s="285">
        <f t="shared" si="380"/>
        <v>0</v>
      </c>
      <c r="O800" s="616">
        <f t="shared" si="381"/>
        <v>0</v>
      </c>
      <c r="P800" s="289">
        <f t="shared" si="382"/>
        <v>1</v>
      </c>
      <c r="Q800" s="290">
        <f t="shared" si="358"/>
        <v>0</v>
      </c>
      <c r="R800" s="290">
        <f t="shared" si="359"/>
        <v>0</v>
      </c>
      <c r="S800" s="290">
        <f t="shared" si="360"/>
        <v>0</v>
      </c>
      <c r="T800" s="290">
        <f t="shared" si="361"/>
        <v>0</v>
      </c>
      <c r="U800" s="291">
        <f t="shared" si="383"/>
        <v>0</v>
      </c>
      <c r="V800" s="291">
        <f t="shared" si="384"/>
        <v>0</v>
      </c>
      <c r="W800" s="265">
        <f t="shared" si="363"/>
        <v>0</v>
      </c>
      <c r="X800" s="291">
        <f t="shared" si="385"/>
        <v>0</v>
      </c>
      <c r="Y800" s="170">
        <f t="shared" si="386"/>
        <v>0</v>
      </c>
      <c r="Z800" s="291">
        <f t="shared" si="387"/>
        <v>0</v>
      </c>
      <c r="AC800" s="276">
        <f>IF(AI800=1,IF(AC799=MiscData!$F$1,EOMONTH(AC799,-11),EOMONTH(AC799,1)),AC799)</f>
        <v>41973</v>
      </c>
      <c r="AD800" s="275" t="str">
        <f t="shared" si="388"/>
        <v>20140101LGUM_479</v>
      </c>
      <c r="AE800" s="294" t="str">
        <f t="shared" si="389"/>
        <v xml:space="preserve">20140101LS </v>
      </c>
      <c r="AF800" s="618" t="str">
        <f t="shared" si="390"/>
        <v>479</v>
      </c>
      <c r="AH800" s="265">
        <f>MiscData!$X$5</f>
        <v>20140101</v>
      </c>
      <c r="AI800" s="265">
        <f>IF(AI799+1&gt;MiscData!$AC$77,1,AI799+1)</f>
        <v>67</v>
      </c>
      <c r="AJ800" s="265" t="str">
        <f>VLOOKUP(AI800,MiscData!$AC$5:$AD$77,2,FALSE)</f>
        <v>LGUM_479</v>
      </c>
      <c r="AK800" s="265" t="str">
        <f>VLOOKUP(AJ800,MiscData!$AD$5:$AE$77,2,FALSE)</f>
        <v xml:space="preserve">LS </v>
      </c>
      <c r="AT800" s="265" t="s">
        <v>180</v>
      </c>
      <c r="AV800" s="265">
        <v>0</v>
      </c>
    </row>
    <row r="801" spans="1:48">
      <c r="A801" s="275">
        <f t="shared" si="369"/>
        <v>786</v>
      </c>
      <c r="B801" s="276" t="str">
        <f t="shared" si="377"/>
        <v>Nov 2014</v>
      </c>
      <c r="C801" s="277" t="str">
        <f t="shared" si="378"/>
        <v xml:space="preserve">LS </v>
      </c>
      <c r="D801" s="277" t="str">
        <f t="shared" si="379"/>
        <v>LGUM_480</v>
      </c>
      <c r="E801" s="614">
        <f t="shared" si="353"/>
        <v>17</v>
      </c>
      <c r="F801" s="615">
        <v>0</v>
      </c>
      <c r="G801" s="614">
        <f t="shared" si="354"/>
        <v>0</v>
      </c>
      <c r="H801" s="615">
        <v>0</v>
      </c>
      <c r="I801" s="283">
        <f t="shared" si="355"/>
        <v>23.83</v>
      </c>
      <c r="J801" s="283">
        <f t="shared" si="356"/>
        <v>1.370000000000001</v>
      </c>
      <c r="K801" s="285">
        <f t="shared" si="357"/>
        <v>405.11</v>
      </c>
      <c r="L801" s="286">
        <v>0</v>
      </c>
      <c r="M801" s="286">
        <v>0</v>
      </c>
      <c r="N801" s="285">
        <f t="shared" si="380"/>
        <v>405.11</v>
      </c>
      <c r="O801" s="616">
        <f t="shared" si="381"/>
        <v>0</v>
      </c>
      <c r="P801" s="289">
        <f t="shared" si="382"/>
        <v>0</v>
      </c>
      <c r="Q801" s="290">
        <f t="shared" si="358"/>
        <v>0</v>
      </c>
      <c r="R801" s="290">
        <f t="shared" si="359"/>
        <v>0</v>
      </c>
      <c r="S801" s="290">
        <f t="shared" si="360"/>
        <v>0</v>
      </c>
      <c r="T801" s="290">
        <f t="shared" si="361"/>
        <v>0</v>
      </c>
      <c r="U801" s="291">
        <f t="shared" si="383"/>
        <v>405.11</v>
      </c>
      <c r="V801" s="291">
        <f t="shared" si="384"/>
        <v>-405.11</v>
      </c>
      <c r="W801" s="265">
        <f t="shared" si="363"/>
        <v>0</v>
      </c>
      <c r="X801" s="291">
        <f t="shared" si="385"/>
        <v>-405.11</v>
      </c>
      <c r="Y801" s="170">
        <f t="shared" si="386"/>
        <v>23.29</v>
      </c>
      <c r="Z801" s="291">
        <f t="shared" si="387"/>
        <v>-23.29</v>
      </c>
      <c r="AC801" s="276">
        <f>IF(AI801=1,IF(AC800=MiscData!$F$1,EOMONTH(AC800,-11),EOMONTH(AC800,1)),AC800)</f>
        <v>41973</v>
      </c>
      <c r="AD801" s="275" t="str">
        <f t="shared" si="388"/>
        <v>20140101LGUM_480</v>
      </c>
      <c r="AE801" s="294" t="str">
        <f t="shared" si="389"/>
        <v xml:space="preserve">20140101LS </v>
      </c>
      <c r="AF801" s="618" t="str">
        <f t="shared" si="390"/>
        <v>480</v>
      </c>
      <c r="AH801" s="265">
        <f>MiscData!$X$5</f>
        <v>20140101</v>
      </c>
      <c r="AI801" s="265">
        <f>IF(AI800+1&gt;MiscData!$AC$77,1,AI800+1)</f>
        <v>68</v>
      </c>
      <c r="AJ801" s="265" t="str">
        <f>VLOOKUP(AI801,MiscData!$AC$5:$AD$77,2,FALSE)</f>
        <v>LGUM_480</v>
      </c>
      <c r="AK801" s="265" t="str">
        <f>VLOOKUP(AJ801,MiscData!$AD$5:$AE$77,2,FALSE)</f>
        <v xml:space="preserve">LS </v>
      </c>
      <c r="AT801" s="265" t="s">
        <v>181</v>
      </c>
      <c r="AV801" s="265">
        <v>-40.32</v>
      </c>
    </row>
    <row r="802" spans="1:48">
      <c r="A802" s="275">
        <f t="shared" si="369"/>
        <v>787</v>
      </c>
      <c r="B802" s="276" t="str">
        <f t="shared" si="377"/>
        <v>Nov 2014</v>
      </c>
      <c r="C802" s="277" t="str">
        <f t="shared" si="378"/>
        <v xml:space="preserve">LS </v>
      </c>
      <c r="D802" s="277" t="str">
        <f t="shared" si="379"/>
        <v>LGUM_481</v>
      </c>
      <c r="E802" s="614">
        <f t="shared" si="353"/>
        <v>4</v>
      </c>
      <c r="F802" s="615">
        <v>0</v>
      </c>
      <c r="G802" s="614">
        <f t="shared" si="354"/>
        <v>0</v>
      </c>
      <c r="H802" s="615">
        <v>0</v>
      </c>
      <c r="I802" s="283">
        <f t="shared" si="355"/>
        <v>20.46</v>
      </c>
      <c r="J802" s="283">
        <f t="shared" si="356"/>
        <v>3.1800000000000033</v>
      </c>
      <c r="K802" s="285">
        <f t="shared" si="357"/>
        <v>81.84</v>
      </c>
      <c r="L802" s="286">
        <v>0</v>
      </c>
      <c r="M802" s="286">
        <v>0</v>
      </c>
      <c r="N802" s="285">
        <f t="shared" si="380"/>
        <v>81.84</v>
      </c>
      <c r="O802" s="616">
        <f t="shared" si="381"/>
        <v>0</v>
      </c>
      <c r="P802" s="289">
        <f t="shared" si="382"/>
        <v>0</v>
      </c>
      <c r="Q802" s="290">
        <f t="shared" si="358"/>
        <v>0</v>
      </c>
      <c r="R802" s="290">
        <f t="shared" si="359"/>
        <v>0</v>
      </c>
      <c r="S802" s="290">
        <f t="shared" si="360"/>
        <v>0</v>
      </c>
      <c r="T802" s="290">
        <f t="shared" si="361"/>
        <v>0</v>
      </c>
      <c r="U802" s="291">
        <f t="shared" si="383"/>
        <v>81.84</v>
      </c>
      <c r="V802" s="291">
        <f t="shared" si="384"/>
        <v>-81.84</v>
      </c>
      <c r="W802" s="265">
        <f t="shared" si="363"/>
        <v>0</v>
      </c>
      <c r="X802" s="291">
        <f t="shared" si="385"/>
        <v>-81.84</v>
      </c>
      <c r="Y802" s="170">
        <f t="shared" si="386"/>
        <v>12.72</v>
      </c>
      <c r="Z802" s="291">
        <f t="shared" si="387"/>
        <v>-12.72</v>
      </c>
      <c r="AC802" s="276">
        <f>IF(AI802=1,IF(AC801=MiscData!$F$1,EOMONTH(AC801,-11),EOMONTH(AC801,1)),AC801)</f>
        <v>41973</v>
      </c>
      <c r="AD802" s="275" t="str">
        <f t="shared" si="388"/>
        <v>20140101LGUM_481</v>
      </c>
      <c r="AE802" s="294" t="str">
        <f t="shared" si="389"/>
        <v xml:space="preserve">20140101LS </v>
      </c>
      <c r="AF802" s="618" t="str">
        <f t="shared" si="390"/>
        <v>481</v>
      </c>
      <c r="AH802" s="265">
        <f>MiscData!$X$5</f>
        <v>20140101</v>
      </c>
      <c r="AI802" s="265">
        <f>IF(AI801+1&gt;MiscData!$AC$77,1,AI801+1)</f>
        <v>69</v>
      </c>
      <c r="AJ802" s="265" t="str">
        <f>VLOOKUP(AI802,MiscData!$AC$5:$AD$77,2,FALSE)</f>
        <v>LGUM_481</v>
      </c>
      <c r="AK802" s="265" t="str">
        <f>VLOOKUP(AJ802,MiscData!$AD$5:$AE$77,2,FALSE)</f>
        <v xml:space="preserve">LS </v>
      </c>
      <c r="AT802" s="265" t="s">
        <v>534</v>
      </c>
      <c r="AV802" s="265">
        <v>0</v>
      </c>
    </row>
    <row r="803" spans="1:48">
      <c r="A803" s="275">
        <f t="shared" si="369"/>
        <v>788</v>
      </c>
      <c r="B803" s="276" t="str">
        <f t="shared" si="377"/>
        <v>Nov 2014</v>
      </c>
      <c r="C803" s="277" t="str">
        <f t="shared" si="378"/>
        <v xml:space="preserve">LS </v>
      </c>
      <c r="D803" s="277" t="str">
        <f t="shared" si="379"/>
        <v>LGUM_482</v>
      </c>
      <c r="E803" s="614">
        <f t="shared" si="353"/>
        <v>39</v>
      </c>
      <c r="F803" s="615">
        <v>0</v>
      </c>
      <c r="G803" s="614">
        <f t="shared" si="354"/>
        <v>0</v>
      </c>
      <c r="H803" s="615">
        <v>0</v>
      </c>
      <c r="I803" s="283">
        <f t="shared" si="355"/>
        <v>30.21</v>
      </c>
      <c r="J803" s="283">
        <f t="shared" si="356"/>
        <v>3.1800000000000033</v>
      </c>
      <c r="K803" s="285">
        <f t="shared" si="357"/>
        <v>1178.19</v>
      </c>
      <c r="L803" s="286">
        <v>0</v>
      </c>
      <c r="M803" s="286">
        <v>0</v>
      </c>
      <c r="N803" s="285">
        <f t="shared" si="380"/>
        <v>1178.19</v>
      </c>
      <c r="O803" s="616">
        <f t="shared" si="381"/>
        <v>0</v>
      </c>
      <c r="P803" s="289">
        <f t="shared" si="382"/>
        <v>0</v>
      </c>
      <c r="Q803" s="290">
        <f t="shared" si="358"/>
        <v>0</v>
      </c>
      <c r="R803" s="290">
        <f t="shared" si="359"/>
        <v>0</v>
      </c>
      <c r="S803" s="290">
        <f t="shared" si="360"/>
        <v>0</v>
      </c>
      <c r="T803" s="290">
        <f t="shared" si="361"/>
        <v>0</v>
      </c>
      <c r="U803" s="291">
        <f t="shared" si="383"/>
        <v>1178.19</v>
      </c>
      <c r="V803" s="291">
        <f t="shared" si="384"/>
        <v>-1178.19</v>
      </c>
      <c r="W803" s="265">
        <f t="shared" si="363"/>
        <v>0</v>
      </c>
      <c r="X803" s="291">
        <f t="shared" si="385"/>
        <v>-1178.19</v>
      </c>
      <c r="Y803" s="170">
        <f t="shared" si="386"/>
        <v>124.02</v>
      </c>
      <c r="Z803" s="291">
        <f t="shared" si="387"/>
        <v>-124.02</v>
      </c>
      <c r="AC803" s="276">
        <f>IF(AI803=1,IF(AC802=MiscData!$F$1,EOMONTH(AC802,-11),EOMONTH(AC802,1)),AC802)</f>
        <v>41973</v>
      </c>
      <c r="AD803" s="275" t="str">
        <f t="shared" si="388"/>
        <v>20140101LGUM_482</v>
      </c>
      <c r="AE803" s="294" t="str">
        <f t="shared" si="389"/>
        <v xml:space="preserve">20140101LS </v>
      </c>
      <c r="AF803" s="618" t="str">
        <f t="shared" si="390"/>
        <v>482</v>
      </c>
      <c r="AH803" s="265">
        <f>MiscData!$X$5</f>
        <v>20140101</v>
      </c>
      <c r="AI803" s="265">
        <f>IF(AI802+1&gt;MiscData!$AC$77,1,AI802+1)</f>
        <v>70</v>
      </c>
      <c r="AJ803" s="265" t="str">
        <f>VLOOKUP(AI803,MiscData!$AC$5:$AD$77,2,FALSE)</f>
        <v>LGUM_482</v>
      </c>
      <c r="AK803" s="265" t="str">
        <f>VLOOKUP(AJ803,MiscData!$AD$5:$AE$77,2,FALSE)</f>
        <v xml:space="preserve">LS </v>
      </c>
      <c r="AT803" s="265" t="s">
        <v>182</v>
      </c>
      <c r="AV803" s="265">
        <v>-10.85</v>
      </c>
    </row>
    <row r="804" spans="1:48">
      <c r="A804" s="275">
        <f t="shared" si="369"/>
        <v>789</v>
      </c>
      <c r="B804" s="276" t="str">
        <f t="shared" si="377"/>
        <v>Nov 2014</v>
      </c>
      <c r="C804" s="277" t="str">
        <f t="shared" si="378"/>
        <v xml:space="preserve">LS </v>
      </c>
      <c r="D804" s="277" t="str">
        <f t="shared" si="379"/>
        <v>LGUM_483</v>
      </c>
      <c r="E804" s="614">
        <f t="shared" si="353"/>
        <v>2</v>
      </c>
      <c r="F804" s="615">
        <v>0</v>
      </c>
      <c r="G804" s="614">
        <f t="shared" si="354"/>
        <v>0</v>
      </c>
      <c r="H804" s="615">
        <v>0</v>
      </c>
      <c r="I804" s="283">
        <f t="shared" si="355"/>
        <v>42.56</v>
      </c>
      <c r="J804" s="283">
        <f t="shared" si="356"/>
        <v>9.8100000000000023</v>
      </c>
      <c r="K804" s="285">
        <f t="shared" si="357"/>
        <v>85.12</v>
      </c>
      <c r="L804" s="286">
        <v>0</v>
      </c>
      <c r="M804" s="286">
        <v>0</v>
      </c>
      <c r="N804" s="285">
        <f t="shared" si="380"/>
        <v>85.12</v>
      </c>
      <c r="O804" s="616">
        <f t="shared" si="381"/>
        <v>0</v>
      </c>
      <c r="P804" s="289">
        <f t="shared" si="382"/>
        <v>0</v>
      </c>
      <c r="Q804" s="290">
        <f t="shared" si="358"/>
        <v>0</v>
      </c>
      <c r="R804" s="290">
        <f t="shared" si="359"/>
        <v>0</v>
      </c>
      <c r="S804" s="290">
        <f t="shared" si="360"/>
        <v>0</v>
      </c>
      <c r="T804" s="290">
        <f t="shared" si="361"/>
        <v>0</v>
      </c>
      <c r="U804" s="291">
        <f t="shared" si="383"/>
        <v>85.12</v>
      </c>
      <c r="V804" s="291">
        <f t="shared" si="384"/>
        <v>-85.12</v>
      </c>
      <c r="W804" s="265">
        <f t="shared" si="363"/>
        <v>0</v>
      </c>
      <c r="X804" s="291">
        <f t="shared" si="385"/>
        <v>-85.12</v>
      </c>
      <c r="Y804" s="170">
        <f t="shared" si="386"/>
        <v>19.62</v>
      </c>
      <c r="Z804" s="291">
        <f t="shared" si="387"/>
        <v>-19.62</v>
      </c>
      <c r="AC804" s="276">
        <f>IF(AI804=1,IF(AC803=MiscData!$F$1,EOMONTH(AC803,-11),EOMONTH(AC803,1)),AC803)</f>
        <v>41973</v>
      </c>
      <c r="AD804" s="275" t="str">
        <f t="shared" si="388"/>
        <v>20140101LGUM_483</v>
      </c>
      <c r="AE804" s="294" t="str">
        <f t="shared" si="389"/>
        <v xml:space="preserve">20140101LS </v>
      </c>
      <c r="AF804" s="618" t="str">
        <f t="shared" si="390"/>
        <v>483</v>
      </c>
      <c r="AH804" s="265">
        <f>MiscData!$X$5</f>
        <v>20140101</v>
      </c>
      <c r="AI804" s="265">
        <f>IF(AI803+1&gt;MiscData!$AC$77,1,AI803+1)</f>
        <v>71</v>
      </c>
      <c r="AJ804" s="265" t="str">
        <f>VLOOKUP(AI804,MiscData!$AC$5:$AD$77,2,FALSE)</f>
        <v>LGUM_483</v>
      </c>
      <c r="AK804" s="265" t="str">
        <f>VLOOKUP(AJ804,MiscData!$AD$5:$AE$77,2,FALSE)</f>
        <v xml:space="preserve">LS </v>
      </c>
      <c r="AT804" s="265" t="s">
        <v>183</v>
      </c>
      <c r="AV804" s="265">
        <v>0</v>
      </c>
    </row>
    <row r="805" spans="1:48">
      <c r="A805" s="275">
        <f t="shared" si="369"/>
        <v>790</v>
      </c>
      <c r="B805" s="276" t="str">
        <f t="shared" si="377"/>
        <v>Nov 2014</v>
      </c>
      <c r="C805" s="277" t="str">
        <f t="shared" si="378"/>
        <v xml:space="preserve">LS </v>
      </c>
      <c r="D805" s="277" t="str">
        <f t="shared" si="379"/>
        <v>LGUM_484</v>
      </c>
      <c r="E805" s="614">
        <f t="shared" si="353"/>
        <v>13</v>
      </c>
      <c r="F805" s="615">
        <v>0</v>
      </c>
      <c r="G805" s="614">
        <f t="shared" si="354"/>
        <v>0</v>
      </c>
      <c r="H805" s="615">
        <v>0</v>
      </c>
      <c r="I805" s="283">
        <f t="shared" si="355"/>
        <v>52.31</v>
      </c>
      <c r="J805" s="283">
        <f t="shared" si="356"/>
        <v>9.8100000000000023</v>
      </c>
      <c r="K805" s="285">
        <f t="shared" si="357"/>
        <v>680.03</v>
      </c>
      <c r="L805" s="286">
        <v>0</v>
      </c>
      <c r="M805" s="286">
        <v>0</v>
      </c>
      <c r="N805" s="285">
        <f t="shared" si="380"/>
        <v>680.03</v>
      </c>
      <c r="O805" s="616">
        <f t="shared" si="381"/>
        <v>0</v>
      </c>
      <c r="P805" s="289">
        <f t="shared" si="382"/>
        <v>0</v>
      </c>
      <c r="Q805" s="290">
        <f t="shared" si="358"/>
        <v>0</v>
      </c>
      <c r="R805" s="290">
        <f t="shared" si="359"/>
        <v>0</v>
      </c>
      <c r="S805" s="290">
        <f t="shared" si="360"/>
        <v>0</v>
      </c>
      <c r="T805" s="290">
        <f t="shared" si="361"/>
        <v>0</v>
      </c>
      <c r="U805" s="291">
        <f t="shared" si="383"/>
        <v>680.03</v>
      </c>
      <c r="V805" s="291">
        <f t="shared" si="384"/>
        <v>-680.03</v>
      </c>
      <c r="W805" s="265">
        <f t="shared" si="363"/>
        <v>0</v>
      </c>
      <c r="X805" s="291">
        <f t="shared" si="385"/>
        <v>-680.03</v>
      </c>
      <c r="Y805" s="170">
        <f t="shared" si="386"/>
        <v>127.53</v>
      </c>
      <c r="Z805" s="291">
        <f t="shared" si="387"/>
        <v>-127.53</v>
      </c>
      <c r="AC805" s="276">
        <f>IF(AI805=1,IF(AC804=MiscData!$F$1,EOMONTH(AC804,-11),EOMONTH(AC804,1)),AC804)</f>
        <v>41973</v>
      </c>
      <c r="AD805" s="275" t="str">
        <f t="shared" si="388"/>
        <v>20140101LGUM_484</v>
      </c>
      <c r="AE805" s="294" t="str">
        <f t="shared" si="389"/>
        <v xml:space="preserve">20140101LS </v>
      </c>
      <c r="AF805" s="618" t="str">
        <f t="shared" si="390"/>
        <v>484</v>
      </c>
      <c r="AH805" s="265">
        <f>MiscData!$X$5</f>
        <v>20140101</v>
      </c>
      <c r="AI805" s="265">
        <f>IF(AI804+1&gt;MiscData!$AC$77,1,AI804+1)</f>
        <v>72</v>
      </c>
      <c r="AJ805" s="265" t="str">
        <f>VLOOKUP(AI805,MiscData!$AC$5:$AD$77,2,FALSE)</f>
        <v>LGUM_484</v>
      </c>
      <c r="AK805" s="265" t="str">
        <f>VLOOKUP(AJ805,MiscData!$AD$5:$AE$77,2,FALSE)</f>
        <v xml:space="preserve">LS </v>
      </c>
      <c r="AT805" s="265" t="s">
        <v>400</v>
      </c>
      <c r="AV805" s="265">
        <v>0</v>
      </c>
    </row>
    <row r="806" spans="1:48">
      <c r="A806" s="275">
        <f t="shared" si="369"/>
        <v>791</v>
      </c>
      <c r="B806" s="276" t="str">
        <f t="shared" si="377"/>
        <v>Nov 2014</v>
      </c>
      <c r="C806" s="277" t="str">
        <f t="shared" si="378"/>
        <v>ODL</v>
      </c>
      <c r="D806" s="277" t="str">
        <f t="shared" si="379"/>
        <v>ODL</v>
      </c>
      <c r="E806" s="614">
        <f t="shared" si="353"/>
        <v>0</v>
      </c>
      <c r="F806" s="615">
        <v>0</v>
      </c>
      <c r="G806" s="614">
        <f t="shared" si="354"/>
        <v>9323160</v>
      </c>
      <c r="H806" s="615">
        <v>0</v>
      </c>
      <c r="I806" s="283">
        <f t="shared" si="355"/>
        <v>0</v>
      </c>
      <c r="J806" s="283">
        <f t="shared" si="356"/>
        <v>0</v>
      </c>
      <c r="K806" s="285">
        <f t="shared" si="357"/>
        <v>0</v>
      </c>
      <c r="L806" s="286">
        <v>0</v>
      </c>
      <c r="M806" s="286">
        <v>0</v>
      </c>
      <c r="N806" s="285">
        <f t="shared" si="380"/>
        <v>0</v>
      </c>
      <c r="O806" s="616">
        <f t="shared" si="381"/>
        <v>1476596</v>
      </c>
      <c r="P806" s="289">
        <f t="shared" si="382"/>
        <v>0</v>
      </c>
      <c r="Q806" s="290">
        <f t="shared" si="358"/>
        <v>-3297</v>
      </c>
      <c r="R806" s="290">
        <f t="shared" si="359"/>
        <v>48405</v>
      </c>
      <c r="S806" s="290">
        <f t="shared" si="360"/>
        <v>0</v>
      </c>
      <c r="T806" s="290">
        <f t="shared" si="361"/>
        <v>1521704</v>
      </c>
      <c r="U806" s="291">
        <f t="shared" si="383"/>
        <v>45108</v>
      </c>
      <c r="V806" s="291">
        <f t="shared" si="384"/>
        <v>1476596</v>
      </c>
      <c r="W806" s="265">
        <f t="shared" si="363"/>
        <v>0</v>
      </c>
      <c r="X806" s="291">
        <f t="shared" si="385"/>
        <v>1476596</v>
      </c>
      <c r="Y806" s="170">
        <f t="shared" si="386"/>
        <v>0</v>
      </c>
      <c r="Z806" s="291">
        <f t="shared" si="387"/>
        <v>1476596</v>
      </c>
      <c r="AC806" s="276">
        <f>IF(AI806=1,IF(AC805=MiscData!$F$1,EOMONTH(AC805,-11),EOMONTH(AC805,1)),AC805)</f>
        <v>41973</v>
      </c>
      <c r="AD806" s="275" t="str">
        <f t="shared" si="388"/>
        <v>20140101ODL</v>
      </c>
      <c r="AE806" s="294" t="str">
        <f t="shared" si="389"/>
        <v>20140101ODL</v>
      </c>
      <c r="AF806" s="618" t="str">
        <f t="shared" si="390"/>
        <v>ODL</v>
      </c>
      <c r="AH806" s="265">
        <f>MiscData!$X$5</f>
        <v>20140101</v>
      </c>
      <c r="AI806" s="265">
        <f>IF(AI805+1&gt;MiscData!$AC$77,1,AI805+1)</f>
        <v>73</v>
      </c>
      <c r="AJ806" s="265" t="str">
        <f>VLOOKUP(AI806,MiscData!$AC$5:$AD$77,2,FALSE)</f>
        <v>ODL</v>
      </c>
      <c r="AK806" s="265" t="str">
        <f>VLOOKUP(AJ806,MiscData!$AD$5:$AE$77,2,FALSE)</f>
        <v>ODL</v>
      </c>
      <c r="AT806" s="265" t="s">
        <v>541</v>
      </c>
      <c r="AV806" s="265">
        <v>0</v>
      </c>
    </row>
    <row r="807" spans="1:48">
      <c r="A807" s="275">
        <f>A794+1</f>
        <v>792</v>
      </c>
      <c r="B807" s="276" t="str">
        <f t="shared" si="370"/>
        <v>Dec 2014</v>
      </c>
      <c r="C807" s="277" t="str">
        <f t="shared" si="371"/>
        <v>RLS</v>
      </c>
      <c r="D807" s="277" t="str">
        <f t="shared" si="372"/>
        <v>LGUM_201</v>
      </c>
      <c r="E807" s="614">
        <f t="shared" si="353"/>
        <v>76</v>
      </c>
      <c r="F807" s="615">
        <v>0</v>
      </c>
      <c r="G807" s="614">
        <f t="shared" si="354"/>
        <v>0</v>
      </c>
      <c r="H807" s="615">
        <v>0</v>
      </c>
      <c r="I807" s="283">
        <f t="shared" si="355"/>
        <v>8.14</v>
      </c>
      <c r="J807" s="283">
        <f t="shared" si="356"/>
        <v>1.0899999999999999</v>
      </c>
      <c r="K807" s="285">
        <f t="shared" si="357"/>
        <v>618.64</v>
      </c>
      <c r="L807" s="286">
        <v>0</v>
      </c>
      <c r="M807" s="286">
        <v>0</v>
      </c>
      <c r="N807" s="285">
        <f t="shared" si="375"/>
        <v>618.64</v>
      </c>
      <c r="O807" s="616">
        <f t="shared" si="347"/>
        <v>0</v>
      </c>
      <c r="P807" s="289">
        <f t="shared" si="376"/>
        <v>0</v>
      </c>
      <c r="Q807" s="290">
        <f t="shared" si="358"/>
        <v>0</v>
      </c>
      <c r="R807" s="290">
        <f t="shared" si="359"/>
        <v>0</v>
      </c>
      <c r="S807" s="290">
        <f t="shared" si="360"/>
        <v>0</v>
      </c>
      <c r="T807" s="290">
        <f t="shared" si="361"/>
        <v>0</v>
      </c>
      <c r="U807" s="291">
        <f t="shared" si="362"/>
        <v>618.64</v>
      </c>
      <c r="V807" s="291">
        <f t="shared" si="366"/>
        <v>-618.64</v>
      </c>
      <c r="W807" s="265">
        <f t="shared" si="363"/>
        <v>0</v>
      </c>
      <c r="X807" s="291">
        <f t="shared" si="367"/>
        <v>-618.64</v>
      </c>
      <c r="Y807" s="170">
        <f t="shared" si="364"/>
        <v>82.84</v>
      </c>
      <c r="Z807" s="291">
        <f t="shared" si="365"/>
        <v>-82.84</v>
      </c>
      <c r="AC807" s="276">
        <f>IF(AI807=1,IF(AC794=MiscData!$F$1,EOMONTH(AC794,-11),EOMONTH(AC794,1)),AC794)</f>
        <v>42004</v>
      </c>
      <c r="AD807" s="275" t="str">
        <f t="shared" si="373"/>
        <v>20140101LGUM_201</v>
      </c>
      <c r="AE807" s="294" t="str">
        <f t="shared" si="374"/>
        <v>20140101RLS</v>
      </c>
      <c r="AF807" s="618" t="str">
        <f t="shared" si="368"/>
        <v>201</v>
      </c>
      <c r="AH807" s="265">
        <f>MiscData!$X$5</f>
        <v>20140101</v>
      </c>
      <c r="AI807" s="265">
        <f>IF(AI806+1&gt;MiscData!$AC$77,1,AI806+1)</f>
        <v>1</v>
      </c>
      <c r="AJ807" s="265" t="str">
        <f>VLOOKUP(AI807,MiscData!$AC$5:$AD$77,2,FALSE)</f>
        <v>LGUM_201</v>
      </c>
      <c r="AK807" s="265" t="str">
        <f>VLOOKUP(AJ807,MiscData!$AD$5:$AE$77,2,FALSE)</f>
        <v>RLS</v>
      </c>
      <c r="AT807" s="265" t="s">
        <v>177</v>
      </c>
      <c r="AV807" s="265">
        <v>0</v>
      </c>
    </row>
    <row r="808" spans="1:48">
      <c r="A808" s="275">
        <f t="shared" si="369"/>
        <v>793</v>
      </c>
      <c r="B808" s="276" t="str">
        <f t="shared" si="370"/>
        <v>Dec 2014</v>
      </c>
      <c r="C808" s="277" t="str">
        <f t="shared" si="371"/>
        <v>RLS</v>
      </c>
      <c r="D808" s="277" t="str">
        <f t="shared" si="372"/>
        <v>LGUM_203</v>
      </c>
      <c r="E808" s="614">
        <f t="shared" si="353"/>
        <v>3851</v>
      </c>
      <c r="F808" s="615">
        <v>0</v>
      </c>
      <c r="G808" s="614">
        <f t="shared" si="354"/>
        <v>0</v>
      </c>
      <c r="H808" s="615">
        <v>0</v>
      </c>
      <c r="I808" s="283">
        <f t="shared" si="355"/>
        <v>10.959999999999999</v>
      </c>
      <c r="J808" s="283">
        <f t="shared" si="356"/>
        <v>2.7099999999999991</v>
      </c>
      <c r="K808" s="285">
        <f t="shared" si="357"/>
        <v>42206.96</v>
      </c>
      <c r="L808" s="286">
        <v>0</v>
      </c>
      <c r="M808" s="286">
        <v>0</v>
      </c>
      <c r="N808" s="285">
        <f t="shared" si="375"/>
        <v>42206.96</v>
      </c>
      <c r="O808" s="616">
        <f t="shared" si="347"/>
        <v>0</v>
      </c>
      <c r="P808" s="289">
        <f t="shared" si="376"/>
        <v>0</v>
      </c>
      <c r="Q808" s="290">
        <f t="shared" si="358"/>
        <v>0</v>
      </c>
      <c r="R808" s="290">
        <f t="shared" si="359"/>
        <v>0</v>
      </c>
      <c r="S808" s="290">
        <f t="shared" si="360"/>
        <v>0</v>
      </c>
      <c r="T808" s="290">
        <f t="shared" si="361"/>
        <v>0</v>
      </c>
      <c r="U808" s="291">
        <f t="shared" si="362"/>
        <v>42206.96</v>
      </c>
      <c r="V808" s="291">
        <f t="shared" si="366"/>
        <v>-42206.96</v>
      </c>
      <c r="W808" s="265">
        <f t="shared" si="363"/>
        <v>0</v>
      </c>
      <c r="X808" s="291">
        <f t="shared" si="367"/>
        <v>-42206.96</v>
      </c>
      <c r="Y808" s="170">
        <f t="shared" si="364"/>
        <v>10436.209999999999</v>
      </c>
      <c r="Z808" s="291">
        <f t="shared" si="365"/>
        <v>-10436.209999999999</v>
      </c>
      <c r="AC808" s="276">
        <f>IF(AI808=1,IF(AC807=MiscData!$F$1,EOMONTH(AC807,-11),EOMONTH(AC807,1)),AC807)</f>
        <v>42004</v>
      </c>
      <c r="AD808" s="275" t="str">
        <f t="shared" si="373"/>
        <v>20140101LGUM_203</v>
      </c>
      <c r="AE808" s="294" t="str">
        <f t="shared" si="374"/>
        <v>20140101RLS</v>
      </c>
      <c r="AF808" s="618" t="str">
        <f t="shared" si="368"/>
        <v>203</v>
      </c>
      <c r="AH808" s="265">
        <f>MiscData!$X$5</f>
        <v>20140101</v>
      </c>
      <c r="AI808" s="265">
        <f>IF(AI807+1&gt;MiscData!$AC$77,1,AI807+1)</f>
        <v>2</v>
      </c>
      <c r="AJ808" s="265" t="str">
        <f>VLOOKUP(AI808,MiscData!$AC$5:$AD$77,2,FALSE)</f>
        <v>LGUM_203</v>
      </c>
      <c r="AK808" s="265" t="str">
        <f>VLOOKUP(AJ808,MiscData!$AD$5:$AE$77,2,FALSE)</f>
        <v>RLS</v>
      </c>
      <c r="AT808" s="265" t="s">
        <v>521</v>
      </c>
      <c r="AV808" s="265">
        <v>0</v>
      </c>
    </row>
    <row r="809" spans="1:48">
      <c r="A809" s="275">
        <f t="shared" si="369"/>
        <v>794</v>
      </c>
      <c r="B809" s="276" t="str">
        <f t="shared" si="370"/>
        <v>Dec 2014</v>
      </c>
      <c r="C809" s="277" t="str">
        <f t="shared" si="371"/>
        <v>RLS</v>
      </c>
      <c r="D809" s="277" t="str">
        <f t="shared" si="372"/>
        <v>LGUM_204</v>
      </c>
      <c r="E809" s="614">
        <f t="shared" si="353"/>
        <v>3789</v>
      </c>
      <c r="F809" s="615">
        <v>0</v>
      </c>
      <c r="G809" s="614">
        <f t="shared" si="354"/>
        <v>0</v>
      </c>
      <c r="H809" s="615">
        <v>0</v>
      </c>
      <c r="I809" s="283">
        <f t="shared" si="355"/>
        <v>13.510000000000002</v>
      </c>
      <c r="J809" s="283">
        <f t="shared" si="356"/>
        <v>4.2000000000000011</v>
      </c>
      <c r="K809" s="285">
        <f t="shared" si="357"/>
        <v>51189.39</v>
      </c>
      <c r="L809" s="286">
        <v>0</v>
      </c>
      <c r="M809" s="286">
        <v>0</v>
      </c>
      <c r="N809" s="285">
        <f t="shared" si="375"/>
        <v>51189.39</v>
      </c>
      <c r="O809" s="616">
        <f t="shared" si="347"/>
        <v>0</v>
      </c>
      <c r="P809" s="289">
        <f t="shared" si="376"/>
        <v>0</v>
      </c>
      <c r="Q809" s="290">
        <f t="shared" si="358"/>
        <v>0</v>
      </c>
      <c r="R809" s="290">
        <f t="shared" si="359"/>
        <v>0</v>
      </c>
      <c r="S809" s="290">
        <f t="shared" si="360"/>
        <v>0</v>
      </c>
      <c r="T809" s="290">
        <f t="shared" si="361"/>
        <v>0</v>
      </c>
      <c r="U809" s="291">
        <f t="shared" si="362"/>
        <v>51189.39</v>
      </c>
      <c r="V809" s="291">
        <f t="shared" si="366"/>
        <v>-51189.39</v>
      </c>
      <c r="W809" s="265">
        <f t="shared" si="363"/>
        <v>0</v>
      </c>
      <c r="X809" s="291">
        <f t="shared" si="367"/>
        <v>-51189.39</v>
      </c>
      <c r="Y809" s="170">
        <f t="shared" si="364"/>
        <v>15913.8</v>
      </c>
      <c r="Z809" s="291">
        <f t="shared" si="365"/>
        <v>-15913.8</v>
      </c>
      <c r="AC809" s="276">
        <f>IF(AI809=1,IF(AC808=MiscData!$F$1,EOMONTH(AC808,-11),EOMONTH(AC808,1)),AC808)</f>
        <v>42004</v>
      </c>
      <c r="AD809" s="275" t="str">
        <f t="shared" si="373"/>
        <v>20140101LGUM_204</v>
      </c>
      <c r="AE809" s="294" t="str">
        <f t="shared" si="374"/>
        <v>20140101RLS</v>
      </c>
      <c r="AF809" s="618" t="str">
        <f t="shared" si="368"/>
        <v>204</v>
      </c>
      <c r="AH809" s="265">
        <f>MiscData!$X$5</f>
        <v>20140101</v>
      </c>
      <c r="AI809" s="265">
        <f>IF(AI808+1&gt;MiscData!$AC$77,1,AI808+1)</f>
        <v>3</v>
      </c>
      <c r="AJ809" s="265" t="str">
        <f>VLOOKUP(AI809,MiscData!$AC$5:$AD$77,2,FALSE)</f>
        <v>LGUM_204</v>
      </c>
      <c r="AK809" s="265" t="str">
        <f>VLOOKUP(AJ809,MiscData!$AD$5:$AE$77,2,FALSE)</f>
        <v>RLS</v>
      </c>
      <c r="AT809" s="265" t="s">
        <v>524</v>
      </c>
      <c r="AV809" s="265">
        <v>0</v>
      </c>
    </row>
    <row r="810" spans="1:48">
      <c r="A810" s="275">
        <f t="shared" si="369"/>
        <v>795</v>
      </c>
      <c r="B810" s="276" t="str">
        <f t="shared" si="370"/>
        <v>Dec 2014</v>
      </c>
      <c r="C810" s="277" t="str">
        <f t="shared" si="371"/>
        <v>RLS</v>
      </c>
      <c r="D810" s="277" t="str">
        <f t="shared" si="372"/>
        <v>LGUM_206</v>
      </c>
      <c r="E810" s="614">
        <f t="shared" si="353"/>
        <v>96</v>
      </c>
      <c r="F810" s="615">
        <v>0</v>
      </c>
      <c r="G810" s="614">
        <f t="shared" si="354"/>
        <v>0</v>
      </c>
      <c r="H810" s="615">
        <v>0</v>
      </c>
      <c r="I810" s="283">
        <f t="shared" si="355"/>
        <v>12.450000000000001</v>
      </c>
      <c r="J810" s="283">
        <f t="shared" si="356"/>
        <v>1.0899999999999999</v>
      </c>
      <c r="K810" s="285">
        <f t="shared" si="357"/>
        <v>1195.2</v>
      </c>
      <c r="L810" s="286">
        <v>0</v>
      </c>
      <c r="M810" s="286">
        <v>0</v>
      </c>
      <c r="N810" s="285">
        <f t="shared" si="375"/>
        <v>1195.2</v>
      </c>
      <c r="O810" s="616">
        <f t="shared" si="347"/>
        <v>0</v>
      </c>
      <c r="P810" s="289">
        <f t="shared" si="376"/>
        <v>0</v>
      </c>
      <c r="Q810" s="290">
        <f t="shared" si="358"/>
        <v>0</v>
      </c>
      <c r="R810" s="290">
        <f t="shared" si="359"/>
        <v>0</v>
      </c>
      <c r="S810" s="290">
        <f t="shared" si="360"/>
        <v>0</v>
      </c>
      <c r="T810" s="290">
        <f t="shared" si="361"/>
        <v>0</v>
      </c>
      <c r="U810" s="291">
        <f t="shared" si="362"/>
        <v>1195.2</v>
      </c>
      <c r="V810" s="291">
        <f t="shared" si="366"/>
        <v>-1195.2</v>
      </c>
      <c r="W810" s="265">
        <f t="shared" si="363"/>
        <v>0</v>
      </c>
      <c r="X810" s="291">
        <f t="shared" si="367"/>
        <v>-1195.2</v>
      </c>
      <c r="Y810" s="170">
        <f t="shared" si="364"/>
        <v>104.64</v>
      </c>
      <c r="Z810" s="291">
        <f t="shared" si="365"/>
        <v>-104.64</v>
      </c>
      <c r="AC810" s="276">
        <f>IF(AI810=1,IF(AC809=MiscData!$F$1,EOMONTH(AC809,-11),EOMONTH(AC809,1)),AC809)</f>
        <v>42004</v>
      </c>
      <c r="AD810" s="275" t="str">
        <f t="shared" si="373"/>
        <v>20140101LGUM_206</v>
      </c>
      <c r="AE810" s="294" t="str">
        <f t="shared" si="374"/>
        <v>20140101RLS</v>
      </c>
      <c r="AF810" s="618" t="str">
        <f t="shared" si="368"/>
        <v>206</v>
      </c>
      <c r="AH810" s="265">
        <f>MiscData!$X$5</f>
        <v>20140101</v>
      </c>
      <c r="AI810" s="265">
        <f>IF(AI809+1&gt;MiscData!$AC$77,1,AI809+1)</f>
        <v>4</v>
      </c>
      <c r="AJ810" s="265" t="str">
        <f>VLOOKUP(AI810,MiscData!$AC$5:$AD$77,2,FALSE)</f>
        <v>LGUM_206</v>
      </c>
      <c r="AK810" s="265" t="str">
        <f>VLOOKUP(AJ810,MiscData!$AD$5:$AE$77,2,FALSE)</f>
        <v>RLS</v>
      </c>
      <c r="AT810" s="265" t="s">
        <v>178</v>
      </c>
      <c r="AV810" s="265">
        <v>0</v>
      </c>
    </row>
    <row r="811" spans="1:48">
      <c r="A811" s="275">
        <f t="shared" si="369"/>
        <v>796</v>
      </c>
      <c r="B811" s="276" t="str">
        <f t="shared" si="370"/>
        <v>Dec 2014</v>
      </c>
      <c r="C811" s="277" t="str">
        <f t="shared" si="371"/>
        <v>RLS</v>
      </c>
      <c r="D811" s="277" t="str">
        <f t="shared" si="372"/>
        <v>LGUM_207</v>
      </c>
      <c r="E811" s="614">
        <f t="shared" si="353"/>
        <v>756</v>
      </c>
      <c r="F811" s="615">
        <v>0</v>
      </c>
      <c r="G811" s="614">
        <f t="shared" si="354"/>
        <v>0</v>
      </c>
      <c r="H811" s="615">
        <v>0</v>
      </c>
      <c r="I811" s="283">
        <f t="shared" si="355"/>
        <v>15.54</v>
      </c>
      <c r="J811" s="283">
        <f t="shared" si="356"/>
        <v>4.2000000000000011</v>
      </c>
      <c r="K811" s="285">
        <f t="shared" si="357"/>
        <v>11748.24</v>
      </c>
      <c r="L811" s="286">
        <v>0</v>
      </c>
      <c r="M811" s="286">
        <v>0</v>
      </c>
      <c r="N811" s="285">
        <f t="shared" si="375"/>
        <v>11748.24</v>
      </c>
      <c r="O811" s="616">
        <f t="shared" si="347"/>
        <v>0</v>
      </c>
      <c r="P811" s="289">
        <f t="shared" si="376"/>
        <v>0</v>
      </c>
      <c r="Q811" s="290">
        <f t="shared" si="358"/>
        <v>0</v>
      </c>
      <c r="R811" s="290">
        <f t="shared" si="359"/>
        <v>0</v>
      </c>
      <c r="S811" s="290">
        <f t="shared" si="360"/>
        <v>0</v>
      </c>
      <c r="T811" s="290">
        <f t="shared" si="361"/>
        <v>0</v>
      </c>
      <c r="U811" s="291">
        <f t="shared" si="362"/>
        <v>11748.24</v>
      </c>
      <c r="V811" s="291">
        <f t="shared" si="366"/>
        <v>-11748.24</v>
      </c>
      <c r="W811" s="265">
        <f t="shared" si="363"/>
        <v>0</v>
      </c>
      <c r="X811" s="291">
        <f t="shared" si="367"/>
        <v>-11748.24</v>
      </c>
      <c r="Y811" s="170">
        <f t="shared" si="364"/>
        <v>3175.2</v>
      </c>
      <c r="Z811" s="291">
        <f t="shared" si="365"/>
        <v>-3175.2</v>
      </c>
      <c r="AC811" s="276">
        <f>IF(AI811=1,IF(AC810=MiscData!$F$1,EOMONTH(AC810,-11),EOMONTH(AC810,1)),AC810)</f>
        <v>42004</v>
      </c>
      <c r="AD811" s="275" t="str">
        <f t="shared" si="373"/>
        <v>20140101LGUM_207</v>
      </c>
      <c r="AE811" s="294" t="str">
        <f t="shared" si="374"/>
        <v>20140101RLS</v>
      </c>
      <c r="AF811" s="618" t="str">
        <f t="shared" si="368"/>
        <v>207</v>
      </c>
      <c r="AH811" s="265">
        <f>MiscData!$X$5</f>
        <v>20140101</v>
      </c>
      <c r="AI811" s="265">
        <f>IF(AI810+1&gt;MiscData!$AC$77,1,AI810+1)</f>
        <v>5</v>
      </c>
      <c r="AJ811" s="265" t="str">
        <f>VLOOKUP(AI811,MiscData!$AC$5:$AD$77,2,FALSE)</f>
        <v>LGUM_207</v>
      </c>
      <c r="AK811" s="265" t="str">
        <f>VLOOKUP(AJ811,MiscData!$AD$5:$AE$77,2,FALSE)</f>
        <v>RLS</v>
      </c>
      <c r="AT811" s="265" t="s">
        <v>179</v>
      </c>
      <c r="AV811" s="265">
        <v>0</v>
      </c>
    </row>
    <row r="812" spans="1:48">
      <c r="A812" s="275">
        <f t="shared" si="369"/>
        <v>797</v>
      </c>
      <c r="B812" s="276" t="str">
        <f t="shared" si="370"/>
        <v>Dec 2014</v>
      </c>
      <c r="C812" s="277" t="str">
        <f t="shared" si="371"/>
        <v>RLS</v>
      </c>
      <c r="D812" s="277" t="str">
        <f t="shared" si="372"/>
        <v>LGUM_208</v>
      </c>
      <c r="E812" s="614">
        <f t="shared" si="353"/>
        <v>1400</v>
      </c>
      <c r="F812" s="615">
        <v>0</v>
      </c>
      <c r="G812" s="614">
        <f t="shared" si="354"/>
        <v>0</v>
      </c>
      <c r="H812" s="615">
        <v>0</v>
      </c>
      <c r="I812" s="283">
        <f t="shared" si="355"/>
        <v>14.24</v>
      </c>
      <c r="J812" s="283">
        <f t="shared" si="356"/>
        <v>1.9100000000000001</v>
      </c>
      <c r="K812" s="285">
        <f t="shared" si="357"/>
        <v>19936</v>
      </c>
      <c r="L812" s="286">
        <v>0</v>
      </c>
      <c r="M812" s="286">
        <v>0</v>
      </c>
      <c r="N812" s="285">
        <f t="shared" si="375"/>
        <v>19936</v>
      </c>
      <c r="O812" s="616">
        <f t="shared" si="347"/>
        <v>0</v>
      </c>
      <c r="P812" s="289">
        <f t="shared" si="376"/>
        <v>0</v>
      </c>
      <c r="Q812" s="290">
        <f t="shared" si="358"/>
        <v>0</v>
      </c>
      <c r="R812" s="290">
        <f t="shared" si="359"/>
        <v>0</v>
      </c>
      <c r="S812" s="290">
        <f t="shared" si="360"/>
        <v>0</v>
      </c>
      <c r="T812" s="290">
        <f t="shared" si="361"/>
        <v>0</v>
      </c>
      <c r="U812" s="291">
        <f t="shared" si="362"/>
        <v>19936</v>
      </c>
      <c r="V812" s="291">
        <f t="shared" si="366"/>
        <v>-19936</v>
      </c>
      <c r="W812" s="265">
        <f t="shared" si="363"/>
        <v>0</v>
      </c>
      <c r="X812" s="291">
        <f t="shared" si="367"/>
        <v>-19936</v>
      </c>
      <c r="Y812" s="170">
        <f t="shared" si="364"/>
        <v>2674</v>
      </c>
      <c r="Z812" s="291">
        <f t="shared" si="365"/>
        <v>-2674</v>
      </c>
      <c r="AC812" s="276">
        <f>IF(AI812=1,IF(AC811=MiscData!$F$1,EOMONTH(AC811,-11),EOMONTH(AC811,1)),AC811)</f>
        <v>42004</v>
      </c>
      <c r="AD812" s="275" t="str">
        <f t="shared" si="373"/>
        <v>20140101LGUM_208</v>
      </c>
      <c r="AE812" s="294" t="str">
        <f t="shared" si="374"/>
        <v>20140101RLS</v>
      </c>
      <c r="AF812" s="618" t="str">
        <f t="shared" si="368"/>
        <v>208</v>
      </c>
      <c r="AH812" s="265">
        <f>MiscData!$X$5</f>
        <v>20140101</v>
      </c>
      <c r="AI812" s="265">
        <f>IF(AI811+1&gt;MiscData!$AC$77,1,AI811+1)</f>
        <v>6</v>
      </c>
      <c r="AJ812" s="265" t="str">
        <f>VLOOKUP(AI812,MiscData!$AC$5:$AD$77,2,FALSE)</f>
        <v>LGUM_208</v>
      </c>
      <c r="AK812" s="265" t="str">
        <f>VLOOKUP(AJ812,MiscData!$AD$5:$AE$77,2,FALSE)</f>
        <v>RLS</v>
      </c>
      <c r="AT812" s="265" t="s">
        <v>180</v>
      </c>
      <c r="AV812" s="265">
        <v>0</v>
      </c>
    </row>
    <row r="813" spans="1:48">
      <c r="A813" s="275">
        <f t="shared" si="369"/>
        <v>798</v>
      </c>
      <c r="B813" s="276" t="str">
        <f t="shared" si="370"/>
        <v>Dec 2014</v>
      </c>
      <c r="C813" s="277" t="str">
        <f t="shared" si="371"/>
        <v>RLS</v>
      </c>
      <c r="D813" s="277" t="str">
        <f t="shared" si="372"/>
        <v>LGUM_209</v>
      </c>
      <c r="E813" s="614">
        <f t="shared" si="353"/>
        <v>45</v>
      </c>
      <c r="F813" s="615">
        <v>0</v>
      </c>
      <c r="G813" s="614">
        <f t="shared" si="354"/>
        <v>0</v>
      </c>
      <c r="H813" s="615">
        <v>0</v>
      </c>
      <c r="I813" s="283">
        <f t="shared" si="355"/>
        <v>27.69</v>
      </c>
      <c r="J813" s="283">
        <f t="shared" si="356"/>
        <v>10.170000000000002</v>
      </c>
      <c r="K813" s="285">
        <f t="shared" si="357"/>
        <v>1246.05</v>
      </c>
      <c r="L813" s="286">
        <v>0</v>
      </c>
      <c r="M813" s="286">
        <v>0</v>
      </c>
      <c r="N813" s="285">
        <f t="shared" si="375"/>
        <v>1246.05</v>
      </c>
      <c r="O813" s="616">
        <f t="shared" si="347"/>
        <v>0</v>
      </c>
      <c r="P813" s="289">
        <f t="shared" si="376"/>
        <v>0</v>
      </c>
      <c r="Q813" s="290">
        <f t="shared" si="358"/>
        <v>0</v>
      </c>
      <c r="R813" s="290">
        <f t="shared" si="359"/>
        <v>0</v>
      </c>
      <c r="S813" s="290">
        <f t="shared" si="360"/>
        <v>0</v>
      </c>
      <c r="T813" s="290">
        <f t="shared" si="361"/>
        <v>0</v>
      </c>
      <c r="U813" s="291">
        <f t="shared" si="362"/>
        <v>1246.05</v>
      </c>
      <c r="V813" s="291">
        <f t="shared" si="366"/>
        <v>-1246.05</v>
      </c>
      <c r="W813" s="265">
        <f t="shared" si="363"/>
        <v>0</v>
      </c>
      <c r="X813" s="291">
        <f t="shared" si="367"/>
        <v>-1246.05</v>
      </c>
      <c r="Y813" s="170">
        <f t="shared" si="364"/>
        <v>457.65</v>
      </c>
      <c r="Z813" s="291">
        <f t="shared" si="365"/>
        <v>-457.65</v>
      </c>
      <c r="AC813" s="276">
        <f>IF(AI813=1,IF(AC812=MiscData!$F$1,EOMONTH(AC812,-11),EOMONTH(AC812,1)),AC812)</f>
        <v>42004</v>
      </c>
      <c r="AD813" s="275" t="str">
        <f t="shared" si="373"/>
        <v>20140101LGUM_209</v>
      </c>
      <c r="AE813" s="294" t="str">
        <f t="shared" si="374"/>
        <v>20140101RLS</v>
      </c>
      <c r="AF813" s="618" t="str">
        <f t="shared" si="368"/>
        <v>209</v>
      </c>
      <c r="AH813" s="265">
        <f>MiscData!$X$5</f>
        <v>20140101</v>
      </c>
      <c r="AI813" s="265">
        <f>IF(AI812+1&gt;MiscData!$AC$77,1,AI812+1)</f>
        <v>7</v>
      </c>
      <c r="AJ813" s="265" t="str">
        <f>VLOOKUP(AI813,MiscData!$AC$5:$AD$77,2,FALSE)</f>
        <v>LGUM_209</v>
      </c>
      <c r="AK813" s="265" t="str">
        <f>VLOOKUP(AJ813,MiscData!$AD$5:$AE$77,2,FALSE)</f>
        <v>RLS</v>
      </c>
      <c r="AT813" s="265" t="s">
        <v>181</v>
      </c>
      <c r="AV813" s="265">
        <v>-40.32</v>
      </c>
    </row>
    <row r="814" spans="1:48">
      <c r="A814" s="275">
        <f t="shared" si="369"/>
        <v>799</v>
      </c>
      <c r="B814" s="276" t="str">
        <f t="shared" si="370"/>
        <v>Dec 2014</v>
      </c>
      <c r="C814" s="277" t="str">
        <f t="shared" si="371"/>
        <v>RLS</v>
      </c>
      <c r="D814" s="277" t="str">
        <f t="shared" si="372"/>
        <v>LGUM_210</v>
      </c>
      <c r="E814" s="614">
        <f t="shared" si="353"/>
        <v>346</v>
      </c>
      <c r="F814" s="615">
        <v>0</v>
      </c>
      <c r="G814" s="614">
        <f t="shared" si="354"/>
        <v>0</v>
      </c>
      <c r="H814" s="615">
        <v>0</v>
      </c>
      <c r="I814" s="283">
        <f t="shared" si="355"/>
        <v>28.89</v>
      </c>
      <c r="J814" s="283">
        <f t="shared" si="356"/>
        <v>10.170000000000002</v>
      </c>
      <c r="K814" s="285">
        <f t="shared" si="357"/>
        <v>9995.94</v>
      </c>
      <c r="L814" s="286">
        <v>0</v>
      </c>
      <c r="M814" s="286">
        <v>0</v>
      </c>
      <c r="N814" s="285">
        <f t="shared" si="375"/>
        <v>9995.94</v>
      </c>
      <c r="O814" s="616">
        <f t="shared" si="347"/>
        <v>0</v>
      </c>
      <c r="P814" s="289">
        <f t="shared" si="376"/>
        <v>0</v>
      </c>
      <c r="Q814" s="290">
        <f t="shared" si="358"/>
        <v>0</v>
      </c>
      <c r="R814" s="290">
        <f t="shared" si="359"/>
        <v>0</v>
      </c>
      <c r="S814" s="290">
        <f t="shared" si="360"/>
        <v>0</v>
      </c>
      <c r="T814" s="290">
        <f t="shared" si="361"/>
        <v>0</v>
      </c>
      <c r="U814" s="291">
        <f t="shared" si="362"/>
        <v>9995.94</v>
      </c>
      <c r="V814" s="291">
        <f t="shared" si="366"/>
        <v>-9995.94</v>
      </c>
      <c r="W814" s="265">
        <f t="shared" si="363"/>
        <v>0</v>
      </c>
      <c r="X814" s="291">
        <f t="shared" si="367"/>
        <v>-9995.94</v>
      </c>
      <c r="Y814" s="170">
        <f t="shared" si="364"/>
        <v>3518.82</v>
      </c>
      <c r="Z814" s="291">
        <f t="shared" si="365"/>
        <v>-3518.82</v>
      </c>
      <c r="AC814" s="276">
        <f>IF(AI814=1,IF(AC813=MiscData!$F$1,EOMONTH(AC813,-11),EOMONTH(AC813,1)),AC813)</f>
        <v>42004</v>
      </c>
      <c r="AD814" s="275" t="str">
        <f t="shared" si="373"/>
        <v>20140101LGUM_210</v>
      </c>
      <c r="AE814" s="294" t="str">
        <f t="shared" si="374"/>
        <v>20140101RLS</v>
      </c>
      <c r="AF814" s="618" t="str">
        <f t="shared" si="368"/>
        <v>210</v>
      </c>
      <c r="AH814" s="265">
        <f>MiscData!$X$5</f>
        <v>20140101</v>
      </c>
      <c r="AI814" s="265">
        <f>IF(AI813+1&gt;MiscData!$AC$77,1,AI813+1)</f>
        <v>8</v>
      </c>
      <c r="AJ814" s="265" t="str">
        <f>VLOOKUP(AI814,MiscData!$AC$5:$AD$77,2,FALSE)</f>
        <v>LGUM_210</v>
      </c>
      <c r="AK814" s="265" t="str">
        <f>VLOOKUP(AJ814,MiscData!$AD$5:$AE$77,2,FALSE)</f>
        <v>RLS</v>
      </c>
      <c r="AT814" s="265" t="s">
        <v>534</v>
      </c>
      <c r="AV814" s="265">
        <v>0</v>
      </c>
    </row>
    <row r="815" spans="1:48">
      <c r="A815" s="275">
        <f t="shared" si="369"/>
        <v>800</v>
      </c>
      <c r="B815" s="276" t="str">
        <f t="shared" si="370"/>
        <v>Dec 2014</v>
      </c>
      <c r="C815" s="277" t="str">
        <f t="shared" si="371"/>
        <v>RLS</v>
      </c>
      <c r="D815" s="277" t="str">
        <f t="shared" si="372"/>
        <v>LGUM_252</v>
      </c>
      <c r="E815" s="614">
        <f t="shared" si="353"/>
        <v>3989</v>
      </c>
      <c r="F815" s="615">
        <v>0</v>
      </c>
      <c r="G815" s="614">
        <f t="shared" si="354"/>
        <v>0</v>
      </c>
      <c r="H815" s="615">
        <v>0</v>
      </c>
      <c r="I815" s="283">
        <f t="shared" si="355"/>
        <v>9.57</v>
      </c>
      <c r="J815" s="283">
        <f t="shared" si="356"/>
        <v>1.9099999999999993</v>
      </c>
      <c r="K815" s="285">
        <f t="shared" si="357"/>
        <v>38174.730000000003</v>
      </c>
      <c r="L815" s="286">
        <v>0</v>
      </c>
      <c r="M815" s="286">
        <v>0</v>
      </c>
      <c r="N815" s="285">
        <f t="shared" si="375"/>
        <v>38174.730000000003</v>
      </c>
      <c r="O815" s="616">
        <f t="shared" si="347"/>
        <v>0</v>
      </c>
      <c r="P815" s="289">
        <f t="shared" si="376"/>
        <v>0</v>
      </c>
      <c r="Q815" s="290">
        <f t="shared" si="358"/>
        <v>0</v>
      </c>
      <c r="R815" s="290">
        <f t="shared" si="359"/>
        <v>0</v>
      </c>
      <c r="S815" s="290">
        <f t="shared" si="360"/>
        <v>0</v>
      </c>
      <c r="T815" s="290">
        <f t="shared" si="361"/>
        <v>0</v>
      </c>
      <c r="U815" s="291">
        <f t="shared" si="362"/>
        <v>38174.730000000003</v>
      </c>
      <c r="V815" s="291">
        <f t="shared" si="366"/>
        <v>-38174.730000000003</v>
      </c>
      <c r="W815" s="265">
        <f t="shared" si="363"/>
        <v>0</v>
      </c>
      <c r="X815" s="291">
        <f t="shared" si="367"/>
        <v>-38174.730000000003</v>
      </c>
      <c r="Y815" s="170">
        <f t="shared" si="364"/>
        <v>7618.99</v>
      </c>
      <c r="Z815" s="291">
        <f t="shared" si="365"/>
        <v>-7618.99</v>
      </c>
      <c r="AC815" s="276">
        <f>IF(AI815=1,IF(AC814=MiscData!$F$1,EOMONTH(AC814,-11),EOMONTH(AC814,1)),AC814)</f>
        <v>42004</v>
      </c>
      <c r="AD815" s="275" t="str">
        <f t="shared" si="373"/>
        <v>20140101LGUM_252</v>
      </c>
      <c r="AE815" s="294" t="str">
        <f t="shared" si="374"/>
        <v>20140101RLS</v>
      </c>
      <c r="AF815" s="618" t="str">
        <f t="shared" si="368"/>
        <v>252</v>
      </c>
      <c r="AH815" s="265">
        <f>MiscData!$X$5</f>
        <v>20140101</v>
      </c>
      <c r="AI815" s="265">
        <f>IF(AI814+1&gt;MiscData!$AC$77,1,AI814+1)</f>
        <v>9</v>
      </c>
      <c r="AJ815" s="265" t="str">
        <f>VLOOKUP(AI815,MiscData!$AC$5:$AD$77,2,FALSE)</f>
        <v>LGUM_252</v>
      </c>
      <c r="AK815" s="265" t="str">
        <f>VLOOKUP(AJ815,MiscData!$AD$5:$AE$77,2,FALSE)</f>
        <v>RLS</v>
      </c>
      <c r="AT815" s="265" t="s">
        <v>182</v>
      </c>
      <c r="AV815" s="265">
        <v>-10.85</v>
      </c>
    </row>
    <row r="816" spans="1:48">
      <c r="A816" s="275">
        <f t="shared" si="369"/>
        <v>801</v>
      </c>
      <c r="B816" s="276" t="str">
        <f t="shared" si="370"/>
        <v>Dec 2014</v>
      </c>
      <c r="C816" s="277" t="str">
        <f t="shared" si="371"/>
        <v>RLS</v>
      </c>
      <c r="D816" s="277" t="str">
        <f t="shared" si="372"/>
        <v>LGUM_266</v>
      </c>
      <c r="E816" s="614">
        <f t="shared" si="353"/>
        <v>2014</v>
      </c>
      <c r="F816" s="615">
        <v>0</v>
      </c>
      <c r="G816" s="614">
        <f t="shared" si="354"/>
        <v>0</v>
      </c>
      <c r="H816" s="615">
        <v>0</v>
      </c>
      <c r="I816" s="283">
        <f t="shared" si="355"/>
        <v>27.34</v>
      </c>
      <c r="J816" s="283">
        <f t="shared" si="356"/>
        <v>2.8000000000000007</v>
      </c>
      <c r="K816" s="285">
        <f t="shared" si="357"/>
        <v>55062.76</v>
      </c>
      <c r="L816" s="286">
        <v>0</v>
      </c>
      <c r="M816" s="286">
        <v>0</v>
      </c>
      <c r="N816" s="285">
        <f t="shared" si="375"/>
        <v>55062.76</v>
      </c>
      <c r="O816" s="616">
        <f t="shared" ref="O816:O879" si="391">T816-SUM(Q816:S816)-SUMIFS(L_1055_Revenue_Poles_Test_Period,L_1055_RateCategory,$D816,L_1055_Revenue_Month,$B816)</f>
        <v>0</v>
      </c>
      <c r="P816" s="289">
        <f t="shared" si="376"/>
        <v>0</v>
      </c>
      <c r="Q816" s="290">
        <f t="shared" si="358"/>
        <v>0</v>
      </c>
      <c r="R816" s="290">
        <f t="shared" si="359"/>
        <v>0</v>
      </c>
      <c r="S816" s="290">
        <f t="shared" si="360"/>
        <v>0</v>
      </c>
      <c r="T816" s="290">
        <f t="shared" si="361"/>
        <v>0</v>
      </c>
      <c r="U816" s="291">
        <f t="shared" si="362"/>
        <v>55062.76</v>
      </c>
      <c r="V816" s="291">
        <f t="shared" si="366"/>
        <v>-55062.76</v>
      </c>
      <c r="W816" s="265">
        <f t="shared" si="363"/>
        <v>0</v>
      </c>
      <c r="X816" s="291">
        <f t="shared" si="367"/>
        <v>-55062.76</v>
      </c>
      <c r="Y816" s="170">
        <f t="shared" si="364"/>
        <v>5639.2</v>
      </c>
      <c r="Z816" s="291">
        <f t="shared" si="365"/>
        <v>-5639.2</v>
      </c>
      <c r="AC816" s="276">
        <f>IF(AI816=1,IF(AC815=MiscData!$F$1,EOMONTH(AC815,-11),EOMONTH(AC815,1)),AC815)</f>
        <v>42004</v>
      </c>
      <c r="AD816" s="275" t="str">
        <f t="shared" si="373"/>
        <v>20140101LGUM_266</v>
      </c>
      <c r="AE816" s="294" t="str">
        <f t="shared" si="374"/>
        <v>20140101RLS</v>
      </c>
      <c r="AF816" s="618" t="str">
        <f t="shared" si="368"/>
        <v>266</v>
      </c>
      <c r="AH816" s="265">
        <f>MiscData!$X$5</f>
        <v>20140101</v>
      </c>
      <c r="AI816" s="265">
        <f>IF(AI815+1&gt;MiscData!$AC$77,1,AI815+1)</f>
        <v>10</v>
      </c>
      <c r="AJ816" s="265" t="str">
        <f>VLOOKUP(AI816,MiscData!$AC$5:$AD$77,2,FALSE)</f>
        <v>LGUM_266</v>
      </c>
      <c r="AK816" s="265" t="str">
        <f>VLOOKUP(AJ816,MiscData!$AD$5:$AE$77,2,FALSE)</f>
        <v>RLS</v>
      </c>
      <c r="AT816" s="265" t="s">
        <v>183</v>
      </c>
      <c r="AV816" s="265">
        <v>0</v>
      </c>
    </row>
    <row r="817" spans="1:48">
      <c r="A817" s="275">
        <f t="shared" si="369"/>
        <v>802</v>
      </c>
      <c r="B817" s="276" t="str">
        <f t="shared" si="370"/>
        <v>Dec 2014</v>
      </c>
      <c r="C817" s="277" t="str">
        <f t="shared" si="371"/>
        <v>RLS</v>
      </c>
      <c r="D817" s="277" t="str">
        <f t="shared" si="372"/>
        <v>LGUM_267</v>
      </c>
      <c r="E817" s="614">
        <f t="shared" si="353"/>
        <v>2215</v>
      </c>
      <c r="F817" s="615">
        <v>0</v>
      </c>
      <c r="G817" s="614">
        <f t="shared" si="354"/>
        <v>0</v>
      </c>
      <c r="H817" s="615">
        <v>0</v>
      </c>
      <c r="I817" s="283">
        <f t="shared" si="355"/>
        <v>31.4</v>
      </c>
      <c r="J817" s="283">
        <f t="shared" si="356"/>
        <v>4.4499999999999993</v>
      </c>
      <c r="K817" s="285">
        <f t="shared" si="357"/>
        <v>69551</v>
      </c>
      <c r="L817" s="286">
        <v>0</v>
      </c>
      <c r="M817" s="286">
        <v>0</v>
      </c>
      <c r="N817" s="285">
        <f t="shared" si="375"/>
        <v>69551</v>
      </c>
      <c r="O817" s="616">
        <f t="shared" si="391"/>
        <v>0</v>
      </c>
      <c r="P817" s="289">
        <f t="shared" si="376"/>
        <v>0</v>
      </c>
      <c r="Q817" s="290">
        <f t="shared" si="358"/>
        <v>0</v>
      </c>
      <c r="R817" s="290">
        <f t="shared" si="359"/>
        <v>0</v>
      </c>
      <c r="S817" s="290">
        <f t="shared" si="360"/>
        <v>0</v>
      </c>
      <c r="T817" s="290">
        <f t="shared" si="361"/>
        <v>0</v>
      </c>
      <c r="U817" s="291">
        <f t="shared" si="362"/>
        <v>69551</v>
      </c>
      <c r="V817" s="291">
        <f t="shared" si="366"/>
        <v>-69551</v>
      </c>
      <c r="W817" s="265">
        <f t="shared" si="363"/>
        <v>0</v>
      </c>
      <c r="X817" s="291">
        <f t="shared" si="367"/>
        <v>-69551</v>
      </c>
      <c r="Y817" s="170">
        <f t="shared" si="364"/>
        <v>9856.75</v>
      </c>
      <c r="Z817" s="291">
        <f t="shared" si="365"/>
        <v>-9856.75</v>
      </c>
      <c r="AC817" s="276">
        <f>IF(AI817=1,IF(AC816=MiscData!$F$1,EOMONTH(AC816,-11),EOMONTH(AC816,1)),AC816)</f>
        <v>42004</v>
      </c>
      <c r="AD817" s="275" t="str">
        <f t="shared" si="373"/>
        <v>20140101LGUM_267</v>
      </c>
      <c r="AE817" s="294" t="str">
        <f t="shared" si="374"/>
        <v>20140101RLS</v>
      </c>
      <c r="AF817" s="618" t="str">
        <f t="shared" si="368"/>
        <v>267</v>
      </c>
      <c r="AH817" s="265">
        <f>MiscData!$X$5</f>
        <v>20140101</v>
      </c>
      <c r="AI817" s="265">
        <f>IF(AI816+1&gt;MiscData!$AC$77,1,AI816+1)</f>
        <v>11</v>
      </c>
      <c r="AJ817" s="265" t="str">
        <f>VLOOKUP(AI817,MiscData!$AC$5:$AD$77,2,FALSE)</f>
        <v>LGUM_267</v>
      </c>
      <c r="AK817" s="265" t="str">
        <f>VLOOKUP(AJ817,MiscData!$AD$5:$AE$77,2,FALSE)</f>
        <v>RLS</v>
      </c>
      <c r="AT817" s="265" t="s">
        <v>400</v>
      </c>
      <c r="AV817" s="265">
        <v>0</v>
      </c>
    </row>
    <row r="818" spans="1:48">
      <c r="A818" s="275">
        <f t="shared" si="369"/>
        <v>803</v>
      </c>
      <c r="B818" s="276" t="str">
        <f t="shared" si="370"/>
        <v>Dec 2014</v>
      </c>
      <c r="C818" s="277" t="str">
        <f t="shared" si="371"/>
        <v>RLS</v>
      </c>
      <c r="D818" s="277" t="str">
        <f t="shared" si="372"/>
        <v>LGUM_274</v>
      </c>
      <c r="E818" s="614">
        <f t="shared" si="353"/>
        <v>16603</v>
      </c>
      <c r="F818" s="615">
        <v>0</v>
      </c>
      <c r="G818" s="614">
        <f t="shared" si="354"/>
        <v>0</v>
      </c>
      <c r="H818" s="615">
        <v>0</v>
      </c>
      <c r="I818" s="283">
        <f t="shared" si="355"/>
        <v>17.189999999999998</v>
      </c>
      <c r="J818" s="283">
        <f t="shared" si="356"/>
        <v>1.2699999999999996</v>
      </c>
      <c r="K818" s="285">
        <f t="shared" si="357"/>
        <v>285405.57</v>
      </c>
      <c r="L818" s="286">
        <v>0</v>
      </c>
      <c r="M818" s="286">
        <v>0</v>
      </c>
      <c r="N818" s="285">
        <f t="shared" si="375"/>
        <v>285405.57</v>
      </c>
      <c r="O818" s="616">
        <f t="shared" si="391"/>
        <v>0</v>
      </c>
      <c r="P818" s="289">
        <f t="shared" si="376"/>
        <v>0</v>
      </c>
      <c r="Q818" s="290">
        <f t="shared" si="358"/>
        <v>0</v>
      </c>
      <c r="R818" s="290">
        <f t="shared" si="359"/>
        <v>0</v>
      </c>
      <c r="S818" s="290">
        <f t="shared" si="360"/>
        <v>0</v>
      </c>
      <c r="T818" s="290">
        <f t="shared" si="361"/>
        <v>0</v>
      </c>
      <c r="U818" s="291">
        <f t="shared" si="362"/>
        <v>285405.57</v>
      </c>
      <c r="V818" s="291">
        <f t="shared" si="366"/>
        <v>-285405.57</v>
      </c>
      <c r="W818" s="265">
        <f t="shared" si="363"/>
        <v>0</v>
      </c>
      <c r="X818" s="291">
        <f t="shared" si="367"/>
        <v>-285405.57</v>
      </c>
      <c r="Y818" s="170">
        <f t="shared" si="364"/>
        <v>21085.81</v>
      </c>
      <c r="Z818" s="291">
        <f t="shared" si="365"/>
        <v>-21085.81</v>
      </c>
      <c r="AC818" s="276">
        <f>IF(AI818=1,IF(AC817=MiscData!$F$1,EOMONTH(AC817,-11),EOMONTH(AC817,1)),AC817)</f>
        <v>42004</v>
      </c>
      <c r="AD818" s="275" t="str">
        <f t="shared" si="373"/>
        <v>20140101LGUM_274</v>
      </c>
      <c r="AE818" s="294" t="str">
        <f t="shared" si="374"/>
        <v>20140101RLS</v>
      </c>
      <c r="AF818" s="618" t="str">
        <f t="shared" si="368"/>
        <v>274</v>
      </c>
      <c r="AH818" s="265">
        <f>MiscData!$X$5</f>
        <v>20140101</v>
      </c>
      <c r="AI818" s="265">
        <f>IF(AI817+1&gt;MiscData!$AC$77,1,AI817+1)</f>
        <v>12</v>
      </c>
      <c r="AJ818" s="265" t="str">
        <f>VLOOKUP(AI818,MiscData!$AC$5:$AD$77,2,FALSE)</f>
        <v>LGUM_274</v>
      </c>
      <c r="AK818" s="265" t="str">
        <f>VLOOKUP(AJ818,MiscData!$AD$5:$AE$77,2,FALSE)</f>
        <v>RLS</v>
      </c>
      <c r="AT818" s="265" t="s">
        <v>541</v>
      </c>
      <c r="AV818" s="265">
        <v>0</v>
      </c>
    </row>
    <row r="819" spans="1:48">
      <c r="A819" s="275">
        <f t="shared" si="369"/>
        <v>804</v>
      </c>
      <c r="B819" s="276" t="str">
        <f t="shared" si="370"/>
        <v>Dec 2014</v>
      </c>
      <c r="C819" s="277" t="str">
        <f t="shared" si="371"/>
        <v>RLS</v>
      </c>
      <c r="D819" s="277" t="str">
        <f t="shared" si="372"/>
        <v>LGUM_275</v>
      </c>
      <c r="E819" s="614">
        <f t="shared" si="353"/>
        <v>515</v>
      </c>
      <c r="F819" s="615">
        <v>0</v>
      </c>
      <c r="G819" s="614">
        <f t="shared" si="354"/>
        <v>0</v>
      </c>
      <c r="H819" s="615">
        <v>0</v>
      </c>
      <c r="I819" s="283">
        <f t="shared" si="355"/>
        <v>24.89</v>
      </c>
      <c r="J819" s="283">
        <f t="shared" si="356"/>
        <v>1.7899999999999991</v>
      </c>
      <c r="K819" s="285">
        <f t="shared" si="357"/>
        <v>12818.35</v>
      </c>
      <c r="L819" s="286">
        <v>0</v>
      </c>
      <c r="M819" s="286">
        <v>0</v>
      </c>
      <c r="N819" s="285">
        <f t="shared" si="375"/>
        <v>12818.35</v>
      </c>
      <c r="O819" s="616">
        <f t="shared" si="391"/>
        <v>0</v>
      </c>
      <c r="P819" s="289">
        <f t="shared" si="376"/>
        <v>0</v>
      </c>
      <c r="Q819" s="290">
        <f t="shared" si="358"/>
        <v>0</v>
      </c>
      <c r="R819" s="290">
        <f t="shared" si="359"/>
        <v>0</v>
      </c>
      <c r="S819" s="290">
        <f t="shared" si="360"/>
        <v>0</v>
      </c>
      <c r="T819" s="290">
        <f t="shared" si="361"/>
        <v>0</v>
      </c>
      <c r="U819" s="291">
        <f t="shared" si="362"/>
        <v>12818.35</v>
      </c>
      <c r="V819" s="291">
        <f t="shared" si="366"/>
        <v>-12818.35</v>
      </c>
      <c r="W819" s="265">
        <f t="shared" si="363"/>
        <v>0</v>
      </c>
      <c r="X819" s="291">
        <f t="shared" si="367"/>
        <v>-12818.35</v>
      </c>
      <c r="Y819" s="170">
        <f t="shared" si="364"/>
        <v>921.85</v>
      </c>
      <c r="Z819" s="291">
        <f t="shared" si="365"/>
        <v>-921.85</v>
      </c>
      <c r="AC819" s="276">
        <f>IF(AI819=1,IF(AC818=MiscData!$F$1,EOMONTH(AC818,-11),EOMONTH(AC818,1)),AC818)</f>
        <v>42004</v>
      </c>
      <c r="AD819" s="275" t="str">
        <f t="shared" si="373"/>
        <v>20140101LGUM_275</v>
      </c>
      <c r="AE819" s="294" t="str">
        <f t="shared" si="374"/>
        <v>20140101RLS</v>
      </c>
      <c r="AF819" s="618" t="str">
        <f t="shared" si="368"/>
        <v>275</v>
      </c>
      <c r="AH819" s="265">
        <f>MiscData!$X$5</f>
        <v>20140101</v>
      </c>
      <c r="AI819" s="265">
        <f>IF(AI818+1&gt;MiscData!$AC$77,1,AI818+1)</f>
        <v>13</v>
      </c>
      <c r="AJ819" s="265" t="str">
        <f>VLOOKUP(AI819,MiscData!$AC$5:$AD$77,2,FALSE)</f>
        <v>LGUM_275</v>
      </c>
      <c r="AK819" s="265" t="str">
        <f>VLOOKUP(AJ819,MiscData!$AD$5:$AE$77,2,FALSE)</f>
        <v>RLS</v>
      </c>
      <c r="AT819" s="265" t="s">
        <v>184</v>
      </c>
      <c r="AV819" s="265">
        <v>0</v>
      </c>
    </row>
    <row r="820" spans="1:48">
      <c r="A820" s="275">
        <f t="shared" si="369"/>
        <v>805</v>
      </c>
      <c r="B820" s="276" t="str">
        <f t="shared" si="370"/>
        <v>Dec 2014</v>
      </c>
      <c r="C820" s="277" t="str">
        <f t="shared" si="371"/>
        <v>RLS</v>
      </c>
      <c r="D820" s="277" t="str">
        <f t="shared" si="372"/>
        <v>LGUM_276</v>
      </c>
      <c r="E820" s="614">
        <f t="shared" si="353"/>
        <v>1302</v>
      </c>
      <c r="F820" s="615">
        <v>0</v>
      </c>
      <c r="G820" s="614">
        <f t="shared" si="354"/>
        <v>0</v>
      </c>
      <c r="H820" s="615">
        <v>0</v>
      </c>
      <c r="I820" s="283">
        <f t="shared" si="355"/>
        <v>14.17</v>
      </c>
      <c r="J820" s="283">
        <f t="shared" si="356"/>
        <v>0.88000000000000078</v>
      </c>
      <c r="K820" s="285">
        <f t="shared" si="357"/>
        <v>18449.34</v>
      </c>
      <c r="L820" s="286">
        <v>0</v>
      </c>
      <c r="M820" s="286">
        <v>0</v>
      </c>
      <c r="N820" s="285">
        <f t="shared" si="375"/>
        <v>18449.34</v>
      </c>
      <c r="O820" s="616">
        <f t="shared" si="391"/>
        <v>0</v>
      </c>
      <c r="P820" s="289">
        <f t="shared" si="376"/>
        <v>0</v>
      </c>
      <c r="Q820" s="290">
        <f t="shared" si="358"/>
        <v>0</v>
      </c>
      <c r="R820" s="290">
        <f t="shared" si="359"/>
        <v>0</v>
      </c>
      <c r="S820" s="290">
        <f t="shared" si="360"/>
        <v>0</v>
      </c>
      <c r="T820" s="290">
        <f t="shared" si="361"/>
        <v>0</v>
      </c>
      <c r="U820" s="291">
        <f t="shared" si="362"/>
        <v>18449.34</v>
      </c>
      <c r="V820" s="291">
        <f t="shared" si="366"/>
        <v>-18449.34</v>
      </c>
      <c r="W820" s="265">
        <f t="shared" si="363"/>
        <v>0</v>
      </c>
      <c r="X820" s="291">
        <f t="shared" si="367"/>
        <v>-18449.34</v>
      </c>
      <c r="Y820" s="170">
        <f t="shared" si="364"/>
        <v>1145.76</v>
      </c>
      <c r="Z820" s="291">
        <f t="shared" si="365"/>
        <v>-1145.76</v>
      </c>
      <c r="AC820" s="276">
        <f>IF(AI820=1,IF(AC819=MiscData!$F$1,EOMONTH(AC819,-11),EOMONTH(AC819,1)),AC819)</f>
        <v>42004</v>
      </c>
      <c r="AD820" s="275" t="str">
        <f t="shared" si="373"/>
        <v>20140101LGUM_276</v>
      </c>
      <c r="AE820" s="294" t="str">
        <f t="shared" si="374"/>
        <v>20140101RLS</v>
      </c>
      <c r="AF820" s="618" t="str">
        <f t="shared" si="368"/>
        <v>276</v>
      </c>
      <c r="AH820" s="265">
        <f>MiscData!$X$5</f>
        <v>20140101</v>
      </c>
      <c r="AI820" s="265">
        <f>IF(AI819+1&gt;MiscData!$AC$77,1,AI819+1)</f>
        <v>14</v>
      </c>
      <c r="AJ820" s="265" t="str">
        <f>VLOOKUP(AI820,MiscData!$AC$5:$AD$77,2,FALSE)</f>
        <v>LGUM_276</v>
      </c>
      <c r="AK820" s="265" t="str">
        <f>VLOOKUP(AJ820,MiscData!$AD$5:$AE$77,2,FALSE)</f>
        <v>RLS</v>
      </c>
      <c r="AT820" s="265" t="s">
        <v>185</v>
      </c>
      <c r="AV820" s="265">
        <v>37.49</v>
      </c>
    </row>
    <row r="821" spans="1:48">
      <c r="A821" s="275">
        <f t="shared" si="369"/>
        <v>806</v>
      </c>
      <c r="B821" s="276" t="str">
        <f t="shared" si="370"/>
        <v>Dec 2014</v>
      </c>
      <c r="C821" s="277" t="str">
        <f t="shared" si="371"/>
        <v>RLS</v>
      </c>
      <c r="D821" s="277" t="str">
        <f t="shared" si="372"/>
        <v>LGUM_277</v>
      </c>
      <c r="E821" s="614">
        <f t="shared" si="353"/>
        <v>2241</v>
      </c>
      <c r="F821" s="615">
        <v>0</v>
      </c>
      <c r="G821" s="614">
        <f t="shared" si="354"/>
        <v>0</v>
      </c>
      <c r="H821" s="615">
        <v>0</v>
      </c>
      <c r="I821" s="283">
        <f t="shared" si="355"/>
        <v>22.15</v>
      </c>
      <c r="J821" s="283">
        <f t="shared" si="356"/>
        <v>1.7900000000000027</v>
      </c>
      <c r="K821" s="285">
        <f t="shared" si="357"/>
        <v>49638.15</v>
      </c>
      <c r="L821" s="286">
        <v>0</v>
      </c>
      <c r="M821" s="286">
        <v>0</v>
      </c>
      <c r="N821" s="285">
        <f t="shared" si="375"/>
        <v>49638.15</v>
      </c>
      <c r="O821" s="616">
        <f t="shared" si="391"/>
        <v>0</v>
      </c>
      <c r="P821" s="289">
        <f t="shared" si="376"/>
        <v>0</v>
      </c>
      <c r="Q821" s="290">
        <f t="shared" si="358"/>
        <v>0</v>
      </c>
      <c r="R821" s="290">
        <f t="shared" si="359"/>
        <v>0</v>
      </c>
      <c r="S821" s="290">
        <f t="shared" si="360"/>
        <v>0</v>
      </c>
      <c r="T821" s="290">
        <f t="shared" si="361"/>
        <v>0</v>
      </c>
      <c r="U821" s="291">
        <f t="shared" si="362"/>
        <v>49638.15</v>
      </c>
      <c r="V821" s="291">
        <f t="shared" si="366"/>
        <v>-49638.15</v>
      </c>
      <c r="W821" s="265">
        <f t="shared" si="363"/>
        <v>0</v>
      </c>
      <c r="X821" s="291">
        <f t="shared" si="367"/>
        <v>-49638.15</v>
      </c>
      <c r="Y821" s="170">
        <f t="shared" si="364"/>
        <v>4011.39</v>
      </c>
      <c r="Z821" s="291">
        <f t="shared" si="365"/>
        <v>-4011.39</v>
      </c>
      <c r="AC821" s="276">
        <f>IF(AI821=1,IF(AC820=MiscData!$F$1,EOMONTH(AC820,-11),EOMONTH(AC820,1)),AC820)</f>
        <v>42004</v>
      </c>
      <c r="AD821" s="275" t="str">
        <f t="shared" si="373"/>
        <v>20140101LGUM_277</v>
      </c>
      <c r="AE821" s="294" t="str">
        <f t="shared" si="374"/>
        <v>20140101RLS</v>
      </c>
      <c r="AF821" s="618" t="str">
        <f t="shared" si="368"/>
        <v>277</v>
      </c>
      <c r="AH821" s="265">
        <f>MiscData!$X$5</f>
        <v>20140101</v>
      </c>
      <c r="AI821" s="265">
        <f>IF(AI820+1&gt;MiscData!$AC$77,1,AI820+1)</f>
        <v>15</v>
      </c>
      <c r="AJ821" s="265" t="str">
        <f>VLOOKUP(AI821,MiscData!$AC$5:$AD$77,2,FALSE)</f>
        <v>LGUM_277</v>
      </c>
      <c r="AK821" s="265" t="str">
        <f>VLOOKUP(AJ821,MiscData!$AD$5:$AE$77,2,FALSE)</f>
        <v>RLS</v>
      </c>
      <c r="AT821" s="265" t="s">
        <v>186</v>
      </c>
      <c r="AV821" s="265">
        <v>0</v>
      </c>
    </row>
    <row r="822" spans="1:48">
      <c r="A822" s="275">
        <f t="shared" si="369"/>
        <v>807</v>
      </c>
      <c r="B822" s="276" t="str">
        <f t="shared" ref="B822:B827" si="392">TEXT(AC822,"mmm yyyy")</f>
        <v>Dec 2014</v>
      </c>
      <c r="C822" s="277" t="str">
        <f t="shared" ref="C822:C827" si="393">AK822</f>
        <v>RLS</v>
      </c>
      <c r="D822" s="277" t="str">
        <f t="shared" ref="D822:D827" si="394">AJ822</f>
        <v>LGUM_278</v>
      </c>
      <c r="E822" s="614">
        <f t="shared" si="353"/>
        <v>16</v>
      </c>
      <c r="F822" s="615">
        <v>0</v>
      </c>
      <c r="G822" s="614">
        <f t="shared" si="354"/>
        <v>0</v>
      </c>
      <c r="H822" s="615">
        <v>0</v>
      </c>
      <c r="I822" s="283">
        <f t="shared" si="355"/>
        <v>72.550000000000011</v>
      </c>
      <c r="J822" s="283">
        <f t="shared" si="356"/>
        <v>9.8400000000000034</v>
      </c>
      <c r="K822" s="285">
        <f t="shared" si="357"/>
        <v>1160.8</v>
      </c>
      <c r="L822" s="286">
        <v>0</v>
      </c>
      <c r="M822" s="286">
        <v>0</v>
      </c>
      <c r="N822" s="285">
        <f t="shared" si="375"/>
        <v>1160.8</v>
      </c>
      <c r="O822" s="616">
        <f t="shared" si="391"/>
        <v>0</v>
      </c>
      <c r="P822" s="289">
        <f t="shared" si="376"/>
        <v>0</v>
      </c>
      <c r="Q822" s="290">
        <f t="shared" si="358"/>
        <v>0</v>
      </c>
      <c r="R822" s="290">
        <f t="shared" si="359"/>
        <v>0</v>
      </c>
      <c r="S822" s="290">
        <f t="shared" si="360"/>
        <v>0</v>
      </c>
      <c r="T822" s="290">
        <f t="shared" si="361"/>
        <v>0</v>
      </c>
      <c r="U822" s="291">
        <f t="shared" si="362"/>
        <v>1160.8</v>
      </c>
      <c r="V822" s="291">
        <f t="shared" si="366"/>
        <v>-1160.8</v>
      </c>
      <c r="W822" s="265">
        <f t="shared" si="363"/>
        <v>0</v>
      </c>
      <c r="X822" s="291">
        <f t="shared" si="367"/>
        <v>-1160.8</v>
      </c>
      <c r="Y822" s="170">
        <f t="shared" si="364"/>
        <v>157.44</v>
      </c>
      <c r="Z822" s="291">
        <f t="shared" si="365"/>
        <v>-157.44</v>
      </c>
      <c r="AC822" s="276">
        <f>IF(AI822=1,IF(AC821=MiscData!$F$1,EOMONTH(AC821,-11),EOMONTH(AC821,1)),AC821)</f>
        <v>42004</v>
      </c>
      <c r="AD822" s="275" t="str">
        <f t="shared" si="373"/>
        <v>20140101LGUM_278</v>
      </c>
      <c r="AE822" s="294" t="str">
        <f t="shared" si="374"/>
        <v>20140101RLS</v>
      </c>
      <c r="AF822" s="618" t="str">
        <f t="shared" si="368"/>
        <v>278</v>
      </c>
      <c r="AH822" s="265">
        <f>MiscData!$X$5</f>
        <v>20140101</v>
      </c>
      <c r="AI822" s="265">
        <f>IF(AI821+1&gt;MiscData!$AC$77,1,AI821+1)</f>
        <v>16</v>
      </c>
      <c r="AJ822" s="265" t="str">
        <f>VLOOKUP(AI822,MiscData!$AC$5:$AD$77,2,FALSE)</f>
        <v>LGUM_278</v>
      </c>
      <c r="AK822" s="265" t="str">
        <f>VLOOKUP(AJ822,MiscData!$AD$5:$AE$77,2,FALSE)</f>
        <v>RLS</v>
      </c>
      <c r="AT822" s="265" t="s">
        <v>187</v>
      </c>
      <c r="AV822" s="265">
        <v>0</v>
      </c>
    </row>
    <row r="823" spans="1:48">
      <c r="A823" s="275">
        <f t="shared" si="369"/>
        <v>808</v>
      </c>
      <c r="B823" s="276" t="str">
        <f t="shared" si="392"/>
        <v>Dec 2014</v>
      </c>
      <c r="C823" s="277" t="str">
        <f t="shared" si="393"/>
        <v>RLS</v>
      </c>
      <c r="D823" s="277" t="str">
        <f t="shared" si="394"/>
        <v>LGUM_279</v>
      </c>
      <c r="E823" s="614">
        <f t="shared" si="353"/>
        <v>11</v>
      </c>
      <c r="F823" s="615">
        <v>0</v>
      </c>
      <c r="G823" s="614">
        <f t="shared" si="354"/>
        <v>0</v>
      </c>
      <c r="H823" s="615">
        <v>0</v>
      </c>
      <c r="I823" s="283">
        <f t="shared" si="355"/>
        <v>41.43</v>
      </c>
      <c r="J823" s="283">
        <f t="shared" si="356"/>
        <v>9.8399999999999963</v>
      </c>
      <c r="K823" s="285">
        <f t="shared" si="357"/>
        <v>455.73</v>
      </c>
      <c r="L823" s="286">
        <v>0</v>
      </c>
      <c r="M823" s="286">
        <v>0</v>
      </c>
      <c r="N823" s="285">
        <f t="shared" si="375"/>
        <v>455.73</v>
      </c>
      <c r="O823" s="616">
        <f t="shared" si="391"/>
        <v>0</v>
      </c>
      <c r="P823" s="289">
        <f t="shared" si="376"/>
        <v>0</v>
      </c>
      <c r="Q823" s="290">
        <f t="shared" si="358"/>
        <v>0</v>
      </c>
      <c r="R823" s="290">
        <f t="shared" si="359"/>
        <v>0</v>
      </c>
      <c r="S823" s="290">
        <f t="shared" si="360"/>
        <v>0</v>
      </c>
      <c r="T823" s="290">
        <f t="shared" si="361"/>
        <v>0</v>
      </c>
      <c r="U823" s="291">
        <f t="shared" si="362"/>
        <v>455.73</v>
      </c>
      <c r="V823" s="291">
        <f t="shared" si="366"/>
        <v>-455.73</v>
      </c>
      <c r="W823" s="265">
        <f t="shared" si="363"/>
        <v>0</v>
      </c>
      <c r="X823" s="291">
        <f t="shared" si="367"/>
        <v>-455.73</v>
      </c>
      <c r="Y823" s="170">
        <f t="shared" si="364"/>
        <v>108.24</v>
      </c>
      <c r="Z823" s="291">
        <f t="shared" si="365"/>
        <v>-108.24</v>
      </c>
      <c r="AC823" s="276">
        <f>IF(AI823=1,IF(AC822=MiscData!$F$1,EOMONTH(AC822,-11),EOMONTH(AC822,1)),AC822)</f>
        <v>42004</v>
      </c>
      <c r="AD823" s="275" t="str">
        <f t="shared" si="373"/>
        <v>20140101LGUM_279</v>
      </c>
      <c r="AE823" s="294" t="str">
        <f t="shared" si="374"/>
        <v>20140101RLS</v>
      </c>
      <c r="AF823" s="618" t="str">
        <f t="shared" si="368"/>
        <v>279</v>
      </c>
      <c r="AH823" s="265">
        <f>MiscData!$X$5</f>
        <v>20140101</v>
      </c>
      <c r="AI823" s="265">
        <f>IF(AI822+1&gt;MiscData!$AC$77,1,AI822+1)</f>
        <v>17</v>
      </c>
      <c r="AJ823" s="265" t="str">
        <f>VLOOKUP(AI823,MiscData!$AC$5:$AD$77,2,FALSE)</f>
        <v>LGUM_279</v>
      </c>
      <c r="AK823" s="265" t="str">
        <f>VLOOKUP(AJ823,MiscData!$AD$5:$AE$77,2,FALSE)</f>
        <v>RLS</v>
      </c>
      <c r="AT823" s="265" t="s">
        <v>188</v>
      </c>
      <c r="AV823" s="265">
        <v>0</v>
      </c>
    </row>
    <row r="824" spans="1:48">
      <c r="A824" s="275">
        <f t="shared" si="369"/>
        <v>809</v>
      </c>
      <c r="B824" s="276" t="str">
        <f t="shared" si="392"/>
        <v>Dec 2014</v>
      </c>
      <c r="C824" s="277" t="str">
        <f t="shared" si="393"/>
        <v>RLS</v>
      </c>
      <c r="D824" s="277" t="str">
        <f t="shared" si="394"/>
        <v>LGUM_280</v>
      </c>
      <c r="E824" s="614">
        <f t="shared" si="353"/>
        <v>45</v>
      </c>
      <c r="F824" s="615">
        <v>0</v>
      </c>
      <c r="G824" s="614">
        <f t="shared" si="354"/>
        <v>0</v>
      </c>
      <c r="H824" s="615">
        <v>0</v>
      </c>
      <c r="I824" s="283">
        <f t="shared" si="355"/>
        <v>19.38</v>
      </c>
      <c r="J824" s="283">
        <f t="shared" si="356"/>
        <v>0.87999999999999901</v>
      </c>
      <c r="K824" s="285">
        <f t="shared" si="357"/>
        <v>872.1</v>
      </c>
      <c r="L824" s="286">
        <v>0</v>
      </c>
      <c r="M824" s="286">
        <v>0</v>
      </c>
      <c r="N824" s="285">
        <f t="shared" si="375"/>
        <v>872.1</v>
      </c>
      <c r="O824" s="616">
        <f t="shared" si="391"/>
        <v>0</v>
      </c>
      <c r="P824" s="289">
        <f t="shared" si="376"/>
        <v>0</v>
      </c>
      <c r="Q824" s="290">
        <f t="shared" si="358"/>
        <v>0</v>
      </c>
      <c r="R824" s="290">
        <f t="shared" si="359"/>
        <v>0</v>
      </c>
      <c r="S824" s="290">
        <f t="shared" si="360"/>
        <v>0</v>
      </c>
      <c r="T824" s="290">
        <f t="shared" si="361"/>
        <v>0</v>
      </c>
      <c r="U824" s="291">
        <f t="shared" si="362"/>
        <v>872.1</v>
      </c>
      <c r="V824" s="291">
        <f t="shared" si="366"/>
        <v>-872.1</v>
      </c>
      <c r="W824" s="265">
        <f t="shared" si="363"/>
        <v>0</v>
      </c>
      <c r="X824" s="291">
        <f t="shared" si="367"/>
        <v>-872.1</v>
      </c>
      <c r="Y824" s="170">
        <f t="shared" si="364"/>
        <v>39.6</v>
      </c>
      <c r="Z824" s="291">
        <f t="shared" si="365"/>
        <v>-39.6</v>
      </c>
      <c r="AC824" s="276">
        <f>IF(AI824=1,IF(AC823=MiscData!$F$1,EOMONTH(AC823,-11),EOMONTH(AC823,1)),AC823)</f>
        <v>42004</v>
      </c>
      <c r="AD824" s="275" t="str">
        <f t="shared" si="373"/>
        <v>20140101LGUM_280</v>
      </c>
      <c r="AE824" s="294" t="str">
        <f t="shared" si="374"/>
        <v>20140101RLS</v>
      </c>
      <c r="AF824" s="618" t="str">
        <f t="shared" si="368"/>
        <v>280</v>
      </c>
      <c r="AH824" s="265">
        <f>MiscData!$X$5</f>
        <v>20140101</v>
      </c>
      <c r="AI824" s="265">
        <f>IF(AI823+1&gt;MiscData!$AC$77,1,AI823+1)</f>
        <v>18</v>
      </c>
      <c r="AJ824" s="265" t="str">
        <f>VLOOKUP(AI824,MiscData!$AC$5:$AD$77,2,FALSE)</f>
        <v>LGUM_280</v>
      </c>
      <c r="AK824" s="265" t="str">
        <f>VLOOKUP(AJ824,MiscData!$AD$5:$AE$77,2,FALSE)</f>
        <v>RLS</v>
      </c>
      <c r="AT824" s="265" t="s">
        <v>189</v>
      </c>
      <c r="AV824" s="265">
        <v>-43.61</v>
      </c>
    </row>
    <row r="825" spans="1:48">
      <c r="A825" s="275">
        <f t="shared" si="369"/>
        <v>810</v>
      </c>
      <c r="B825" s="276" t="str">
        <f t="shared" si="392"/>
        <v>Dec 2014</v>
      </c>
      <c r="C825" s="277" t="str">
        <f t="shared" si="393"/>
        <v>RLS</v>
      </c>
      <c r="D825" s="277" t="str">
        <f t="shared" si="394"/>
        <v>LGUM_281</v>
      </c>
      <c r="E825" s="614">
        <f t="shared" si="353"/>
        <v>239</v>
      </c>
      <c r="F825" s="615">
        <v>0</v>
      </c>
      <c r="G825" s="614">
        <f t="shared" si="354"/>
        <v>0</v>
      </c>
      <c r="H825" s="615">
        <v>0</v>
      </c>
      <c r="I825" s="283">
        <f t="shared" si="355"/>
        <v>20.349999999999998</v>
      </c>
      <c r="J825" s="283">
        <f t="shared" si="356"/>
        <v>1.2699999999999996</v>
      </c>
      <c r="K825" s="285">
        <f t="shared" si="357"/>
        <v>4863.6499999999996</v>
      </c>
      <c r="L825" s="286">
        <v>0</v>
      </c>
      <c r="M825" s="286">
        <v>0</v>
      </c>
      <c r="N825" s="285">
        <f t="shared" si="375"/>
        <v>4863.6499999999996</v>
      </c>
      <c r="O825" s="616">
        <f t="shared" si="391"/>
        <v>0</v>
      </c>
      <c r="P825" s="289">
        <f t="shared" si="376"/>
        <v>0</v>
      </c>
      <c r="Q825" s="290">
        <f t="shared" si="358"/>
        <v>0</v>
      </c>
      <c r="R825" s="290">
        <f t="shared" si="359"/>
        <v>0</v>
      </c>
      <c r="S825" s="290">
        <f t="shared" si="360"/>
        <v>0</v>
      </c>
      <c r="T825" s="290">
        <f t="shared" si="361"/>
        <v>0</v>
      </c>
      <c r="U825" s="291">
        <f t="shared" si="362"/>
        <v>4863.6499999999996</v>
      </c>
      <c r="V825" s="291">
        <f t="shared" si="366"/>
        <v>-4863.6499999999996</v>
      </c>
      <c r="W825" s="265">
        <f t="shared" si="363"/>
        <v>0</v>
      </c>
      <c r="X825" s="291">
        <f t="shared" si="367"/>
        <v>-4863.6499999999996</v>
      </c>
      <c r="Y825" s="170">
        <f t="shared" si="364"/>
        <v>303.52999999999997</v>
      </c>
      <c r="Z825" s="291">
        <f t="shared" si="365"/>
        <v>-303.52999999999997</v>
      </c>
      <c r="AC825" s="276">
        <f>IF(AI825=1,IF(AC824=MiscData!$F$1,EOMONTH(AC824,-11),EOMONTH(AC824,1)),AC824)</f>
        <v>42004</v>
      </c>
      <c r="AD825" s="275" t="str">
        <f t="shared" si="373"/>
        <v>20140101LGUM_281</v>
      </c>
      <c r="AE825" s="294" t="str">
        <f t="shared" si="374"/>
        <v>20140101RLS</v>
      </c>
      <c r="AF825" s="618" t="str">
        <f t="shared" si="368"/>
        <v>281</v>
      </c>
      <c r="AH825" s="265">
        <f>MiscData!$X$5</f>
        <v>20140101</v>
      </c>
      <c r="AI825" s="265">
        <f>IF(AI824+1&gt;MiscData!$AC$77,1,AI824+1)</f>
        <v>19</v>
      </c>
      <c r="AJ825" s="265" t="str">
        <f>VLOOKUP(AI825,MiscData!$AC$5:$AD$77,2,FALSE)</f>
        <v>LGUM_281</v>
      </c>
      <c r="AK825" s="265" t="str">
        <f>VLOOKUP(AJ825,MiscData!$AD$5:$AE$77,2,FALSE)</f>
        <v>RLS</v>
      </c>
      <c r="AT825" s="265" t="s">
        <v>190</v>
      </c>
      <c r="AV825" s="265">
        <v>0</v>
      </c>
    </row>
    <row r="826" spans="1:48">
      <c r="A826" s="275">
        <f t="shared" si="369"/>
        <v>811</v>
      </c>
      <c r="B826" s="276" t="str">
        <f t="shared" si="392"/>
        <v>Dec 2014</v>
      </c>
      <c r="C826" s="277" t="str">
        <f t="shared" si="393"/>
        <v>RLS</v>
      </c>
      <c r="D826" s="277" t="str">
        <f t="shared" si="394"/>
        <v>LGUM_282</v>
      </c>
      <c r="E826" s="614">
        <f t="shared" si="353"/>
        <v>103</v>
      </c>
      <c r="F826" s="615">
        <v>0</v>
      </c>
      <c r="G826" s="614">
        <f t="shared" si="354"/>
        <v>0</v>
      </c>
      <c r="H826" s="615">
        <v>0</v>
      </c>
      <c r="I826" s="283">
        <f t="shared" si="355"/>
        <v>19.53</v>
      </c>
      <c r="J826" s="283">
        <f t="shared" si="356"/>
        <v>0.87999999999999901</v>
      </c>
      <c r="K826" s="285">
        <f t="shared" si="357"/>
        <v>2011.59</v>
      </c>
      <c r="L826" s="286">
        <v>0</v>
      </c>
      <c r="M826" s="286">
        <v>0</v>
      </c>
      <c r="N826" s="285">
        <f t="shared" si="375"/>
        <v>2011.59</v>
      </c>
      <c r="O826" s="616">
        <f t="shared" si="391"/>
        <v>0</v>
      </c>
      <c r="P826" s="289">
        <f t="shared" si="376"/>
        <v>0</v>
      </c>
      <c r="Q826" s="290">
        <f t="shared" si="358"/>
        <v>0</v>
      </c>
      <c r="R826" s="290">
        <f t="shared" si="359"/>
        <v>0</v>
      </c>
      <c r="S826" s="290">
        <f t="shared" si="360"/>
        <v>0</v>
      </c>
      <c r="T826" s="290">
        <f t="shared" si="361"/>
        <v>0</v>
      </c>
      <c r="U826" s="291">
        <f t="shared" si="362"/>
        <v>2011.59</v>
      </c>
      <c r="V826" s="291">
        <f t="shared" si="366"/>
        <v>-2011.59</v>
      </c>
      <c r="W826" s="265">
        <f t="shared" si="363"/>
        <v>0</v>
      </c>
      <c r="X826" s="291">
        <f t="shared" si="367"/>
        <v>-2011.59</v>
      </c>
      <c r="Y826" s="170">
        <f t="shared" si="364"/>
        <v>90.64</v>
      </c>
      <c r="Z826" s="291">
        <f t="shared" si="365"/>
        <v>-90.64</v>
      </c>
      <c r="AC826" s="276">
        <f>IF(AI826=1,IF(AC825=MiscData!$F$1,EOMONTH(AC825,-11),EOMONTH(AC825,1)),AC825)</f>
        <v>42004</v>
      </c>
      <c r="AD826" s="275" t="str">
        <f t="shared" si="373"/>
        <v>20140101LGUM_282</v>
      </c>
      <c r="AE826" s="294" t="str">
        <f t="shared" si="374"/>
        <v>20140101RLS</v>
      </c>
      <c r="AF826" s="618" t="str">
        <f t="shared" si="368"/>
        <v>282</v>
      </c>
      <c r="AH826" s="265">
        <f>MiscData!$X$5</f>
        <v>20140101</v>
      </c>
      <c r="AI826" s="265">
        <f>IF(AI825+1&gt;MiscData!$AC$77,1,AI825+1)</f>
        <v>20</v>
      </c>
      <c r="AJ826" s="265" t="str">
        <f>VLOOKUP(AI826,MiscData!$AC$5:$AD$77,2,FALSE)</f>
        <v>LGUM_282</v>
      </c>
      <c r="AK826" s="265" t="str">
        <f>VLOOKUP(AJ826,MiscData!$AD$5:$AE$77,2,FALSE)</f>
        <v>RLS</v>
      </c>
      <c r="AT826" s="265" t="s">
        <v>191</v>
      </c>
      <c r="AV826" s="265">
        <v>-21.07</v>
      </c>
    </row>
    <row r="827" spans="1:48">
      <c r="A827" s="275">
        <f t="shared" si="369"/>
        <v>812</v>
      </c>
      <c r="B827" s="276" t="str">
        <f t="shared" si="392"/>
        <v>Dec 2014</v>
      </c>
      <c r="C827" s="277" t="str">
        <f t="shared" si="393"/>
        <v>RLS</v>
      </c>
      <c r="D827" s="277" t="str">
        <f t="shared" si="394"/>
        <v>LGUM_283</v>
      </c>
      <c r="E827" s="614">
        <f t="shared" si="353"/>
        <v>79</v>
      </c>
      <c r="F827" s="615">
        <v>0</v>
      </c>
      <c r="G827" s="614">
        <f t="shared" si="354"/>
        <v>0</v>
      </c>
      <c r="H827" s="615">
        <v>0</v>
      </c>
      <c r="I827" s="283">
        <f t="shared" si="355"/>
        <v>20.819999999999997</v>
      </c>
      <c r="J827" s="283">
        <f t="shared" si="356"/>
        <v>1.2699999999999996</v>
      </c>
      <c r="K827" s="285">
        <f t="shared" si="357"/>
        <v>1644.78</v>
      </c>
      <c r="L827" s="286">
        <v>0</v>
      </c>
      <c r="M827" s="286">
        <v>0</v>
      </c>
      <c r="N827" s="285">
        <f t="shared" si="375"/>
        <v>1644.78</v>
      </c>
      <c r="O827" s="616">
        <f t="shared" si="391"/>
        <v>0</v>
      </c>
      <c r="P827" s="289">
        <f t="shared" si="376"/>
        <v>0</v>
      </c>
      <c r="Q827" s="290">
        <f t="shared" si="358"/>
        <v>0</v>
      </c>
      <c r="R827" s="290">
        <f t="shared" si="359"/>
        <v>0</v>
      </c>
      <c r="S827" s="290">
        <f t="shared" si="360"/>
        <v>0</v>
      </c>
      <c r="T827" s="290">
        <f t="shared" si="361"/>
        <v>0</v>
      </c>
      <c r="U827" s="291">
        <f t="shared" si="362"/>
        <v>1644.78</v>
      </c>
      <c r="V827" s="291">
        <f t="shared" si="366"/>
        <v>-1644.78</v>
      </c>
      <c r="W827" s="265">
        <f t="shared" si="363"/>
        <v>0</v>
      </c>
      <c r="X827" s="291">
        <f t="shared" si="367"/>
        <v>-1644.78</v>
      </c>
      <c r="Y827" s="170">
        <f t="shared" si="364"/>
        <v>100.33</v>
      </c>
      <c r="Z827" s="291">
        <f t="shared" si="365"/>
        <v>-100.33</v>
      </c>
      <c r="AC827" s="276">
        <f>IF(AI827=1,IF(AC826=MiscData!$F$1,EOMONTH(AC826,-11),EOMONTH(AC826,1)),AC826)</f>
        <v>42004</v>
      </c>
      <c r="AD827" s="275" t="str">
        <f t="shared" si="373"/>
        <v>20140101LGUM_283</v>
      </c>
      <c r="AE827" s="294" t="str">
        <f t="shared" si="374"/>
        <v>20140101RLS</v>
      </c>
      <c r="AF827" s="618" t="str">
        <f t="shared" si="368"/>
        <v>283</v>
      </c>
      <c r="AH827" s="265">
        <f>MiscData!$X$5</f>
        <v>20140101</v>
      </c>
      <c r="AI827" s="265">
        <f>IF(AI826+1&gt;MiscData!$AC$77,1,AI826+1)</f>
        <v>21</v>
      </c>
      <c r="AJ827" s="265" t="str">
        <f>VLOOKUP(AI827,MiscData!$AC$5:$AD$77,2,FALSE)</f>
        <v>LGUM_283</v>
      </c>
      <c r="AK827" s="265" t="str">
        <f>VLOOKUP(AJ827,MiscData!$AD$5:$AE$77,2,FALSE)</f>
        <v>RLS</v>
      </c>
      <c r="AT827" s="265" t="s">
        <v>192</v>
      </c>
      <c r="AV827" s="265">
        <v>0</v>
      </c>
    </row>
    <row r="828" spans="1:48">
      <c r="A828" s="275">
        <f t="shared" si="369"/>
        <v>813</v>
      </c>
      <c r="B828" s="276" t="str">
        <f t="shared" ref="B828:B879" si="395">TEXT(AC828,"mmm yyyy")</f>
        <v>Dec 2014</v>
      </c>
      <c r="C828" s="277" t="str">
        <f t="shared" ref="C828:C879" si="396">AK828</f>
        <v>RLS</v>
      </c>
      <c r="D828" s="277" t="str">
        <f t="shared" ref="D828:D879" si="397">AJ828</f>
        <v>LGUM_314</v>
      </c>
      <c r="E828" s="614">
        <f t="shared" si="353"/>
        <v>549</v>
      </c>
      <c r="F828" s="615">
        <v>0</v>
      </c>
      <c r="G828" s="614">
        <f t="shared" si="354"/>
        <v>0</v>
      </c>
      <c r="H828" s="615">
        <v>0</v>
      </c>
      <c r="I828" s="283">
        <f t="shared" si="355"/>
        <v>19.2</v>
      </c>
      <c r="J828" s="283">
        <f t="shared" si="356"/>
        <v>2.7100000000000009</v>
      </c>
      <c r="K828" s="285">
        <f t="shared" si="357"/>
        <v>10540.8</v>
      </c>
      <c r="L828" s="286">
        <v>0</v>
      </c>
      <c r="M828" s="286">
        <v>0</v>
      </c>
      <c r="N828" s="285">
        <f t="shared" si="375"/>
        <v>10540.8</v>
      </c>
      <c r="O828" s="616">
        <f t="shared" si="391"/>
        <v>0</v>
      </c>
      <c r="P828" s="289">
        <f t="shared" si="376"/>
        <v>0</v>
      </c>
      <c r="Q828" s="290">
        <f t="shared" si="358"/>
        <v>0</v>
      </c>
      <c r="R828" s="290">
        <f t="shared" si="359"/>
        <v>0</v>
      </c>
      <c r="S828" s="290">
        <f t="shared" si="360"/>
        <v>0</v>
      </c>
      <c r="T828" s="290">
        <f t="shared" si="361"/>
        <v>0</v>
      </c>
      <c r="U828" s="291">
        <f t="shared" si="362"/>
        <v>10540.8</v>
      </c>
      <c r="V828" s="291">
        <f t="shared" si="366"/>
        <v>-10540.8</v>
      </c>
      <c r="W828" s="265">
        <f t="shared" si="363"/>
        <v>0</v>
      </c>
      <c r="X828" s="291">
        <f t="shared" si="367"/>
        <v>-10540.8</v>
      </c>
      <c r="Y828" s="170">
        <f t="shared" si="364"/>
        <v>1487.79</v>
      </c>
      <c r="Z828" s="291">
        <f t="shared" si="365"/>
        <v>-1487.79</v>
      </c>
      <c r="AC828" s="276">
        <f>IF(AI828=1,IF(AC827=MiscData!$F$1,EOMONTH(AC827,-11),EOMONTH(AC827,1)),AC827)</f>
        <v>42004</v>
      </c>
      <c r="AD828" s="275" t="str">
        <f t="shared" ref="AD828:AD879" si="398">CONCATENATE(AH828&amp;AJ828)</f>
        <v>20140101LGUM_314</v>
      </c>
      <c r="AE828" s="294" t="str">
        <f t="shared" ref="AE828:AE879" si="399">CONCATENATE(AH828&amp;AK828)</f>
        <v>20140101RLS</v>
      </c>
      <c r="AF828" s="618" t="str">
        <f t="shared" si="368"/>
        <v>314</v>
      </c>
      <c r="AH828" s="265">
        <f>MiscData!$X$5</f>
        <v>20140101</v>
      </c>
      <c r="AI828" s="265">
        <f>IF(AI827+1&gt;MiscData!$AC$77,1,AI827+1)</f>
        <v>22</v>
      </c>
      <c r="AJ828" s="265" t="str">
        <f>VLOOKUP(AI828,MiscData!$AC$5:$AD$77,2,FALSE)</f>
        <v>LGUM_314</v>
      </c>
      <c r="AK828" s="265" t="str">
        <f>VLOOKUP(AJ828,MiscData!$AD$5:$AE$77,2,FALSE)</f>
        <v>RLS</v>
      </c>
      <c r="AT828" s="265" t="s">
        <v>193</v>
      </c>
      <c r="AV828" s="265">
        <v>-5.73</v>
      </c>
    </row>
    <row r="829" spans="1:48">
      <c r="A829" s="275">
        <f t="shared" si="369"/>
        <v>814</v>
      </c>
      <c r="B829" s="276" t="str">
        <f t="shared" si="395"/>
        <v>Dec 2014</v>
      </c>
      <c r="C829" s="277" t="str">
        <f t="shared" si="396"/>
        <v>RLS</v>
      </c>
      <c r="D829" s="277" t="str">
        <f t="shared" si="397"/>
        <v>LGUM_315</v>
      </c>
      <c r="E829" s="614">
        <f t="shared" si="353"/>
        <v>518</v>
      </c>
      <c r="F829" s="615">
        <v>0</v>
      </c>
      <c r="G829" s="614">
        <f t="shared" si="354"/>
        <v>0</v>
      </c>
      <c r="H829" s="615">
        <v>0</v>
      </c>
      <c r="I829" s="283">
        <f t="shared" si="355"/>
        <v>22.949999999999996</v>
      </c>
      <c r="J829" s="283">
        <f t="shared" si="356"/>
        <v>4.1999999999999993</v>
      </c>
      <c r="K829" s="285">
        <f t="shared" si="357"/>
        <v>11888.1</v>
      </c>
      <c r="L829" s="286">
        <v>0</v>
      </c>
      <c r="M829" s="286">
        <v>0</v>
      </c>
      <c r="N829" s="285">
        <f t="shared" si="375"/>
        <v>11888.1</v>
      </c>
      <c r="O829" s="616">
        <f t="shared" si="391"/>
        <v>0</v>
      </c>
      <c r="P829" s="289">
        <f t="shared" si="376"/>
        <v>0</v>
      </c>
      <c r="Q829" s="290">
        <f t="shared" si="358"/>
        <v>0</v>
      </c>
      <c r="R829" s="290">
        <f t="shared" si="359"/>
        <v>0</v>
      </c>
      <c r="S829" s="290">
        <f t="shared" si="360"/>
        <v>0</v>
      </c>
      <c r="T829" s="290">
        <f t="shared" si="361"/>
        <v>0</v>
      </c>
      <c r="U829" s="291">
        <f t="shared" si="362"/>
        <v>11888.1</v>
      </c>
      <c r="V829" s="291">
        <f t="shared" si="366"/>
        <v>-11888.1</v>
      </c>
      <c r="W829" s="265">
        <f t="shared" si="363"/>
        <v>0</v>
      </c>
      <c r="X829" s="291">
        <f t="shared" si="367"/>
        <v>-11888.1</v>
      </c>
      <c r="Y829" s="170">
        <f t="shared" si="364"/>
        <v>2175.6</v>
      </c>
      <c r="Z829" s="291">
        <f t="shared" si="365"/>
        <v>-2175.6</v>
      </c>
      <c r="AC829" s="276">
        <f>IF(AI829=1,IF(AC828=MiscData!$F$1,EOMONTH(AC828,-11),EOMONTH(AC828,1)),AC828)</f>
        <v>42004</v>
      </c>
      <c r="AD829" s="275" t="str">
        <f t="shared" si="398"/>
        <v>20140101LGUM_315</v>
      </c>
      <c r="AE829" s="294" t="str">
        <f t="shared" si="399"/>
        <v>20140101RLS</v>
      </c>
      <c r="AF829" s="618" t="str">
        <f t="shared" si="368"/>
        <v>315</v>
      </c>
      <c r="AH829" s="265">
        <f>MiscData!$X$5</f>
        <v>20140101</v>
      </c>
      <c r="AI829" s="265">
        <f>IF(AI828+1&gt;MiscData!$AC$77,1,AI828+1)</f>
        <v>23</v>
      </c>
      <c r="AJ829" s="265" t="str">
        <f>VLOOKUP(AI829,MiscData!$AC$5:$AD$77,2,FALSE)</f>
        <v>LGUM_315</v>
      </c>
      <c r="AK829" s="265" t="str">
        <f>VLOOKUP(AJ829,MiscData!$AD$5:$AE$77,2,FALSE)</f>
        <v>RLS</v>
      </c>
      <c r="AT829" s="265" t="s">
        <v>194</v>
      </c>
      <c r="AV829" s="265">
        <v>0</v>
      </c>
    </row>
    <row r="830" spans="1:48">
      <c r="A830" s="275">
        <f t="shared" si="369"/>
        <v>815</v>
      </c>
      <c r="B830" s="276" t="str">
        <f t="shared" si="395"/>
        <v>Dec 2014</v>
      </c>
      <c r="C830" s="277" t="str">
        <f t="shared" si="396"/>
        <v>RLS</v>
      </c>
      <c r="D830" s="277" t="str">
        <f t="shared" si="397"/>
        <v>LGUM_318</v>
      </c>
      <c r="E830" s="614">
        <f t="shared" si="353"/>
        <v>53</v>
      </c>
      <c r="F830" s="615">
        <v>0</v>
      </c>
      <c r="G830" s="614">
        <f t="shared" si="354"/>
        <v>0</v>
      </c>
      <c r="H830" s="615">
        <v>0</v>
      </c>
      <c r="I830" s="283">
        <f t="shared" si="355"/>
        <v>17.419999999999998</v>
      </c>
      <c r="J830" s="283">
        <f t="shared" si="356"/>
        <v>1.9100000000000001</v>
      </c>
      <c r="K830" s="285">
        <f t="shared" si="357"/>
        <v>923.26</v>
      </c>
      <c r="L830" s="286">
        <v>0</v>
      </c>
      <c r="M830" s="286">
        <v>0</v>
      </c>
      <c r="N830" s="285">
        <f t="shared" si="375"/>
        <v>923.26</v>
      </c>
      <c r="O830" s="616">
        <f t="shared" si="391"/>
        <v>0</v>
      </c>
      <c r="P830" s="289">
        <f t="shared" si="376"/>
        <v>0</v>
      </c>
      <c r="Q830" s="290">
        <f t="shared" si="358"/>
        <v>0</v>
      </c>
      <c r="R830" s="290">
        <f t="shared" si="359"/>
        <v>0</v>
      </c>
      <c r="S830" s="290">
        <f t="shared" si="360"/>
        <v>0</v>
      </c>
      <c r="T830" s="290">
        <f t="shared" si="361"/>
        <v>0</v>
      </c>
      <c r="U830" s="291">
        <f t="shared" si="362"/>
        <v>923.26</v>
      </c>
      <c r="V830" s="291">
        <f t="shared" si="366"/>
        <v>-923.26</v>
      </c>
      <c r="W830" s="265">
        <f t="shared" si="363"/>
        <v>0</v>
      </c>
      <c r="X830" s="291">
        <f t="shared" si="367"/>
        <v>-923.26</v>
      </c>
      <c r="Y830" s="170">
        <f t="shared" si="364"/>
        <v>101.23</v>
      </c>
      <c r="Z830" s="291">
        <f t="shared" si="365"/>
        <v>-101.23</v>
      </c>
      <c r="AC830" s="276">
        <f>IF(AI830=1,IF(AC829=MiscData!$F$1,EOMONTH(AC829,-11),EOMONTH(AC829,1)),AC829)</f>
        <v>42004</v>
      </c>
      <c r="AD830" s="275" t="str">
        <f t="shared" si="398"/>
        <v>20140101LGUM_318</v>
      </c>
      <c r="AE830" s="294" t="str">
        <f t="shared" si="399"/>
        <v>20140101RLS</v>
      </c>
      <c r="AF830" s="618" t="str">
        <f t="shared" si="368"/>
        <v>318</v>
      </c>
      <c r="AH830" s="265">
        <f>MiscData!$X$5</f>
        <v>20140101</v>
      </c>
      <c r="AI830" s="265">
        <f>IF(AI829+1&gt;MiscData!$AC$77,1,AI829+1)</f>
        <v>24</v>
      </c>
      <c r="AJ830" s="265" t="str">
        <f>VLOOKUP(AI830,MiscData!$AC$5:$AD$77,2,FALSE)</f>
        <v>LGUM_318</v>
      </c>
      <c r="AK830" s="265" t="str">
        <f>VLOOKUP(AJ830,MiscData!$AD$5:$AE$77,2,FALSE)</f>
        <v>RLS</v>
      </c>
      <c r="AT830" s="265" t="s">
        <v>553</v>
      </c>
      <c r="AV830" s="265">
        <v>0</v>
      </c>
    </row>
    <row r="831" spans="1:48">
      <c r="A831" s="275">
        <f t="shared" si="369"/>
        <v>816</v>
      </c>
      <c r="B831" s="276" t="str">
        <f t="shared" si="395"/>
        <v>Dec 2014</v>
      </c>
      <c r="C831" s="277" t="str">
        <f t="shared" si="396"/>
        <v>RLS</v>
      </c>
      <c r="D831" s="277" t="str">
        <f t="shared" si="397"/>
        <v>LGUM_347</v>
      </c>
      <c r="E831" s="614">
        <f t="shared" si="353"/>
        <v>0</v>
      </c>
      <c r="F831" s="615">
        <v>0</v>
      </c>
      <c r="G831" s="614">
        <f t="shared" si="354"/>
        <v>0</v>
      </c>
      <c r="H831" s="615">
        <v>0</v>
      </c>
      <c r="I831" s="283">
        <f t="shared" si="355"/>
        <v>22.939999999999998</v>
      </c>
      <c r="J831" s="283">
        <f t="shared" si="356"/>
        <v>26.14</v>
      </c>
      <c r="K831" s="285">
        <f t="shared" si="357"/>
        <v>0</v>
      </c>
      <c r="L831" s="286">
        <v>0</v>
      </c>
      <c r="M831" s="286">
        <v>0</v>
      </c>
      <c r="N831" s="285">
        <f t="shared" si="375"/>
        <v>0</v>
      </c>
      <c r="O831" s="616">
        <f t="shared" si="391"/>
        <v>0</v>
      </c>
      <c r="P831" s="289">
        <f t="shared" si="376"/>
        <v>1</v>
      </c>
      <c r="Q831" s="290">
        <f t="shared" si="358"/>
        <v>0</v>
      </c>
      <c r="R831" s="290">
        <f t="shared" si="359"/>
        <v>0</v>
      </c>
      <c r="S831" s="290">
        <f t="shared" si="360"/>
        <v>0</v>
      </c>
      <c r="T831" s="290">
        <f t="shared" si="361"/>
        <v>0</v>
      </c>
      <c r="U831" s="291">
        <f t="shared" si="362"/>
        <v>0</v>
      </c>
      <c r="V831" s="291">
        <f t="shared" si="366"/>
        <v>0</v>
      </c>
      <c r="W831" s="265">
        <f t="shared" si="363"/>
        <v>0</v>
      </c>
      <c r="X831" s="291">
        <f t="shared" si="367"/>
        <v>0</v>
      </c>
      <c r="Y831" s="170">
        <f t="shared" si="364"/>
        <v>0</v>
      </c>
      <c r="Z831" s="291">
        <f t="shared" si="365"/>
        <v>0</v>
      </c>
      <c r="AC831" s="276">
        <f>IF(AI831=1,IF(AC830=MiscData!$F$1,EOMONTH(AC830,-11),EOMONTH(AC830,1)),AC830)</f>
        <v>42004</v>
      </c>
      <c r="AD831" s="275" t="str">
        <f t="shared" si="398"/>
        <v>20140101LGUM_347</v>
      </c>
      <c r="AE831" s="294" t="str">
        <f t="shared" si="399"/>
        <v>20140101RLS</v>
      </c>
      <c r="AF831" s="618" t="str">
        <f t="shared" si="368"/>
        <v>347</v>
      </c>
      <c r="AH831" s="265">
        <f>MiscData!$X$5</f>
        <v>20140101</v>
      </c>
      <c r="AI831" s="265">
        <f>IF(AI830+1&gt;MiscData!$AC$77,1,AI830+1)</f>
        <v>25</v>
      </c>
      <c r="AJ831" s="265" t="str">
        <f>VLOOKUP(AI831,MiscData!$AC$5:$AD$77,2,FALSE)</f>
        <v>LGUM_347</v>
      </c>
      <c r="AK831" s="265" t="str">
        <f>VLOOKUP(AJ831,MiscData!$AD$5:$AE$77,2,FALSE)</f>
        <v>RLS</v>
      </c>
      <c r="AT831" s="265" t="s">
        <v>555</v>
      </c>
      <c r="AV831" s="265">
        <v>0</v>
      </c>
    </row>
    <row r="832" spans="1:48">
      <c r="A832" s="275">
        <f t="shared" si="369"/>
        <v>817</v>
      </c>
      <c r="B832" s="276" t="str">
        <f t="shared" si="395"/>
        <v>Dec 2014</v>
      </c>
      <c r="C832" s="277" t="str">
        <f t="shared" si="396"/>
        <v>RLS</v>
      </c>
      <c r="D832" s="277" t="str">
        <f t="shared" si="397"/>
        <v>LGUM_348</v>
      </c>
      <c r="E832" s="614">
        <f t="shared" si="353"/>
        <v>39</v>
      </c>
      <c r="F832" s="615">
        <v>0</v>
      </c>
      <c r="G832" s="614">
        <f t="shared" si="354"/>
        <v>0</v>
      </c>
      <c r="H832" s="615">
        <v>0</v>
      </c>
      <c r="I832" s="283">
        <f t="shared" si="355"/>
        <v>13.12</v>
      </c>
      <c r="J832" s="283">
        <f t="shared" si="356"/>
        <v>2.9800000000000004</v>
      </c>
      <c r="K832" s="285">
        <f t="shared" si="357"/>
        <v>511.68</v>
      </c>
      <c r="L832" s="286">
        <v>0</v>
      </c>
      <c r="M832" s="286">
        <v>0</v>
      </c>
      <c r="N832" s="285">
        <f t="shared" si="375"/>
        <v>511.68</v>
      </c>
      <c r="O832" s="616">
        <f t="shared" si="391"/>
        <v>0</v>
      </c>
      <c r="P832" s="289">
        <f t="shared" si="376"/>
        <v>0</v>
      </c>
      <c r="Q832" s="290">
        <f t="shared" si="358"/>
        <v>0</v>
      </c>
      <c r="R832" s="290">
        <f t="shared" si="359"/>
        <v>0</v>
      </c>
      <c r="S832" s="290">
        <f t="shared" si="360"/>
        <v>0</v>
      </c>
      <c r="T832" s="290">
        <f t="shared" si="361"/>
        <v>0</v>
      </c>
      <c r="U832" s="291">
        <f t="shared" si="362"/>
        <v>511.68</v>
      </c>
      <c r="V832" s="291">
        <f t="shared" si="366"/>
        <v>-511.68</v>
      </c>
      <c r="W832" s="265">
        <f t="shared" si="363"/>
        <v>0</v>
      </c>
      <c r="X832" s="291">
        <f t="shared" si="367"/>
        <v>-511.68</v>
      </c>
      <c r="Y832" s="170">
        <f t="shared" si="364"/>
        <v>116.22</v>
      </c>
      <c r="Z832" s="291">
        <f t="shared" si="365"/>
        <v>-116.22</v>
      </c>
      <c r="AC832" s="276">
        <f>IF(AI832=1,IF(AC831=MiscData!$F$1,EOMONTH(AC831,-11),EOMONTH(AC831,1)),AC831)</f>
        <v>42004</v>
      </c>
      <c r="AD832" s="275" t="str">
        <f t="shared" si="398"/>
        <v>20140101LGUM_348</v>
      </c>
      <c r="AE832" s="294" t="str">
        <f t="shared" si="399"/>
        <v>20140101RLS</v>
      </c>
      <c r="AF832" s="618" t="str">
        <f t="shared" si="368"/>
        <v>348</v>
      </c>
      <c r="AH832" s="265">
        <f>MiscData!$X$5</f>
        <v>20140101</v>
      </c>
      <c r="AI832" s="265">
        <f>IF(AI831+1&gt;MiscData!$AC$77,1,AI831+1)</f>
        <v>26</v>
      </c>
      <c r="AJ832" s="265" t="str">
        <f>VLOOKUP(AI832,MiscData!$AC$5:$AD$77,2,FALSE)</f>
        <v>LGUM_348</v>
      </c>
      <c r="AK832" s="265" t="str">
        <f>VLOOKUP(AJ832,MiscData!$AD$5:$AE$77,2,FALSE)</f>
        <v>RLS</v>
      </c>
      <c r="AT832" s="265" t="s">
        <v>557</v>
      </c>
      <c r="AV832" s="265">
        <v>0</v>
      </c>
    </row>
    <row r="833" spans="1:48">
      <c r="A833" s="275">
        <f t="shared" si="369"/>
        <v>818</v>
      </c>
      <c r="B833" s="276" t="str">
        <f t="shared" si="395"/>
        <v>Dec 2014</v>
      </c>
      <c r="C833" s="277" t="str">
        <f t="shared" si="396"/>
        <v>RLS</v>
      </c>
      <c r="D833" s="277" t="str">
        <f t="shared" si="397"/>
        <v>LGUM_349</v>
      </c>
      <c r="E833" s="614">
        <f t="shared" si="353"/>
        <v>16</v>
      </c>
      <c r="F833" s="615">
        <v>0</v>
      </c>
      <c r="G833" s="614">
        <f t="shared" si="354"/>
        <v>0</v>
      </c>
      <c r="H833" s="615">
        <v>0</v>
      </c>
      <c r="I833" s="283">
        <f t="shared" si="355"/>
        <v>9.0200000000000014</v>
      </c>
      <c r="J833" s="283">
        <f t="shared" si="356"/>
        <v>0.91000000000000014</v>
      </c>
      <c r="K833" s="285">
        <f t="shared" si="357"/>
        <v>144.32</v>
      </c>
      <c r="L833" s="286">
        <v>0</v>
      </c>
      <c r="M833" s="286">
        <v>0</v>
      </c>
      <c r="N833" s="285">
        <f t="shared" si="375"/>
        <v>144.32</v>
      </c>
      <c r="O833" s="616">
        <f t="shared" si="391"/>
        <v>0</v>
      </c>
      <c r="P833" s="289">
        <f t="shared" si="376"/>
        <v>0</v>
      </c>
      <c r="Q833" s="290">
        <f t="shared" si="358"/>
        <v>0</v>
      </c>
      <c r="R833" s="290">
        <f t="shared" si="359"/>
        <v>0</v>
      </c>
      <c r="S833" s="290">
        <f t="shared" si="360"/>
        <v>0</v>
      </c>
      <c r="T833" s="290">
        <f t="shared" si="361"/>
        <v>0</v>
      </c>
      <c r="U833" s="291">
        <f t="shared" si="362"/>
        <v>144.32</v>
      </c>
      <c r="V833" s="291">
        <f t="shared" si="366"/>
        <v>-144.32</v>
      </c>
      <c r="W833" s="265">
        <f t="shared" si="363"/>
        <v>0</v>
      </c>
      <c r="X833" s="291">
        <f t="shared" si="367"/>
        <v>-144.32</v>
      </c>
      <c r="Y833" s="170">
        <f t="shared" si="364"/>
        <v>14.56</v>
      </c>
      <c r="Z833" s="291">
        <f t="shared" si="365"/>
        <v>-14.56</v>
      </c>
      <c r="AC833" s="276">
        <f>IF(AI833=1,IF(AC832=MiscData!$F$1,EOMONTH(AC832,-11),EOMONTH(AC832,1)),AC832)</f>
        <v>42004</v>
      </c>
      <c r="AD833" s="275" t="str">
        <f t="shared" si="398"/>
        <v>20140101LGUM_349</v>
      </c>
      <c r="AE833" s="294" t="str">
        <f t="shared" si="399"/>
        <v>20140101RLS</v>
      </c>
      <c r="AF833" s="618" t="str">
        <f t="shared" si="368"/>
        <v>349</v>
      </c>
      <c r="AH833" s="265">
        <f>MiscData!$X$5</f>
        <v>20140101</v>
      </c>
      <c r="AI833" s="265">
        <f>IF(AI832+1&gt;MiscData!$AC$77,1,AI832+1)</f>
        <v>27</v>
      </c>
      <c r="AJ833" s="265" t="str">
        <f>VLOOKUP(AI833,MiscData!$AC$5:$AD$77,2,FALSE)</f>
        <v>LGUM_349</v>
      </c>
      <c r="AK833" s="265" t="str">
        <f>VLOOKUP(AJ833,MiscData!$AD$5:$AE$77,2,FALSE)</f>
        <v>RLS</v>
      </c>
      <c r="AT833" s="265" t="s">
        <v>375</v>
      </c>
      <c r="AV833" s="265">
        <v>0</v>
      </c>
    </row>
    <row r="834" spans="1:48">
      <c r="A834" s="275">
        <f t="shared" si="369"/>
        <v>819</v>
      </c>
      <c r="B834" s="276" t="str">
        <f t="shared" si="395"/>
        <v>Dec 2014</v>
      </c>
      <c r="C834" s="277" t="str">
        <f t="shared" si="396"/>
        <v xml:space="preserve">LS </v>
      </c>
      <c r="D834" s="277" t="str">
        <f t="shared" si="397"/>
        <v>LGUM_400</v>
      </c>
      <c r="E834" s="614">
        <f t="shared" si="353"/>
        <v>32</v>
      </c>
      <c r="F834" s="615">
        <v>0</v>
      </c>
      <c r="G834" s="614">
        <f t="shared" si="354"/>
        <v>0</v>
      </c>
      <c r="H834" s="615">
        <v>0</v>
      </c>
      <c r="I834" s="283">
        <f t="shared" si="355"/>
        <v>23.89</v>
      </c>
      <c r="J834" s="283">
        <f t="shared" si="356"/>
        <v>1.0199999999999996</v>
      </c>
      <c r="K834" s="285">
        <f t="shared" si="357"/>
        <v>764.48</v>
      </c>
      <c r="L834" s="286">
        <v>0</v>
      </c>
      <c r="M834" s="286">
        <v>0</v>
      </c>
      <c r="N834" s="285">
        <f t="shared" si="375"/>
        <v>764.48</v>
      </c>
      <c r="O834" s="616">
        <f t="shared" si="391"/>
        <v>0</v>
      </c>
      <c r="P834" s="289">
        <f t="shared" si="376"/>
        <v>0</v>
      </c>
      <c r="Q834" s="290">
        <f t="shared" si="358"/>
        <v>0</v>
      </c>
      <c r="R834" s="290">
        <f t="shared" si="359"/>
        <v>0</v>
      </c>
      <c r="S834" s="290">
        <f t="shared" si="360"/>
        <v>0</v>
      </c>
      <c r="T834" s="290">
        <f t="shared" si="361"/>
        <v>0</v>
      </c>
      <c r="U834" s="291">
        <f t="shared" si="362"/>
        <v>764.48</v>
      </c>
      <c r="V834" s="291">
        <f t="shared" si="366"/>
        <v>-764.48</v>
      </c>
      <c r="W834" s="265">
        <f t="shared" si="363"/>
        <v>0</v>
      </c>
      <c r="X834" s="291">
        <f t="shared" si="367"/>
        <v>-764.48</v>
      </c>
      <c r="Y834" s="170">
        <f t="shared" si="364"/>
        <v>32.64</v>
      </c>
      <c r="Z834" s="291">
        <f t="shared" si="365"/>
        <v>-32.64</v>
      </c>
      <c r="AC834" s="276">
        <f>IF(AI834=1,IF(AC833=MiscData!$F$1,EOMONTH(AC833,-11),EOMONTH(AC833,1)),AC833)</f>
        <v>42004</v>
      </c>
      <c r="AD834" s="275" t="str">
        <f t="shared" si="398"/>
        <v>20140101LGUM_400</v>
      </c>
      <c r="AE834" s="294" t="str">
        <f t="shared" si="399"/>
        <v xml:space="preserve">20140101LS </v>
      </c>
      <c r="AF834" s="618" t="str">
        <f t="shared" si="368"/>
        <v>400</v>
      </c>
      <c r="AH834" s="265">
        <f>MiscData!$X$5</f>
        <v>20140101</v>
      </c>
      <c r="AI834" s="265">
        <f>IF(AI833+1&gt;MiscData!$AC$77,1,AI833+1)</f>
        <v>28</v>
      </c>
      <c r="AJ834" s="265" t="str">
        <f>VLOOKUP(AI834,MiscData!$AC$5:$AD$77,2,FALSE)</f>
        <v>LGUM_400</v>
      </c>
      <c r="AK834" s="265" t="str">
        <f>VLOOKUP(AJ834,MiscData!$AD$5:$AE$77,2,FALSE)</f>
        <v xml:space="preserve">LS </v>
      </c>
      <c r="AT834" s="265" t="s">
        <v>195</v>
      </c>
      <c r="AV834" s="265">
        <v>0</v>
      </c>
    </row>
    <row r="835" spans="1:48">
      <c r="A835" s="275">
        <f t="shared" si="369"/>
        <v>820</v>
      </c>
      <c r="B835" s="276" t="str">
        <f t="shared" si="395"/>
        <v>Dec 2014</v>
      </c>
      <c r="C835" s="277" t="str">
        <f t="shared" si="396"/>
        <v xml:space="preserve">LS </v>
      </c>
      <c r="D835" s="277" t="str">
        <f t="shared" si="397"/>
        <v>LGUM_401</v>
      </c>
      <c r="E835" s="614">
        <f t="shared" si="353"/>
        <v>4</v>
      </c>
      <c r="F835" s="615">
        <v>0</v>
      </c>
      <c r="G835" s="614">
        <f t="shared" si="354"/>
        <v>0</v>
      </c>
      <c r="H835" s="615">
        <v>0</v>
      </c>
      <c r="I835" s="283">
        <f t="shared" si="355"/>
        <v>24.9</v>
      </c>
      <c r="J835" s="283">
        <f t="shared" si="356"/>
        <v>1.0599999999999987</v>
      </c>
      <c r="K835" s="285">
        <f t="shared" si="357"/>
        <v>99.6</v>
      </c>
      <c r="L835" s="286">
        <v>0</v>
      </c>
      <c r="M835" s="286">
        <v>0</v>
      </c>
      <c r="N835" s="285">
        <f t="shared" si="375"/>
        <v>99.6</v>
      </c>
      <c r="O835" s="616">
        <f t="shared" si="391"/>
        <v>0</v>
      </c>
      <c r="P835" s="289">
        <f t="shared" si="376"/>
        <v>0</v>
      </c>
      <c r="Q835" s="290">
        <f t="shared" si="358"/>
        <v>0</v>
      </c>
      <c r="R835" s="290">
        <f t="shared" si="359"/>
        <v>0</v>
      </c>
      <c r="S835" s="290">
        <f t="shared" si="360"/>
        <v>0</v>
      </c>
      <c r="T835" s="290">
        <f t="shared" si="361"/>
        <v>0</v>
      </c>
      <c r="U835" s="291">
        <f t="shared" si="362"/>
        <v>99.6</v>
      </c>
      <c r="V835" s="291">
        <f t="shared" si="366"/>
        <v>-99.6</v>
      </c>
      <c r="W835" s="265">
        <f t="shared" si="363"/>
        <v>0</v>
      </c>
      <c r="X835" s="291">
        <f t="shared" si="367"/>
        <v>-99.6</v>
      </c>
      <c r="Y835" s="170">
        <f t="shared" si="364"/>
        <v>4.24</v>
      </c>
      <c r="Z835" s="291">
        <f t="shared" si="365"/>
        <v>-4.24</v>
      </c>
      <c r="AC835" s="276">
        <f>IF(AI835=1,IF(AC834=MiscData!$F$1,EOMONTH(AC834,-11),EOMONTH(AC834,1)),AC834)</f>
        <v>42004</v>
      </c>
      <c r="AD835" s="275" t="str">
        <f t="shared" si="398"/>
        <v>20140101LGUM_401</v>
      </c>
      <c r="AE835" s="294" t="str">
        <f t="shared" si="399"/>
        <v xml:space="preserve">20140101LS </v>
      </c>
      <c r="AF835" s="618" t="str">
        <f t="shared" si="368"/>
        <v>401</v>
      </c>
      <c r="AH835" s="265">
        <f>MiscData!$X$5</f>
        <v>20140101</v>
      </c>
      <c r="AI835" s="265">
        <f>IF(AI834+1&gt;MiscData!$AC$77,1,AI834+1)</f>
        <v>29</v>
      </c>
      <c r="AJ835" s="265" t="str">
        <f>VLOOKUP(AI835,MiscData!$AC$5:$AD$77,2,FALSE)</f>
        <v>LGUM_401</v>
      </c>
      <c r="AK835" s="265" t="str">
        <f>VLOOKUP(AJ835,MiscData!$AD$5:$AE$77,2,FALSE)</f>
        <v xml:space="preserve">LS </v>
      </c>
      <c r="AT835" s="265" t="s">
        <v>561</v>
      </c>
      <c r="AV835" s="265">
        <v>0</v>
      </c>
    </row>
    <row r="836" spans="1:48">
      <c r="A836" s="275">
        <f t="shared" si="369"/>
        <v>821</v>
      </c>
      <c r="B836" s="276" t="str">
        <f t="shared" si="395"/>
        <v>Dec 2014</v>
      </c>
      <c r="C836" s="277" t="str">
        <f t="shared" si="396"/>
        <v xml:space="preserve">LS </v>
      </c>
      <c r="D836" s="277" t="str">
        <f t="shared" si="397"/>
        <v>LGUM_412</v>
      </c>
      <c r="E836" s="614">
        <f t="shared" si="353"/>
        <v>218</v>
      </c>
      <c r="F836" s="615">
        <v>0</v>
      </c>
      <c r="G836" s="614">
        <f t="shared" ref="G836:G879" si="400">SUMIFS(L_SBR_KWH,L_SBR_Revenue_Month,$B836,L_SBR_Rate_Category,$D836)</f>
        <v>0</v>
      </c>
      <c r="H836" s="615">
        <v>0</v>
      </c>
      <c r="I836" s="283">
        <f t="shared" si="355"/>
        <v>19.79</v>
      </c>
      <c r="J836" s="283">
        <f t="shared" si="356"/>
        <v>0.74999999999999645</v>
      </c>
      <c r="K836" s="285">
        <f t="shared" si="357"/>
        <v>4314.22</v>
      </c>
      <c r="L836" s="286">
        <v>0</v>
      </c>
      <c r="M836" s="286">
        <v>0</v>
      </c>
      <c r="N836" s="285">
        <f t="shared" si="375"/>
        <v>4314.22</v>
      </c>
      <c r="O836" s="616">
        <f t="shared" si="391"/>
        <v>0</v>
      </c>
      <c r="P836" s="289">
        <f t="shared" si="376"/>
        <v>0</v>
      </c>
      <c r="Q836" s="290">
        <f t="shared" si="358"/>
        <v>0</v>
      </c>
      <c r="R836" s="290">
        <f t="shared" si="359"/>
        <v>0</v>
      </c>
      <c r="S836" s="290">
        <f t="shared" si="360"/>
        <v>0</v>
      </c>
      <c r="T836" s="290">
        <f t="shared" si="361"/>
        <v>0</v>
      </c>
      <c r="U836" s="291">
        <f t="shared" si="362"/>
        <v>4314.22</v>
      </c>
      <c r="V836" s="291">
        <f t="shared" si="366"/>
        <v>-4314.22</v>
      </c>
      <c r="W836" s="265">
        <f t="shared" si="363"/>
        <v>0</v>
      </c>
      <c r="X836" s="291">
        <f t="shared" si="367"/>
        <v>-4314.22</v>
      </c>
      <c r="Y836" s="170">
        <f t="shared" si="364"/>
        <v>163.5</v>
      </c>
      <c r="Z836" s="291">
        <f t="shared" si="365"/>
        <v>-163.5</v>
      </c>
      <c r="AC836" s="276">
        <f>IF(AI836=1,IF(AC835=MiscData!$F$1,EOMONTH(AC835,-11),EOMONTH(AC835,1)),AC835)</f>
        <v>42004</v>
      </c>
      <c r="AD836" s="275" t="str">
        <f t="shared" si="398"/>
        <v>20140101LGUM_412</v>
      </c>
      <c r="AE836" s="294" t="str">
        <f t="shared" si="399"/>
        <v xml:space="preserve">20140101LS </v>
      </c>
      <c r="AF836" s="618" t="str">
        <f t="shared" si="368"/>
        <v>412</v>
      </c>
      <c r="AH836" s="265">
        <f>MiscData!$X$5</f>
        <v>20140101</v>
      </c>
      <c r="AI836" s="265">
        <f>IF(AI835+1&gt;MiscData!$AC$77,1,AI835+1)</f>
        <v>30</v>
      </c>
      <c r="AJ836" s="265" t="str">
        <f>VLOOKUP(AI836,MiscData!$AC$5:$AD$77,2,FALSE)</f>
        <v>LGUM_412</v>
      </c>
      <c r="AK836" s="265" t="str">
        <f>VLOOKUP(AJ836,MiscData!$AD$5:$AE$77,2,FALSE)</f>
        <v xml:space="preserve">LS </v>
      </c>
      <c r="AT836" s="265" t="s">
        <v>196</v>
      </c>
      <c r="AV836" s="265">
        <v>0</v>
      </c>
    </row>
    <row r="837" spans="1:48">
      <c r="A837" s="275">
        <f t="shared" si="369"/>
        <v>822</v>
      </c>
      <c r="B837" s="276" t="str">
        <f t="shared" si="395"/>
        <v>Dec 2014</v>
      </c>
      <c r="C837" s="277" t="str">
        <f t="shared" si="396"/>
        <v xml:space="preserve">LS </v>
      </c>
      <c r="D837" s="277" t="str">
        <f t="shared" si="397"/>
        <v>LGUM_413</v>
      </c>
      <c r="E837" s="614">
        <f t="shared" si="353"/>
        <v>2035</v>
      </c>
      <c r="F837" s="615">
        <v>0</v>
      </c>
      <c r="G837" s="614">
        <f t="shared" si="400"/>
        <v>0</v>
      </c>
      <c r="H837" s="615">
        <v>0</v>
      </c>
      <c r="I837" s="283">
        <f t="shared" si="355"/>
        <v>20.49</v>
      </c>
      <c r="J837" s="283">
        <f t="shared" si="356"/>
        <v>1.0599999999999987</v>
      </c>
      <c r="K837" s="285">
        <f t="shared" si="357"/>
        <v>41697.15</v>
      </c>
      <c r="L837" s="286">
        <v>0</v>
      </c>
      <c r="M837" s="286">
        <v>0</v>
      </c>
      <c r="N837" s="285">
        <f t="shared" si="375"/>
        <v>41697.15</v>
      </c>
      <c r="O837" s="616">
        <f t="shared" si="391"/>
        <v>0</v>
      </c>
      <c r="P837" s="289">
        <f t="shared" si="376"/>
        <v>0</v>
      </c>
      <c r="Q837" s="290">
        <f t="shared" si="358"/>
        <v>0</v>
      </c>
      <c r="R837" s="290">
        <f t="shared" si="359"/>
        <v>0</v>
      </c>
      <c r="S837" s="290">
        <f t="shared" si="360"/>
        <v>0</v>
      </c>
      <c r="T837" s="290">
        <f t="shared" si="361"/>
        <v>0</v>
      </c>
      <c r="U837" s="291">
        <f t="shared" si="362"/>
        <v>41697.15</v>
      </c>
      <c r="V837" s="291">
        <f t="shared" si="366"/>
        <v>-41697.15</v>
      </c>
      <c r="W837" s="265">
        <f t="shared" si="363"/>
        <v>0</v>
      </c>
      <c r="X837" s="291">
        <f t="shared" si="367"/>
        <v>-41697.15</v>
      </c>
      <c r="Y837" s="170">
        <f t="shared" si="364"/>
        <v>2157.1</v>
      </c>
      <c r="Z837" s="291">
        <f t="shared" si="365"/>
        <v>-2157.1</v>
      </c>
      <c r="AC837" s="276">
        <f>IF(AI837=1,IF(AC836=MiscData!$F$1,EOMONTH(AC836,-11),EOMONTH(AC836,1)),AC836)</f>
        <v>42004</v>
      </c>
      <c r="AD837" s="275" t="str">
        <f t="shared" si="398"/>
        <v>20140101LGUM_413</v>
      </c>
      <c r="AE837" s="294" t="str">
        <f t="shared" si="399"/>
        <v xml:space="preserve">20140101LS </v>
      </c>
      <c r="AF837" s="618" t="str">
        <f t="shared" si="368"/>
        <v>413</v>
      </c>
      <c r="AH837" s="265">
        <f>MiscData!$X$5</f>
        <v>20140101</v>
      </c>
      <c r="AI837" s="265">
        <f>IF(AI836+1&gt;MiscData!$AC$77,1,AI836+1)</f>
        <v>31</v>
      </c>
      <c r="AJ837" s="265" t="str">
        <f>VLOOKUP(AI837,MiscData!$AC$5:$AD$77,2,FALSE)</f>
        <v>LGUM_413</v>
      </c>
      <c r="AK837" s="265" t="str">
        <f>VLOOKUP(AJ837,MiscData!$AD$5:$AE$77,2,FALSE)</f>
        <v xml:space="preserve">LS </v>
      </c>
      <c r="AT837" s="265" t="s">
        <v>197</v>
      </c>
      <c r="AV837" s="265">
        <v>-27.53</v>
      </c>
    </row>
    <row r="838" spans="1:48">
      <c r="A838" s="275">
        <f t="shared" si="369"/>
        <v>823</v>
      </c>
      <c r="B838" s="276" t="str">
        <f t="shared" si="395"/>
        <v>Dec 2014</v>
      </c>
      <c r="C838" s="277" t="str">
        <f t="shared" si="396"/>
        <v xml:space="preserve">LS </v>
      </c>
      <c r="D838" s="277" t="str">
        <f t="shared" si="397"/>
        <v>LGUM_415</v>
      </c>
      <c r="E838" s="614">
        <f t="shared" si="353"/>
        <v>34</v>
      </c>
      <c r="F838" s="615">
        <v>0</v>
      </c>
      <c r="G838" s="614">
        <f t="shared" si="400"/>
        <v>0</v>
      </c>
      <c r="H838" s="615">
        <v>0</v>
      </c>
      <c r="I838" s="283">
        <f t="shared" si="355"/>
        <v>20.18</v>
      </c>
      <c r="J838" s="283">
        <f t="shared" si="356"/>
        <v>0.75</v>
      </c>
      <c r="K838" s="285">
        <f t="shared" si="357"/>
        <v>686.12</v>
      </c>
      <c r="L838" s="286">
        <v>0</v>
      </c>
      <c r="M838" s="286">
        <v>0</v>
      </c>
      <c r="N838" s="285">
        <f t="shared" si="375"/>
        <v>686.12</v>
      </c>
      <c r="O838" s="616">
        <f t="shared" si="391"/>
        <v>0</v>
      </c>
      <c r="P838" s="289">
        <f t="shared" si="376"/>
        <v>0</v>
      </c>
      <c r="Q838" s="290">
        <f t="shared" si="358"/>
        <v>0</v>
      </c>
      <c r="R838" s="290">
        <f t="shared" si="359"/>
        <v>0</v>
      </c>
      <c r="S838" s="290">
        <f t="shared" si="360"/>
        <v>0</v>
      </c>
      <c r="T838" s="290">
        <f t="shared" si="361"/>
        <v>0</v>
      </c>
      <c r="U838" s="291">
        <f t="shared" si="362"/>
        <v>686.12</v>
      </c>
      <c r="V838" s="291">
        <f t="shared" si="366"/>
        <v>-686.12</v>
      </c>
      <c r="W838" s="265">
        <f t="shared" si="363"/>
        <v>0</v>
      </c>
      <c r="X838" s="291">
        <f t="shared" si="367"/>
        <v>-686.12</v>
      </c>
      <c r="Y838" s="170">
        <f t="shared" si="364"/>
        <v>25.5</v>
      </c>
      <c r="Z838" s="291">
        <f t="shared" si="365"/>
        <v>-25.5</v>
      </c>
      <c r="AC838" s="276">
        <f>IF(AI838=1,IF(AC837=MiscData!$F$1,EOMONTH(AC837,-11),EOMONTH(AC837,1)),AC837)</f>
        <v>42004</v>
      </c>
      <c r="AD838" s="275" t="str">
        <f t="shared" si="398"/>
        <v>20140101LGUM_415</v>
      </c>
      <c r="AE838" s="294" t="str">
        <f t="shared" si="399"/>
        <v xml:space="preserve">20140101LS </v>
      </c>
      <c r="AF838" s="618" t="str">
        <f t="shared" si="368"/>
        <v>415</v>
      </c>
      <c r="AH838" s="265">
        <f>MiscData!$X$5</f>
        <v>20140101</v>
      </c>
      <c r="AI838" s="265">
        <f>IF(AI837+1&gt;MiscData!$AC$77,1,AI837+1)</f>
        <v>32</v>
      </c>
      <c r="AJ838" s="265" t="str">
        <f>VLOOKUP(AI838,MiscData!$AC$5:$AD$77,2,FALSE)</f>
        <v>LGUM_415</v>
      </c>
      <c r="AK838" s="265" t="str">
        <f>VLOOKUP(AJ838,MiscData!$AD$5:$AE$77,2,FALSE)</f>
        <v xml:space="preserve">LS </v>
      </c>
      <c r="AT838" s="265" t="s">
        <v>198</v>
      </c>
      <c r="AV838" s="265">
        <v>-49.05</v>
      </c>
    </row>
    <row r="839" spans="1:48">
      <c r="A839" s="275">
        <f t="shared" si="369"/>
        <v>824</v>
      </c>
      <c r="B839" s="276" t="str">
        <f t="shared" si="395"/>
        <v>Dec 2014</v>
      </c>
      <c r="C839" s="277" t="str">
        <f t="shared" si="396"/>
        <v xml:space="preserve">LS </v>
      </c>
      <c r="D839" s="277" t="str">
        <f t="shared" si="397"/>
        <v>LGUM_416</v>
      </c>
      <c r="E839" s="614">
        <f t="shared" si="353"/>
        <v>1788</v>
      </c>
      <c r="F839" s="615">
        <v>0</v>
      </c>
      <c r="G839" s="614">
        <f t="shared" si="400"/>
        <v>0</v>
      </c>
      <c r="H839" s="615">
        <v>0</v>
      </c>
      <c r="I839" s="283">
        <f t="shared" si="355"/>
        <v>22.56</v>
      </c>
      <c r="J839" s="283">
        <f t="shared" si="356"/>
        <v>1.0599999999999987</v>
      </c>
      <c r="K839" s="285">
        <f t="shared" si="357"/>
        <v>40337.279999999999</v>
      </c>
      <c r="L839" s="286">
        <v>0</v>
      </c>
      <c r="M839" s="286">
        <v>0</v>
      </c>
      <c r="N839" s="285">
        <f t="shared" si="375"/>
        <v>40337.279999999999</v>
      </c>
      <c r="O839" s="616">
        <f t="shared" si="391"/>
        <v>0</v>
      </c>
      <c r="P839" s="289">
        <f t="shared" si="376"/>
        <v>0</v>
      </c>
      <c r="Q839" s="290">
        <f t="shared" si="358"/>
        <v>0</v>
      </c>
      <c r="R839" s="290">
        <f t="shared" si="359"/>
        <v>0</v>
      </c>
      <c r="S839" s="290">
        <f t="shared" si="360"/>
        <v>0</v>
      </c>
      <c r="T839" s="290">
        <f t="shared" si="361"/>
        <v>0</v>
      </c>
      <c r="U839" s="291">
        <f t="shared" si="362"/>
        <v>40337.279999999999</v>
      </c>
      <c r="V839" s="291">
        <f t="shared" si="366"/>
        <v>-40337.279999999999</v>
      </c>
      <c r="W839" s="265">
        <f t="shared" si="363"/>
        <v>0</v>
      </c>
      <c r="X839" s="291">
        <f t="shared" si="367"/>
        <v>-40337.279999999999</v>
      </c>
      <c r="Y839" s="170">
        <f t="shared" si="364"/>
        <v>1895.28</v>
      </c>
      <c r="Z839" s="291">
        <f t="shared" si="365"/>
        <v>-1895.28</v>
      </c>
      <c r="AC839" s="276">
        <f>IF(AI839=1,IF(AC838=MiscData!$F$1,EOMONTH(AC838,-11),EOMONTH(AC838,1)),AC838)</f>
        <v>42004</v>
      </c>
      <c r="AD839" s="275" t="str">
        <f t="shared" si="398"/>
        <v>20140101LGUM_416</v>
      </c>
      <c r="AE839" s="294" t="str">
        <f t="shared" si="399"/>
        <v xml:space="preserve">20140101LS </v>
      </c>
      <c r="AF839" s="618" t="str">
        <f t="shared" si="368"/>
        <v>416</v>
      </c>
      <c r="AH839" s="265">
        <f>MiscData!$X$5</f>
        <v>20140101</v>
      </c>
      <c r="AI839" s="265">
        <f>IF(AI838+1&gt;MiscData!$AC$77,1,AI838+1)</f>
        <v>33</v>
      </c>
      <c r="AJ839" s="265" t="str">
        <f>VLOOKUP(AI839,MiscData!$AC$5:$AD$77,2,FALSE)</f>
        <v>LGUM_416</v>
      </c>
      <c r="AK839" s="265" t="str">
        <f>VLOOKUP(AJ839,MiscData!$AD$5:$AE$77,2,FALSE)</f>
        <v xml:space="preserve">LS </v>
      </c>
      <c r="AT839" s="265" t="s">
        <v>199</v>
      </c>
      <c r="AV839" s="265">
        <v>-50.35</v>
      </c>
    </row>
    <row r="840" spans="1:48">
      <c r="A840" s="275">
        <f t="shared" si="369"/>
        <v>825</v>
      </c>
      <c r="B840" s="276" t="str">
        <f t="shared" si="395"/>
        <v>Dec 2014</v>
      </c>
      <c r="C840" s="277" t="str">
        <f t="shared" si="396"/>
        <v>RLS</v>
      </c>
      <c r="D840" s="277" t="str">
        <f t="shared" si="397"/>
        <v>LGUM_417</v>
      </c>
      <c r="E840" s="614">
        <f t="shared" si="353"/>
        <v>35</v>
      </c>
      <c r="F840" s="615">
        <v>0</v>
      </c>
      <c r="G840" s="614">
        <f t="shared" si="400"/>
        <v>0</v>
      </c>
      <c r="H840" s="615">
        <v>0</v>
      </c>
      <c r="I840" s="283">
        <f t="shared" si="355"/>
        <v>23.68</v>
      </c>
      <c r="J840" s="283">
        <f t="shared" si="356"/>
        <v>1.0300000000000011</v>
      </c>
      <c r="K840" s="285">
        <f t="shared" si="357"/>
        <v>828.8</v>
      </c>
      <c r="L840" s="286">
        <v>0</v>
      </c>
      <c r="M840" s="286">
        <v>0</v>
      </c>
      <c r="N840" s="285">
        <f t="shared" si="375"/>
        <v>828.8</v>
      </c>
      <c r="O840" s="616">
        <f t="shared" si="391"/>
        <v>0</v>
      </c>
      <c r="P840" s="289">
        <f t="shared" si="376"/>
        <v>0</v>
      </c>
      <c r="Q840" s="290">
        <f t="shared" si="358"/>
        <v>0</v>
      </c>
      <c r="R840" s="290">
        <f t="shared" si="359"/>
        <v>0</v>
      </c>
      <c r="S840" s="290">
        <f t="shared" si="360"/>
        <v>0</v>
      </c>
      <c r="T840" s="290">
        <f t="shared" si="361"/>
        <v>0</v>
      </c>
      <c r="U840" s="291">
        <f t="shared" si="362"/>
        <v>828.8</v>
      </c>
      <c r="V840" s="291">
        <f t="shared" si="366"/>
        <v>-828.8</v>
      </c>
      <c r="W840" s="265">
        <f t="shared" si="363"/>
        <v>0</v>
      </c>
      <c r="X840" s="291">
        <f t="shared" si="367"/>
        <v>-828.8</v>
      </c>
      <c r="Y840" s="170">
        <f t="shared" si="364"/>
        <v>36.049999999999997</v>
      </c>
      <c r="Z840" s="291">
        <f t="shared" si="365"/>
        <v>-36.049999999999997</v>
      </c>
      <c r="AC840" s="276">
        <f>IF(AI840=1,IF(AC839=MiscData!$F$1,EOMONTH(AC839,-11),EOMONTH(AC839,1)),AC839)</f>
        <v>42004</v>
      </c>
      <c r="AD840" s="275" t="str">
        <f t="shared" si="398"/>
        <v>20140101LGUM_417</v>
      </c>
      <c r="AE840" s="294" t="str">
        <f t="shared" si="399"/>
        <v>20140101RLS</v>
      </c>
      <c r="AF840" s="618" t="str">
        <f t="shared" si="368"/>
        <v>417</v>
      </c>
      <c r="AH840" s="265">
        <f>MiscData!$X$5</f>
        <v>20140101</v>
      </c>
      <c r="AI840" s="265">
        <f>IF(AI839+1&gt;MiscData!$AC$77,1,AI839+1)</f>
        <v>34</v>
      </c>
      <c r="AJ840" s="265" t="str">
        <f>VLOOKUP(AI840,MiscData!$AC$5:$AD$77,2,FALSE)</f>
        <v>LGUM_417</v>
      </c>
      <c r="AK840" s="265" t="str">
        <f>VLOOKUP(AJ840,MiscData!$AD$5:$AE$77,2,FALSE)</f>
        <v>RLS</v>
      </c>
      <c r="AT840" s="265" t="s">
        <v>200</v>
      </c>
      <c r="AV840" s="265">
        <v>0</v>
      </c>
    </row>
    <row r="841" spans="1:48">
      <c r="A841" s="275">
        <f t="shared" si="369"/>
        <v>826</v>
      </c>
      <c r="B841" s="276" t="str">
        <f t="shared" si="395"/>
        <v>Dec 2014</v>
      </c>
      <c r="C841" s="277" t="str">
        <f t="shared" si="396"/>
        <v>RLS</v>
      </c>
      <c r="D841" s="277" t="str">
        <f t="shared" si="397"/>
        <v>LGUM_419</v>
      </c>
      <c r="E841" s="614">
        <f t="shared" si="353"/>
        <v>109</v>
      </c>
      <c r="F841" s="615">
        <v>0</v>
      </c>
      <c r="G841" s="614">
        <f t="shared" si="400"/>
        <v>0</v>
      </c>
      <c r="H841" s="615">
        <v>0</v>
      </c>
      <c r="I841" s="283">
        <f t="shared" si="355"/>
        <v>24.77</v>
      </c>
      <c r="J841" s="283">
        <f t="shared" si="356"/>
        <v>1.6499999999999986</v>
      </c>
      <c r="K841" s="285">
        <f t="shared" si="357"/>
        <v>2699.93</v>
      </c>
      <c r="L841" s="286">
        <v>0</v>
      </c>
      <c r="M841" s="286">
        <v>0</v>
      </c>
      <c r="N841" s="285">
        <f t="shared" si="375"/>
        <v>2699.93</v>
      </c>
      <c r="O841" s="616">
        <f t="shared" si="391"/>
        <v>0</v>
      </c>
      <c r="P841" s="289">
        <f t="shared" si="376"/>
        <v>0</v>
      </c>
      <c r="Q841" s="290">
        <f t="shared" si="358"/>
        <v>0</v>
      </c>
      <c r="R841" s="290">
        <f t="shared" si="359"/>
        <v>0</v>
      </c>
      <c r="S841" s="290">
        <f t="shared" si="360"/>
        <v>0</v>
      </c>
      <c r="T841" s="290">
        <f t="shared" si="361"/>
        <v>0</v>
      </c>
      <c r="U841" s="291">
        <f t="shared" si="362"/>
        <v>2699.93</v>
      </c>
      <c r="V841" s="291">
        <f t="shared" si="366"/>
        <v>-2699.93</v>
      </c>
      <c r="W841" s="265">
        <f t="shared" si="363"/>
        <v>0</v>
      </c>
      <c r="X841" s="291">
        <f t="shared" si="367"/>
        <v>-2699.93</v>
      </c>
      <c r="Y841" s="170">
        <f t="shared" si="364"/>
        <v>179.85</v>
      </c>
      <c r="Z841" s="291">
        <f t="shared" si="365"/>
        <v>-179.85</v>
      </c>
      <c r="AC841" s="276">
        <f>IF(AI841=1,IF(AC840=MiscData!$F$1,EOMONTH(AC840,-11),EOMONTH(AC840,1)),AC840)</f>
        <v>42004</v>
      </c>
      <c r="AD841" s="275" t="str">
        <f t="shared" si="398"/>
        <v>20140101LGUM_419</v>
      </c>
      <c r="AE841" s="294" t="str">
        <f t="shared" si="399"/>
        <v>20140101RLS</v>
      </c>
      <c r="AF841" s="618" t="str">
        <f t="shared" si="368"/>
        <v>419</v>
      </c>
      <c r="AH841" s="265">
        <f>MiscData!$X$5</f>
        <v>20140101</v>
      </c>
      <c r="AI841" s="265">
        <f>IF(AI840+1&gt;MiscData!$AC$77,1,AI840+1)</f>
        <v>35</v>
      </c>
      <c r="AJ841" s="265" t="str">
        <f>VLOOKUP(AI841,MiscData!$AC$5:$AD$77,2,FALSE)</f>
        <v>LGUM_419</v>
      </c>
      <c r="AK841" s="265" t="str">
        <f>VLOOKUP(AJ841,MiscData!$AD$5:$AE$77,2,FALSE)</f>
        <v>RLS</v>
      </c>
      <c r="AT841" s="265" t="s">
        <v>201</v>
      </c>
      <c r="AV841" s="265">
        <v>0</v>
      </c>
    </row>
    <row r="842" spans="1:48">
      <c r="A842" s="275">
        <f t="shared" si="369"/>
        <v>827</v>
      </c>
      <c r="B842" s="276" t="str">
        <f t="shared" si="395"/>
        <v>Dec 2014</v>
      </c>
      <c r="C842" s="277" t="str">
        <f t="shared" si="396"/>
        <v xml:space="preserve">LS </v>
      </c>
      <c r="D842" s="277" t="str">
        <f t="shared" si="397"/>
        <v>LGUM_420</v>
      </c>
      <c r="E842" s="614">
        <f t="shared" si="353"/>
        <v>53</v>
      </c>
      <c r="F842" s="615">
        <v>0</v>
      </c>
      <c r="G842" s="614">
        <f t="shared" si="400"/>
        <v>0</v>
      </c>
      <c r="H842" s="615">
        <v>0</v>
      </c>
      <c r="I842" s="283">
        <f t="shared" si="355"/>
        <v>29.889999999999997</v>
      </c>
      <c r="J842" s="283">
        <f t="shared" si="356"/>
        <v>1.6499999999999986</v>
      </c>
      <c r="K842" s="285">
        <f t="shared" si="357"/>
        <v>1584.17</v>
      </c>
      <c r="L842" s="286">
        <v>0</v>
      </c>
      <c r="M842" s="286">
        <v>0</v>
      </c>
      <c r="N842" s="285">
        <f t="shared" si="375"/>
        <v>1584.17</v>
      </c>
      <c r="O842" s="616">
        <f t="shared" si="391"/>
        <v>0</v>
      </c>
      <c r="P842" s="289">
        <f t="shared" si="376"/>
        <v>0</v>
      </c>
      <c r="Q842" s="290">
        <f t="shared" si="358"/>
        <v>0</v>
      </c>
      <c r="R842" s="290">
        <f t="shared" si="359"/>
        <v>0</v>
      </c>
      <c r="S842" s="290">
        <f t="shared" si="360"/>
        <v>0</v>
      </c>
      <c r="T842" s="290">
        <f t="shared" si="361"/>
        <v>0</v>
      </c>
      <c r="U842" s="291">
        <f t="shared" si="362"/>
        <v>1584.17</v>
      </c>
      <c r="V842" s="291">
        <f t="shared" si="366"/>
        <v>-1584.17</v>
      </c>
      <c r="W842" s="265">
        <f t="shared" si="363"/>
        <v>0</v>
      </c>
      <c r="X842" s="291">
        <f t="shared" si="367"/>
        <v>-1584.17</v>
      </c>
      <c r="Y842" s="170">
        <f t="shared" si="364"/>
        <v>87.45</v>
      </c>
      <c r="Z842" s="291">
        <f t="shared" si="365"/>
        <v>-87.45</v>
      </c>
      <c r="AC842" s="276">
        <f>IF(AI842=1,IF(AC841=MiscData!$F$1,EOMONTH(AC841,-11),EOMONTH(AC841,1)),AC841)</f>
        <v>42004</v>
      </c>
      <c r="AD842" s="275" t="str">
        <f t="shared" si="398"/>
        <v>20140101LGUM_420</v>
      </c>
      <c r="AE842" s="294" t="str">
        <f t="shared" si="399"/>
        <v xml:space="preserve">20140101LS </v>
      </c>
      <c r="AF842" s="618" t="str">
        <f t="shared" si="368"/>
        <v>420</v>
      </c>
      <c r="AH842" s="265">
        <f>MiscData!$X$5</f>
        <v>20140101</v>
      </c>
      <c r="AI842" s="265">
        <f>IF(AI841+1&gt;MiscData!$AC$77,1,AI841+1)</f>
        <v>36</v>
      </c>
      <c r="AJ842" s="265" t="str">
        <f>VLOOKUP(AI842,MiscData!$AC$5:$AD$77,2,FALSE)</f>
        <v>LGUM_420</v>
      </c>
      <c r="AK842" s="265" t="str">
        <f>VLOOKUP(AJ842,MiscData!$AD$5:$AE$77,2,FALSE)</f>
        <v xml:space="preserve">LS </v>
      </c>
      <c r="AT842" s="265" t="s">
        <v>202</v>
      </c>
      <c r="AV842" s="265">
        <v>-25.67</v>
      </c>
    </row>
    <row r="843" spans="1:48">
      <c r="A843" s="275">
        <f t="shared" si="369"/>
        <v>828</v>
      </c>
      <c r="B843" s="276" t="str">
        <f t="shared" si="395"/>
        <v>Dec 2014</v>
      </c>
      <c r="C843" s="277" t="str">
        <f t="shared" si="396"/>
        <v xml:space="preserve">LS </v>
      </c>
      <c r="D843" s="277" t="str">
        <f t="shared" si="397"/>
        <v>LGUM_421</v>
      </c>
      <c r="E843" s="614">
        <f t="shared" si="353"/>
        <v>174</v>
      </c>
      <c r="F843" s="615">
        <v>0</v>
      </c>
      <c r="G843" s="614">
        <f t="shared" si="400"/>
        <v>0</v>
      </c>
      <c r="H843" s="615">
        <v>0</v>
      </c>
      <c r="I843" s="283">
        <f t="shared" si="355"/>
        <v>32.860000000000007</v>
      </c>
      <c r="J843" s="283">
        <f t="shared" si="356"/>
        <v>2.6700000000000017</v>
      </c>
      <c r="K843" s="285">
        <f t="shared" si="357"/>
        <v>5717.64</v>
      </c>
      <c r="L843" s="286">
        <v>0</v>
      </c>
      <c r="M843" s="286">
        <v>0</v>
      </c>
      <c r="N843" s="285">
        <f t="shared" si="375"/>
        <v>5717.64</v>
      </c>
      <c r="O843" s="616">
        <f t="shared" si="391"/>
        <v>0</v>
      </c>
      <c r="P843" s="289">
        <f t="shared" si="376"/>
        <v>0</v>
      </c>
      <c r="Q843" s="290">
        <f t="shared" si="358"/>
        <v>0</v>
      </c>
      <c r="R843" s="290">
        <f t="shared" si="359"/>
        <v>0</v>
      </c>
      <c r="S843" s="290">
        <f t="shared" si="360"/>
        <v>0</v>
      </c>
      <c r="T843" s="290">
        <f t="shared" si="361"/>
        <v>0</v>
      </c>
      <c r="U843" s="291">
        <f t="shared" si="362"/>
        <v>5717.64</v>
      </c>
      <c r="V843" s="291">
        <f t="shared" si="366"/>
        <v>-5717.64</v>
      </c>
      <c r="W843" s="265">
        <f t="shared" si="363"/>
        <v>0</v>
      </c>
      <c r="X843" s="291">
        <f t="shared" si="367"/>
        <v>-5717.64</v>
      </c>
      <c r="Y843" s="170">
        <f t="shared" si="364"/>
        <v>464.58</v>
      </c>
      <c r="Z843" s="291">
        <f t="shared" si="365"/>
        <v>-464.58</v>
      </c>
      <c r="AC843" s="276">
        <f>IF(AI843=1,IF(AC842=MiscData!$F$1,EOMONTH(AC842,-11),EOMONTH(AC842,1)),AC842)</f>
        <v>42004</v>
      </c>
      <c r="AD843" s="275" t="str">
        <f t="shared" si="398"/>
        <v>20140101LGUM_421</v>
      </c>
      <c r="AE843" s="294" t="str">
        <f t="shared" si="399"/>
        <v xml:space="preserve">20140101LS </v>
      </c>
      <c r="AF843" s="618" t="str">
        <f t="shared" si="368"/>
        <v>421</v>
      </c>
      <c r="AH843" s="265">
        <f>MiscData!$X$5</f>
        <v>20140101</v>
      </c>
      <c r="AI843" s="265">
        <f>IF(AI842+1&gt;MiscData!$AC$77,1,AI842+1)</f>
        <v>37</v>
      </c>
      <c r="AJ843" s="265" t="str">
        <f>VLOOKUP(AI843,MiscData!$AC$5:$AD$77,2,FALSE)</f>
        <v>LGUM_421</v>
      </c>
      <c r="AK843" s="265" t="str">
        <f>VLOOKUP(AJ843,MiscData!$AD$5:$AE$77,2,FALSE)</f>
        <v xml:space="preserve">LS </v>
      </c>
      <c r="AT843" s="265" t="s">
        <v>203</v>
      </c>
      <c r="AV843" s="265">
        <v>0</v>
      </c>
    </row>
    <row r="844" spans="1:48">
      <c r="A844" s="275">
        <f t="shared" si="369"/>
        <v>829</v>
      </c>
      <c r="B844" s="276" t="str">
        <f t="shared" si="395"/>
        <v>Dec 2014</v>
      </c>
      <c r="C844" s="277" t="str">
        <f t="shared" si="396"/>
        <v xml:space="preserve">LS </v>
      </c>
      <c r="D844" s="277" t="str">
        <f t="shared" si="397"/>
        <v>LGUM_422</v>
      </c>
      <c r="E844" s="614">
        <f t="shared" si="353"/>
        <v>355</v>
      </c>
      <c r="F844" s="615">
        <v>0</v>
      </c>
      <c r="G844" s="614">
        <f t="shared" si="400"/>
        <v>0</v>
      </c>
      <c r="H844" s="615">
        <v>0</v>
      </c>
      <c r="I844" s="283">
        <f t="shared" si="355"/>
        <v>38.389999999999993</v>
      </c>
      <c r="J844" s="283">
        <f t="shared" si="356"/>
        <v>4.279999999999994</v>
      </c>
      <c r="K844" s="285">
        <f t="shared" si="357"/>
        <v>13628.45</v>
      </c>
      <c r="L844" s="286">
        <v>0</v>
      </c>
      <c r="M844" s="286">
        <v>0</v>
      </c>
      <c r="N844" s="285">
        <f t="shared" si="375"/>
        <v>13628.45</v>
      </c>
      <c r="O844" s="616">
        <f t="shared" si="391"/>
        <v>0</v>
      </c>
      <c r="P844" s="289">
        <f t="shared" si="376"/>
        <v>0</v>
      </c>
      <c r="Q844" s="290">
        <f t="shared" si="358"/>
        <v>0</v>
      </c>
      <c r="R844" s="290">
        <f t="shared" si="359"/>
        <v>0</v>
      </c>
      <c r="S844" s="290">
        <f t="shared" si="360"/>
        <v>0</v>
      </c>
      <c r="T844" s="290">
        <f t="shared" si="361"/>
        <v>0</v>
      </c>
      <c r="U844" s="291">
        <f t="shared" si="362"/>
        <v>13628.45</v>
      </c>
      <c r="V844" s="291">
        <f t="shared" si="366"/>
        <v>-13628.45</v>
      </c>
      <c r="W844" s="265">
        <f t="shared" si="363"/>
        <v>0</v>
      </c>
      <c r="X844" s="291">
        <f t="shared" si="367"/>
        <v>-13628.45</v>
      </c>
      <c r="Y844" s="170">
        <f t="shared" si="364"/>
        <v>1519.4</v>
      </c>
      <c r="Z844" s="291">
        <f t="shared" si="365"/>
        <v>-1519.4</v>
      </c>
      <c r="AC844" s="276">
        <f>IF(AI844=1,IF(AC843=MiscData!$F$1,EOMONTH(AC843,-11),EOMONTH(AC843,1)),AC843)</f>
        <v>42004</v>
      </c>
      <c r="AD844" s="275" t="str">
        <f t="shared" si="398"/>
        <v>20140101LGUM_422</v>
      </c>
      <c r="AE844" s="294" t="str">
        <f t="shared" si="399"/>
        <v xml:space="preserve">20140101LS </v>
      </c>
      <c r="AF844" s="618" t="str">
        <f t="shared" si="368"/>
        <v>422</v>
      </c>
      <c r="AH844" s="265">
        <f>MiscData!$X$5</f>
        <v>20140101</v>
      </c>
      <c r="AI844" s="265">
        <f>IF(AI843+1&gt;MiscData!$AC$77,1,AI843+1)</f>
        <v>38</v>
      </c>
      <c r="AJ844" s="265" t="str">
        <f>VLOOKUP(AI844,MiscData!$AC$5:$AD$77,2,FALSE)</f>
        <v>LGUM_422</v>
      </c>
      <c r="AK844" s="265" t="str">
        <f>VLOOKUP(AJ844,MiscData!$AD$5:$AE$77,2,FALSE)</f>
        <v xml:space="preserve">LS </v>
      </c>
      <c r="AT844" s="265" t="s">
        <v>204</v>
      </c>
      <c r="AV844" s="265">
        <v>0</v>
      </c>
    </row>
    <row r="845" spans="1:48">
      <c r="A845" s="275">
        <f t="shared" si="369"/>
        <v>830</v>
      </c>
      <c r="B845" s="276" t="str">
        <f t="shared" si="395"/>
        <v>Dec 2014</v>
      </c>
      <c r="C845" s="277" t="str">
        <f t="shared" si="396"/>
        <v xml:space="preserve">LS </v>
      </c>
      <c r="D845" s="277" t="str">
        <f t="shared" si="397"/>
        <v>LGUM_423</v>
      </c>
      <c r="E845" s="614">
        <f t="shared" si="353"/>
        <v>18</v>
      </c>
      <c r="F845" s="615">
        <v>0</v>
      </c>
      <c r="G845" s="614">
        <f t="shared" si="400"/>
        <v>0</v>
      </c>
      <c r="H845" s="615">
        <v>0</v>
      </c>
      <c r="I845" s="283">
        <f t="shared" si="355"/>
        <v>26.349999999999998</v>
      </c>
      <c r="J845" s="283">
        <f t="shared" si="356"/>
        <v>1.6500000000000021</v>
      </c>
      <c r="K845" s="285">
        <f t="shared" si="357"/>
        <v>474.3</v>
      </c>
      <c r="L845" s="286">
        <v>0</v>
      </c>
      <c r="M845" s="286">
        <v>0</v>
      </c>
      <c r="N845" s="285">
        <f t="shared" si="375"/>
        <v>474.3</v>
      </c>
      <c r="O845" s="616">
        <f t="shared" si="391"/>
        <v>0</v>
      </c>
      <c r="P845" s="289">
        <f t="shared" si="376"/>
        <v>0</v>
      </c>
      <c r="Q845" s="290">
        <f t="shared" si="358"/>
        <v>0</v>
      </c>
      <c r="R845" s="290">
        <f t="shared" si="359"/>
        <v>0</v>
      </c>
      <c r="S845" s="290">
        <f t="shared" si="360"/>
        <v>0</v>
      </c>
      <c r="T845" s="290">
        <f t="shared" si="361"/>
        <v>0</v>
      </c>
      <c r="U845" s="291">
        <f t="shared" si="362"/>
        <v>474.3</v>
      </c>
      <c r="V845" s="291">
        <f t="shared" si="366"/>
        <v>-474.3</v>
      </c>
      <c r="W845" s="265">
        <f t="shared" si="363"/>
        <v>0</v>
      </c>
      <c r="X845" s="291">
        <f t="shared" si="367"/>
        <v>-474.3</v>
      </c>
      <c r="Y845" s="170">
        <f t="shared" si="364"/>
        <v>29.7</v>
      </c>
      <c r="Z845" s="291">
        <f t="shared" si="365"/>
        <v>-29.7</v>
      </c>
      <c r="AC845" s="276">
        <f>IF(AI845=1,IF(AC844=MiscData!$F$1,EOMONTH(AC844,-11),EOMONTH(AC844,1)),AC844)</f>
        <v>42004</v>
      </c>
      <c r="AD845" s="275" t="str">
        <f t="shared" si="398"/>
        <v>20140101LGUM_423</v>
      </c>
      <c r="AE845" s="294" t="str">
        <f t="shared" si="399"/>
        <v xml:space="preserve">20140101LS </v>
      </c>
      <c r="AF845" s="618" t="str">
        <f t="shared" si="368"/>
        <v>423</v>
      </c>
      <c r="AH845" s="265">
        <f>MiscData!$X$5</f>
        <v>20140101</v>
      </c>
      <c r="AI845" s="265">
        <f>IF(AI844+1&gt;MiscData!$AC$77,1,AI844+1)</f>
        <v>39</v>
      </c>
      <c r="AJ845" s="265" t="str">
        <f>VLOOKUP(AI845,MiscData!$AC$5:$AD$77,2,FALSE)</f>
        <v>LGUM_423</v>
      </c>
      <c r="AK845" s="265" t="str">
        <f>VLOOKUP(AJ845,MiscData!$AD$5:$AE$77,2,FALSE)</f>
        <v xml:space="preserve">LS </v>
      </c>
      <c r="AT845" s="265" t="s">
        <v>205</v>
      </c>
      <c r="AV845" s="265">
        <v>-20.309999999999999</v>
      </c>
    </row>
    <row r="846" spans="1:48">
      <c r="A846" s="275">
        <f t="shared" si="369"/>
        <v>831</v>
      </c>
      <c r="B846" s="276" t="str">
        <f t="shared" si="395"/>
        <v>Dec 2014</v>
      </c>
      <c r="C846" s="277" t="str">
        <f t="shared" si="396"/>
        <v xml:space="preserve">LS </v>
      </c>
      <c r="D846" s="277" t="str">
        <f t="shared" si="397"/>
        <v>LGUM_424</v>
      </c>
      <c r="E846" s="614">
        <f t="shared" si="353"/>
        <v>370</v>
      </c>
      <c r="F846" s="615">
        <v>0</v>
      </c>
      <c r="G846" s="614">
        <f t="shared" si="400"/>
        <v>0</v>
      </c>
      <c r="H846" s="615">
        <v>0</v>
      </c>
      <c r="I846" s="283">
        <f t="shared" si="355"/>
        <v>28.45</v>
      </c>
      <c r="J846" s="283">
        <f t="shared" si="356"/>
        <v>3.9800000000000004</v>
      </c>
      <c r="K846" s="285">
        <f t="shared" si="357"/>
        <v>10526.5</v>
      </c>
      <c r="L846" s="286">
        <v>0</v>
      </c>
      <c r="M846" s="286">
        <v>0</v>
      </c>
      <c r="N846" s="285">
        <f t="shared" si="375"/>
        <v>10526.5</v>
      </c>
      <c r="O846" s="616">
        <f t="shared" si="391"/>
        <v>0</v>
      </c>
      <c r="P846" s="289">
        <f t="shared" si="376"/>
        <v>0</v>
      </c>
      <c r="Q846" s="290">
        <f t="shared" si="358"/>
        <v>0</v>
      </c>
      <c r="R846" s="290">
        <f t="shared" si="359"/>
        <v>0</v>
      </c>
      <c r="S846" s="290">
        <f t="shared" si="360"/>
        <v>0</v>
      </c>
      <c r="T846" s="290">
        <f t="shared" si="361"/>
        <v>0</v>
      </c>
      <c r="U846" s="291">
        <f t="shared" si="362"/>
        <v>10526.5</v>
      </c>
      <c r="V846" s="291">
        <f t="shared" si="366"/>
        <v>-10526.5</v>
      </c>
      <c r="W846" s="265">
        <f t="shared" si="363"/>
        <v>0</v>
      </c>
      <c r="X846" s="291">
        <f t="shared" si="367"/>
        <v>-10526.5</v>
      </c>
      <c r="Y846" s="170">
        <f t="shared" si="364"/>
        <v>1472.6</v>
      </c>
      <c r="Z846" s="291">
        <f t="shared" si="365"/>
        <v>-1472.6</v>
      </c>
      <c r="AC846" s="276">
        <f>IF(AI846=1,IF(AC845=MiscData!$F$1,EOMONTH(AC845,-11),EOMONTH(AC845,1)),AC845)</f>
        <v>42004</v>
      </c>
      <c r="AD846" s="275" t="str">
        <f t="shared" si="398"/>
        <v>20140101LGUM_424</v>
      </c>
      <c r="AE846" s="294" t="str">
        <f t="shared" si="399"/>
        <v xml:space="preserve">20140101LS </v>
      </c>
      <c r="AF846" s="618" t="str">
        <f t="shared" si="368"/>
        <v>424</v>
      </c>
      <c r="AH846" s="265">
        <f>MiscData!$X$5</f>
        <v>20140101</v>
      </c>
      <c r="AI846" s="265">
        <f>IF(AI845+1&gt;MiscData!$AC$77,1,AI845+1)</f>
        <v>40</v>
      </c>
      <c r="AJ846" s="265" t="str">
        <f>VLOOKUP(AI846,MiscData!$AC$5:$AD$77,2,FALSE)</f>
        <v>LGUM_424</v>
      </c>
      <c r="AK846" s="265" t="str">
        <f>VLOOKUP(AJ846,MiscData!$AD$5:$AE$77,2,FALSE)</f>
        <v xml:space="preserve">LS </v>
      </c>
      <c r="AT846" s="265" t="s">
        <v>206</v>
      </c>
      <c r="AV846" s="265">
        <v>0</v>
      </c>
    </row>
    <row r="847" spans="1:48">
      <c r="A847" s="275">
        <f t="shared" si="369"/>
        <v>832</v>
      </c>
      <c r="B847" s="276" t="str">
        <f t="shared" si="395"/>
        <v>Dec 2014</v>
      </c>
      <c r="C847" s="277" t="str">
        <f t="shared" si="396"/>
        <v xml:space="preserve">LS </v>
      </c>
      <c r="D847" s="277" t="str">
        <f t="shared" si="397"/>
        <v>LGUM_425</v>
      </c>
      <c r="E847" s="614">
        <f t="shared" si="353"/>
        <v>34</v>
      </c>
      <c r="F847" s="615">
        <v>0</v>
      </c>
      <c r="G847" s="614">
        <f t="shared" si="400"/>
        <v>0</v>
      </c>
      <c r="H847" s="615">
        <v>0</v>
      </c>
      <c r="I847" s="283">
        <f t="shared" si="355"/>
        <v>34.029999999999994</v>
      </c>
      <c r="J847" s="283">
        <f t="shared" si="356"/>
        <v>4.2799999999999976</v>
      </c>
      <c r="K847" s="285">
        <f t="shared" si="357"/>
        <v>1157.02</v>
      </c>
      <c r="L847" s="286">
        <v>0</v>
      </c>
      <c r="M847" s="286">
        <v>0</v>
      </c>
      <c r="N847" s="285">
        <f t="shared" si="375"/>
        <v>1157.02</v>
      </c>
      <c r="O847" s="616">
        <f t="shared" si="391"/>
        <v>0</v>
      </c>
      <c r="P847" s="289">
        <f t="shared" si="376"/>
        <v>0</v>
      </c>
      <c r="Q847" s="290">
        <f t="shared" si="358"/>
        <v>0</v>
      </c>
      <c r="R847" s="290">
        <f t="shared" si="359"/>
        <v>0</v>
      </c>
      <c r="S847" s="290">
        <f t="shared" si="360"/>
        <v>0</v>
      </c>
      <c r="T847" s="290">
        <f t="shared" si="361"/>
        <v>0</v>
      </c>
      <c r="U847" s="291">
        <f t="shared" si="362"/>
        <v>1157.02</v>
      </c>
      <c r="V847" s="291">
        <f t="shared" si="366"/>
        <v>-1157.02</v>
      </c>
      <c r="W847" s="265">
        <f t="shared" si="363"/>
        <v>0</v>
      </c>
      <c r="X847" s="291">
        <f t="shared" si="367"/>
        <v>-1157.02</v>
      </c>
      <c r="Y847" s="170">
        <f t="shared" si="364"/>
        <v>145.52000000000001</v>
      </c>
      <c r="Z847" s="291">
        <f t="shared" si="365"/>
        <v>-145.52000000000001</v>
      </c>
      <c r="AC847" s="276">
        <f>IF(AI847=1,IF(AC846=MiscData!$F$1,EOMONTH(AC846,-11),EOMONTH(AC846,1)),AC846)</f>
        <v>42004</v>
      </c>
      <c r="AD847" s="275" t="str">
        <f t="shared" si="398"/>
        <v>20140101LGUM_425</v>
      </c>
      <c r="AE847" s="294" t="str">
        <f t="shared" si="399"/>
        <v xml:space="preserve">20140101LS </v>
      </c>
      <c r="AF847" s="618" t="str">
        <f t="shared" si="368"/>
        <v>425</v>
      </c>
      <c r="AH847" s="265">
        <f>MiscData!$X$5</f>
        <v>20140101</v>
      </c>
      <c r="AI847" s="265">
        <f>IF(AI846+1&gt;MiscData!$AC$77,1,AI846+1)</f>
        <v>41</v>
      </c>
      <c r="AJ847" s="265" t="str">
        <f>VLOOKUP(AI847,MiscData!$AC$5:$AD$77,2,FALSE)</f>
        <v>LGUM_425</v>
      </c>
      <c r="AK847" s="265" t="str">
        <f>VLOOKUP(AJ847,MiscData!$AD$5:$AE$77,2,FALSE)</f>
        <v xml:space="preserve">LS </v>
      </c>
      <c r="AT847" s="265" t="s">
        <v>207</v>
      </c>
      <c r="AV847" s="265">
        <v>92.86</v>
      </c>
    </row>
    <row r="848" spans="1:48">
      <c r="A848" s="275">
        <f t="shared" si="369"/>
        <v>833</v>
      </c>
      <c r="B848" s="276" t="str">
        <f t="shared" si="395"/>
        <v>Dec 2014</v>
      </c>
      <c r="C848" s="277" t="str">
        <f t="shared" si="396"/>
        <v>RLS</v>
      </c>
      <c r="D848" s="277" t="str">
        <f t="shared" si="397"/>
        <v>LGUM_426</v>
      </c>
      <c r="E848" s="614">
        <f t="shared" ref="E848:E879" si="401">SUMIFS(L_1055_Count_Total,L_1055_Revenue_Month,$B848,L_1055_RateCategory,$D848)</f>
        <v>40</v>
      </c>
      <c r="F848" s="615">
        <v>0</v>
      </c>
      <c r="G848" s="614">
        <f t="shared" si="400"/>
        <v>0</v>
      </c>
      <c r="H848" s="615">
        <v>0</v>
      </c>
      <c r="I848" s="283">
        <f t="shared" ref="I848:I879" si="402">SUMIF(L_LightingRates_Tariff_Rate_Category,$AD848,L_LightingRates_UnitCharge)</f>
        <v>33.22</v>
      </c>
      <c r="J848" s="283">
        <f t="shared" ref="J848:J879" si="403">SUMIF(L_LightingRates_Tariff_Rate_Category,$AD848,L_LightingRates_FAC_Rate)</f>
        <v>0.75</v>
      </c>
      <c r="K848" s="285">
        <f t="shared" ref="K848:K879" si="404">ROUND(($E848+$F848)*$I848,2)</f>
        <v>1328.8</v>
      </c>
      <c r="L848" s="286">
        <v>0</v>
      </c>
      <c r="M848" s="286">
        <v>0</v>
      </c>
      <c r="N848" s="285">
        <f t="shared" si="375"/>
        <v>1328.8</v>
      </c>
      <c r="O848" s="616">
        <f t="shared" si="391"/>
        <v>0</v>
      </c>
      <c r="P848" s="289">
        <f t="shared" si="376"/>
        <v>0</v>
      </c>
      <c r="Q848" s="290">
        <f t="shared" ref="Q848:Q879" si="405">SUMIFS(L_SBR_FAC,L_SBR_Revenue_Month,$B848,L_SBR_Rate_Category,$D848)</f>
        <v>0</v>
      </c>
      <c r="R848" s="290">
        <f t="shared" ref="R848:R879" si="406">SUMIFS(L_SBR_ECR,L_SBR_Revenue_Month,$B848,L_SBR_Rate_Category,$D848)</f>
        <v>0</v>
      </c>
      <c r="S848" s="290">
        <f t="shared" ref="S848:S879" si="407">SUMIFS(L_SBR_MSR,L_SBR_Revenue_Month,$B848,L_SBR_Rate_Category,$D848)</f>
        <v>0</v>
      </c>
      <c r="T848" s="290">
        <f t="shared" ref="T848:T879" si="408">SUMIFS(L_SBR_Revenue_Total,L_SBR_Revenue_Month,$B848,L_SBR_Rate_Category,$D848)</f>
        <v>0</v>
      </c>
      <c r="U848" s="291">
        <f t="shared" ref="U848:U879" si="409">SUM(N848,Q848:S848)</f>
        <v>1328.8</v>
      </c>
      <c r="V848" s="291">
        <f t="shared" si="366"/>
        <v>-1328.8</v>
      </c>
      <c r="W848" s="265">
        <f t="shared" ref="W848:W879" si="410">ROUND(SUMIFS(L_1055_Revenue_Poles_Test_Period,L_1055_Revenue_Month,$B848,L_1055_RateCategory,$D848),2)</f>
        <v>0</v>
      </c>
      <c r="X848" s="291">
        <f t="shared" si="367"/>
        <v>-1328.8</v>
      </c>
      <c r="Y848" s="170">
        <f t="shared" ref="Y848:Y879" si="411">ROUND(E848*J848,2)</f>
        <v>30</v>
      </c>
      <c r="Z848" s="291">
        <f t="shared" ref="Z848:Z879" si="412">O848-Y848</f>
        <v>-30</v>
      </c>
      <c r="AC848" s="276">
        <f>IF(AI848=1,IF(AC847=MiscData!$F$1,EOMONTH(AC847,-11),EOMONTH(AC847,1)),AC847)</f>
        <v>42004</v>
      </c>
      <c r="AD848" s="275" t="str">
        <f t="shared" si="398"/>
        <v>20140101LGUM_426</v>
      </c>
      <c r="AE848" s="294" t="str">
        <f t="shared" si="399"/>
        <v>20140101RLS</v>
      </c>
      <c r="AF848" s="618" t="str">
        <f t="shared" si="368"/>
        <v>426</v>
      </c>
      <c r="AH848" s="265">
        <f>MiscData!$X$5</f>
        <v>20140101</v>
      </c>
      <c r="AI848" s="265">
        <f>IF(AI847+1&gt;MiscData!$AC$77,1,AI847+1)</f>
        <v>42</v>
      </c>
      <c r="AJ848" s="265" t="str">
        <f>VLOOKUP(AI848,MiscData!$AC$5:$AD$77,2,FALSE)</f>
        <v>LGUM_426</v>
      </c>
      <c r="AK848" s="265" t="str">
        <f>VLOOKUP(AJ848,MiscData!$AD$5:$AE$77,2,FALSE)</f>
        <v>RLS</v>
      </c>
      <c r="AT848" s="265" t="s">
        <v>208</v>
      </c>
      <c r="AV848" s="265">
        <v>-116.9</v>
      </c>
    </row>
    <row r="849" spans="1:48">
      <c r="A849" s="275">
        <f t="shared" si="369"/>
        <v>834</v>
      </c>
      <c r="B849" s="276" t="str">
        <f t="shared" si="395"/>
        <v>Dec 2014</v>
      </c>
      <c r="C849" s="277" t="str">
        <f t="shared" si="396"/>
        <v xml:space="preserve">LS </v>
      </c>
      <c r="D849" s="277" t="str">
        <f t="shared" si="397"/>
        <v>LGUM_427</v>
      </c>
      <c r="E849" s="614">
        <f t="shared" si="401"/>
        <v>52</v>
      </c>
      <c r="F849" s="615">
        <v>0</v>
      </c>
      <c r="G849" s="614">
        <f t="shared" si="400"/>
        <v>0</v>
      </c>
      <c r="H849" s="615">
        <v>0</v>
      </c>
      <c r="I849" s="283">
        <f t="shared" si="402"/>
        <v>35.199999999999996</v>
      </c>
      <c r="J849" s="283">
        <f t="shared" si="403"/>
        <v>0.75</v>
      </c>
      <c r="K849" s="285">
        <f t="shared" si="404"/>
        <v>1830.4</v>
      </c>
      <c r="L849" s="286">
        <v>0</v>
      </c>
      <c r="M849" s="286">
        <v>0</v>
      </c>
      <c r="N849" s="285">
        <f t="shared" si="375"/>
        <v>1830.4</v>
      </c>
      <c r="O849" s="616">
        <f t="shared" si="391"/>
        <v>0</v>
      </c>
      <c r="P849" s="289">
        <f t="shared" si="376"/>
        <v>0</v>
      </c>
      <c r="Q849" s="290">
        <f t="shared" si="405"/>
        <v>0</v>
      </c>
      <c r="R849" s="290">
        <f t="shared" si="406"/>
        <v>0</v>
      </c>
      <c r="S849" s="290">
        <f t="shared" si="407"/>
        <v>0</v>
      </c>
      <c r="T849" s="290">
        <f t="shared" si="408"/>
        <v>0</v>
      </c>
      <c r="U849" s="291">
        <f t="shared" si="409"/>
        <v>1830.4</v>
      </c>
      <c r="V849" s="291">
        <f t="shared" ref="V849:V879" si="413">ROUND(T849-U849,2)</f>
        <v>-1830.4</v>
      </c>
      <c r="W849" s="265">
        <f t="shared" si="410"/>
        <v>0</v>
      </c>
      <c r="X849" s="291">
        <f t="shared" ref="X849:X879" si="414">V849-W849</f>
        <v>-1830.4</v>
      </c>
      <c r="Y849" s="170">
        <f t="shared" si="411"/>
        <v>39</v>
      </c>
      <c r="Z849" s="291">
        <f t="shared" si="412"/>
        <v>-39</v>
      </c>
      <c r="AC849" s="276">
        <f>IF(AI849=1,IF(AC848=MiscData!$F$1,EOMONTH(AC848,-11),EOMONTH(AC848,1)),AC848)</f>
        <v>42004</v>
      </c>
      <c r="AD849" s="275" t="str">
        <f t="shared" si="398"/>
        <v>20140101LGUM_427</v>
      </c>
      <c r="AE849" s="294" t="str">
        <f t="shared" si="399"/>
        <v xml:space="preserve">20140101LS </v>
      </c>
      <c r="AF849" s="618" t="str">
        <f t="shared" ref="AF849:AF879" si="415">RIGHT(AJ849,3)</f>
        <v>427</v>
      </c>
      <c r="AH849" s="265">
        <f>MiscData!$X$5</f>
        <v>20140101</v>
      </c>
      <c r="AI849" s="265">
        <f>IF(AI848+1&gt;MiscData!$AC$77,1,AI848+1)</f>
        <v>43</v>
      </c>
      <c r="AJ849" s="265" t="str">
        <f>VLOOKUP(AI849,MiscData!$AC$5:$AD$77,2,FALSE)</f>
        <v>LGUM_427</v>
      </c>
      <c r="AK849" s="265" t="str">
        <f>VLOOKUP(AJ849,MiscData!$AD$5:$AE$77,2,FALSE)</f>
        <v xml:space="preserve">LS </v>
      </c>
      <c r="AT849" s="265" t="s">
        <v>209</v>
      </c>
      <c r="AV849" s="265">
        <v>0</v>
      </c>
    </row>
    <row r="850" spans="1:48">
      <c r="A850" s="275">
        <f t="shared" si="369"/>
        <v>835</v>
      </c>
      <c r="B850" s="276" t="str">
        <f t="shared" si="395"/>
        <v>Dec 2014</v>
      </c>
      <c r="C850" s="277" t="str">
        <f t="shared" si="396"/>
        <v>RLS</v>
      </c>
      <c r="D850" s="277" t="str">
        <f t="shared" si="397"/>
        <v>LGUM_428</v>
      </c>
      <c r="E850" s="614">
        <f t="shared" si="401"/>
        <v>204</v>
      </c>
      <c r="F850" s="615">
        <v>0</v>
      </c>
      <c r="G850" s="614">
        <f t="shared" si="400"/>
        <v>0</v>
      </c>
      <c r="H850" s="615">
        <v>0</v>
      </c>
      <c r="I850" s="283">
        <f t="shared" si="402"/>
        <v>34.090000000000003</v>
      </c>
      <c r="J850" s="283">
        <f t="shared" si="403"/>
        <v>1.0600000000000023</v>
      </c>
      <c r="K850" s="285">
        <f t="shared" si="404"/>
        <v>6954.36</v>
      </c>
      <c r="L850" s="286">
        <v>0</v>
      </c>
      <c r="M850" s="286">
        <v>0</v>
      </c>
      <c r="N850" s="285">
        <f t="shared" si="375"/>
        <v>6954.36</v>
      </c>
      <c r="O850" s="616">
        <f t="shared" si="391"/>
        <v>0</v>
      </c>
      <c r="P850" s="289">
        <f t="shared" si="376"/>
        <v>0</v>
      </c>
      <c r="Q850" s="290">
        <f t="shared" si="405"/>
        <v>0</v>
      </c>
      <c r="R850" s="290">
        <f t="shared" si="406"/>
        <v>0</v>
      </c>
      <c r="S850" s="290">
        <f t="shared" si="407"/>
        <v>0</v>
      </c>
      <c r="T850" s="290">
        <f t="shared" si="408"/>
        <v>0</v>
      </c>
      <c r="U850" s="291">
        <f t="shared" si="409"/>
        <v>6954.36</v>
      </c>
      <c r="V850" s="291">
        <f t="shared" si="413"/>
        <v>-6954.36</v>
      </c>
      <c r="W850" s="265">
        <f t="shared" si="410"/>
        <v>0</v>
      </c>
      <c r="X850" s="291">
        <f t="shared" si="414"/>
        <v>-6954.36</v>
      </c>
      <c r="Y850" s="170">
        <f t="shared" si="411"/>
        <v>216.24</v>
      </c>
      <c r="Z850" s="291">
        <f t="shared" si="412"/>
        <v>-216.24</v>
      </c>
      <c r="AC850" s="276">
        <f>IF(AI850=1,IF(AC849=MiscData!$F$1,EOMONTH(AC849,-11),EOMONTH(AC849,1)),AC849)</f>
        <v>42004</v>
      </c>
      <c r="AD850" s="275" t="str">
        <f t="shared" si="398"/>
        <v>20140101LGUM_428</v>
      </c>
      <c r="AE850" s="294" t="str">
        <f t="shared" si="399"/>
        <v>20140101RLS</v>
      </c>
      <c r="AF850" s="618" t="str">
        <f t="shared" si="415"/>
        <v>428</v>
      </c>
      <c r="AH850" s="265">
        <f>MiscData!$X$5</f>
        <v>20140101</v>
      </c>
      <c r="AI850" s="265">
        <f>IF(AI849+1&gt;MiscData!$AC$77,1,AI849+1)</f>
        <v>44</v>
      </c>
      <c r="AJ850" s="265" t="str">
        <f>VLOOKUP(AI850,MiscData!$AC$5:$AD$77,2,FALSE)</f>
        <v>LGUM_428</v>
      </c>
      <c r="AK850" s="265" t="str">
        <f>VLOOKUP(AJ850,MiscData!$AD$5:$AE$77,2,FALSE)</f>
        <v>RLS</v>
      </c>
      <c r="AT850" s="265" t="s">
        <v>210</v>
      </c>
      <c r="AV850" s="265">
        <v>0</v>
      </c>
    </row>
    <row r="851" spans="1:48">
      <c r="A851" s="275">
        <f t="shared" ref="A851:A879" si="416">A850+1</f>
        <v>836</v>
      </c>
      <c r="B851" s="276" t="str">
        <f t="shared" si="395"/>
        <v>Dec 2014</v>
      </c>
      <c r="C851" s="277" t="str">
        <f t="shared" si="396"/>
        <v xml:space="preserve">LS </v>
      </c>
      <c r="D851" s="277" t="str">
        <f t="shared" si="397"/>
        <v>LGUM_429</v>
      </c>
      <c r="E851" s="614">
        <f t="shared" si="401"/>
        <v>188</v>
      </c>
      <c r="F851" s="615">
        <v>0</v>
      </c>
      <c r="G851" s="614">
        <f t="shared" si="400"/>
        <v>0</v>
      </c>
      <c r="H851" s="615">
        <v>0</v>
      </c>
      <c r="I851" s="283">
        <f t="shared" si="402"/>
        <v>36.07</v>
      </c>
      <c r="J851" s="283">
        <f t="shared" si="403"/>
        <v>1.0599999999999952</v>
      </c>
      <c r="K851" s="285">
        <f t="shared" si="404"/>
        <v>6781.16</v>
      </c>
      <c r="L851" s="286">
        <v>0</v>
      </c>
      <c r="M851" s="286">
        <v>0</v>
      </c>
      <c r="N851" s="285">
        <f t="shared" si="375"/>
        <v>6781.16</v>
      </c>
      <c r="O851" s="616">
        <f t="shared" si="391"/>
        <v>0</v>
      </c>
      <c r="P851" s="289">
        <f t="shared" si="376"/>
        <v>0</v>
      </c>
      <c r="Q851" s="290">
        <f t="shared" si="405"/>
        <v>0</v>
      </c>
      <c r="R851" s="290">
        <f t="shared" si="406"/>
        <v>0</v>
      </c>
      <c r="S851" s="290">
        <f t="shared" si="407"/>
        <v>0</v>
      </c>
      <c r="T851" s="290">
        <f t="shared" si="408"/>
        <v>0</v>
      </c>
      <c r="U851" s="291">
        <f t="shared" si="409"/>
        <v>6781.16</v>
      </c>
      <c r="V851" s="291">
        <f t="shared" si="413"/>
        <v>-6781.16</v>
      </c>
      <c r="W851" s="265">
        <f t="shared" si="410"/>
        <v>0</v>
      </c>
      <c r="X851" s="291">
        <f t="shared" si="414"/>
        <v>-6781.16</v>
      </c>
      <c r="Y851" s="170">
        <f t="shared" si="411"/>
        <v>199.28</v>
      </c>
      <c r="Z851" s="291">
        <f t="shared" si="412"/>
        <v>-199.28</v>
      </c>
      <c r="AC851" s="276">
        <f>IF(AI851=1,IF(AC850=MiscData!$F$1,EOMONTH(AC850,-11),EOMONTH(AC850,1)),AC850)</f>
        <v>42004</v>
      </c>
      <c r="AD851" s="275" t="str">
        <f t="shared" si="398"/>
        <v>20140101LGUM_429</v>
      </c>
      <c r="AE851" s="294" t="str">
        <f t="shared" si="399"/>
        <v xml:space="preserve">20140101LS </v>
      </c>
      <c r="AF851" s="618" t="str">
        <f t="shared" si="415"/>
        <v>429</v>
      </c>
      <c r="AH851" s="265">
        <f>MiscData!$X$5</f>
        <v>20140101</v>
      </c>
      <c r="AI851" s="265">
        <f>IF(AI850+1&gt;MiscData!$AC$77,1,AI850+1)</f>
        <v>45</v>
      </c>
      <c r="AJ851" s="265" t="str">
        <f>VLOOKUP(AI851,MiscData!$AC$5:$AD$77,2,FALSE)</f>
        <v>LGUM_429</v>
      </c>
      <c r="AK851" s="265" t="str">
        <f>VLOOKUP(AJ851,MiscData!$AD$5:$AE$77,2,FALSE)</f>
        <v xml:space="preserve">LS </v>
      </c>
      <c r="AT851" s="265" t="s">
        <v>211</v>
      </c>
      <c r="AV851" s="265">
        <v>35.82</v>
      </c>
    </row>
    <row r="852" spans="1:48">
      <c r="A852" s="275">
        <f t="shared" si="416"/>
        <v>837</v>
      </c>
      <c r="B852" s="276" t="str">
        <f t="shared" si="395"/>
        <v>Dec 2014</v>
      </c>
      <c r="C852" s="277" t="str">
        <f t="shared" si="396"/>
        <v>RLS</v>
      </c>
      <c r="D852" s="277" t="str">
        <f t="shared" si="397"/>
        <v>LGUM_430</v>
      </c>
      <c r="E852" s="614">
        <f t="shared" si="401"/>
        <v>13</v>
      </c>
      <c r="F852" s="615">
        <v>0</v>
      </c>
      <c r="G852" s="614">
        <f t="shared" si="400"/>
        <v>0</v>
      </c>
      <c r="H852" s="615">
        <v>0</v>
      </c>
      <c r="I852" s="283">
        <f t="shared" si="402"/>
        <v>32.26</v>
      </c>
      <c r="J852" s="283">
        <f t="shared" si="403"/>
        <v>0.75</v>
      </c>
      <c r="K852" s="285">
        <f t="shared" si="404"/>
        <v>419.38</v>
      </c>
      <c r="L852" s="286">
        <v>0</v>
      </c>
      <c r="M852" s="286">
        <v>0</v>
      </c>
      <c r="N852" s="285">
        <f t="shared" si="375"/>
        <v>419.38</v>
      </c>
      <c r="O852" s="616">
        <f t="shared" si="391"/>
        <v>0</v>
      </c>
      <c r="P852" s="289">
        <f t="shared" si="376"/>
        <v>0</v>
      </c>
      <c r="Q852" s="290">
        <f t="shared" si="405"/>
        <v>0</v>
      </c>
      <c r="R852" s="290">
        <f t="shared" si="406"/>
        <v>0</v>
      </c>
      <c r="S852" s="290">
        <f t="shared" si="407"/>
        <v>0</v>
      </c>
      <c r="T852" s="290">
        <f t="shared" si="408"/>
        <v>0</v>
      </c>
      <c r="U852" s="291">
        <f t="shared" si="409"/>
        <v>419.38</v>
      </c>
      <c r="V852" s="291">
        <f t="shared" si="413"/>
        <v>-419.38</v>
      </c>
      <c r="W852" s="265">
        <f t="shared" si="410"/>
        <v>0</v>
      </c>
      <c r="X852" s="291">
        <f t="shared" si="414"/>
        <v>-419.38</v>
      </c>
      <c r="Y852" s="170">
        <f t="shared" si="411"/>
        <v>9.75</v>
      </c>
      <c r="Z852" s="291">
        <f t="shared" si="412"/>
        <v>-9.75</v>
      </c>
      <c r="AC852" s="276">
        <f>IF(AI852=1,IF(AC851=MiscData!$F$1,EOMONTH(AC851,-11),EOMONTH(AC851,1)),AC851)</f>
        <v>42004</v>
      </c>
      <c r="AD852" s="275" t="str">
        <f t="shared" si="398"/>
        <v>20140101LGUM_430</v>
      </c>
      <c r="AE852" s="294" t="str">
        <f t="shared" si="399"/>
        <v>20140101RLS</v>
      </c>
      <c r="AF852" s="618" t="str">
        <f t="shared" si="415"/>
        <v>430</v>
      </c>
      <c r="AH852" s="265">
        <f>MiscData!$X$5</f>
        <v>20140101</v>
      </c>
      <c r="AI852" s="265">
        <f>IF(AI851+1&gt;MiscData!$AC$77,1,AI851+1)</f>
        <v>46</v>
      </c>
      <c r="AJ852" s="265" t="str">
        <f>VLOOKUP(AI852,MiscData!$AC$5:$AD$77,2,FALSE)</f>
        <v>LGUM_430</v>
      </c>
      <c r="AK852" s="265" t="str">
        <f>VLOOKUP(AJ852,MiscData!$AD$5:$AE$77,2,FALSE)</f>
        <v>RLS</v>
      </c>
      <c r="AT852" s="265" t="s">
        <v>212</v>
      </c>
      <c r="AV852" s="265">
        <v>0</v>
      </c>
    </row>
    <row r="853" spans="1:48">
      <c r="A853" s="275">
        <f t="shared" si="416"/>
        <v>838</v>
      </c>
      <c r="B853" s="276" t="str">
        <f t="shared" si="395"/>
        <v>Dec 2014</v>
      </c>
      <c r="C853" s="277" t="str">
        <f t="shared" si="396"/>
        <v xml:space="preserve">LS </v>
      </c>
      <c r="D853" s="277" t="str">
        <f t="shared" si="397"/>
        <v>LGUM_431</v>
      </c>
      <c r="E853" s="614">
        <f t="shared" si="401"/>
        <v>44</v>
      </c>
      <c r="F853" s="615">
        <v>0</v>
      </c>
      <c r="G853" s="614">
        <f t="shared" si="400"/>
        <v>0</v>
      </c>
      <c r="H853" s="615">
        <v>0</v>
      </c>
      <c r="I853" s="283">
        <f t="shared" si="402"/>
        <v>32.93</v>
      </c>
      <c r="J853" s="283">
        <f t="shared" si="403"/>
        <v>0.75</v>
      </c>
      <c r="K853" s="285">
        <f t="shared" si="404"/>
        <v>1448.92</v>
      </c>
      <c r="L853" s="286">
        <v>0</v>
      </c>
      <c r="M853" s="286">
        <v>0</v>
      </c>
      <c r="N853" s="285">
        <f t="shared" si="375"/>
        <v>1448.92</v>
      </c>
      <c r="O853" s="616">
        <f t="shared" si="391"/>
        <v>0</v>
      </c>
      <c r="P853" s="289">
        <f t="shared" si="376"/>
        <v>0</v>
      </c>
      <c r="Q853" s="290">
        <f t="shared" si="405"/>
        <v>0</v>
      </c>
      <c r="R853" s="290">
        <f t="shared" si="406"/>
        <v>0</v>
      </c>
      <c r="S853" s="290">
        <f t="shared" si="407"/>
        <v>0</v>
      </c>
      <c r="T853" s="290">
        <f t="shared" si="408"/>
        <v>0</v>
      </c>
      <c r="U853" s="291">
        <f t="shared" si="409"/>
        <v>1448.92</v>
      </c>
      <c r="V853" s="291">
        <f t="shared" si="413"/>
        <v>-1448.92</v>
      </c>
      <c r="W853" s="265">
        <f t="shared" si="410"/>
        <v>0</v>
      </c>
      <c r="X853" s="291">
        <f t="shared" si="414"/>
        <v>-1448.92</v>
      </c>
      <c r="Y853" s="170">
        <f t="shared" si="411"/>
        <v>33</v>
      </c>
      <c r="Z853" s="291">
        <f t="shared" si="412"/>
        <v>-33</v>
      </c>
      <c r="AC853" s="276">
        <f>IF(AI853=1,IF(AC852=MiscData!$F$1,EOMONTH(AC852,-11),EOMONTH(AC852,1)),AC852)</f>
        <v>42004</v>
      </c>
      <c r="AD853" s="275" t="str">
        <f t="shared" si="398"/>
        <v>20140101LGUM_431</v>
      </c>
      <c r="AE853" s="294" t="str">
        <f t="shared" si="399"/>
        <v xml:space="preserve">20140101LS </v>
      </c>
      <c r="AF853" s="618" t="str">
        <f t="shared" si="415"/>
        <v>431</v>
      </c>
      <c r="AH853" s="265">
        <f>MiscData!$X$5</f>
        <v>20140101</v>
      </c>
      <c r="AI853" s="265">
        <f>IF(AI852+1&gt;MiscData!$AC$77,1,AI852+1)</f>
        <v>47</v>
      </c>
      <c r="AJ853" s="265" t="str">
        <f>VLOOKUP(AI853,MiscData!$AC$5:$AD$77,2,FALSE)</f>
        <v>LGUM_431</v>
      </c>
      <c r="AK853" s="265" t="str">
        <f>VLOOKUP(AJ853,MiscData!$AD$5:$AE$77,2,FALSE)</f>
        <v xml:space="preserve">LS </v>
      </c>
      <c r="AT853" s="265" t="s">
        <v>213</v>
      </c>
      <c r="AV853" s="265">
        <v>0</v>
      </c>
    </row>
    <row r="854" spans="1:48">
      <c r="A854" s="275">
        <f t="shared" si="416"/>
        <v>839</v>
      </c>
      <c r="B854" s="276" t="str">
        <f t="shared" si="395"/>
        <v>Dec 2014</v>
      </c>
      <c r="C854" s="277" t="str">
        <f t="shared" si="396"/>
        <v>RLS</v>
      </c>
      <c r="D854" s="277" t="str">
        <f t="shared" si="397"/>
        <v>LGUM_432</v>
      </c>
      <c r="E854" s="614">
        <f t="shared" si="401"/>
        <v>10</v>
      </c>
      <c r="F854" s="615">
        <v>0</v>
      </c>
      <c r="G854" s="614">
        <f t="shared" si="400"/>
        <v>0</v>
      </c>
      <c r="H854" s="615">
        <v>0</v>
      </c>
      <c r="I854" s="283">
        <f t="shared" si="402"/>
        <v>34.330000000000005</v>
      </c>
      <c r="J854" s="283">
        <f t="shared" si="403"/>
        <v>1.0600000000000023</v>
      </c>
      <c r="K854" s="285">
        <f t="shared" si="404"/>
        <v>343.3</v>
      </c>
      <c r="L854" s="286">
        <v>0</v>
      </c>
      <c r="M854" s="286">
        <v>0</v>
      </c>
      <c r="N854" s="285">
        <f t="shared" si="375"/>
        <v>343.3</v>
      </c>
      <c r="O854" s="616">
        <f t="shared" si="391"/>
        <v>0</v>
      </c>
      <c r="P854" s="289">
        <f t="shared" si="376"/>
        <v>0</v>
      </c>
      <c r="Q854" s="290">
        <f t="shared" si="405"/>
        <v>0</v>
      </c>
      <c r="R854" s="290">
        <f t="shared" si="406"/>
        <v>0</v>
      </c>
      <c r="S854" s="290">
        <f t="shared" si="407"/>
        <v>0</v>
      </c>
      <c r="T854" s="290">
        <f t="shared" si="408"/>
        <v>0</v>
      </c>
      <c r="U854" s="291">
        <f t="shared" si="409"/>
        <v>343.3</v>
      </c>
      <c r="V854" s="291">
        <f t="shared" si="413"/>
        <v>-343.3</v>
      </c>
      <c r="W854" s="265">
        <f t="shared" si="410"/>
        <v>0</v>
      </c>
      <c r="X854" s="291">
        <f t="shared" si="414"/>
        <v>-343.3</v>
      </c>
      <c r="Y854" s="170">
        <f t="shared" si="411"/>
        <v>10.6</v>
      </c>
      <c r="Z854" s="291">
        <f t="shared" si="412"/>
        <v>-10.6</v>
      </c>
      <c r="AC854" s="276">
        <f>IF(AI854=1,IF(AC853=MiscData!$F$1,EOMONTH(AC853,-11),EOMONTH(AC853,1)),AC853)</f>
        <v>42004</v>
      </c>
      <c r="AD854" s="275" t="str">
        <f t="shared" si="398"/>
        <v>20140101LGUM_432</v>
      </c>
      <c r="AE854" s="294" t="str">
        <f t="shared" si="399"/>
        <v>20140101RLS</v>
      </c>
      <c r="AF854" s="618" t="str">
        <f t="shared" si="415"/>
        <v>432</v>
      </c>
      <c r="AH854" s="265">
        <f>MiscData!$X$5</f>
        <v>20140101</v>
      </c>
      <c r="AI854" s="265">
        <f>IF(AI853+1&gt;MiscData!$AC$77,1,AI853+1)</f>
        <v>48</v>
      </c>
      <c r="AJ854" s="265" t="str">
        <f>VLOOKUP(AI854,MiscData!$AC$5:$AD$77,2,FALSE)</f>
        <v>LGUM_432</v>
      </c>
      <c r="AK854" s="265" t="str">
        <f>VLOOKUP(AJ854,MiscData!$AD$5:$AE$77,2,FALSE)</f>
        <v>RLS</v>
      </c>
      <c r="AT854" s="265" t="s">
        <v>522</v>
      </c>
      <c r="AV854" s="265">
        <v>0</v>
      </c>
    </row>
    <row r="855" spans="1:48">
      <c r="A855" s="275">
        <f t="shared" si="416"/>
        <v>840</v>
      </c>
      <c r="B855" s="276" t="str">
        <f t="shared" si="395"/>
        <v>Dec 2014</v>
      </c>
      <c r="C855" s="277" t="str">
        <f t="shared" si="396"/>
        <v xml:space="preserve">LS </v>
      </c>
      <c r="D855" s="277" t="str">
        <f t="shared" si="397"/>
        <v>LGUM_433</v>
      </c>
      <c r="E855" s="614">
        <f t="shared" si="401"/>
        <v>190</v>
      </c>
      <c r="F855" s="615">
        <v>0</v>
      </c>
      <c r="G855" s="614">
        <f t="shared" si="400"/>
        <v>0</v>
      </c>
      <c r="H855" s="615">
        <v>0</v>
      </c>
      <c r="I855" s="283">
        <f t="shared" si="402"/>
        <v>34.99</v>
      </c>
      <c r="J855" s="283">
        <f t="shared" si="403"/>
        <v>1.0600000000000023</v>
      </c>
      <c r="K855" s="285">
        <f t="shared" si="404"/>
        <v>6648.1</v>
      </c>
      <c r="L855" s="286">
        <v>0</v>
      </c>
      <c r="M855" s="286">
        <v>0</v>
      </c>
      <c r="N855" s="285">
        <f t="shared" si="375"/>
        <v>6648.1</v>
      </c>
      <c r="O855" s="616">
        <f t="shared" si="391"/>
        <v>0</v>
      </c>
      <c r="P855" s="289">
        <f t="shared" si="376"/>
        <v>0</v>
      </c>
      <c r="Q855" s="290">
        <f t="shared" si="405"/>
        <v>0</v>
      </c>
      <c r="R855" s="290">
        <f t="shared" si="406"/>
        <v>0</v>
      </c>
      <c r="S855" s="290">
        <f t="shared" si="407"/>
        <v>0</v>
      </c>
      <c r="T855" s="290">
        <f t="shared" si="408"/>
        <v>0</v>
      </c>
      <c r="U855" s="291">
        <f t="shared" si="409"/>
        <v>6648.1</v>
      </c>
      <c r="V855" s="291">
        <f t="shared" si="413"/>
        <v>-6648.1</v>
      </c>
      <c r="W855" s="265">
        <f t="shared" si="410"/>
        <v>0</v>
      </c>
      <c r="X855" s="291">
        <f t="shared" si="414"/>
        <v>-6648.1</v>
      </c>
      <c r="Y855" s="170">
        <f t="shared" si="411"/>
        <v>201.4</v>
      </c>
      <c r="Z855" s="291">
        <f t="shared" si="412"/>
        <v>-201.4</v>
      </c>
      <c r="AC855" s="276">
        <f>IF(AI855=1,IF(AC854=MiscData!$F$1,EOMONTH(AC854,-11),EOMONTH(AC854,1)),AC854)</f>
        <v>42004</v>
      </c>
      <c r="AD855" s="275" t="str">
        <f t="shared" si="398"/>
        <v>20140101LGUM_433</v>
      </c>
      <c r="AE855" s="294" t="str">
        <f t="shared" si="399"/>
        <v xml:space="preserve">20140101LS </v>
      </c>
      <c r="AF855" s="618" t="str">
        <f t="shared" si="415"/>
        <v>433</v>
      </c>
      <c r="AH855" s="265">
        <f>MiscData!$X$5</f>
        <v>20140101</v>
      </c>
      <c r="AI855" s="265">
        <f>IF(AI854+1&gt;MiscData!$AC$77,1,AI854+1)</f>
        <v>49</v>
      </c>
      <c r="AJ855" s="265" t="str">
        <f>VLOOKUP(AI855,MiscData!$AC$5:$AD$77,2,FALSE)</f>
        <v>LGUM_433</v>
      </c>
      <c r="AK855" s="265" t="str">
        <f>VLOOKUP(AJ855,MiscData!$AD$5:$AE$77,2,FALSE)</f>
        <v xml:space="preserve">LS </v>
      </c>
      <c r="AT855" s="265" t="s">
        <v>526</v>
      </c>
      <c r="AV855" s="265">
        <v>0</v>
      </c>
    </row>
    <row r="856" spans="1:48">
      <c r="A856" s="275">
        <f t="shared" si="416"/>
        <v>841</v>
      </c>
      <c r="B856" s="276" t="str">
        <f t="shared" si="395"/>
        <v>Dec 2014</v>
      </c>
      <c r="C856" s="277" t="str">
        <f t="shared" si="396"/>
        <v xml:space="preserve">LS </v>
      </c>
      <c r="D856" s="277" t="str">
        <f t="shared" si="397"/>
        <v>LGUM_439</v>
      </c>
      <c r="E856" s="614">
        <f t="shared" si="401"/>
        <v>0</v>
      </c>
      <c r="F856" s="615">
        <v>0</v>
      </c>
      <c r="G856" s="614">
        <f t="shared" si="400"/>
        <v>0</v>
      </c>
      <c r="H856" s="615">
        <v>0</v>
      </c>
      <c r="I856" s="283">
        <f t="shared" si="402"/>
        <v>16.459999999999997</v>
      </c>
      <c r="J856" s="283">
        <f t="shared" si="403"/>
        <v>1.6499999999999986</v>
      </c>
      <c r="K856" s="285">
        <f t="shared" si="404"/>
        <v>0</v>
      </c>
      <c r="L856" s="286">
        <v>0</v>
      </c>
      <c r="M856" s="286">
        <v>0</v>
      </c>
      <c r="N856" s="285">
        <f t="shared" si="375"/>
        <v>0</v>
      </c>
      <c r="O856" s="616">
        <f t="shared" si="391"/>
        <v>0</v>
      </c>
      <c r="P856" s="289">
        <f t="shared" si="376"/>
        <v>1</v>
      </c>
      <c r="Q856" s="290">
        <f t="shared" si="405"/>
        <v>0</v>
      </c>
      <c r="R856" s="290">
        <f t="shared" si="406"/>
        <v>0</v>
      </c>
      <c r="S856" s="290">
        <f t="shared" si="407"/>
        <v>0</v>
      </c>
      <c r="T856" s="290">
        <f t="shared" si="408"/>
        <v>0</v>
      </c>
      <c r="U856" s="291">
        <f t="shared" si="409"/>
        <v>0</v>
      </c>
      <c r="V856" s="291">
        <f t="shared" si="413"/>
        <v>0</v>
      </c>
      <c r="W856" s="265">
        <f t="shared" si="410"/>
        <v>0</v>
      </c>
      <c r="X856" s="291">
        <f t="shared" si="414"/>
        <v>0</v>
      </c>
      <c r="Y856" s="170">
        <f t="shared" si="411"/>
        <v>0</v>
      </c>
      <c r="Z856" s="291">
        <f t="shared" si="412"/>
        <v>0</v>
      </c>
      <c r="AC856" s="276">
        <f>IF(AI856=1,IF(AC855=MiscData!$F$1,EOMONTH(AC855,-11),EOMONTH(AC855,1)),AC855)</f>
        <v>42004</v>
      </c>
      <c r="AD856" s="275" t="str">
        <f t="shared" si="398"/>
        <v>20140101LGUM_439</v>
      </c>
      <c r="AE856" s="294" t="str">
        <f t="shared" si="399"/>
        <v xml:space="preserve">20140101LS </v>
      </c>
      <c r="AF856" s="618" t="str">
        <f t="shared" si="415"/>
        <v>439</v>
      </c>
      <c r="AH856" s="265">
        <f>MiscData!$X$5</f>
        <v>20140101</v>
      </c>
      <c r="AI856" s="265">
        <f>IF(AI855+1&gt;MiscData!$AC$77,1,AI855+1)</f>
        <v>50</v>
      </c>
      <c r="AJ856" s="265" t="str">
        <f>VLOOKUP(AI856,MiscData!$AC$5:$AD$77,2,FALSE)</f>
        <v>LGUM_439</v>
      </c>
      <c r="AK856" s="265" t="str">
        <f>VLOOKUP(AJ856,MiscData!$AD$5:$AE$77,2,FALSE)</f>
        <v xml:space="preserve">LS </v>
      </c>
      <c r="AT856" s="265" t="s">
        <v>214</v>
      </c>
      <c r="AV856" s="265">
        <v>0</v>
      </c>
    </row>
    <row r="857" spans="1:48">
      <c r="A857" s="275">
        <f t="shared" si="416"/>
        <v>842</v>
      </c>
      <c r="B857" s="276" t="str">
        <f t="shared" si="395"/>
        <v>Dec 2014</v>
      </c>
      <c r="C857" s="277" t="str">
        <f t="shared" si="396"/>
        <v xml:space="preserve">LS </v>
      </c>
      <c r="D857" s="277" t="str">
        <f t="shared" si="397"/>
        <v>LGUM_440</v>
      </c>
      <c r="E857" s="614">
        <f t="shared" si="401"/>
        <v>2</v>
      </c>
      <c r="F857" s="615">
        <v>0</v>
      </c>
      <c r="G857" s="614">
        <f t="shared" si="400"/>
        <v>0</v>
      </c>
      <c r="H857" s="615">
        <v>0</v>
      </c>
      <c r="I857" s="283">
        <f t="shared" si="402"/>
        <v>18.279999999999998</v>
      </c>
      <c r="J857" s="283">
        <f t="shared" si="403"/>
        <v>2.67</v>
      </c>
      <c r="K857" s="285">
        <f t="shared" si="404"/>
        <v>36.56</v>
      </c>
      <c r="L857" s="286">
        <v>0</v>
      </c>
      <c r="M857" s="286">
        <v>0</v>
      </c>
      <c r="N857" s="285">
        <f t="shared" si="375"/>
        <v>36.56</v>
      </c>
      <c r="O857" s="616">
        <f t="shared" si="391"/>
        <v>0</v>
      </c>
      <c r="P857" s="289">
        <f t="shared" si="376"/>
        <v>0</v>
      </c>
      <c r="Q857" s="290">
        <f t="shared" si="405"/>
        <v>0</v>
      </c>
      <c r="R857" s="290">
        <f t="shared" si="406"/>
        <v>0</v>
      </c>
      <c r="S857" s="290">
        <f t="shared" si="407"/>
        <v>0</v>
      </c>
      <c r="T857" s="290">
        <f t="shared" si="408"/>
        <v>0</v>
      </c>
      <c r="U857" s="291">
        <f t="shared" si="409"/>
        <v>36.56</v>
      </c>
      <c r="V857" s="291">
        <f t="shared" si="413"/>
        <v>-36.56</v>
      </c>
      <c r="W857" s="265">
        <f t="shared" si="410"/>
        <v>0</v>
      </c>
      <c r="X857" s="291">
        <f t="shared" si="414"/>
        <v>-36.56</v>
      </c>
      <c r="Y857" s="170">
        <f t="shared" si="411"/>
        <v>5.34</v>
      </c>
      <c r="Z857" s="291">
        <f t="shared" si="412"/>
        <v>-5.34</v>
      </c>
      <c r="AC857" s="276">
        <f>IF(AI857=1,IF(AC856=MiscData!$F$1,EOMONTH(AC856,-11),EOMONTH(AC856,1)),AC856)</f>
        <v>42004</v>
      </c>
      <c r="AD857" s="275" t="str">
        <f t="shared" si="398"/>
        <v>20140101LGUM_440</v>
      </c>
      <c r="AE857" s="294" t="str">
        <f t="shared" si="399"/>
        <v xml:space="preserve">20140101LS </v>
      </c>
      <c r="AF857" s="618" t="str">
        <f t="shared" si="415"/>
        <v>440</v>
      </c>
      <c r="AH857" s="265">
        <f>MiscData!$X$5</f>
        <v>20140101</v>
      </c>
      <c r="AI857" s="265">
        <f>IF(AI856+1&gt;MiscData!$AC$77,1,AI856+1)</f>
        <v>51</v>
      </c>
      <c r="AJ857" s="265" t="str">
        <f>VLOOKUP(AI857,MiscData!$AC$5:$AD$77,2,FALSE)</f>
        <v>LGUM_440</v>
      </c>
      <c r="AK857" s="265" t="str">
        <f>VLOOKUP(AJ857,MiscData!$AD$5:$AE$77,2,FALSE)</f>
        <v xml:space="preserve">LS </v>
      </c>
      <c r="AT857" s="265" t="s">
        <v>215</v>
      </c>
      <c r="AV857" s="265">
        <v>0</v>
      </c>
    </row>
    <row r="858" spans="1:48">
      <c r="A858" s="275">
        <f t="shared" si="416"/>
        <v>843</v>
      </c>
      <c r="B858" s="276" t="str">
        <f t="shared" si="395"/>
        <v>Dec 2014</v>
      </c>
      <c r="C858" s="277" t="str">
        <f t="shared" si="396"/>
        <v xml:space="preserve">LS </v>
      </c>
      <c r="D858" s="277" t="str">
        <f t="shared" si="397"/>
        <v>LGUM_441</v>
      </c>
      <c r="E858" s="614">
        <f t="shared" si="401"/>
        <v>12</v>
      </c>
      <c r="F858" s="615">
        <v>0</v>
      </c>
      <c r="G858" s="614">
        <f t="shared" si="400"/>
        <v>0</v>
      </c>
      <c r="H858" s="615">
        <v>0</v>
      </c>
      <c r="I858" s="283">
        <f t="shared" si="402"/>
        <v>22.32</v>
      </c>
      <c r="J858" s="283">
        <f t="shared" si="403"/>
        <v>4.2800000000000011</v>
      </c>
      <c r="K858" s="285">
        <f t="shared" si="404"/>
        <v>267.83999999999997</v>
      </c>
      <c r="L858" s="286">
        <v>0</v>
      </c>
      <c r="M858" s="286">
        <v>0</v>
      </c>
      <c r="N858" s="285">
        <f t="shared" si="375"/>
        <v>267.83999999999997</v>
      </c>
      <c r="O858" s="616">
        <f t="shared" si="391"/>
        <v>0</v>
      </c>
      <c r="P858" s="289">
        <f t="shared" si="376"/>
        <v>0</v>
      </c>
      <c r="Q858" s="290">
        <f t="shared" si="405"/>
        <v>0</v>
      </c>
      <c r="R858" s="290">
        <f t="shared" si="406"/>
        <v>0</v>
      </c>
      <c r="S858" s="290">
        <f t="shared" si="407"/>
        <v>0</v>
      </c>
      <c r="T858" s="290">
        <f t="shared" si="408"/>
        <v>0</v>
      </c>
      <c r="U858" s="291">
        <f t="shared" si="409"/>
        <v>267.83999999999997</v>
      </c>
      <c r="V858" s="291">
        <f t="shared" si="413"/>
        <v>-267.83999999999997</v>
      </c>
      <c r="W858" s="265">
        <f t="shared" si="410"/>
        <v>0</v>
      </c>
      <c r="X858" s="291">
        <f t="shared" si="414"/>
        <v>-267.83999999999997</v>
      </c>
      <c r="Y858" s="170">
        <f t="shared" si="411"/>
        <v>51.36</v>
      </c>
      <c r="Z858" s="291">
        <f t="shared" si="412"/>
        <v>-51.36</v>
      </c>
      <c r="AC858" s="276">
        <f>IF(AI858=1,IF(AC857=MiscData!$F$1,EOMONTH(AC857,-11),EOMONTH(AC857,1)),AC857)</f>
        <v>42004</v>
      </c>
      <c r="AD858" s="275" t="str">
        <f t="shared" si="398"/>
        <v>20140101LGUM_441</v>
      </c>
      <c r="AE858" s="294" t="str">
        <f t="shared" si="399"/>
        <v xml:space="preserve">20140101LS </v>
      </c>
      <c r="AF858" s="618" t="str">
        <f t="shared" si="415"/>
        <v>441</v>
      </c>
      <c r="AH858" s="265">
        <f>MiscData!$X$5</f>
        <v>20140101</v>
      </c>
      <c r="AI858" s="265">
        <f>IF(AI857+1&gt;MiscData!$AC$77,1,AI857+1)</f>
        <v>52</v>
      </c>
      <c r="AJ858" s="265" t="str">
        <f>VLOOKUP(AI858,MiscData!$AC$5:$AD$77,2,FALSE)</f>
        <v>LGUM_441</v>
      </c>
      <c r="AK858" s="265" t="str">
        <f>VLOOKUP(AJ858,MiscData!$AD$5:$AE$77,2,FALSE)</f>
        <v xml:space="preserve">LS </v>
      </c>
      <c r="AT858" s="265" t="s">
        <v>216</v>
      </c>
      <c r="AV858" s="265">
        <v>0</v>
      </c>
    </row>
    <row r="859" spans="1:48">
      <c r="A859" s="275">
        <f t="shared" si="416"/>
        <v>844</v>
      </c>
      <c r="B859" s="276" t="str">
        <f t="shared" si="395"/>
        <v>Dec 2014</v>
      </c>
      <c r="C859" s="277" t="str">
        <f t="shared" si="396"/>
        <v xml:space="preserve">LS </v>
      </c>
      <c r="D859" s="277" t="str">
        <f t="shared" si="397"/>
        <v>LGUM_452</v>
      </c>
      <c r="E859" s="614">
        <f t="shared" si="401"/>
        <v>6206</v>
      </c>
      <c r="F859" s="615">
        <v>0</v>
      </c>
      <c r="G859" s="614">
        <f t="shared" si="400"/>
        <v>0</v>
      </c>
      <c r="H859" s="615">
        <v>0</v>
      </c>
      <c r="I859" s="283">
        <f t="shared" si="402"/>
        <v>12.82</v>
      </c>
      <c r="J859" s="283">
        <f t="shared" si="403"/>
        <v>1.6500000000000004</v>
      </c>
      <c r="K859" s="285">
        <f t="shared" si="404"/>
        <v>79560.92</v>
      </c>
      <c r="L859" s="286">
        <v>0</v>
      </c>
      <c r="M859" s="286">
        <v>0</v>
      </c>
      <c r="N859" s="285">
        <f t="shared" si="375"/>
        <v>79560.92</v>
      </c>
      <c r="O859" s="616">
        <f t="shared" si="391"/>
        <v>0</v>
      </c>
      <c r="P859" s="289">
        <f t="shared" si="376"/>
        <v>0</v>
      </c>
      <c r="Q859" s="290">
        <f t="shared" si="405"/>
        <v>0</v>
      </c>
      <c r="R859" s="290">
        <f t="shared" si="406"/>
        <v>0</v>
      </c>
      <c r="S859" s="290">
        <f t="shared" si="407"/>
        <v>0</v>
      </c>
      <c r="T859" s="290">
        <f t="shared" si="408"/>
        <v>0</v>
      </c>
      <c r="U859" s="291">
        <f t="shared" si="409"/>
        <v>79560.92</v>
      </c>
      <c r="V859" s="291">
        <f t="shared" si="413"/>
        <v>-79560.92</v>
      </c>
      <c r="W859" s="265">
        <f t="shared" si="410"/>
        <v>0</v>
      </c>
      <c r="X859" s="291">
        <f t="shared" si="414"/>
        <v>-79560.92</v>
      </c>
      <c r="Y859" s="170">
        <f t="shared" si="411"/>
        <v>10239.9</v>
      </c>
      <c r="Z859" s="291">
        <f t="shared" si="412"/>
        <v>-10239.9</v>
      </c>
      <c r="AC859" s="276">
        <f>IF(AI859=1,IF(AC858=MiscData!$F$1,EOMONTH(AC858,-11),EOMONTH(AC858,1)),AC858)</f>
        <v>42004</v>
      </c>
      <c r="AD859" s="275" t="str">
        <f t="shared" si="398"/>
        <v>20140101LGUM_452</v>
      </c>
      <c r="AE859" s="294" t="str">
        <f t="shared" si="399"/>
        <v xml:space="preserve">20140101LS </v>
      </c>
      <c r="AF859" s="618" t="str">
        <f t="shared" si="415"/>
        <v>452</v>
      </c>
      <c r="AH859" s="265">
        <f>MiscData!$X$5</f>
        <v>20140101</v>
      </c>
      <c r="AI859" s="265">
        <f>IF(AI858+1&gt;MiscData!$AC$77,1,AI858+1)</f>
        <v>53</v>
      </c>
      <c r="AJ859" s="265" t="str">
        <f>VLOOKUP(AI859,MiscData!$AC$5:$AD$77,2,FALSE)</f>
        <v>LGUM_452</v>
      </c>
      <c r="AK859" s="265" t="str">
        <f>VLOOKUP(AJ859,MiscData!$AD$5:$AE$77,2,FALSE)</f>
        <v xml:space="preserve">LS </v>
      </c>
      <c r="AT859" s="265" t="s">
        <v>217</v>
      </c>
      <c r="AV859" s="265">
        <v>29.31</v>
      </c>
    </row>
    <row r="860" spans="1:48">
      <c r="A860" s="275">
        <f t="shared" si="416"/>
        <v>845</v>
      </c>
      <c r="B860" s="276" t="str">
        <f t="shared" si="395"/>
        <v>Dec 2014</v>
      </c>
      <c r="C860" s="277" t="str">
        <f t="shared" si="396"/>
        <v xml:space="preserve">LS </v>
      </c>
      <c r="D860" s="277" t="str">
        <f t="shared" si="397"/>
        <v>LGUM_453</v>
      </c>
      <c r="E860" s="614">
        <f t="shared" si="401"/>
        <v>8754</v>
      </c>
      <c r="F860" s="615">
        <v>0</v>
      </c>
      <c r="G860" s="614">
        <f t="shared" si="400"/>
        <v>0</v>
      </c>
      <c r="H860" s="615">
        <v>0</v>
      </c>
      <c r="I860" s="283">
        <f t="shared" si="402"/>
        <v>15.08</v>
      </c>
      <c r="J860" s="283">
        <f t="shared" si="403"/>
        <v>3.9800000000000004</v>
      </c>
      <c r="K860" s="285">
        <f t="shared" si="404"/>
        <v>132010.32</v>
      </c>
      <c r="L860" s="286">
        <v>0</v>
      </c>
      <c r="M860" s="286">
        <v>0</v>
      </c>
      <c r="N860" s="285">
        <f t="shared" si="375"/>
        <v>132010.32</v>
      </c>
      <c r="O860" s="616">
        <f t="shared" si="391"/>
        <v>0</v>
      </c>
      <c r="P860" s="289">
        <f t="shared" si="376"/>
        <v>0</v>
      </c>
      <c r="Q860" s="290">
        <f t="shared" si="405"/>
        <v>0</v>
      </c>
      <c r="R860" s="290">
        <f t="shared" si="406"/>
        <v>0</v>
      </c>
      <c r="S860" s="290">
        <f t="shared" si="407"/>
        <v>0</v>
      </c>
      <c r="T860" s="290">
        <f t="shared" si="408"/>
        <v>0</v>
      </c>
      <c r="U860" s="291">
        <f t="shared" si="409"/>
        <v>132010.32</v>
      </c>
      <c r="V860" s="291">
        <f t="shared" si="413"/>
        <v>-132010.32</v>
      </c>
      <c r="W860" s="265">
        <f t="shared" si="410"/>
        <v>0</v>
      </c>
      <c r="X860" s="291">
        <f t="shared" si="414"/>
        <v>-132010.32</v>
      </c>
      <c r="Y860" s="170">
        <f t="shared" si="411"/>
        <v>34840.92</v>
      </c>
      <c r="Z860" s="291">
        <f t="shared" si="412"/>
        <v>-34840.92</v>
      </c>
      <c r="AC860" s="276">
        <f>IF(AI860=1,IF(AC859=MiscData!$F$1,EOMONTH(AC859,-11),EOMONTH(AC859,1)),AC859)</f>
        <v>42004</v>
      </c>
      <c r="AD860" s="275" t="str">
        <f t="shared" si="398"/>
        <v>20140101LGUM_453</v>
      </c>
      <c r="AE860" s="294" t="str">
        <f t="shared" si="399"/>
        <v xml:space="preserve">20140101LS </v>
      </c>
      <c r="AF860" s="618" t="str">
        <f t="shared" si="415"/>
        <v>453</v>
      </c>
      <c r="AH860" s="265">
        <f>MiscData!$X$5</f>
        <v>20140101</v>
      </c>
      <c r="AI860" s="265">
        <f>IF(AI859+1&gt;MiscData!$AC$77,1,AI859+1)</f>
        <v>54</v>
      </c>
      <c r="AJ860" s="265" t="str">
        <f>VLOOKUP(AI860,MiscData!$AC$5:$AD$77,2,FALSE)</f>
        <v>LGUM_453</v>
      </c>
      <c r="AK860" s="265" t="str">
        <f>VLOOKUP(AJ860,MiscData!$AD$5:$AE$77,2,FALSE)</f>
        <v xml:space="preserve">LS </v>
      </c>
      <c r="AT860" s="265" t="s">
        <v>536</v>
      </c>
      <c r="AV860" s="265">
        <v>0</v>
      </c>
    </row>
    <row r="861" spans="1:48">
      <c r="A861" s="275">
        <f t="shared" si="416"/>
        <v>846</v>
      </c>
      <c r="B861" s="276" t="str">
        <f t="shared" si="395"/>
        <v>Dec 2014</v>
      </c>
      <c r="C861" s="277" t="str">
        <f t="shared" si="396"/>
        <v xml:space="preserve">LS </v>
      </c>
      <c r="D861" s="277" t="str">
        <f t="shared" si="397"/>
        <v>LGUM_454</v>
      </c>
      <c r="E861" s="614">
        <f t="shared" si="401"/>
        <v>5494</v>
      </c>
      <c r="F861" s="615">
        <v>0</v>
      </c>
      <c r="G861" s="614">
        <f t="shared" si="400"/>
        <v>0</v>
      </c>
      <c r="H861" s="615">
        <v>0</v>
      </c>
      <c r="I861" s="283">
        <f t="shared" si="402"/>
        <v>17.38</v>
      </c>
      <c r="J861" s="283">
        <f t="shared" si="403"/>
        <v>4.2800000000000011</v>
      </c>
      <c r="K861" s="285">
        <f t="shared" si="404"/>
        <v>95485.72</v>
      </c>
      <c r="L861" s="286">
        <v>0</v>
      </c>
      <c r="M861" s="286">
        <v>0</v>
      </c>
      <c r="N861" s="285">
        <f t="shared" si="375"/>
        <v>95485.72</v>
      </c>
      <c r="O861" s="616">
        <f t="shared" si="391"/>
        <v>0</v>
      </c>
      <c r="P861" s="289">
        <f t="shared" si="376"/>
        <v>0</v>
      </c>
      <c r="Q861" s="290">
        <f t="shared" si="405"/>
        <v>0</v>
      </c>
      <c r="R861" s="290">
        <f t="shared" si="406"/>
        <v>0</v>
      </c>
      <c r="S861" s="290">
        <f t="shared" si="407"/>
        <v>0</v>
      </c>
      <c r="T861" s="290">
        <f t="shared" si="408"/>
        <v>0</v>
      </c>
      <c r="U861" s="291">
        <f t="shared" si="409"/>
        <v>95485.72</v>
      </c>
      <c r="V861" s="291">
        <f t="shared" si="413"/>
        <v>-95485.72</v>
      </c>
      <c r="W861" s="265">
        <f t="shared" si="410"/>
        <v>0</v>
      </c>
      <c r="X861" s="291">
        <f t="shared" si="414"/>
        <v>-95485.72</v>
      </c>
      <c r="Y861" s="170">
        <f t="shared" si="411"/>
        <v>23514.32</v>
      </c>
      <c r="Z861" s="291">
        <f t="shared" si="412"/>
        <v>-23514.32</v>
      </c>
      <c r="AC861" s="276">
        <f>IF(AI861=1,IF(AC860=MiscData!$F$1,EOMONTH(AC860,-11),EOMONTH(AC860,1)),AC860)</f>
        <v>42004</v>
      </c>
      <c r="AD861" s="275" t="str">
        <f t="shared" si="398"/>
        <v>20140101LGUM_454</v>
      </c>
      <c r="AE861" s="294" t="str">
        <f t="shared" si="399"/>
        <v xml:space="preserve">20140101LS </v>
      </c>
      <c r="AF861" s="618" t="str">
        <f t="shared" si="415"/>
        <v>454</v>
      </c>
      <c r="AH861" s="265">
        <f>MiscData!$X$5</f>
        <v>20140101</v>
      </c>
      <c r="AI861" s="265">
        <f>IF(AI860+1&gt;MiscData!$AC$77,1,AI860+1)</f>
        <v>55</v>
      </c>
      <c r="AJ861" s="265" t="str">
        <f>VLOOKUP(AI861,MiscData!$AC$5:$AD$77,2,FALSE)</f>
        <v>LGUM_454</v>
      </c>
      <c r="AK861" s="265" t="str">
        <f>VLOOKUP(AJ861,MiscData!$AD$5:$AE$77,2,FALSE)</f>
        <v xml:space="preserve">LS </v>
      </c>
      <c r="AT861" s="265" t="s">
        <v>218</v>
      </c>
      <c r="AV861" s="265">
        <v>0</v>
      </c>
    </row>
    <row r="862" spans="1:48">
      <c r="A862" s="275">
        <f t="shared" si="416"/>
        <v>847</v>
      </c>
      <c r="B862" s="276" t="str">
        <f t="shared" si="395"/>
        <v>Dec 2014</v>
      </c>
      <c r="C862" s="277" t="str">
        <f t="shared" si="396"/>
        <v xml:space="preserve">LS </v>
      </c>
      <c r="D862" s="277" t="str">
        <f t="shared" si="397"/>
        <v>LGUM_455</v>
      </c>
      <c r="E862" s="614">
        <f t="shared" si="401"/>
        <v>395</v>
      </c>
      <c r="F862" s="615">
        <v>0</v>
      </c>
      <c r="G862" s="614">
        <f t="shared" si="400"/>
        <v>0</v>
      </c>
      <c r="H862" s="615">
        <v>0</v>
      </c>
      <c r="I862" s="283">
        <f t="shared" si="402"/>
        <v>13.77</v>
      </c>
      <c r="J862" s="283">
        <f t="shared" si="403"/>
        <v>1.6499999999999986</v>
      </c>
      <c r="K862" s="285">
        <f t="shared" si="404"/>
        <v>5439.15</v>
      </c>
      <c r="L862" s="286">
        <v>0</v>
      </c>
      <c r="M862" s="286">
        <v>0</v>
      </c>
      <c r="N862" s="285">
        <f t="shared" si="375"/>
        <v>5439.15</v>
      </c>
      <c r="O862" s="616">
        <f t="shared" si="391"/>
        <v>0</v>
      </c>
      <c r="P862" s="289">
        <f t="shared" si="376"/>
        <v>0</v>
      </c>
      <c r="Q862" s="290">
        <f t="shared" si="405"/>
        <v>0</v>
      </c>
      <c r="R862" s="290">
        <f t="shared" si="406"/>
        <v>0</v>
      </c>
      <c r="S862" s="290">
        <f t="shared" si="407"/>
        <v>0</v>
      </c>
      <c r="T862" s="290">
        <f t="shared" si="408"/>
        <v>0</v>
      </c>
      <c r="U862" s="291">
        <f t="shared" si="409"/>
        <v>5439.15</v>
      </c>
      <c r="V862" s="291">
        <f t="shared" si="413"/>
        <v>-5439.15</v>
      </c>
      <c r="W862" s="265">
        <f t="shared" si="410"/>
        <v>0</v>
      </c>
      <c r="X862" s="291">
        <f t="shared" si="414"/>
        <v>-5439.15</v>
      </c>
      <c r="Y862" s="170">
        <f t="shared" si="411"/>
        <v>651.75</v>
      </c>
      <c r="Z862" s="291">
        <f t="shared" si="412"/>
        <v>-651.75</v>
      </c>
      <c r="AC862" s="276">
        <f>IF(AI862=1,IF(AC861=MiscData!$F$1,EOMONTH(AC861,-11),EOMONTH(AC861,1)),AC861)</f>
        <v>42004</v>
      </c>
      <c r="AD862" s="275" t="str">
        <f t="shared" si="398"/>
        <v>20140101LGUM_455</v>
      </c>
      <c r="AE862" s="294" t="str">
        <f t="shared" si="399"/>
        <v xml:space="preserve">20140101LS </v>
      </c>
      <c r="AF862" s="618" t="str">
        <f t="shared" si="415"/>
        <v>455</v>
      </c>
      <c r="AH862" s="265">
        <f>MiscData!$X$5</f>
        <v>20140101</v>
      </c>
      <c r="AI862" s="265">
        <f>IF(AI861+1&gt;MiscData!$AC$77,1,AI861+1)</f>
        <v>56</v>
      </c>
      <c r="AJ862" s="265" t="str">
        <f>VLOOKUP(AI862,MiscData!$AC$5:$AD$77,2,FALSE)</f>
        <v>LGUM_455</v>
      </c>
      <c r="AK862" s="265" t="str">
        <f>VLOOKUP(AJ862,MiscData!$AD$5:$AE$77,2,FALSE)</f>
        <v xml:space="preserve">LS </v>
      </c>
      <c r="AT862" s="265" t="s">
        <v>219</v>
      </c>
      <c r="AV862" s="265">
        <v>0</v>
      </c>
    </row>
    <row r="863" spans="1:48">
      <c r="A863" s="275">
        <f t="shared" si="416"/>
        <v>848</v>
      </c>
      <c r="B863" s="276" t="str">
        <f t="shared" si="395"/>
        <v>Dec 2014</v>
      </c>
      <c r="C863" s="277" t="str">
        <f t="shared" si="396"/>
        <v xml:space="preserve">LS </v>
      </c>
      <c r="D863" s="277" t="str">
        <f t="shared" si="397"/>
        <v>LGUM_456</v>
      </c>
      <c r="E863" s="614">
        <f t="shared" si="401"/>
        <v>12742</v>
      </c>
      <c r="F863" s="615">
        <v>0</v>
      </c>
      <c r="G863" s="614">
        <f t="shared" si="400"/>
        <v>0</v>
      </c>
      <c r="H863" s="615">
        <v>0</v>
      </c>
      <c r="I863" s="283">
        <f t="shared" si="402"/>
        <v>18.21</v>
      </c>
      <c r="J863" s="283">
        <f t="shared" si="403"/>
        <v>4.2800000000000011</v>
      </c>
      <c r="K863" s="285">
        <f t="shared" si="404"/>
        <v>232031.82</v>
      </c>
      <c r="L863" s="286">
        <v>0</v>
      </c>
      <c r="M863" s="286">
        <v>0</v>
      </c>
      <c r="N863" s="285">
        <f t="shared" si="375"/>
        <v>232031.82</v>
      </c>
      <c r="O863" s="616">
        <f t="shared" si="391"/>
        <v>0</v>
      </c>
      <c r="P863" s="289">
        <f t="shared" si="376"/>
        <v>0</v>
      </c>
      <c r="Q863" s="290">
        <f t="shared" si="405"/>
        <v>0</v>
      </c>
      <c r="R863" s="290">
        <f t="shared" si="406"/>
        <v>0</v>
      </c>
      <c r="S863" s="290">
        <f t="shared" si="407"/>
        <v>0</v>
      </c>
      <c r="T863" s="290">
        <f t="shared" si="408"/>
        <v>0</v>
      </c>
      <c r="U863" s="291">
        <f t="shared" si="409"/>
        <v>232031.82</v>
      </c>
      <c r="V863" s="291">
        <f t="shared" si="413"/>
        <v>-232031.82</v>
      </c>
      <c r="W863" s="265">
        <f t="shared" si="410"/>
        <v>0</v>
      </c>
      <c r="X863" s="291">
        <f t="shared" si="414"/>
        <v>-232031.82</v>
      </c>
      <c r="Y863" s="170">
        <f t="shared" si="411"/>
        <v>54535.76</v>
      </c>
      <c r="Z863" s="291">
        <f t="shared" si="412"/>
        <v>-54535.76</v>
      </c>
      <c r="AC863" s="276">
        <f>IF(AI863=1,IF(AC862=MiscData!$F$1,EOMONTH(AC862,-11),EOMONTH(AC862,1)),AC862)</f>
        <v>42004</v>
      </c>
      <c r="AD863" s="275" t="str">
        <f t="shared" si="398"/>
        <v>20140101LGUM_456</v>
      </c>
      <c r="AE863" s="294" t="str">
        <f t="shared" si="399"/>
        <v xml:space="preserve">20140101LS </v>
      </c>
      <c r="AF863" s="618" t="str">
        <f t="shared" si="415"/>
        <v>456</v>
      </c>
      <c r="AH863" s="265">
        <f>MiscData!$X$5</f>
        <v>20140101</v>
      </c>
      <c r="AI863" s="265">
        <f>IF(AI862+1&gt;MiscData!$AC$77,1,AI862+1)</f>
        <v>57</v>
      </c>
      <c r="AJ863" s="265" t="str">
        <f>VLOOKUP(AI863,MiscData!$AC$5:$AD$77,2,FALSE)</f>
        <v>LGUM_456</v>
      </c>
      <c r="AK863" s="265" t="str">
        <f>VLOOKUP(AJ863,MiscData!$AD$5:$AE$77,2,FALSE)</f>
        <v xml:space="preserve">LS </v>
      </c>
      <c r="AT863" s="265" t="s">
        <v>220</v>
      </c>
      <c r="AV863" s="265">
        <v>0</v>
      </c>
    </row>
    <row r="864" spans="1:48">
      <c r="A864" s="275">
        <f t="shared" si="416"/>
        <v>849</v>
      </c>
      <c r="B864" s="276" t="str">
        <f t="shared" si="395"/>
        <v>Dec 2014</v>
      </c>
      <c r="C864" s="277" t="str">
        <f t="shared" si="396"/>
        <v xml:space="preserve">LS </v>
      </c>
      <c r="D864" s="277" t="str">
        <f t="shared" si="397"/>
        <v>LGUM_457</v>
      </c>
      <c r="E864" s="614">
        <f t="shared" si="401"/>
        <v>3191</v>
      </c>
      <c r="F864" s="615">
        <v>0</v>
      </c>
      <c r="G864" s="614">
        <f t="shared" si="400"/>
        <v>0</v>
      </c>
      <c r="H864" s="615">
        <v>0</v>
      </c>
      <c r="I864" s="283">
        <f t="shared" si="402"/>
        <v>10.86</v>
      </c>
      <c r="J864" s="283">
        <f t="shared" si="403"/>
        <v>1.0599999999999987</v>
      </c>
      <c r="K864" s="285">
        <f t="shared" si="404"/>
        <v>34654.26</v>
      </c>
      <c r="L864" s="286">
        <v>0</v>
      </c>
      <c r="M864" s="286">
        <v>0</v>
      </c>
      <c r="N864" s="285">
        <f t="shared" si="375"/>
        <v>34654.26</v>
      </c>
      <c r="O864" s="616">
        <f t="shared" si="391"/>
        <v>0</v>
      </c>
      <c r="P864" s="289">
        <f t="shared" si="376"/>
        <v>0</v>
      </c>
      <c r="Q864" s="290">
        <f t="shared" si="405"/>
        <v>0</v>
      </c>
      <c r="R864" s="290">
        <f t="shared" si="406"/>
        <v>0</v>
      </c>
      <c r="S864" s="290">
        <f t="shared" si="407"/>
        <v>0</v>
      </c>
      <c r="T864" s="290">
        <f t="shared" si="408"/>
        <v>0</v>
      </c>
      <c r="U864" s="291">
        <f t="shared" si="409"/>
        <v>34654.26</v>
      </c>
      <c r="V864" s="291">
        <f t="shared" si="413"/>
        <v>-34654.26</v>
      </c>
      <c r="W864" s="265">
        <f t="shared" si="410"/>
        <v>0</v>
      </c>
      <c r="X864" s="291">
        <f t="shared" si="414"/>
        <v>-34654.26</v>
      </c>
      <c r="Y864" s="170">
        <f t="shared" si="411"/>
        <v>3382.46</v>
      </c>
      <c r="Z864" s="291">
        <f t="shared" si="412"/>
        <v>-3382.46</v>
      </c>
      <c r="AC864" s="276">
        <f>IF(AI864=1,IF(AC863=MiscData!$F$1,EOMONTH(AC863,-11),EOMONTH(AC863,1)),AC863)</f>
        <v>42004</v>
      </c>
      <c r="AD864" s="275" t="str">
        <f t="shared" si="398"/>
        <v>20140101LGUM_457</v>
      </c>
      <c r="AE864" s="294" t="str">
        <f t="shared" si="399"/>
        <v xml:space="preserve">20140101LS </v>
      </c>
      <c r="AF864" s="618" t="str">
        <f t="shared" si="415"/>
        <v>457</v>
      </c>
      <c r="AH864" s="265">
        <f>MiscData!$X$5</f>
        <v>20140101</v>
      </c>
      <c r="AI864" s="265">
        <f>IF(AI863+1&gt;MiscData!$AC$77,1,AI863+1)</f>
        <v>58</v>
      </c>
      <c r="AJ864" s="265" t="str">
        <f>VLOOKUP(AI864,MiscData!$AC$5:$AD$77,2,FALSE)</f>
        <v>LGUM_457</v>
      </c>
      <c r="AK864" s="265" t="str">
        <f>VLOOKUP(AJ864,MiscData!$AD$5:$AE$77,2,FALSE)</f>
        <v xml:space="preserve">LS </v>
      </c>
      <c r="AT864" s="265" t="s">
        <v>221</v>
      </c>
      <c r="AV864" s="265">
        <v>-19.059999999999999</v>
      </c>
    </row>
    <row r="865" spans="1:48">
      <c r="A865" s="275">
        <f t="shared" si="416"/>
        <v>850</v>
      </c>
      <c r="B865" s="276" t="str">
        <f t="shared" si="395"/>
        <v>Dec 2014</v>
      </c>
      <c r="C865" s="277" t="str">
        <f t="shared" si="396"/>
        <v>RLS</v>
      </c>
      <c r="D865" s="277" t="str">
        <f t="shared" si="397"/>
        <v>LGUM_458</v>
      </c>
      <c r="E865" s="614">
        <f t="shared" si="401"/>
        <v>5</v>
      </c>
      <c r="F865" s="615">
        <v>0</v>
      </c>
      <c r="G865" s="614">
        <f t="shared" si="400"/>
        <v>0</v>
      </c>
      <c r="H865" s="615">
        <v>0</v>
      </c>
      <c r="I865" s="283">
        <f t="shared" si="402"/>
        <v>11.13</v>
      </c>
      <c r="J865" s="283">
        <f t="shared" si="403"/>
        <v>3.7700000000000014</v>
      </c>
      <c r="K865" s="285">
        <f t="shared" si="404"/>
        <v>55.65</v>
      </c>
      <c r="L865" s="286">
        <v>0</v>
      </c>
      <c r="M865" s="286">
        <v>0</v>
      </c>
      <c r="N865" s="285">
        <f t="shared" ref="N865:N879" si="417">SUM(K865:M865)</f>
        <v>55.65</v>
      </c>
      <c r="O865" s="616">
        <f t="shared" si="391"/>
        <v>0</v>
      </c>
      <c r="P865" s="289">
        <f t="shared" ref="P865:P879" si="418">IF(AND(N865=0,O865=0),1,IF(N865=0,0,O865/N865))</f>
        <v>0</v>
      </c>
      <c r="Q865" s="290">
        <f t="shared" si="405"/>
        <v>0</v>
      </c>
      <c r="R865" s="290">
        <f t="shared" si="406"/>
        <v>0</v>
      </c>
      <c r="S865" s="290">
        <f t="shared" si="407"/>
        <v>0</v>
      </c>
      <c r="T865" s="290">
        <f t="shared" si="408"/>
        <v>0</v>
      </c>
      <c r="U865" s="291">
        <f t="shared" si="409"/>
        <v>55.65</v>
      </c>
      <c r="V865" s="291">
        <f t="shared" si="413"/>
        <v>-55.65</v>
      </c>
      <c r="W865" s="265">
        <f t="shared" si="410"/>
        <v>0</v>
      </c>
      <c r="X865" s="291">
        <f t="shared" si="414"/>
        <v>-55.65</v>
      </c>
      <c r="Y865" s="170">
        <f t="shared" si="411"/>
        <v>18.850000000000001</v>
      </c>
      <c r="Z865" s="291">
        <f t="shared" si="412"/>
        <v>-18.850000000000001</v>
      </c>
      <c r="AC865" s="276">
        <f>IF(AI865=1,IF(AC864=MiscData!$F$1,EOMONTH(AC864,-11),EOMONTH(AC864,1)),AC864)</f>
        <v>42004</v>
      </c>
      <c r="AD865" s="275" t="str">
        <f t="shared" si="398"/>
        <v>20140101LGUM_458</v>
      </c>
      <c r="AE865" s="294" t="str">
        <f t="shared" si="399"/>
        <v>20140101RLS</v>
      </c>
      <c r="AF865" s="618" t="str">
        <f t="shared" si="415"/>
        <v>458</v>
      </c>
      <c r="AH865" s="265">
        <f>MiscData!$X$5</f>
        <v>20140101</v>
      </c>
      <c r="AI865" s="265">
        <f>IF(AI864+1&gt;MiscData!$AC$77,1,AI864+1)</f>
        <v>59</v>
      </c>
      <c r="AJ865" s="265" t="str">
        <f>VLOOKUP(AI865,MiscData!$AC$5:$AD$77,2,FALSE)</f>
        <v>LGUM_458</v>
      </c>
      <c r="AK865" s="265" t="str">
        <f>VLOOKUP(AJ865,MiscData!$AD$5:$AE$77,2,FALSE)</f>
        <v>RLS</v>
      </c>
      <c r="AT865" s="265" t="s">
        <v>222</v>
      </c>
      <c r="AV865" s="265">
        <v>0</v>
      </c>
    </row>
    <row r="866" spans="1:48">
      <c r="A866" s="275">
        <f t="shared" si="416"/>
        <v>851</v>
      </c>
      <c r="B866" s="276" t="str">
        <f t="shared" si="395"/>
        <v>Dec 2014</v>
      </c>
      <c r="C866" s="277" t="str">
        <f t="shared" si="396"/>
        <v xml:space="preserve">LS </v>
      </c>
      <c r="D866" s="277" t="str">
        <f t="shared" si="397"/>
        <v>LGUM_470</v>
      </c>
      <c r="E866" s="614">
        <f t="shared" si="401"/>
        <v>19</v>
      </c>
      <c r="F866" s="615">
        <v>0</v>
      </c>
      <c r="G866" s="614">
        <f t="shared" si="400"/>
        <v>0</v>
      </c>
      <c r="H866" s="615">
        <v>0</v>
      </c>
      <c r="I866" s="283">
        <f t="shared" si="402"/>
        <v>12.79</v>
      </c>
      <c r="J866" s="283">
        <f t="shared" si="403"/>
        <v>1.3699999999999992</v>
      </c>
      <c r="K866" s="285">
        <f t="shared" si="404"/>
        <v>243.01</v>
      </c>
      <c r="L866" s="286">
        <v>0</v>
      </c>
      <c r="M866" s="286">
        <v>0</v>
      </c>
      <c r="N866" s="285">
        <f t="shared" si="417"/>
        <v>243.01</v>
      </c>
      <c r="O866" s="616">
        <f t="shared" si="391"/>
        <v>0</v>
      </c>
      <c r="P866" s="289">
        <f t="shared" si="418"/>
        <v>0</v>
      </c>
      <c r="Q866" s="290">
        <f t="shared" si="405"/>
        <v>0</v>
      </c>
      <c r="R866" s="290">
        <f t="shared" si="406"/>
        <v>0</v>
      </c>
      <c r="S866" s="290">
        <f t="shared" si="407"/>
        <v>0</v>
      </c>
      <c r="T866" s="290">
        <f t="shared" si="408"/>
        <v>0</v>
      </c>
      <c r="U866" s="291">
        <f t="shared" si="409"/>
        <v>243.01</v>
      </c>
      <c r="V866" s="291">
        <f t="shared" si="413"/>
        <v>-243.01</v>
      </c>
      <c r="W866" s="265">
        <f t="shared" si="410"/>
        <v>0</v>
      </c>
      <c r="X866" s="291">
        <f t="shared" si="414"/>
        <v>-243.01</v>
      </c>
      <c r="Y866" s="170">
        <f t="shared" si="411"/>
        <v>26.03</v>
      </c>
      <c r="Z866" s="291">
        <f t="shared" si="412"/>
        <v>-26.03</v>
      </c>
      <c r="AC866" s="276">
        <f>IF(AI866=1,IF(AC865=MiscData!$F$1,EOMONTH(AC865,-11),EOMONTH(AC865,1)),AC865)</f>
        <v>42004</v>
      </c>
      <c r="AD866" s="275" t="str">
        <f t="shared" si="398"/>
        <v>20140101LGUM_470</v>
      </c>
      <c r="AE866" s="294" t="str">
        <f t="shared" si="399"/>
        <v xml:space="preserve">20140101LS </v>
      </c>
      <c r="AF866" s="618" t="str">
        <f t="shared" si="415"/>
        <v>470</v>
      </c>
      <c r="AH866" s="265">
        <f>MiscData!$X$5</f>
        <v>20140101</v>
      </c>
      <c r="AI866" s="265">
        <f>IF(AI865+1&gt;MiscData!$AC$77,1,AI865+1)</f>
        <v>60</v>
      </c>
      <c r="AJ866" s="265" t="str">
        <f>VLOOKUP(AI866,MiscData!$AC$5:$AD$77,2,FALSE)</f>
        <v>LGUM_470</v>
      </c>
      <c r="AK866" s="265" t="str">
        <f>VLOOKUP(AJ866,MiscData!$AD$5:$AE$77,2,FALSE)</f>
        <v xml:space="preserve">LS </v>
      </c>
      <c r="AT866" s="265" t="s">
        <v>223</v>
      </c>
      <c r="AV866" s="265">
        <v>-96.84</v>
      </c>
    </row>
    <row r="867" spans="1:48">
      <c r="A867" s="275">
        <f t="shared" si="416"/>
        <v>852</v>
      </c>
      <c r="B867" s="276" t="str">
        <f t="shared" si="395"/>
        <v>Dec 2014</v>
      </c>
      <c r="C867" s="277" t="str">
        <f t="shared" si="396"/>
        <v>RLS</v>
      </c>
      <c r="D867" s="277" t="str">
        <f t="shared" si="397"/>
        <v>LGUM_471</v>
      </c>
      <c r="E867" s="614">
        <f t="shared" si="401"/>
        <v>2</v>
      </c>
      <c r="F867" s="615">
        <v>0</v>
      </c>
      <c r="G867" s="614">
        <f t="shared" si="400"/>
        <v>0</v>
      </c>
      <c r="H867" s="615">
        <v>0</v>
      </c>
      <c r="I867" s="283">
        <f t="shared" si="402"/>
        <v>15.07</v>
      </c>
      <c r="J867" s="283">
        <f t="shared" si="403"/>
        <v>1.3699999999999992</v>
      </c>
      <c r="K867" s="285">
        <f t="shared" si="404"/>
        <v>30.14</v>
      </c>
      <c r="L867" s="286">
        <v>0</v>
      </c>
      <c r="M867" s="286">
        <v>0</v>
      </c>
      <c r="N867" s="285">
        <f t="shared" si="417"/>
        <v>30.14</v>
      </c>
      <c r="O867" s="616">
        <f t="shared" si="391"/>
        <v>0</v>
      </c>
      <c r="P867" s="289">
        <f t="shared" si="418"/>
        <v>0</v>
      </c>
      <c r="Q867" s="290">
        <f t="shared" si="405"/>
        <v>0</v>
      </c>
      <c r="R867" s="290">
        <f t="shared" si="406"/>
        <v>0</v>
      </c>
      <c r="S867" s="290">
        <f t="shared" si="407"/>
        <v>0</v>
      </c>
      <c r="T867" s="290">
        <f t="shared" si="408"/>
        <v>0</v>
      </c>
      <c r="U867" s="291">
        <f t="shared" si="409"/>
        <v>30.14</v>
      </c>
      <c r="V867" s="291">
        <f t="shared" si="413"/>
        <v>-30.14</v>
      </c>
      <c r="W867" s="265">
        <f t="shared" si="410"/>
        <v>0</v>
      </c>
      <c r="X867" s="291">
        <f t="shared" si="414"/>
        <v>-30.14</v>
      </c>
      <c r="Y867" s="170">
        <f t="shared" si="411"/>
        <v>2.74</v>
      </c>
      <c r="Z867" s="291">
        <f t="shared" si="412"/>
        <v>-2.74</v>
      </c>
      <c r="AC867" s="276">
        <f>IF(AI867=1,IF(AC866=MiscData!$F$1,EOMONTH(AC866,-11),EOMONTH(AC866,1)),AC866)</f>
        <v>42004</v>
      </c>
      <c r="AD867" s="275" t="str">
        <f t="shared" si="398"/>
        <v>20140101LGUM_471</v>
      </c>
      <c r="AE867" s="294" t="str">
        <f t="shared" si="399"/>
        <v>20140101RLS</v>
      </c>
      <c r="AF867" s="618" t="str">
        <f t="shared" si="415"/>
        <v>471</v>
      </c>
      <c r="AH867" s="265">
        <f>MiscData!$X$5</f>
        <v>20140101</v>
      </c>
      <c r="AI867" s="265">
        <f>IF(AI866+1&gt;MiscData!$AC$77,1,AI866+1)</f>
        <v>61</v>
      </c>
      <c r="AJ867" s="265" t="str">
        <f>VLOOKUP(AI867,MiscData!$AC$5:$AD$77,2,FALSE)</f>
        <v>LGUM_471</v>
      </c>
      <c r="AK867" s="265" t="str">
        <f>VLOOKUP(AJ867,MiscData!$AD$5:$AE$77,2,FALSE)</f>
        <v>RLS</v>
      </c>
      <c r="AT867" s="265" t="s">
        <v>224</v>
      </c>
      <c r="AV867" s="265">
        <v>-215.13</v>
      </c>
    </row>
    <row r="868" spans="1:48">
      <c r="A868" s="275">
        <f t="shared" si="416"/>
        <v>853</v>
      </c>
      <c r="B868" s="276" t="str">
        <f t="shared" si="395"/>
        <v>Dec 2014</v>
      </c>
      <c r="C868" s="277" t="str">
        <f t="shared" si="396"/>
        <v xml:space="preserve">LS </v>
      </c>
      <c r="D868" s="277" t="str">
        <f t="shared" si="397"/>
        <v>LGUM_473</v>
      </c>
      <c r="E868" s="614">
        <f t="shared" si="401"/>
        <v>281</v>
      </c>
      <c r="F868" s="615">
        <v>0</v>
      </c>
      <c r="G868" s="614">
        <f t="shared" si="400"/>
        <v>0</v>
      </c>
      <c r="H868" s="615">
        <v>0</v>
      </c>
      <c r="I868" s="283">
        <f t="shared" si="402"/>
        <v>18.68</v>
      </c>
      <c r="J868" s="283">
        <f t="shared" si="403"/>
        <v>3.1799999999999979</v>
      </c>
      <c r="K868" s="285">
        <f t="shared" si="404"/>
        <v>5249.08</v>
      </c>
      <c r="L868" s="286">
        <v>0</v>
      </c>
      <c r="M868" s="286">
        <v>0</v>
      </c>
      <c r="N868" s="285">
        <f t="shared" si="417"/>
        <v>5249.08</v>
      </c>
      <c r="O868" s="616">
        <f t="shared" si="391"/>
        <v>0</v>
      </c>
      <c r="P868" s="289">
        <f t="shared" si="418"/>
        <v>0</v>
      </c>
      <c r="Q868" s="290">
        <f t="shared" si="405"/>
        <v>0</v>
      </c>
      <c r="R868" s="290">
        <f t="shared" si="406"/>
        <v>0</v>
      </c>
      <c r="S868" s="290">
        <f t="shared" si="407"/>
        <v>0</v>
      </c>
      <c r="T868" s="290">
        <f t="shared" si="408"/>
        <v>0</v>
      </c>
      <c r="U868" s="291">
        <f t="shared" si="409"/>
        <v>5249.08</v>
      </c>
      <c r="V868" s="291">
        <f t="shared" si="413"/>
        <v>-5249.08</v>
      </c>
      <c r="W868" s="265">
        <f t="shared" si="410"/>
        <v>0</v>
      </c>
      <c r="X868" s="291">
        <f t="shared" si="414"/>
        <v>-5249.08</v>
      </c>
      <c r="Y868" s="170">
        <f t="shared" si="411"/>
        <v>893.58</v>
      </c>
      <c r="Z868" s="291">
        <f t="shared" si="412"/>
        <v>-893.58</v>
      </c>
      <c r="AC868" s="276">
        <f>IF(AI868=1,IF(AC867=MiscData!$F$1,EOMONTH(AC867,-11),EOMONTH(AC867,1)),AC867)</f>
        <v>42004</v>
      </c>
      <c r="AD868" s="275" t="str">
        <f t="shared" si="398"/>
        <v>20140101LGUM_473</v>
      </c>
      <c r="AE868" s="294" t="str">
        <f t="shared" si="399"/>
        <v xml:space="preserve">20140101LS </v>
      </c>
      <c r="AF868" s="618" t="str">
        <f t="shared" si="415"/>
        <v>473</v>
      </c>
      <c r="AH868" s="265">
        <f>MiscData!$X$5</f>
        <v>20140101</v>
      </c>
      <c r="AI868" s="265">
        <f>IF(AI867+1&gt;MiscData!$AC$77,1,AI867+1)</f>
        <v>62</v>
      </c>
      <c r="AJ868" s="265" t="str">
        <f>VLOOKUP(AI868,MiscData!$AC$5:$AD$77,2,FALSE)</f>
        <v>LGUM_473</v>
      </c>
      <c r="AK868" s="265" t="str">
        <f>VLOOKUP(AJ868,MiscData!$AD$5:$AE$77,2,FALSE)</f>
        <v xml:space="preserve">LS </v>
      </c>
      <c r="AT868" s="265" t="s">
        <v>225</v>
      </c>
      <c r="AV868" s="265">
        <v>0</v>
      </c>
    </row>
    <row r="869" spans="1:48">
      <c r="A869" s="275">
        <f t="shared" si="416"/>
        <v>854</v>
      </c>
      <c r="B869" s="276" t="str">
        <f t="shared" si="395"/>
        <v>Dec 2014</v>
      </c>
      <c r="C869" s="277" t="str">
        <f t="shared" si="396"/>
        <v>RLS</v>
      </c>
      <c r="D869" s="277" t="str">
        <f t="shared" si="397"/>
        <v>LGUM_474</v>
      </c>
      <c r="E869" s="614">
        <f t="shared" si="401"/>
        <v>52</v>
      </c>
      <c r="F869" s="615">
        <v>0</v>
      </c>
      <c r="G869" s="614">
        <f t="shared" si="400"/>
        <v>0</v>
      </c>
      <c r="H869" s="615">
        <v>0</v>
      </c>
      <c r="I869" s="283">
        <f t="shared" si="402"/>
        <v>20.970000000000002</v>
      </c>
      <c r="J869" s="283">
        <f t="shared" si="403"/>
        <v>3.1799999999999997</v>
      </c>
      <c r="K869" s="285">
        <f t="shared" si="404"/>
        <v>1090.44</v>
      </c>
      <c r="L869" s="286">
        <v>0</v>
      </c>
      <c r="M869" s="286">
        <v>0</v>
      </c>
      <c r="N869" s="285">
        <f t="shared" si="417"/>
        <v>1090.44</v>
      </c>
      <c r="O869" s="616">
        <f t="shared" si="391"/>
        <v>0</v>
      </c>
      <c r="P869" s="289">
        <f t="shared" si="418"/>
        <v>0</v>
      </c>
      <c r="Q869" s="290">
        <f t="shared" si="405"/>
        <v>0</v>
      </c>
      <c r="R869" s="290">
        <f t="shared" si="406"/>
        <v>0</v>
      </c>
      <c r="S869" s="290">
        <f t="shared" si="407"/>
        <v>0</v>
      </c>
      <c r="T869" s="290">
        <f t="shared" si="408"/>
        <v>0</v>
      </c>
      <c r="U869" s="291">
        <f t="shared" si="409"/>
        <v>1090.44</v>
      </c>
      <c r="V869" s="291">
        <f t="shared" si="413"/>
        <v>-1090.44</v>
      </c>
      <c r="W869" s="265">
        <f t="shared" si="410"/>
        <v>0</v>
      </c>
      <c r="X869" s="291">
        <f t="shared" si="414"/>
        <v>-1090.44</v>
      </c>
      <c r="Y869" s="170">
        <f t="shared" si="411"/>
        <v>165.36</v>
      </c>
      <c r="Z869" s="291">
        <f t="shared" si="412"/>
        <v>-165.36</v>
      </c>
      <c r="AC869" s="276">
        <f>IF(AI869=1,IF(AC868=MiscData!$F$1,EOMONTH(AC868,-11),EOMONTH(AC868,1)),AC868)</f>
        <v>42004</v>
      </c>
      <c r="AD869" s="275" t="str">
        <f t="shared" si="398"/>
        <v>20140101LGUM_474</v>
      </c>
      <c r="AE869" s="294" t="str">
        <f t="shared" si="399"/>
        <v>20140101RLS</v>
      </c>
      <c r="AF869" s="618" t="str">
        <f t="shared" si="415"/>
        <v>474</v>
      </c>
      <c r="AH869" s="265">
        <f>MiscData!$X$5</f>
        <v>20140101</v>
      </c>
      <c r="AI869" s="265">
        <f>IF(AI868+1&gt;MiscData!$AC$77,1,AI868+1)</f>
        <v>63</v>
      </c>
      <c r="AJ869" s="265" t="str">
        <f>VLOOKUP(AI869,MiscData!$AC$5:$AD$77,2,FALSE)</f>
        <v>LGUM_474</v>
      </c>
      <c r="AK869" s="265" t="str">
        <f>VLOOKUP(AJ869,MiscData!$AD$5:$AE$77,2,FALSE)</f>
        <v>RLS</v>
      </c>
      <c r="AT869" s="265" t="s">
        <v>226</v>
      </c>
      <c r="AV869" s="265">
        <v>-126</v>
      </c>
    </row>
    <row r="870" spans="1:48">
      <c r="A870" s="275">
        <f t="shared" si="416"/>
        <v>855</v>
      </c>
      <c r="B870" s="276" t="str">
        <f t="shared" si="395"/>
        <v>Dec 2014</v>
      </c>
      <c r="C870" s="277" t="str">
        <f t="shared" si="396"/>
        <v>RLS</v>
      </c>
      <c r="D870" s="277" t="str">
        <f t="shared" si="397"/>
        <v>LGUM_475</v>
      </c>
      <c r="E870" s="614">
        <f t="shared" si="401"/>
        <v>2</v>
      </c>
      <c r="F870" s="615">
        <v>0</v>
      </c>
      <c r="G870" s="614">
        <f t="shared" si="400"/>
        <v>0</v>
      </c>
      <c r="H870" s="615">
        <v>0</v>
      </c>
      <c r="I870" s="283">
        <f t="shared" si="402"/>
        <v>28.42</v>
      </c>
      <c r="J870" s="283">
        <f t="shared" si="403"/>
        <v>3.1800000000000033</v>
      </c>
      <c r="K870" s="285">
        <f t="shared" si="404"/>
        <v>56.84</v>
      </c>
      <c r="L870" s="286">
        <v>0</v>
      </c>
      <c r="M870" s="286">
        <v>0</v>
      </c>
      <c r="N870" s="285">
        <f t="shared" si="417"/>
        <v>56.84</v>
      </c>
      <c r="O870" s="616">
        <f t="shared" si="391"/>
        <v>0</v>
      </c>
      <c r="P870" s="289">
        <f t="shared" si="418"/>
        <v>0</v>
      </c>
      <c r="Q870" s="290">
        <f t="shared" si="405"/>
        <v>0</v>
      </c>
      <c r="R870" s="290">
        <f t="shared" si="406"/>
        <v>0</v>
      </c>
      <c r="S870" s="290">
        <f t="shared" si="407"/>
        <v>0</v>
      </c>
      <c r="T870" s="290">
        <f t="shared" si="408"/>
        <v>0</v>
      </c>
      <c r="U870" s="291">
        <f t="shared" si="409"/>
        <v>56.84</v>
      </c>
      <c r="V870" s="291">
        <f t="shared" si="413"/>
        <v>-56.84</v>
      </c>
      <c r="W870" s="265">
        <f t="shared" si="410"/>
        <v>0</v>
      </c>
      <c r="X870" s="291">
        <f t="shared" si="414"/>
        <v>-56.84</v>
      </c>
      <c r="Y870" s="170">
        <f t="shared" si="411"/>
        <v>6.36</v>
      </c>
      <c r="Z870" s="291">
        <f t="shared" si="412"/>
        <v>-6.36</v>
      </c>
      <c r="AC870" s="276">
        <f>IF(AI870=1,IF(AC869=MiscData!$F$1,EOMONTH(AC869,-11),EOMONTH(AC869,1)),AC869)</f>
        <v>42004</v>
      </c>
      <c r="AD870" s="275" t="str">
        <f t="shared" si="398"/>
        <v>20140101LGUM_475</v>
      </c>
      <c r="AE870" s="294" t="str">
        <f t="shared" si="399"/>
        <v>20140101RLS</v>
      </c>
      <c r="AF870" s="618" t="str">
        <f t="shared" si="415"/>
        <v>475</v>
      </c>
      <c r="AH870" s="265">
        <f>MiscData!$X$5</f>
        <v>20140101</v>
      </c>
      <c r="AI870" s="265">
        <f>IF(AI869+1&gt;MiscData!$AC$77,1,AI869+1)</f>
        <v>64</v>
      </c>
      <c r="AJ870" s="265" t="str">
        <f>VLOOKUP(AI870,MiscData!$AC$5:$AD$77,2,FALSE)</f>
        <v>LGUM_475</v>
      </c>
      <c r="AK870" s="265" t="str">
        <f>VLOOKUP(AJ870,MiscData!$AD$5:$AE$77,2,FALSE)</f>
        <v>RLS</v>
      </c>
      <c r="AT870" s="265" t="s">
        <v>227</v>
      </c>
      <c r="AV870" s="265">
        <v>-6.67</v>
      </c>
    </row>
    <row r="871" spans="1:48">
      <c r="A871" s="275">
        <f t="shared" si="416"/>
        <v>856</v>
      </c>
      <c r="B871" s="276" t="str">
        <f t="shared" si="395"/>
        <v>Dec 2014</v>
      </c>
      <c r="C871" s="277" t="str">
        <f t="shared" si="396"/>
        <v xml:space="preserve">LS </v>
      </c>
      <c r="D871" s="277" t="str">
        <f t="shared" si="397"/>
        <v>LGUM_476</v>
      </c>
      <c r="E871" s="614">
        <f t="shared" si="401"/>
        <v>356</v>
      </c>
      <c r="F871" s="615">
        <v>0</v>
      </c>
      <c r="G871" s="614">
        <f t="shared" si="400"/>
        <v>0</v>
      </c>
      <c r="H871" s="615">
        <v>0</v>
      </c>
      <c r="I871" s="283">
        <f t="shared" si="402"/>
        <v>39.6</v>
      </c>
      <c r="J871" s="283">
        <f t="shared" si="403"/>
        <v>9.8100000000000023</v>
      </c>
      <c r="K871" s="285">
        <f t="shared" si="404"/>
        <v>14097.6</v>
      </c>
      <c r="L871" s="286">
        <v>0</v>
      </c>
      <c r="M871" s="286">
        <v>0</v>
      </c>
      <c r="N871" s="285">
        <f t="shared" si="417"/>
        <v>14097.6</v>
      </c>
      <c r="O871" s="616">
        <f t="shared" si="391"/>
        <v>0</v>
      </c>
      <c r="P871" s="289">
        <f t="shared" si="418"/>
        <v>0</v>
      </c>
      <c r="Q871" s="290">
        <f t="shared" si="405"/>
        <v>0</v>
      </c>
      <c r="R871" s="290">
        <f t="shared" si="406"/>
        <v>0</v>
      </c>
      <c r="S871" s="290">
        <f t="shared" si="407"/>
        <v>0</v>
      </c>
      <c r="T871" s="290">
        <f t="shared" si="408"/>
        <v>0</v>
      </c>
      <c r="U871" s="291">
        <f t="shared" si="409"/>
        <v>14097.6</v>
      </c>
      <c r="V871" s="291">
        <f t="shared" si="413"/>
        <v>-14097.6</v>
      </c>
      <c r="W871" s="265">
        <f t="shared" si="410"/>
        <v>0</v>
      </c>
      <c r="X871" s="291">
        <f t="shared" si="414"/>
        <v>-14097.6</v>
      </c>
      <c r="Y871" s="170">
        <f t="shared" si="411"/>
        <v>3492.36</v>
      </c>
      <c r="Z871" s="291">
        <f t="shared" si="412"/>
        <v>-3492.36</v>
      </c>
      <c r="AC871" s="276">
        <f>IF(AI871=1,IF(AC870=MiscData!$F$1,EOMONTH(AC870,-11),EOMONTH(AC870,1)),AC870)</f>
        <v>42004</v>
      </c>
      <c r="AD871" s="275" t="str">
        <f t="shared" si="398"/>
        <v>20140101LGUM_476</v>
      </c>
      <c r="AE871" s="294" t="str">
        <f t="shared" si="399"/>
        <v xml:space="preserve">20140101LS </v>
      </c>
      <c r="AF871" s="618" t="str">
        <f t="shared" si="415"/>
        <v>476</v>
      </c>
      <c r="AH871" s="265">
        <f>MiscData!$X$5</f>
        <v>20140101</v>
      </c>
      <c r="AI871" s="265">
        <f>IF(AI870+1&gt;MiscData!$AC$77,1,AI870+1)</f>
        <v>65</v>
      </c>
      <c r="AJ871" s="265" t="str">
        <f>VLOOKUP(AI871,MiscData!$AC$5:$AD$77,2,FALSE)</f>
        <v>LGUM_476</v>
      </c>
      <c r="AK871" s="265" t="str">
        <f>VLOOKUP(AJ871,MiscData!$AD$5:$AE$77,2,FALSE)</f>
        <v xml:space="preserve">LS </v>
      </c>
      <c r="AT871" s="265" t="s">
        <v>228</v>
      </c>
      <c r="AV871" s="265">
        <v>-5.74</v>
      </c>
    </row>
    <row r="872" spans="1:48">
      <c r="A872" s="275">
        <f t="shared" si="416"/>
        <v>857</v>
      </c>
      <c r="B872" s="276" t="str">
        <f t="shared" si="395"/>
        <v>Dec 2014</v>
      </c>
      <c r="C872" s="277" t="str">
        <f t="shared" si="396"/>
        <v>RLS</v>
      </c>
      <c r="D872" s="277" t="str">
        <f t="shared" si="397"/>
        <v>LGUM_477</v>
      </c>
      <c r="E872" s="614">
        <f t="shared" si="401"/>
        <v>59</v>
      </c>
      <c r="F872" s="615">
        <v>0</v>
      </c>
      <c r="G872" s="614">
        <f t="shared" si="400"/>
        <v>0</v>
      </c>
      <c r="H872" s="615">
        <v>0</v>
      </c>
      <c r="I872" s="283">
        <f t="shared" si="402"/>
        <v>42.78</v>
      </c>
      <c r="J872" s="283">
        <f t="shared" si="403"/>
        <v>9.8100000000000023</v>
      </c>
      <c r="K872" s="285">
        <f t="shared" si="404"/>
        <v>2524.02</v>
      </c>
      <c r="L872" s="286">
        <v>0</v>
      </c>
      <c r="M872" s="286">
        <v>0</v>
      </c>
      <c r="N872" s="285">
        <f t="shared" si="417"/>
        <v>2524.02</v>
      </c>
      <c r="O872" s="616">
        <f t="shared" si="391"/>
        <v>0</v>
      </c>
      <c r="P872" s="289">
        <f t="shared" si="418"/>
        <v>0</v>
      </c>
      <c r="Q872" s="290">
        <f t="shared" si="405"/>
        <v>0</v>
      </c>
      <c r="R872" s="290">
        <f t="shared" si="406"/>
        <v>0</v>
      </c>
      <c r="S872" s="290">
        <f t="shared" si="407"/>
        <v>0</v>
      </c>
      <c r="T872" s="290">
        <f t="shared" si="408"/>
        <v>0</v>
      </c>
      <c r="U872" s="291">
        <f t="shared" si="409"/>
        <v>2524.02</v>
      </c>
      <c r="V872" s="291">
        <f t="shared" si="413"/>
        <v>-2524.02</v>
      </c>
      <c r="W872" s="265">
        <f t="shared" si="410"/>
        <v>0</v>
      </c>
      <c r="X872" s="291">
        <f t="shared" si="414"/>
        <v>-2524.02</v>
      </c>
      <c r="Y872" s="170">
        <f t="shared" si="411"/>
        <v>578.79</v>
      </c>
      <c r="Z872" s="291">
        <f t="shared" si="412"/>
        <v>-578.79</v>
      </c>
      <c r="AC872" s="276">
        <f>IF(AI872=1,IF(AC871=MiscData!$F$1,EOMONTH(AC871,-11),EOMONTH(AC871,1)),AC871)</f>
        <v>42004</v>
      </c>
      <c r="AD872" s="275" t="str">
        <f t="shared" si="398"/>
        <v>20140101LGUM_477</v>
      </c>
      <c r="AE872" s="294" t="str">
        <f t="shared" si="399"/>
        <v>20140101RLS</v>
      </c>
      <c r="AF872" s="618" t="str">
        <f t="shared" si="415"/>
        <v>477</v>
      </c>
      <c r="AH872" s="265">
        <f>MiscData!$X$5</f>
        <v>20140101</v>
      </c>
      <c r="AI872" s="265">
        <f>IF(AI871+1&gt;MiscData!$AC$77,1,AI871+1)</f>
        <v>66</v>
      </c>
      <c r="AJ872" s="265" t="str">
        <f>VLOOKUP(AI872,MiscData!$AC$5:$AD$77,2,FALSE)</f>
        <v>LGUM_477</v>
      </c>
      <c r="AK872" s="265" t="str">
        <f>VLOOKUP(AJ872,MiscData!$AD$5:$AE$77,2,FALSE)</f>
        <v>RLS</v>
      </c>
      <c r="AT872" s="265" t="s">
        <v>229</v>
      </c>
      <c r="AV872" s="265">
        <v>-68.48</v>
      </c>
    </row>
    <row r="873" spans="1:48">
      <c r="A873" s="275">
        <f t="shared" si="416"/>
        <v>858</v>
      </c>
      <c r="B873" s="276" t="str">
        <f t="shared" si="395"/>
        <v>Dec 2014</v>
      </c>
      <c r="C873" s="277" t="str">
        <f t="shared" si="396"/>
        <v xml:space="preserve">LS </v>
      </c>
      <c r="D873" s="277" t="str">
        <f t="shared" si="397"/>
        <v>LGUM_479</v>
      </c>
      <c r="E873" s="614">
        <f t="shared" si="401"/>
        <v>0</v>
      </c>
      <c r="F873" s="615">
        <v>0</v>
      </c>
      <c r="G873" s="614">
        <f t="shared" si="400"/>
        <v>0</v>
      </c>
      <c r="H873" s="615">
        <v>0</v>
      </c>
      <c r="I873" s="283">
        <f t="shared" si="402"/>
        <v>14.06</v>
      </c>
      <c r="J873" s="283">
        <f t="shared" si="403"/>
        <v>1.370000000000001</v>
      </c>
      <c r="K873" s="285">
        <f t="shared" si="404"/>
        <v>0</v>
      </c>
      <c r="L873" s="286">
        <v>0</v>
      </c>
      <c r="M873" s="286">
        <v>0</v>
      </c>
      <c r="N873" s="285">
        <f t="shared" si="417"/>
        <v>0</v>
      </c>
      <c r="O873" s="616">
        <f t="shared" si="391"/>
        <v>0</v>
      </c>
      <c r="P873" s="289">
        <f t="shared" si="418"/>
        <v>1</v>
      </c>
      <c r="Q873" s="290">
        <f t="shared" si="405"/>
        <v>0</v>
      </c>
      <c r="R873" s="290">
        <f t="shared" si="406"/>
        <v>0</v>
      </c>
      <c r="S873" s="290">
        <f t="shared" si="407"/>
        <v>0</v>
      </c>
      <c r="T873" s="290">
        <f t="shared" si="408"/>
        <v>0</v>
      </c>
      <c r="U873" s="291">
        <f t="shared" si="409"/>
        <v>0</v>
      </c>
      <c r="V873" s="291">
        <f t="shared" si="413"/>
        <v>0</v>
      </c>
      <c r="W873" s="265">
        <f t="shared" si="410"/>
        <v>0</v>
      </c>
      <c r="X873" s="291">
        <f t="shared" si="414"/>
        <v>0</v>
      </c>
      <c r="Y873" s="170">
        <f t="shared" si="411"/>
        <v>0</v>
      </c>
      <c r="Z873" s="291">
        <f t="shared" si="412"/>
        <v>0</v>
      </c>
      <c r="AC873" s="276">
        <f>IF(AI873=1,IF(AC872=MiscData!$F$1,EOMONTH(AC872,-11),EOMONTH(AC872,1)),AC872)</f>
        <v>42004</v>
      </c>
      <c r="AD873" s="275" t="str">
        <f t="shared" si="398"/>
        <v>20140101LGUM_479</v>
      </c>
      <c r="AE873" s="294" t="str">
        <f t="shared" si="399"/>
        <v xml:space="preserve">20140101LS </v>
      </c>
      <c r="AF873" s="618" t="str">
        <f t="shared" si="415"/>
        <v>479</v>
      </c>
      <c r="AH873" s="265">
        <f>MiscData!$X$5</f>
        <v>20140101</v>
      </c>
      <c r="AI873" s="265">
        <f>IF(AI872+1&gt;MiscData!$AC$77,1,AI872+1)</f>
        <v>67</v>
      </c>
      <c r="AJ873" s="265" t="str">
        <f>VLOOKUP(AI873,MiscData!$AC$5:$AD$77,2,FALSE)</f>
        <v>LGUM_479</v>
      </c>
      <c r="AK873" s="265" t="str">
        <f>VLOOKUP(AJ873,MiscData!$AD$5:$AE$77,2,FALSE)</f>
        <v xml:space="preserve">LS </v>
      </c>
      <c r="AT873" s="265" t="s">
        <v>230</v>
      </c>
      <c r="AV873" s="265">
        <v>0</v>
      </c>
    </row>
    <row r="874" spans="1:48">
      <c r="A874" s="275">
        <f t="shared" si="416"/>
        <v>859</v>
      </c>
      <c r="B874" s="276" t="str">
        <f t="shared" si="395"/>
        <v>Dec 2014</v>
      </c>
      <c r="C874" s="277" t="str">
        <f t="shared" si="396"/>
        <v xml:space="preserve">LS </v>
      </c>
      <c r="D874" s="277" t="str">
        <f t="shared" si="397"/>
        <v>LGUM_480</v>
      </c>
      <c r="E874" s="614">
        <f t="shared" si="401"/>
        <v>17</v>
      </c>
      <c r="F874" s="615">
        <v>0</v>
      </c>
      <c r="G874" s="614">
        <f t="shared" si="400"/>
        <v>0</v>
      </c>
      <c r="H874" s="615">
        <v>0</v>
      </c>
      <c r="I874" s="283">
        <f t="shared" si="402"/>
        <v>23.83</v>
      </c>
      <c r="J874" s="283">
        <f t="shared" si="403"/>
        <v>1.370000000000001</v>
      </c>
      <c r="K874" s="285">
        <f t="shared" si="404"/>
        <v>405.11</v>
      </c>
      <c r="L874" s="286">
        <v>0</v>
      </c>
      <c r="M874" s="286">
        <v>0</v>
      </c>
      <c r="N874" s="285">
        <f t="shared" si="417"/>
        <v>405.11</v>
      </c>
      <c r="O874" s="616">
        <f t="shared" si="391"/>
        <v>0</v>
      </c>
      <c r="P874" s="289">
        <f t="shared" si="418"/>
        <v>0</v>
      </c>
      <c r="Q874" s="290">
        <f t="shared" si="405"/>
        <v>0</v>
      </c>
      <c r="R874" s="290">
        <f t="shared" si="406"/>
        <v>0</v>
      </c>
      <c r="S874" s="290">
        <f t="shared" si="407"/>
        <v>0</v>
      </c>
      <c r="T874" s="290">
        <f t="shared" si="408"/>
        <v>0</v>
      </c>
      <c r="U874" s="291">
        <f t="shared" si="409"/>
        <v>405.11</v>
      </c>
      <c r="V874" s="291">
        <f t="shared" si="413"/>
        <v>-405.11</v>
      </c>
      <c r="W874" s="265">
        <f t="shared" si="410"/>
        <v>0</v>
      </c>
      <c r="X874" s="291">
        <f t="shared" si="414"/>
        <v>-405.11</v>
      </c>
      <c r="Y874" s="170">
        <f t="shared" si="411"/>
        <v>23.29</v>
      </c>
      <c r="Z874" s="291">
        <f t="shared" si="412"/>
        <v>-23.29</v>
      </c>
      <c r="AC874" s="276">
        <f>IF(AI874=1,IF(AC873=MiscData!$F$1,EOMONTH(AC873,-11),EOMONTH(AC873,1)),AC873)</f>
        <v>42004</v>
      </c>
      <c r="AD874" s="275" t="str">
        <f t="shared" si="398"/>
        <v>20140101LGUM_480</v>
      </c>
      <c r="AE874" s="294" t="str">
        <f t="shared" si="399"/>
        <v xml:space="preserve">20140101LS </v>
      </c>
      <c r="AF874" s="618" t="str">
        <f t="shared" si="415"/>
        <v>480</v>
      </c>
      <c r="AH874" s="265">
        <f>MiscData!$X$5</f>
        <v>20140101</v>
      </c>
      <c r="AI874" s="265">
        <f>IF(AI873+1&gt;MiscData!$AC$77,1,AI873+1)</f>
        <v>68</v>
      </c>
      <c r="AJ874" s="265" t="str">
        <f>VLOOKUP(AI874,MiscData!$AC$5:$AD$77,2,FALSE)</f>
        <v>LGUM_480</v>
      </c>
      <c r="AK874" s="265" t="str">
        <f>VLOOKUP(AJ874,MiscData!$AD$5:$AE$77,2,FALSE)</f>
        <v xml:space="preserve">LS </v>
      </c>
      <c r="AT874" s="265" t="s">
        <v>231</v>
      </c>
      <c r="AV874" s="265">
        <v>0</v>
      </c>
    </row>
    <row r="875" spans="1:48">
      <c r="A875" s="275">
        <f t="shared" si="416"/>
        <v>860</v>
      </c>
      <c r="B875" s="276" t="str">
        <f t="shared" si="395"/>
        <v>Dec 2014</v>
      </c>
      <c r="C875" s="277" t="str">
        <f t="shared" si="396"/>
        <v xml:space="preserve">LS </v>
      </c>
      <c r="D875" s="277" t="str">
        <f t="shared" si="397"/>
        <v>LGUM_481</v>
      </c>
      <c r="E875" s="614">
        <f t="shared" si="401"/>
        <v>4</v>
      </c>
      <c r="F875" s="615">
        <v>0</v>
      </c>
      <c r="G875" s="614">
        <f t="shared" si="400"/>
        <v>0</v>
      </c>
      <c r="H875" s="615">
        <v>0</v>
      </c>
      <c r="I875" s="283">
        <f t="shared" si="402"/>
        <v>20.46</v>
      </c>
      <c r="J875" s="283">
        <f t="shared" si="403"/>
        <v>3.1800000000000033</v>
      </c>
      <c r="K875" s="285">
        <f t="shared" si="404"/>
        <v>81.84</v>
      </c>
      <c r="L875" s="286">
        <v>0</v>
      </c>
      <c r="M875" s="286">
        <v>0</v>
      </c>
      <c r="N875" s="285">
        <f t="shared" si="417"/>
        <v>81.84</v>
      </c>
      <c r="O875" s="616">
        <f t="shared" si="391"/>
        <v>0</v>
      </c>
      <c r="P875" s="289">
        <f t="shared" si="418"/>
        <v>0</v>
      </c>
      <c r="Q875" s="290">
        <f t="shared" si="405"/>
        <v>0</v>
      </c>
      <c r="R875" s="290">
        <f t="shared" si="406"/>
        <v>0</v>
      </c>
      <c r="S875" s="290">
        <f t="shared" si="407"/>
        <v>0</v>
      </c>
      <c r="T875" s="290">
        <f t="shared" si="408"/>
        <v>0</v>
      </c>
      <c r="U875" s="291">
        <f t="shared" si="409"/>
        <v>81.84</v>
      </c>
      <c r="V875" s="291">
        <f t="shared" si="413"/>
        <v>-81.84</v>
      </c>
      <c r="W875" s="265">
        <f t="shared" si="410"/>
        <v>0</v>
      </c>
      <c r="X875" s="291">
        <f t="shared" si="414"/>
        <v>-81.84</v>
      </c>
      <c r="Y875" s="170">
        <f t="shared" si="411"/>
        <v>12.72</v>
      </c>
      <c r="Z875" s="291">
        <f t="shared" si="412"/>
        <v>-12.72</v>
      </c>
      <c r="AC875" s="276">
        <f>IF(AI875=1,IF(AC874=MiscData!$F$1,EOMONTH(AC874,-11),EOMONTH(AC874,1)),AC874)</f>
        <v>42004</v>
      </c>
      <c r="AD875" s="275" t="str">
        <f t="shared" si="398"/>
        <v>20140101LGUM_481</v>
      </c>
      <c r="AE875" s="294" t="str">
        <f t="shared" si="399"/>
        <v xml:space="preserve">20140101LS </v>
      </c>
      <c r="AF875" s="618" t="str">
        <f t="shared" si="415"/>
        <v>481</v>
      </c>
      <c r="AH875" s="265">
        <f>MiscData!$X$5</f>
        <v>20140101</v>
      </c>
      <c r="AI875" s="265">
        <f>IF(AI874+1&gt;MiscData!$AC$77,1,AI874+1)</f>
        <v>69</v>
      </c>
      <c r="AJ875" s="265" t="str">
        <f>VLOOKUP(AI875,MiscData!$AC$5:$AD$77,2,FALSE)</f>
        <v>LGUM_481</v>
      </c>
      <c r="AK875" s="265" t="str">
        <f>VLOOKUP(AJ875,MiscData!$AD$5:$AE$77,2,FALSE)</f>
        <v xml:space="preserve">LS </v>
      </c>
      <c r="AT875" s="265" t="s">
        <v>232</v>
      </c>
      <c r="AV875" s="265">
        <v>0</v>
      </c>
    </row>
    <row r="876" spans="1:48">
      <c r="A876" s="275">
        <f t="shared" si="416"/>
        <v>861</v>
      </c>
      <c r="B876" s="276" t="str">
        <f t="shared" si="395"/>
        <v>Dec 2014</v>
      </c>
      <c r="C876" s="277" t="str">
        <f t="shared" si="396"/>
        <v xml:space="preserve">LS </v>
      </c>
      <c r="D876" s="277" t="str">
        <f t="shared" si="397"/>
        <v>LGUM_482</v>
      </c>
      <c r="E876" s="614">
        <f t="shared" si="401"/>
        <v>39</v>
      </c>
      <c r="F876" s="615">
        <v>0</v>
      </c>
      <c r="G876" s="614">
        <f t="shared" si="400"/>
        <v>0</v>
      </c>
      <c r="H876" s="615">
        <v>0</v>
      </c>
      <c r="I876" s="283">
        <f t="shared" si="402"/>
        <v>30.21</v>
      </c>
      <c r="J876" s="283">
        <f t="shared" si="403"/>
        <v>3.1800000000000033</v>
      </c>
      <c r="K876" s="285">
        <f t="shared" si="404"/>
        <v>1178.19</v>
      </c>
      <c r="L876" s="286">
        <v>0</v>
      </c>
      <c r="M876" s="286">
        <v>0</v>
      </c>
      <c r="N876" s="285">
        <f t="shared" si="417"/>
        <v>1178.19</v>
      </c>
      <c r="O876" s="616">
        <f t="shared" si="391"/>
        <v>0</v>
      </c>
      <c r="P876" s="289">
        <f t="shared" si="418"/>
        <v>0</v>
      </c>
      <c r="Q876" s="290">
        <f t="shared" si="405"/>
        <v>0</v>
      </c>
      <c r="R876" s="290">
        <f t="shared" si="406"/>
        <v>0</v>
      </c>
      <c r="S876" s="290">
        <f t="shared" si="407"/>
        <v>0</v>
      </c>
      <c r="T876" s="290">
        <f t="shared" si="408"/>
        <v>0</v>
      </c>
      <c r="U876" s="291">
        <f t="shared" si="409"/>
        <v>1178.19</v>
      </c>
      <c r="V876" s="291">
        <f>ROUND(T876-U876,2)</f>
        <v>-1178.19</v>
      </c>
      <c r="W876" s="265">
        <f t="shared" si="410"/>
        <v>0</v>
      </c>
      <c r="X876" s="291">
        <f t="shared" si="414"/>
        <v>-1178.19</v>
      </c>
      <c r="Y876" s="170">
        <f t="shared" si="411"/>
        <v>124.02</v>
      </c>
      <c r="Z876" s="291">
        <f t="shared" si="412"/>
        <v>-124.02</v>
      </c>
      <c r="AC876" s="276">
        <f>IF(AI876=1,IF(AC875=MiscData!$F$1,EOMONTH(AC875,-11),EOMONTH(AC875,1)),AC875)</f>
        <v>42004</v>
      </c>
      <c r="AD876" s="275" t="str">
        <f t="shared" si="398"/>
        <v>20140101LGUM_482</v>
      </c>
      <c r="AE876" s="294" t="str">
        <f t="shared" si="399"/>
        <v xml:space="preserve">20140101LS </v>
      </c>
      <c r="AF876" s="618" t="str">
        <f t="shared" si="415"/>
        <v>482</v>
      </c>
      <c r="AH876" s="265">
        <f>MiscData!$X$5</f>
        <v>20140101</v>
      </c>
      <c r="AI876" s="265">
        <f>IF(AI875+1&gt;MiscData!$AC$77,1,AI875+1)</f>
        <v>70</v>
      </c>
      <c r="AJ876" s="265" t="str">
        <f>VLOOKUP(AI876,MiscData!$AC$5:$AD$77,2,FALSE)</f>
        <v>LGUM_482</v>
      </c>
      <c r="AK876" s="265" t="str">
        <f>VLOOKUP(AJ876,MiscData!$AD$5:$AE$77,2,FALSE)</f>
        <v xml:space="preserve">LS </v>
      </c>
      <c r="AT876" s="265" t="s">
        <v>233</v>
      </c>
      <c r="AV876" s="265">
        <v>0</v>
      </c>
    </row>
    <row r="877" spans="1:48">
      <c r="A877" s="275">
        <f t="shared" si="416"/>
        <v>862</v>
      </c>
      <c r="B877" s="276" t="str">
        <f t="shared" si="395"/>
        <v>Dec 2014</v>
      </c>
      <c r="C877" s="277" t="str">
        <f t="shared" si="396"/>
        <v xml:space="preserve">LS </v>
      </c>
      <c r="D877" s="277" t="str">
        <f t="shared" si="397"/>
        <v>LGUM_483</v>
      </c>
      <c r="E877" s="614">
        <f t="shared" si="401"/>
        <v>2</v>
      </c>
      <c r="F877" s="615">
        <v>0</v>
      </c>
      <c r="G877" s="614">
        <f t="shared" si="400"/>
        <v>0</v>
      </c>
      <c r="H877" s="615">
        <v>0</v>
      </c>
      <c r="I877" s="283">
        <f t="shared" si="402"/>
        <v>42.56</v>
      </c>
      <c r="J877" s="283">
        <f t="shared" si="403"/>
        <v>9.8100000000000023</v>
      </c>
      <c r="K877" s="285">
        <f t="shared" si="404"/>
        <v>85.12</v>
      </c>
      <c r="L877" s="286">
        <v>0</v>
      </c>
      <c r="M877" s="286">
        <v>0</v>
      </c>
      <c r="N877" s="285">
        <f t="shared" si="417"/>
        <v>85.12</v>
      </c>
      <c r="O877" s="616">
        <f t="shared" si="391"/>
        <v>0</v>
      </c>
      <c r="P877" s="289">
        <f t="shared" si="418"/>
        <v>0</v>
      </c>
      <c r="Q877" s="290">
        <f t="shared" si="405"/>
        <v>0</v>
      </c>
      <c r="R877" s="290">
        <f t="shared" si="406"/>
        <v>0</v>
      </c>
      <c r="S877" s="290">
        <f t="shared" si="407"/>
        <v>0</v>
      </c>
      <c r="T877" s="290">
        <f t="shared" si="408"/>
        <v>0</v>
      </c>
      <c r="U877" s="291">
        <f t="shared" si="409"/>
        <v>85.12</v>
      </c>
      <c r="V877" s="291">
        <f t="shared" si="413"/>
        <v>-85.12</v>
      </c>
      <c r="W877" s="265">
        <f t="shared" si="410"/>
        <v>0</v>
      </c>
      <c r="X877" s="291">
        <f t="shared" si="414"/>
        <v>-85.12</v>
      </c>
      <c r="Y877" s="170">
        <f t="shared" si="411"/>
        <v>19.62</v>
      </c>
      <c r="Z877" s="291">
        <f t="shared" si="412"/>
        <v>-19.62</v>
      </c>
      <c r="AC877" s="276">
        <f>IF(AI877=1,IF(AC876=MiscData!$F$1,EOMONTH(AC876,-11),EOMONTH(AC876,1)),AC876)</f>
        <v>42004</v>
      </c>
      <c r="AD877" s="275" t="str">
        <f t="shared" si="398"/>
        <v>20140101LGUM_483</v>
      </c>
      <c r="AE877" s="294" t="str">
        <f t="shared" si="399"/>
        <v xml:space="preserve">20140101LS </v>
      </c>
      <c r="AF877" s="618" t="str">
        <f t="shared" si="415"/>
        <v>483</v>
      </c>
      <c r="AH877" s="265">
        <f>MiscData!$X$5</f>
        <v>20140101</v>
      </c>
      <c r="AI877" s="265">
        <f>IF(AI876+1&gt;MiscData!$AC$77,1,AI876+1)</f>
        <v>71</v>
      </c>
      <c r="AJ877" s="265" t="str">
        <f>VLOOKUP(AI877,MiscData!$AC$5:$AD$77,2,FALSE)</f>
        <v>LGUM_483</v>
      </c>
      <c r="AK877" s="265" t="str">
        <f>VLOOKUP(AJ877,MiscData!$AD$5:$AE$77,2,FALSE)</f>
        <v xml:space="preserve">LS </v>
      </c>
      <c r="AT877" s="265" t="s">
        <v>234</v>
      </c>
      <c r="AV877" s="265">
        <v>0</v>
      </c>
    </row>
    <row r="878" spans="1:48">
      <c r="A878" s="275">
        <f t="shared" si="416"/>
        <v>863</v>
      </c>
      <c r="B878" s="276" t="str">
        <f t="shared" si="395"/>
        <v>Dec 2014</v>
      </c>
      <c r="C878" s="277" t="str">
        <f t="shared" si="396"/>
        <v xml:space="preserve">LS </v>
      </c>
      <c r="D878" s="277" t="str">
        <f t="shared" si="397"/>
        <v>LGUM_484</v>
      </c>
      <c r="E878" s="614">
        <f t="shared" si="401"/>
        <v>13</v>
      </c>
      <c r="F878" s="615">
        <v>0</v>
      </c>
      <c r="G878" s="614">
        <f t="shared" si="400"/>
        <v>0</v>
      </c>
      <c r="H878" s="615">
        <v>0</v>
      </c>
      <c r="I878" s="283">
        <f t="shared" si="402"/>
        <v>52.31</v>
      </c>
      <c r="J878" s="283">
        <f t="shared" si="403"/>
        <v>9.8100000000000023</v>
      </c>
      <c r="K878" s="285">
        <f t="shared" si="404"/>
        <v>680.03</v>
      </c>
      <c r="L878" s="286">
        <v>0</v>
      </c>
      <c r="M878" s="286">
        <v>0</v>
      </c>
      <c r="N878" s="285">
        <f t="shared" si="417"/>
        <v>680.03</v>
      </c>
      <c r="O878" s="616">
        <f t="shared" si="391"/>
        <v>0</v>
      </c>
      <c r="P878" s="289">
        <f t="shared" si="418"/>
        <v>0</v>
      </c>
      <c r="Q878" s="290">
        <f t="shared" si="405"/>
        <v>0</v>
      </c>
      <c r="R878" s="290">
        <f t="shared" si="406"/>
        <v>0</v>
      </c>
      <c r="S878" s="290">
        <f t="shared" si="407"/>
        <v>0</v>
      </c>
      <c r="T878" s="290">
        <f t="shared" si="408"/>
        <v>0</v>
      </c>
      <c r="U878" s="291">
        <f>SUM(N878,Q878:S878)</f>
        <v>680.03</v>
      </c>
      <c r="V878" s="291">
        <f t="shared" si="413"/>
        <v>-680.03</v>
      </c>
      <c r="W878" s="265">
        <f t="shared" si="410"/>
        <v>0</v>
      </c>
      <c r="X878" s="291">
        <f t="shared" si="414"/>
        <v>-680.03</v>
      </c>
      <c r="Y878" s="170">
        <f t="shared" si="411"/>
        <v>127.53</v>
      </c>
      <c r="Z878" s="291">
        <f t="shared" si="412"/>
        <v>-127.53</v>
      </c>
      <c r="AC878" s="276">
        <f>IF(AI878=1,IF(AC877=MiscData!$F$1,EOMONTH(AC877,-11),EOMONTH(AC877,1)),AC877)</f>
        <v>42004</v>
      </c>
      <c r="AD878" s="275" t="str">
        <f t="shared" si="398"/>
        <v>20140101LGUM_484</v>
      </c>
      <c r="AE878" s="294" t="str">
        <f t="shared" si="399"/>
        <v xml:space="preserve">20140101LS </v>
      </c>
      <c r="AF878" s="618" t="str">
        <f t="shared" si="415"/>
        <v>484</v>
      </c>
      <c r="AH878" s="265">
        <f>MiscData!$X$5</f>
        <v>20140101</v>
      </c>
      <c r="AI878" s="265">
        <f>IF(AI877+1&gt;MiscData!$AC$77,1,AI877+1)</f>
        <v>72</v>
      </c>
      <c r="AJ878" s="265" t="str">
        <f>VLOOKUP(AI878,MiscData!$AC$5:$AD$77,2,FALSE)</f>
        <v>LGUM_484</v>
      </c>
      <c r="AK878" s="265" t="str">
        <f>VLOOKUP(AJ878,MiscData!$AD$5:$AE$77,2,FALSE)</f>
        <v xml:space="preserve">LS </v>
      </c>
      <c r="AT878" s="265" t="s">
        <v>235</v>
      </c>
      <c r="AV878" s="265">
        <v>0</v>
      </c>
    </row>
    <row r="879" spans="1:48">
      <c r="A879" s="275">
        <f t="shared" si="416"/>
        <v>864</v>
      </c>
      <c r="B879" s="276" t="str">
        <f t="shared" si="395"/>
        <v>Dec 2014</v>
      </c>
      <c r="C879" s="277" t="str">
        <f t="shared" si="396"/>
        <v>ODL</v>
      </c>
      <c r="D879" s="277" t="str">
        <f t="shared" si="397"/>
        <v>ODL</v>
      </c>
      <c r="E879" s="614">
        <f t="shared" si="401"/>
        <v>0</v>
      </c>
      <c r="F879" s="615">
        <v>0</v>
      </c>
      <c r="G879" s="614">
        <f t="shared" si="400"/>
        <v>13731722</v>
      </c>
      <c r="H879" s="615">
        <v>0</v>
      </c>
      <c r="I879" s="283">
        <f t="shared" si="402"/>
        <v>0</v>
      </c>
      <c r="J879" s="283">
        <f t="shared" si="403"/>
        <v>0</v>
      </c>
      <c r="K879" s="285">
        <f t="shared" si="404"/>
        <v>0</v>
      </c>
      <c r="L879" s="286">
        <v>0</v>
      </c>
      <c r="M879" s="286">
        <v>0</v>
      </c>
      <c r="N879" s="285">
        <f t="shared" si="417"/>
        <v>0</v>
      </c>
      <c r="O879" s="616">
        <f t="shared" si="391"/>
        <v>1485890</v>
      </c>
      <c r="P879" s="289">
        <f t="shared" si="418"/>
        <v>0</v>
      </c>
      <c r="Q879" s="290">
        <f t="shared" si="405"/>
        <v>-7153</v>
      </c>
      <c r="R879" s="290">
        <f t="shared" si="406"/>
        <v>64426</v>
      </c>
      <c r="S879" s="290">
        <f t="shared" si="407"/>
        <v>0</v>
      </c>
      <c r="T879" s="290">
        <f t="shared" si="408"/>
        <v>1543163</v>
      </c>
      <c r="U879" s="291">
        <f t="shared" si="409"/>
        <v>57273</v>
      </c>
      <c r="V879" s="291">
        <f t="shared" si="413"/>
        <v>1485890</v>
      </c>
      <c r="W879" s="265">
        <f t="shared" si="410"/>
        <v>0</v>
      </c>
      <c r="X879" s="291">
        <f t="shared" si="414"/>
        <v>1485890</v>
      </c>
      <c r="Y879" s="170">
        <f t="shared" si="411"/>
        <v>0</v>
      </c>
      <c r="Z879" s="291">
        <f t="shared" si="412"/>
        <v>1485890</v>
      </c>
      <c r="AC879" s="276">
        <f>IF(AI879=1,IF(AC878=MiscData!$F$1,EOMONTH(AC878,-11),EOMONTH(AC878,1)),AC878)</f>
        <v>42004</v>
      </c>
      <c r="AD879" s="275" t="str">
        <f t="shared" si="398"/>
        <v>20140101ODL</v>
      </c>
      <c r="AE879" s="294" t="str">
        <f t="shared" si="399"/>
        <v>20140101ODL</v>
      </c>
      <c r="AF879" s="618" t="str">
        <f t="shared" si="415"/>
        <v>ODL</v>
      </c>
      <c r="AH879" s="265">
        <f>MiscData!$X$5</f>
        <v>20140101</v>
      </c>
      <c r="AI879" s="265">
        <f>IF(AI878+1&gt;MiscData!$AC$77,1,AI878+1)</f>
        <v>73</v>
      </c>
      <c r="AJ879" s="265" t="str">
        <f>VLOOKUP(AI879,MiscData!$AC$5:$AD$77,2,FALSE)</f>
        <v>ODL</v>
      </c>
      <c r="AK879" s="265" t="str">
        <f>VLOOKUP(AJ879,MiscData!$AD$5:$AE$77,2,FALSE)</f>
        <v>ODL</v>
      </c>
      <c r="AT879" s="265" t="s">
        <v>236</v>
      </c>
      <c r="AV879" s="265">
        <v>141.86000000000001</v>
      </c>
    </row>
    <row r="880" spans="1:48">
      <c r="A880" s="275"/>
      <c r="B880" s="276"/>
      <c r="C880" s="277"/>
      <c r="D880" s="277"/>
      <c r="E880" s="614"/>
      <c r="F880" s="635"/>
      <c r="G880" s="614"/>
      <c r="H880" s="614"/>
      <c r="I880" s="283"/>
      <c r="J880" s="283"/>
      <c r="K880" s="285"/>
      <c r="L880" s="286"/>
      <c r="M880" s="286"/>
      <c r="N880" s="285"/>
      <c r="O880" s="616"/>
      <c r="P880" s="289"/>
      <c r="Q880" s="290"/>
      <c r="R880" s="290"/>
      <c r="S880" s="290"/>
      <c r="T880" s="290"/>
      <c r="U880" s="291"/>
      <c r="V880" s="291"/>
      <c r="AC880" s="276"/>
      <c r="AD880" s="275"/>
      <c r="AE880" s="294"/>
    </row>
    <row r="881" spans="1:31">
      <c r="A881" s="275"/>
      <c r="B881" s="276"/>
      <c r="C881" s="277"/>
      <c r="D881" s="277"/>
      <c r="E881" s="614"/>
      <c r="F881" s="635"/>
      <c r="G881" s="614"/>
      <c r="H881" s="614"/>
      <c r="I881" s="283"/>
      <c r="J881" s="283"/>
      <c r="K881" s="285"/>
      <c r="L881" s="286"/>
      <c r="M881" s="286"/>
      <c r="N881" s="285"/>
      <c r="O881" s="616"/>
      <c r="P881" s="289"/>
      <c r="Q881" s="290"/>
      <c r="R881" s="290"/>
      <c r="S881" s="290"/>
      <c r="T881" s="290"/>
      <c r="U881" s="291"/>
      <c r="V881" s="291"/>
      <c r="AC881" s="276"/>
      <c r="AD881" s="275"/>
      <c r="AE881" s="294"/>
    </row>
    <row r="882" spans="1:31">
      <c r="F882" s="295"/>
      <c r="N882" s="261"/>
      <c r="AC882" s="276"/>
      <c r="AD882" s="275"/>
      <c r="AE882" s="294"/>
    </row>
    <row r="883" spans="1:31">
      <c r="C883" s="261" t="s">
        <v>498</v>
      </c>
      <c r="E883" s="296">
        <f>SUMIF($C$4:$C$881,$C883,E$4:E$881)</f>
        <v>499634</v>
      </c>
      <c r="F883" s="296">
        <f>SUMIF($C$4:$C$881,$C883,F$4:F$881)</f>
        <v>-1092</v>
      </c>
      <c r="G883" s="296">
        <f>SUMIF($C$4:$C$881,$C883,G$4:G$881)</f>
        <v>18403248</v>
      </c>
      <c r="H883" s="296"/>
      <c r="I883" s="296"/>
      <c r="J883" s="296"/>
      <c r="K883" s="296">
        <f>SUMIF($C$4:$C$881,$C883,K$4:K$881)</f>
        <v>8657111.9699999969</v>
      </c>
      <c r="L883" s="296">
        <f>SUMIF($C$4:$C$881,$C883,L$4:L$881)</f>
        <v>9107.7599999998965</v>
      </c>
      <c r="M883" s="296"/>
      <c r="N883" s="296">
        <f>SUMIF($C$4:$C$881,$C883,N$4:N$881)</f>
        <v>8666219.7299999967</v>
      </c>
      <c r="O883" s="296">
        <f>SUMIF($C$4:$C$881,$C883,O$4:O$881)</f>
        <v>4409803.4799999939</v>
      </c>
      <c r="P883" s="296"/>
      <c r="Q883" s="296">
        <f t="shared" ref="Q883:X883" si="419">SUMIF($C$4:$C$881,$C883,Q$4:Q$881)</f>
        <v>29936.940000000013</v>
      </c>
      <c r="R883" s="296">
        <f t="shared" si="419"/>
        <v>117410.75000000004</v>
      </c>
      <c r="S883" s="296">
        <f t="shared" si="419"/>
        <v>0</v>
      </c>
      <c r="T883" s="296">
        <f>SUMIF($C$4:$C$881,$C883,T$4:T$881)</f>
        <v>4622497.4699999979</v>
      </c>
      <c r="U883" s="296">
        <f t="shared" si="419"/>
        <v>8813567.4200000018</v>
      </c>
      <c r="V883" s="296">
        <f t="shared" si="419"/>
        <v>-4191069.9499999946</v>
      </c>
      <c r="W883" s="296">
        <f t="shared" si="419"/>
        <v>65346.30000000001</v>
      </c>
      <c r="X883" s="296">
        <f t="shared" si="419"/>
        <v>-4256416.2499999963</v>
      </c>
      <c r="AC883" s="276"/>
      <c r="AD883" s="275"/>
      <c r="AE883" s="294"/>
    </row>
    <row r="884" spans="1:31">
      <c r="C884" s="261" t="s">
        <v>732</v>
      </c>
      <c r="E884" s="296">
        <f>'12MonPoles'!E294</f>
        <v>31712</v>
      </c>
      <c r="F884" s="296">
        <f>'12MonPoles'!F294</f>
        <v>0</v>
      </c>
      <c r="G884" s="296"/>
      <c r="H884" s="296"/>
      <c r="I884" s="296"/>
      <c r="J884" s="296"/>
      <c r="K884" s="296">
        <f>'12MonPoles'!H294</f>
        <v>131374.81000000003</v>
      </c>
      <c r="L884" s="296">
        <f>'12MonPoles'!I294</f>
        <v>41.36999999999999</v>
      </c>
      <c r="M884" s="296"/>
      <c r="N884" s="296">
        <f>'12MonPoles'!J294</f>
        <v>131416.18000000005</v>
      </c>
      <c r="O884" s="296">
        <f>'12MonPoles'!K294</f>
        <v>65346.30000000001</v>
      </c>
      <c r="P884" s="296"/>
      <c r="Q884" s="296"/>
      <c r="R884" s="296"/>
      <c r="S884" s="296"/>
      <c r="T884" s="296"/>
      <c r="U884" s="296"/>
      <c r="V884" s="296"/>
      <c r="W884" s="296"/>
      <c r="X884" s="296"/>
      <c r="AC884" s="276"/>
      <c r="AD884" s="275"/>
      <c r="AE884" s="294"/>
    </row>
    <row r="885" spans="1:31">
      <c r="C885" s="261" t="s">
        <v>749</v>
      </c>
      <c r="E885" s="296">
        <f>E883+E884</f>
        <v>531346</v>
      </c>
      <c r="F885" s="296">
        <f>F883+F884</f>
        <v>-1092</v>
      </c>
      <c r="G885" s="296">
        <f>G883+G884</f>
        <v>18403248</v>
      </c>
      <c r="H885" s="296"/>
      <c r="I885" s="296"/>
      <c r="J885" s="296"/>
      <c r="K885" s="296">
        <f>K883+K884</f>
        <v>8788486.7799999975</v>
      </c>
      <c r="L885" s="296">
        <f>L883+L884</f>
        <v>9149.1299999998973</v>
      </c>
      <c r="M885" s="296"/>
      <c r="N885" s="296">
        <f>N883+N884</f>
        <v>8797635.9099999964</v>
      </c>
      <c r="O885" s="296">
        <f>O883+O884</f>
        <v>4475149.7799999937</v>
      </c>
      <c r="P885" s="296"/>
      <c r="Q885" s="296">
        <f>Q883+Q884</f>
        <v>29936.940000000013</v>
      </c>
      <c r="R885" s="296">
        <f>R883+R884</f>
        <v>117410.75000000004</v>
      </c>
      <c r="S885" s="296">
        <f>S883+S884</f>
        <v>0</v>
      </c>
      <c r="T885" s="296">
        <f>T883+T884</f>
        <v>4622497.4699999979</v>
      </c>
      <c r="U885" s="296"/>
      <c r="V885" s="296"/>
      <c r="W885" s="296"/>
      <c r="X885" s="296"/>
      <c r="AC885" s="276"/>
      <c r="AD885" s="275"/>
      <c r="AE885" s="294"/>
    </row>
    <row r="886" spans="1:31">
      <c r="C886" s="266" t="s">
        <v>1117</v>
      </c>
      <c r="E886" s="296">
        <f>SUMIF($C$4:$C$881,$C886,E$4:E$881)</f>
        <v>526216</v>
      </c>
      <c r="F886" s="296">
        <f>SUMIF($C$4:$C$881,$C886,F$4:F$881)</f>
        <v>-661</v>
      </c>
      <c r="G886" s="296">
        <f>SUMIF($C$4:$C$881,$C886,G$4:G$881)</f>
        <v>26093248</v>
      </c>
      <c r="H886" s="296"/>
      <c r="I886" s="296"/>
      <c r="J886" s="296"/>
      <c r="K886" s="296">
        <f>SUMIF($C$4:$C$881,$C886,K$4:K$881)</f>
        <v>9014764.0299999975</v>
      </c>
      <c r="L886" s="296">
        <f>SUMIF($C$4:$C$881,$C886,L$4:L$881)</f>
        <v>3392.5299999999411</v>
      </c>
      <c r="M886" s="296"/>
      <c r="N886" s="296">
        <f>SUMIF($C$4:$C$881,$C886,N$4:N$881)</f>
        <v>9018156.5599999949</v>
      </c>
      <c r="O886" s="296">
        <f>SUMIF($C$4:$C$881,$C886,O$4:O$881)</f>
        <v>4664443.7100000018</v>
      </c>
      <c r="P886" s="296"/>
      <c r="Q886" s="296">
        <f t="shared" ref="Q886:X886" si="420">SUMIF($C$4:$C$881,$C886,Q$4:Q$881)</f>
        <v>42419.860000000022</v>
      </c>
      <c r="R886" s="296">
        <f t="shared" si="420"/>
        <v>125417.10000000006</v>
      </c>
      <c r="S886" s="296">
        <f t="shared" si="420"/>
        <v>0</v>
      </c>
      <c r="T886" s="296">
        <f t="shared" si="420"/>
        <v>4933549.0299999993</v>
      </c>
      <c r="U886" s="296">
        <f t="shared" si="420"/>
        <v>9185993.519999994</v>
      </c>
      <c r="V886" s="296">
        <f t="shared" si="420"/>
        <v>-4252444.49</v>
      </c>
      <c r="W886" s="296">
        <f t="shared" si="420"/>
        <v>101268.36</v>
      </c>
      <c r="X886" s="296">
        <f t="shared" si="420"/>
        <v>-4353712.8500000015</v>
      </c>
      <c r="AC886" s="276"/>
      <c r="AD886" s="275"/>
      <c r="AE886" s="294"/>
    </row>
    <row r="887" spans="1:31">
      <c r="C887" s="261" t="s">
        <v>732</v>
      </c>
      <c r="E887" s="296">
        <f>'12MonPoles'!E293</f>
        <v>72515</v>
      </c>
      <c r="F887" s="296">
        <f>'12MonPoles'!F293</f>
        <v>0</v>
      </c>
      <c r="G887" s="296"/>
      <c r="H887" s="296"/>
      <c r="I887" s="296"/>
      <c r="J887" s="296"/>
      <c r="K887" s="296">
        <f>'12MonPoles'!H293</f>
        <v>204097.73</v>
      </c>
      <c r="L887" s="296">
        <f>'12MonPoles'!I293</f>
        <v>59.42</v>
      </c>
      <c r="M887" s="296"/>
      <c r="N887" s="296">
        <f>'12MonPoles'!J293</f>
        <v>204157.15000000005</v>
      </c>
      <c r="O887" s="296">
        <f>'12MonPoles'!K293</f>
        <v>101268.36000000002</v>
      </c>
      <c r="P887" s="296"/>
      <c r="Q887" s="296"/>
      <c r="R887" s="296"/>
      <c r="S887" s="296"/>
      <c r="T887" s="296"/>
      <c r="U887" s="296"/>
      <c r="V887" s="296"/>
      <c r="W887" s="296"/>
      <c r="X887" s="296"/>
      <c r="AC887" s="276"/>
      <c r="AD887" s="275"/>
      <c r="AE887" s="294"/>
    </row>
    <row r="888" spans="1:31">
      <c r="C888" s="261" t="s">
        <v>750</v>
      </c>
      <c r="E888" s="296">
        <f>E886+E887</f>
        <v>598731</v>
      </c>
      <c r="F888" s="296">
        <f>F886+F887</f>
        <v>-661</v>
      </c>
      <c r="G888" s="296">
        <f>G886+G887</f>
        <v>26093248</v>
      </c>
      <c r="H888" s="296"/>
      <c r="I888" s="296"/>
      <c r="J888" s="296"/>
      <c r="K888" s="296">
        <f>K886+K887</f>
        <v>9218861.7599999979</v>
      </c>
      <c r="L888" s="296">
        <f>L886+L887</f>
        <v>3451.9499999999412</v>
      </c>
      <c r="M888" s="296"/>
      <c r="N888" s="296">
        <f>N886+N887</f>
        <v>9222313.7099999953</v>
      </c>
      <c r="O888" s="296">
        <f>O886+O887</f>
        <v>4765712.0700000022</v>
      </c>
      <c r="P888" s="296"/>
      <c r="Q888" s="296">
        <f t="shared" ref="Q888:T888" si="421">Q886+Q887</f>
        <v>42419.860000000022</v>
      </c>
      <c r="R888" s="296">
        <f t="shared" si="421"/>
        <v>125417.10000000006</v>
      </c>
      <c r="S888" s="296">
        <f t="shared" si="421"/>
        <v>0</v>
      </c>
      <c r="T888" s="296">
        <f t="shared" si="421"/>
        <v>4933549.0299999993</v>
      </c>
      <c r="U888" s="296">
        <f>SUMIF($C$4:$C$881,$C886,U$4:U$881)</f>
        <v>9185993.519999994</v>
      </c>
      <c r="V888" s="296">
        <f>SUMIF($C$4:$C$881,$C886,V$4:V$881)</f>
        <v>-4252444.49</v>
      </c>
      <c r="W888" s="296">
        <f>SUMIF($C$4:$C$881,$C886,W$4:W$881)</f>
        <v>101268.36</v>
      </c>
      <c r="X888" s="296"/>
      <c r="AC888" s="276"/>
      <c r="AD888" s="275"/>
      <c r="AE888" s="294"/>
    </row>
    <row r="889" spans="1:31">
      <c r="C889" s="261" t="s">
        <v>725</v>
      </c>
      <c r="E889" s="296">
        <f>SUMIF($C$4:$C$881,$C889,E$4:E$881)</f>
        <v>0</v>
      </c>
      <c r="F889" s="295"/>
      <c r="G889" s="296">
        <f>SUMIF($C$4:$C$881,$C889,G$4:G$881)</f>
        <v>0</v>
      </c>
      <c r="H889" s="296"/>
      <c r="I889" s="296"/>
      <c r="J889" s="296"/>
      <c r="K889" s="296">
        <f>SUMIF($C$4:$C$881,$C889,K$4:K$881)</f>
        <v>0</v>
      </c>
      <c r="L889" s="296">
        <f>SUMIF($C$4:$C$881,$C889,L$4:L$881)</f>
        <v>0</v>
      </c>
      <c r="M889" s="296"/>
      <c r="N889" s="296">
        <f>SUMIF($C$4:$C$881,$C889,N$4:N$881)</f>
        <v>0</v>
      </c>
      <c r="O889" s="296">
        <f>SUMIF($C$4:$C$881,$C889,O$4:O$881)</f>
        <v>0</v>
      </c>
      <c r="P889" s="296"/>
      <c r="Q889" s="296">
        <f t="shared" ref="Q889:X889" si="422">SUMIF($C$4:$C$881,$C889,Q$4:Q$881)</f>
        <v>0</v>
      </c>
      <c r="R889" s="296">
        <f t="shared" si="422"/>
        <v>0</v>
      </c>
      <c r="S889" s="296">
        <f t="shared" si="422"/>
        <v>0</v>
      </c>
      <c r="T889" s="296">
        <f t="shared" si="422"/>
        <v>0</v>
      </c>
      <c r="U889" s="296">
        <f t="shared" si="422"/>
        <v>0</v>
      </c>
      <c r="V889" s="296">
        <f t="shared" si="422"/>
        <v>0</v>
      </c>
      <c r="W889" s="296">
        <f t="shared" si="422"/>
        <v>0</v>
      </c>
      <c r="X889" s="296">
        <f t="shared" si="422"/>
        <v>0</v>
      </c>
      <c r="AC889" s="276"/>
      <c r="AD889" s="275"/>
      <c r="AE889" s="294"/>
    </row>
    <row r="890" spans="1:31">
      <c r="C890" s="261" t="s">
        <v>761</v>
      </c>
      <c r="E890" s="296">
        <f>E885+E888+E889</f>
        <v>1130077</v>
      </c>
      <c r="F890" s="296">
        <f t="shared" ref="F890:P890" si="423">F885+F888+F889</f>
        <v>-1753</v>
      </c>
      <c r="G890" s="296">
        <f t="shared" si="423"/>
        <v>44496496</v>
      </c>
      <c r="H890" s="296"/>
      <c r="I890" s="296"/>
      <c r="J890" s="296"/>
      <c r="K890" s="296">
        <f t="shared" si="423"/>
        <v>18007348.539999995</v>
      </c>
      <c r="L890" s="296">
        <f t="shared" si="423"/>
        <v>12601.079999999838</v>
      </c>
      <c r="M890" s="296"/>
      <c r="N890" s="296">
        <f>N885+N888+N889</f>
        <v>18019949.61999999</v>
      </c>
      <c r="O890" s="296">
        <f>O885+O888+O889+O894</f>
        <v>18190514.849999994</v>
      </c>
      <c r="P890" s="296">
        <f t="shared" si="423"/>
        <v>0</v>
      </c>
      <c r="Q890" s="296">
        <f t="shared" ref="Q890:T890" si="424">Q885+Q888+Q889+Q894</f>
        <v>-35871.199999999968</v>
      </c>
      <c r="R890" s="296">
        <f t="shared" si="424"/>
        <v>570553.85000000009</v>
      </c>
      <c r="S890" s="296">
        <f t="shared" si="424"/>
        <v>0</v>
      </c>
      <c r="T890" s="296">
        <f t="shared" si="424"/>
        <v>18725197.499999996</v>
      </c>
      <c r="U890" s="296">
        <f>U885+U888</f>
        <v>9185993.519999994</v>
      </c>
      <c r="V890" s="296">
        <f>V885+V888</f>
        <v>-4252444.49</v>
      </c>
      <c r="W890" s="296">
        <f>W885+W888</f>
        <v>101268.36</v>
      </c>
      <c r="X890" s="296">
        <f>X885+X888</f>
        <v>0</v>
      </c>
      <c r="AC890" s="276"/>
      <c r="AD890" s="275"/>
      <c r="AE890" s="294"/>
    </row>
    <row r="891" spans="1:31">
      <c r="C891" s="261" t="s">
        <v>1118</v>
      </c>
      <c r="E891" s="296">
        <f>E883+E886</f>
        <v>1025850</v>
      </c>
      <c r="F891" s="296">
        <f>F883+F886</f>
        <v>-1753</v>
      </c>
      <c r="AC891" s="276"/>
      <c r="AD891" s="275"/>
      <c r="AE891" s="294"/>
    </row>
    <row r="892" spans="1:31">
      <c r="E892" s="636"/>
      <c r="F892" s="636"/>
      <c r="O892" s="170"/>
      <c r="AC892" s="276"/>
      <c r="AD892" s="275"/>
      <c r="AE892" s="294"/>
    </row>
    <row r="893" spans="1:31">
      <c r="E893" s="296"/>
      <c r="F893" s="296"/>
      <c r="L893" s="302"/>
      <c r="M893" s="302"/>
      <c r="O893" s="298"/>
      <c r="AC893" s="276"/>
      <c r="AD893" s="275"/>
      <c r="AE893" s="294"/>
    </row>
    <row r="894" spans="1:31">
      <c r="C894" s="261" t="s">
        <v>843</v>
      </c>
      <c r="D894" s="261" t="s">
        <v>1275</v>
      </c>
      <c r="G894" s="296">
        <f>SUMIF($C$4:$C$881,$C894,G$4:G$881)</f>
        <v>69131692</v>
      </c>
      <c r="L894" s="302"/>
      <c r="M894" s="302"/>
      <c r="N894" s="158"/>
      <c r="O894" s="296">
        <f>SUMIF($C$4:$C$881,$C894,O$4:O$881)</f>
        <v>8949653</v>
      </c>
      <c r="P894" s="497"/>
      <c r="Q894" s="296">
        <f>SUMIF($C$4:$C$881,$C894,Q$4:Q$881)</f>
        <v>-108228</v>
      </c>
      <c r="R894" s="296">
        <f>SUMIF($C$4:$C$881,$C894,R$4:R$881)</f>
        <v>327726</v>
      </c>
      <c r="T894" s="296">
        <f>SUMIF($C$4:$C$881,$C894,T$4:T$881)</f>
        <v>9169151</v>
      </c>
      <c r="AC894" s="276"/>
      <c r="AD894" s="275"/>
      <c r="AE894" s="294"/>
    </row>
    <row r="895" spans="1:31">
      <c r="G895" s="639">
        <f>SUM(G885,G888,G894)</f>
        <v>113628188</v>
      </c>
      <c r="L895" s="302"/>
      <c r="M895" s="302"/>
      <c r="N895" s="158"/>
      <c r="O895" s="158"/>
      <c r="P895" s="497"/>
      <c r="Q895" s="158" t="s">
        <v>57</v>
      </c>
      <c r="R895" s="265" t="s">
        <v>58</v>
      </c>
      <c r="AC895" s="276"/>
      <c r="AD895" s="275"/>
      <c r="AE895" s="294"/>
    </row>
    <row r="896" spans="1:31">
      <c r="L896" s="302"/>
      <c r="M896" s="302"/>
      <c r="N896" s="158"/>
      <c r="O896" s="158"/>
      <c r="P896" s="497" t="s">
        <v>606</v>
      </c>
      <c r="Q896" s="158">
        <f>Q885</f>
        <v>29936.940000000013</v>
      </c>
      <c r="R896" s="158">
        <f>R885</f>
        <v>117410.75000000004</v>
      </c>
      <c r="AC896" s="276"/>
      <c r="AD896" s="275"/>
      <c r="AE896" s="294"/>
    </row>
    <row r="897" spans="2:31">
      <c r="L897" s="302"/>
      <c r="M897" s="302"/>
      <c r="N897" s="158"/>
      <c r="O897" s="158"/>
      <c r="P897" s="497" t="s">
        <v>498</v>
      </c>
      <c r="Q897" s="158">
        <f>Q888</f>
        <v>42419.860000000022</v>
      </c>
      <c r="R897" s="158">
        <f>R888</f>
        <v>125417.10000000006</v>
      </c>
      <c r="AC897" s="276"/>
      <c r="AD897" s="275"/>
      <c r="AE897" s="294"/>
    </row>
    <row r="898" spans="2:31">
      <c r="L898" s="302"/>
      <c r="M898" s="302"/>
      <c r="N898" s="158"/>
      <c r="O898" s="158"/>
      <c r="P898" s="497" t="s">
        <v>843</v>
      </c>
      <c r="Q898" s="158">
        <f>Q894</f>
        <v>-108228</v>
      </c>
      <c r="R898" s="158">
        <f>R894</f>
        <v>327726</v>
      </c>
      <c r="AC898" s="276"/>
      <c r="AD898" s="275"/>
      <c r="AE898" s="294"/>
    </row>
    <row r="899" spans="2:31">
      <c r="L899" s="302"/>
      <c r="M899" s="302"/>
      <c r="N899" s="158"/>
      <c r="O899" s="158"/>
      <c r="P899" s="497" t="s">
        <v>56</v>
      </c>
      <c r="Q899" s="158">
        <f>SUM(Q896:Q898)</f>
        <v>-35871.199999999968</v>
      </c>
      <c r="R899" s="158">
        <f>SUM(R896:R898)</f>
        <v>570553.85000000009</v>
      </c>
      <c r="AC899" s="276"/>
      <c r="AD899" s="275"/>
      <c r="AE899" s="294"/>
    </row>
    <row r="900" spans="2:31">
      <c r="L900" s="302"/>
      <c r="M900" s="302"/>
      <c r="N900" s="158"/>
      <c r="O900" s="497" t="s">
        <v>1339</v>
      </c>
      <c r="P900" s="265" t="s">
        <v>606</v>
      </c>
      <c r="Q900" s="158">
        <f>Q896/(Q896+Q897)*Q898+Q896</f>
        <v>-14841.36891250026</v>
      </c>
      <c r="R900" s="158">
        <f>R896/(R896+R897)*R898+R896</f>
        <v>275870.9737943465</v>
      </c>
      <c r="AC900" s="276"/>
      <c r="AD900" s="275"/>
      <c r="AE900" s="294"/>
    </row>
    <row r="901" spans="2:31">
      <c r="L901" s="302"/>
      <c r="M901" s="302"/>
      <c r="N901" s="158"/>
      <c r="O901" s="158"/>
      <c r="P901" s="497" t="s">
        <v>498</v>
      </c>
      <c r="Q901" s="158">
        <f>Q897/(Q896+Q897)*Q898+Q897</f>
        <v>-21029.831087499704</v>
      </c>
      <c r="R901" s="158">
        <f>R897/(R896+R897)*R898+R897</f>
        <v>294682.87620565359</v>
      </c>
      <c r="AC901" s="276"/>
      <c r="AD901" s="275"/>
      <c r="AE901" s="294"/>
    </row>
    <row r="902" spans="2:31">
      <c r="L902" s="302"/>
      <c r="M902" s="302"/>
      <c r="N902" s="158"/>
      <c r="O902" s="158"/>
      <c r="P902" s="265" t="s">
        <v>1340</v>
      </c>
      <c r="Q902" s="497">
        <f>Q900+Q901</f>
        <v>-35871.199999999968</v>
      </c>
      <c r="R902" s="497">
        <f>R900+R901</f>
        <v>570553.85000000009</v>
      </c>
      <c r="AC902" s="276"/>
      <c r="AD902" s="275"/>
      <c r="AE902" s="294"/>
    </row>
    <row r="903" spans="2:31">
      <c r="L903" s="302"/>
      <c r="M903" s="302"/>
      <c r="N903" s="158"/>
      <c r="O903" s="158"/>
      <c r="Q903" s="497"/>
      <c r="R903" s="497"/>
      <c r="AC903" s="276"/>
      <c r="AD903" s="275"/>
      <c r="AE903" s="294"/>
    </row>
    <row r="904" spans="2:31">
      <c r="B904" s="34"/>
      <c r="C904" s="34"/>
      <c r="D904" s="34"/>
      <c r="E904" s="641"/>
      <c r="F904" s="34"/>
      <c r="G904" s="34"/>
      <c r="H904" s="34"/>
      <c r="I904" s="34" t="s">
        <v>56</v>
      </c>
      <c r="J904" s="34" t="s">
        <v>18</v>
      </c>
      <c r="K904" s="34" t="s">
        <v>17</v>
      </c>
      <c r="L904" s="302"/>
      <c r="M904" s="302" t="s">
        <v>732</v>
      </c>
      <c r="N904" s="158" t="s">
        <v>1282</v>
      </c>
      <c r="P904" s="158" t="s">
        <v>18</v>
      </c>
      <c r="Q904" s="497" t="s">
        <v>17</v>
      </c>
      <c r="R904" s="158"/>
      <c r="AC904" s="276"/>
      <c r="AD904" s="275"/>
      <c r="AE904" s="294"/>
    </row>
    <row r="905" spans="2:31">
      <c r="B905" s="690" t="s">
        <v>1301</v>
      </c>
      <c r="C905" s="34"/>
      <c r="D905" s="34"/>
      <c r="E905" s="641"/>
      <c r="F905" s="34"/>
      <c r="G905" s="642">
        <f>SUMIF($B$4:$B$880,$B905,G$4:G$880)</f>
        <v>15936460</v>
      </c>
      <c r="H905" s="642">
        <f>SUMIF($B$4:$B$880,$B905,$H$4:$H$880)</f>
        <v>0</v>
      </c>
      <c r="I905" s="642">
        <f>G905+H905</f>
        <v>15936460</v>
      </c>
      <c r="J905" s="642">
        <f>'12MonResults'!M497</f>
        <v>296686</v>
      </c>
      <c r="K905" s="642">
        <f>'12MonResults'!P497</f>
        <v>367257</v>
      </c>
      <c r="L905" s="302"/>
      <c r="M905" s="691">
        <f>'12MonPoles'!K297</f>
        <v>0</v>
      </c>
      <c r="N905" s="642">
        <f>SUMIF($B$4:$B$880,$B905,N$4:N$880)</f>
        <v>1433438.3300000003</v>
      </c>
      <c r="O905" s="642">
        <f>SUMIF($B$4:$B$880,$B905,O$4:O$880)</f>
        <v>1510904</v>
      </c>
      <c r="P905" s="158">
        <f>'12MonResults'!AL497</f>
        <v>25661</v>
      </c>
      <c r="Q905" s="158">
        <f>'12MonResults'!AM497</f>
        <v>23728</v>
      </c>
      <c r="R905" s="158">
        <f>SUM(O905:Q905)</f>
        <v>1560293</v>
      </c>
      <c r="S905" s="497">
        <f>R905-N905-M905</f>
        <v>126854.66999999969</v>
      </c>
      <c r="AC905" s="276"/>
      <c r="AD905" s="275"/>
      <c r="AE905" s="294"/>
    </row>
    <row r="906" spans="2:31">
      <c r="B906" s="690" t="s">
        <v>1302</v>
      </c>
      <c r="C906" s="34"/>
      <c r="D906" s="34"/>
      <c r="E906" s="641"/>
      <c r="F906" s="34"/>
      <c r="G906" s="642">
        <f t="shared" ref="G906:G916" si="425">SUMIF($B$4:$B$880,$B906,G$4:G$880)</f>
        <v>13630022</v>
      </c>
      <c r="H906" s="642">
        <f t="shared" ref="H906:H916" si="426">SUMIF($B$4:$B$880,$B906,$H$4:$H$880)</f>
        <v>0</v>
      </c>
      <c r="I906" s="642">
        <f t="shared" ref="I906:I916" si="427">G906+H906</f>
        <v>13630022</v>
      </c>
      <c r="J906" s="642">
        <f>'12MonResults'!M498</f>
        <v>246865</v>
      </c>
      <c r="K906" s="642">
        <f>'12MonResults'!P498</f>
        <v>285906</v>
      </c>
      <c r="L906" s="302"/>
      <c r="M906" s="691">
        <f>'12MonPoles'!K298</f>
        <v>0</v>
      </c>
      <c r="N906" s="642">
        <f t="shared" ref="N906:O916" si="428">SUMIF($B$4:$B$880,$B906,N$4:N$880)</f>
        <v>1434864.0599999996</v>
      </c>
      <c r="O906" s="642">
        <f t="shared" si="428"/>
        <v>1503046</v>
      </c>
      <c r="P906" s="158">
        <f>'12MonResults'!AL498</f>
        <v>21846</v>
      </c>
      <c r="Q906" s="158">
        <f>'12MonResults'!AM498</f>
        <v>18472</v>
      </c>
      <c r="R906" s="158">
        <f t="shared" ref="R906:R915" si="429">SUM(O906:Q906)</f>
        <v>1543364</v>
      </c>
      <c r="S906" s="497">
        <f t="shared" ref="S906:S916" si="430">R906-N906-M906</f>
        <v>108499.94000000041</v>
      </c>
      <c r="AC906" s="276"/>
      <c r="AD906" s="275"/>
      <c r="AE906" s="294"/>
    </row>
    <row r="907" spans="2:31">
      <c r="B907" s="34" t="s">
        <v>1276</v>
      </c>
      <c r="C907" s="34"/>
      <c r="D907" s="34"/>
      <c r="E907" s="641"/>
      <c r="F907" s="34"/>
      <c r="G907" s="642">
        <f t="shared" si="425"/>
        <v>8647033</v>
      </c>
      <c r="H907" s="642">
        <f t="shared" si="426"/>
        <v>0</v>
      </c>
      <c r="I907" s="642">
        <f t="shared" si="427"/>
        <v>8647033</v>
      </c>
      <c r="J907" s="642">
        <f>'12MonResults'!M499</f>
        <v>255622</v>
      </c>
      <c r="K907" s="642">
        <f>'12MonResults'!P499</f>
        <v>264917</v>
      </c>
      <c r="L907" s="637"/>
      <c r="M907" s="691">
        <f>'12MonPoles'!K299</f>
        <v>27864.489999999998</v>
      </c>
      <c r="N907" s="642">
        <f t="shared" si="428"/>
        <v>1491148.0599999998</v>
      </c>
      <c r="O907" s="642">
        <f t="shared" si="428"/>
        <v>1491148.0599999998</v>
      </c>
      <c r="P907" s="158">
        <f>'12MonResults'!AL499</f>
        <v>22932.86</v>
      </c>
      <c r="Q907" s="158">
        <f>'12MonResults'!AM499</f>
        <v>17116.29</v>
      </c>
      <c r="R907" s="158">
        <f>SUM(O907:Q907)+M907</f>
        <v>1559061.7</v>
      </c>
      <c r="S907" s="497">
        <f t="shared" si="430"/>
        <v>40049.150000000132</v>
      </c>
      <c r="AD907" s="275"/>
      <c r="AE907" s="294"/>
    </row>
    <row r="908" spans="2:31">
      <c r="B908" s="34" t="s">
        <v>1277</v>
      </c>
      <c r="C908" s="34"/>
      <c r="D908" s="34"/>
      <c r="E908" s="641"/>
      <c r="F908" s="34"/>
      <c r="G908" s="642">
        <f t="shared" si="425"/>
        <v>8076807</v>
      </c>
      <c r="H908" s="642">
        <f t="shared" si="426"/>
        <v>0</v>
      </c>
      <c r="I908" s="642">
        <f t="shared" si="427"/>
        <v>8076807</v>
      </c>
      <c r="J908" s="642">
        <f>'12MonResults'!M500</f>
        <v>250368</v>
      </c>
      <c r="K908" s="642">
        <f>'12MonResults'!P500</f>
        <v>257558</v>
      </c>
      <c r="M908" s="691">
        <f>'12MonPoles'!K300</f>
        <v>27671.620000000003</v>
      </c>
      <c r="N908" s="642">
        <f t="shared" si="428"/>
        <v>1508556.6500000004</v>
      </c>
      <c r="O908" s="642">
        <f t="shared" si="428"/>
        <v>1508556.6500000004</v>
      </c>
      <c r="P908" s="158">
        <f>'12MonResults'!AL500</f>
        <v>22508.260000000002</v>
      </c>
      <c r="Q908" s="158">
        <f>'12MonResults'!AM500</f>
        <v>16640.829999999998</v>
      </c>
      <c r="R908" s="158">
        <f t="shared" ref="R908:R911" si="431">SUM(O908:Q908)+M908</f>
        <v>1575377.3600000006</v>
      </c>
      <c r="S908" s="497">
        <f t="shared" si="430"/>
        <v>39149.090000000193</v>
      </c>
      <c r="AD908" s="275"/>
      <c r="AE908" s="294"/>
    </row>
    <row r="909" spans="2:31">
      <c r="B909" s="34" t="s">
        <v>1278</v>
      </c>
      <c r="C909" s="34"/>
      <c r="D909" s="34"/>
      <c r="E909" s="641"/>
      <c r="F909" s="34"/>
      <c r="G909" s="642">
        <f t="shared" si="425"/>
        <v>5347239</v>
      </c>
      <c r="H909" s="642">
        <f t="shared" si="426"/>
        <v>0</v>
      </c>
      <c r="I909" s="642">
        <f t="shared" si="427"/>
        <v>5347239</v>
      </c>
      <c r="J909" s="642">
        <f>'12MonResults'!M501</f>
        <v>246178</v>
      </c>
      <c r="K909" s="642">
        <f>'12MonResults'!P501</f>
        <v>160805</v>
      </c>
      <c r="M909" s="691">
        <f>'12MonPoles'!K301</f>
        <v>27933.130000000005</v>
      </c>
      <c r="N909" s="642">
        <f t="shared" si="428"/>
        <v>1157676.0900000001</v>
      </c>
      <c r="O909" s="642">
        <f t="shared" si="428"/>
        <v>1157676.0900000001</v>
      </c>
      <c r="P909" s="158">
        <f>'12MonResults'!AL501</f>
        <v>22199.75</v>
      </c>
      <c r="Q909" s="158">
        <f>'12MonResults'!AM501</f>
        <v>10389.66</v>
      </c>
      <c r="R909" s="158">
        <f t="shared" si="431"/>
        <v>1218198.6299999999</v>
      </c>
      <c r="S909" s="497">
        <f t="shared" si="430"/>
        <v>32589.4099999998</v>
      </c>
      <c r="AD909" s="275"/>
      <c r="AE909" s="294"/>
    </row>
    <row r="910" spans="2:31">
      <c r="B910" s="34" t="s">
        <v>1279</v>
      </c>
      <c r="C910" s="34"/>
      <c r="D910" s="34"/>
      <c r="E910" s="641"/>
      <c r="F910" s="34"/>
      <c r="G910" s="642">
        <f t="shared" si="425"/>
        <v>8714983</v>
      </c>
      <c r="H910" s="642">
        <f t="shared" si="426"/>
        <v>0</v>
      </c>
      <c r="I910" s="642">
        <f t="shared" si="427"/>
        <v>8714983</v>
      </c>
      <c r="J910" s="642">
        <f>'12MonResults'!M502</f>
        <v>247504</v>
      </c>
      <c r="K910" s="642">
        <f>'12MonResults'!P502</f>
        <v>279910</v>
      </c>
      <c r="M910" s="691">
        <f>'12MonPoles'!K302</f>
        <v>27757.870000000003</v>
      </c>
      <c r="N910" s="642">
        <f t="shared" si="428"/>
        <v>1890868.24</v>
      </c>
      <c r="O910" s="642">
        <f t="shared" si="428"/>
        <v>1890868.24</v>
      </c>
      <c r="P910" s="158">
        <f>'12MonResults'!AL502</f>
        <v>22301.22</v>
      </c>
      <c r="Q910" s="158">
        <f>'12MonResults'!AM502</f>
        <v>18084.91</v>
      </c>
      <c r="R910" s="158">
        <f t="shared" si="431"/>
        <v>1959012.24</v>
      </c>
      <c r="S910" s="497">
        <f t="shared" si="430"/>
        <v>40386.129999999997</v>
      </c>
      <c r="AD910" s="275"/>
      <c r="AE910" s="294"/>
    </row>
    <row r="911" spans="2:31">
      <c r="B911" s="34" t="s">
        <v>1280</v>
      </c>
      <c r="C911" s="34"/>
      <c r="D911" s="34"/>
      <c r="E911" s="641"/>
      <c r="F911" s="34"/>
      <c r="G911" s="642">
        <f t="shared" si="425"/>
        <v>6837738</v>
      </c>
      <c r="H911" s="642">
        <f t="shared" si="426"/>
        <v>0</v>
      </c>
      <c r="I911" s="642">
        <f t="shared" si="427"/>
        <v>6837738</v>
      </c>
      <c r="J911" s="642">
        <f>'12MonResults'!M503</f>
        <v>247175</v>
      </c>
      <c r="K911" s="642">
        <f>'12MonResults'!P503</f>
        <v>217447</v>
      </c>
      <c r="M911" s="691">
        <f>'12MonPoles'!K303</f>
        <v>27845.410000000003</v>
      </c>
      <c r="N911" s="642">
        <f t="shared" si="428"/>
        <v>1515031.8400000005</v>
      </c>
      <c r="O911" s="642">
        <f t="shared" si="428"/>
        <v>1515031.8400000003</v>
      </c>
      <c r="P911" s="158">
        <f>'12MonResults'!AL503</f>
        <v>22286.240000000002</v>
      </c>
      <c r="Q911" s="158">
        <f>'12MonResults'!AM503</f>
        <v>14049.11</v>
      </c>
      <c r="R911" s="158">
        <f t="shared" si="431"/>
        <v>1579212.6000000003</v>
      </c>
      <c r="S911" s="497">
        <f t="shared" si="430"/>
        <v>36335.349999999773</v>
      </c>
      <c r="AD911" s="275"/>
      <c r="AE911" s="294"/>
    </row>
    <row r="912" spans="2:31">
      <c r="B912" s="34" t="s">
        <v>1281</v>
      </c>
      <c r="C912" s="34"/>
      <c r="D912" s="34"/>
      <c r="E912" s="641"/>
      <c r="F912" s="34"/>
      <c r="G912" s="642">
        <f t="shared" si="425"/>
        <v>6872696</v>
      </c>
      <c r="H912" s="642">
        <f t="shared" si="426"/>
        <v>0</v>
      </c>
      <c r="I912" s="642">
        <f t="shared" si="427"/>
        <v>6872696</v>
      </c>
      <c r="J912" s="642">
        <f>'12MonResults'!M504</f>
        <v>243616</v>
      </c>
      <c r="K912" s="642">
        <f>'12MonResults'!P504</f>
        <v>222975</v>
      </c>
      <c r="M912" s="691">
        <f>'12MonPoles'!K304</f>
        <v>27542.139999999996</v>
      </c>
      <c r="N912" s="642">
        <f t="shared" si="428"/>
        <v>1510966.3100000005</v>
      </c>
      <c r="O912" s="642">
        <f t="shared" si="428"/>
        <v>1510966.3100000005</v>
      </c>
      <c r="P912" s="158">
        <f>'12MonResults'!AL504</f>
        <v>22006.91</v>
      </c>
      <c r="Q912" s="158">
        <f>'12MonResults'!AM504</f>
        <v>14406.44</v>
      </c>
      <c r="R912" s="158">
        <f>SUM(O912:Q912)+M912</f>
        <v>1574921.8000000003</v>
      </c>
      <c r="S912" s="497">
        <f t="shared" si="430"/>
        <v>36413.349999999758</v>
      </c>
      <c r="AD912" s="275"/>
      <c r="AE912" s="294"/>
    </row>
    <row r="913" spans="2:31">
      <c r="B913" s="690" t="s">
        <v>1303</v>
      </c>
      <c r="C913" s="34"/>
      <c r="D913" s="34"/>
      <c r="E913" s="641"/>
      <c r="F913" s="34"/>
      <c r="G913" s="642">
        <f t="shared" si="425"/>
        <v>8028025</v>
      </c>
      <c r="H913" s="642">
        <f t="shared" si="426"/>
        <v>0</v>
      </c>
      <c r="I913" s="642">
        <f t="shared" si="427"/>
        <v>8028025</v>
      </c>
      <c r="J913" s="642">
        <f>'12MonResults'!M505</f>
        <v>255370</v>
      </c>
      <c r="K913" s="642">
        <f>'12MonResults'!P505</f>
        <v>272078</v>
      </c>
      <c r="M913" s="691">
        <f>'12MonPoles'!K305</f>
        <v>0</v>
      </c>
      <c r="N913" s="642">
        <f t="shared" si="428"/>
        <v>1412535.86</v>
      </c>
      <c r="O913" s="642">
        <f t="shared" si="428"/>
        <v>1480791</v>
      </c>
      <c r="P913" s="158">
        <f>'12MonResults'!AL505</f>
        <v>22497</v>
      </c>
      <c r="Q913" s="158">
        <f>'12MonResults'!AM505</f>
        <v>17579</v>
      </c>
      <c r="R913" s="158">
        <f t="shared" si="429"/>
        <v>1520867</v>
      </c>
      <c r="S913" s="497">
        <f t="shared" si="430"/>
        <v>108331.1399999999</v>
      </c>
      <c r="AD913" s="275"/>
      <c r="AE913" s="294"/>
    </row>
    <row r="914" spans="2:31">
      <c r="B914" s="690" t="s">
        <v>1304</v>
      </c>
      <c r="C914" s="34"/>
      <c r="D914" s="34"/>
      <c r="E914" s="641"/>
      <c r="F914" s="34"/>
      <c r="G914" s="642">
        <f t="shared" si="425"/>
        <v>8482303</v>
      </c>
      <c r="H914" s="642">
        <f t="shared" si="426"/>
        <v>0</v>
      </c>
      <c r="I914" s="642">
        <f t="shared" si="427"/>
        <v>8482303</v>
      </c>
      <c r="J914" s="642">
        <f>'12MonResults'!M506</f>
        <v>257054</v>
      </c>
      <c r="K914" s="642">
        <f>'12MonResults'!P506</f>
        <v>280619</v>
      </c>
      <c r="M914" s="691">
        <f>'12MonPoles'!K306</f>
        <v>0</v>
      </c>
      <c r="N914" s="642">
        <f t="shared" si="428"/>
        <v>1422820.8899999997</v>
      </c>
      <c r="O914" s="642">
        <f t="shared" si="428"/>
        <v>1492426</v>
      </c>
      <c r="P914" s="158">
        <f>'12MonResults'!AL506</f>
        <v>22626</v>
      </c>
      <c r="Q914" s="158">
        <f>'12MonResults'!AM506</f>
        <v>18131</v>
      </c>
      <c r="R914" s="158">
        <f t="shared" si="429"/>
        <v>1533183</v>
      </c>
      <c r="S914" s="497">
        <f t="shared" si="430"/>
        <v>110362.11000000034</v>
      </c>
      <c r="AD914" s="275"/>
      <c r="AE914" s="294"/>
    </row>
    <row r="915" spans="2:31">
      <c r="B915" s="690" t="s">
        <v>1305</v>
      </c>
      <c r="C915" s="34"/>
      <c r="D915" s="34"/>
      <c r="E915" s="641"/>
      <c r="F915" s="34"/>
      <c r="G915" s="642">
        <f t="shared" si="425"/>
        <v>9323160</v>
      </c>
      <c r="H915" s="642">
        <f t="shared" si="426"/>
        <v>0</v>
      </c>
      <c r="I915" s="642">
        <f t="shared" si="427"/>
        <v>9323160</v>
      </c>
      <c r="J915" s="642">
        <f>'12MonResults'!M507</f>
        <v>265656</v>
      </c>
      <c r="K915" s="642">
        <f>'12MonResults'!P507</f>
        <v>309305</v>
      </c>
      <c r="M915" s="691">
        <f>'12MonPoles'!K307</f>
        <v>0</v>
      </c>
      <c r="N915" s="642">
        <f t="shared" si="428"/>
        <v>1448683.0900000005</v>
      </c>
      <c r="O915" s="642">
        <f t="shared" si="428"/>
        <v>1476596</v>
      </c>
      <c r="P915" s="158">
        <f>'12MonResults'!AL507</f>
        <v>23285</v>
      </c>
      <c r="Q915" s="158">
        <f>'12MonResults'!AM507</f>
        <v>19984</v>
      </c>
      <c r="R915" s="158">
        <f t="shared" si="429"/>
        <v>1519865</v>
      </c>
      <c r="S915" s="497">
        <f t="shared" si="430"/>
        <v>71181.909999999451</v>
      </c>
      <c r="AD915" s="275"/>
      <c r="AE915" s="294"/>
    </row>
    <row r="916" spans="2:31">
      <c r="B916" s="690" t="s">
        <v>1306</v>
      </c>
      <c r="C916" s="34"/>
      <c r="D916" s="34"/>
      <c r="E916" s="641"/>
      <c r="F916" s="34"/>
      <c r="G916" s="642">
        <f t="shared" si="425"/>
        <v>13731722</v>
      </c>
      <c r="H916" s="642">
        <f t="shared" si="426"/>
        <v>0</v>
      </c>
      <c r="I916" s="642">
        <f t="shared" si="427"/>
        <v>13731722</v>
      </c>
      <c r="J916" s="642">
        <f>'12MonResults'!M508</f>
        <v>293077</v>
      </c>
      <c r="K916" s="642">
        <f>'12MonResults'!P508</f>
        <v>355638</v>
      </c>
      <c r="M916" s="691">
        <f>'12MonPoles'!K308</f>
        <v>0</v>
      </c>
      <c r="N916" s="642">
        <f t="shared" si="428"/>
        <v>1457786.8700000006</v>
      </c>
      <c r="O916" s="642">
        <f t="shared" si="428"/>
        <v>1485890</v>
      </c>
      <c r="P916" s="158">
        <f>'12MonResults'!AL508</f>
        <v>25385</v>
      </c>
      <c r="Q916" s="158">
        <f>'12MonResults'!AM508</f>
        <v>22978</v>
      </c>
      <c r="R916" s="158">
        <f>SUM(O916:Q916)</f>
        <v>1534253</v>
      </c>
      <c r="S916" s="497">
        <f t="shared" si="430"/>
        <v>76466.129999999423</v>
      </c>
      <c r="AD916" s="275"/>
      <c r="AE916" s="294"/>
    </row>
    <row r="917" spans="2:31">
      <c r="AD917" s="275"/>
      <c r="AE917" s="294"/>
    </row>
    <row r="918" spans="2:31">
      <c r="R918" s="643">
        <f>SUM(R905:R916)</f>
        <v>18677609.329999998</v>
      </c>
      <c r="AD918" s="275"/>
      <c r="AE918" s="294"/>
    </row>
    <row r="919" spans="2:31">
      <c r="AD919" s="275"/>
      <c r="AE919" s="294"/>
    </row>
    <row r="920" spans="2:31">
      <c r="AD920" s="275"/>
      <c r="AE920" s="294"/>
    </row>
    <row r="921" spans="2:31">
      <c r="AD921" s="275"/>
      <c r="AE921" s="294"/>
    </row>
    <row r="922" spans="2:31">
      <c r="AD922" s="275"/>
      <c r="AE922" s="294"/>
    </row>
    <row r="923" spans="2:31">
      <c r="AD923" s="275"/>
      <c r="AE923" s="294"/>
    </row>
    <row r="924" spans="2:31">
      <c r="AD924" s="275"/>
      <c r="AE924" s="294"/>
    </row>
    <row r="925" spans="2:31">
      <c r="AD925" s="275"/>
      <c r="AE925" s="294"/>
    </row>
    <row r="926" spans="2:31">
      <c r="AD926" s="275"/>
      <c r="AE926" s="294"/>
    </row>
    <row r="927" spans="2:31">
      <c r="AD927" s="275"/>
      <c r="AE927" s="294"/>
    </row>
    <row r="928" spans="2:31">
      <c r="AD928" s="275"/>
      <c r="AE928" s="294"/>
    </row>
    <row r="929" spans="30:31">
      <c r="AD929" s="275"/>
      <c r="AE929" s="294"/>
    </row>
    <row r="930" spans="30:31">
      <c r="AD930" s="275"/>
      <c r="AE930" s="294"/>
    </row>
    <row r="931" spans="30:31">
      <c r="AD931" s="275"/>
      <c r="AE931" s="294"/>
    </row>
    <row r="932" spans="30:31">
      <c r="AD932" s="275"/>
      <c r="AE932" s="294"/>
    </row>
    <row r="933" spans="30:31">
      <c r="AD933" s="275"/>
      <c r="AE933" s="294"/>
    </row>
    <row r="934" spans="30:31">
      <c r="AD934" s="275"/>
      <c r="AE934" s="294"/>
    </row>
    <row r="935" spans="30:31">
      <c r="AD935" s="275"/>
      <c r="AE935" s="294"/>
    </row>
    <row r="936" spans="30:31">
      <c r="AD936" s="275"/>
      <c r="AE936" s="294"/>
    </row>
    <row r="937" spans="30:31">
      <c r="AD937" s="275"/>
      <c r="AE937" s="294"/>
    </row>
    <row r="938" spans="30:31">
      <c r="AD938" s="275"/>
      <c r="AE938" s="294"/>
    </row>
    <row r="939" spans="30:31">
      <c r="AD939" s="275"/>
      <c r="AE939" s="294"/>
    </row>
    <row r="940" spans="30:31">
      <c r="AD940" s="275"/>
      <c r="AE940" s="294"/>
    </row>
    <row r="941" spans="30:31">
      <c r="AD941" s="275"/>
      <c r="AE941" s="294"/>
    </row>
    <row r="942" spans="30:31">
      <c r="AD942" s="275"/>
      <c r="AE942" s="294"/>
    </row>
    <row r="943" spans="30:31">
      <c r="AD943" s="275"/>
      <c r="AE943" s="294"/>
    </row>
    <row r="944" spans="30:31">
      <c r="AD944" s="275"/>
      <c r="AE944" s="294"/>
    </row>
    <row r="945" spans="30:31">
      <c r="AD945" s="275"/>
      <c r="AE945" s="294"/>
    </row>
    <row r="946" spans="30:31">
      <c r="AD946" s="275"/>
      <c r="AE946" s="294"/>
    </row>
    <row r="947" spans="30:31">
      <c r="AD947" s="275"/>
      <c r="AE947" s="294"/>
    </row>
    <row r="948" spans="30:31">
      <c r="AD948" s="275"/>
      <c r="AE948" s="294"/>
    </row>
    <row r="949" spans="30:31">
      <c r="AD949" s="275"/>
      <c r="AE949" s="294"/>
    </row>
    <row r="950" spans="30:31">
      <c r="AD950" s="275"/>
      <c r="AE950" s="294"/>
    </row>
    <row r="951" spans="30:31">
      <c r="AD951" s="275"/>
      <c r="AE951" s="294"/>
    </row>
    <row r="952" spans="30:31">
      <c r="AD952" s="275"/>
      <c r="AE952" s="294"/>
    </row>
    <row r="953" spans="30:31">
      <c r="AD953" s="275"/>
      <c r="AE953" s="294"/>
    </row>
    <row r="954" spans="30:31">
      <c r="AD954" s="275"/>
      <c r="AE954" s="294"/>
    </row>
    <row r="955" spans="30:31">
      <c r="AD955" s="275"/>
      <c r="AE955" s="294"/>
    </row>
    <row r="956" spans="30:31">
      <c r="AD956" s="275"/>
      <c r="AE956" s="294"/>
    </row>
    <row r="957" spans="30:31">
      <c r="AD957" s="275"/>
      <c r="AE957" s="294"/>
    </row>
    <row r="958" spans="30:31">
      <c r="AD958" s="275"/>
      <c r="AE958" s="294"/>
    </row>
    <row r="959" spans="30:31">
      <c r="AD959" s="275"/>
      <c r="AE959" s="294"/>
    </row>
    <row r="960" spans="30:31">
      <c r="AD960" s="275"/>
      <c r="AE960" s="294"/>
    </row>
    <row r="961" spans="30:31">
      <c r="AD961" s="275"/>
      <c r="AE961" s="294"/>
    </row>
    <row r="962" spans="30:31">
      <c r="AD962" s="275"/>
      <c r="AE962" s="294"/>
    </row>
    <row r="963" spans="30:31">
      <c r="AD963" s="275"/>
      <c r="AE963" s="294"/>
    </row>
    <row r="964" spans="30:31">
      <c r="AD964" s="275"/>
      <c r="AE964" s="294"/>
    </row>
    <row r="965" spans="30:31">
      <c r="AD965" s="275"/>
      <c r="AE965" s="294"/>
    </row>
    <row r="966" spans="30:31">
      <c r="AD966" s="275"/>
      <c r="AE966" s="294"/>
    </row>
    <row r="967" spans="30:31">
      <c r="AD967" s="275"/>
      <c r="AE967" s="294"/>
    </row>
    <row r="968" spans="30:31">
      <c r="AD968" s="275"/>
      <c r="AE968" s="294"/>
    </row>
    <row r="969" spans="30:31">
      <c r="AD969" s="275"/>
      <c r="AE969" s="294"/>
    </row>
    <row r="970" spans="30:31">
      <c r="AD970" s="275"/>
      <c r="AE970" s="294"/>
    </row>
    <row r="971" spans="30:31">
      <c r="AD971" s="275"/>
      <c r="AE971" s="294"/>
    </row>
    <row r="972" spans="30:31">
      <c r="AD972" s="275"/>
      <c r="AE972" s="294"/>
    </row>
    <row r="973" spans="30:31">
      <c r="AD973" s="275"/>
      <c r="AE973" s="294"/>
    </row>
    <row r="974" spans="30:31">
      <c r="AD974" s="275"/>
      <c r="AE974" s="294"/>
    </row>
    <row r="975" spans="30:31">
      <c r="AD975" s="275"/>
      <c r="AE975" s="294"/>
    </row>
    <row r="976" spans="30:31">
      <c r="AD976" s="275"/>
      <c r="AE976" s="294"/>
    </row>
    <row r="977" spans="30:31">
      <c r="AD977" s="275"/>
      <c r="AE977" s="294"/>
    </row>
    <row r="978" spans="30:31">
      <c r="AD978" s="275"/>
      <c r="AE978" s="294"/>
    </row>
    <row r="979" spans="30:31">
      <c r="AD979" s="275"/>
      <c r="AE979" s="294"/>
    </row>
    <row r="980" spans="30:31">
      <c r="AD980" s="275"/>
      <c r="AE980" s="294"/>
    </row>
    <row r="981" spans="30:31">
      <c r="AD981" s="275"/>
      <c r="AE981" s="294"/>
    </row>
    <row r="982" spans="30:31">
      <c r="AD982" s="275"/>
      <c r="AE982" s="294"/>
    </row>
    <row r="983" spans="30:31">
      <c r="AD983" s="275"/>
      <c r="AE983" s="294"/>
    </row>
    <row r="984" spans="30:31">
      <c r="AD984" s="275"/>
      <c r="AE984" s="294"/>
    </row>
    <row r="985" spans="30:31">
      <c r="AD985" s="275"/>
      <c r="AE985" s="294"/>
    </row>
    <row r="986" spans="30:31">
      <c r="AD986" s="275"/>
      <c r="AE986" s="294"/>
    </row>
    <row r="987" spans="30:31">
      <c r="AD987" s="275"/>
      <c r="AE987" s="294"/>
    </row>
    <row r="988" spans="30:31">
      <c r="AD988" s="275"/>
      <c r="AE988" s="294"/>
    </row>
    <row r="989" spans="30:31">
      <c r="AD989" s="275"/>
      <c r="AE989" s="294"/>
    </row>
    <row r="990" spans="30:31">
      <c r="AD990" s="275"/>
      <c r="AE990" s="294"/>
    </row>
    <row r="991" spans="30:31">
      <c r="AD991" s="275"/>
      <c r="AE991" s="294"/>
    </row>
    <row r="992" spans="30:31">
      <c r="AD992" s="275"/>
      <c r="AE992" s="294"/>
    </row>
    <row r="993" spans="30:31">
      <c r="AD993" s="275"/>
      <c r="AE993" s="294"/>
    </row>
    <row r="994" spans="30:31">
      <c r="AD994" s="275"/>
      <c r="AE994" s="294"/>
    </row>
    <row r="995" spans="30:31">
      <c r="AD995" s="275"/>
      <c r="AE995" s="294"/>
    </row>
    <row r="996" spans="30:31">
      <c r="AD996" s="275"/>
      <c r="AE996" s="294"/>
    </row>
    <row r="997" spans="30:31">
      <c r="AD997" s="275"/>
      <c r="AE997" s="294"/>
    </row>
    <row r="998" spans="30:31">
      <c r="AD998" s="275"/>
      <c r="AE998" s="294"/>
    </row>
    <row r="999" spans="30:31">
      <c r="AD999" s="275"/>
      <c r="AE999" s="294"/>
    </row>
    <row r="1000" spans="30:31">
      <c r="AD1000" s="275"/>
      <c r="AE1000" s="294"/>
    </row>
    <row r="1001" spans="30:31">
      <c r="AD1001" s="275"/>
      <c r="AE1001" s="294"/>
    </row>
    <row r="1002" spans="30:31">
      <c r="AD1002" s="275"/>
      <c r="AE1002" s="294"/>
    </row>
    <row r="1003" spans="30:31">
      <c r="AD1003" s="275"/>
      <c r="AE1003" s="294"/>
    </row>
    <row r="1004" spans="30:31">
      <c r="AD1004" s="275"/>
      <c r="AE1004" s="294"/>
    </row>
    <row r="1005" spans="30:31">
      <c r="AD1005" s="275"/>
      <c r="AE1005" s="294"/>
    </row>
    <row r="1006" spans="30:31">
      <c r="AD1006" s="275"/>
      <c r="AE1006" s="294"/>
    </row>
    <row r="1007" spans="30:31">
      <c r="AD1007" s="275"/>
      <c r="AE1007" s="294"/>
    </row>
    <row r="1008" spans="30:31">
      <c r="AD1008" s="275"/>
      <c r="AE1008" s="294"/>
    </row>
    <row r="1009" spans="30:31">
      <c r="AD1009" s="275"/>
      <c r="AE1009" s="294"/>
    </row>
    <row r="1010" spans="30:31">
      <c r="AD1010" s="275"/>
      <c r="AE1010" s="294"/>
    </row>
    <row r="1011" spans="30:31">
      <c r="AD1011" s="275"/>
      <c r="AE1011" s="294"/>
    </row>
    <row r="1012" spans="30:31">
      <c r="AD1012" s="275"/>
      <c r="AE1012" s="294"/>
    </row>
    <row r="1013" spans="30:31">
      <c r="AD1013" s="275"/>
      <c r="AE1013" s="294"/>
    </row>
    <row r="1014" spans="30:31">
      <c r="AD1014" s="275"/>
      <c r="AE1014" s="294"/>
    </row>
    <row r="1015" spans="30:31">
      <c r="AD1015" s="275"/>
      <c r="AE1015" s="294"/>
    </row>
    <row r="1016" spans="30:31">
      <c r="AD1016" s="275"/>
      <c r="AE1016" s="294"/>
    </row>
  </sheetData>
  <autoFilter ref="A3:AL879"/>
  <sortState ref="AF1552:AK1725">
    <sortCondition ref="AJ1552:AJ1725"/>
  </sortState>
  <mergeCells count="1">
    <mergeCell ref="AC1:AE2"/>
  </mergeCells>
  <conditionalFormatting sqref="P4:P794 P807:P881">
    <cfRule type="cellIs" dxfId="25" priority="6" operator="notEqual">
      <formula>1</formula>
    </cfRule>
  </conditionalFormatting>
  <conditionalFormatting sqref="P795:P806">
    <cfRule type="cellIs" dxfId="24" priority="1" operator="notEqual">
      <formula>1</formula>
    </cfRule>
  </conditionalFormatting>
  <pageMargins left="0.7" right="0.7" top="0.75" bottom="0.75" header="0.3" footer="0.3"/>
  <pageSetup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148</vt:i4>
      </vt:variant>
    </vt:vector>
  </HeadingPairs>
  <TitlesOfParts>
    <vt:vector size="168" baseType="lpstr">
      <vt:lpstr>Exhibits==&gt;</vt:lpstr>
      <vt:lpstr>Sch M-1.1</vt:lpstr>
      <vt:lpstr>Sch M-1.2</vt:lpstr>
      <vt:lpstr>Sch M-1.3-pg 1</vt:lpstr>
      <vt:lpstr>Sch M-1.3 pgs 2-13</vt:lpstr>
      <vt:lpstr>Sch M-1.3 pgs 14-19</vt:lpstr>
      <vt:lpstr>Data==&gt;</vt:lpstr>
      <vt:lpstr>12MonResults</vt:lpstr>
      <vt:lpstr>12MonLights</vt:lpstr>
      <vt:lpstr>12MonPoles</vt:lpstr>
      <vt:lpstr>Sources ==&gt;</vt:lpstr>
      <vt:lpstr>Rates</vt:lpstr>
      <vt:lpstr>LightingRates</vt:lpstr>
      <vt:lpstr>PoleRates</vt:lpstr>
      <vt:lpstr>1022</vt:lpstr>
      <vt:lpstr>1051</vt:lpstr>
      <vt:lpstr>1055</vt:lpstr>
      <vt:lpstr>SBR</vt:lpstr>
      <vt:lpstr>MiscData</vt:lpstr>
      <vt:lpstr>ECR in Base Rates</vt:lpstr>
      <vt:lpstr>L_1022_Count</vt:lpstr>
      <vt:lpstr>L_1022_Demand_Base</vt:lpstr>
      <vt:lpstr>L_1022_Demand_Base_Measured</vt:lpstr>
      <vt:lpstr>L_1022_Demand_Inter</vt:lpstr>
      <vt:lpstr>L_1022_Demand_Inter_Measured</vt:lpstr>
      <vt:lpstr>L_1022_Demand_OnPeak_Measured</vt:lpstr>
      <vt:lpstr>L_1022_Demand_Peak</vt:lpstr>
      <vt:lpstr>L_1022_Demand_Peak_Measured</vt:lpstr>
      <vt:lpstr>L_1022_Demand_Pwr_Fctr</vt:lpstr>
      <vt:lpstr>L_1022_KWH_P1</vt:lpstr>
      <vt:lpstr>L_1022_KWH_P2</vt:lpstr>
      <vt:lpstr>L_1022_KWH_P3</vt:lpstr>
      <vt:lpstr>L_1022_KWH_Total</vt:lpstr>
      <vt:lpstr>L_1022_Rate_Category</vt:lpstr>
      <vt:lpstr>L_1022_Revenue_Month</vt:lpstr>
      <vt:lpstr>L_1022_Revenue_Power_Factor</vt:lpstr>
      <vt:lpstr>L_1051_Count_Total</vt:lpstr>
      <vt:lpstr>L_1051_Light_Category</vt:lpstr>
      <vt:lpstr>L_1051_RateCategory</vt:lpstr>
      <vt:lpstr>L_1051_Revenue_Month</vt:lpstr>
      <vt:lpstr>L_1051_Revenue_Test_Period</vt:lpstr>
      <vt:lpstr>L_1051_Revenue_Total</vt:lpstr>
      <vt:lpstr>L_1055_Count_OutOfPeriod</vt:lpstr>
      <vt:lpstr>L_1055_Count_Test_Period</vt:lpstr>
      <vt:lpstr>L_1055_Count_Total</vt:lpstr>
      <vt:lpstr>L_1055_KWH_OutOfPeriod</vt:lpstr>
      <vt:lpstr>L_1055_KWH_Test_Period</vt:lpstr>
      <vt:lpstr>L_1055_KWH_Total</vt:lpstr>
      <vt:lpstr>L_1055_RateCategory</vt:lpstr>
      <vt:lpstr>L_1055_Revenue_Month</vt:lpstr>
      <vt:lpstr>L_1055_Revenue_OutOfPeriod</vt:lpstr>
      <vt:lpstr>L_1055_Revenue_Pole_Total</vt:lpstr>
      <vt:lpstr>L_1055_Revenue_Poles_Test_Period</vt:lpstr>
      <vt:lpstr>L_1055_Revenue_SBR</vt:lpstr>
      <vt:lpstr>L_1055_Revenue_Test_Period_Adj</vt:lpstr>
      <vt:lpstr>L_1055_Revenue_Test_Period_Base</vt:lpstr>
      <vt:lpstr>L_1055_Revenue_Total_Adj</vt:lpstr>
      <vt:lpstr>L_1055_Revenue_Total_Base</vt:lpstr>
      <vt:lpstr>L_12MonLights_Count_OutOfPeriod</vt:lpstr>
      <vt:lpstr>L_12MonLights_Count_Total</vt:lpstr>
      <vt:lpstr>L_12MonLights_ECR</vt:lpstr>
      <vt:lpstr>L_12MonLights_FAC</vt:lpstr>
      <vt:lpstr>L_12MonLights_KWH_OutOfPeriod</vt:lpstr>
      <vt:lpstr>L_12MonLights_KWH_Total</vt:lpstr>
      <vt:lpstr>L_12MonLights_MSC</vt:lpstr>
      <vt:lpstr>L_12MonLights_RateCategory</vt:lpstr>
      <vt:lpstr>L_12MonLights_RateClass</vt:lpstr>
      <vt:lpstr>L_12MonLights_Revenue_Adj</vt:lpstr>
      <vt:lpstr>L_12MonLights_Revenue_Adj_Test_Period</vt:lpstr>
      <vt:lpstr>L_12MonLights_Revenue_Month</vt:lpstr>
      <vt:lpstr>L_12MonLights_Revenue_OutOfPeriod</vt:lpstr>
      <vt:lpstr>L_12MonLights_Revenue_Test_Period</vt:lpstr>
      <vt:lpstr>L_12MonLights_Revenue_Total_Base</vt:lpstr>
      <vt:lpstr>L_12MonLights_Revenue_Total_Calc</vt:lpstr>
      <vt:lpstr>L_12MonLights_SBR</vt:lpstr>
      <vt:lpstr>L_12MonLightsTariffRateCategory</vt:lpstr>
      <vt:lpstr>L_12MonLightsTariffRateClass</vt:lpstr>
      <vt:lpstr>L_12MonPoles_Count</vt:lpstr>
      <vt:lpstr>L_12MonPoles_Count_Adj</vt:lpstr>
      <vt:lpstr>L_12MonPoles_RateCategory</vt:lpstr>
      <vt:lpstr>L_12MonPoles_RateClass</vt:lpstr>
      <vt:lpstr>L_12MonPoles_Revenue_Actual</vt:lpstr>
      <vt:lpstr>L_12MonPoles_Revenue_Adj</vt:lpstr>
      <vt:lpstr>L_12MonPoles_Revenue_Base</vt:lpstr>
      <vt:lpstr>L_12MonPoles_Revenue_Month</vt:lpstr>
      <vt:lpstr>L_12MonPoles_Revenue_Total_Calc</vt:lpstr>
      <vt:lpstr>L_12MonPoles_TariffRateCategory</vt:lpstr>
      <vt:lpstr>L_12MonResults_Contract_Cnt</vt:lpstr>
      <vt:lpstr>L_12MonResults_Contract_Cnt_Adj</vt:lpstr>
      <vt:lpstr>L_12MonResults_Demand_Measured_Base</vt:lpstr>
      <vt:lpstr>L_12MonResults_Demand_Measured_Inter</vt:lpstr>
      <vt:lpstr>L_12MonResults_Demand_Measured_Peak</vt:lpstr>
      <vt:lpstr>L_12MonResults_Demand_Minimum_Base</vt:lpstr>
      <vt:lpstr>L_12MonResults_Demand_Minimum_Inter</vt:lpstr>
      <vt:lpstr>L_12MonResults_Demand_Minimum_Peak</vt:lpstr>
      <vt:lpstr>L_12MonResults_KWH_OutOfPeriod</vt:lpstr>
      <vt:lpstr>L_12MonResults_KWH_P1</vt:lpstr>
      <vt:lpstr>L_12MonResults_KWH_P2</vt:lpstr>
      <vt:lpstr>L_12MonResults_KWH_P3</vt:lpstr>
      <vt:lpstr>L_12MonResults_KWH_Total</vt:lpstr>
      <vt:lpstr>L_12MonResults_RateCategory</vt:lpstr>
      <vt:lpstr>L_12MonResults_RateClass</vt:lpstr>
      <vt:lpstr>L_12MonResults_Revenue_Actual_Base</vt:lpstr>
      <vt:lpstr>L_12MonResults_Revenue_Base_Calculated</vt:lpstr>
      <vt:lpstr>L_12MonResults_Revenue_Base_Fuel</vt:lpstr>
      <vt:lpstr>L_12MonResults_Revenue_BSC</vt:lpstr>
      <vt:lpstr>L_12MonResults_Revenue_CSR</vt:lpstr>
      <vt:lpstr>L_12MonResults_Revenue_Customer_Adj</vt:lpstr>
      <vt:lpstr>L_12MonResults_Revenue_Demand_Adj</vt:lpstr>
      <vt:lpstr>L_12MonResults_Revenue_Demand_Base</vt:lpstr>
      <vt:lpstr>L_12MonResults_Revenue_Demand_Inter</vt:lpstr>
      <vt:lpstr>L_12MonResults_Revenue_Demand_Minimum</vt:lpstr>
      <vt:lpstr>L_12MonResults_Revenue_Demand_Peak</vt:lpstr>
      <vt:lpstr>L_12MonResults_Revenue_Demand_Total</vt:lpstr>
      <vt:lpstr>L_12MonResults_Revenue_DSM</vt:lpstr>
      <vt:lpstr>L_12MonResults_Revenue_ECR</vt:lpstr>
      <vt:lpstr>L_12MonResults_Revenue_Energy</vt:lpstr>
      <vt:lpstr>L_12MonResults_Revenue_Energy_Adj</vt:lpstr>
      <vt:lpstr>L_12MonResults_Revenue_Energy_NonFuel</vt:lpstr>
      <vt:lpstr>L_12MonResults_Revenue_FAC</vt:lpstr>
      <vt:lpstr>L_12MonResults_Revenue_Month</vt:lpstr>
      <vt:lpstr>L_12MonResults_Revenue_MSC</vt:lpstr>
      <vt:lpstr>L_12MonResults_Revenue_PwrFctr</vt:lpstr>
      <vt:lpstr>L_12MonResults_Revenue_Red_Cap</vt:lpstr>
      <vt:lpstr>L_12MonResults_Revenue_Total</vt:lpstr>
      <vt:lpstr>L_12MonResults_TariffRateCategory</vt:lpstr>
      <vt:lpstr>L_12MonResults_TariffRateClass</vt:lpstr>
      <vt:lpstr>L_12MonthLights_3_Digit_Code</vt:lpstr>
      <vt:lpstr>L_LightingRates_ECR_Rate</vt:lpstr>
      <vt:lpstr>L_LightingRates_FAC_Rate</vt:lpstr>
      <vt:lpstr>L_LightingRates_Tariff_Rate_Category</vt:lpstr>
      <vt:lpstr>L_LightingRates_UnitCharge</vt:lpstr>
      <vt:lpstr>L_LightsRates_TariffRateCategory</vt:lpstr>
      <vt:lpstr>L_Rates_BSC</vt:lpstr>
      <vt:lpstr>L_Rates_Demand_Base</vt:lpstr>
      <vt:lpstr>L_Rates_Demand_ECR</vt:lpstr>
      <vt:lpstr>L_Rates_Demand_Intermediate</vt:lpstr>
      <vt:lpstr>L_Rates_Demand_Peak</vt:lpstr>
      <vt:lpstr>L_Rates_Energy</vt:lpstr>
      <vt:lpstr>L_Rates_Energy_Base_Fuel</vt:lpstr>
      <vt:lpstr>L_Rates_Energy_ECR</vt:lpstr>
      <vt:lpstr>L_Rates_Energy_P2</vt:lpstr>
      <vt:lpstr>L_Rates_Energy_P3</vt:lpstr>
      <vt:lpstr>L_Rates_Tariff_Rate_Category</vt:lpstr>
      <vt:lpstr>L_Rates_TariffRateClass</vt:lpstr>
      <vt:lpstr>L_SBR_Base_Revenue</vt:lpstr>
      <vt:lpstr>L_SBR_BaseECR_Demand</vt:lpstr>
      <vt:lpstr>L_SBR_BaseECR_Energy</vt:lpstr>
      <vt:lpstr>L_SBR_BSC_Revenue</vt:lpstr>
      <vt:lpstr>L_SBR_CSR</vt:lpstr>
      <vt:lpstr>L_SBR_Demand_Revenue</vt:lpstr>
      <vt:lpstr>L_SBR_DSM</vt:lpstr>
      <vt:lpstr>L_SBR_ECR</vt:lpstr>
      <vt:lpstr>L_SBR_Energy_Revenue</vt:lpstr>
      <vt:lpstr>L_SBR_FAC</vt:lpstr>
      <vt:lpstr>L_SBR_KWH</vt:lpstr>
      <vt:lpstr>L_SBR_MSR</vt:lpstr>
      <vt:lpstr>L_SBR_Rate_Category</vt:lpstr>
      <vt:lpstr>L_SBR_RateClass</vt:lpstr>
      <vt:lpstr>L_SBR_Revenue_Month</vt:lpstr>
      <vt:lpstr>L_SBR_Revenue_Total</vt:lpstr>
      <vt:lpstr>'ECR in Base Rates'!Print_Area</vt:lpstr>
      <vt:lpstr>'Sch M-1.2'!Print_Area</vt:lpstr>
      <vt:lpstr>'Sch M-1.3 pgs 14-19'!Print_Area</vt:lpstr>
      <vt:lpstr>'Sch M-1.3 pgs 2-13'!Print_Area</vt:lpstr>
      <vt:lpstr>'Sch M-1.3-pg 1'!Print_Area</vt:lpstr>
      <vt:lpstr>'ECR in Base Rates'!Print_Titles</vt:lpstr>
      <vt:lpstr>'Sch M-1.3-pg 1'!Print_Titles</vt:lpstr>
    </vt:vector>
  </TitlesOfParts>
  <Company>E.ON U.S.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Carol Foxworthy</dc:creator>
  <cp:lastModifiedBy>Conroy, Robert</cp:lastModifiedBy>
  <cp:lastPrinted>2014-11-06T20:57:16Z</cp:lastPrinted>
  <dcterms:created xsi:type="dcterms:W3CDTF">2010-08-19T13:01:15Z</dcterms:created>
  <dcterms:modified xsi:type="dcterms:W3CDTF">2014-11-20T22:40:25Z</dcterms:modified>
</cp:coreProperties>
</file>